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9.xml" ContentType="application/vnd.openxmlformats-officedocument.spreadsheetml.comments+xml"/>
  <Override PartName="/xl/drawings/drawing4.xml" ContentType="application/vnd.openxmlformats-officedocument.drawing+xml"/>
  <Override PartName="/xl/comments10.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defaultThemeVersion="124226"/>
  <mc:AlternateContent xmlns:mc="http://schemas.openxmlformats.org/markup-compatibility/2006">
    <mc:Choice Requires="x15">
      <x15ac:absPath xmlns:x15ac="http://schemas.microsoft.com/office/spreadsheetml/2010/11/ac" url="C:\Local\Projects_CBECC\2527_ConnectionatBurien\2527_Workbooks\"/>
    </mc:Choice>
  </mc:AlternateContent>
  <xr:revisionPtr revIDLastSave="308" documentId="13_ncr:1_{512B69DF-B662-4DEC-9621-7770CF87CE3F}" xr6:coauthVersionLast="47" xr6:coauthVersionMax="47" xr10:uidLastSave="{08376C28-EA81-4F01-874E-0DE5CE73555E}"/>
  <bookViews>
    <workbookView xWindow="8964" yWindow="17172" windowWidth="23256" windowHeight="13896" tabRatio="745" firstSheet="17" activeTab="28" xr2:uid="{84B9FD95-1171-4BA4-BD81-31F02F67F7A1}"/>
  </bookViews>
  <sheets>
    <sheet name="Workbook Version" sheetId="181" r:id="rId1"/>
    <sheet name="LEED Cal_GI" sheetId="203" state="hidden" r:id="rId2"/>
    <sheet name="Multifamily Details" sheetId="204" state="hidden" r:id="rId3"/>
    <sheet name="360SpcLdsCSV" sheetId="189" r:id="rId4"/>
    <sheet name="Proj_Sum" sheetId="86" r:id="rId5"/>
    <sheet name="Unit_Sum" sheetId="105" r:id="rId6"/>
    <sheet name="Unit_Sum_MIP" sheetId="211" r:id="rId7"/>
    <sheet name="Spaces_Sum" sheetId="85" r:id="rId8"/>
    <sheet name="Lighting_Sum" sheetId="145" r:id="rId9"/>
    <sheet name="Envelope_Sum" sheetId="108" state="hidden" r:id="rId10"/>
    <sheet name="Sch_Sum" sheetId="150" r:id="rId11"/>
    <sheet name="VentExhCSV_Spc" sheetId="146" state="hidden" r:id="rId12"/>
    <sheet name="Bluebeam Lighting" sheetId="213" r:id="rId13"/>
    <sheet name="Ltg Schedule" sheetId="75" r:id="rId14"/>
    <sheet name="Ltg IntTakeoffs" sheetId="27" r:id="rId15"/>
    <sheet name="Ltg ExtTakeoffs" sheetId="188" r:id="rId16"/>
    <sheet name="In-Unit Lighting" sheetId="166" state="hidden" r:id="rId17"/>
    <sheet name="MFAM ExhFan-Inf NEW!" sheetId="202" r:id="rId18"/>
    <sheet name="Unit Loads-Simple" sheetId="190" r:id="rId19"/>
    <sheet name="Lndy Loads-Simple" sheetId="208" r:id="rId20"/>
    <sheet name="REF_ExhFan" sheetId="151" r:id="rId21"/>
    <sheet name="Common Fans" sheetId="110" r:id="rId22"/>
    <sheet name="Ventilation" sheetId="207" state="hidden" r:id="rId23"/>
    <sheet name="Ventilation Old" sheetId="205" state="hidden" r:id="rId24"/>
    <sheet name="LI 10371 - Garage Fan" sheetId="210" state="hidden" r:id="rId25"/>
    <sheet name="REF_C406 Estimates" sheetId="193" state="hidden" r:id="rId26"/>
    <sheet name="Minimum Eff" sheetId="209" r:id="rId27"/>
    <sheet name="REF_Misc Loads" sheetId="153" r:id="rId28"/>
    <sheet name="QC" sheetId="214" r:id="rId29"/>
    <sheet name="REF_Wind Inf" sheetId="94" state="hidden" r:id="rId30"/>
  </sheets>
  <externalReferences>
    <externalReference r:id="rId31"/>
  </externalReferences>
  <definedNames>
    <definedName name="_xlnm._FilterDatabase" localSheetId="3" hidden="1">'360SpcLdsCSV'!$C$5:$Z$215</definedName>
    <definedName name="_xlnm._FilterDatabase" localSheetId="12" hidden="1">'Bluebeam Lighting'!$B$2:$H$426</definedName>
    <definedName name="_xlnm._FilterDatabase" localSheetId="9" hidden="1">Envelope_Sum!$B$55:$O$248</definedName>
    <definedName name="_xlnm._FilterDatabase" localSheetId="16" hidden="1">'In-Unit Lighting'!$A$17:$AM$77</definedName>
    <definedName name="_xlnm._FilterDatabase" localSheetId="8" hidden="1">Lighting_Sum!$A$54:$AF$266</definedName>
    <definedName name="_xlnm._FilterDatabase" localSheetId="15" hidden="1">'Ltg ExtTakeoffs'!$A$12:$BQ$72</definedName>
    <definedName name="_xlnm._FilterDatabase" localSheetId="14" hidden="1">'Ltg IntTakeoffs'!$A$11:$HP$221</definedName>
    <definedName name="_xlnm._FilterDatabase" localSheetId="13" hidden="1">'Ltg Schedule'!$C$6:$K$67</definedName>
    <definedName name="_xlnm._FilterDatabase" localSheetId="26" hidden="1">'Minimum Eff'!$A$2:$B$2</definedName>
    <definedName name="_xlnm._FilterDatabase" localSheetId="7" hidden="1">Spaces_Sum!$C$56:$AV$266</definedName>
    <definedName name="_xlnm._FilterDatabase" localSheetId="5" hidden="1">Unit_Sum!$A$16:$AX$94</definedName>
    <definedName name="_xlnm._FilterDatabase" localSheetId="6" hidden="1">Unit_Sum_MIP!$A$16:$AW$94</definedName>
    <definedName name="_xlnm._FilterDatabase" localSheetId="22" hidden="1">Ventilation!$C$15:$Y$118</definedName>
    <definedName name="_xlnm._FilterDatabase" localSheetId="23" hidden="1">'Ventilation Old'!$C$15:$Y$96</definedName>
    <definedName name="_xleta.N" hidden="1" xlm="1">#NAME?</definedName>
    <definedName name="_xleta.SUMPRODUCT" hidden="1" xlm="1">#NAME?</definedName>
    <definedName name="CActDescTable">Proj_Sum!$E$43:$N$67</definedName>
    <definedName name="CmnLtg_Ref" localSheetId="24">#REF!</definedName>
    <definedName name="CmnLtg_Ref" localSheetId="19">Lighting_Sum!$A$58</definedName>
    <definedName name="CmnLtg_Ref" localSheetId="22">#REF!</definedName>
    <definedName name="CmnLtg_Ref" localSheetId="23">#REF!</definedName>
    <definedName name="CmnLtg_Ref">Lighting_Sum!$A$56</definedName>
    <definedName name="Coefa">#REF!</definedName>
    <definedName name="CoefAElec">#REF!</definedName>
    <definedName name="CoefAGas">#REF!</definedName>
    <definedName name="Coefb">#REF!</definedName>
    <definedName name="Coefc">#REF!</definedName>
    <definedName name="Coefd">#REF!</definedName>
    <definedName name="CoefDV">#REF!</definedName>
    <definedName name="CoefF">#REF!</definedName>
    <definedName name="CoefG">#REF!</definedName>
    <definedName name="CompType">Proj_Sum!$B$6</definedName>
    <definedName name="DP">#REF!</definedName>
    <definedName name="ELtgCountRef" localSheetId="23">#REF!</definedName>
    <definedName name="ELtgCountRef">'Ltg ExtTakeoffs'!$BA$7</definedName>
    <definedName name="Envelope_Ref" localSheetId="24">#REF!</definedName>
    <definedName name="Envelope_Ref" localSheetId="19">Envelope_Sum!$A$57</definedName>
    <definedName name="Envelope_Ref" localSheetId="22">#REF!</definedName>
    <definedName name="Envelope_Ref" localSheetId="23">#REF!</definedName>
    <definedName name="Envelope_Ref">Envelope_Sum!$A$57</definedName>
    <definedName name="ExhaustfanRef" localSheetId="24">#REF!</definedName>
    <definedName name="ExhaustfanRef" localSheetId="19">Unit_Sum!$AK$13</definedName>
    <definedName name="ExhaustfanRef" localSheetId="22">#REF!</definedName>
    <definedName name="ExhaustfanRef" localSheetId="23">#REF!</definedName>
    <definedName name="ExhaustfanRef">Unit_Sum!$AK$13</definedName>
    <definedName name="FHR">#REF!</definedName>
    <definedName name="FloorID">Proj_Sum!$B$15:$B$36</definedName>
    <definedName name="InfAreaBasis">'MFAM ExhFan-Inf NEW!'!$D$111</definedName>
    <definedName name="Ltg_EFixtureSch_PROP" localSheetId="24">#REF!</definedName>
    <definedName name="Ltg_EFixtureSch_PROP" localSheetId="19">'Ltg Schedule'!$C$72:$J$81</definedName>
    <definedName name="Ltg_EFixtureSch_PROP" localSheetId="22">#REF!</definedName>
    <definedName name="Ltg_EFixtureSch_PROP" localSheetId="23">#REF!</definedName>
    <definedName name="Ltg_EFixtureSch_PROP">'Ltg Schedule'!$C$72:$J$81</definedName>
    <definedName name="Ltg_IFixtureSch_PROP" localSheetId="24">#REF!</definedName>
    <definedName name="Ltg_IFixtureSch_PROP" localSheetId="19">'Ltg Schedule'!$C$8:$J$65</definedName>
    <definedName name="Ltg_IFixtureSch_PROP" localSheetId="22">#REF!</definedName>
    <definedName name="Ltg_IFixtureSch_PROP" localSheetId="23">#REF!</definedName>
    <definedName name="Ltg_IFixtureSch_PROP">'Ltg Schedule'!$C$8:$J$65</definedName>
    <definedName name="MinMotorEffArray" localSheetId="24">#REF!</definedName>
    <definedName name="MinMotorEffArray" localSheetId="19">#REF!</definedName>
    <definedName name="MinMotorEffArray" localSheetId="23">#REF!</definedName>
    <definedName name="MinMotorEffArray">'Minimum Eff'!$A$1:$B$19</definedName>
    <definedName name="MinMotorEffRef" localSheetId="23">#REF!</definedName>
    <definedName name="P">#REF!</definedName>
    <definedName name="_xlnm.Print_Area" localSheetId="24">'LI 10371 - Garage Fan'!$B$1:$E$49</definedName>
    <definedName name="_xlnm.Print_Titles" localSheetId="24">'LI 10371 - Garage Fan'!$1:$6</definedName>
    <definedName name="RE">#REF!</definedName>
    <definedName name="ResLtgSchPropArray" localSheetId="24">#REF!</definedName>
    <definedName name="ResLtgSchPropArray" localSheetId="19">'Ltg Schedule'!$C$89:$M$101</definedName>
    <definedName name="ResLtgSchPropArray" localSheetId="22">#REF!</definedName>
    <definedName name="ResLtgSchPropArray" localSheetId="23">#REF!</definedName>
    <definedName name="ResLtgSchPropArray">'Ltg Schedule'!$C$89:$M$101</definedName>
    <definedName name="ResLtgSchPropRef">'Ltg Schedule'!$C$88</definedName>
    <definedName name="Result_Ref">'[1]html Results'!$D$3</definedName>
    <definedName name="S901G_2010_LEED">Proj_Sum!$Q$3</definedName>
    <definedName name="S901G_2019">Proj_Sum!$Q$2</definedName>
    <definedName name="Spaces_Ref" localSheetId="24">#REF!</definedName>
    <definedName name="Spaces_Ref" localSheetId="19">Spaces_Sum!$A$57</definedName>
    <definedName name="Spaces_Ref">Spaces_Sum!$A$56</definedName>
    <definedName name="Spc_AreaxMult">Spaces_Sum!$O$57:$O$240</definedName>
    <definedName name="Spc_Conditioning">Spaces_Sum!$L$57:$L$240</definedName>
    <definedName name="Spc_LevelNames">Spaces_Sum!$A$57:$A$246</definedName>
    <definedName name="Spc_Names">Spaces_Sum!$C$57:$C$240</definedName>
    <definedName name="Spc_Occupancy">Spaces_Sum!$M$57:$M$240</definedName>
    <definedName name="Spc_VolxMult">Spaces_Sum!$AK$57:$AK$240</definedName>
    <definedName name="UEF">#REF!</definedName>
    <definedName name="UEFHPElec">#REF!</definedName>
    <definedName name="UEFmodelInstaElec">#REF!</definedName>
    <definedName name="UEFmodelInstaGas">#REF!</definedName>
    <definedName name="UEFrdStorElec">#REF!</definedName>
    <definedName name="UEFrdStorGas">#REF!</definedName>
    <definedName name="UEFwhamStorElec">#REF!</definedName>
    <definedName name="UEFwhamStorGas">#REF!</definedName>
    <definedName name="UnitSummary_Ref" localSheetId="24">#REF!</definedName>
    <definedName name="UnitSummary_Ref" localSheetId="19">Unit_Sum!$A$16</definedName>
    <definedName name="UnitSummary_Ref" localSheetId="22">#REF!</definedName>
    <definedName name="UnitSummary_Ref" localSheetId="23">#REF!</definedName>
    <definedName name="UnitSummary_Ref">Unit_Sum!$A$16</definedName>
    <definedName name="V">#REF!</definedName>
    <definedName name="WH">#REF!</definedName>
    <definedName name="Z_0ACF01B9_8815_4520_B366_993F82D312D0_.wvu.FilterData" localSheetId="22" hidden="1">Ventilation!#REF!</definedName>
    <definedName name="Z_0ACF01B9_8815_4520_B366_993F82D312D0_.wvu.FilterData" localSheetId="23" hidden="1">'Ventilation Old'!#REF!</definedName>
    <definedName name="Z_E120C1CF_98B2_4E6C_8622_DCE2413F5C9C_.wvu.FilterData" localSheetId="22" hidden="1">Ventilation!#REF!</definedName>
    <definedName name="Z_E120C1CF_98B2_4E6C_8622_DCE2413F5C9C_.wvu.FilterData" localSheetId="23" hidden="1">'Ventilation Old'!#REF!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 i="214" l="1"/>
  <c r="B8" i="214"/>
  <c r="E5" i="214"/>
  <c r="B5" i="214"/>
  <c r="E4" i="214"/>
  <c r="L91" i="190"/>
  <c r="P83" i="190"/>
  <c r="Z26" i="145"/>
  <c r="Z34" i="145"/>
  <c r="Z32" i="145"/>
  <c r="Z28" i="145"/>
  <c r="Z23" i="145"/>
  <c r="Z20" i="145"/>
  <c r="Z19" i="145"/>
  <c r="Z18" i="145"/>
  <c r="Z14" i="145"/>
  <c r="Z13" i="145"/>
  <c r="L31" i="190"/>
  <c r="I64" i="208"/>
  <c r="M64" i="208"/>
  <c r="L28" i="208"/>
  <c r="I28" i="208"/>
  <c r="L24" i="208"/>
  <c r="I24" i="208"/>
  <c r="E9" i="208"/>
  <c r="E8" i="208"/>
  <c r="C95" i="105"/>
  <c r="C93" i="105"/>
  <c r="H95" i="105"/>
  <c r="I95" i="105"/>
  <c r="M95" i="105"/>
  <c r="N95" i="105"/>
  <c r="G95" i="105"/>
  <c r="Q22" i="202"/>
  <c r="Q21" i="202"/>
  <c r="Q20" i="202"/>
  <c r="Q19" i="202"/>
  <c r="Q18" i="202"/>
  <c r="Q17" i="202"/>
  <c r="M22" i="202"/>
  <c r="M20" i="202"/>
  <c r="M21" i="202"/>
  <c r="M19" i="202"/>
  <c r="M17" i="202"/>
  <c r="M18" i="202"/>
  <c r="E17" i="202"/>
  <c r="AP99" i="105"/>
  <c r="AQ99" i="105"/>
  <c r="AR99" i="105"/>
  <c r="AO99" i="105"/>
  <c r="H19" i="105"/>
  <c r="H20" i="105"/>
  <c r="H21" i="105"/>
  <c r="H22" i="105"/>
  <c r="H23" i="105"/>
  <c r="H24" i="105"/>
  <c r="H25" i="105"/>
  <c r="H26" i="105"/>
  <c r="H27" i="105"/>
  <c r="H28" i="105"/>
  <c r="H29" i="105"/>
  <c r="H30" i="105"/>
  <c r="H31" i="105"/>
  <c r="H32" i="105"/>
  <c r="H33" i="105"/>
  <c r="H18" i="105"/>
  <c r="G18" i="105"/>
  <c r="G19" i="105"/>
  <c r="G20" i="105"/>
  <c r="G21" i="105"/>
  <c r="G22" i="105"/>
  <c r="G23" i="105"/>
  <c r="G24" i="105"/>
  <c r="G25" i="105"/>
  <c r="G26" i="105"/>
  <c r="G27" i="105"/>
  <c r="G28" i="105"/>
  <c r="G29" i="105"/>
  <c r="G30" i="105"/>
  <c r="G31" i="105"/>
  <c r="G32" i="105"/>
  <c r="G33" i="105"/>
  <c r="AB40" i="145"/>
  <c r="Y40" i="145"/>
  <c r="V40" i="145"/>
  <c r="S40" i="145"/>
  <c r="AB39" i="145"/>
  <c r="Y39" i="145"/>
  <c r="V39" i="145"/>
  <c r="S39" i="145"/>
  <c r="AB38" i="145"/>
  <c r="Y38" i="145"/>
  <c r="V38" i="145"/>
  <c r="S38" i="145"/>
  <c r="AB37" i="145"/>
  <c r="Y37" i="145"/>
  <c r="V37" i="145"/>
  <c r="S37" i="145"/>
  <c r="AB36" i="145"/>
  <c r="Y36" i="145"/>
  <c r="V36" i="145"/>
  <c r="S36" i="145"/>
  <c r="AB31" i="145"/>
  <c r="Y31" i="145"/>
  <c r="V31" i="145"/>
  <c r="S31" i="145"/>
  <c r="AB30" i="145"/>
  <c r="Y30" i="145"/>
  <c r="V30" i="145"/>
  <c r="S30" i="145"/>
  <c r="AB29" i="145"/>
  <c r="Y29" i="145"/>
  <c r="V29" i="145"/>
  <c r="S29" i="145"/>
  <c r="AH40" i="145"/>
  <c r="L13" i="190" l="1" a="1"/>
  <c r="L15" i="190" s="1" a="1"/>
  <c r="K43" i="86" a="1"/>
  <c r="K42" i="86" a="1"/>
  <c r="H74" i="190" a="1"/>
  <c r="H73" i="190" a="1"/>
  <c r="H71" i="190" a="1"/>
  <c r="H70" i="190" a="1"/>
  <c r="H69" i="190" a="1"/>
  <c r="H68" i="190" a="1"/>
  <c r="H63" i="190" a="1"/>
  <c r="H27" i="190" a="1"/>
  <c r="H28" i="190" a="1"/>
  <c r="H29" i="190" a="1"/>
  <c r="H30" i="190" a="1"/>
  <c r="H31" i="190" a="1"/>
  <c r="H32" i="190" a="1"/>
  <c r="H33" i="190" a="1"/>
  <c r="H34" i="190" a="1"/>
  <c r="H35" i="190" a="1"/>
  <c r="H36" i="190" a="1"/>
  <c r="H37" i="190" a="1"/>
  <c r="H38" i="190" a="1"/>
  <c r="H39" i="190" a="1"/>
  <c r="H40" i="190" a="1"/>
  <c r="H41" i="190" a="1"/>
  <c r="H43" i="190" a="1"/>
  <c r="H44" i="190" a="1"/>
  <c r="E44" i="190"/>
  <c r="E43" i="190"/>
  <c r="H26" i="190" a="1"/>
  <c r="D98" i="202" a="1"/>
  <c r="D107" i="202" s="1"/>
  <c r="M135" i="202"/>
  <c r="M136" i="202" s="1"/>
  <c r="L16" i="190" l="1" a="1"/>
  <c r="L17" i="190" a="1"/>
  <c r="AK7" i="145"/>
  <c r="D103" i="202"/>
  <c r="I98" i="202"/>
  <c r="H98" i="202"/>
  <c r="F107" i="202" l="1"/>
  <c r="C98" i="202"/>
  <c r="D26" i="145" l="1"/>
  <c r="AI24" i="145"/>
  <c r="AO24" i="145" s="1"/>
  <c r="L24" i="145"/>
  <c r="C24" i="145"/>
  <c r="D24" i="145"/>
  <c r="AT14" i="105" l="1"/>
  <c r="AR14" i="105"/>
  <c r="AP14" i="105"/>
  <c r="AN14" i="105"/>
  <c r="AL14" i="105"/>
  <c r="L84" i="190"/>
  <c r="AE94" i="190"/>
  <c r="T59" i="190" a="1"/>
  <c r="T58" i="190" a="1"/>
  <c r="K12" i="190" l="1"/>
  <c r="K13" i="190" s="1" a="1"/>
  <c r="K17" i="190" s="1" a="1"/>
  <c r="K14" i="190"/>
  <c r="Q97" i="190"/>
  <c r="Q98" i="190"/>
  <c r="Q99" i="190"/>
  <c r="Q96" i="190"/>
  <c r="L19" i="190" l="1"/>
  <c r="K19" i="190" l="1"/>
  <c r="K15" i="190"/>
  <c r="K16" i="190" s="1" a="1"/>
  <c r="U94" i="188" l="1"/>
  <c r="E94" i="188"/>
  <c r="E85" i="188"/>
  <c r="E86" i="188"/>
  <c r="E87" i="188"/>
  <c r="E88" i="188"/>
  <c r="E89" i="188"/>
  <c r="E90" i="188"/>
  <c r="E91" i="188"/>
  <c r="E92" i="188"/>
  <c r="HO9" i="27"/>
  <c r="O30" i="110"/>
  <c r="K54" i="202"/>
  <c r="HO11" i="27" l="1"/>
  <c r="HO10" i="27"/>
  <c r="HP9" i="27"/>
  <c r="P92" i="190"/>
  <c r="L92" i="190" s="1"/>
  <c r="P91" i="190"/>
  <c r="HO32" i="27" l="1"/>
  <c r="HO33" i="27"/>
  <c r="HO34" i="27"/>
  <c r="HO35" i="27"/>
  <c r="HO36" i="27"/>
  <c r="HO37" i="27"/>
  <c r="HO38" i="27"/>
  <c r="HO39" i="27"/>
  <c r="HO40" i="27"/>
  <c r="HO41" i="27"/>
  <c r="HO42" i="27"/>
  <c r="HO43" i="27"/>
  <c r="HO44" i="27"/>
  <c r="HO45" i="27"/>
  <c r="HO46" i="27"/>
  <c r="HO47" i="27"/>
  <c r="HO48" i="27"/>
  <c r="HO49" i="27"/>
  <c r="HO50" i="27"/>
  <c r="HO55" i="27"/>
  <c r="HO56" i="27"/>
  <c r="HO59" i="27"/>
  <c r="HO60" i="27"/>
  <c r="HO61" i="27"/>
  <c r="HO62" i="27"/>
  <c r="HO63" i="27"/>
  <c r="HO64" i="27"/>
  <c r="HO65" i="27"/>
  <c r="HO66" i="27"/>
  <c r="HO67" i="27"/>
  <c r="HO68" i="27"/>
  <c r="HO69" i="27"/>
  <c r="HO205" i="27"/>
  <c r="HO207" i="27"/>
  <c r="HO58" i="27"/>
  <c r="HO204" i="27"/>
  <c r="HO78" i="27"/>
  <c r="HO80" i="27"/>
  <c r="HO84" i="27"/>
  <c r="HO88" i="27"/>
  <c r="HO89" i="27"/>
  <c r="HO92" i="27"/>
  <c r="HO94" i="27"/>
  <c r="HO95" i="27"/>
  <c r="HO96" i="27"/>
  <c r="HO97" i="27"/>
  <c r="HO98" i="27"/>
  <c r="HO99" i="27"/>
  <c r="HO100" i="27"/>
  <c r="HO101" i="27"/>
  <c r="HO102" i="27"/>
  <c r="HO103" i="27"/>
  <c r="HO104" i="27"/>
  <c r="HO105" i="27"/>
  <c r="HO106" i="27"/>
  <c r="HO107" i="27"/>
  <c r="HO188" i="27"/>
  <c r="HO195" i="27"/>
  <c r="HO52" i="27"/>
  <c r="HO54" i="27"/>
  <c r="HO57" i="27"/>
  <c r="HO74" i="27"/>
  <c r="HO90" i="27"/>
  <c r="HO91" i="27"/>
  <c r="HO93" i="27"/>
  <c r="HO108" i="27"/>
  <c r="HO109" i="27"/>
  <c r="HO110" i="27"/>
  <c r="HO111" i="27"/>
  <c r="HO112" i="27"/>
  <c r="HO113" i="27"/>
  <c r="HO114" i="27"/>
  <c r="HO115" i="27"/>
  <c r="HO116" i="27"/>
  <c r="HO117" i="27"/>
  <c r="HO118" i="27"/>
  <c r="HO119" i="27"/>
  <c r="HO120" i="27"/>
  <c r="HO121" i="27"/>
  <c r="HO122" i="27"/>
  <c r="HO123" i="27"/>
  <c r="HO124" i="27"/>
  <c r="HO125" i="27"/>
  <c r="HO126" i="27"/>
  <c r="HO184" i="27"/>
  <c r="HO186" i="27"/>
  <c r="HO189" i="27"/>
  <c r="HO194" i="27"/>
  <c r="HO53" i="27"/>
  <c r="HO72" i="27"/>
  <c r="HO73" i="27"/>
  <c r="HO81" i="27"/>
  <c r="HO82" i="27"/>
  <c r="HO87" i="27"/>
  <c r="HO127" i="27"/>
  <c r="HO128" i="27"/>
  <c r="HO129" i="27"/>
  <c r="HO130" i="27"/>
  <c r="HO131" i="27"/>
  <c r="HO132" i="27"/>
  <c r="HO133" i="27"/>
  <c r="HO134" i="27"/>
  <c r="HO135" i="27"/>
  <c r="HO136" i="27"/>
  <c r="HO137" i="27"/>
  <c r="HO138" i="27"/>
  <c r="HO139" i="27"/>
  <c r="HO140" i="27"/>
  <c r="HO141" i="27"/>
  <c r="HO142" i="27"/>
  <c r="HO143" i="27"/>
  <c r="HO144" i="27"/>
  <c r="HO145" i="27"/>
  <c r="HO185" i="27"/>
  <c r="HO206" i="27"/>
  <c r="HO51" i="27"/>
  <c r="HO75" i="27"/>
  <c r="HO79" i="27"/>
  <c r="HO83" i="27"/>
  <c r="HO85" i="27"/>
  <c r="HO86" i="27"/>
  <c r="HO146" i="27"/>
  <c r="HO147" i="27"/>
  <c r="HO148" i="27"/>
  <c r="HO149" i="27"/>
  <c r="HO150" i="27"/>
  <c r="HO151" i="27"/>
  <c r="HO152" i="27"/>
  <c r="HO153" i="27"/>
  <c r="HO154" i="27"/>
  <c r="HO155" i="27"/>
  <c r="HO156" i="27"/>
  <c r="HO157" i="27"/>
  <c r="HO158" i="27"/>
  <c r="HO159" i="27"/>
  <c r="HO160" i="27"/>
  <c r="HO161" i="27"/>
  <c r="HO162" i="27"/>
  <c r="HO163" i="27"/>
  <c r="HO164" i="27"/>
  <c r="HO70" i="27"/>
  <c r="HO71" i="27"/>
  <c r="HO76" i="27"/>
  <c r="HO77" i="27"/>
  <c r="HO165" i="27"/>
  <c r="HO166" i="27"/>
  <c r="HO167" i="27"/>
  <c r="HO168" i="27"/>
  <c r="HO169" i="27"/>
  <c r="HO170" i="27"/>
  <c r="HO171" i="27"/>
  <c r="HO172" i="27"/>
  <c r="HO173" i="27"/>
  <c r="HO174" i="27"/>
  <c r="HO175" i="27"/>
  <c r="HO176" i="27"/>
  <c r="HO177" i="27"/>
  <c r="HO178" i="27"/>
  <c r="HO179" i="27"/>
  <c r="HO180" i="27"/>
  <c r="HO181" i="27"/>
  <c r="HO182" i="27"/>
  <c r="HO183" i="27"/>
  <c r="HO196" i="27"/>
  <c r="HO197" i="27"/>
  <c r="HO198" i="27"/>
  <c r="HO199" i="27"/>
  <c r="HO200" i="27"/>
  <c r="HO201" i="27"/>
  <c r="HO202" i="27"/>
  <c r="HO190" i="27"/>
  <c r="HO208" i="27"/>
  <c r="HO209" i="27"/>
  <c r="HO210" i="27"/>
  <c r="HO211" i="27"/>
  <c r="HO212" i="27"/>
  <c r="HO213" i="27"/>
  <c r="HO214" i="27"/>
  <c r="HO215" i="27"/>
  <c r="HO216" i="27"/>
  <c r="HO217" i="27"/>
  <c r="HO218" i="27"/>
  <c r="HO219" i="27"/>
  <c r="HO220" i="27"/>
  <c r="HO221" i="27"/>
  <c r="HO191" i="27"/>
  <c r="HO193" i="27"/>
  <c r="HO12" i="27"/>
  <c r="HO13" i="27"/>
  <c r="HO14" i="27"/>
  <c r="HO15" i="27"/>
  <c r="HO16" i="27"/>
  <c r="HO17" i="27"/>
  <c r="HO18" i="27"/>
  <c r="HO19" i="27"/>
  <c r="HO20" i="27"/>
  <c r="HO21" i="27"/>
  <c r="HO22" i="27"/>
  <c r="HO23" i="27"/>
  <c r="HO24" i="27"/>
  <c r="HO25" i="27"/>
  <c r="HO26" i="27"/>
  <c r="HO27" i="27"/>
  <c r="HO28" i="27"/>
  <c r="HO29" i="27"/>
  <c r="HO30" i="27"/>
  <c r="HO31" i="27"/>
  <c r="HO187" i="27"/>
  <c r="HO192" i="27"/>
  <c r="HO203" i="27"/>
  <c r="HQ9" i="27"/>
  <c r="HP10" i="27"/>
  <c r="HP11" i="27"/>
  <c r="HR9" i="27" l="1"/>
  <c r="HQ10" i="27"/>
  <c r="HQ11" i="27"/>
  <c r="HP15" i="27"/>
  <c r="HP16" i="27"/>
  <c r="HP17" i="27"/>
  <c r="HP18" i="27"/>
  <c r="HP19" i="27"/>
  <c r="HP20" i="27"/>
  <c r="HP21" i="27"/>
  <c r="HP22" i="27"/>
  <c r="HP23" i="27"/>
  <c r="HP24" i="27"/>
  <c r="HP25" i="27"/>
  <c r="HP26" i="27"/>
  <c r="HP27" i="27"/>
  <c r="HP28" i="27"/>
  <c r="HP29" i="27"/>
  <c r="HP30" i="27"/>
  <c r="HP31" i="27"/>
  <c r="HP12" i="27"/>
  <c r="HP13" i="27"/>
  <c r="HP14" i="27"/>
  <c r="HP32" i="27"/>
  <c r="HP33" i="27"/>
  <c r="HP34" i="27"/>
  <c r="HP35" i="27"/>
  <c r="HP36" i="27"/>
  <c r="HP37" i="27"/>
  <c r="HP38" i="27"/>
  <c r="HP39" i="27"/>
  <c r="HP40" i="27"/>
  <c r="HP41" i="27"/>
  <c r="HP42" i="27"/>
  <c r="HP43" i="27"/>
  <c r="HP44" i="27"/>
  <c r="HP45" i="27"/>
  <c r="HP46" i="27"/>
  <c r="HP47" i="27"/>
  <c r="HP48" i="27"/>
  <c r="HP49" i="27"/>
  <c r="HP50" i="27"/>
  <c r="HP186" i="27"/>
  <c r="HP194" i="27"/>
  <c r="HP51" i="27"/>
  <c r="HP59" i="27"/>
  <c r="HP60" i="27"/>
  <c r="HP61" i="27"/>
  <c r="HP62" i="27"/>
  <c r="HP63" i="27"/>
  <c r="HP64" i="27"/>
  <c r="HP65" i="27"/>
  <c r="HP66" i="27"/>
  <c r="HP67" i="27"/>
  <c r="HP68" i="27"/>
  <c r="HP69" i="27"/>
  <c r="HP193" i="27"/>
  <c r="HP206" i="27"/>
  <c r="HP191" i="27"/>
  <c r="HP55" i="27"/>
  <c r="HP73" i="27"/>
  <c r="HP75" i="27"/>
  <c r="HP77" i="27"/>
  <c r="HP81" i="27"/>
  <c r="HP85" i="27"/>
  <c r="HP87" i="27"/>
  <c r="HP90" i="27"/>
  <c r="HP91" i="27"/>
  <c r="HP93" i="27"/>
  <c r="HP94" i="27"/>
  <c r="HP95" i="27"/>
  <c r="HP96" i="27"/>
  <c r="HP97" i="27"/>
  <c r="HP98" i="27"/>
  <c r="HP99" i="27"/>
  <c r="HP100" i="27"/>
  <c r="HP101" i="27"/>
  <c r="HP102" i="27"/>
  <c r="HP103" i="27"/>
  <c r="HP104" i="27"/>
  <c r="HP105" i="27"/>
  <c r="HP106" i="27"/>
  <c r="HP107" i="27"/>
  <c r="HP184" i="27"/>
  <c r="HP192" i="27"/>
  <c r="HP76" i="27"/>
  <c r="HP83" i="27"/>
  <c r="HP84" i="27"/>
  <c r="HP86" i="27"/>
  <c r="HP89" i="27"/>
  <c r="HP92" i="27"/>
  <c r="HP108" i="27"/>
  <c r="HP109" i="27"/>
  <c r="HP110" i="27"/>
  <c r="HP111" i="27"/>
  <c r="HP112" i="27"/>
  <c r="HP113" i="27"/>
  <c r="HP114" i="27"/>
  <c r="HP115" i="27"/>
  <c r="HP116" i="27"/>
  <c r="HP117" i="27"/>
  <c r="HP118" i="27"/>
  <c r="HP119" i="27"/>
  <c r="HP120" i="27"/>
  <c r="HP121" i="27"/>
  <c r="HP122" i="27"/>
  <c r="HP123" i="27"/>
  <c r="HP124" i="27"/>
  <c r="HP125" i="27"/>
  <c r="HP126" i="27"/>
  <c r="HP58" i="27"/>
  <c r="HP71" i="27"/>
  <c r="HP79" i="27"/>
  <c r="HP127" i="27"/>
  <c r="HP128" i="27"/>
  <c r="HP129" i="27"/>
  <c r="HP130" i="27"/>
  <c r="HP131" i="27"/>
  <c r="HP132" i="27"/>
  <c r="HP133" i="27"/>
  <c r="HP134" i="27"/>
  <c r="HP135" i="27"/>
  <c r="HP136" i="27"/>
  <c r="HP137" i="27"/>
  <c r="HP138" i="27"/>
  <c r="HP139" i="27"/>
  <c r="HP140" i="27"/>
  <c r="HP141" i="27"/>
  <c r="HP142" i="27"/>
  <c r="HP143" i="27"/>
  <c r="HP144" i="27"/>
  <c r="HP145" i="27"/>
  <c r="HP190" i="27"/>
  <c r="HP204" i="27"/>
  <c r="HP207" i="27"/>
  <c r="HP54" i="27"/>
  <c r="HP56" i="27"/>
  <c r="HP70" i="27"/>
  <c r="HP72" i="27"/>
  <c r="HP78" i="27"/>
  <c r="HP82" i="27"/>
  <c r="HP147" i="27"/>
  <c r="HP148" i="27"/>
  <c r="HP149" i="27"/>
  <c r="HP150" i="27"/>
  <c r="HP151" i="27"/>
  <c r="HP152" i="27"/>
  <c r="HP153" i="27"/>
  <c r="HP154" i="27"/>
  <c r="HP155" i="27"/>
  <c r="HP156" i="27"/>
  <c r="HP157" i="27"/>
  <c r="HP158" i="27"/>
  <c r="HP159" i="27"/>
  <c r="HP160" i="27"/>
  <c r="HP161" i="27"/>
  <c r="HP162" i="27"/>
  <c r="HP163" i="27"/>
  <c r="HP164" i="27"/>
  <c r="HP188" i="27"/>
  <c r="HP203" i="27"/>
  <c r="HP52" i="27"/>
  <c r="HP53" i="27"/>
  <c r="HP57" i="27"/>
  <c r="HP74" i="27"/>
  <c r="HP80" i="27"/>
  <c r="HP88" i="27"/>
  <c r="HP146" i="27"/>
  <c r="HP165" i="27"/>
  <c r="HP166" i="27"/>
  <c r="HP167" i="27"/>
  <c r="HP168" i="27"/>
  <c r="HP169" i="27"/>
  <c r="HP170" i="27"/>
  <c r="HP171" i="27"/>
  <c r="HP172" i="27"/>
  <c r="HP173" i="27"/>
  <c r="HP174" i="27"/>
  <c r="HP175" i="27"/>
  <c r="HP176" i="27"/>
  <c r="HP177" i="27"/>
  <c r="HP178" i="27"/>
  <c r="HP179" i="27"/>
  <c r="HP180" i="27"/>
  <c r="HP181" i="27"/>
  <c r="HP182" i="27"/>
  <c r="HP183" i="27"/>
  <c r="HP195" i="27"/>
  <c r="HP196" i="27"/>
  <c r="HP197" i="27"/>
  <c r="HP198" i="27"/>
  <c r="HP199" i="27"/>
  <c r="HP200" i="27"/>
  <c r="HP201" i="27"/>
  <c r="HP202" i="27"/>
  <c r="HP208" i="27"/>
  <c r="HP209" i="27"/>
  <c r="HP210" i="27"/>
  <c r="HP211" i="27"/>
  <c r="HP212" i="27"/>
  <c r="HP213" i="27"/>
  <c r="HP214" i="27"/>
  <c r="HP215" i="27"/>
  <c r="HP216" i="27"/>
  <c r="HP217" i="27"/>
  <c r="HP218" i="27"/>
  <c r="HP219" i="27"/>
  <c r="HP220" i="27"/>
  <c r="HP221" i="27"/>
  <c r="HP185" i="27"/>
  <c r="HP187" i="27"/>
  <c r="HP189" i="27"/>
  <c r="HP205" i="27"/>
  <c r="HO7" i="27"/>
  <c r="L23" i="151"/>
  <c r="K23" i="151"/>
  <c r="J23" i="151"/>
  <c r="I23" i="151"/>
  <c r="H23" i="151"/>
  <c r="G23" i="151"/>
  <c r="F23" i="151"/>
  <c r="E23" i="151"/>
  <c r="D23" i="151"/>
  <c r="C23" i="151"/>
  <c r="HR10" i="27" l="1"/>
  <c r="HR11" i="27"/>
  <c r="HS9" i="27"/>
  <c r="HQ32" i="27"/>
  <c r="HQ33" i="27"/>
  <c r="HQ34" i="27"/>
  <c r="HQ35" i="27"/>
  <c r="HQ36" i="27"/>
  <c r="HQ37" i="27"/>
  <c r="HQ38" i="27"/>
  <c r="HQ39" i="27"/>
  <c r="HQ40" i="27"/>
  <c r="HQ41" i="27"/>
  <c r="HQ42" i="27"/>
  <c r="HQ43" i="27"/>
  <c r="HQ44" i="27"/>
  <c r="HQ45" i="27"/>
  <c r="HQ46" i="27"/>
  <c r="HQ47" i="27"/>
  <c r="HQ48" i="27"/>
  <c r="HQ49" i="27"/>
  <c r="HQ50" i="27"/>
  <c r="HQ188" i="27"/>
  <c r="HQ52" i="27"/>
  <c r="HQ59" i="27"/>
  <c r="HQ60" i="27"/>
  <c r="HQ61" i="27"/>
  <c r="HQ62" i="27"/>
  <c r="HQ63" i="27"/>
  <c r="HQ64" i="27"/>
  <c r="HQ65" i="27"/>
  <c r="HQ66" i="27"/>
  <c r="HQ67" i="27"/>
  <c r="HQ68" i="27"/>
  <c r="HQ69" i="27"/>
  <c r="HQ190" i="27"/>
  <c r="HQ203" i="27"/>
  <c r="HQ206" i="27"/>
  <c r="HQ72" i="27"/>
  <c r="HQ76" i="27"/>
  <c r="HQ94" i="27"/>
  <c r="HQ95" i="27"/>
  <c r="HQ96" i="27"/>
  <c r="HQ97" i="27"/>
  <c r="HQ98" i="27"/>
  <c r="HQ99" i="27"/>
  <c r="HQ100" i="27"/>
  <c r="HQ101" i="27"/>
  <c r="HQ102" i="27"/>
  <c r="HQ103" i="27"/>
  <c r="HQ104" i="27"/>
  <c r="HQ105" i="27"/>
  <c r="HQ106" i="27"/>
  <c r="HQ107" i="27"/>
  <c r="HQ56" i="27"/>
  <c r="HQ58" i="27"/>
  <c r="HQ71" i="27"/>
  <c r="HQ73" i="27"/>
  <c r="HQ75" i="27"/>
  <c r="HQ78" i="27"/>
  <c r="HQ81" i="27"/>
  <c r="HQ82" i="27"/>
  <c r="HQ88" i="27"/>
  <c r="HQ93" i="27"/>
  <c r="HQ108" i="27"/>
  <c r="HQ109" i="27"/>
  <c r="HQ110" i="27"/>
  <c r="HQ111" i="27"/>
  <c r="HQ112" i="27"/>
  <c r="HQ113" i="27"/>
  <c r="HQ114" i="27"/>
  <c r="HQ115" i="27"/>
  <c r="HQ116" i="27"/>
  <c r="HQ117" i="27"/>
  <c r="HQ118" i="27"/>
  <c r="HQ119" i="27"/>
  <c r="HQ120" i="27"/>
  <c r="HQ121" i="27"/>
  <c r="HQ122" i="27"/>
  <c r="HQ123" i="27"/>
  <c r="HQ124" i="27"/>
  <c r="HQ125" i="27"/>
  <c r="HQ126" i="27"/>
  <c r="HQ191" i="27"/>
  <c r="HQ53" i="27"/>
  <c r="HQ54" i="27"/>
  <c r="HQ55" i="27"/>
  <c r="HQ57" i="27"/>
  <c r="HQ70" i="27"/>
  <c r="HQ80" i="27"/>
  <c r="HQ83" i="27"/>
  <c r="HQ84" i="27"/>
  <c r="HQ90" i="27"/>
  <c r="HQ91" i="27"/>
  <c r="HQ92" i="27"/>
  <c r="HQ127" i="27"/>
  <c r="HQ128" i="27"/>
  <c r="HQ129" i="27"/>
  <c r="HQ130" i="27"/>
  <c r="HQ131" i="27"/>
  <c r="HQ132" i="27"/>
  <c r="HQ133" i="27"/>
  <c r="HQ134" i="27"/>
  <c r="HQ135" i="27"/>
  <c r="HQ136" i="27"/>
  <c r="HQ137" i="27"/>
  <c r="HQ138" i="27"/>
  <c r="HQ139" i="27"/>
  <c r="HQ140" i="27"/>
  <c r="HQ141" i="27"/>
  <c r="HQ142" i="27"/>
  <c r="HQ143" i="27"/>
  <c r="HQ144" i="27"/>
  <c r="HQ145" i="27"/>
  <c r="HQ187" i="27"/>
  <c r="HQ207" i="27"/>
  <c r="HQ74" i="27"/>
  <c r="HQ77" i="27"/>
  <c r="HQ89" i="27"/>
  <c r="HQ146" i="27"/>
  <c r="HQ147" i="27"/>
  <c r="HQ148" i="27"/>
  <c r="HQ149" i="27"/>
  <c r="HQ150" i="27"/>
  <c r="HQ151" i="27"/>
  <c r="HQ152" i="27"/>
  <c r="HQ153" i="27"/>
  <c r="HQ154" i="27"/>
  <c r="HQ155" i="27"/>
  <c r="HQ156" i="27"/>
  <c r="HQ157" i="27"/>
  <c r="HQ158" i="27"/>
  <c r="HQ159" i="27"/>
  <c r="HQ160" i="27"/>
  <c r="HQ161" i="27"/>
  <c r="HQ162" i="27"/>
  <c r="HQ163" i="27"/>
  <c r="HQ164" i="27"/>
  <c r="HQ51" i="27"/>
  <c r="HQ79" i="27"/>
  <c r="HQ85" i="27"/>
  <c r="HQ86" i="27"/>
  <c r="HQ87" i="27"/>
  <c r="HQ165" i="27"/>
  <c r="HQ166" i="27"/>
  <c r="HQ167" i="27"/>
  <c r="HQ168" i="27"/>
  <c r="HQ169" i="27"/>
  <c r="HQ170" i="27"/>
  <c r="HQ171" i="27"/>
  <c r="HQ172" i="27"/>
  <c r="HQ173" i="27"/>
  <c r="HQ174" i="27"/>
  <c r="HQ175" i="27"/>
  <c r="HQ176" i="27"/>
  <c r="HQ177" i="27"/>
  <c r="HQ178" i="27"/>
  <c r="HQ179" i="27"/>
  <c r="HQ180" i="27"/>
  <c r="HQ181" i="27"/>
  <c r="HQ182" i="27"/>
  <c r="HQ183" i="27"/>
  <c r="HQ193" i="27"/>
  <c r="HQ195" i="27"/>
  <c r="HQ196" i="27"/>
  <c r="HQ197" i="27"/>
  <c r="HQ198" i="27"/>
  <c r="HQ199" i="27"/>
  <c r="HQ200" i="27"/>
  <c r="HQ201" i="27"/>
  <c r="HQ202" i="27"/>
  <c r="HQ185" i="27"/>
  <c r="HQ186" i="27"/>
  <c r="HQ192" i="27"/>
  <c r="HQ194" i="27"/>
  <c r="HQ204" i="27"/>
  <c r="HQ208" i="27"/>
  <c r="HQ209" i="27"/>
  <c r="HQ210" i="27"/>
  <c r="HQ211" i="27"/>
  <c r="HQ212" i="27"/>
  <c r="HQ213" i="27"/>
  <c r="HQ214" i="27"/>
  <c r="HQ215" i="27"/>
  <c r="HQ216" i="27"/>
  <c r="HQ217" i="27"/>
  <c r="HQ218" i="27"/>
  <c r="HQ219" i="27"/>
  <c r="HQ220" i="27"/>
  <c r="HQ221" i="27"/>
  <c r="HQ12" i="27"/>
  <c r="HQ13" i="27"/>
  <c r="HQ14" i="27"/>
  <c r="HQ15" i="27"/>
  <c r="HQ16" i="27"/>
  <c r="HQ17" i="27"/>
  <c r="HQ18" i="27"/>
  <c r="HQ19" i="27"/>
  <c r="HQ20" i="27"/>
  <c r="HQ21" i="27"/>
  <c r="HQ22" i="27"/>
  <c r="HQ23" i="27"/>
  <c r="HQ24" i="27"/>
  <c r="HQ25" i="27"/>
  <c r="HQ26" i="27"/>
  <c r="HQ27" i="27"/>
  <c r="HQ28" i="27"/>
  <c r="HQ29" i="27"/>
  <c r="HQ30" i="27"/>
  <c r="HQ31" i="27"/>
  <c r="HQ184" i="27"/>
  <c r="HQ189" i="27"/>
  <c r="HQ205" i="27"/>
  <c r="HP7" i="27"/>
  <c r="C40" i="153"/>
  <c r="C31" i="153"/>
  <c r="Q37" i="105"/>
  <c r="AH37" i="105"/>
  <c r="AK37" i="105"/>
  <c r="Q38" i="105"/>
  <c r="AH38" i="105"/>
  <c r="AK38" i="105"/>
  <c r="Q39" i="105"/>
  <c r="AH39" i="105"/>
  <c r="AK39" i="105"/>
  <c r="Q40" i="105"/>
  <c r="AH40" i="105"/>
  <c r="AK40" i="105"/>
  <c r="Q41" i="105"/>
  <c r="AH41" i="105"/>
  <c r="AK41" i="105"/>
  <c r="Q42" i="105"/>
  <c r="AH42" i="105"/>
  <c r="AK42" i="105"/>
  <c r="Q43" i="105"/>
  <c r="AH43" i="105"/>
  <c r="AK43" i="105"/>
  <c r="Q44" i="105"/>
  <c r="AH44" i="105"/>
  <c r="AK44" i="105"/>
  <c r="Q45" i="105"/>
  <c r="AH45" i="105"/>
  <c r="AK45" i="105"/>
  <c r="Q46" i="105"/>
  <c r="AH46" i="105"/>
  <c r="AK46" i="105"/>
  <c r="Q47" i="105"/>
  <c r="AH47" i="105"/>
  <c r="AK47" i="105"/>
  <c r="Q48" i="105"/>
  <c r="AH48" i="105"/>
  <c r="AK48" i="105"/>
  <c r="Q49" i="105"/>
  <c r="AH49" i="105"/>
  <c r="AK49" i="105"/>
  <c r="Q50" i="105"/>
  <c r="AH50" i="105"/>
  <c r="AK50" i="105"/>
  <c r="Q51" i="105"/>
  <c r="AH51" i="105"/>
  <c r="AK51" i="105"/>
  <c r="Q52" i="105"/>
  <c r="AH52" i="105"/>
  <c r="AK52" i="105"/>
  <c r="Q53" i="105"/>
  <c r="AH53" i="105"/>
  <c r="AK53" i="105"/>
  <c r="Q54" i="105"/>
  <c r="AH54" i="105"/>
  <c r="AK54" i="105"/>
  <c r="Q55" i="105"/>
  <c r="AH55" i="105"/>
  <c r="AK55" i="105"/>
  <c r="Q56" i="105"/>
  <c r="AH56" i="105"/>
  <c r="AK56" i="105"/>
  <c r="Q57" i="105"/>
  <c r="AH57" i="105"/>
  <c r="AK57" i="105"/>
  <c r="Q58" i="105"/>
  <c r="AH58" i="105"/>
  <c r="AK58" i="105"/>
  <c r="Q59" i="105"/>
  <c r="AH59" i="105"/>
  <c r="AK59" i="105"/>
  <c r="Q60" i="105"/>
  <c r="AH60" i="105"/>
  <c r="AK60" i="105"/>
  <c r="Q61" i="105"/>
  <c r="AH61" i="105"/>
  <c r="AK61" i="105"/>
  <c r="Q62" i="105"/>
  <c r="AH62" i="105"/>
  <c r="AK62" i="105"/>
  <c r="Q63" i="105"/>
  <c r="AH63" i="105"/>
  <c r="AK63" i="105"/>
  <c r="Q64" i="105"/>
  <c r="AH64" i="105"/>
  <c r="AK64" i="105"/>
  <c r="Q65" i="105"/>
  <c r="AH65" i="105"/>
  <c r="AK65" i="105"/>
  <c r="Q66" i="105"/>
  <c r="AH66" i="105"/>
  <c r="AK66" i="105"/>
  <c r="Q67" i="105"/>
  <c r="AH67" i="105"/>
  <c r="AK67" i="105"/>
  <c r="Q68" i="105"/>
  <c r="AH68" i="105"/>
  <c r="AK68" i="105"/>
  <c r="Q69" i="105"/>
  <c r="AH69" i="105"/>
  <c r="AK69" i="105"/>
  <c r="Q70" i="105"/>
  <c r="AH70" i="105"/>
  <c r="AK70" i="105"/>
  <c r="Q71" i="105"/>
  <c r="AH71" i="105"/>
  <c r="AK71" i="105"/>
  <c r="Q72" i="105"/>
  <c r="AH72" i="105"/>
  <c r="AK72" i="105"/>
  <c r="Q73" i="105"/>
  <c r="AH73" i="105"/>
  <c r="AK73" i="105"/>
  <c r="G11" i="75"/>
  <c r="G12" i="75"/>
  <c r="G13" i="75"/>
  <c r="M98" i="190"/>
  <c r="AK18" i="105"/>
  <c r="AK19" i="105"/>
  <c r="AK20" i="105"/>
  <c r="AK21" i="105"/>
  <c r="AK22" i="105"/>
  <c r="AK23" i="105"/>
  <c r="AK24" i="105"/>
  <c r="AK25" i="105"/>
  <c r="AK26" i="105"/>
  <c r="AK27" i="105"/>
  <c r="AK28" i="105"/>
  <c r="AK29" i="105"/>
  <c r="AK30" i="105"/>
  <c r="AK31" i="105"/>
  <c r="AK32" i="105"/>
  <c r="AK33" i="105"/>
  <c r="AK34" i="105"/>
  <c r="AK35" i="105"/>
  <c r="AK36" i="105"/>
  <c r="C267" i="85"/>
  <c r="C268" i="85"/>
  <c r="C269" i="85"/>
  <c r="C270" i="85"/>
  <c r="C271" i="85"/>
  <c r="C272" i="85"/>
  <c r="C273" i="85"/>
  <c r="C274" i="85"/>
  <c r="C275" i="85"/>
  <c r="C276" i="85"/>
  <c r="C277" i="85"/>
  <c r="C278" i="85"/>
  <c r="C279" i="85"/>
  <c r="C280" i="85"/>
  <c r="C281" i="85"/>
  <c r="C282" i="85"/>
  <c r="C283" i="85"/>
  <c r="C284" i="85"/>
  <c r="C285" i="85"/>
  <c r="C286" i="85"/>
  <c r="C287" i="85"/>
  <c r="C288" i="85"/>
  <c r="F288" i="85" s="1"/>
  <c r="AJ288" i="85" s="1" a="1"/>
  <c r="C289" i="85"/>
  <c r="C290" i="85"/>
  <c r="C291" i="85"/>
  <c r="C292" i="85"/>
  <c r="G292" i="85" s="1"/>
  <c r="C293" i="85"/>
  <c r="C294" i="85"/>
  <c r="C295" i="85"/>
  <c r="C296" i="85"/>
  <c r="C297" i="85"/>
  <c r="C298" i="85"/>
  <c r="C299" i="85"/>
  <c r="C300" i="85"/>
  <c r="C301" i="85"/>
  <c r="C302" i="85"/>
  <c r="C303" i="85"/>
  <c r="C304" i="85"/>
  <c r="C305" i="85"/>
  <c r="C306" i="85"/>
  <c r="C307" i="85"/>
  <c r="C308" i="85"/>
  <c r="C309" i="85"/>
  <c r="C310" i="85"/>
  <c r="C311" i="85"/>
  <c r="C312" i="85"/>
  <c r="C313" i="85"/>
  <c r="F313" i="85" s="1"/>
  <c r="AJ313" i="85" s="1" a="1"/>
  <c r="E313" i="85"/>
  <c r="G313" i="85"/>
  <c r="C314" i="85"/>
  <c r="B314" i="85" s="1"/>
  <c r="D314" i="85"/>
  <c r="E314" i="85"/>
  <c r="F314" i="85"/>
  <c r="AJ314" i="85" s="1" a="1"/>
  <c r="G314" i="85"/>
  <c r="C315" i="85"/>
  <c r="F315" i="85"/>
  <c r="AJ315" i="85" s="1" a="1"/>
  <c r="G315" i="85"/>
  <c r="C316" i="85"/>
  <c r="G316" i="85" s="1"/>
  <c r="C317" i="85"/>
  <c r="F317" i="85"/>
  <c r="AJ317" i="85" s="1" a="1"/>
  <c r="G317" i="85"/>
  <c r="AK53" i="85"/>
  <c r="AA1" i="189"/>
  <c r="AB1" i="189" s="1"/>
  <c r="P51" i="85"/>
  <c r="Q51" i="85"/>
  <c r="R51" i="85"/>
  <c r="S51" i="85"/>
  <c r="T51" i="85"/>
  <c r="U51" i="85"/>
  <c r="U54" i="85" s="1"/>
  <c r="AW54" i="85" s="1"/>
  <c r="O51" i="85"/>
  <c r="A216" i="189"/>
  <c r="B216" i="189"/>
  <c r="A217" i="189"/>
  <c r="B217" i="189"/>
  <c r="A218" i="189"/>
  <c r="B218" i="189"/>
  <c r="A219" i="189"/>
  <c r="B219" i="189"/>
  <c r="A220" i="189"/>
  <c r="B220" i="189"/>
  <c r="A221" i="189"/>
  <c r="B221" i="189"/>
  <c r="A222" i="189"/>
  <c r="B222" i="189"/>
  <c r="A223" i="189"/>
  <c r="B223" i="189"/>
  <c r="A224" i="189"/>
  <c r="B224" i="189"/>
  <c r="A225" i="189"/>
  <c r="B225" i="189"/>
  <c r="A226" i="189"/>
  <c r="B226" i="189"/>
  <c r="A227" i="189"/>
  <c r="B227" i="189"/>
  <c r="A228" i="189"/>
  <c r="B228" i="189"/>
  <c r="A229" i="189"/>
  <c r="B229" i="189"/>
  <c r="A230" i="189"/>
  <c r="B230" i="189"/>
  <c r="A231" i="189"/>
  <c r="B231" i="189"/>
  <c r="A232" i="189"/>
  <c r="B232" i="189"/>
  <c r="A233" i="189"/>
  <c r="B233" i="189"/>
  <c r="B234" i="189" s="1"/>
  <c r="B235" i="189" s="1"/>
  <c r="B236" i="189" s="1"/>
  <c r="B237" i="189" s="1"/>
  <c r="B238" i="189" s="1"/>
  <c r="B239" i="189" s="1"/>
  <c r="B240" i="189" s="1"/>
  <c r="B241" i="189" s="1"/>
  <c r="B242" i="189" s="1"/>
  <c r="B243" i="189" s="1"/>
  <c r="B244" i="189" s="1"/>
  <c r="B245" i="189" s="1"/>
  <c r="B246" i="189" s="1"/>
  <c r="B247" i="189" s="1"/>
  <c r="B248" i="189" s="1"/>
  <c r="B249" i="189" s="1"/>
  <c r="B250" i="189" s="1"/>
  <c r="B251" i="189" s="1"/>
  <c r="B252" i="189" s="1"/>
  <c r="B253" i="189" s="1"/>
  <c r="B254" i="189" s="1"/>
  <c r="B255" i="189" s="1"/>
  <c r="B256" i="189" s="1"/>
  <c r="B257" i="189" s="1"/>
  <c r="B258" i="189" s="1"/>
  <c r="B259" i="189" s="1"/>
  <c r="B260" i="189" s="1"/>
  <c r="B261" i="189" s="1"/>
  <c r="B262" i="189" s="1"/>
  <c r="B263" i="189" s="1"/>
  <c r="B264" i="189" s="1"/>
  <c r="B265" i="189" s="1"/>
  <c r="B266" i="189" s="1"/>
  <c r="A234" i="189"/>
  <c r="A235" i="189"/>
  <c r="A236" i="189"/>
  <c r="A237" i="189"/>
  <c r="A238" i="189"/>
  <c r="A239" i="189"/>
  <c r="A240" i="189"/>
  <c r="A241" i="189" s="1"/>
  <c r="A242" i="189" s="1"/>
  <c r="A243" i="189" s="1"/>
  <c r="A244" i="189" s="1"/>
  <c r="A245" i="189" s="1"/>
  <c r="A246" i="189" s="1"/>
  <c r="A247" i="189" s="1"/>
  <c r="A248" i="189" s="1"/>
  <c r="A249" i="189" s="1"/>
  <c r="A250" i="189" s="1"/>
  <c r="A251" i="189" s="1"/>
  <c r="A252" i="189" s="1"/>
  <c r="A253" i="189" s="1"/>
  <c r="A254" i="189" s="1"/>
  <c r="A255" i="189" s="1"/>
  <c r="A256" i="189" s="1"/>
  <c r="A257" i="189" s="1"/>
  <c r="A258" i="189" s="1"/>
  <c r="A259" i="189" s="1"/>
  <c r="A260" i="189" s="1"/>
  <c r="A261" i="189" s="1"/>
  <c r="A262" i="189" s="1"/>
  <c r="A263" i="189" s="1"/>
  <c r="A264" i="189" s="1"/>
  <c r="A265" i="189" s="1"/>
  <c r="A266" i="189" s="1"/>
  <c r="AG154" i="213"/>
  <c r="AG118" i="213"/>
  <c r="AG117" i="213"/>
  <c r="AG116" i="213"/>
  <c r="AG115" i="213"/>
  <c r="AG114" i="213"/>
  <c r="AG113" i="213"/>
  <c r="AG110" i="213"/>
  <c r="AG109" i="213"/>
  <c r="AG108" i="213"/>
  <c r="AG107" i="213"/>
  <c r="AG106" i="213"/>
  <c r="AG105" i="213"/>
  <c r="AG104" i="213"/>
  <c r="AG103" i="213"/>
  <c r="AG102" i="213"/>
  <c r="AG101" i="213"/>
  <c r="AG100" i="213"/>
  <c r="AG99" i="213"/>
  <c r="AG98" i="213"/>
  <c r="AG97" i="213"/>
  <c r="AG96" i="213"/>
  <c r="AG95" i="213"/>
  <c r="AG94" i="213"/>
  <c r="AG93" i="213"/>
  <c r="AG92" i="213"/>
  <c r="AG91" i="213"/>
  <c r="AG90" i="213"/>
  <c r="AG89" i="213"/>
  <c r="AG88" i="213"/>
  <c r="AG87" i="213"/>
  <c r="AG86" i="213"/>
  <c r="AG85" i="213"/>
  <c r="AG84" i="213"/>
  <c r="AG83" i="213"/>
  <c r="AG82" i="213"/>
  <c r="AG81" i="213"/>
  <c r="AG80" i="213"/>
  <c r="AG79" i="213"/>
  <c r="AG78" i="213"/>
  <c r="AG77" i="213"/>
  <c r="AG76" i="213"/>
  <c r="AG75" i="213"/>
  <c r="AG74" i="213"/>
  <c r="AG73" i="213"/>
  <c r="AG72" i="213"/>
  <c r="AG71" i="213"/>
  <c r="AG70" i="213"/>
  <c r="AG69" i="213"/>
  <c r="AG68" i="213"/>
  <c r="AG67" i="213"/>
  <c r="AG66" i="213"/>
  <c r="AG65" i="213"/>
  <c r="AG64" i="213"/>
  <c r="AG63" i="213"/>
  <c r="AG62" i="213"/>
  <c r="AG61" i="213"/>
  <c r="AG60" i="213"/>
  <c r="AG59" i="213"/>
  <c r="AG58" i="213"/>
  <c r="AG57" i="213"/>
  <c r="AG56" i="213"/>
  <c r="AG55" i="213"/>
  <c r="AG54" i="213"/>
  <c r="AG53" i="213"/>
  <c r="AG52" i="213"/>
  <c r="AG51" i="213"/>
  <c r="AG50" i="213"/>
  <c r="AG49" i="213"/>
  <c r="AG48" i="213"/>
  <c r="AG47" i="213"/>
  <c r="AG46" i="213"/>
  <c r="AG45" i="213"/>
  <c r="AG44" i="213"/>
  <c r="AG43" i="213"/>
  <c r="AG42" i="213"/>
  <c r="AG41" i="213"/>
  <c r="AG40" i="213"/>
  <c r="AG39" i="213"/>
  <c r="AG38" i="213"/>
  <c r="AG37" i="213"/>
  <c r="AG36" i="213"/>
  <c r="AG35" i="213"/>
  <c r="AG34" i="213"/>
  <c r="AG33" i="213"/>
  <c r="AG32" i="213"/>
  <c r="AG31" i="213"/>
  <c r="AG30" i="213"/>
  <c r="AG29" i="213"/>
  <c r="AG28" i="213"/>
  <c r="AG27" i="213"/>
  <c r="AG26" i="213"/>
  <c r="AG25" i="213"/>
  <c r="AG24" i="213"/>
  <c r="AG23" i="213"/>
  <c r="AG22" i="213"/>
  <c r="AG21" i="213"/>
  <c r="AG20" i="213"/>
  <c r="AG19" i="213"/>
  <c r="AG18" i="213"/>
  <c r="AG17" i="213"/>
  <c r="AB154" i="213"/>
  <c r="AB118" i="213"/>
  <c r="AB117" i="213"/>
  <c r="AB116" i="213"/>
  <c r="AB115" i="213"/>
  <c r="AB114" i="213"/>
  <c r="AB113" i="213"/>
  <c r="AB110" i="213"/>
  <c r="AB109" i="213"/>
  <c r="AB108" i="213"/>
  <c r="AB107" i="213"/>
  <c r="AB106" i="213"/>
  <c r="AB105" i="213"/>
  <c r="AB104" i="213"/>
  <c r="AB103" i="213"/>
  <c r="AB102" i="213"/>
  <c r="AB101" i="213"/>
  <c r="AB100" i="213"/>
  <c r="AB99" i="213"/>
  <c r="AB98" i="213"/>
  <c r="AB97" i="213"/>
  <c r="AB96" i="213"/>
  <c r="AB95" i="213"/>
  <c r="AB94" i="213"/>
  <c r="AB93" i="213"/>
  <c r="AB92" i="213"/>
  <c r="AB91" i="213"/>
  <c r="AB90" i="213"/>
  <c r="AB89" i="213"/>
  <c r="AB88" i="213"/>
  <c r="AB87" i="213"/>
  <c r="AB86" i="213"/>
  <c r="AB85" i="213"/>
  <c r="AB84" i="213"/>
  <c r="AB83" i="213"/>
  <c r="AB82" i="213"/>
  <c r="AB81" i="213"/>
  <c r="AB80" i="213"/>
  <c r="AB79" i="213"/>
  <c r="AB78" i="213"/>
  <c r="AB77" i="213"/>
  <c r="AB76" i="213"/>
  <c r="AB75" i="213"/>
  <c r="AB74" i="213"/>
  <c r="AB73" i="213"/>
  <c r="AB72" i="213"/>
  <c r="AB71" i="213"/>
  <c r="AB70" i="213"/>
  <c r="AB69" i="213"/>
  <c r="AB68" i="213"/>
  <c r="AB67" i="213"/>
  <c r="AB66" i="213"/>
  <c r="AB65" i="213"/>
  <c r="AB64" i="213"/>
  <c r="AB63" i="213"/>
  <c r="AB62" i="213"/>
  <c r="AB61" i="213"/>
  <c r="AB60" i="213"/>
  <c r="AB59" i="213"/>
  <c r="AB58" i="213"/>
  <c r="AB57" i="213"/>
  <c r="AB56" i="213"/>
  <c r="AB55" i="213"/>
  <c r="AB54" i="213"/>
  <c r="AB53" i="213"/>
  <c r="AB52" i="213"/>
  <c r="AB51" i="213"/>
  <c r="AB50" i="213"/>
  <c r="AB49" i="213"/>
  <c r="AB48" i="213"/>
  <c r="AB47" i="213"/>
  <c r="AB46" i="213"/>
  <c r="AB45" i="213"/>
  <c r="AB44" i="213"/>
  <c r="AB43" i="213"/>
  <c r="AB42" i="213"/>
  <c r="AB41" i="213"/>
  <c r="AB40" i="213"/>
  <c r="AB39" i="213"/>
  <c r="AB38" i="213"/>
  <c r="AB37" i="213"/>
  <c r="AB36" i="213"/>
  <c r="AB35" i="213"/>
  <c r="AB34" i="213"/>
  <c r="AB33" i="213"/>
  <c r="AB32" i="213"/>
  <c r="AB31" i="213"/>
  <c r="AB30" i="213"/>
  <c r="AB29" i="213"/>
  <c r="AB28" i="213"/>
  <c r="AB27" i="213"/>
  <c r="AB26" i="213"/>
  <c r="AB25" i="213"/>
  <c r="AB24" i="213"/>
  <c r="AB23" i="213"/>
  <c r="AB22" i="213"/>
  <c r="AB21" i="213"/>
  <c r="AB20" i="213"/>
  <c r="AB19" i="213"/>
  <c r="AB18" i="213"/>
  <c r="AB17" i="213"/>
  <c r="AB16" i="213"/>
  <c r="AB15" i="213"/>
  <c r="AB14" i="213"/>
  <c r="AB13" i="213"/>
  <c r="AB12" i="213"/>
  <c r="AB11" i="213"/>
  <c r="AB10" i="213"/>
  <c r="AB9" i="213"/>
  <c r="AB8" i="213"/>
  <c r="AB7" i="213"/>
  <c r="AB6" i="213"/>
  <c r="AB5" i="213"/>
  <c r="AB4" i="213"/>
  <c r="AA154" i="213"/>
  <c r="AA118" i="213"/>
  <c r="AA117" i="213"/>
  <c r="AA116" i="213"/>
  <c r="AA115" i="213"/>
  <c r="AA114" i="213"/>
  <c r="AA113" i="213"/>
  <c r="AA110" i="213"/>
  <c r="AA109" i="213"/>
  <c r="AA108" i="213"/>
  <c r="AA107" i="213"/>
  <c r="AA106" i="213"/>
  <c r="AA105" i="213"/>
  <c r="AA104" i="213"/>
  <c r="AA103" i="213"/>
  <c r="AA102" i="213"/>
  <c r="AA101" i="213"/>
  <c r="AA100" i="213"/>
  <c r="AA99" i="213"/>
  <c r="AA98" i="213"/>
  <c r="AA97" i="213"/>
  <c r="AA96" i="213"/>
  <c r="AA95" i="213"/>
  <c r="AA94" i="213"/>
  <c r="AA93" i="213"/>
  <c r="AA92" i="213"/>
  <c r="AA91" i="213"/>
  <c r="AA90" i="213"/>
  <c r="AA89" i="213"/>
  <c r="AA88" i="213"/>
  <c r="AA87" i="213"/>
  <c r="AA86" i="213"/>
  <c r="AA85" i="213"/>
  <c r="AA84" i="213"/>
  <c r="AA83" i="213"/>
  <c r="AA82" i="213"/>
  <c r="AA81" i="213"/>
  <c r="AA80" i="213"/>
  <c r="AA79" i="213"/>
  <c r="AA78" i="213"/>
  <c r="AA77" i="213"/>
  <c r="AA76" i="213"/>
  <c r="AA75" i="213"/>
  <c r="AA74" i="213"/>
  <c r="AA73" i="213"/>
  <c r="AA72" i="213"/>
  <c r="AA71" i="213"/>
  <c r="AA70" i="213"/>
  <c r="AA69" i="213"/>
  <c r="AA68" i="213"/>
  <c r="AA67" i="213"/>
  <c r="AA66" i="213"/>
  <c r="AA65" i="213"/>
  <c r="AA64" i="213"/>
  <c r="AA63" i="213"/>
  <c r="AA62" i="213"/>
  <c r="AA61" i="213"/>
  <c r="AA60" i="213"/>
  <c r="AA59" i="213"/>
  <c r="AA58" i="213"/>
  <c r="AA57" i="213"/>
  <c r="AA56" i="213"/>
  <c r="AA55" i="213"/>
  <c r="AA54" i="213"/>
  <c r="AA53" i="213"/>
  <c r="AA52" i="213"/>
  <c r="AA51" i="213"/>
  <c r="AA50" i="213"/>
  <c r="AA49" i="213"/>
  <c r="AA48" i="213"/>
  <c r="AA47" i="213"/>
  <c r="AA46" i="213"/>
  <c r="AA45" i="213"/>
  <c r="AA44" i="213"/>
  <c r="AA43" i="213"/>
  <c r="AA42" i="213"/>
  <c r="AA41" i="213"/>
  <c r="AA40" i="213"/>
  <c r="AA39" i="213"/>
  <c r="AA38" i="213"/>
  <c r="AA37" i="213"/>
  <c r="AA36" i="213"/>
  <c r="AA35" i="213"/>
  <c r="AA34" i="213"/>
  <c r="AA33" i="213"/>
  <c r="AA32" i="213"/>
  <c r="AA31" i="213"/>
  <c r="AA30" i="213"/>
  <c r="AA29" i="213"/>
  <c r="AA28" i="213"/>
  <c r="AA27" i="213"/>
  <c r="AA26" i="213"/>
  <c r="AA25" i="213"/>
  <c r="AA24" i="213"/>
  <c r="AA23" i="213"/>
  <c r="AA22" i="213"/>
  <c r="AA21" i="213"/>
  <c r="AA20" i="213"/>
  <c r="AA19" i="213"/>
  <c r="AA18" i="213"/>
  <c r="AA17" i="213"/>
  <c r="AA16" i="213"/>
  <c r="AA15" i="213"/>
  <c r="AA14" i="213"/>
  <c r="AA13" i="213"/>
  <c r="AA12" i="213"/>
  <c r="AA11" i="213"/>
  <c r="AA10" i="213"/>
  <c r="AA9" i="213"/>
  <c r="AA8" i="213"/>
  <c r="AA7" i="213"/>
  <c r="AA6" i="213"/>
  <c r="AA5" i="213"/>
  <c r="AA4" i="213"/>
  <c r="Z154" i="213"/>
  <c r="Z118" i="213"/>
  <c r="Z117" i="213"/>
  <c r="Z116" i="213"/>
  <c r="Z115" i="213"/>
  <c r="Z114" i="213"/>
  <c r="Z113" i="213"/>
  <c r="Z110" i="213"/>
  <c r="Z109" i="213"/>
  <c r="Z108" i="213"/>
  <c r="Z107" i="213"/>
  <c r="Z106" i="213"/>
  <c r="Z105" i="213"/>
  <c r="Z104" i="213"/>
  <c r="Z103" i="213"/>
  <c r="Z102" i="213"/>
  <c r="Z101" i="213"/>
  <c r="Z100" i="213"/>
  <c r="Z99" i="213"/>
  <c r="Z98" i="213"/>
  <c r="Z97" i="213"/>
  <c r="Z96" i="213"/>
  <c r="Z95" i="213"/>
  <c r="Z94" i="213"/>
  <c r="Z93" i="213"/>
  <c r="Z92" i="213"/>
  <c r="Z91" i="213"/>
  <c r="Z90" i="213"/>
  <c r="Z89" i="213"/>
  <c r="Z88" i="213"/>
  <c r="Z87" i="213"/>
  <c r="Z86" i="213"/>
  <c r="Z85" i="213"/>
  <c r="Z84" i="213"/>
  <c r="Z83" i="213"/>
  <c r="Z82" i="213"/>
  <c r="Z81" i="213"/>
  <c r="Z80" i="213"/>
  <c r="Z79" i="213"/>
  <c r="Z78" i="213"/>
  <c r="Z77" i="213"/>
  <c r="Z76" i="213"/>
  <c r="Z75" i="213"/>
  <c r="Z74" i="213"/>
  <c r="Z73" i="213"/>
  <c r="Z72" i="213"/>
  <c r="Z71" i="213"/>
  <c r="Z70" i="213"/>
  <c r="Z69" i="213"/>
  <c r="Z68" i="213"/>
  <c r="Z67" i="213"/>
  <c r="Z66" i="213"/>
  <c r="Z65" i="213"/>
  <c r="Z64" i="213"/>
  <c r="Z63" i="213"/>
  <c r="Z62" i="213"/>
  <c r="Z61" i="213"/>
  <c r="Z60" i="213"/>
  <c r="Z59" i="213"/>
  <c r="Z58" i="213"/>
  <c r="Z57" i="213"/>
  <c r="Z56" i="213"/>
  <c r="Z55" i="213"/>
  <c r="Z54" i="213"/>
  <c r="Z53" i="213"/>
  <c r="Z52" i="213"/>
  <c r="Z51" i="213"/>
  <c r="Z50" i="213"/>
  <c r="Z49" i="213"/>
  <c r="Z48" i="213"/>
  <c r="Z47" i="213"/>
  <c r="Z46" i="213"/>
  <c r="Z45" i="213"/>
  <c r="Z44" i="213"/>
  <c r="Z43" i="213"/>
  <c r="Z42" i="213"/>
  <c r="Z41" i="213"/>
  <c r="Z40" i="213"/>
  <c r="Z39" i="213"/>
  <c r="Z38" i="213"/>
  <c r="Z37" i="213"/>
  <c r="Z36" i="213"/>
  <c r="Z35" i="213"/>
  <c r="Z34" i="213"/>
  <c r="Z33" i="213"/>
  <c r="Z32" i="213"/>
  <c r="Z31" i="213"/>
  <c r="Z30" i="213"/>
  <c r="Z29" i="213"/>
  <c r="Z28" i="213"/>
  <c r="Z27" i="213"/>
  <c r="Z26" i="213"/>
  <c r="Z25" i="213"/>
  <c r="Z24" i="213"/>
  <c r="Z23" i="213"/>
  <c r="Z22" i="213"/>
  <c r="Z21" i="213"/>
  <c r="Z20" i="213"/>
  <c r="Z19" i="213"/>
  <c r="Z18" i="213"/>
  <c r="Z17" i="213"/>
  <c r="Z16" i="213"/>
  <c r="Z15" i="213"/>
  <c r="Z14" i="213"/>
  <c r="Z13" i="213"/>
  <c r="Z12" i="213"/>
  <c r="Z11" i="213"/>
  <c r="Z10" i="213"/>
  <c r="Z9" i="213"/>
  <c r="Z8" i="213"/>
  <c r="Z7" i="213"/>
  <c r="Z6" i="213"/>
  <c r="Z5" i="213"/>
  <c r="Z4" i="213"/>
  <c r="Y117" i="213"/>
  <c r="Y116" i="213"/>
  <c r="Y115" i="213"/>
  <c r="Y95" i="213"/>
  <c r="Y94" i="213"/>
  <c r="Y93" i="213"/>
  <c r="Y75" i="213"/>
  <c r="Y74" i="213"/>
  <c r="Y73" i="213"/>
  <c r="Y55" i="213"/>
  <c r="Y54" i="213"/>
  <c r="Y53" i="213"/>
  <c r="Y35" i="213"/>
  <c r="Y34" i="213"/>
  <c r="Y33" i="213"/>
  <c r="X154" i="213"/>
  <c r="X118" i="213"/>
  <c r="X117" i="213"/>
  <c r="X116" i="213"/>
  <c r="X115" i="213"/>
  <c r="X114" i="213"/>
  <c r="X113" i="213"/>
  <c r="X110" i="213"/>
  <c r="X109" i="213"/>
  <c r="X108" i="213"/>
  <c r="X107" i="213"/>
  <c r="X106" i="213"/>
  <c r="X105" i="213"/>
  <c r="X104" i="213"/>
  <c r="X103" i="213"/>
  <c r="X102" i="213"/>
  <c r="X101" i="213"/>
  <c r="X100" i="213"/>
  <c r="X99" i="213"/>
  <c r="X98" i="213"/>
  <c r="X97" i="213"/>
  <c r="X96" i="213"/>
  <c r="X95" i="213"/>
  <c r="X94" i="213"/>
  <c r="X93" i="213"/>
  <c r="X92" i="213"/>
  <c r="X91" i="213"/>
  <c r="X90" i="213"/>
  <c r="X89" i="213"/>
  <c r="X88" i="213"/>
  <c r="X87" i="213"/>
  <c r="X86" i="213"/>
  <c r="X85" i="213"/>
  <c r="X84" i="213"/>
  <c r="X83" i="213"/>
  <c r="X82" i="213"/>
  <c r="X81" i="213"/>
  <c r="X80" i="213"/>
  <c r="X79" i="213"/>
  <c r="X78" i="213"/>
  <c r="X77" i="213"/>
  <c r="X76" i="213"/>
  <c r="X75" i="213"/>
  <c r="X74" i="213"/>
  <c r="X73" i="213"/>
  <c r="X72" i="213"/>
  <c r="X71" i="213"/>
  <c r="X70" i="213"/>
  <c r="X69" i="213"/>
  <c r="X68" i="213"/>
  <c r="X67" i="213"/>
  <c r="X66" i="213"/>
  <c r="X65" i="213"/>
  <c r="X64" i="213"/>
  <c r="X63" i="213"/>
  <c r="X62" i="213"/>
  <c r="X61" i="213"/>
  <c r="X60" i="213"/>
  <c r="X59" i="213"/>
  <c r="X58" i="213"/>
  <c r="X57" i="213"/>
  <c r="X56" i="213"/>
  <c r="X55" i="213"/>
  <c r="X54" i="213"/>
  <c r="X53" i="213"/>
  <c r="X52" i="213"/>
  <c r="X51" i="213"/>
  <c r="X50" i="213"/>
  <c r="X49" i="213"/>
  <c r="X48" i="213"/>
  <c r="X47" i="213"/>
  <c r="X46" i="213"/>
  <c r="X45" i="213"/>
  <c r="X44" i="213"/>
  <c r="X43" i="213"/>
  <c r="X42" i="213"/>
  <c r="X41" i="213"/>
  <c r="X40" i="213"/>
  <c r="X39" i="213"/>
  <c r="X38" i="213"/>
  <c r="X37" i="213"/>
  <c r="X36" i="213"/>
  <c r="X35" i="213"/>
  <c r="X34" i="213"/>
  <c r="X33" i="213"/>
  <c r="X32" i="213"/>
  <c r="X31" i="213"/>
  <c r="X30" i="213"/>
  <c r="X29" i="213"/>
  <c r="X28" i="213"/>
  <c r="X27" i="213"/>
  <c r="X26" i="213"/>
  <c r="X25" i="213"/>
  <c r="X24" i="213"/>
  <c r="X23" i="213"/>
  <c r="X22" i="213"/>
  <c r="X21" i="213"/>
  <c r="X20" i="213"/>
  <c r="X19" i="213"/>
  <c r="X18" i="213"/>
  <c r="X17" i="213"/>
  <c r="X16" i="213"/>
  <c r="X15" i="213"/>
  <c r="X14" i="213"/>
  <c r="X13" i="213"/>
  <c r="X12" i="213"/>
  <c r="X11" i="213"/>
  <c r="X10" i="213"/>
  <c r="X9" i="213"/>
  <c r="X8" i="213"/>
  <c r="X7" i="213"/>
  <c r="X6" i="213"/>
  <c r="X5" i="213"/>
  <c r="X4" i="213"/>
  <c r="V5" i="213"/>
  <c r="V6" i="213"/>
  <c r="V7" i="213"/>
  <c r="V8" i="213"/>
  <c r="V9" i="213"/>
  <c r="V10" i="213"/>
  <c r="Y10" i="213" s="1"/>
  <c r="AF1" i="213" a="1"/>
  <c r="AH426" i="213"/>
  <c r="AG426" i="213"/>
  <c r="AC426" i="213"/>
  <c r="AB426" i="213"/>
  <c r="AA426" i="213"/>
  <c r="Z426" i="213"/>
  <c r="X426" i="213"/>
  <c r="W426" i="213"/>
  <c r="V426" i="213"/>
  <c r="S426" i="213"/>
  <c r="R426" i="213"/>
  <c r="Q426" i="213"/>
  <c r="P426" i="213"/>
  <c r="O426" i="213"/>
  <c r="N426" i="213"/>
  <c r="M426" i="213"/>
  <c r="AH425" i="213"/>
  <c r="AG425" i="213"/>
  <c r="AC425" i="213"/>
  <c r="AB425" i="213"/>
  <c r="AA425" i="213"/>
  <c r="Z425" i="213"/>
  <c r="X425" i="213"/>
  <c r="W425" i="213"/>
  <c r="V425" i="213"/>
  <c r="S425" i="213"/>
  <c r="R425" i="213"/>
  <c r="Q425" i="213"/>
  <c r="P425" i="213"/>
  <c r="O425" i="213"/>
  <c r="N425" i="213"/>
  <c r="M425" i="213"/>
  <c r="AH424" i="213"/>
  <c r="AG424" i="213"/>
  <c r="AC424" i="213"/>
  <c r="AB424" i="213"/>
  <c r="AA424" i="213"/>
  <c r="Z424" i="213"/>
  <c r="X424" i="213"/>
  <c r="W424" i="213"/>
  <c r="V424" i="213"/>
  <c r="S424" i="213"/>
  <c r="R424" i="213"/>
  <c r="Q424" i="213"/>
  <c r="P424" i="213"/>
  <c r="O424" i="213"/>
  <c r="N424" i="213"/>
  <c r="M424" i="213"/>
  <c r="AH423" i="213"/>
  <c r="AG423" i="213"/>
  <c r="AC423" i="213"/>
  <c r="AB423" i="213"/>
  <c r="AA423" i="213"/>
  <c r="Z423" i="213"/>
  <c r="X423" i="213"/>
  <c r="W423" i="213"/>
  <c r="V423" i="213"/>
  <c r="S423" i="213"/>
  <c r="R423" i="213"/>
  <c r="Q423" i="213"/>
  <c r="P423" i="213"/>
  <c r="O423" i="213"/>
  <c r="N423" i="213"/>
  <c r="M423" i="213"/>
  <c r="AH422" i="213"/>
  <c r="AG422" i="213"/>
  <c r="AC422" i="213"/>
  <c r="AB422" i="213"/>
  <c r="AA422" i="213"/>
  <c r="Z422" i="213"/>
  <c r="X422" i="213"/>
  <c r="W422" i="213"/>
  <c r="V422" i="213"/>
  <c r="Y422" i="213" s="1"/>
  <c r="S422" i="213"/>
  <c r="R422" i="213"/>
  <c r="Q422" i="213"/>
  <c r="P422" i="213"/>
  <c r="O422" i="213"/>
  <c r="N422" i="213"/>
  <c r="M422" i="213"/>
  <c r="AH421" i="213"/>
  <c r="AG421" i="213"/>
  <c r="AC421" i="213"/>
  <c r="AB421" i="213"/>
  <c r="AA421" i="213"/>
  <c r="Z421" i="213"/>
  <c r="X421" i="213"/>
  <c r="W421" i="213"/>
  <c r="V421" i="213"/>
  <c r="S421" i="213"/>
  <c r="R421" i="213"/>
  <c r="Q421" i="213"/>
  <c r="P421" i="213"/>
  <c r="O421" i="213"/>
  <c r="N421" i="213"/>
  <c r="M421" i="213"/>
  <c r="AH420" i="213"/>
  <c r="AG420" i="213"/>
  <c r="AC420" i="213"/>
  <c r="AB420" i="213"/>
  <c r="AA420" i="213"/>
  <c r="Z420" i="213"/>
  <c r="X420" i="213"/>
  <c r="W420" i="213"/>
  <c r="V420" i="213"/>
  <c r="S420" i="213"/>
  <c r="R420" i="213"/>
  <c r="Q420" i="213"/>
  <c r="P420" i="213"/>
  <c r="O420" i="213"/>
  <c r="N420" i="213"/>
  <c r="M420" i="213"/>
  <c r="AH419" i="213"/>
  <c r="AG419" i="213"/>
  <c r="AC419" i="213"/>
  <c r="AB419" i="213"/>
  <c r="AA419" i="213"/>
  <c r="Z419" i="213"/>
  <c r="X419" i="213"/>
  <c r="W419" i="213"/>
  <c r="V419" i="213"/>
  <c r="S419" i="213"/>
  <c r="R419" i="213"/>
  <c r="Q419" i="213"/>
  <c r="P419" i="213"/>
  <c r="O419" i="213"/>
  <c r="N419" i="213"/>
  <c r="M419" i="213"/>
  <c r="AH418" i="213"/>
  <c r="AG418" i="213"/>
  <c r="AC418" i="213"/>
  <c r="AB418" i="213"/>
  <c r="AA418" i="213"/>
  <c r="Z418" i="213"/>
  <c r="X418" i="213"/>
  <c r="W418" i="213"/>
  <c r="V418" i="213"/>
  <c r="S418" i="213"/>
  <c r="R418" i="213"/>
  <c r="Q418" i="213"/>
  <c r="P418" i="213"/>
  <c r="O418" i="213"/>
  <c r="N418" i="213"/>
  <c r="M418" i="213"/>
  <c r="AH417" i="213"/>
  <c r="AG417" i="213"/>
  <c r="AC417" i="213"/>
  <c r="AB417" i="213"/>
  <c r="AA417" i="213"/>
  <c r="Z417" i="213"/>
  <c r="X417" i="213"/>
  <c r="W417" i="213"/>
  <c r="V417" i="213"/>
  <c r="Y417" i="213" s="1"/>
  <c r="S417" i="213"/>
  <c r="R417" i="213"/>
  <c r="Q417" i="213"/>
  <c r="P417" i="213"/>
  <c r="O417" i="213"/>
  <c r="N417" i="213"/>
  <c r="M417" i="213"/>
  <c r="AH416" i="213"/>
  <c r="AG416" i="213"/>
  <c r="AC416" i="213"/>
  <c r="AB416" i="213"/>
  <c r="AA416" i="213"/>
  <c r="Z416" i="213"/>
  <c r="X416" i="213"/>
  <c r="W416" i="213"/>
  <c r="V416" i="213"/>
  <c r="S416" i="213"/>
  <c r="R416" i="213"/>
  <c r="Q416" i="213"/>
  <c r="P416" i="213"/>
  <c r="O416" i="213"/>
  <c r="N416" i="213"/>
  <c r="M416" i="213"/>
  <c r="AH415" i="213"/>
  <c r="AG415" i="213"/>
  <c r="AC415" i="213"/>
  <c r="AB415" i="213"/>
  <c r="AA415" i="213"/>
  <c r="Z415" i="213"/>
  <c r="X415" i="213"/>
  <c r="W415" i="213"/>
  <c r="V415" i="213"/>
  <c r="S415" i="213"/>
  <c r="R415" i="213"/>
  <c r="Q415" i="213"/>
  <c r="P415" i="213"/>
  <c r="O415" i="213"/>
  <c r="N415" i="213"/>
  <c r="M415" i="213"/>
  <c r="AH414" i="213"/>
  <c r="AG414" i="213"/>
  <c r="AC414" i="213"/>
  <c r="AB414" i="213"/>
  <c r="AA414" i="213"/>
  <c r="Z414" i="213"/>
  <c r="X414" i="213"/>
  <c r="W414" i="213"/>
  <c r="V414" i="213"/>
  <c r="S414" i="213"/>
  <c r="R414" i="213"/>
  <c r="Q414" i="213"/>
  <c r="P414" i="213"/>
  <c r="O414" i="213"/>
  <c r="N414" i="213"/>
  <c r="M414" i="213"/>
  <c r="AH413" i="213"/>
  <c r="AG413" i="213"/>
  <c r="AC413" i="213"/>
  <c r="AB413" i="213"/>
  <c r="AA413" i="213"/>
  <c r="Z413" i="213"/>
  <c r="X413" i="213"/>
  <c r="W413" i="213"/>
  <c r="V413" i="213"/>
  <c r="S413" i="213"/>
  <c r="R413" i="213"/>
  <c r="Q413" i="213"/>
  <c r="P413" i="213"/>
  <c r="O413" i="213"/>
  <c r="N413" i="213"/>
  <c r="M413" i="213"/>
  <c r="AH412" i="213"/>
  <c r="AG412" i="213"/>
  <c r="AC412" i="213"/>
  <c r="AB412" i="213"/>
  <c r="AA412" i="213"/>
  <c r="Z412" i="213"/>
  <c r="X412" i="213"/>
  <c r="W412" i="213"/>
  <c r="V412" i="213"/>
  <c r="S412" i="213"/>
  <c r="R412" i="213"/>
  <c r="Q412" i="213"/>
  <c r="P412" i="213"/>
  <c r="O412" i="213"/>
  <c r="N412" i="213"/>
  <c r="M412" i="213"/>
  <c r="AH411" i="213"/>
  <c r="AG411" i="213"/>
  <c r="AC411" i="213"/>
  <c r="AB411" i="213"/>
  <c r="AA411" i="213"/>
  <c r="Z411" i="213"/>
  <c r="X411" i="213"/>
  <c r="W411" i="213"/>
  <c r="V411" i="213"/>
  <c r="S411" i="213"/>
  <c r="R411" i="213"/>
  <c r="Q411" i="213"/>
  <c r="P411" i="213"/>
  <c r="O411" i="213"/>
  <c r="N411" i="213"/>
  <c r="M411" i="213"/>
  <c r="AH410" i="213"/>
  <c r="AG410" i="213"/>
  <c r="AC410" i="213"/>
  <c r="AB410" i="213"/>
  <c r="AA410" i="213"/>
  <c r="Z410" i="213"/>
  <c r="X410" i="213"/>
  <c r="W410" i="213"/>
  <c r="V410" i="213"/>
  <c r="S410" i="213"/>
  <c r="R410" i="213"/>
  <c r="Q410" i="213"/>
  <c r="P410" i="213"/>
  <c r="O410" i="213"/>
  <c r="N410" i="213"/>
  <c r="M410" i="213"/>
  <c r="AH409" i="213"/>
  <c r="AG409" i="213"/>
  <c r="AC409" i="213"/>
  <c r="AB409" i="213"/>
  <c r="AA409" i="213"/>
  <c r="Z409" i="213"/>
  <c r="X409" i="213"/>
  <c r="W409" i="213"/>
  <c r="V409" i="213"/>
  <c r="S409" i="213"/>
  <c r="R409" i="213"/>
  <c r="Q409" i="213"/>
  <c r="P409" i="213"/>
  <c r="O409" i="213"/>
  <c r="N409" i="213"/>
  <c r="M409" i="213"/>
  <c r="AH408" i="213"/>
  <c r="AG408" i="213"/>
  <c r="AC408" i="213"/>
  <c r="AB408" i="213"/>
  <c r="AA408" i="213"/>
  <c r="Z408" i="213"/>
  <c r="X408" i="213"/>
  <c r="W408" i="213"/>
  <c r="V408" i="213"/>
  <c r="S408" i="213"/>
  <c r="R408" i="213"/>
  <c r="Q408" i="213"/>
  <c r="P408" i="213"/>
  <c r="O408" i="213"/>
  <c r="N408" i="213"/>
  <c r="M408" i="213"/>
  <c r="AH407" i="213"/>
  <c r="AG407" i="213"/>
  <c r="AC407" i="213"/>
  <c r="AB407" i="213"/>
  <c r="AA407" i="213"/>
  <c r="Z407" i="213"/>
  <c r="X407" i="213"/>
  <c r="W407" i="213"/>
  <c r="V407" i="213"/>
  <c r="Y407" i="213" s="1"/>
  <c r="S407" i="213"/>
  <c r="R407" i="213"/>
  <c r="Q407" i="213"/>
  <c r="P407" i="213"/>
  <c r="O407" i="213"/>
  <c r="N407" i="213"/>
  <c r="M407" i="213"/>
  <c r="AH406" i="213"/>
  <c r="AG406" i="213"/>
  <c r="AC406" i="213"/>
  <c r="AB406" i="213"/>
  <c r="AA406" i="213"/>
  <c r="Z406" i="213"/>
  <c r="X406" i="213"/>
  <c r="W406" i="213"/>
  <c r="V406" i="213"/>
  <c r="S406" i="213"/>
  <c r="R406" i="213"/>
  <c r="Q406" i="213"/>
  <c r="P406" i="213"/>
  <c r="O406" i="213"/>
  <c r="N406" i="213"/>
  <c r="M406" i="213"/>
  <c r="AH405" i="213"/>
  <c r="AG405" i="213"/>
  <c r="AC405" i="213"/>
  <c r="AB405" i="213"/>
  <c r="AA405" i="213"/>
  <c r="Z405" i="213"/>
  <c r="X405" i="213"/>
  <c r="W405" i="213"/>
  <c r="V405" i="213"/>
  <c r="S405" i="213"/>
  <c r="R405" i="213"/>
  <c r="Q405" i="213"/>
  <c r="P405" i="213"/>
  <c r="O405" i="213"/>
  <c r="N405" i="213"/>
  <c r="M405" i="213"/>
  <c r="AH404" i="213"/>
  <c r="AG404" i="213"/>
  <c r="AC404" i="213"/>
  <c r="AB404" i="213"/>
  <c r="AA404" i="213"/>
  <c r="Z404" i="213"/>
  <c r="X404" i="213"/>
  <c r="W404" i="213"/>
  <c r="V404" i="213"/>
  <c r="S404" i="213"/>
  <c r="R404" i="213"/>
  <c r="Q404" i="213"/>
  <c r="P404" i="213"/>
  <c r="O404" i="213"/>
  <c r="N404" i="213"/>
  <c r="M404" i="213"/>
  <c r="AH403" i="213"/>
  <c r="AG403" i="213"/>
  <c r="AC403" i="213"/>
  <c r="AB403" i="213"/>
  <c r="AA403" i="213"/>
  <c r="Z403" i="213"/>
  <c r="X403" i="213"/>
  <c r="W403" i="213"/>
  <c r="V403" i="213"/>
  <c r="S403" i="213"/>
  <c r="R403" i="213"/>
  <c r="Q403" i="213"/>
  <c r="P403" i="213"/>
  <c r="O403" i="213"/>
  <c r="N403" i="213"/>
  <c r="M403" i="213"/>
  <c r="AH402" i="213"/>
  <c r="AG402" i="213"/>
  <c r="AC402" i="213"/>
  <c r="AB402" i="213"/>
  <c r="AA402" i="213"/>
  <c r="Z402" i="213"/>
  <c r="X402" i="213"/>
  <c r="W402" i="213"/>
  <c r="V402" i="213"/>
  <c r="Y402" i="213" s="1"/>
  <c r="S402" i="213"/>
  <c r="R402" i="213"/>
  <c r="Q402" i="213"/>
  <c r="P402" i="213"/>
  <c r="O402" i="213"/>
  <c r="N402" i="213"/>
  <c r="M402" i="213"/>
  <c r="AH401" i="213"/>
  <c r="AG401" i="213"/>
  <c r="AC401" i="213"/>
  <c r="AB401" i="213"/>
  <c r="AA401" i="213"/>
  <c r="Z401" i="213"/>
  <c r="X401" i="213"/>
  <c r="W401" i="213"/>
  <c r="V401" i="213"/>
  <c r="S401" i="213"/>
  <c r="R401" i="213"/>
  <c r="Q401" i="213"/>
  <c r="P401" i="213"/>
  <c r="O401" i="213"/>
  <c r="N401" i="213"/>
  <c r="M401" i="213"/>
  <c r="AH400" i="213"/>
  <c r="AG400" i="213"/>
  <c r="AC400" i="213"/>
  <c r="AB400" i="213"/>
  <c r="AA400" i="213"/>
  <c r="Z400" i="213"/>
  <c r="X400" i="213"/>
  <c r="W400" i="213"/>
  <c r="V400" i="213"/>
  <c r="S400" i="213"/>
  <c r="R400" i="213"/>
  <c r="Q400" i="213"/>
  <c r="P400" i="213"/>
  <c r="O400" i="213"/>
  <c r="N400" i="213"/>
  <c r="M400" i="213"/>
  <c r="AH399" i="213"/>
  <c r="AG399" i="213"/>
  <c r="AC399" i="213"/>
  <c r="AB399" i="213"/>
  <c r="AA399" i="213"/>
  <c r="Z399" i="213"/>
  <c r="X399" i="213"/>
  <c r="W399" i="213"/>
  <c r="V399" i="213"/>
  <c r="S399" i="213"/>
  <c r="R399" i="213"/>
  <c r="Q399" i="213"/>
  <c r="P399" i="213"/>
  <c r="O399" i="213"/>
  <c r="N399" i="213"/>
  <c r="M399" i="213"/>
  <c r="AH398" i="213"/>
  <c r="AG398" i="213"/>
  <c r="AC398" i="213"/>
  <c r="AB398" i="213"/>
  <c r="AA398" i="213"/>
  <c r="Z398" i="213"/>
  <c r="X398" i="213"/>
  <c r="W398" i="213"/>
  <c r="V398" i="213"/>
  <c r="S398" i="213"/>
  <c r="R398" i="213"/>
  <c r="Q398" i="213"/>
  <c r="P398" i="213"/>
  <c r="O398" i="213"/>
  <c r="N398" i="213"/>
  <c r="M398" i="213"/>
  <c r="AH397" i="213"/>
  <c r="AG397" i="213"/>
  <c r="AC397" i="213"/>
  <c r="AB397" i="213"/>
  <c r="AA397" i="213"/>
  <c r="Z397" i="213"/>
  <c r="X397" i="213"/>
  <c r="W397" i="213"/>
  <c r="V397" i="213"/>
  <c r="S397" i="213"/>
  <c r="R397" i="213"/>
  <c r="Q397" i="213"/>
  <c r="P397" i="213"/>
  <c r="O397" i="213"/>
  <c r="N397" i="213"/>
  <c r="M397" i="213"/>
  <c r="AH396" i="213"/>
  <c r="AG396" i="213"/>
  <c r="AC396" i="213"/>
  <c r="AB396" i="213"/>
  <c r="AA396" i="213"/>
  <c r="Z396" i="213"/>
  <c r="X396" i="213"/>
  <c r="W396" i="213"/>
  <c r="V396" i="213"/>
  <c r="S396" i="213"/>
  <c r="R396" i="213"/>
  <c r="Q396" i="213"/>
  <c r="P396" i="213"/>
  <c r="O396" i="213"/>
  <c r="N396" i="213"/>
  <c r="M396" i="213"/>
  <c r="AH395" i="213"/>
  <c r="AG395" i="213"/>
  <c r="AC395" i="213"/>
  <c r="AB395" i="213"/>
  <c r="AA395" i="213"/>
  <c r="Z395" i="213"/>
  <c r="X395" i="213"/>
  <c r="W395" i="213"/>
  <c r="V395" i="213"/>
  <c r="Y395" i="213" s="1"/>
  <c r="S395" i="213"/>
  <c r="R395" i="213"/>
  <c r="Q395" i="213"/>
  <c r="P395" i="213"/>
  <c r="O395" i="213"/>
  <c r="N395" i="213"/>
  <c r="M395" i="213"/>
  <c r="AH394" i="213"/>
  <c r="AG394" i="213"/>
  <c r="AC394" i="213"/>
  <c r="AB394" i="213"/>
  <c r="AA394" i="213"/>
  <c r="Z394" i="213"/>
  <c r="X394" i="213"/>
  <c r="W394" i="213"/>
  <c r="V394" i="213"/>
  <c r="S394" i="213"/>
  <c r="R394" i="213"/>
  <c r="Q394" i="213"/>
  <c r="P394" i="213"/>
  <c r="O394" i="213"/>
  <c r="N394" i="213"/>
  <c r="M394" i="213"/>
  <c r="AH393" i="213"/>
  <c r="AG393" i="213"/>
  <c r="AC393" i="213"/>
  <c r="AB393" i="213"/>
  <c r="AA393" i="213"/>
  <c r="Z393" i="213"/>
  <c r="X393" i="213"/>
  <c r="W393" i="213"/>
  <c r="V393" i="213"/>
  <c r="S393" i="213"/>
  <c r="R393" i="213"/>
  <c r="Q393" i="213"/>
  <c r="P393" i="213"/>
  <c r="O393" i="213"/>
  <c r="N393" i="213"/>
  <c r="M393" i="213"/>
  <c r="AH392" i="213"/>
  <c r="AG392" i="213"/>
  <c r="AC392" i="213"/>
  <c r="AB392" i="213"/>
  <c r="AA392" i="213"/>
  <c r="Z392" i="213"/>
  <c r="X392" i="213"/>
  <c r="W392" i="213"/>
  <c r="V392" i="213"/>
  <c r="S392" i="213"/>
  <c r="R392" i="213"/>
  <c r="Q392" i="213"/>
  <c r="P392" i="213"/>
  <c r="O392" i="213"/>
  <c r="N392" i="213"/>
  <c r="M392" i="213"/>
  <c r="AH391" i="213"/>
  <c r="AG391" i="213"/>
  <c r="AC391" i="213"/>
  <c r="AB391" i="213"/>
  <c r="AA391" i="213"/>
  <c r="Z391" i="213"/>
  <c r="X391" i="213"/>
  <c r="W391" i="213"/>
  <c r="V391" i="213"/>
  <c r="S391" i="213"/>
  <c r="R391" i="213"/>
  <c r="Q391" i="213"/>
  <c r="P391" i="213"/>
  <c r="O391" i="213"/>
  <c r="N391" i="213"/>
  <c r="M391" i="213"/>
  <c r="AH390" i="213"/>
  <c r="AG390" i="213"/>
  <c r="AC390" i="213"/>
  <c r="AB390" i="213"/>
  <c r="AA390" i="213"/>
  <c r="Z390" i="213"/>
  <c r="X390" i="213"/>
  <c r="W390" i="213"/>
  <c r="V390" i="213"/>
  <c r="S390" i="213"/>
  <c r="R390" i="213"/>
  <c r="Q390" i="213"/>
  <c r="P390" i="213"/>
  <c r="O390" i="213"/>
  <c r="N390" i="213"/>
  <c r="M390" i="213"/>
  <c r="AH389" i="213"/>
  <c r="AG389" i="213"/>
  <c r="AC389" i="213"/>
  <c r="AB389" i="213"/>
  <c r="AA389" i="213"/>
  <c r="Z389" i="213"/>
  <c r="X389" i="213"/>
  <c r="W389" i="213"/>
  <c r="V389" i="213"/>
  <c r="S389" i="213"/>
  <c r="R389" i="213"/>
  <c r="Q389" i="213"/>
  <c r="P389" i="213"/>
  <c r="O389" i="213"/>
  <c r="N389" i="213"/>
  <c r="M389" i="213"/>
  <c r="AH388" i="213"/>
  <c r="AG388" i="213"/>
  <c r="AC388" i="213"/>
  <c r="AB388" i="213"/>
  <c r="AA388" i="213"/>
  <c r="Z388" i="213"/>
  <c r="X388" i="213"/>
  <c r="W388" i="213"/>
  <c r="V388" i="213"/>
  <c r="S388" i="213"/>
  <c r="R388" i="213"/>
  <c r="Q388" i="213"/>
  <c r="P388" i="213"/>
  <c r="O388" i="213"/>
  <c r="N388" i="213"/>
  <c r="M388" i="213"/>
  <c r="AH387" i="213"/>
  <c r="AG387" i="213"/>
  <c r="AC387" i="213"/>
  <c r="AB387" i="213"/>
  <c r="AA387" i="213"/>
  <c r="Z387" i="213"/>
  <c r="X387" i="213"/>
  <c r="W387" i="213"/>
  <c r="V387" i="213"/>
  <c r="S387" i="213"/>
  <c r="R387" i="213"/>
  <c r="Q387" i="213"/>
  <c r="P387" i="213"/>
  <c r="O387" i="213"/>
  <c r="N387" i="213"/>
  <c r="M387" i="213"/>
  <c r="AH386" i="213"/>
  <c r="AG386" i="213"/>
  <c r="AC386" i="213"/>
  <c r="AB386" i="213"/>
  <c r="AA386" i="213"/>
  <c r="Z386" i="213"/>
  <c r="X386" i="213"/>
  <c r="W386" i="213"/>
  <c r="V386" i="213"/>
  <c r="S386" i="213"/>
  <c r="R386" i="213"/>
  <c r="Q386" i="213"/>
  <c r="P386" i="213"/>
  <c r="O386" i="213"/>
  <c r="N386" i="213"/>
  <c r="M386" i="213"/>
  <c r="AH385" i="213"/>
  <c r="AG385" i="213"/>
  <c r="AC385" i="213"/>
  <c r="AB385" i="213"/>
  <c r="AA385" i="213"/>
  <c r="Z385" i="213"/>
  <c r="X385" i="213"/>
  <c r="W385" i="213"/>
  <c r="V385" i="213"/>
  <c r="S385" i="213"/>
  <c r="R385" i="213"/>
  <c r="Q385" i="213"/>
  <c r="P385" i="213"/>
  <c r="O385" i="213"/>
  <c r="N385" i="213"/>
  <c r="M385" i="213"/>
  <c r="AH384" i="213"/>
  <c r="AG384" i="213"/>
  <c r="AC384" i="213"/>
  <c r="AB384" i="213"/>
  <c r="AA384" i="213"/>
  <c r="Z384" i="213"/>
  <c r="X384" i="213"/>
  <c r="Y384" i="213" s="1"/>
  <c r="W384" i="213"/>
  <c r="V384" i="213"/>
  <c r="S384" i="213"/>
  <c r="R384" i="213"/>
  <c r="Q384" i="213"/>
  <c r="P384" i="213"/>
  <c r="O384" i="213"/>
  <c r="N384" i="213"/>
  <c r="M384" i="213"/>
  <c r="AH383" i="213"/>
  <c r="AG383" i="213"/>
  <c r="AC383" i="213"/>
  <c r="AB383" i="213"/>
  <c r="AA383" i="213"/>
  <c r="Z383" i="213"/>
  <c r="X383" i="213"/>
  <c r="W383" i="213"/>
  <c r="V383" i="213"/>
  <c r="S383" i="213"/>
  <c r="R383" i="213"/>
  <c r="Q383" i="213"/>
  <c r="P383" i="213"/>
  <c r="O383" i="213"/>
  <c r="N383" i="213"/>
  <c r="M383" i="213"/>
  <c r="AH382" i="213"/>
  <c r="AG382" i="213"/>
  <c r="AC382" i="213"/>
  <c r="AB382" i="213"/>
  <c r="AA382" i="213"/>
  <c r="Z382" i="213"/>
  <c r="X382" i="213"/>
  <c r="W382" i="213"/>
  <c r="V382" i="213"/>
  <c r="S382" i="213"/>
  <c r="R382" i="213"/>
  <c r="Q382" i="213"/>
  <c r="P382" i="213"/>
  <c r="O382" i="213"/>
  <c r="N382" i="213"/>
  <c r="M382" i="213"/>
  <c r="AH381" i="213"/>
  <c r="AG381" i="213"/>
  <c r="AC381" i="213"/>
  <c r="AB381" i="213"/>
  <c r="AA381" i="213"/>
  <c r="Z381" i="213"/>
  <c r="X381" i="213"/>
  <c r="W381" i="213"/>
  <c r="V381" i="213"/>
  <c r="Y381" i="213" s="1"/>
  <c r="S381" i="213"/>
  <c r="R381" i="213"/>
  <c r="Q381" i="213"/>
  <c r="P381" i="213"/>
  <c r="O381" i="213"/>
  <c r="N381" i="213"/>
  <c r="M381" i="213"/>
  <c r="AH380" i="213"/>
  <c r="AG380" i="213"/>
  <c r="AC380" i="213"/>
  <c r="AB380" i="213"/>
  <c r="AA380" i="213"/>
  <c r="Z380" i="213"/>
  <c r="X380" i="213"/>
  <c r="W380" i="213"/>
  <c r="V380" i="213"/>
  <c r="S380" i="213"/>
  <c r="R380" i="213"/>
  <c r="Q380" i="213"/>
  <c r="P380" i="213"/>
  <c r="O380" i="213"/>
  <c r="N380" i="213"/>
  <c r="M380" i="213"/>
  <c r="AH379" i="213"/>
  <c r="AG379" i="213"/>
  <c r="AC379" i="213"/>
  <c r="AB379" i="213"/>
  <c r="AA379" i="213"/>
  <c r="Z379" i="213"/>
  <c r="X379" i="213"/>
  <c r="W379" i="213"/>
  <c r="V379" i="213"/>
  <c r="S379" i="213"/>
  <c r="R379" i="213"/>
  <c r="Q379" i="213"/>
  <c r="P379" i="213"/>
  <c r="O379" i="213"/>
  <c r="N379" i="213"/>
  <c r="M379" i="213"/>
  <c r="AH378" i="213"/>
  <c r="AG378" i="213"/>
  <c r="AC378" i="213"/>
  <c r="AB378" i="213"/>
  <c r="AA378" i="213"/>
  <c r="Z378" i="213"/>
  <c r="X378" i="213"/>
  <c r="W378" i="213"/>
  <c r="V378" i="213"/>
  <c r="S378" i="213"/>
  <c r="R378" i="213"/>
  <c r="Q378" i="213"/>
  <c r="P378" i="213"/>
  <c r="O378" i="213"/>
  <c r="N378" i="213"/>
  <c r="M378" i="213"/>
  <c r="AH377" i="213"/>
  <c r="AG377" i="213"/>
  <c r="AC377" i="213"/>
  <c r="AB377" i="213"/>
  <c r="AA377" i="213"/>
  <c r="Z377" i="213"/>
  <c r="X377" i="213"/>
  <c r="W377" i="213"/>
  <c r="V377" i="213"/>
  <c r="S377" i="213"/>
  <c r="R377" i="213"/>
  <c r="Q377" i="213"/>
  <c r="P377" i="213"/>
  <c r="O377" i="213"/>
  <c r="N377" i="213"/>
  <c r="M377" i="213"/>
  <c r="AH376" i="213"/>
  <c r="AG376" i="213"/>
  <c r="AC376" i="213"/>
  <c r="AB376" i="213"/>
  <c r="AA376" i="213"/>
  <c r="Z376" i="213"/>
  <c r="X376" i="213"/>
  <c r="W376" i="213"/>
  <c r="V376" i="213"/>
  <c r="S376" i="213"/>
  <c r="R376" i="213"/>
  <c r="Q376" i="213"/>
  <c r="P376" i="213"/>
  <c r="O376" i="213"/>
  <c r="N376" i="213"/>
  <c r="M376" i="213"/>
  <c r="AH375" i="213"/>
  <c r="AG375" i="213"/>
  <c r="AC375" i="213"/>
  <c r="AB375" i="213"/>
  <c r="AA375" i="213"/>
  <c r="Z375" i="213"/>
  <c r="X375" i="213"/>
  <c r="W375" i="213"/>
  <c r="V375" i="213"/>
  <c r="S375" i="213"/>
  <c r="R375" i="213"/>
  <c r="Q375" i="213"/>
  <c r="P375" i="213"/>
  <c r="O375" i="213"/>
  <c r="N375" i="213"/>
  <c r="M375" i="213"/>
  <c r="AH374" i="213"/>
  <c r="AG374" i="213"/>
  <c r="AC374" i="213"/>
  <c r="AB374" i="213"/>
  <c r="AA374" i="213"/>
  <c r="Z374" i="213"/>
  <c r="X374" i="213"/>
  <c r="Y374" i="213" s="1"/>
  <c r="W374" i="213"/>
  <c r="V374" i="213"/>
  <c r="S374" i="213"/>
  <c r="R374" i="213"/>
  <c r="Q374" i="213"/>
  <c r="P374" i="213"/>
  <c r="O374" i="213"/>
  <c r="N374" i="213"/>
  <c r="M374" i="213"/>
  <c r="AH373" i="213"/>
  <c r="AG373" i="213"/>
  <c r="AC373" i="213"/>
  <c r="AB373" i="213"/>
  <c r="AA373" i="213"/>
  <c r="Z373" i="213"/>
  <c r="X373" i="213"/>
  <c r="W373" i="213"/>
  <c r="V373" i="213"/>
  <c r="S373" i="213"/>
  <c r="R373" i="213"/>
  <c r="Q373" i="213"/>
  <c r="P373" i="213"/>
  <c r="O373" i="213"/>
  <c r="N373" i="213"/>
  <c r="M373" i="213"/>
  <c r="AH372" i="213"/>
  <c r="AG372" i="213"/>
  <c r="AC372" i="213"/>
  <c r="AB372" i="213"/>
  <c r="AA372" i="213"/>
  <c r="Z372" i="213"/>
  <c r="X372" i="213"/>
  <c r="W372" i="213"/>
  <c r="V372" i="213"/>
  <c r="S372" i="213"/>
  <c r="R372" i="213"/>
  <c r="Q372" i="213"/>
  <c r="P372" i="213"/>
  <c r="O372" i="213"/>
  <c r="N372" i="213"/>
  <c r="M372" i="213"/>
  <c r="AH371" i="213"/>
  <c r="AG371" i="213"/>
  <c r="AC371" i="213"/>
  <c r="AB371" i="213"/>
  <c r="AA371" i="213"/>
  <c r="Z371" i="213"/>
  <c r="X371" i="213"/>
  <c r="W371" i="213"/>
  <c r="V371" i="213"/>
  <c r="S371" i="213"/>
  <c r="R371" i="213"/>
  <c r="Q371" i="213"/>
  <c r="P371" i="213"/>
  <c r="O371" i="213"/>
  <c r="N371" i="213"/>
  <c r="M371" i="213"/>
  <c r="AH370" i="213"/>
  <c r="AG370" i="213"/>
  <c r="AC370" i="213"/>
  <c r="AB370" i="213"/>
  <c r="AA370" i="213"/>
  <c r="Z370" i="213"/>
  <c r="X370" i="213"/>
  <c r="W370" i="213"/>
  <c r="V370" i="213"/>
  <c r="S370" i="213"/>
  <c r="R370" i="213"/>
  <c r="Q370" i="213"/>
  <c r="P370" i="213"/>
  <c r="O370" i="213"/>
  <c r="N370" i="213"/>
  <c r="M370" i="213"/>
  <c r="AH369" i="213"/>
  <c r="AG369" i="213"/>
  <c r="AC369" i="213"/>
  <c r="AB369" i="213"/>
  <c r="AA369" i="213"/>
  <c r="Z369" i="213"/>
  <c r="X369" i="213"/>
  <c r="W369" i="213"/>
  <c r="V369" i="213"/>
  <c r="S369" i="213"/>
  <c r="R369" i="213"/>
  <c r="Q369" i="213"/>
  <c r="P369" i="213"/>
  <c r="O369" i="213"/>
  <c r="N369" i="213"/>
  <c r="M369" i="213"/>
  <c r="AH368" i="213"/>
  <c r="AG368" i="213"/>
  <c r="AC368" i="213"/>
  <c r="AB368" i="213"/>
  <c r="AA368" i="213"/>
  <c r="Z368" i="213"/>
  <c r="X368" i="213"/>
  <c r="W368" i="213"/>
  <c r="V368" i="213"/>
  <c r="S368" i="213"/>
  <c r="R368" i="213"/>
  <c r="Q368" i="213"/>
  <c r="P368" i="213"/>
  <c r="O368" i="213"/>
  <c r="N368" i="213"/>
  <c r="M368" i="213"/>
  <c r="AH367" i="213"/>
  <c r="AG367" i="213"/>
  <c r="AC367" i="213"/>
  <c r="AB367" i="213"/>
  <c r="AA367" i="213"/>
  <c r="Z367" i="213"/>
  <c r="X367" i="213"/>
  <c r="W367" i="213"/>
  <c r="V367" i="213"/>
  <c r="Y367" i="213" s="1"/>
  <c r="S367" i="213"/>
  <c r="R367" i="213"/>
  <c r="Q367" i="213"/>
  <c r="P367" i="213"/>
  <c r="O367" i="213"/>
  <c r="N367" i="213"/>
  <c r="M367" i="213"/>
  <c r="AH366" i="213"/>
  <c r="AG366" i="213"/>
  <c r="AC366" i="213"/>
  <c r="AB366" i="213"/>
  <c r="AA366" i="213"/>
  <c r="Z366" i="213"/>
  <c r="X366" i="213"/>
  <c r="W366" i="213"/>
  <c r="V366" i="213"/>
  <c r="S366" i="213"/>
  <c r="R366" i="213"/>
  <c r="Q366" i="213"/>
  <c r="P366" i="213"/>
  <c r="O366" i="213"/>
  <c r="N366" i="213"/>
  <c r="M366" i="213"/>
  <c r="AH365" i="213"/>
  <c r="AG365" i="213"/>
  <c r="AC365" i="213"/>
  <c r="AB365" i="213"/>
  <c r="AA365" i="213"/>
  <c r="Z365" i="213"/>
  <c r="X365" i="213"/>
  <c r="W365" i="213"/>
  <c r="V365" i="213"/>
  <c r="S365" i="213"/>
  <c r="R365" i="213"/>
  <c r="Q365" i="213"/>
  <c r="P365" i="213"/>
  <c r="O365" i="213"/>
  <c r="N365" i="213"/>
  <c r="M365" i="213"/>
  <c r="AH364" i="213"/>
  <c r="AG364" i="213"/>
  <c r="AC364" i="213"/>
  <c r="AB364" i="213"/>
  <c r="AA364" i="213"/>
  <c r="Z364" i="213"/>
  <c r="X364" i="213"/>
  <c r="W364" i="213"/>
  <c r="V364" i="213"/>
  <c r="S364" i="213"/>
  <c r="R364" i="213"/>
  <c r="Q364" i="213"/>
  <c r="P364" i="213"/>
  <c r="O364" i="213"/>
  <c r="N364" i="213"/>
  <c r="M364" i="213"/>
  <c r="AH363" i="213"/>
  <c r="AG363" i="213"/>
  <c r="AC363" i="213"/>
  <c r="AB363" i="213"/>
  <c r="AA363" i="213"/>
  <c r="Z363" i="213"/>
  <c r="X363" i="213"/>
  <c r="W363" i="213"/>
  <c r="V363" i="213"/>
  <c r="S363" i="213"/>
  <c r="R363" i="213"/>
  <c r="Q363" i="213"/>
  <c r="P363" i="213"/>
  <c r="O363" i="213"/>
  <c r="N363" i="213"/>
  <c r="M363" i="213"/>
  <c r="AH362" i="213"/>
  <c r="AG362" i="213"/>
  <c r="AC362" i="213"/>
  <c r="AB362" i="213"/>
  <c r="AA362" i="213"/>
  <c r="Z362" i="213"/>
  <c r="X362" i="213"/>
  <c r="W362" i="213"/>
  <c r="V362" i="213"/>
  <c r="S362" i="213"/>
  <c r="R362" i="213"/>
  <c r="Q362" i="213"/>
  <c r="P362" i="213"/>
  <c r="O362" i="213"/>
  <c r="N362" i="213"/>
  <c r="M362" i="213"/>
  <c r="AH361" i="213"/>
  <c r="AG361" i="213"/>
  <c r="AC361" i="213"/>
  <c r="AB361" i="213"/>
  <c r="AA361" i="213"/>
  <c r="Z361" i="213"/>
  <c r="X361" i="213"/>
  <c r="W361" i="213"/>
  <c r="V361" i="213"/>
  <c r="Y361" i="213" s="1"/>
  <c r="S361" i="213"/>
  <c r="R361" i="213"/>
  <c r="Q361" i="213"/>
  <c r="P361" i="213"/>
  <c r="O361" i="213"/>
  <c r="N361" i="213"/>
  <c r="M361" i="213"/>
  <c r="AH360" i="213"/>
  <c r="AG360" i="213"/>
  <c r="AC360" i="213"/>
  <c r="AB360" i="213"/>
  <c r="AA360" i="213"/>
  <c r="Z360" i="213"/>
  <c r="X360" i="213"/>
  <c r="W360" i="213"/>
  <c r="V360" i="213"/>
  <c r="S360" i="213"/>
  <c r="R360" i="213"/>
  <c r="Q360" i="213"/>
  <c r="P360" i="213"/>
  <c r="O360" i="213"/>
  <c r="N360" i="213"/>
  <c r="M360" i="213"/>
  <c r="AH359" i="213"/>
  <c r="AG359" i="213"/>
  <c r="AC359" i="213"/>
  <c r="AB359" i="213"/>
  <c r="AA359" i="213"/>
  <c r="Z359" i="213"/>
  <c r="X359" i="213"/>
  <c r="W359" i="213"/>
  <c r="V359" i="213"/>
  <c r="S359" i="213"/>
  <c r="R359" i="213"/>
  <c r="Q359" i="213"/>
  <c r="P359" i="213"/>
  <c r="O359" i="213"/>
  <c r="N359" i="213"/>
  <c r="M359" i="213"/>
  <c r="AH358" i="213"/>
  <c r="AG358" i="213"/>
  <c r="AC358" i="213"/>
  <c r="AB358" i="213"/>
  <c r="AA358" i="213"/>
  <c r="Z358" i="213"/>
  <c r="X358" i="213"/>
  <c r="W358" i="213"/>
  <c r="V358" i="213"/>
  <c r="S358" i="213"/>
  <c r="R358" i="213"/>
  <c r="Q358" i="213"/>
  <c r="P358" i="213"/>
  <c r="O358" i="213"/>
  <c r="N358" i="213"/>
  <c r="M358" i="213"/>
  <c r="AH357" i="213"/>
  <c r="AG357" i="213"/>
  <c r="AC357" i="213"/>
  <c r="AB357" i="213"/>
  <c r="AA357" i="213"/>
  <c r="Z357" i="213"/>
  <c r="X357" i="213"/>
  <c r="W357" i="213"/>
  <c r="V357" i="213"/>
  <c r="S357" i="213"/>
  <c r="R357" i="213"/>
  <c r="Q357" i="213"/>
  <c r="P357" i="213"/>
  <c r="O357" i="213"/>
  <c r="N357" i="213"/>
  <c r="M357" i="213"/>
  <c r="AH356" i="213"/>
  <c r="AG356" i="213"/>
  <c r="AC356" i="213"/>
  <c r="AB356" i="213"/>
  <c r="AA356" i="213"/>
  <c r="Z356" i="213"/>
  <c r="X356" i="213"/>
  <c r="W356" i="213"/>
  <c r="V356" i="213"/>
  <c r="S356" i="213"/>
  <c r="R356" i="213"/>
  <c r="Q356" i="213"/>
  <c r="P356" i="213"/>
  <c r="O356" i="213"/>
  <c r="N356" i="213"/>
  <c r="M356" i="213"/>
  <c r="AH355" i="213"/>
  <c r="AG355" i="213"/>
  <c r="AC355" i="213"/>
  <c r="AB355" i="213"/>
  <c r="AA355" i="213"/>
  <c r="Z355" i="213"/>
  <c r="X355" i="213"/>
  <c r="W355" i="213"/>
  <c r="V355" i="213"/>
  <c r="S355" i="213"/>
  <c r="R355" i="213"/>
  <c r="Q355" i="213"/>
  <c r="P355" i="213"/>
  <c r="O355" i="213"/>
  <c r="N355" i="213"/>
  <c r="M355" i="213"/>
  <c r="AH354" i="213"/>
  <c r="AG354" i="213"/>
  <c r="AC354" i="213"/>
  <c r="AB354" i="213"/>
  <c r="AA354" i="213"/>
  <c r="Z354" i="213"/>
  <c r="X354" i="213"/>
  <c r="W354" i="213"/>
  <c r="V354" i="213"/>
  <c r="S354" i="213"/>
  <c r="R354" i="213"/>
  <c r="Q354" i="213"/>
  <c r="P354" i="213"/>
  <c r="O354" i="213"/>
  <c r="N354" i="213"/>
  <c r="M354" i="213"/>
  <c r="AH353" i="213"/>
  <c r="AG353" i="213"/>
  <c r="AC353" i="213"/>
  <c r="AB353" i="213"/>
  <c r="AA353" i="213"/>
  <c r="Z353" i="213"/>
  <c r="X353" i="213"/>
  <c r="W353" i="213"/>
  <c r="V353" i="213"/>
  <c r="S353" i="213"/>
  <c r="R353" i="213"/>
  <c r="Q353" i="213"/>
  <c r="P353" i="213"/>
  <c r="O353" i="213"/>
  <c r="N353" i="213"/>
  <c r="M353" i="213"/>
  <c r="AH352" i="213"/>
  <c r="AG352" i="213"/>
  <c r="AC352" i="213"/>
  <c r="AB352" i="213"/>
  <c r="AA352" i="213"/>
  <c r="Z352" i="213"/>
  <c r="X352" i="213"/>
  <c r="W352" i="213"/>
  <c r="V352" i="213"/>
  <c r="S352" i="213"/>
  <c r="R352" i="213"/>
  <c r="Q352" i="213"/>
  <c r="P352" i="213"/>
  <c r="O352" i="213"/>
  <c r="N352" i="213"/>
  <c r="M352" i="213"/>
  <c r="AH351" i="213"/>
  <c r="AG351" i="213"/>
  <c r="AC351" i="213"/>
  <c r="AB351" i="213"/>
  <c r="AA351" i="213"/>
  <c r="Z351" i="213"/>
  <c r="X351" i="213"/>
  <c r="W351" i="213"/>
  <c r="V351" i="213"/>
  <c r="S351" i="213"/>
  <c r="R351" i="213"/>
  <c r="Q351" i="213"/>
  <c r="P351" i="213"/>
  <c r="O351" i="213"/>
  <c r="N351" i="213"/>
  <c r="M351" i="213"/>
  <c r="AH350" i="213"/>
  <c r="AG350" i="213"/>
  <c r="AC350" i="213"/>
  <c r="AB350" i="213"/>
  <c r="AA350" i="213"/>
  <c r="Z350" i="213"/>
  <c r="X350" i="213"/>
  <c r="W350" i="213"/>
  <c r="V350" i="213"/>
  <c r="S350" i="213"/>
  <c r="R350" i="213"/>
  <c r="Q350" i="213"/>
  <c r="P350" i="213"/>
  <c r="O350" i="213"/>
  <c r="N350" i="213"/>
  <c r="M350" i="213"/>
  <c r="AH349" i="213"/>
  <c r="AG349" i="213"/>
  <c r="AC349" i="213"/>
  <c r="AB349" i="213"/>
  <c r="AA349" i="213"/>
  <c r="Z349" i="213"/>
  <c r="X349" i="213"/>
  <c r="W349" i="213"/>
  <c r="V349" i="213"/>
  <c r="S349" i="213"/>
  <c r="R349" i="213"/>
  <c r="Q349" i="213"/>
  <c r="P349" i="213"/>
  <c r="O349" i="213"/>
  <c r="N349" i="213"/>
  <c r="M349" i="213"/>
  <c r="AH348" i="213"/>
  <c r="AG348" i="213"/>
  <c r="AC348" i="213"/>
  <c r="AB348" i="213"/>
  <c r="AA348" i="213"/>
  <c r="Z348" i="213"/>
  <c r="X348" i="213"/>
  <c r="W348" i="213"/>
  <c r="V348" i="213"/>
  <c r="S348" i="213"/>
  <c r="R348" i="213"/>
  <c r="Q348" i="213"/>
  <c r="P348" i="213"/>
  <c r="O348" i="213"/>
  <c r="N348" i="213"/>
  <c r="M348" i="213"/>
  <c r="AH347" i="213"/>
  <c r="AG347" i="213"/>
  <c r="AC347" i="213"/>
  <c r="AB347" i="213"/>
  <c r="AA347" i="213"/>
  <c r="Z347" i="213"/>
  <c r="X347" i="213"/>
  <c r="W347" i="213"/>
  <c r="V347" i="213"/>
  <c r="S347" i="213"/>
  <c r="R347" i="213"/>
  <c r="Q347" i="213"/>
  <c r="P347" i="213"/>
  <c r="O347" i="213"/>
  <c r="N347" i="213"/>
  <c r="M347" i="213"/>
  <c r="AH346" i="213"/>
  <c r="AG346" i="213"/>
  <c r="AC346" i="213"/>
  <c r="AB346" i="213"/>
  <c r="AA346" i="213"/>
  <c r="Z346" i="213"/>
  <c r="X346" i="213"/>
  <c r="W346" i="213"/>
  <c r="V346" i="213"/>
  <c r="S346" i="213"/>
  <c r="R346" i="213"/>
  <c r="Q346" i="213"/>
  <c r="P346" i="213"/>
  <c r="O346" i="213"/>
  <c r="N346" i="213"/>
  <c r="M346" i="213"/>
  <c r="AH345" i="213"/>
  <c r="AG345" i="213"/>
  <c r="AC345" i="213"/>
  <c r="AB345" i="213"/>
  <c r="AA345" i="213"/>
  <c r="Z345" i="213"/>
  <c r="X345" i="213"/>
  <c r="W345" i="213"/>
  <c r="V345" i="213"/>
  <c r="S345" i="213"/>
  <c r="R345" i="213"/>
  <c r="Q345" i="213"/>
  <c r="P345" i="213"/>
  <c r="O345" i="213"/>
  <c r="N345" i="213"/>
  <c r="M345" i="213"/>
  <c r="AH344" i="213"/>
  <c r="AG344" i="213"/>
  <c r="AC344" i="213"/>
  <c r="AB344" i="213"/>
  <c r="AA344" i="213"/>
  <c r="Z344" i="213"/>
  <c r="X344" i="213"/>
  <c r="W344" i="213"/>
  <c r="V344" i="213"/>
  <c r="S344" i="213"/>
  <c r="R344" i="213"/>
  <c r="Q344" i="213"/>
  <c r="P344" i="213"/>
  <c r="O344" i="213"/>
  <c r="N344" i="213"/>
  <c r="M344" i="213"/>
  <c r="AH343" i="213"/>
  <c r="AG343" i="213"/>
  <c r="AC343" i="213"/>
  <c r="AB343" i="213"/>
  <c r="AA343" i="213"/>
  <c r="Z343" i="213"/>
  <c r="X343" i="213"/>
  <c r="W343" i="213"/>
  <c r="V343" i="213"/>
  <c r="S343" i="213"/>
  <c r="R343" i="213"/>
  <c r="Q343" i="213"/>
  <c r="P343" i="213"/>
  <c r="O343" i="213"/>
  <c r="N343" i="213"/>
  <c r="M343" i="213"/>
  <c r="AH342" i="213"/>
  <c r="AG342" i="213"/>
  <c r="AC342" i="213"/>
  <c r="AB342" i="213"/>
  <c r="AA342" i="213"/>
  <c r="Z342" i="213"/>
  <c r="X342" i="213"/>
  <c r="W342" i="213"/>
  <c r="V342" i="213"/>
  <c r="S342" i="213"/>
  <c r="R342" i="213"/>
  <c r="Q342" i="213"/>
  <c r="P342" i="213"/>
  <c r="O342" i="213"/>
  <c r="N342" i="213"/>
  <c r="M342" i="213"/>
  <c r="AH341" i="213"/>
  <c r="AG341" i="213"/>
  <c r="AC341" i="213"/>
  <c r="AB341" i="213"/>
  <c r="AA341" i="213"/>
  <c r="Z341" i="213"/>
  <c r="X341" i="213"/>
  <c r="W341" i="213"/>
  <c r="V341" i="213"/>
  <c r="S341" i="213"/>
  <c r="R341" i="213"/>
  <c r="Q341" i="213"/>
  <c r="P341" i="213"/>
  <c r="O341" i="213"/>
  <c r="N341" i="213"/>
  <c r="M341" i="213"/>
  <c r="AH340" i="213"/>
  <c r="AG340" i="213"/>
  <c r="AC340" i="213"/>
  <c r="AB340" i="213"/>
  <c r="AA340" i="213"/>
  <c r="Z340" i="213"/>
  <c r="X340" i="213"/>
  <c r="W340" i="213"/>
  <c r="V340" i="213"/>
  <c r="S340" i="213"/>
  <c r="R340" i="213"/>
  <c r="Q340" i="213"/>
  <c r="P340" i="213"/>
  <c r="O340" i="213"/>
  <c r="N340" i="213"/>
  <c r="M340" i="213"/>
  <c r="AH339" i="213"/>
  <c r="AG339" i="213"/>
  <c r="AC339" i="213"/>
  <c r="AB339" i="213"/>
  <c r="AA339" i="213"/>
  <c r="Z339" i="213"/>
  <c r="X339" i="213"/>
  <c r="W339" i="213"/>
  <c r="V339" i="213"/>
  <c r="S339" i="213"/>
  <c r="R339" i="213"/>
  <c r="Q339" i="213"/>
  <c r="P339" i="213"/>
  <c r="O339" i="213"/>
  <c r="N339" i="213"/>
  <c r="M339" i="213"/>
  <c r="AH338" i="213"/>
  <c r="AG338" i="213"/>
  <c r="AC338" i="213"/>
  <c r="AB338" i="213"/>
  <c r="AA338" i="213"/>
  <c r="Z338" i="213"/>
  <c r="X338" i="213"/>
  <c r="W338" i="213"/>
  <c r="V338" i="213"/>
  <c r="S338" i="213"/>
  <c r="R338" i="213"/>
  <c r="Q338" i="213"/>
  <c r="P338" i="213"/>
  <c r="O338" i="213"/>
  <c r="N338" i="213"/>
  <c r="M338" i="213"/>
  <c r="AH337" i="213"/>
  <c r="AG337" i="213"/>
  <c r="AC337" i="213"/>
  <c r="AB337" i="213"/>
  <c r="AA337" i="213"/>
  <c r="Z337" i="213"/>
  <c r="X337" i="213"/>
  <c r="W337" i="213"/>
  <c r="V337" i="213"/>
  <c r="Y337" i="213" s="1"/>
  <c r="S337" i="213"/>
  <c r="R337" i="213"/>
  <c r="Q337" i="213"/>
  <c r="P337" i="213"/>
  <c r="O337" i="213"/>
  <c r="N337" i="213"/>
  <c r="M337" i="213"/>
  <c r="AH336" i="213"/>
  <c r="AG336" i="213"/>
  <c r="AC336" i="213"/>
  <c r="AB336" i="213"/>
  <c r="AA336" i="213"/>
  <c r="Z336" i="213"/>
  <c r="X336" i="213"/>
  <c r="W336" i="213"/>
  <c r="V336" i="213"/>
  <c r="S336" i="213"/>
  <c r="R336" i="213"/>
  <c r="Q336" i="213"/>
  <c r="P336" i="213"/>
  <c r="O336" i="213"/>
  <c r="N336" i="213"/>
  <c r="M336" i="213"/>
  <c r="AH335" i="213"/>
  <c r="AG335" i="213"/>
  <c r="AC335" i="213"/>
  <c r="AB335" i="213"/>
  <c r="AA335" i="213"/>
  <c r="Z335" i="213"/>
  <c r="X335" i="213"/>
  <c r="W335" i="213"/>
  <c r="V335" i="213"/>
  <c r="S335" i="213"/>
  <c r="R335" i="213"/>
  <c r="Q335" i="213"/>
  <c r="P335" i="213"/>
  <c r="O335" i="213"/>
  <c r="N335" i="213"/>
  <c r="M335" i="213"/>
  <c r="AH334" i="213"/>
  <c r="AG334" i="213"/>
  <c r="AC334" i="213"/>
  <c r="AB334" i="213"/>
  <c r="AA334" i="213"/>
  <c r="Z334" i="213"/>
  <c r="X334" i="213"/>
  <c r="W334" i="213"/>
  <c r="V334" i="213"/>
  <c r="S334" i="213"/>
  <c r="R334" i="213"/>
  <c r="Q334" i="213"/>
  <c r="P334" i="213"/>
  <c r="O334" i="213"/>
  <c r="N334" i="213"/>
  <c r="M334" i="213"/>
  <c r="AH333" i="213"/>
  <c r="AG333" i="213"/>
  <c r="AC333" i="213"/>
  <c r="AB333" i="213"/>
  <c r="AA333" i="213"/>
  <c r="Z333" i="213"/>
  <c r="X333" i="213"/>
  <c r="W333" i="213"/>
  <c r="V333" i="213"/>
  <c r="S333" i="213"/>
  <c r="R333" i="213"/>
  <c r="Q333" i="213"/>
  <c r="P333" i="213"/>
  <c r="O333" i="213"/>
  <c r="N333" i="213"/>
  <c r="M333" i="213"/>
  <c r="AH332" i="213"/>
  <c r="AG332" i="213"/>
  <c r="AC332" i="213"/>
  <c r="AB332" i="213"/>
  <c r="AA332" i="213"/>
  <c r="Z332" i="213"/>
  <c r="X332" i="213"/>
  <c r="W332" i="213"/>
  <c r="V332" i="213"/>
  <c r="S332" i="213"/>
  <c r="R332" i="213"/>
  <c r="Q332" i="213"/>
  <c r="P332" i="213"/>
  <c r="O332" i="213"/>
  <c r="N332" i="213"/>
  <c r="M332" i="213"/>
  <c r="AH331" i="213"/>
  <c r="AG331" i="213"/>
  <c r="AC331" i="213"/>
  <c r="AB331" i="213"/>
  <c r="AA331" i="213"/>
  <c r="Z331" i="213"/>
  <c r="X331" i="213"/>
  <c r="W331" i="213"/>
  <c r="V331" i="213"/>
  <c r="S331" i="213"/>
  <c r="R331" i="213"/>
  <c r="Q331" i="213"/>
  <c r="P331" i="213"/>
  <c r="O331" i="213"/>
  <c r="N331" i="213"/>
  <c r="M331" i="213"/>
  <c r="AH330" i="213"/>
  <c r="AG330" i="213"/>
  <c r="AC330" i="213"/>
  <c r="AB330" i="213"/>
  <c r="AA330" i="213"/>
  <c r="Z330" i="213"/>
  <c r="X330" i="213"/>
  <c r="W330" i="213"/>
  <c r="V330" i="213"/>
  <c r="S330" i="213"/>
  <c r="R330" i="213"/>
  <c r="Q330" i="213"/>
  <c r="P330" i="213"/>
  <c r="O330" i="213"/>
  <c r="N330" i="213"/>
  <c r="M330" i="213"/>
  <c r="AH329" i="213"/>
  <c r="AG329" i="213"/>
  <c r="AC329" i="213"/>
  <c r="AB329" i="213"/>
  <c r="AA329" i="213"/>
  <c r="Z329" i="213"/>
  <c r="X329" i="213"/>
  <c r="W329" i="213"/>
  <c r="V329" i="213"/>
  <c r="S329" i="213"/>
  <c r="R329" i="213"/>
  <c r="Q329" i="213"/>
  <c r="P329" i="213"/>
  <c r="O329" i="213"/>
  <c r="N329" i="213"/>
  <c r="M329" i="213"/>
  <c r="AH328" i="213"/>
  <c r="AG328" i="213"/>
  <c r="AC328" i="213"/>
  <c r="AB328" i="213"/>
  <c r="AA328" i="213"/>
  <c r="Z328" i="213"/>
  <c r="X328" i="213"/>
  <c r="W328" i="213"/>
  <c r="V328" i="213"/>
  <c r="S328" i="213"/>
  <c r="R328" i="213"/>
  <c r="Q328" i="213"/>
  <c r="P328" i="213"/>
  <c r="O328" i="213"/>
  <c r="N328" i="213"/>
  <c r="M328" i="213"/>
  <c r="AH327" i="213"/>
  <c r="AG327" i="213"/>
  <c r="AC327" i="213"/>
  <c r="AB327" i="213"/>
  <c r="AA327" i="213"/>
  <c r="Z327" i="213"/>
  <c r="X327" i="213"/>
  <c r="W327" i="213"/>
  <c r="V327" i="213"/>
  <c r="S327" i="213"/>
  <c r="R327" i="213"/>
  <c r="Q327" i="213"/>
  <c r="P327" i="213"/>
  <c r="O327" i="213"/>
  <c r="N327" i="213"/>
  <c r="M327" i="213"/>
  <c r="AH326" i="213"/>
  <c r="AG326" i="213"/>
  <c r="AC326" i="213"/>
  <c r="AB326" i="213"/>
  <c r="AA326" i="213"/>
  <c r="Z326" i="213"/>
  <c r="X326" i="213"/>
  <c r="W326" i="213"/>
  <c r="V326" i="213"/>
  <c r="S326" i="213"/>
  <c r="R326" i="213"/>
  <c r="Q326" i="213"/>
  <c r="P326" i="213"/>
  <c r="O326" i="213"/>
  <c r="N326" i="213"/>
  <c r="M326" i="213"/>
  <c r="AH325" i="213"/>
  <c r="AG325" i="213"/>
  <c r="AC325" i="213"/>
  <c r="AB325" i="213"/>
  <c r="AA325" i="213"/>
  <c r="Z325" i="213"/>
  <c r="X325" i="213"/>
  <c r="W325" i="213"/>
  <c r="V325" i="213"/>
  <c r="S325" i="213"/>
  <c r="R325" i="213"/>
  <c r="Q325" i="213"/>
  <c r="P325" i="213"/>
  <c r="O325" i="213"/>
  <c r="N325" i="213"/>
  <c r="M325" i="213"/>
  <c r="AH324" i="213"/>
  <c r="AG324" i="213"/>
  <c r="AC324" i="213"/>
  <c r="AB324" i="213"/>
  <c r="AA324" i="213"/>
  <c r="Z324" i="213"/>
  <c r="X324" i="213"/>
  <c r="W324" i="213"/>
  <c r="V324" i="213"/>
  <c r="S324" i="213"/>
  <c r="R324" i="213"/>
  <c r="Q324" i="213"/>
  <c r="P324" i="213"/>
  <c r="O324" i="213"/>
  <c r="N324" i="213"/>
  <c r="M324" i="213"/>
  <c r="AH323" i="213"/>
  <c r="AG323" i="213"/>
  <c r="AC323" i="213"/>
  <c r="AB323" i="213"/>
  <c r="AA323" i="213"/>
  <c r="Z323" i="213"/>
  <c r="X323" i="213"/>
  <c r="W323" i="213"/>
  <c r="V323" i="213"/>
  <c r="S323" i="213"/>
  <c r="R323" i="213"/>
  <c r="Q323" i="213"/>
  <c r="P323" i="213"/>
  <c r="O323" i="213"/>
  <c r="N323" i="213"/>
  <c r="M323" i="213"/>
  <c r="AH322" i="213"/>
  <c r="AG322" i="213"/>
  <c r="AC322" i="213"/>
  <c r="AB322" i="213"/>
  <c r="AA322" i="213"/>
  <c r="Z322" i="213"/>
  <c r="X322" i="213"/>
  <c r="W322" i="213"/>
  <c r="V322" i="213"/>
  <c r="S322" i="213"/>
  <c r="R322" i="213"/>
  <c r="Q322" i="213"/>
  <c r="P322" i="213"/>
  <c r="O322" i="213"/>
  <c r="N322" i="213"/>
  <c r="M322" i="213"/>
  <c r="AH321" i="213"/>
  <c r="AG321" i="213"/>
  <c r="AC321" i="213"/>
  <c r="AB321" i="213"/>
  <c r="AA321" i="213"/>
  <c r="Z321" i="213"/>
  <c r="X321" i="213"/>
  <c r="W321" i="213"/>
  <c r="V321" i="213"/>
  <c r="S321" i="213"/>
  <c r="R321" i="213"/>
  <c r="Q321" i="213"/>
  <c r="P321" i="213"/>
  <c r="O321" i="213"/>
  <c r="N321" i="213"/>
  <c r="M321" i="213"/>
  <c r="AH320" i="213"/>
  <c r="AG320" i="213"/>
  <c r="AC320" i="213"/>
  <c r="AB320" i="213"/>
  <c r="AA320" i="213"/>
  <c r="Z320" i="213"/>
  <c r="X320" i="213"/>
  <c r="W320" i="213"/>
  <c r="V320" i="213"/>
  <c r="S320" i="213"/>
  <c r="R320" i="213"/>
  <c r="Q320" i="213"/>
  <c r="P320" i="213"/>
  <c r="O320" i="213"/>
  <c r="N320" i="213"/>
  <c r="M320" i="213"/>
  <c r="AH319" i="213"/>
  <c r="AG319" i="213"/>
  <c r="AC319" i="213"/>
  <c r="AB319" i="213"/>
  <c r="AA319" i="213"/>
  <c r="Z319" i="213"/>
  <c r="X319" i="213"/>
  <c r="W319" i="213"/>
  <c r="V319" i="213"/>
  <c r="S319" i="213"/>
  <c r="R319" i="213"/>
  <c r="Q319" i="213"/>
  <c r="P319" i="213"/>
  <c r="O319" i="213"/>
  <c r="N319" i="213"/>
  <c r="M319" i="213"/>
  <c r="AH318" i="213"/>
  <c r="AG318" i="213"/>
  <c r="AC318" i="213"/>
  <c r="AB318" i="213"/>
  <c r="AA318" i="213"/>
  <c r="Z318" i="213"/>
  <c r="X318" i="213"/>
  <c r="W318" i="213"/>
  <c r="V318" i="213"/>
  <c r="S318" i="213"/>
  <c r="R318" i="213"/>
  <c r="Q318" i="213"/>
  <c r="P318" i="213"/>
  <c r="O318" i="213"/>
  <c r="N318" i="213"/>
  <c r="M318" i="213"/>
  <c r="AH317" i="213"/>
  <c r="AG317" i="213"/>
  <c r="AC317" i="213"/>
  <c r="AB317" i="213"/>
  <c r="AA317" i="213"/>
  <c r="Z317" i="213"/>
  <c r="X317" i="213"/>
  <c r="W317" i="213"/>
  <c r="V317" i="213"/>
  <c r="S317" i="213"/>
  <c r="R317" i="213"/>
  <c r="Q317" i="213"/>
  <c r="P317" i="213"/>
  <c r="O317" i="213"/>
  <c r="N317" i="213"/>
  <c r="M317" i="213"/>
  <c r="AH316" i="213"/>
  <c r="AG316" i="213"/>
  <c r="AC316" i="213"/>
  <c r="AB316" i="213"/>
  <c r="AA316" i="213"/>
  <c r="Z316" i="213"/>
  <c r="X316" i="213"/>
  <c r="W316" i="213"/>
  <c r="V316" i="213"/>
  <c r="S316" i="213"/>
  <c r="R316" i="213"/>
  <c r="Q316" i="213"/>
  <c r="P316" i="213"/>
  <c r="O316" i="213"/>
  <c r="N316" i="213"/>
  <c r="M316" i="213"/>
  <c r="AH315" i="213"/>
  <c r="AG315" i="213"/>
  <c r="AC315" i="213"/>
  <c r="AB315" i="213"/>
  <c r="AA315" i="213"/>
  <c r="Z315" i="213"/>
  <c r="X315" i="213"/>
  <c r="W315" i="213"/>
  <c r="V315" i="213"/>
  <c r="S315" i="213"/>
  <c r="R315" i="213"/>
  <c r="Q315" i="213"/>
  <c r="P315" i="213"/>
  <c r="O315" i="213"/>
  <c r="N315" i="213"/>
  <c r="M315" i="213"/>
  <c r="AH314" i="213"/>
  <c r="AG314" i="213"/>
  <c r="AC314" i="213"/>
  <c r="AB314" i="213"/>
  <c r="AA314" i="213"/>
  <c r="Z314" i="213"/>
  <c r="X314" i="213"/>
  <c r="W314" i="213"/>
  <c r="V314" i="213"/>
  <c r="S314" i="213"/>
  <c r="R314" i="213"/>
  <c r="Q314" i="213"/>
  <c r="P314" i="213"/>
  <c r="O314" i="213"/>
  <c r="N314" i="213"/>
  <c r="M314" i="213"/>
  <c r="AH313" i="213"/>
  <c r="AG313" i="213"/>
  <c r="AC313" i="213"/>
  <c r="AB313" i="213"/>
  <c r="AA313" i="213"/>
  <c r="Z313" i="213"/>
  <c r="X313" i="213"/>
  <c r="W313" i="213"/>
  <c r="V313" i="213"/>
  <c r="S313" i="213"/>
  <c r="R313" i="213"/>
  <c r="Q313" i="213"/>
  <c r="P313" i="213"/>
  <c r="O313" i="213"/>
  <c r="N313" i="213"/>
  <c r="M313" i="213"/>
  <c r="AH312" i="213"/>
  <c r="AG312" i="213"/>
  <c r="AC312" i="213"/>
  <c r="AB312" i="213"/>
  <c r="AA312" i="213"/>
  <c r="Z312" i="213"/>
  <c r="X312" i="213"/>
  <c r="W312" i="213"/>
  <c r="V312" i="213"/>
  <c r="Y312" i="213" s="1"/>
  <c r="S312" i="213"/>
  <c r="R312" i="213"/>
  <c r="Q312" i="213"/>
  <c r="P312" i="213"/>
  <c r="O312" i="213"/>
  <c r="N312" i="213"/>
  <c r="M312" i="213"/>
  <c r="AH311" i="213"/>
  <c r="AG311" i="213"/>
  <c r="AC311" i="213"/>
  <c r="AB311" i="213"/>
  <c r="AA311" i="213"/>
  <c r="Z311" i="213"/>
  <c r="X311" i="213"/>
  <c r="W311" i="213"/>
  <c r="V311" i="213"/>
  <c r="S311" i="213"/>
  <c r="R311" i="213"/>
  <c r="Q311" i="213"/>
  <c r="P311" i="213"/>
  <c r="O311" i="213"/>
  <c r="N311" i="213"/>
  <c r="M311" i="213"/>
  <c r="AH310" i="213"/>
  <c r="AG310" i="213"/>
  <c r="AC310" i="213"/>
  <c r="AB310" i="213"/>
  <c r="AA310" i="213"/>
  <c r="Z310" i="213"/>
  <c r="X310" i="213"/>
  <c r="W310" i="213"/>
  <c r="V310" i="213"/>
  <c r="S310" i="213"/>
  <c r="R310" i="213"/>
  <c r="Q310" i="213"/>
  <c r="P310" i="213"/>
  <c r="O310" i="213"/>
  <c r="N310" i="213"/>
  <c r="M310" i="213"/>
  <c r="AH309" i="213"/>
  <c r="AG309" i="213"/>
  <c r="AC309" i="213"/>
  <c r="AB309" i="213"/>
  <c r="AA309" i="213"/>
  <c r="Z309" i="213"/>
  <c r="X309" i="213"/>
  <c r="W309" i="213"/>
  <c r="V309" i="213"/>
  <c r="S309" i="213"/>
  <c r="R309" i="213"/>
  <c r="Q309" i="213"/>
  <c r="P309" i="213"/>
  <c r="O309" i="213"/>
  <c r="N309" i="213"/>
  <c r="M309" i="213"/>
  <c r="AH308" i="213"/>
  <c r="AG308" i="213"/>
  <c r="AC308" i="213"/>
  <c r="AB308" i="213"/>
  <c r="AA308" i="213"/>
  <c r="Z308" i="213"/>
  <c r="X308" i="213"/>
  <c r="W308" i="213"/>
  <c r="V308" i="213"/>
  <c r="S308" i="213"/>
  <c r="R308" i="213"/>
  <c r="Q308" i="213"/>
  <c r="P308" i="213"/>
  <c r="O308" i="213"/>
  <c r="N308" i="213"/>
  <c r="M308" i="213"/>
  <c r="AH307" i="213"/>
  <c r="AG307" i="213"/>
  <c r="AC307" i="213"/>
  <c r="AB307" i="213"/>
  <c r="AA307" i="213"/>
  <c r="Z307" i="213"/>
  <c r="X307" i="213"/>
  <c r="W307" i="213"/>
  <c r="V307" i="213"/>
  <c r="Y307" i="213" s="1"/>
  <c r="S307" i="213"/>
  <c r="R307" i="213"/>
  <c r="Q307" i="213"/>
  <c r="P307" i="213"/>
  <c r="O307" i="213"/>
  <c r="N307" i="213"/>
  <c r="M307" i="213"/>
  <c r="AH306" i="213"/>
  <c r="AG306" i="213"/>
  <c r="AC306" i="213"/>
  <c r="AB306" i="213"/>
  <c r="AA306" i="213"/>
  <c r="Z306" i="213"/>
  <c r="X306" i="213"/>
  <c r="W306" i="213"/>
  <c r="V306" i="213"/>
  <c r="S306" i="213"/>
  <c r="R306" i="213"/>
  <c r="Q306" i="213"/>
  <c r="P306" i="213"/>
  <c r="O306" i="213"/>
  <c r="N306" i="213"/>
  <c r="M306" i="213"/>
  <c r="AH305" i="213"/>
  <c r="AG305" i="213"/>
  <c r="AC305" i="213"/>
  <c r="AB305" i="213"/>
  <c r="AA305" i="213"/>
  <c r="Z305" i="213"/>
  <c r="X305" i="213"/>
  <c r="W305" i="213"/>
  <c r="V305" i="213"/>
  <c r="S305" i="213"/>
  <c r="R305" i="213"/>
  <c r="Q305" i="213"/>
  <c r="P305" i="213"/>
  <c r="O305" i="213"/>
  <c r="N305" i="213"/>
  <c r="M305" i="213"/>
  <c r="AH304" i="213"/>
  <c r="AG304" i="213"/>
  <c r="AC304" i="213"/>
  <c r="AB304" i="213"/>
  <c r="AA304" i="213"/>
  <c r="Z304" i="213"/>
  <c r="X304" i="213"/>
  <c r="W304" i="213"/>
  <c r="V304" i="213"/>
  <c r="S304" i="213"/>
  <c r="R304" i="213"/>
  <c r="Q304" i="213"/>
  <c r="P304" i="213"/>
  <c r="O304" i="213"/>
  <c r="N304" i="213"/>
  <c r="M304" i="213"/>
  <c r="AH303" i="213"/>
  <c r="AG303" i="213"/>
  <c r="AC303" i="213"/>
  <c r="AB303" i="213"/>
  <c r="AA303" i="213"/>
  <c r="Z303" i="213"/>
  <c r="X303" i="213"/>
  <c r="W303" i="213"/>
  <c r="V303" i="213"/>
  <c r="S303" i="213"/>
  <c r="R303" i="213"/>
  <c r="Q303" i="213"/>
  <c r="P303" i="213"/>
  <c r="O303" i="213"/>
  <c r="N303" i="213"/>
  <c r="M303" i="213"/>
  <c r="AH302" i="213"/>
  <c r="AG302" i="213"/>
  <c r="AC302" i="213"/>
  <c r="AB302" i="213"/>
  <c r="AA302" i="213"/>
  <c r="Z302" i="213"/>
  <c r="X302" i="213"/>
  <c r="W302" i="213"/>
  <c r="V302" i="213"/>
  <c r="S302" i="213"/>
  <c r="R302" i="213"/>
  <c r="Q302" i="213"/>
  <c r="P302" i="213"/>
  <c r="O302" i="213"/>
  <c r="N302" i="213"/>
  <c r="M302" i="213"/>
  <c r="AH301" i="213"/>
  <c r="AG301" i="213"/>
  <c r="AC301" i="213"/>
  <c r="AB301" i="213"/>
  <c r="AA301" i="213"/>
  <c r="Z301" i="213"/>
  <c r="X301" i="213"/>
  <c r="W301" i="213"/>
  <c r="V301" i="213"/>
  <c r="S301" i="213"/>
  <c r="R301" i="213"/>
  <c r="Q301" i="213"/>
  <c r="P301" i="213"/>
  <c r="O301" i="213"/>
  <c r="N301" i="213"/>
  <c r="M301" i="213"/>
  <c r="AH300" i="213"/>
  <c r="AG300" i="213"/>
  <c r="AC300" i="213"/>
  <c r="AB300" i="213"/>
  <c r="AA300" i="213"/>
  <c r="Z300" i="213"/>
  <c r="X300" i="213"/>
  <c r="W300" i="213"/>
  <c r="V300" i="213"/>
  <c r="S300" i="213"/>
  <c r="R300" i="213"/>
  <c r="Q300" i="213"/>
  <c r="P300" i="213"/>
  <c r="O300" i="213"/>
  <c r="N300" i="213"/>
  <c r="M300" i="213"/>
  <c r="AH299" i="213"/>
  <c r="AG299" i="213"/>
  <c r="AC299" i="213"/>
  <c r="AB299" i="213"/>
  <c r="AA299" i="213"/>
  <c r="Z299" i="213"/>
  <c r="X299" i="213"/>
  <c r="W299" i="213"/>
  <c r="V299" i="213"/>
  <c r="S299" i="213"/>
  <c r="R299" i="213"/>
  <c r="Q299" i="213"/>
  <c r="P299" i="213"/>
  <c r="O299" i="213"/>
  <c r="N299" i="213"/>
  <c r="M299" i="213"/>
  <c r="AH298" i="213"/>
  <c r="AG298" i="213"/>
  <c r="AC298" i="213"/>
  <c r="AB298" i="213"/>
  <c r="AA298" i="213"/>
  <c r="Z298" i="213"/>
  <c r="X298" i="213"/>
  <c r="W298" i="213"/>
  <c r="V298" i="213"/>
  <c r="S298" i="213"/>
  <c r="R298" i="213"/>
  <c r="Q298" i="213"/>
  <c r="P298" i="213"/>
  <c r="O298" i="213"/>
  <c r="N298" i="213"/>
  <c r="M298" i="213"/>
  <c r="AH297" i="213"/>
  <c r="AG297" i="213"/>
  <c r="AC297" i="213"/>
  <c r="AB297" i="213"/>
  <c r="AA297" i="213"/>
  <c r="Z297" i="213"/>
  <c r="X297" i="213"/>
  <c r="W297" i="213"/>
  <c r="V297" i="213"/>
  <c r="S297" i="213"/>
  <c r="R297" i="213"/>
  <c r="Q297" i="213"/>
  <c r="P297" i="213"/>
  <c r="O297" i="213"/>
  <c r="N297" i="213"/>
  <c r="M297" i="213"/>
  <c r="AH296" i="213"/>
  <c r="AG296" i="213"/>
  <c r="AC296" i="213"/>
  <c r="AB296" i="213"/>
  <c r="AA296" i="213"/>
  <c r="Z296" i="213"/>
  <c r="X296" i="213"/>
  <c r="W296" i="213"/>
  <c r="V296" i="213"/>
  <c r="S296" i="213"/>
  <c r="R296" i="213"/>
  <c r="Q296" i="213"/>
  <c r="P296" i="213"/>
  <c r="O296" i="213"/>
  <c r="N296" i="213"/>
  <c r="M296" i="213"/>
  <c r="AH295" i="213"/>
  <c r="AG295" i="213"/>
  <c r="AC295" i="213"/>
  <c r="AB295" i="213"/>
  <c r="AA295" i="213"/>
  <c r="Z295" i="213"/>
  <c r="X295" i="213"/>
  <c r="W295" i="213"/>
  <c r="V295" i="213"/>
  <c r="S295" i="213"/>
  <c r="R295" i="213"/>
  <c r="Q295" i="213"/>
  <c r="P295" i="213"/>
  <c r="O295" i="213"/>
  <c r="N295" i="213"/>
  <c r="M295" i="213"/>
  <c r="AH294" i="213"/>
  <c r="AG294" i="213"/>
  <c r="AC294" i="213"/>
  <c r="AB294" i="213"/>
  <c r="AA294" i="213"/>
  <c r="Z294" i="213"/>
  <c r="X294" i="213"/>
  <c r="W294" i="213"/>
  <c r="V294" i="213"/>
  <c r="S294" i="213"/>
  <c r="R294" i="213"/>
  <c r="Q294" i="213"/>
  <c r="P294" i="213"/>
  <c r="O294" i="213"/>
  <c r="N294" i="213"/>
  <c r="M294" i="213"/>
  <c r="AH293" i="213"/>
  <c r="AG293" i="213"/>
  <c r="AC293" i="213"/>
  <c r="AB293" i="213"/>
  <c r="AA293" i="213"/>
  <c r="Z293" i="213"/>
  <c r="X293" i="213"/>
  <c r="W293" i="213"/>
  <c r="V293" i="213"/>
  <c r="S293" i="213"/>
  <c r="R293" i="213"/>
  <c r="Q293" i="213"/>
  <c r="P293" i="213"/>
  <c r="O293" i="213"/>
  <c r="N293" i="213"/>
  <c r="M293" i="213"/>
  <c r="AH292" i="213"/>
  <c r="AG292" i="213"/>
  <c r="AC292" i="213"/>
  <c r="AB292" i="213"/>
  <c r="AA292" i="213"/>
  <c r="Z292" i="213"/>
  <c r="X292" i="213"/>
  <c r="W292" i="213"/>
  <c r="V292" i="213"/>
  <c r="S292" i="213"/>
  <c r="R292" i="213"/>
  <c r="Q292" i="213"/>
  <c r="P292" i="213"/>
  <c r="O292" i="213"/>
  <c r="N292" i="213"/>
  <c r="M292" i="213"/>
  <c r="AH291" i="213"/>
  <c r="AG291" i="213"/>
  <c r="AC291" i="213"/>
  <c r="AB291" i="213"/>
  <c r="AA291" i="213"/>
  <c r="Z291" i="213"/>
  <c r="X291" i="213"/>
  <c r="W291" i="213"/>
  <c r="V291" i="213"/>
  <c r="S291" i="213"/>
  <c r="R291" i="213"/>
  <c r="Q291" i="213"/>
  <c r="P291" i="213"/>
  <c r="O291" i="213"/>
  <c r="N291" i="213"/>
  <c r="M291" i="213"/>
  <c r="AH290" i="213"/>
  <c r="AG290" i="213"/>
  <c r="AC290" i="213"/>
  <c r="AB290" i="213"/>
  <c r="AA290" i="213"/>
  <c r="Z290" i="213"/>
  <c r="X290" i="213"/>
  <c r="W290" i="213"/>
  <c r="V290" i="213"/>
  <c r="S290" i="213"/>
  <c r="R290" i="213"/>
  <c r="Q290" i="213"/>
  <c r="P290" i="213"/>
  <c r="O290" i="213"/>
  <c r="N290" i="213"/>
  <c r="M290" i="213"/>
  <c r="AH289" i="213"/>
  <c r="AG289" i="213"/>
  <c r="AC289" i="213"/>
  <c r="AB289" i="213"/>
  <c r="AA289" i="213"/>
  <c r="Z289" i="213"/>
  <c r="X289" i="213"/>
  <c r="W289" i="213"/>
  <c r="V289" i="213"/>
  <c r="S289" i="213"/>
  <c r="R289" i="213"/>
  <c r="Q289" i="213"/>
  <c r="P289" i="213"/>
  <c r="O289" i="213"/>
  <c r="N289" i="213"/>
  <c r="M289" i="213"/>
  <c r="AH288" i="213"/>
  <c r="AG288" i="213"/>
  <c r="AC288" i="213"/>
  <c r="AB288" i="213"/>
  <c r="AA288" i="213"/>
  <c r="Z288" i="213"/>
  <c r="X288" i="213"/>
  <c r="W288" i="213"/>
  <c r="V288" i="213"/>
  <c r="S288" i="213"/>
  <c r="R288" i="213"/>
  <c r="Q288" i="213"/>
  <c r="P288" i="213"/>
  <c r="O288" i="213"/>
  <c r="N288" i="213"/>
  <c r="M288" i="213"/>
  <c r="AH287" i="213"/>
  <c r="AG287" i="213"/>
  <c r="AC287" i="213"/>
  <c r="AB287" i="213"/>
  <c r="AA287" i="213"/>
  <c r="Z287" i="213"/>
  <c r="X287" i="213"/>
  <c r="W287" i="213"/>
  <c r="V287" i="213"/>
  <c r="S287" i="213"/>
  <c r="R287" i="213"/>
  <c r="Q287" i="213"/>
  <c r="P287" i="213"/>
  <c r="O287" i="213"/>
  <c r="N287" i="213"/>
  <c r="M287" i="213"/>
  <c r="AH286" i="213"/>
  <c r="AG286" i="213"/>
  <c r="AC286" i="213"/>
  <c r="AB286" i="213"/>
  <c r="AA286" i="213"/>
  <c r="Z286" i="213"/>
  <c r="X286" i="213"/>
  <c r="W286" i="213"/>
  <c r="V286" i="213"/>
  <c r="Y286" i="213" s="1"/>
  <c r="S286" i="213"/>
  <c r="R286" i="213"/>
  <c r="Q286" i="213"/>
  <c r="P286" i="213"/>
  <c r="O286" i="213"/>
  <c r="N286" i="213"/>
  <c r="M286" i="213"/>
  <c r="AH285" i="213"/>
  <c r="AG285" i="213"/>
  <c r="AC285" i="213"/>
  <c r="AB285" i="213"/>
  <c r="AA285" i="213"/>
  <c r="Z285" i="213"/>
  <c r="X285" i="213"/>
  <c r="W285" i="213"/>
  <c r="V285" i="213"/>
  <c r="S285" i="213"/>
  <c r="R285" i="213"/>
  <c r="Q285" i="213"/>
  <c r="P285" i="213"/>
  <c r="O285" i="213"/>
  <c r="N285" i="213"/>
  <c r="M285" i="213"/>
  <c r="AH284" i="213"/>
  <c r="AG284" i="213"/>
  <c r="AC284" i="213"/>
  <c r="AB284" i="213"/>
  <c r="AA284" i="213"/>
  <c r="Z284" i="213"/>
  <c r="X284" i="213"/>
  <c r="W284" i="213"/>
  <c r="V284" i="213"/>
  <c r="S284" i="213"/>
  <c r="R284" i="213"/>
  <c r="Q284" i="213"/>
  <c r="P284" i="213"/>
  <c r="O284" i="213"/>
  <c r="N284" i="213"/>
  <c r="M284" i="213"/>
  <c r="AH283" i="213"/>
  <c r="AG283" i="213"/>
  <c r="AC283" i="213"/>
  <c r="AB283" i="213"/>
  <c r="AA283" i="213"/>
  <c r="Z283" i="213"/>
  <c r="X283" i="213"/>
  <c r="W283" i="213"/>
  <c r="V283" i="213"/>
  <c r="S283" i="213"/>
  <c r="R283" i="213"/>
  <c r="Q283" i="213"/>
  <c r="P283" i="213"/>
  <c r="O283" i="213"/>
  <c r="N283" i="213"/>
  <c r="M283" i="213"/>
  <c r="AH282" i="213"/>
  <c r="AG282" i="213"/>
  <c r="AC282" i="213"/>
  <c r="AB282" i="213"/>
  <c r="AA282" i="213"/>
  <c r="Z282" i="213"/>
  <c r="X282" i="213"/>
  <c r="W282" i="213"/>
  <c r="V282" i="213"/>
  <c r="S282" i="213"/>
  <c r="R282" i="213"/>
  <c r="Q282" i="213"/>
  <c r="P282" i="213"/>
  <c r="O282" i="213"/>
  <c r="N282" i="213"/>
  <c r="M282" i="213"/>
  <c r="AH281" i="213"/>
  <c r="AG281" i="213"/>
  <c r="AC281" i="213"/>
  <c r="AB281" i="213"/>
  <c r="AA281" i="213"/>
  <c r="Z281" i="213"/>
  <c r="X281" i="213"/>
  <c r="W281" i="213"/>
  <c r="V281" i="213"/>
  <c r="S281" i="213"/>
  <c r="R281" i="213"/>
  <c r="Q281" i="213"/>
  <c r="P281" i="213"/>
  <c r="O281" i="213"/>
  <c r="N281" i="213"/>
  <c r="M281" i="213"/>
  <c r="AH280" i="213"/>
  <c r="AG280" i="213"/>
  <c r="AC280" i="213"/>
  <c r="AB280" i="213"/>
  <c r="AA280" i="213"/>
  <c r="Z280" i="213"/>
  <c r="X280" i="213"/>
  <c r="W280" i="213"/>
  <c r="V280" i="213"/>
  <c r="S280" i="213"/>
  <c r="R280" i="213"/>
  <c r="Q280" i="213"/>
  <c r="P280" i="213"/>
  <c r="O280" i="213"/>
  <c r="N280" i="213"/>
  <c r="M280" i="213"/>
  <c r="AH279" i="213"/>
  <c r="AG279" i="213"/>
  <c r="AC279" i="213"/>
  <c r="AB279" i="213"/>
  <c r="AA279" i="213"/>
  <c r="Z279" i="213"/>
  <c r="X279" i="213"/>
  <c r="W279" i="213"/>
  <c r="V279" i="213"/>
  <c r="S279" i="213"/>
  <c r="R279" i="213"/>
  <c r="Q279" i="213"/>
  <c r="P279" i="213"/>
  <c r="O279" i="213"/>
  <c r="N279" i="213"/>
  <c r="M279" i="213"/>
  <c r="AH278" i="213"/>
  <c r="AG278" i="213"/>
  <c r="AC278" i="213"/>
  <c r="AB278" i="213"/>
  <c r="AA278" i="213"/>
  <c r="Z278" i="213"/>
  <c r="X278" i="213"/>
  <c r="W278" i="213"/>
  <c r="V278" i="213"/>
  <c r="S278" i="213"/>
  <c r="R278" i="213"/>
  <c r="Q278" i="213"/>
  <c r="P278" i="213"/>
  <c r="O278" i="213"/>
  <c r="N278" i="213"/>
  <c r="M278" i="213"/>
  <c r="AH277" i="213"/>
  <c r="AG277" i="213"/>
  <c r="AC277" i="213"/>
  <c r="AB277" i="213"/>
  <c r="AA277" i="213"/>
  <c r="Z277" i="213"/>
  <c r="X277" i="213"/>
  <c r="W277" i="213"/>
  <c r="V277" i="213"/>
  <c r="S277" i="213"/>
  <c r="R277" i="213"/>
  <c r="Q277" i="213"/>
  <c r="P277" i="213"/>
  <c r="O277" i="213"/>
  <c r="N277" i="213"/>
  <c r="M277" i="213"/>
  <c r="AH276" i="213"/>
  <c r="AG276" i="213"/>
  <c r="AC276" i="213"/>
  <c r="AB276" i="213"/>
  <c r="AA276" i="213"/>
  <c r="Z276" i="213"/>
  <c r="X276" i="213"/>
  <c r="W276" i="213"/>
  <c r="V276" i="213"/>
  <c r="Y276" i="213" s="1"/>
  <c r="S276" i="213"/>
  <c r="R276" i="213"/>
  <c r="Q276" i="213"/>
  <c r="P276" i="213"/>
  <c r="O276" i="213"/>
  <c r="N276" i="213"/>
  <c r="M276" i="213"/>
  <c r="AH275" i="213"/>
  <c r="AG275" i="213"/>
  <c r="AC275" i="213"/>
  <c r="AB275" i="213"/>
  <c r="AA275" i="213"/>
  <c r="Z275" i="213"/>
  <c r="X275" i="213"/>
  <c r="W275" i="213"/>
  <c r="V275" i="213"/>
  <c r="S275" i="213"/>
  <c r="R275" i="213"/>
  <c r="Q275" i="213"/>
  <c r="P275" i="213"/>
  <c r="O275" i="213"/>
  <c r="N275" i="213"/>
  <c r="M275" i="213"/>
  <c r="AH274" i="213"/>
  <c r="AG274" i="213"/>
  <c r="AC274" i="213"/>
  <c r="AB274" i="213"/>
  <c r="AA274" i="213"/>
  <c r="Z274" i="213"/>
  <c r="X274" i="213"/>
  <c r="W274" i="213"/>
  <c r="V274" i="213"/>
  <c r="S274" i="213"/>
  <c r="R274" i="213"/>
  <c r="Q274" i="213"/>
  <c r="P274" i="213"/>
  <c r="O274" i="213"/>
  <c r="N274" i="213"/>
  <c r="M274" i="213"/>
  <c r="AH273" i="213"/>
  <c r="AG273" i="213"/>
  <c r="AC273" i="213"/>
  <c r="AB273" i="213"/>
  <c r="AA273" i="213"/>
  <c r="Z273" i="213"/>
  <c r="X273" i="213"/>
  <c r="W273" i="213"/>
  <c r="V273" i="213"/>
  <c r="S273" i="213"/>
  <c r="R273" i="213"/>
  <c r="Q273" i="213"/>
  <c r="P273" i="213"/>
  <c r="O273" i="213"/>
  <c r="N273" i="213"/>
  <c r="M273" i="213"/>
  <c r="AH272" i="213"/>
  <c r="AG272" i="213"/>
  <c r="AC272" i="213"/>
  <c r="AB272" i="213"/>
  <c r="AA272" i="213"/>
  <c r="Z272" i="213"/>
  <c r="X272" i="213"/>
  <c r="W272" i="213"/>
  <c r="V272" i="213"/>
  <c r="S272" i="213"/>
  <c r="R272" i="213"/>
  <c r="Q272" i="213"/>
  <c r="P272" i="213"/>
  <c r="O272" i="213"/>
  <c r="N272" i="213"/>
  <c r="M272" i="213"/>
  <c r="AH271" i="213"/>
  <c r="AG271" i="213"/>
  <c r="AC271" i="213"/>
  <c r="AB271" i="213"/>
  <c r="AA271" i="213"/>
  <c r="Z271" i="213"/>
  <c r="X271" i="213"/>
  <c r="W271" i="213"/>
  <c r="V271" i="213"/>
  <c r="S271" i="213"/>
  <c r="R271" i="213"/>
  <c r="Q271" i="213"/>
  <c r="P271" i="213"/>
  <c r="O271" i="213"/>
  <c r="N271" i="213"/>
  <c r="M271" i="213"/>
  <c r="AH270" i="213"/>
  <c r="AG270" i="213"/>
  <c r="AC270" i="213"/>
  <c r="AB270" i="213"/>
  <c r="AA270" i="213"/>
  <c r="Z270" i="213"/>
  <c r="X270" i="213"/>
  <c r="W270" i="213"/>
  <c r="V270" i="213"/>
  <c r="S270" i="213"/>
  <c r="R270" i="213"/>
  <c r="Q270" i="213"/>
  <c r="P270" i="213"/>
  <c r="O270" i="213"/>
  <c r="N270" i="213"/>
  <c r="M270" i="213"/>
  <c r="AH269" i="213"/>
  <c r="AG269" i="213"/>
  <c r="AC269" i="213"/>
  <c r="AB269" i="213"/>
  <c r="AA269" i="213"/>
  <c r="Z269" i="213"/>
  <c r="X269" i="213"/>
  <c r="W269" i="213"/>
  <c r="V269" i="213"/>
  <c r="S269" i="213"/>
  <c r="R269" i="213"/>
  <c r="Q269" i="213"/>
  <c r="P269" i="213"/>
  <c r="O269" i="213"/>
  <c r="N269" i="213"/>
  <c r="M269" i="213"/>
  <c r="AH268" i="213"/>
  <c r="AG268" i="213"/>
  <c r="AC268" i="213"/>
  <c r="AB268" i="213"/>
  <c r="AA268" i="213"/>
  <c r="Z268" i="213"/>
  <c r="X268" i="213"/>
  <c r="W268" i="213"/>
  <c r="V268" i="213"/>
  <c r="S268" i="213"/>
  <c r="R268" i="213"/>
  <c r="Q268" i="213"/>
  <c r="P268" i="213"/>
  <c r="O268" i="213"/>
  <c r="N268" i="213"/>
  <c r="M268" i="213"/>
  <c r="AH267" i="213"/>
  <c r="AG267" i="213"/>
  <c r="AC267" i="213"/>
  <c r="AB267" i="213"/>
  <c r="AA267" i="213"/>
  <c r="Z267" i="213"/>
  <c r="X267" i="213"/>
  <c r="W267" i="213"/>
  <c r="V267" i="213"/>
  <c r="Y267" i="213" s="1"/>
  <c r="S267" i="213"/>
  <c r="R267" i="213"/>
  <c r="Q267" i="213"/>
  <c r="P267" i="213"/>
  <c r="O267" i="213"/>
  <c r="N267" i="213"/>
  <c r="M267" i="213"/>
  <c r="AH266" i="213"/>
  <c r="AG266" i="213"/>
  <c r="AC266" i="213"/>
  <c r="AB266" i="213"/>
  <c r="AA266" i="213"/>
  <c r="Z266" i="213"/>
  <c r="X266" i="213"/>
  <c r="W266" i="213"/>
  <c r="V266" i="213"/>
  <c r="Y266" i="213" s="1"/>
  <c r="S266" i="213"/>
  <c r="R266" i="213"/>
  <c r="Q266" i="213"/>
  <c r="P266" i="213"/>
  <c r="O266" i="213"/>
  <c r="N266" i="213"/>
  <c r="M266" i="213"/>
  <c r="AH265" i="213"/>
  <c r="AG265" i="213"/>
  <c r="AC265" i="213"/>
  <c r="AB265" i="213"/>
  <c r="AA265" i="213"/>
  <c r="Z265" i="213"/>
  <c r="X265" i="213"/>
  <c r="W265" i="213"/>
  <c r="V265" i="213"/>
  <c r="S265" i="213"/>
  <c r="R265" i="213"/>
  <c r="Q265" i="213"/>
  <c r="P265" i="213"/>
  <c r="O265" i="213"/>
  <c r="N265" i="213"/>
  <c r="M265" i="213"/>
  <c r="AH264" i="213"/>
  <c r="AG264" i="213"/>
  <c r="AC264" i="213"/>
  <c r="AB264" i="213"/>
  <c r="AA264" i="213"/>
  <c r="Z264" i="213"/>
  <c r="X264" i="213"/>
  <c r="W264" i="213"/>
  <c r="V264" i="213"/>
  <c r="S264" i="213"/>
  <c r="R264" i="213"/>
  <c r="Q264" i="213"/>
  <c r="P264" i="213"/>
  <c r="O264" i="213"/>
  <c r="N264" i="213"/>
  <c r="M264" i="213"/>
  <c r="AH263" i="213"/>
  <c r="AG263" i="213"/>
  <c r="AC263" i="213"/>
  <c r="AB263" i="213"/>
  <c r="AA263" i="213"/>
  <c r="Z263" i="213"/>
  <c r="X263" i="213"/>
  <c r="W263" i="213"/>
  <c r="V263" i="213"/>
  <c r="S263" i="213"/>
  <c r="R263" i="213"/>
  <c r="Q263" i="213"/>
  <c r="P263" i="213"/>
  <c r="O263" i="213"/>
  <c r="N263" i="213"/>
  <c r="M263" i="213"/>
  <c r="AH262" i="213"/>
  <c r="AG262" i="213"/>
  <c r="AC262" i="213"/>
  <c r="AB262" i="213"/>
  <c r="AA262" i="213"/>
  <c r="Z262" i="213"/>
  <c r="X262" i="213"/>
  <c r="W262" i="213"/>
  <c r="V262" i="213"/>
  <c r="S262" i="213"/>
  <c r="R262" i="213"/>
  <c r="Q262" i="213"/>
  <c r="P262" i="213"/>
  <c r="O262" i="213"/>
  <c r="N262" i="213"/>
  <c r="M262" i="213"/>
  <c r="AH261" i="213"/>
  <c r="AG261" i="213"/>
  <c r="AC261" i="213"/>
  <c r="AB261" i="213"/>
  <c r="AA261" i="213"/>
  <c r="Z261" i="213"/>
  <c r="X261" i="213"/>
  <c r="W261" i="213"/>
  <c r="V261" i="213"/>
  <c r="S261" i="213"/>
  <c r="R261" i="213"/>
  <c r="Q261" i="213"/>
  <c r="P261" i="213"/>
  <c r="O261" i="213"/>
  <c r="N261" i="213"/>
  <c r="M261" i="213"/>
  <c r="AH260" i="213"/>
  <c r="AG260" i="213"/>
  <c r="AC260" i="213"/>
  <c r="AB260" i="213"/>
  <c r="AA260" i="213"/>
  <c r="Z260" i="213"/>
  <c r="X260" i="213"/>
  <c r="W260" i="213"/>
  <c r="V260" i="213"/>
  <c r="S260" i="213"/>
  <c r="R260" i="213"/>
  <c r="Q260" i="213"/>
  <c r="P260" i="213"/>
  <c r="O260" i="213"/>
  <c r="N260" i="213"/>
  <c r="M260" i="213"/>
  <c r="AH259" i="213"/>
  <c r="AG259" i="213"/>
  <c r="AC259" i="213"/>
  <c r="AB259" i="213"/>
  <c r="AA259" i="213"/>
  <c r="Z259" i="213"/>
  <c r="X259" i="213"/>
  <c r="W259" i="213"/>
  <c r="V259" i="213"/>
  <c r="S259" i="213"/>
  <c r="R259" i="213"/>
  <c r="Q259" i="213"/>
  <c r="P259" i="213"/>
  <c r="O259" i="213"/>
  <c r="N259" i="213"/>
  <c r="M259" i="213"/>
  <c r="AH258" i="213"/>
  <c r="AG258" i="213"/>
  <c r="AC258" i="213"/>
  <c r="AB258" i="213"/>
  <c r="AA258" i="213"/>
  <c r="Z258" i="213"/>
  <c r="X258" i="213"/>
  <c r="W258" i="213"/>
  <c r="V258" i="213"/>
  <c r="S258" i="213"/>
  <c r="R258" i="213"/>
  <c r="Q258" i="213"/>
  <c r="P258" i="213"/>
  <c r="O258" i="213"/>
  <c r="N258" i="213"/>
  <c r="M258" i="213"/>
  <c r="AH257" i="213"/>
  <c r="AG257" i="213"/>
  <c r="AC257" i="213"/>
  <c r="AB257" i="213"/>
  <c r="AA257" i="213"/>
  <c r="Z257" i="213"/>
  <c r="X257" i="213"/>
  <c r="W257" i="213"/>
  <c r="V257" i="213"/>
  <c r="Y257" i="213" s="1"/>
  <c r="S257" i="213"/>
  <c r="R257" i="213"/>
  <c r="Q257" i="213"/>
  <c r="P257" i="213"/>
  <c r="O257" i="213"/>
  <c r="N257" i="213"/>
  <c r="M257" i="213"/>
  <c r="AH256" i="213"/>
  <c r="AG256" i="213"/>
  <c r="AC256" i="213"/>
  <c r="AB256" i="213"/>
  <c r="AA256" i="213"/>
  <c r="Z256" i="213"/>
  <c r="X256" i="213"/>
  <c r="W256" i="213"/>
  <c r="V256" i="213"/>
  <c r="Y256" i="213" s="1"/>
  <c r="S256" i="213"/>
  <c r="R256" i="213"/>
  <c r="Q256" i="213"/>
  <c r="P256" i="213"/>
  <c r="O256" i="213"/>
  <c r="N256" i="213"/>
  <c r="M256" i="213"/>
  <c r="AH255" i="213"/>
  <c r="AG255" i="213"/>
  <c r="AC255" i="213"/>
  <c r="AB255" i="213"/>
  <c r="AA255" i="213"/>
  <c r="Z255" i="213"/>
  <c r="X255" i="213"/>
  <c r="W255" i="213"/>
  <c r="V255" i="213"/>
  <c r="S255" i="213"/>
  <c r="R255" i="213"/>
  <c r="Q255" i="213"/>
  <c r="P255" i="213"/>
  <c r="O255" i="213"/>
  <c r="N255" i="213"/>
  <c r="M255" i="213"/>
  <c r="AH254" i="213"/>
  <c r="AG254" i="213"/>
  <c r="AC254" i="213"/>
  <c r="AB254" i="213"/>
  <c r="AA254" i="213"/>
  <c r="Z254" i="213"/>
  <c r="X254" i="213"/>
  <c r="W254" i="213"/>
  <c r="V254" i="213"/>
  <c r="S254" i="213"/>
  <c r="R254" i="213"/>
  <c r="Q254" i="213"/>
  <c r="P254" i="213"/>
  <c r="O254" i="213"/>
  <c r="N254" i="213"/>
  <c r="M254" i="213"/>
  <c r="AH253" i="213"/>
  <c r="AG253" i="213"/>
  <c r="AC253" i="213"/>
  <c r="AB253" i="213"/>
  <c r="AA253" i="213"/>
  <c r="Z253" i="213"/>
  <c r="X253" i="213"/>
  <c r="W253" i="213"/>
  <c r="V253" i="213"/>
  <c r="S253" i="213"/>
  <c r="R253" i="213"/>
  <c r="Q253" i="213"/>
  <c r="P253" i="213"/>
  <c r="O253" i="213"/>
  <c r="N253" i="213"/>
  <c r="M253" i="213"/>
  <c r="AH252" i="213"/>
  <c r="AG252" i="213"/>
  <c r="AC252" i="213"/>
  <c r="AB252" i="213"/>
  <c r="AA252" i="213"/>
  <c r="Z252" i="213"/>
  <c r="X252" i="213"/>
  <c r="W252" i="213"/>
  <c r="V252" i="213"/>
  <c r="S252" i="213"/>
  <c r="R252" i="213"/>
  <c r="Q252" i="213"/>
  <c r="P252" i="213"/>
  <c r="O252" i="213"/>
  <c r="N252" i="213"/>
  <c r="M252" i="213"/>
  <c r="AH251" i="213"/>
  <c r="AG251" i="213"/>
  <c r="AC251" i="213"/>
  <c r="AB251" i="213"/>
  <c r="AA251" i="213"/>
  <c r="Z251" i="213"/>
  <c r="X251" i="213"/>
  <c r="W251" i="213"/>
  <c r="V251" i="213"/>
  <c r="S251" i="213"/>
  <c r="R251" i="213"/>
  <c r="Q251" i="213"/>
  <c r="P251" i="213"/>
  <c r="O251" i="213"/>
  <c r="N251" i="213"/>
  <c r="M251" i="213"/>
  <c r="AH250" i="213"/>
  <c r="AG250" i="213"/>
  <c r="AC250" i="213"/>
  <c r="AB250" i="213"/>
  <c r="AA250" i="213"/>
  <c r="Z250" i="213"/>
  <c r="X250" i="213"/>
  <c r="W250" i="213"/>
  <c r="V250" i="213"/>
  <c r="S250" i="213"/>
  <c r="R250" i="213"/>
  <c r="Q250" i="213"/>
  <c r="P250" i="213"/>
  <c r="O250" i="213"/>
  <c r="N250" i="213"/>
  <c r="M250" i="213"/>
  <c r="AH249" i="213"/>
  <c r="AG249" i="213"/>
  <c r="AC249" i="213"/>
  <c r="AB249" i="213"/>
  <c r="AA249" i="213"/>
  <c r="Z249" i="213"/>
  <c r="X249" i="213"/>
  <c r="W249" i="213"/>
  <c r="V249" i="213"/>
  <c r="S249" i="213"/>
  <c r="R249" i="213"/>
  <c r="Q249" i="213"/>
  <c r="P249" i="213"/>
  <c r="O249" i="213"/>
  <c r="N249" i="213"/>
  <c r="M249" i="213"/>
  <c r="AH248" i="213"/>
  <c r="AG248" i="213"/>
  <c r="AC248" i="213"/>
  <c r="AB248" i="213"/>
  <c r="AA248" i="213"/>
  <c r="Z248" i="213"/>
  <c r="X248" i="213"/>
  <c r="W248" i="213"/>
  <c r="V248" i="213"/>
  <c r="S248" i="213"/>
  <c r="R248" i="213"/>
  <c r="Q248" i="213"/>
  <c r="P248" i="213"/>
  <c r="O248" i="213"/>
  <c r="N248" i="213"/>
  <c r="M248" i="213"/>
  <c r="AH247" i="213"/>
  <c r="AG247" i="213"/>
  <c r="AC247" i="213"/>
  <c r="AB247" i="213"/>
  <c r="AA247" i="213"/>
  <c r="Z247" i="213"/>
  <c r="X247" i="213"/>
  <c r="W247" i="213"/>
  <c r="V247" i="213"/>
  <c r="S247" i="213"/>
  <c r="R247" i="213"/>
  <c r="Q247" i="213"/>
  <c r="P247" i="213"/>
  <c r="O247" i="213"/>
  <c r="N247" i="213"/>
  <c r="M247" i="213"/>
  <c r="AH246" i="213"/>
  <c r="AG246" i="213"/>
  <c r="AC246" i="213"/>
  <c r="AB246" i="213"/>
  <c r="AA246" i="213"/>
  <c r="Z246" i="213"/>
  <c r="X246" i="213"/>
  <c r="W246" i="213"/>
  <c r="V246" i="213"/>
  <c r="S246" i="213"/>
  <c r="R246" i="213"/>
  <c r="Q246" i="213"/>
  <c r="P246" i="213"/>
  <c r="O246" i="213"/>
  <c r="N246" i="213"/>
  <c r="M246" i="213"/>
  <c r="AH245" i="213"/>
  <c r="AG245" i="213"/>
  <c r="AC245" i="213"/>
  <c r="AB245" i="213"/>
  <c r="AA245" i="213"/>
  <c r="Z245" i="213"/>
  <c r="X245" i="213"/>
  <c r="W245" i="213"/>
  <c r="V245" i="213"/>
  <c r="S245" i="213"/>
  <c r="R245" i="213"/>
  <c r="Q245" i="213"/>
  <c r="P245" i="213"/>
  <c r="O245" i="213"/>
  <c r="N245" i="213"/>
  <c r="M245" i="213"/>
  <c r="AH244" i="213"/>
  <c r="AG244" i="213"/>
  <c r="AC244" i="213"/>
  <c r="AB244" i="213"/>
  <c r="AA244" i="213"/>
  <c r="Z244" i="213"/>
  <c r="X244" i="213"/>
  <c r="Y244" i="213" s="1"/>
  <c r="W244" i="213"/>
  <c r="V244" i="213"/>
  <c r="S244" i="213"/>
  <c r="R244" i="213"/>
  <c r="Q244" i="213"/>
  <c r="P244" i="213"/>
  <c r="O244" i="213"/>
  <c r="N244" i="213"/>
  <c r="M244" i="213"/>
  <c r="AH243" i="213"/>
  <c r="AG243" i="213"/>
  <c r="AC243" i="213"/>
  <c r="AB243" i="213"/>
  <c r="AA243" i="213"/>
  <c r="Z243" i="213"/>
  <c r="X243" i="213"/>
  <c r="W243" i="213"/>
  <c r="V243" i="213"/>
  <c r="S243" i="213"/>
  <c r="R243" i="213"/>
  <c r="Q243" i="213"/>
  <c r="P243" i="213"/>
  <c r="O243" i="213"/>
  <c r="N243" i="213"/>
  <c r="M243" i="213"/>
  <c r="AH242" i="213"/>
  <c r="AG242" i="213"/>
  <c r="AC242" i="213"/>
  <c r="AB242" i="213"/>
  <c r="AA242" i="213"/>
  <c r="Z242" i="213"/>
  <c r="X242" i="213"/>
  <c r="W242" i="213"/>
  <c r="V242" i="213"/>
  <c r="S242" i="213"/>
  <c r="R242" i="213"/>
  <c r="Q242" i="213"/>
  <c r="P242" i="213"/>
  <c r="O242" i="213"/>
  <c r="N242" i="213"/>
  <c r="M242" i="213"/>
  <c r="AH241" i="213"/>
  <c r="AG241" i="213"/>
  <c r="AC241" i="213"/>
  <c r="AB241" i="213"/>
  <c r="AA241" i="213"/>
  <c r="Z241" i="213"/>
  <c r="X241" i="213"/>
  <c r="W241" i="213"/>
  <c r="V241" i="213"/>
  <c r="S241" i="213"/>
  <c r="R241" i="213"/>
  <c r="Q241" i="213"/>
  <c r="P241" i="213"/>
  <c r="O241" i="213"/>
  <c r="N241" i="213"/>
  <c r="M241" i="213"/>
  <c r="AH240" i="213"/>
  <c r="AG240" i="213"/>
  <c r="AC240" i="213"/>
  <c r="AB240" i="213"/>
  <c r="AA240" i="213"/>
  <c r="Z240" i="213"/>
  <c r="X240" i="213"/>
  <c r="W240" i="213"/>
  <c r="V240" i="213"/>
  <c r="S240" i="213"/>
  <c r="R240" i="213"/>
  <c r="Q240" i="213"/>
  <c r="P240" i="213"/>
  <c r="O240" i="213"/>
  <c r="N240" i="213"/>
  <c r="M240" i="213"/>
  <c r="AH239" i="213"/>
  <c r="AG239" i="213"/>
  <c r="AC239" i="213"/>
  <c r="AB239" i="213"/>
  <c r="AA239" i="213"/>
  <c r="Z239" i="213"/>
  <c r="X239" i="213"/>
  <c r="W239" i="213"/>
  <c r="V239" i="213"/>
  <c r="S239" i="213"/>
  <c r="R239" i="213"/>
  <c r="Q239" i="213"/>
  <c r="P239" i="213"/>
  <c r="O239" i="213"/>
  <c r="N239" i="213"/>
  <c r="M239" i="213"/>
  <c r="AH238" i="213"/>
  <c r="AG238" i="213"/>
  <c r="AC238" i="213"/>
  <c r="AB238" i="213"/>
  <c r="AA238" i="213"/>
  <c r="Z238" i="213"/>
  <c r="X238" i="213"/>
  <c r="W238" i="213"/>
  <c r="V238" i="213"/>
  <c r="S238" i="213"/>
  <c r="R238" i="213"/>
  <c r="Q238" i="213"/>
  <c r="P238" i="213"/>
  <c r="O238" i="213"/>
  <c r="N238" i="213"/>
  <c r="M238" i="213"/>
  <c r="AH237" i="213"/>
  <c r="AG237" i="213"/>
  <c r="AC237" i="213"/>
  <c r="AB237" i="213"/>
  <c r="AA237" i="213"/>
  <c r="Z237" i="213"/>
  <c r="X237" i="213"/>
  <c r="W237" i="213"/>
  <c r="V237" i="213"/>
  <c r="S237" i="213"/>
  <c r="R237" i="213"/>
  <c r="Q237" i="213"/>
  <c r="P237" i="213"/>
  <c r="O237" i="213"/>
  <c r="N237" i="213"/>
  <c r="M237" i="213"/>
  <c r="AH236" i="213"/>
  <c r="AG236" i="213"/>
  <c r="AC236" i="213"/>
  <c r="AB236" i="213"/>
  <c r="AA236" i="213"/>
  <c r="Z236" i="213"/>
  <c r="X236" i="213"/>
  <c r="W236" i="213"/>
  <c r="V236" i="213"/>
  <c r="S236" i="213"/>
  <c r="R236" i="213"/>
  <c r="Q236" i="213"/>
  <c r="P236" i="213"/>
  <c r="O236" i="213"/>
  <c r="N236" i="213"/>
  <c r="M236" i="213"/>
  <c r="AH235" i="213"/>
  <c r="AG235" i="213"/>
  <c r="AC235" i="213"/>
  <c r="AB235" i="213"/>
  <c r="AA235" i="213"/>
  <c r="Z235" i="213"/>
  <c r="X235" i="213"/>
  <c r="W235" i="213"/>
  <c r="V235" i="213"/>
  <c r="S235" i="213"/>
  <c r="R235" i="213"/>
  <c r="Q235" i="213"/>
  <c r="P235" i="213"/>
  <c r="O235" i="213"/>
  <c r="N235" i="213"/>
  <c r="M235" i="213"/>
  <c r="AH234" i="213"/>
  <c r="AG234" i="213"/>
  <c r="AC234" i="213"/>
  <c r="AB234" i="213"/>
  <c r="AA234" i="213"/>
  <c r="Z234" i="213"/>
  <c r="X234" i="213"/>
  <c r="W234" i="213"/>
  <c r="V234" i="213"/>
  <c r="S234" i="213"/>
  <c r="R234" i="213"/>
  <c r="Q234" i="213"/>
  <c r="P234" i="213"/>
  <c r="O234" i="213"/>
  <c r="N234" i="213"/>
  <c r="M234" i="213"/>
  <c r="AH233" i="213"/>
  <c r="AG233" i="213"/>
  <c r="AC233" i="213"/>
  <c r="AB233" i="213"/>
  <c r="AA233" i="213"/>
  <c r="Z233" i="213"/>
  <c r="X233" i="213"/>
  <c r="W233" i="213"/>
  <c r="V233" i="213"/>
  <c r="S233" i="213"/>
  <c r="R233" i="213"/>
  <c r="Q233" i="213"/>
  <c r="P233" i="213"/>
  <c r="O233" i="213"/>
  <c r="N233" i="213"/>
  <c r="M233" i="213"/>
  <c r="AH232" i="213"/>
  <c r="AG232" i="213"/>
  <c r="AC232" i="213"/>
  <c r="AB232" i="213"/>
  <c r="AA232" i="213"/>
  <c r="Z232" i="213"/>
  <c r="X232" i="213"/>
  <c r="W232" i="213"/>
  <c r="V232" i="213"/>
  <c r="S232" i="213"/>
  <c r="R232" i="213"/>
  <c r="Q232" i="213"/>
  <c r="P232" i="213"/>
  <c r="O232" i="213"/>
  <c r="N232" i="213"/>
  <c r="M232" i="213"/>
  <c r="AH231" i="213"/>
  <c r="AG231" i="213"/>
  <c r="AC231" i="213"/>
  <c r="AB231" i="213"/>
  <c r="AA231" i="213"/>
  <c r="Z231" i="213"/>
  <c r="X231" i="213"/>
  <c r="W231" i="213"/>
  <c r="V231" i="213"/>
  <c r="S231" i="213"/>
  <c r="R231" i="213"/>
  <c r="Q231" i="213"/>
  <c r="P231" i="213"/>
  <c r="O231" i="213"/>
  <c r="N231" i="213"/>
  <c r="M231" i="213"/>
  <c r="AH230" i="213"/>
  <c r="AG230" i="213"/>
  <c r="AC230" i="213"/>
  <c r="AB230" i="213"/>
  <c r="AA230" i="213"/>
  <c r="Z230" i="213"/>
  <c r="X230" i="213"/>
  <c r="W230" i="213"/>
  <c r="V230" i="213"/>
  <c r="S230" i="213"/>
  <c r="R230" i="213"/>
  <c r="Q230" i="213"/>
  <c r="P230" i="213"/>
  <c r="O230" i="213"/>
  <c r="N230" i="213"/>
  <c r="M230" i="213"/>
  <c r="AH229" i="213"/>
  <c r="AG229" i="213"/>
  <c r="AC229" i="213"/>
  <c r="AB229" i="213"/>
  <c r="AA229" i="213"/>
  <c r="Z229" i="213"/>
  <c r="X229" i="213"/>
  <c r="W229" i="213"/>
  <c r="V229" i="213"/>
  <c r="S229" i="213"/>
  <c r="R229" i="213"/>
  <c r="Q229" i="213"/>
  <c r="P229" i="213"/>
  <c r="O229" i="213"/>
  <c r="N229" i="213"/>
  <c r="M229" i="213"/>
  <c r="AH228" i="213"/>
  <c r="AG228" i="213"/>
  <c r="AC228" i="213"/>
  <c r="AB228" i="213"/>
  <c r="AA228" i="213"/>
  <c r="Z228" i="213"/>
  <c r="X228" i="213"/>
  <c r="W228" i="213"/>
  <c r="V228" i="213"/>
  <c r="S228" i="213"/>
  <c r="R228" i="213"/>
  <c r="Q228" i="213"/>
  <c r="P228" i="213"/>
  <c r="O228" i="213"/>
  <c r="N228" i="213"/>
  <c r="M228" i="213"/>
  <c r="AH227" i="213"/>
  <c r="AG227" i="213"/>
  <c r="AC227" i="213"/>
  <c r="AB227" i="213"/>
  <c r="AA227" i="213"/>
  <c r="Z227" i="213"/>
  <c r="X227" i="213"/>
  <c r="W227" i="213"/>
  <c r="V227" i="213"/>
  <c r="S227" i="213"/>
  <c r="R227" i="213"/>
  <c r="Q227" i="213"/>
  <c r="P227" i="213"/>
  <c r="O227" i="213"/>
  <c r="N227" i="213"/>
  <c r="M227" i="213"/>
  <c r="AH226" i="213"/>
  <c r="AG226" i="213"/>
  <c r="AC226" i="213"/>
  <c r="AB226" i="213"/>
  <c r="AA226" i="213"/>
  <c r="Z226" i="213"/>
  <c r="X226" i="213"/>
  <c r="W226" i="213"/>
  <c r="V226" i="213"/>
  <c r="S226" i="213"/>
  <c r="R226" i="213"/>
  <c r="Q226" i="213"/>
  <c r="P226" i="213"/>
  <c r="O226" i="213"/>
  <c r="N226" i="213"/>
  <c r="M226" i="213"/>
  <c r="AH225" i="213"/>
  <c r="AG225" i="213"/>
  <c r="AC225" i="213"/>
  <c r="AB225" i="213"/>
  <c r="AA225" i="213"/>
  <c r="Z225" i="213"/>
  <c r="X225" i="213"/>
  <c r="W225" i="213"/>
  <c r="V225" i="213"/>
  <c r="S225" i="213"/>
  <c r="R225" i="213"/>
  <c r="Q225" i="213"/>
  <c r="P225" i="213"/>
  <c r="O225" i="213"/>
  <c r="N225" i="213"/>
  <c r="M225" i="213"/>
  <c r="AH224" i="213"/>
  <c r="AG224" i="213"/>
  <c r="AC224" i="213"/>
  <c r="AB224" i="213"/>
  <c r="AA224" i="213"/>
  <c r="Z224" i="213"/>
  <c r="X224" i="213"/>
  <c r="Y224" i="213" s="1"/>
  <c r="W224" i="213"/>
  <c r="V224" i="213"/>
  <c r="S224" i="213"/>
  <c r="R224" i="213"/>
  <c r="Q224" i="213"/>
  <c r="P224" i="213"/>
  <c r="O224" i="213"/>
  <c r="N224" i="213"/>
  <c r="M224" i="213"/>
  <c r="AH223" i="213"/>
  <c r="AG223" i="213"/>
  <c r="AC223" i="213"/>
  <c r="AB223" i="213"/>
  <c r="AA223" i="213"/>
  <c r="Z223" i="213"/>
  <c r="X223" i="213"/>
  <c r="W223" i="213"/>
  <c r="V223" i="213"/>
  <c r="S223" i="213"/>
  <c r="R223" i="213"/>
  <c r="Q223" i="213"/>
  <c r="P223" i="213"/>
  <c r="O223" i="213"/>
  <c r="N223" i="213"/>
  <c r="M223" i="213"/>
  <c r="AH222" i="213"/>
  <c r="AG222" i="213"/>
  <c r="AC222" i="213"/>
  <c r="AB222" i="213"/>
  <c r="AA222" i="213"/>
  <c r="Z222" i="213"/>
  <c r="X222" i="213"/>
  <c r="W222" i="213"/>
  <c r="V222" i="213"/>
  <c r="S222" i="213"/>
  <c r="R222" i="213"/>
  <c r="Q222" i="213"/>
  <c r="P222" i="213"/>
  <c r="O222" i="213"/>
  <c r="N222" i="213"/>
  <c r="M222" i="213"/>
  <c r="AH221" i="213"/>
  <c r="AG221" i="213"/>
  <c r="AC221" i="213"/>
  <c r="AB221" i="213"/>
  <c r="AA221" i="213"/>
  <c r="Z221" i="213"/>
  <c r="X221" i="213"/>
  <c r="W221" i="213"/>
  <c r="V221" i="213"/>
  <c r="S221" i="213"/>
  <c r="R221" i="213"/>
  <c r="Q221" i="213"/>
  <c r="P221" i="213"/>
  <c r="O221" i="213"/>
  <c r="N221" i="213"/>
  <c r="M221" i="213"/>
  <c r="AH220" i="213"/>
  <c r="AG220" i="213"/>
  <c r="AC220" i="213"/>
  <c r="AB220" i="213"/>
  <c r="AA220" i="213"/>
  <c r="Z220" i="213"/>
  <c r="X220" i="213"/>
  <c r="W220" i="213"/>
  <c r="V220" i="213"/>
  <c r="S220" i="213"/>
  <c r="R220" i="213"/>
  <c r="Q220" i="213"/>
  <c r="P220" i="213"/>
  <c r="O220" i="213"/>
  <c r="N220" i="213"/>
  <c r="M220" i="213"/>
  <c r="AH219" i="213"/>
  <c r="AG219" i="213"/>
  <c r="AC219" i="213"/>
  <c r="AB219" i="213"/>
  <c r="AA219" i="213"/>
  <c r="Z219" i="213"/>
  <c r="X219" i="213"/>
  <c r="W219" i="213"/>
  <c r="V219" i="213"/>
  <c r="S219" i="213"/>
  <c r="R219" i="213"/>
  <c r="Q219" i="213"/>
  <c r="P219" i="213"/>
  <c r="O219" i="213"/>
  <c r="N219" i="213"/>
  <c r="M219" i="213"/>
  <c r="AH218" i="213"/>
  <c r="AG218" i="213"/>
  <c r="AC218" i="213"/>
  <c r="AB218" i="213"/>
  <c r="AA218" i="213"/>
  <c r="Z218" i="213"/>
  <c r="X218" i="213"/>
  <c r="W218" i="213"/>
  <c r="V218" i="213"/>
  <c r="S218" i="213"/>
  <c r="R218" i="213"/>
  <c r="Q218" i="213"/>
  <c r="P218" i="213"/>
  <c r="O218" i="213"/>
  <c r="N218" i="213"/>
  <c r="M218" i="213"/>
  <c r="AH217" i="213"/>
  <c r="AG217" i="213"/>
  <c r="AC217" i="213"/>
  <c r="AB217" i="213"/>
  <c r="AA217" i="213"/>
  <c r="Z217" i="213"/>
  <c r="X217" i="213"/>
  <c r="W217" i="213"/>
  <c r="V217" i="213"/>
  <c r="Y217" i="213" s="1"/>
  <c r="S217" i="213"/>
  <c r="R217" i="213"/>
  <c r="Q217" i="213"/>
  <c r="P217" i="213"/>
  <c r="O217" i="213"/>
  <c r="N217" i="213"/>
  <c r="M217" i="213"/>
  <c r="AH216" i="213"/>
  <c r="AG216" i="213"/>
  <c r="AC216" i="213"/>
  <c r="AB216" i="213"/>
  <c r="AA216" i="213"/>
  <c r="Z216" i="213"/>
  <c r="X216" i="213"/>
  <c r="W216" i="213"/>
  <c r="V216" i="213"/>
  <c r="S216" i="213"/>
  <c r="R216" i="213"/>
  <c r="Q216" i="213"/>
  <c r="P216" i="213"/>
  <c r="O216" i="213"/>
  <c r="N216" i="213"/>
  <c r="M216" i="213"/>
  <c r="AH215" i="213"/>
  <c r="AG215" i="213"/>
  <c r="AC215" i="213"/>
  <c r="AB215" i="213"/>
  <c r="AA215" i="213"/>
  <c r="Z215" i="213"/>
  <c r="X215" i="213"/>
  <c r="W215" i="213"/>
  <c r="V215" i="213"/>
  <c r="S215" i="213"/>
  <c r="R215" i="213"/>
  <c r="Q215" i="213"/>
  <c r="P215" i="213"/>
  <c r="O215" i="213"/>
  <c r="N215" i="213"/>
  <c r="M215" i="213"/>
  <c r="AH214" i="213"/>
  <c r="AG214" i="213"/>
  <c r="AC214" i="213"/>
  <c r="AB214" i="213"/>
  <c r="AA214" i="213"/>
  <c r="Z214" i="213"/>
  <c r="X214" i="213"/>
  <c r="W214" i="213"/>
  <c r="V214" i="213"/>
  <c r="S214" i="213"/>
  <c r="R214" i="213"/>
  <c r="Q214" i="213"/>
  <c r="P214" i="213"/>
  <c r="O214" i="213"/>
  <c r="N214" i="213"/>
  <c r="M214" i="213"/>
  <c r="AH213" i="213"/>
  <c r="AG213" i="213"/>
  <c r="AC213" i="213"/>
  <c r="AB213" i="213"/>
  <c r="AA213" i="213"/>
  <c r="Z213" i="213"/>
  <c r="X213" i="213"/>
  <c r="W213" i="213"/>
  <c r="V213" i="213"/>
  <c r="Y213" i="213" s="1"/>
  <c r="S213" i="213"/>
  <c r="R213" i="213"/>
  <c r="Q213" i="213"/>
  <c r="P213" i="213"/>
  <c r="O213" i="213"/>
  <c r="N213" i="213"/>
  <c r="M213" i="213"/>
  <c r="AH212" i="213"/>
  <c r="AG212" i="213"/>
  <c r="AC212" i="213"/>
  <c r="AB212" i="213"/>
  <c r="AA212" i="213"/>
  <c r="Z212" i="213"/>
  <c r="X212" i="213"/>
  <c r="W212" i="213"/>
  <c r="V212" i="213"/>
  <c r="S212" i="213"/>
  <c r="R212" i="213"/>
  <c r="Q212" i="213"/>
  <c r="P212" i="213"/>
  <c r="O212" i="213"/>
  <c r="N212" i="213"/>
  <c r="M212" i="213"/>
  <c r="AH211" i="213"/>
  <c r="AG211" i="213"/>
  <c r="AC211" i="213"/>
  <c r="AB211" i="213"/>
  <c r="AA211" i="213"/>
  <c r="Z211" i="213"/>
  <c r="X211" i="213"/>
  <c r="W211" i="213"/>
  <c r="V211" i="213"/>
  <c r="S211" i="213"/>
  <c r="R211" i="213"/>
  <c r="Q211" i="213"/>
  <c r="P211" i="213"/>
  <c r="O211" i="213"/>
  <c r="N211" i="213"/>
  <c r="M211" i="213"/>
  <c r="AH210" i="213"/>
  <c r="AG210" i="213"/>
  <c r="AC210" i="213"/>
  <c r="AB210" i="213"/>
  <c r="AA210" i="213"/>
  <c r="Z210" i="213"/>
  <c r="X210" i="213"/>
  <c r="W210" i="213"/>
  <c r="V210" i="213"/>
  <c r="S210" i="213"/>
  <c r="R210" i="213"/>
  <c r="Q210" i="213"/>
  <c r="P210" i="213"/>
  <c r="O210" i="213"/>
  <c r="N210" i="213"/>
  <c r="M210" i="213"/>
  <c r="AH209" i="213"/>
  <c r="AG209" i="213"/>
  <c r="AC209" i="213"/>
  <c r="AB209" i="213"/>
  <c r="AA209" i="213"/>
  <c r="Z209" i="213"/>
  <c r="X209" i="213"/>
  <c r="W209" i="213"/>
  <c r="V209" i="213"/>
  <c r="S209" i="213"/>
  <c r="R209" i="213"/>
  <c r="Q209" i="213"/>
  <c r="P209" i="213"/>
  <c r="O209" i="213"/>
  <c r="N209" i="213"/>
  <c r="M209" i="213"/>
  <c r="AH208" i="213"/>
  <c r="AG208" i="213"/>
  <c r="AC208" i="213"/>
  <c r="AB208" i="213"/>
  <c r="AA208" i="213"/>
  <c r="Z208" i="213"/>
  <c r="X208" i="213"/>
  <c r="W208" i="213"/>
  <c r="V208" i="213"/>
  <c r="Y208" i="213" s="1"/>
  <c r="S208" i="213"/>
  <c r="R208" i="213"/>
  <c r="Q208" i="213"/>
  <c r="P208" i="213"/>
  <c r="O208" i="213"/>
  <c r="N208" i="213"/>
  <c r="M208" i="213"/>
  <c r="AH207" i="213"/>
  <c r="AG207" i="213"/>
  <c r="AC207" i="213"/>
  <c r="AB207" i="213"/>
  <c r="AA207" i="213"/>
  <c r="Z207" i="213"/>
  <c r="X207" i="213"/>
  <c r="W207" i="213"/>
  <c r="V207" i="213"/>
  <c r="S207" i="213"/>
  <c r="R207" i="213"/>
  <c r="Q207" i="213"/>
  <c r="P207" i="213"/>
  <c r="O207" i="213"/>
  <c r="N207" i="213"/>
  <c r="M207" i="213"/>
  <c r="AH206" i="213"/>
  <c r="AG206" i="213"/>
  <c r="AC206" i="213"/>
  <c r="AB206" i="213"/>
  <c r="AA206" i="213"/>
  <c r="Z206" i="213"/>
  <c r="X206" i="213"/>
  <c r="W206" i="213"/>
  <c r="V206" i="213"/>
  <c r="S206" i="213"/>
  <c r="R206" i="213"/>
  <c r="Q206" i="213"/>
  <c r="P206" i="213"/>
  <c r="O206" i="213"/>
  <c r="N206" i="213"/>
  <c r="M206" i="213"/>
  <c r="AH205" i="213"/>
  <c r="AG205" i="213"/>
  <c r="AC205" i="213"/>
  <c r="AB205" i="213"/>
  <c r="AA205" i="213"/>
  <c r="Z205" i="213"/>
  <c r="X205" i="213"/>
  <c r="W205" i="213"/>
  <c r="V205" i="213"/>
  <c r="S205" i="213"/>
  <c r="R205" i="213"/>
  <c r="Q205" i="213"/>
  <c r="P205" i="213"/>
  <c r="O205" i="213"/>
  <c r="N205" i="213"/>
  <c r="M205" i="213"/>
  <c r="AH204" i="213"/>
  <c r="AG204" i="213"/>
  <c r="AC204" i="213"/>
  <c r="AB204" i="213"/>
  <c r="AA204" i="213"/>
  <c r="Z204" i="213"/>
  <c r="X204" i="213"/>
  <c r="W204" i="213"/>
  <c r="V204" i="213"/>
  <c r="S204" i="213"/>
  <c r="R204" i="213"/>
  <c r="Q204" i="213"/>
  <c r="P204" i="213"/>
  <c r="O204" i="213"/>
  <c r="N204" i="213"/>
  <c r="M204" i="213"/>
  <c r="AH203" i="213"/>
  <c r="AG203" i="213"/>
  <c r="AC203" i="213"/>
  <c r="AB203" i="213"/>
  <c r="AA203" i="213"/>
  <c r="Z203" i="213"/>
  <c r="X203" i="213"/>
  <c r="W203" i="213"/>
  <c r="V203" i="213"/>
  <c r="S203" i="213"/>
  <c r="R203" i="213"/>
  <c r="Q203" i="213"/>
  <c r="P203" i="213"/>
  <c r="O203" i="213"/>
  <c r="N203" i="213"/>
  <c r="M203" i="213"/>
  <c r="AH202" i="213"/>
  <c r="AG202" i="213"/>
  <c r="AC202" i="213"/>
  <c r="AB202" i="213"/>
  <c r="AA202" i="213"/>
  <c r="Z202" i="213"/>
  <c r="X202" i="213"/>
  <c r="W202" i="213"/>
  <c r="V202" i="213"/>
  <c r="S202" i="213"/>
  <c r="R202" i="213"/>
  <c r="Q202" i="213"/>
  <c r="P202" i="213"/>
  <c r="O202" i="213"/>
  <c r="N202" i="213"/>
  <c r="M202" i="213"/>
  <c r="AH201" i="213"/>
  <c r="AG201" i="213"/>
  <c r="AC201" i="213"/>
  <c r="AB201" i="213"/>
  <c r="AA201" i="213"/>
  <c r="Z201" i="213"/>
  <c r="X201" i="213"/>
  <c r="W201" i="213"/>
  <c r="V201" i="213"/>
  <c r="S201" i="213"/>
  <c r="R201" i="213"/>
  <c r="Q201" i="213"/>
  <c r="P201" i="213"/>
  <c r="O201" i="213"/>
  <c r="N201" i="213"/>
  <c r="M201" i="213"/>
  <c r="AH200" i="213"/>
  <c r="AG200" i="213"/>
  <c r="AC200" i="213"/>
  <c r="AB200" i="213"/>
  <c r="AA200" i="213"/>
  <c r="Z200" i="213"/>
  <c r="X200" i="213"/>
  <c r="W200" i="213"/>
  <c r="V200" i="213"/>
  <c r="S200" i="213"/>
  <c r="R200" i="213"/>
  <c r="Q200" i="213"/>
  <c r="P200" i="213"/>
  <c r="O200" i="213"/>
  <c r="N200" i="213"/>
  <c r="M200" i="213"/>
  <c r="AH199" i="213"/>
  <c r="AG199" i="213"/>
  <c r="AC199" i="213"/>
  <c r="AB199" i="213"/>
  <c r="AA199" i="213"/>
  <c r="Z199" i="213"/>
  <c r="X199" i="213"/>
  <c r="W199" i="213"/>
  <c r="V199" i="213"/>
  <c r="S199" i="213"/>
  <c r="R199" i="213"/>
  <c r="Q199" i="213"/>
  <c r="P199" i="213"/>
  <c r="O199" i="213"/>
  <c r="N199" i="213"/>
  <c r="M199" i="213"/>
  <c r="AH198" i="213"/>
  <c r="AG198" i="213"/>
  <c r="AC198" i="213"/>
  <c r="AB198" i="213"/>
  <c r="AA198" i="213"/>
  <c r="Z198" i="213"/>
  <c r="X198" i="213"/>
  <c r="W198" i="213"/>
  <c r="V198" i="213"/>
  <c r="S198" i="213"/>
  <c r="R198" i="213"/>
  <c r="Q198" i="213"/>
  <c r="P198" i="213"/>
  <c r="O198" i="213"/>
  <c r="N198" i="213"/>
  <c r="M198" i="213"/>
  <c r="AH197" i="213"/>
  <c r="AG197" i="213"/>
  <c r="AC197" i="213"/>
  <c r="AB197" i="213"/>
  <c r="AA197" i="213"/>
  <c r="Z197" i="213"/>
  <c r="X197" i="213"/>
  <c r="W197" i="213"/>
  <c r="V197" i="213"/>
  <c r="S197" i="213"/>
  <c r="R197" i="213"/>
  <c r="Q197" i="213"/>
  <c r="P197" i="213"/>
  <c r="O197" i="213"/>
  <c r="N197" i="213"/>
  <c r="M197" i="213"/>
  <c r="AH196" i="213"/>
  <c r="AG196" i="213"/>
  <c r="AC196" i="213"/>
  <c r="AB196" i="213"/>
  <c r="AA196" i="213"/>
  <c r="Z196" i="213"/>
  <c r="X196" i="213"/>
  <c r="W196" i="213"/>
  <c r="V196" i="213"/>
  <c r="S196" i="213"/>
  <c r="R196" i="213"/>
  <c r="Q196" i="213"/>
  <c r="P196" i="213"/>
  <c r="O196" i="213"/>
  <c r="N196" i="213"/>
  <c r="M196" i="213"/>
  <c r="AH195" i="213"/>
  <c r="AG195" i="213"/>
  <c r="AC195" i="213"/>
  <c r="AB195" i="213"/>
  <c r="AA195" i="213"/>
  <c r="Z195" i="213"/>
  <c r="X195" i="213"/>
  <c r="W195" i="213"/>
  <c r="V195" i="213"/>
  <c r="S195" i="213"/>
  <c r="R195" i="213"/>
  <c r="Q195" i="213"/>
  <c r="P195" i="213"/>
  <c r="O195" i="213"/>
  <c r="N195" i="213"/>
  <c r="M195" i="213"/>
  <c r="AH194" i="213"/>
  <c r="AG194" i="213"/>
  <c r="AC194" i="213"/>
  <c r="AB194" i="213"/>
  <c r="AA194" i="213"/>
  <c r="Z194" i="213"/>
  <c r="X194" i="213"/>
  <c r="W194" i="213"/>
  <c r="V194" i="213"/>
  <c r="Y194" i="213" s="1"/>
  <c r="S194" i="213"/>
  <c r="R194" i="213"/>
  <c r="Q194" i="213"/>
  <c r="P194" i="213"/>
  <c r="O194" i="213"/>
  <c r="N194" i="213"/>
  <c r="M194" i="213"/>
  <c r="AH193" i="213"/>
  <c r="AG193" i="213"/>
  <c r="AC193" i="213"/>
  <c r="AB193" i="213"/>
  <c r="AA193" i="213"/>
  <c r="Z193" i="213"/>
  <c r="X193" i="213"/>
  <c r="W193" i="213"/>
  <c r="V193" i="213"/>
  <c r="S193" i="213"/>
  <c r="R193" i="213"/>
  <c r="Q193" i="213"/>
  <c r="P193" i="213"/>
  <c r="O193" i="213"/>
  <c r="N193" i="213"/>
  <c r="M193" i="213"/>
  <c r="AH192" i="213"/>
  <c r="AG192" i="213"/>
  <c r="AC192" i="213"/>
  <c r="AB192" i="213"/>
  <c r="AA192" i="213"/>
  <c r="Z192" i="213"/>
  <c r="X192" i="213"/>
  <c r="W192" i="213"/>
  <c r="V192" i="213"/>
  <c r="S192" i="213"/>
  <c r="R192" i="213"/>
  <c r="Q192" i="213"/>
  <c r="P192" i="213"/>
  <c r="O192" i="213"/>
  <c r="N192" i="213"/>
  <c r="M192" i="213"/>
  <c r="AH191" i="213"/>
  <c r="AG191" i="213"/>
  <c r="AC191" i="213"/>
  <c r="AB191" i="213"/>
  <c r="AA191" i="213"/>
  <c r="Z191" i="213"/>
  <c r="X191" i="213"/>
  <c r="W191" i="213"/>
  <c r="V191" i="213"/>
  <c r="S191" i="213"/>
  <c r="R191" i="213"/>
  <c r="Q191" i="213"/>
  <c r="P191" i="213"/>
  <c r="O191" i="213"/>
  <c r="N191" i="213"/>
  <c r="M191" i="213"/>
  <c r="AH190" i="213"/>
  <c r="AG190" i="213"/>
  <c r="AC190" i="213"/>
  <c r="AB190" i="213"/>
  <c r="AA190" i="213"/>
  <c r="Z190" i="213"/>
  <c r="X190" i="213"/>
  <c r="W190" i="213"/>
  <c r="V190" i="213"/>
  <c r="S190" i="213"/>
  <c r="R190" i="213"/>
  <c r="Q190" i="213"/>
  <c r="P190" i="213"/>
  <c r="O190" i="213"/>
  <c r="N190" i="213"/>
  <c r="M190" i="213"/>
  <c r="AH189" i="213"/>
  <c r="AG189" i="213"/>
  <c r="AC189" i="213"/>
  <c r="AB189" i="213"/>
  <c r="AA189" i="213"/>
  <c r="Z189" i="213"/>
  <c r="X189" i="213"/>
  <c r="W189" i="213"/>
  <c r="V189" i="213"/>
  <c r="S189" i="213"/>
  <c r="R189" i="213"/>
  <c r="Q189" i="213"/>
  <c r="P189" i="213"/>
  <c r="O189" i="213"/>
  <c r="N189" i="213"/>
  <c r="M189" i="213"/>
  <c r="AH188" i="213"/>
  <c r="AG188" i="213"/>
  <c r="AC188" i="213"/>
  <c r="AB188" i="213"/>
  <c r="AA188" i="213"/>
  <c r="Z188" i="213"/>
  <c r="X188" i="213"/>
  <c r="W188" i="213"/>
  <c r="V188" i="213"/>
  <c r="S188" i="213"/>
  <c r="R188" i="213"/>
  <c r="Q188" i="213"/>
  <c r="P188" i="213"/>
  <c r="O188" i="213"/>
  <c r="N188" i="213"/>
  <c r="M188" i="213"/>
  <c r="AH187" i="213"/>
  <c r="AG187" i="213"/>
  <c r="AC187" i="213"/>
  <c r="AB187" i="213"/>
  <c r="AA187" i="213"/>
  <c r="Z187" i="213"/>
  <c r="X187" i="213"/>
  <c r="W187" i="213"/>
  <c r="V187" i="213"/>
  <c r="S187" i="213"/>
  <c r="R187" i="213"/>
  <c r="Q187" i="213"/>
  <c r="P187" i="213"/>
  <c r="O187" i="213"/>
  <c r="N187" i="213"/>
  <c r="M187" i="213"/>
  <c r="AH186" i="213"/>
  <c r="AG186" i="213"/>
  <c r="AC186" i="213"/>
  <c r="AB186" i="213"/>
  <c r="AA186" i="213"/>
  <c r="Z186" i="213"/>
  <c r="X186" i="213"/>
  <c r="W186" i="213"/>
  <c r="V186" i="213"/>
  <c r="S186" i="213"/>
  <c r="R186" i="213"/>
  <c r="Q186" i="213"/>
  <c r="P186" i="213"/>
  <c r="O186" i="213"/>
  <c r="N186" i="213"/>
  <c r="M186" i="213"/>
  <c r="AH185" i="213"/>
  <c r="AG185" i="213"/>
  <c r="AC185" i="213"/>
  <c r="AB185" i="213"/>
  <c r="AA185" i="213"/>
  <c r="Z185" i="213"/>
  <c r="X185" i="213"/>
  <c r="W185" i="213"/>
  <c r="V185" i="213"/>
  <c r="S185" i="213"/>
  <c r="R185" i="213"/>
  <c r="Q185" i="213"/>
  <c r="P185" i="213"/>
  <c r="O185" i="213"/>
  <c r="N185" i="213"/>
  <c r="M185" i="213"/>
  <c r="AH184" i="213"/>
  <c r="AG184" i="213"/>
  <c r="AC184" i="213"/>
  <c r="AB184" i="213"/>
  <c r="AA184" i="213"/>
  <c r="Z184" i="213"/>
  <c r="X184" i="213"/>
  <c r="W184" i="213"/>
  <c r="V184" i="213"/>
  <c r="Y184" i="213" s="1"/>
  <c r="S184" i="213"/>
  <c r="R184" i="213"/>
  <c r="Q184" i="213"/>
  <c r="P184" i="213"/>
  <c r="O184" i="213"/>
  <c r="N184" i="213"/>
  <c r="M184" i="213"/>
  <c r="AH183" i="213"/>
  <c r="AG183" i="213"/>
  <c r="AC183" i="213"/>
  <c r="AB183" i="213"/>
  <c r="AA183" i="213"/>
  <c r="Z183" i="213"/>
  <c r="X183" i="213"/>
  <c r="W183" i="213"/>
  <c r="V183" i="213"/>
  <c r="S183" i="213"/>
  <c r="R183" i="213"/>
  <c r="Q183" i="213"/>
  <c r="P183" i="213"/>
  <c r="O183" i="213"/>
  <c r="N183" i="213"/>
  <c r="M183" i="213"/>
  <c r="AH182" i="213"/>
  <c r="AG182" i="213"/>
  <c r="AC182" i="213"/>
  <c r="AB182" i="213"/>
  <c r="AA182" i="213"/>
  <c r="Z182" i="213"/>
  <c r="X182" i="213"/>
  <c r="W182" i="213"/>
  <c r="V182" i="213"/>
  <c r="S182" i="213"/>
  <c r="R182" i="213"/>
  <c r="Q182" i="213"/>
  <c r="P182" i="213"/>
  <c r="O182" i="213"/>
  <c r="N182" i="213"/>
  <c r="M182" i="213"/>
  <c r="AH181" i="213"/>
  <c r="AG181" i="213"/>
  <c r="AC181" i="213"/>
  <c r="AB181" i="213"/>
  <c r="AA181" i="213"/>
  <c r="Z181" i="213"/>
  <c r="X181" i="213"/>
  <c r="W181" i="213"/>
  <c r="V181" i="213"/>
  <c r="S181" i="213"/>
  <c r="R181" i="213"/>
  <c r="Q181" i="213"/>
  <c r="P181" i="213"/>
  <c r="O181" i="213"/>
  <c r="N181" i="213"/>
  <c r="M181" i="213"/>
  <c r="AH180" i="213"/>
  <c r="AG180" i="213"/>
  <c r="AC180" i="213"/>
  <c r="AB180" i="213"/>
  <c r="AA180" i="213"/>
  <c r="Z180" i="213"/>
  <c r="X180" i="213"/>
  <c r="W180" i="213"/>
  <c r="V180" i="213"/>
  <c r="S180" i="213"/>
  <c r="R180" i="213"/>
  <c r="Q180" i="213"/>
  <c r="P180" i="213"/>
  <c r="O180" i="213"/>
  <c r="N180" i="213"/>
  <c r="M180" i="213"/>
  <c r="AH179" i="213"/>
  <c r="AG179" i="213"/>
  <c r="AC179" i="213"/>
  <c r="AB179" i="213"/>
  <c r="AA179" i="213"/>
  <c r="Z179" i="213"/>
  <c r="X179" i="213"/>
  <c r="W179" i="213"/>
  <c r="V179" i="213"/>
  <c r="S179" i="213"/>
  <c r="R179" i="213"/>
  <c r="Q179" i="213"/>
  <c r="P179" i="213"/>
  <c r="O179" i="213"/>
  <c r="N179" i="213"/>
  <c r="M179" i="213"/>
  <c r="AH178" i="213"/>
  <c r="AG178" i="213"/>
  <c r="AC178" i="213"/>
  <c r="AB178" i="213"/>
  <c r="AA178" i="213"/>
  <c r="Z178" i="213"/>
  <c r="X178" i="213"/>
  <c r="W178" i="213"/>
  <c r="V178" i="213"/>
  <c r="S178" i="213"/>
  <c r="R178" i="213"/>
  <c r="Q178" i="213"/>
  <c r="P178" i="213"/>
  <c r="O178" i="213"/>
  <c r="N178" i="213"/>
  <c r="M178" i="213"/>
  <c r="AH177" i="213"/>
  <c r="AG177" i="213"/>
  <c r="AC177" i="213"/>
  <c r="AB177" i="213"/>
  <c r="AA177" i="213"/>
  <c r="Z177" i="213"/>
  <c r="X177" i="213"/>
  <c r="W177" i="213"/>
  <c r="V177" i="213"/>
  <c r="S177" i="213"/>
  <c r="R177" i="213"/>
  <c r="Q177" i="213"/>
  <c r="P177" i="213"/>
  <c r="O177" i="213"/>
  <c r="N177" i="213"/>
  <c r="M177" i="213"/>
  <c r="AH176" i="213"/>
  <c r="AG176" i="213"/>
  <c r="AC176" i="213"/>
  <c r="AB176" i="213"/>
  <c r="AA176" i="213"/>
  <c r="Z176" i="213"/>
  <c r="X176" i="213"/>
  <c r="W176" i="213"/>
  <c r="V176" i="213"/>
  <c r="S176" i="213"/>
  <c r="R176" i="213"/>
  <c r="Q176" i="213"/>
  <c r="P176" i="213"/>
  <c r="O176" i="213"/>
  <c r="N176" i="213"/>
  <c r="M176" i="213"/>
  <c r="AH175" i="213"/>
  <c r="AG175" i="213"/>
  <c r="AC175" i="213"/>
  <c r="AB175" i="213"/>
  <c r="AA175" i="213"/>
  <c r="Z175" i="213"/>
  <c r="X175" i="213"/>
  <c r="W175" i="213"/>
  <c r="V175" i="213"/>
  <c r="S175" i="213"/>
  <c r="R175" i="213"/>
  <c r="Q175" i="213"/>
  <c r="P175" i="213"/>
  <c r="O175" i="213"/>
  <c r="N175" i="213"/>
  <c r="M175" i="213"/>
  <c r="AH174" i="213"/>
  <c r="AG174" i="213"/>
  <c r="AC174" i="213"/>
  <c r="AB174" i="213"/>
  <c r="AA174" i="213"/>
  <c r="Z174" i="213"/>
  <c r="X174" i="213"/>
  <c r="W174" i="213"/>
  <c r="V174" i="213"/>
  <c r="Y174" i="213" s="1"/>
  <c r="S174" i="213"/>
  <c r="R174" i="213"/>
  <c r="Q174" i="213"/>
  <c r="P174" i="213"/>
  <c r="O174" i="213"/>
  <c r="N174" i="213"/>
  <c r="M174" i="213"/>
  <c r="AH173" i="213"/>
  <c r="AG173" i="213"/>
  <c r="AC173" i="213"/>
  <c r="AB173" i="213"/>
  <c r="AA173" i="213"/>
  <c r="Z173" i="213"/>
  <c r="X173" i="213"/>
  <c r="W173" i="213"/>
  <c r="V173" i="213"/>
  <c r="S173" i="213"/>
  <c r="R173" i="213"/>
  <c r="Q173" i="213"/>
  <c r="P173" i="213"/>
  <c r="O173" i="213"/>
  <c r="N173" i="213"/>
  <c r="M173" i="213"/>
  <c r="AH172" i="213"/>
  <c r="AG172" i="213"/>
  <c r="AC172" i="213"/>
  <c r="AB172" i="213"/>
  <c r="AA172" i="213"/>
  <c r="Z172" i="213"/>
  <c r="X172" i="213"/>
  <c r="W172" i="213"/>
  <c r="V172" i="213"/>
  <c r="S172" i="213"/>
  <c r="R172" i="213"/>
  <c r="Q172" i="213"/>
  <c r="P172" i="213"/>
  <c r="O172" i="213"/>
  <c r="N172" i="213"/>
  <c r="M172" i="213"/>
  <c r="AH171" i="213"/>
  <c r="AG171" i="213"/>
  <c r="AC171" i="213"/>
  <c r="AB171" i="213"/>
  <c r="AA171" i="213"/>
  <c r="Z171" i="213"/>
  <c r="X171" i="213"/>
  <c r="W171" i="213"/>
  <c r="V171" i="213"/>
  <c r="S171" i="213"/>
  <c r="R171" i="213"/>
  <c r="Q171" i="213"/>
  <c r="P171" i="213"/>
  <c r="O171" i="213"/>
  <c r="N171" i="213"/>
  <c r="M171" i="213"/>
  <c r="AH170" i="213"/>
  <c r="AG170" i="213"/>
  <c r="AC170" i="213"/>
  <c r="AB170" i="213"/>
  <c r="AA170" i="213"/>
  <c r="Z170" i="213"/>
  <c r="X170" i="213"/>
  <c r="W170" i="213"/>
  <c r="V170" i="213"/>
  <c r="S170" i="213"/>
  <c r="R170" i="213"/>
  <c r="Q170" i="213"/>
  <c r="P170" i="213"/>
  <c r="O170" i="213"/>
  <c r="N170" i="213"/>
  <c r="M170" i="213"/>
  <c r="AH169" i="213"/>
  <c r="AG169" i="213"/>
  <c r="AC169" i="213"/>
  <c r="AB169" i="213"/>
  <c r="AA169" i="213"/>
  <c r="Z169" i="213"/>
  <c r="X169" i="213"/>
  <c r="W169" i="213"/>
  <c r="V169" i="213"/>
  <c r="S169" i="213"/>
  <c r="R169" i="213"/>
  <c r="Q169" i="213"/>
  <c r="P169" i="213"/>
  <c r="O169" i="213"/>
  <c r="N169" i="213"/>
  <c r="M169" i="213"/>
  <c r="AH168" i="213"/>
  <c r="AG168" i="213"/>
  <c r="AC168" i="213"/>
  <c r="AB168" i="213"/>
  <c r="AA168" i="213"/>
  <c r="Z168" i="213"/>
  <c r="X168" i="213"/>
  <c r="W168" i="213"/>
  <c r="V168" i="213"/>
  <c r="S168" i="213"/>
  <c r="R168" i="213"/>
  <c r="Q168" i="213"/>
  <c r="P168" i="213"/>
  <c r="O168" i="213"/>
  <c r="N168" i="213"/>
  <c r="M168" i="213"/>
  <c r="AH167" i="213"/>
  <c r="AG167" i="213"/>
  <c r="AC167" i="213"/>
  <c r="AB167" i="213"/>
  <c r="AA167" i="213"/>
  <c r="Z167" i="213"/>
  <c r="X167" i="213"/>
  <c r="W167" i="213"/>
  <c r="V167" i="213"/>
  <c r="S167" i="213"/>
  <c r="R167" i="213"/>
  <c r="Q167" i="213"/>
  <c r="P167" i="213"/>
  <c r="O167" i="213"/>
  <c r="N167" i="213"/>
  <c r="M167" i="213"/>
  <c r="AH166" i="213"/>
  <c r="AG166" i="213"/>
  <c r="AC166" i="213"/>
  <c r="AB166" i="213"/>
  <c r="AA166" i="213"/>
  <c r="Z166" i="213"/>
  <c r="X166" i="213"/>
  <c r="W166" i="213"/>
  <c r="V166" i="213"/>
  <c r="S166" i="213"/>
  <c r="R166" i="213"/>
  <c r="Q166" i="213"/>
  <c r="P166" i="213"/>
  <c r="O166" i="213"/>
  <c r="N166" i="213"/>
  <c r="M166" i="213"/>
  <c r="AH165" i="213"/>
  <c r="AG165" i="213"/>
  <c r="AC165" i="213"/>
  <c r="AB165" i="213"/>
  <c r="AA165" i="213"/>
  <c r="Z165" i="213"/>
  <c r="X165" i="213"/>
  <c r="W165" i="213"/>
  <c r="V165" i="213"/>
  <c r="S165" i="213"/>
  <c r="R165" i="213"/>
  <c r="Q165" i="213"/>
  <c r="P165" i="213"/>
  <c r="O165" i="213"/>
  <c r="N165" i="213"/>
  <c r="M165" i="213"/>
  <c r="AH164" i="213"/>
  <c r="AG164" i="213"/>
  <c r="AC164" i="213"/>
  <c r="AB164" i="213"/>
  <c r="AA164" i="213"/>
  <c r="Z164" i="213"/>
  <c r="X164" i="213"/>
  <c r="W164" i="213"/>
  <c r="V164" i="213"/>
  <c r="Y164" i="213" s="1"/>
  <c r="S164" i="213"/>
  <c r="R164" i="213"/>
  <c r="Q164" i="213"/>
  <c r="P164" i="213"/>
  <c r="O164" i="213"/>
  <c r="N164" i="213"/>
  <c r="M164" i="213"/>
  <c r="AH163" i="213"/>
  <c r="AG163" i="213"/>
  <c r="AC163" i="213"/>
  <c r="AB163" i="213"/>
  <c r="AA163" i="213"/>
  <c r="Z163" i="213"/>
  <c r="X163" i="213"/>
  <c r="W163" i="213"/>
  <c r="V163" i="213"/>
  <c r="S163" i="213"/>
  <c r="R163" i="213"/>
  <c r="Q163" i="213"/>
  <c r="P163" i="213"/>
  <c r="O163" i="213"/>
  <c r="N163" i="213"/>
  <c r="M163" i="213"/>
  <c r="AH162" i="213"/>
  <c r="AG162" i="213"/>
  <c r="AC162" i="213"/>
  <c r="AB162" i="213"/>
  <c r="AA162" i="213"/>
  <c r="Z162" i="213"/>
  <c r="X162" i="213"/>
  <c r="W162" i="213"/>
  <c r="V162" i="213"/>
  <c r="S162" i="213"/>
  <c r="R162" i="213"/>
  <c r="Q162" i="213"/>
  <c r="P162" i="213"/>
  <c r="O162" i="213"/>
  <c r="N162" i="213"/>
  <c r="M162" i="213"/>
  <c r="AH161" i="213"/>
  <c r="AG161" i="213"/>
  <c r="AC161" i="213"/>
  <c r="AB161" i="213"/>
  <c r="AA161" i="213"/>
  <c r="Z161" i="213"/>
  <c r="X161" i="213"/>
  <c r="W161" i="213"/>
  <c r="V161" i="213"/>
  <c r="S161" i="213"/>
  <c r="R161" i="213"/>
  <c r="Q161" i="213"/>
  <c r="P161" i="213"/>
  <c r="O161" i="213"/>
  <c r="N161" i="213"/>
  <c r="M161" i="213"/>
  <c r="AH160" i="213"/>
  <c r="AG160" i="213"/>
  <c r="AC160" i="213"/>
  <c r="AB160" i="213"/>
  <c r="AA160" i="213"/>
  <c r="Z160" i="213"/>
  <c r="X160" i="213"/>
  <c r="W160" i="213"/>
  <c r="V160" i="213"/>
  <c r="S160" i="213"/>
  <c r="R160" i="213"/>
  <c r="Q160" i="213"/>
  <c r="P160" i="213"/>
  <c r="O160" i="213"/>
  <c r="N160" i="213"/>
  <c r="M160" i="213"/>
  <c r="AH159" i="213"/>
  <c r="AG159" i="213"/>
  <c r="AC159" i="213"/>
  <c r="AB159" i="213"/>
  <c r="AA159" i="213"/>
  <c r="Z159" i="213"/>
  <c r="X159" i="213"/>
  <c r="W159" i="213"/>
  <c r="V159" i="213"/>
  <c r="S159" i="213"/>
  <c r="R159" i="213"/>
  <c r="Q159" i="213"/>
  <c r="P159" i="213"/>
  <c r="O159" i="213"/>
  <c r="N159" i="213"/>
  <c r="M159" i="213"/>
  <c r="AH158" i="213"/>
  <c r="AG158" i="213"/>
  <c r="AC158" i="213"/>
  <c r="AB158" i="213"/>
  <c r="AA158" i="213"/>
  <c r="Z158" i="213"/>
  <c r="X158" i="213"/>
  <c r="W158" i="213"/>
  <c r="V158" i="213"/>
  <c r="S158" i="213"/>
  <c r="R158" i="213"/>
  <c r="Q158" i="213"/>
  <c r="P158" i="213"/>
  <c r="O158" i="213"/>
  <c r="N158" i="213"/>
  <c r="M158" i="213"/>
  <c r="AH157" i="213"/>
  <c r="AG157" i="213"/>
  <c r="AC157" i="213"/>
  <c r="AB157" i="213"/>
  <c r="AA157" i="213"/>
  <c r="Z157" i="213"/>
  <c r="X157" i="213"/>
  <c r="W157" i="213"/>
  <c r="V157" i="213"/>
  <c r="S157" i="213"/>
  <c r="R157" i="213"/>
  <c r="Q157" i="213"/>
  <c r="P157" i="213"/>
  <c r="O157" i="213"/>
  <c r="N157" i="213"/>
  <c r="M157" i="213"/>
  <c r="AH156" i="213"/>
  <c r="AG156" i="213"/>
  <c r="AC156" i="213"/>
  <c r="AB156" i="213"/>
  <c r="AA156" i="213"/>
  <c r="Z156" i="213"/>
  <c r="X156" i="213"/>
  <c r="W156" i="213"/>
  <c r="V156" i="213"/>
  <c r="S156" i="213"/>
  <c r="R156" i="213"/>
  <c r="Q156" i="213"/>
  <c r="P156" i="213"/>
  <c r="O156" i="213"/>
  <c r="N156" i="213"/>
  <c r="M156" i="213"/>
  <c r="AH155" i="213"/>
  <c r="AG155" i="213"/>
  <c r="AC155" i="213"/>
  <c r="AB155" i="213"/>
  <c r="AA155" i="213"/>
  <c r="Z155" i="213"/>
  <c r="X155" i="213"/>
  <c r="W155" i="213"/>
  <c r="V155" i="213"/>
  <c r="S155" i="213"/>
  <c r="R155" i="213"/>
  <c r="Q155" i="213"/>
  <c r="P155" i="213"/>
  <c r="O155" i="213"/>
  <c r="N155" i="213"/>
  <c r="M155" i="213"/>
  <c r="AH154" i="213"/>
  <c r="AC154" i="213"/>
  <c r="W154" i="213"/>
  <c r="V154" i="213"/>
  <c r="Y154" i="213" s="1"/>
  <c r="S154" i="213"/>
  <c r="R154" i="213"/>
  <c r="Q154" i="213"/>
  <c r="P154" i="213"/>
  <c r="O154" i="213"/>
  <c r="N154" i="213"/>
  <c r="M154" i="213"/>
  <c r="AH153" i="213"/>
  <c r="AG153" i="213"/>
  <c r="AC153" i="213"/>
  <c r="AB153" i="213"/>
  <c r="AA153" i="213"/>
  <c r="Z153" i="213"/>
  <c r="X153" i="213"/>
  <c r="W153" i="213"/>
  <c r="V153" i="213"/>
  <c r="S153" i="213"/>
  <c r="R153" i="213"/>
  <c r="Q153" i="213"/>
  <c r="P153" i="213"/>
  <c r="O153" i="213"/>
  <c r="N153" i="213"/>
  <c r="M153" i="213"/>
  <c r="AH152" i="213"/>
  <c r="AG152" i="213"/>
  <c r="AC152" i="213"/>
  <c r="AB152" i="213"/>
  <c r="AA152" i="213"/>
  <c r="Z152" i="213"/>
  <c r="X152" i="213"/>
  <c r="W152" i="213"/>
  <c r="V152" i="213"/>
  <c r="S152" i="213"/>
  <c r="R152" i="213"/>
  <c r="Q152" i="213"/>
  <c r="P152" i="213"/>
  <c r="O152" i="213"/>
  <c r="N152" i="213"/>
  <c r="M152" i="213"/>
  <c r="AH151" i="213"/>
  <c r="AG151" i="213"/>
  <c r="AC151" i="213"/>
  <c r="AB151" i="213"/>
  <c r="AA151" i="213"/>
  <c r="Z151" i="213"/>
  <c r="X151" i="213"/>
  <c r="W151" i="213"/>
  <c r="V151" i="213"/>
  <c r="S151" i="213"/>
  <c r="R151" i="213"/>
  <c r="Q151" i="213"/>
  <c r="P151" i="213"/>
  <c r="O151" i="213"/>
  <c r="N151" i="213"/>
  <c r="M151" i="213"/>
  <c r="AH150" i="213"/>
  <c r="AG150" i="213"/>
  <c r="AC150" i="213"/>
  <c r="AB150" i="213"/>
  <c r="AA150" i="213"/>
  <c r="Z150" i="213"/>
  <c r="X150" i="213"/>
  <c r="W150" i="213"/>
  <c r="V150" i="213"/>
  <c r="S150" i="213"/>
  <c r="R150" i="213"/>
  <c r="Q150" i="213"/>
  <c r="P150" i="213"/>
  <c r="O150" i="213"/>
  <c r="N150" i="213"/>
  <c r="M150" i="213"/>
  <c r="AH149" i="213"/>
  <c r="AG149" i="213"/>
  <c r="AC149" i="213"/>
  <c r="AB149" i="213"/>
  <c r="AA149" i="213"/>
  <c r="Z149" i="213"/>
  <c r="X149" i="213"/>
  <c r="W149" i="213"/>
  <c r="V149" i="213"/>
  <c r="S149" i="213"/>
  <c r="R149" i="213"/>
  <c r="Q149" i="213"/>
  <c r="P149" i="213"/>
  <c r="O149" i="213"/>
  <c r="N149" i="213"/>
  <c r="M149" i="213"/>
  <c r="AH148" i="213"/>
  <c r="AG148" i="213"/>
  <c r="AC148" i="213"/>
  <c r="AB148" i="213"/>
  <c r="AA148" i="213"/>
  <c r="Z148" i="213"/>
  <c r="X148" i="213"/>
  <c r="W148" i="213"/>
  <c r="V148" i="213"/>
  <c r="S148" i="213"/>
  <c r="R148" i="213"/>
  <c r="Q148" i="213"/>
  <c r="P148" i="213"/>
  <c r="O148" i="213"/>
  <c r="N148" i="213"/>
  <c r="M148" i="213"/>
  <c r="AH147" i="213"/>
  <c r="AG147" i="213"/>
  <c r="AC147" i="213"/>
  <c r="AB147" i="213"/>
  <c r="AA147" i="213"/>
  <c r="Z147" i="213"/>
  <c r="X147" i="213"/>
  <c r="W147" i="213"/>
  <c r="V147" i="213"/>
  <c r="Y147" i="213" s="1"/>
  <c r="S147" i="213"/>
  <c r="R147" i="213"/>
  <c r="Q147" i="213"/>
  <c r="P147" i="213"/>
  <c r="O147" i="213"/>
  <c r="N147" i="213"/>
  <c r="M147" i="213"/>
  <c r="AH146" i="213"/>
  <c r="AG146" i="213"/>
  <c r="AC146" i="213"/>
  <c r="AB146" i="213"/>
  <c r="AA146" i="213"/>
  <c r="Z146" i="213"/>
  <c r="X146" i="213"/>
  <c r="W146" i="213"/>
  <c r="V146" i="213"/>
  <c r="S146" i="213"/>
  <c r="R146" i="213"/>
  <c r="Q146" i="213"/>
  <c r="P146" i="213"/>
  <c r="O146" i="213"/>
  <c r="N146" i="213"/>
  <c r="M146" i="213"/>
  <c r="AH145" i="213"/>
  <c r="AG145" i="213"/>
  <c r="AC145" i="213"/>
  <c r="AB145" i="213"/>
  <c r="AA145" i="213"/>
  <c r="Z145" i="213"/>
  <c r="X145" i="213"/>
  <c r="W145" i="213"/>
  <c r="V145" i="213"/>
  <c r="S145" i="213"/>
  <c r="R145" i="213"/>
  <c r="Q145" i="213"/>
  <c r="P145" i="213"/>
  <c r="O145" i="213"/>
  <c r="N145" i="213"/>
  <c r="M145" i="213"/>
  <c r="AH144" i="213"/>
  <c r="AG144" i="213"/>
  <c r="AC144" i="213"/>
  <c r="AB144" i="213"/>
  <c r="AA144" i="213"/>
  <c r="Z144" i="213"/>
  <c r="X144" i="213"/>
  <c r="W144" i="213"/>
  <c r="V144" i="213"/>
  <c r="Y144" i="213" s="1"/>
  <c r="S144" i="213"/>
  <c r="R144" i="213"/>
  <c r="Q144" i="213"/>
  <c r="P144" i="213"/>
  <c r="O144" i="213"/>
  <c r="N144" i="213"/>
  <c r="M144" i="213"/>
  <c r="AH143" i="213"/>
  <c r="AG143" i="213"/>
  <c r="AC143" i="213"/>
  <c r="AB143" i="213"/>
  <c r="AA143" i="213"/>
  <c r="Z143" i="213"/>
  <c r="X143" i="213"/>
  <c r="W143" i="213"/>
  <c r="V143" i="213"/>
  <c r="S143" i="213"/>
  <c r="R143" i="213"/>
  <c r="Q143" i="213"/>
  <c r="P143" i="213"/>
  <c r="O143" i="213"/>
  <c r="N143" i="213"/>
  <c r="M143" i="213"/>
  <c r="AH142" i="213"/>
  <c r="AG142" i="213"/>
  <c r="AC142" i="213"/>
  <c r="AB142" i="213"/>
  <c r="AA142" i="213"/>
  <c r="Z142" i="213"/>
  <c r="X142" i="213"/>
  <c r="W142" i="213"/>
  <c r="V142" i="213"/>
  <c r="S142" i="213"/>
  <c r="R142" i="213"/>
  <c r="Q142" i="213"/>
  <c r="P142" i="213"/>
  <c r="O142" i="213"/>
  <c r="N142" i="213"/>
  <c r="M142" i="213"/>
  <c r="AH141" i="213"/>
  <c r="AG141" i="213"/>
  <c r="AC141" i="213"/>
  <c r="AB141" i="213"/>
  <c r="AA141" i="213"/>
  <c r="Z141" i="213"/>
  <c r="X141" i="213"/>
  <c r="W141" i="213"/>
  <c r="V141" i="213"/>
  <c r="S141" i="213"/>
  <c r="R141" i="213"/>
  <c r="Q141" i="213"/>
  <c r="P141" i="213"/>
  <c r="O141" i="213"/>
  <c r="N141" i="213"/>
  <c r="M141" i="213"/>
  <c r="AH140" i="213"/>
  <c r="AG140" i="213"/>
  <c r="AC140" i="213"/>
  <c r="AB140" i="213"/>
  <c r="AA140" i="213"/>
  <c r="Z140" i="213"/>
  <c r="X140" i="213"/>
  <c r="W140" i="213"/>
  <c r="V140" i="213"/>
  <c r="S140" i="213"/>
  <c r="R140" i="213"/>
  <c r="Q140" i="213"/>
  <c r="P140" i="213"/>
  <c r="O140" i="213"/>
  <c r="N140" i="213"/>
  <c r="M140" i="213"/>
  <c r="AH139" i="213"/>
  <c r="AG139" i="213"/>
  <c r="AC139" i="213"/>
  <c r="AB139" i="213"/>
  <c r="AA139" i="213"/>
  <c r="Z139" i="213"/>
  <c r="X139" i="213"/>
  <c r="W139" i="213"/>
  <c r="V139" i="213"/>
  <c r="S139" i="213"/>
  <c r="R139" i="213"/>
  <c r="Q139" i="213"/>
  <c r="P139" i="213"/>
  <c r="O139" i="213"/>
  <c r="N139" i="213"/>
  <c r="M139" i="213"/>
  <c r="AH138" i="213"/>
  <c r="AG138" i="213"/>
  <c r="AC138" i="213"/>
  <c r="AB138" i="213"/>
  <c r="AA138" i="213"/>
  <c r="Z138" i="213"/>
  <c r="X138" i="213"/>
  <c r="W138" i="213"/>
  <c r="V138" i="213"/>
  <c r="S138" i="213"/>
  <c r="R138" i="213"/>
  <c r="Q138" i="213"/>
  <c r="P138" i="213"/>
  <c r="O138" i="213"/>
  <c r="N138" i="213"/>
  <c r="M138" i="213"/>
  <c r="AH137" i="213"/>
  <c r="AG137" i="213"/>
  <c r="AC137" i="213"/>
  <c r="AB137" i="213"/>
  <c r="AA137" i="213"/>
  <c r="Z137" i="213"/>
  <c r="X137" i="213"/>
  <c r="W137" i="213"/>
  <c r="V137" i="213"/>
  <c r="S137" i="213"/>
  <c r="R137" i="213"/>
  <c r="Q137" i="213"/>
  <c r="P137" i="213"/>
  <c r="O137" i="213"/>
  <c r="N137" i="213"/>
  <c r="M137" i="213"/>
  <c r="AH136" i="213"/>
  <c r="AG136" i="213"/>
  <c r="AC136" i="213"/>
  <c r="AB136" i="213"/>
  <c r="AA136" i="213"/>
  <c r="Z136" i="213"/>
  <c r="X136" i="213"/>
  <c r="W136" i="213"/>
  <c r="V136" i="213"/>
  <c r="S136" i="213"/>
  <c r="R136" i="213"/>
  <c r="Q136" i="213"/>
  <c r="P136" i="213"/>
  <c r="O136" i="213"/>
  <c r="N136" i="213"/>
  <c r="M136" i="213"/>
  <c r="AH135" i="213"/>
  <c r="AG135" i="213"/>
  <c r="AC135" i="213"/>
  <c r="AB135" i="213"/>
  <c r="AA135" i="213"/>
  <c r="Z135" i="213"/>
  <c r="X135" i="213"/>
  <c r="W135" i="213"/>
  <c r="V135" i="213"/>
  <c r="S135" i="213"/>
  <c r="R135" i="213"/>
  <c r="Q135" i="213"/>
  <c r="P135" i="213"/>
  <c r="O135" i="213"/>
  <c r="N135" i="213"/>
  <c r="M135" i="213"/>
  <c r="AH134" i="213"/>
  <c r="AG134" i="213"/>
  <c r="AC134" i="213"/>
  <c r="AB134" i="213"/>
  <c r="AA134" i="213"/>
  <c r="Z134" i="213"/>
  <c r="X134" i="213"/>
  <c r="W134" i="213"/>
  <c r="V134" i="213"/>
  <c r="Y134" i="213" s="1"/>
  <c r="S134" i="213"/>
  <c r="R134" i="213"/>
  <c r="Q134" i="213"/>
  <c r="P134" i="213"/>
  <c r="O134" i="213"/>
  <c r="N134" i="213"/>
  <c r="M134" i="213"/>
  <c r="AH133" i="213"/>
  <c r="AG133" i="213"/>
  <c r="AC133" i="213"/>
  <c r="AB133" i="213"/>
  <c r="AA133" i="213"/>
  <c r="Z133" i="213"/>
  <c r="X133" i="213"/>
  <c r="W133" i="213"/>
  <c r="V133" i="213"/>
  <c r="S133" i="213"/>
  <c r="R133" i="213"/>
  <c r="Q133" i="213"/>
  <c r="P133" i="213"/>
  <c r="O133" i="213"/>
  <c r="N133" i="213"/>
  <c r="M133" i="213"/>
  <c r="AH132" i="213"/>
  <c r="AG132" i="213"/>
  <c r="AC132" i="213"/>
  <c r="AB132" i="213"/>
  <c r="AA132" i="213"/>
  <c r="Z132" i="213"/>
  <c r="X132" i="213"/>
  <c r="W132" i="213"/>
  <c r="V132" i="213"/>
  <c r="S132" i="213"/>
  <c r="R132" i="213"/>
  <c r="Q132" i="213"/>
  <c r="P132" i="213"/>
  <c r="O132" i="213"/>
  <c r="N132" i="213"/>
  <c r="M132" i="213"/>
  <c r="AH131" i="213"/>
  <c r="AG131" i="213"/>
  <c r="AC131" i="213"/>
  <c r="AB131" i="213"/>
  <c r="AA131" i="213"/>
  <c r="Z131" i="213"/>
  <c r="X131" i="213"/>
  <c r="W131" i="213"/>
  <c r="V131" i="213"/>
  <c r="S131" i="213"/>
  <c r="R131" i="213"/>
  <c r="Q131" i="213"/>
  <c r="P131" i="213"/>
  <c r="O131" i="213"/>
  <c r="N131" i="213"/>
  <c r="M131" i="213"/>
  <c r="AH130" i="213"/>
  <c r="AG130" i="213"/>
  <c r="AC130" i="213"/>
  <c r="AB130" i="213"/>
  <c r="AA130" i="213"/>
  <c r="Z130" i="213"/>
  <c r="X130" i="213"/>
  <c r="W130" i="213"/>
  <c r="V130" i="213"/>
  <c r="S130" i="213"/>
  <c r="R130" i="213"/>
  <c r="Q130" i="213"/>
  <c r="P130" i="213"/>
  <c r="O130" i="213"/>
  <c r="N130" i="213"/>
  <c r="M130" i="213"/>
  <c r="AH129" i="213"/>
  <c r="AG129" i="213"/>
  <c r="AC129" i="213"/>
  <c r="AB129" i="213"/>
  <c r="AA129" i="213"/>
  <c r="Z129" i="213"/>
  <c r="X129" i="213"/>
  <c r="W129" i="213"/>
  <c r="V129" i="213"/>
  <c r="S129" i="213"/>
  <c r="R129" i="213"/>
  <c r="Q129" i="213"/>
  <c r="P129" i="213"/>
  <c r="O129" i="213"/>
  <c r="N129" i="213"/>
  <c r="M129" i="213"/>
  <c r="AH128" i="213"/>
  <c r="AG128" i="213"/>
  <c r="AC128" i="213"/>
  <c r="AB128" i="213"/>
  <c r="AA128" i="213"/>
  <c r="Z128" i="213"/>
  <c r="X128" i="213"/>
  <c r="W128" i="213"/>
  <c r="V128" i="213"/>
  <c r="S128" i="213"/>
  <c r="R128" i="213"/>
  <c r="Q128" i="213"/>
  <c r="P128" i="213"/>
  <c r="O128" i="213"/>
  <c r="N128" i="213"/>
  <c r="M128" i="213"/>
  <c r="AH127" i="213"/>
  <c r="AG127" i="213"/>
  <c r="AC127" i="213"/>
  <c r="AB127" i="213"/>
  <c r="AA127" i="213"/>
  <c r="Z127" i="213"/>
  <c r="X127" i="213"/>
  <c r="W127" i="213"/>
  <c r="V127" i="213"/>
  <c r="Y127" i="213" s="1"/>
  <c r="S127" i="213"/>
  <c r="R127" i="213"/>
  <c r="Q127" i="213"/>
  <c r="P127" i="213"/>
  <c r="O127" i="213"/>
  <c r="N127" i="213"/>
  <c r="M127" i="213"/>
  <c r="AH126" i="213"/>
  <c r="AG126" i="213"/>
  <c r="AC126" i="213"/>
  <c r="AB126" i="213"/>
  <c r="AA126" i="213"/>
  <c r="Z126" i="213"/>
  <c r="X126" i="213"/>
  <c r="W126" i="213"/>
  <c r="V126" i="213"/>
  <c r="S126" i="213"/>
  <c r="R126" i="213"/>
  <c r="Q126" i="213"/>
  <c r="P126" i="213"/>
  <c r="O126" i="213"/>
  <c r="N126" i="213"/>
  <c r="M126" i="213"/>
  <c r="AH125" i="213"/>
  <c r="AG125" i="213"/>
  <c r="AC125" i="213"/>
  <c r="AB125" i="213"/>
  <c r="AA125" i="213"/>
  <c r="Z125" i="213"/>
  <c r="X125" i="213"/>
  <c r="W125" i="213"/>
  <c r="V125" i="213"/>
  <c r="S125" i="213"/>
  <c r="R125" i="213"/>
  <c r="Q125" i="213"/>
  <c r="P125" i="213"/>
  <c r="O125" i="213"/>
  <c r="N125" i="213"/>
  <c r="M125" i="213"/>
  <c r="AH124" i="213"/>
  <c r="AG124" i="213"/>
  <c r="AC124" i="213"/>
  <c r="AB124" i="213"/>
  <c r="AA124" i="213"/>
  <c r="Z124" i="213"/>
  <c r="X124" i="213"/>
  <c r="W124" i="213"/>
  <c r="V124" i="213"/>
  <c r="S124" i="213"/>
  <c r="R124" i="213"/>
  <c r="Q124" i="213"/>
  <c r="P124" i="213"/>
  <c r="O124" i="213"/>
  <c r="N124" i="213"/>
  <c r="M124" i="213"/>
  <c r="AH123" i="213"/>
  <c r="AG123" i="213"/>
  <c r="AC123" i="213"/>
  <c r="AB123" i="213"/>
  <c r="AA123" i="213"/>
  <c r="Z123" i="213"/>
  <c r="X123" i="213"/>
  <c r="W123" i="213"/>
  <c r="V123" i="213"/>
  <c r="S123" i="213"/>
  <c r="R123" i="213"/>
  <c r="Q123" i="213"/>
  <c r="P123" i="213"/>
  <c r="O123" i="213"/>
  <c r="N123" i="213"/>
  <c r="M123" i="213"/>
  <c r="AH122" i="213"/>
  <c r="AG122" i="213"/>
  <c r="AC122" i="213"/>
  <c r="AB122" i="213"/>
  <c r="AA122" i="213"/>
  <c r="Z122" i="213"/>
  <c r="X122" i="213"/>
  <c r="W122" i="213"/>
  <c r="V122" i="213"/>
  <c r="S122" i="213"/>
  <c r="R122" i="213"/>
  <c r="Q122" i="213"/>
  <c r="P122" i="213"/>
  <c r="O122" i="213"/>
  <c r="N122" i="213"/>
  <c r="M122" i="213"/>
  <c r="AH121" i="213"/>
  <c r="AG121" i="213"/>
  <c r="AC121" i="213"/>
  <c r="AB121" i="213"/>
  <c r="AA121" i="213"/>
  <c r="Z121" i="213"/>
  <c r="X121" i="213"/>
  <c r="W121" i="213"/>
  <c r="V121" i="213"/>
  <c r="S121" i="213"/>
  <c r="R121" i="213"/>
  <c r="Q121" i="213"/>
  <c r="P121" i="213"/>
  <c r="O121" i="213"/>
  <c r="N121" i="213"/>
  <c r="M121" i="213"/>
  <c r="AH120" i="213"/>
  <c r="AG120" i="213"/>
  <c r="AC120" i="213"/>
  <c r="AB120" i="213"/>
  <c r="AA120" i="213"/>
  <c r="Z120" i="213"/>
  <c r="X120" i="213"/>
  <c r="W120" i="213"/>
  <c r="V120" i="213"/>
  <c r="S120" i="213"/>
  <c r="R120" i="213"/>
  <c r="Q120" i="213"/>
  <c r="P120" i="213"/>
  <c r="O120" i="213"/>
  <c r="N120" i="213"/>
  <c r="M120" i="213"/>
  <c r="AH119" i="213"/>
  <c r="AG119" i="213"/>
  <c r="AC119" i="213"/>
  <c r="AB119" i="213"/>
  <c r="AA119" i="213"/>
  <c r="Z119" i="213"/>
  <c r="X119" i="213"/>
  <c r="W119" i="213"/>
  <c r="V119" i="213"/>
  <c r="S119" i="213"/>
  <c r="R119" i="213"/>
  <c r="Q119" i="213"/>
  <c r="P119" i="213"/>
  <c r="O119" i="213"/>
  <c r="N119" i="213"/>
  <c r="M119" i="213"/>
  <c r="AH118" i="213"/>
  <c r="AC118" i="213"/>
  <c r="W118" i="213"/>
  <c r="V118" i="213"/>
  <c r="Y118" i="213" s="1"/>
  <c r="S118" i="213"/>
  <c r="R118" i="213"/>
  <c r="Q118" i="213"/>
  <c r="P118" i="213"/>
  <c r="O118" i="213"/>
  <c r="N118" i="213"/>
  <c r="M118" i="213"/>
  <c r="AH117" i="213"/>
  <c r="AC117" i="213"/>
  <c r="W117" i="213"/>
  <c r="V117" i="213"/>
  <c r="S117" i="213"/>
  <c r="R117" i="213"/>
  <c r="Q117" i="213"/>
  <c r="P117" i="213"/>
  <c r="O117" i="213"/>
  <c r="N117" i="213"/>
  <c r="M117" i="213"/>
  <c r="AH116" i="213"/>
  <c r="AC116" i="213"/>
  <c r="W116" i="213"/>
  <c r="V116" i="213"/>
  <c r="S116" i="213"/>
  <c r="R116" i="213"/>
  <c r="Q116" i="213"/>
  <c r="P116" i="213"/>
  <c r="O116" i="213"/>
  <c r="N116" i="213"/>
  <c r="M116" i="213"/>
  <c r="AH115" i="213"/>
  <c r="AC115" i="213"/>
  <c r="W115" i="213"/>
  <c r="V115" i="213"/>
  <c r="S115" i="213"/>
  <c r="R115" i="213"/>
  <c r="Q115" i="213"/>
  <c r="P115" i="213"/>
  <c r="O115" i="213"/>
  <c r="N115" i="213"/>
  <c r="M115" i="213"/>
  <c r="AH114" i="213"/>
  <c r="AC114" i="213"/>
  <c r="W114" i="213"/>
  <c r="V114" i="213"/>
  <c r="Y114" i="213" s="1"/>
  <c r="S114" i="213"/>
  <c r="R114" i="213"/>
  <c r="Q114" i="213"/>
  <c r="P114" i="213"/>
  <c r="O114" i="213"/>
  <c r="N114" i="213"/>
  <c r="M114" i="213"/>
  <c r="AH113" i="213"/>
  <c r="AC113" i="213"/>
  <c r="W113" i="213"/>
  <c r="V113" i="213"/>
  <c r="Y113" i="213" s="1"/>
  <c r="S113" i="213"/>
  <c r="R113" i="213"/>
  <c r="Q113" i="213"/>
  <c r="P113" i="213"/>
  <c r="O113" i="213"/>
  <c r="N113" i="213"/>
  <c r="M113" i="213"/>
  <c r="AH112" i="213"/>
  <c r="AG112" i="213"/>
  <c r="AC112" i="213"/>
  <c r="AB112" i="213"/>
  <c r="AA112" i="213"/>
  <c r="Z112" i="213"/>
  <c r="X112" i="213"/>
  <c r="W112" i="213"/>
  <c r="V112" i="213"/>
  <c r="S112" i="213"/>
  <c r="R112" i="213"/>
  <c r="Q112" i="213"/>
  <c r="P112" i="213"/>
  <c r="O112" i="213"/>
  <c r="N112" i="213"/>
  <c r="M112" i="213"/>
  <c r="AH111" i="213"/>
  <c r="AG111" i="213"/>
  <c r="AC111" i="213"/>
  <c r="AB111" i="213"/>
  <c r="AA111" i="213"/>
  <c r="Z111" i="213"/>
  <c r="X111" i="213"/>
  <c r="W111" i="213"/>
  <c r="V111" i="213"/>
  <c r="S111" i="213"/>
  <c r="R111" i="213"/>
  <c r="Q111" i="213"/>
  <c r="P111" i="213"/>
  <c r="O111" i="213"/>
  <c r="N111" i="213"/>
  <c r="M111" i="213"/>
  <c r="AH110" i="213"/>
  <c r="AC110" i="213"/>
  <c r="W110" i="213"/>
  <c r="V110" i="213"/>
  <c r="Y110" i="213" s="1"/>
  <c r="S110" i="213"/>
  <c r="R110" i="213"/>
  <c r="Q110" i="213"/>
  <c r="P110" i="213"/>
  <c r="O110" i="213"/>
  <c r="N110" i="213"/>
  <c r="M110" i="213"/>
  <c r="AH109" i="213"/>
  <c r="AC109" i="213"/>
  <c r="W109" i="213"/>
  <c r="V109" i="213"/>
  <c r="Y109" i="213" s="1"/>
  <c r="S109" i="213"/>
  <c r="R109" i="213"/>
  <c r="Q109" i="213"/>
  <c r="P109" i="213"/>
  <c r="O109" i="213"/>
  <c r="N109" i="213"/>
  <c r="M109" i="213"/>
  <c r="AH108" i="213"/>
  <c r="AC108" i="213"/>
  <c r="W108" i="213"/>
  <c r="V108" i="213"/>
  <c r="Y108" i="213" s="1"/>
  <c r="S108" i="213"/>
  <c r="R108" i="213"/>
  <c r="Q108" i="213"/>
  <c r="P108" i="213"/>
  <c r="O108" i="213"/>
  <c r="N108" i="213"/>
  <c r="M108" i="213"/>
  <c r="AH107" i="213"/>
  <c r="AC107" i="213"/>
  <c r="W107" i="213"/>
  <c r="V107" i="213"/>
  <c r="Y107" i="213" s="1"/>
  <c r="S107" i="213"/>
  <c r="R107" i="213"/>
  <c r="Q107" i="213"/>
  <c r="P107" i="213"/>
  <c r="O107" i="213"/>
  <c r="N107" i="213"/>
  <c r="M107" i="213"/>
  <c r="AH106" i="213"/>
  <c r="AC106" i="213"/>
  <c r="W106" i="213"/>
  <c r="V106" i="213"/>
  <c r="Y106" i="213" s="1"/>
  <c r="S106" i="213"/>
  <c r="R106" i="213"/>
  <c r="Q106" i="213"/>
  <c r="P106" i="213"/>
  <c r="O106" i="213"/>
  <c r="N106" i="213"/>
  <c r="M106" i="213"/>
  <c r="AH105" i="213"/>
  <c r="AC105" i="213"/>
  <c r="W105" i="213"/>
  <c r="V105" i="213"/>
  <c r="Y105" i="213" s="1"/>
  <c r="S105" i="213"/>
  <c r="R105" i="213"/>
  <c r="Q105" i="213"/>
  <c r="P105" i="213"/>
  <c r="O105" i="213"/>
  <c r="N105" i="213"/>
  <c r="M105" i="213"/>
  <c r="AH104" i="213"/>
  <c r="AC104" i="213"/>
  <c r="W104" i="213"/>
  <c r="V104" i="213"/>
  <c r="Y104" i="213" s="1"/>
  <c r="S104" i="213"/>
  <c r="R104" i="213"/>
  <c r="Q104" i="213"/>
  <c r="P104" i="213"/>
  <c r="O104" i="213"/>
  <c r="N104" i="213"/>
  <c r="M104" i="213"/>
  <c r="AH103" i="213"/>
  <c r="AC103" i="213"/>
  <c r="W103" i="213"/>
  <c r="V103" i="213"/>
  <c r="Y103" i="213" s="1"/>
  <c r="S103" i="213"/>
  <c r="R103" i="213"/>
  <c r="Q103" i="213"/>
  <c r="P103" i="213"/>
  <c r="O103" i="213"/>
  <c r="N103" i="213"/>
  <c r="M103" i="213"/>
  <c r="AH102" i="213"/>
  <c r="AC102" i="213"/>
  <c r="W102" i="213"/>
  <c r="V102" i="213"/>
  <c r="Y102" i="213" s="1"/>
  <c r="S102" i="213"/>
  <c r="R102" i="213"/>
  <c r="Q102" i="213"/>
  <c r="P102" i="213"/>
  <c r="O102" i="213"/>
  <c r="N102" i="213"/>
  <c r="M102" i="213"/>
  <c r="AH101" i="213"/>
  <c r="AC101" i="213"/>
  <c r="W101" i="213"/>
  <c r="V101" i="213"/>
  <c r="Y101" i="213" s="1"/>
  <c r="S101" i="213"/>
  <c r="R101" i="213"/>
  <c r="Q101" i="213"/>
  <c r="P101" i="213"/>
  <c r="O101" i="213"/>
  <c r="N101" i="213"/>
  <c r="M101" i="213"/>
  <c r="AH100" i="213"/>
  <c r="AC100" i="213"/>
  <c r="W100" i="213"/>
  <c r="V100" i="213"/>
  <c r="Y100" i="213" s="1"/>
  <c r="S100" i="213"/>
  <c r="R100" i="213"/>
  <c r="Q100" i="213"/>
  <c r="P100" i="213"/>
  <c r="O100" i="213"/>
  <c r="N100" i="213"/>
  <c r="M100" i="213"/>
  <c r="AH99" i="213"/>
  <c r="AC99" i="213"/>
  <c r="W99" i="213"/>
  <c r="V99" i="213"/>
  <c r="Y99" i="213" s="1"/>
  <c r="S99" i="213"/>
  <c r="R99" i="213"/>
  <c r="Q99" i="213"/>
  <c r="P99" i="213"/>
  <c r="O99" i="213"/>
  <c r="N99" i="213"/>
  <c r="M99" i="213"/>
  <c r="AH98" i="213"/>
  <c r="AC98" i="213"/>
  <c r="W98" i="213"/>
  <c r="V98" i="213"/>
  <c r="Y98" i="213" s="1"/>
  <c r="S98" i="213"/>
  <c r="R98" i="213"/>
  <c r="Q98" i="213"/>
  <c r="P98" i="213"/>
  <c r="O98" i="213"/>
  <c r="N98" i="213"/>
  <c r="M98" i="213"/>
  <c r="AH97" i="213"/>
  <c r="AC97" i="213"/>
  <c r="W97" i="213"/>
  <c r="V97" i="213"/>
  <c r="Y97" i="213" s="1"/>
  <c r="S97" i="213"/>
  <c r="R97" i="213"/>
  <c r="Q97" i="213"/>
  <c r="P97" i="213"/>
  <c r="O97" i="213"/>
  <c r="N97" i="213"/>
  <c r="M97" i="213"/>
  <c r="AH96" i="213"/>
  <c r="AC96" i="213"/>
  <c r="W96" i="213"/>
  <c r="V96" i="213"/>
  <c r="Y96" i="213" s="1"/>
  <c r="S96" i="213"/>
  <c r="R96" i="213"/>
  <c r="Q96" i="213"/>
  <c r="P96" i="213"/>
  <c r="O96" i="213"/>
  <c r="N96" i="213"/>
  <c r="M96" i="213"/>
  <c r="AH95" i="213"/>
  <c r="AC95" i="213"/>
  <c r="W95" i="213"/>
  <c r="V95" i="213"/>
  <c r="S95" i="213"/>
  <c r="R95" i="213"/>
  <c r="Q95" i="213"/>
  <c r="P95" i="213"/>
  <c r="O95" i="213"/>
  <c r="N95" i="213"/>
  <c r="M95" i="213"/>
  <c r="AH94" i="213"/>
  <c r="AC94" i="213"/>
  <c r="W94" i="213"/>
  <c r="V94" i="213"/>
  <c r="S94" i="213"/>
  <c r="R94" i="213"/>
  <c r="Q94" i="213"/>
  <c r="P94" i="213"/>
  <c r="O94" i="213"/>
  <c r="N94" i="213"/>
  <c r="M94" i="213"/>
  <c r="AH93" i="213"/>
  <c r="AC93" i="213"/>
  <c r="W93" i="213"/>
  <c r="V93" i="213"/>
  <c r="S93" i="213"/>
  <c r="R93" i="213"/>
  <c r="Q93" i="213"/>
  <c r="P93" i="213"/>
  <c r="O93" i="213"/>
  <c r="N93" i="213"/>
  <c r="M93" i="213"/>
  <c r="AH92" i="213"/>
  <c r="AC92" i="213"/>
  <c r="W92" i="213"/>
  <c r="V92" i="213"/>
  <c r="Y92" i="213" s="1"/>
  <c r="S92" i="213"/>
  <c r="R92" i="213"/>
  <c r="Q92" i="213"/>
  <c r="P92" i="213"/>
  <c r="O92" i="213"/>
  <c r="N92" i="213"/>
  <c r="M92" i="213"/>
  <c r="AH91" i="213"/>
  <c r="AC91" i="213"/>
  <c r="W91" i="213"/>
  <c r="V91" i="213"/>
  <c r="Y91" i="213" s="1"/>
  <c r="S91" i="213"/>
  <c r="R91" i="213"/>
  <c r="Q91" i="213"/>
  <c r="P91" i="213"/>
  <c r="O91" i="213"/>
  <c r="N91" i="213"/>
  <c r="M91" i="213"/>
  <c r="AH90" i="213"/>
  <c r="AC90" i="213"/>
  <c r="W90" i="213"/>
  <c r="V90" i="213"/>
  <c r="Y90" i="213" s="1"/>
  <c r="S90" i="213"/>
  <c r="R90" i="213"/>
  <c r="Q90" i="213"/>
  <c r="P90" i="213"/>
  <c r="O90" i="213"/>
  <c r="N90" i="213"/>
  <c r="M90" i="213"/>
  <c r="AH89" i="213"/>
  <c r="AC89" i="213"/>
  <c r="W89" i="213"/>
  <c r="V89" i="213"/>
  <c r="Y89" i="213" s="1"/>
  <c r="S89" i="213"/>
  <c r="R89" i="213"/>
  <c r="Q89" i="213"/>
  <c r="P89" i="213"/>
  <c r="O89" i="213"/>
  <c r="N89" i="213"/>
  <c r="M89" i="213"/>
  <c r="AH88" i="213"/>
  <c r="AC88" i="213"/>
  <c r="W88" i="213"/>
  <c r="V88" i="213"/>
  <c r="Y88" i="213" s="1"/>
  <c r="S88" i="213"/>
  <c r="R88" i="213"/>
  <c r="Q88" i="213"/>
  <c r="P88" i="213"/>
  <c r="O88" i="213"/>
  <c r="N88" i="213"/>
  <c r="M88" i="213"/>
  <c r="AH87" i="213"/>
  <c r="AC87" i="213"/>
  <c r="W87" i="213"/>
  <c r="V87" i="213"/>
  <c r="Y87" i="213" s="1"/>
  <c r="S87" i="213"/>
  <c r="R87" i="213"/>
  <c r="Q87" i="213"/>
  <c r="P87" i="213"/>
  <c r="O87" i="213"/>
  <c r="N87" i="213"/>
  <c r="M87" i="213"/>
  <c r="AH86" i="213"/>
  <c r="AC86" i="213"/>
  <c r="W86" i="213"/>
  <c r="V86" i="213"/>
  <c r="Y86" i="213" s="1"/>
  <c r="S86" i="213"/>
  <c r="R86" i="213"/>
  <c r="Q86" i="213"/>
  <c r="P86" i="213"/>
  <c r="O86" i="213"/>
  <c r="N86" i="213"/>
  <c r="M86" i="213"/>
  <c r="AH85" i="213"/>
  <c r="AC85" i="213"/>
  <c r="W85" i="213"/>
  <c r="V85" i="213"/>
  <c r="Y85" i="213" s="1"/>
  <c r="S85" i="213"/>
  <c r="R85" i="213"/>
  <c r="Q85" i="213"/>
  <c r="P85" i="213"/>
  <c r="O85" i="213"/>
  <c r="N85" i="213"/>
  <c r="M85" i="213"/>
  <c r="AH84" i="213"/>
  <c r="AC84" i="213"/>
  <c r="W84" i="213"/>
  <c r="V84" i="213"/>
  <c r="Y84" i="213" s="1"/>
  <c r="S84" i="213"/>
  <c r="R84" i="213"/>
  <c r="Q84" i="213"/>
  <c r="P84" i="213"/>
  <c r="O84" i="213"/>
  <c r="N84" i="213"/>
  <c r="M84" i="213"/>
  <c r="AH83" i="213"/>
  <c r="AC83" i="213"/>
  <c r="W83" i="213"/>
  <c r="V83" i="213"/>
  <c r="Y83" i="213" s="1"/>
  <c r="S83" i="213"/>
  <c r="R83" i="213"/>
  <c r="Q83" i="213"/>
  <c r="P83" i="213"/>
  <c r="O83" i="213"/>
  <c r="N83" i="213"/>
  <c r="M83" i="213"/>
  <c r="AH82" i="213"/>
  <c r="AC82" i="213"/>
  <c r="W82" i="213"/>
  <c r="V82" i="213"/>
  <c r="Y82" i="213" s="1"/>
  <c r="S82" i="213"/>
  <c r="R82" i="213"/>
  <c r="Q82" i="213"/>
  <c r="P82" i="213"/>
  <c r="O82" i="213"/>
  <c r="N82" i="213"/>
  <c r="M82" i="213"/>
  <c r="AH81" i="213"/>
  <c r="AC81" i="213"/>
  <c r="W81" i="213"/>
  <c r="V81" i="213"/>
  <c r="Y81" i="213" s="1"/>
  <c r="S81" i="213"/>
  <c r="R81" i="213"/>
  <c r="Q81" i="213"/>
  <c r="P81" i="213"/>
  <c r="O81" i="213"/>
  <c r="N81" i="213"/>
  <c r="M81" i="213"/>
  <c r="AH80" i="213"/>
  <c r="AC80" i="213"/>
  <c r="W80" i="213"/>
  <c r="V80" i="213"/>
  <c r="Y80" i="213" s="1"/>
  <c r="S80" i="213"/>
  <c r="R80" i="213"/>
  <c r="Q80" i="213"/>
  <c r="P80" i="213"/>
  <c r="O80" i="213"/>
  <c r="N80" i="213"/>
  <c r="M80" i="213"/>
  <c r="AH79" i="213"/>
  <c r="AC79" i="213"/>
  <c r="W79" i="213"/>
  <c r="V79" i="213"/>
  <c r="Y79" i="213" s="1"/>
  <c r="S79" i="213"/>
  <c r="R79" i="213"/>
  <c r="Q79" i="213"/>
  <c r="P79" i="213"/>
  <c r="O79" i="213"/>
  <c r="N79" i="213"/>
  <c r="M79" i="213"/>
  <c r="AH78" i="213"/>
  <c r="AC78" i="213"/>
  <c r="W78" i="213"/>
  <c r="V78" i="213"/>
  <c r="Y78" i="213" s="1"/>
  <c r="S78" i="213"/>
  <c r="R78" i="213"/>
  <c r="Q78" i="213"/>
  <c r="P78" i="213"/>
  <c r="O78" i="213"/>
  <c r="N78" i="213"/>
  <c r="M78" i="213"/>
  <c r="AH77" i="213"/>
  <c r="AC77" i="213"/>
  <c r="W77" i="213"/>
  <c r="V77" i="213"/>
  <c r="Y77" i="213" s="1"/>
  <c r="S77" i="213"/>
  <c r="R77" i="213"/>
  <c r="Q77" i="213"/>
  <c r="P77" i="213"/>
  <c r="O77" i="213"/>
  <c r="N77" i="213"/>
  <c r="M77" i="213"/>
  <c r="AH76" i="213"/>
  <c r="AC76" i="213"/>
  <c r="W76" i="213"/>
  <c r="V76" i="213"/>
  <c r="Y76" i="213" s="1"/>
  <c r="S76" i="213"/>
  <c r="R76" i="213"/>
  <c r="Q76" i="213"/>
  <c r="P76" i="213"/>
  <c r="O76" i="213"/>
  <c r="N76" i="213"/>
  <c r="M76" i="213"/>
  <c r="AH75" i="213"/>
  <c r="AC75" i="213"/>
  <c r="W75" i="213"/>
  <c r="V75" i="213"/>
  <c r="S75" i="213"/>
  <c r="R75" i="213"/>
  <c r="Q75" i="213"/>
  <c r="P75" i="213"/>
  <c r="O75" i="213"/>
  <c r="N75" i="213"/>
  <c r="M75" i="213"/>
  <c r="AH74" i="213"/>
  <c r="AC74" i="213"/>
  <c r="W74" i="213"/>
  <c r="V74" i="213"/>
  <c r="S74" i="213"/>
  <c r="R74" i="213"/>
  <c r="Q74" i="213"/>
  <c r="P74" i="213"/>
  <c r="O74" i="213"/>
  <c r="N74" i="213"/>
  <c r="M74" i="213"/>
  <c r="AH73" i="213"/>
  <c r="AC73" i="213"/>
  <c r="W73" i="213"/>
  <c r="V73" i="213"/>
  <c r="S73" i="213"/>
  <c r="R73" i="213"/>
  <c r="Q73" i="213"/>
  <c r="P73" i="213"/>
  <c r="O73" i="213"/>
  <c r="N73" i="213"/>
  <c r="M73" i="213"/>
  <c r="AH72" i="213"/>
  <c r="AC72" i="213"/>
  <c r="W72" i="213"/>
  <c r="V72" i="213"/>
  <c r="Y72" i="213" s="1"/>
  <c r="S72" i="213"/>
  <c r="R72" i="213"/>
  <c r="Q72" i="213"/>
  <c r="P72" i="213"/>
  <c r="O72" i="213"/>
  <c r="N72" i="213"/>
  <c r="M72" i="213"/>
  <c r="AH71" i="213"/>
  <c r="AC71" i="213"/>
  <c r="W71" i="213"/>
  <c r="V71" i="213"/>
  <c r="Y71" i="213" s="1"/>
  <c r="S71" i="213"/>
  <c r="R71" i="213"/>
  <c r="Q71" i="213"/>
  <c r="P71" i="213"/>
  <c r="O71" i="213"/>
  <c r="N71" i="213"/>
  <c r="M71" i="213"/>
  <c r="AH70" i="213"/>
  <c r="AC70" i="213"/>
  <c r="W70" i="213"/>
  <c r="V70" i="213"/>
  <c r="Y70" i="213" s="1"/>
  <c r="S70" i="213"/>
  <c r="R70" i="213"/>
  <c r="Q70" i="213"/>
  <c r="P70" i="213"/>
  <c r="O70" i="213"/>
  <c r="N70" i="213"/>
  <c r="M70" i="213"/>
  <c r="AH69" i="213"/>
  <c r="AC69" i="213"/>
  <c r="W69" i="213"/>
  <c r="V69" i="213"/>
  <c r="Y69" i="213" s="1"/>
  <c r="S69" i="213"/>
  <c r="R69" i="213"/>
  <c r="Q69" i="213"/>
  <c r="P69" i="213"/>
  <c r="O69" i="213"/>
  <c r="N69" i="213"/>
  <c r="M69" i="213"/>
  <c r="AH68" i="213"/>
  <c r="AC68" i="213"/>
  <c r="W68" i="213"/>
  <c r="V68" i="213"/>
  <c r="Y68" i="213" s="1"/>
  <c r="S68" i="213"/>
  <c r="R68" i="213"/>
  <c r="Q68" i="213"/>
  <c r="P68" i="213"/>
  <c r="O68" i="213"/>
  <c r="N68" i="213"/>
  <c r="M68" i="213"/>
  <c r="AH67" i="213"/>
  <c r="AC67" i="213"/>
  <c r="W67" i="213"/>
  <c r="V67" i="213"/>
  <c r="Y67" i="213" s="1"/>
  <c r="S67" i="213"/>
  <c r="R67" i="213"/>
  <c r="Q67" i="213"/>
  <c r="P67" i="213"/>
  <c r="O67" i="213"/>
  <c r="N67" i="213"/>
  <c r="M67" i="213"/>
  <c r="AH66" i="213"/>
  <c r="AC66" i="213"/>
  <c r="W66" i="213"/>
  <c r="V66" i="213"/>
  <c r="Y66" i="213" s="1"/>
  <c r="S66" i="213"/>
  <c r="R66" i="213"/>
  <c r="Q66" i="213"/>
  <c r="P66" i="213"/>
  <c r="O66" i="213"/>
  <c r="N66" i="213"/>
  <c r="M66" i="213"/>
  <c r="AH65" i="213"/>
  <c r="AC65" i="213"/>
  <c r="W65" i="213"/>
  <c r="V65" i="213"/>
  <c r="Y65" i="213" s="1"/>
  <c r="S65" i="213"/>
  <c r="R65" i="213"/>
  <c r="Q65" i="213"/>
  <c r="P65" i="213"/>
  <c r="O65" i="213"/>
  <c r="N65" i="213"/>
  <c r="M65" i="213"/>
  <c r="AH64" i="213"/>
  <c r="AC64" i="213"/>
  <c r="W64" i="213"/>
  <c r="V64" i="213"/>
  <c r="Y64" i="213" s="1"/>
  <c r="S64" i="213"/>
  <c r="R64" i="213"/>
  <c r="Q64" i="213"/>
  <c r="P64" i="213"/>
  <c r="O64" i="213"/>
  <c r="N64" i="213"/>
  <c r="M64" i="213"/>
  <c r="AH63" i="213"/>
  <c r="AC63" i="213"/>
  <c r="W63" i="213"/>
  <c r="V63" i="213"/>
  <c r="Y63" i="213" s="1"/>
  <c r="S63" i="213"/>
  <c r="R63" i="213"/>
  <c r="Q63" i="213"/>
  <c r="P63" i="213"/>
  <c r="O63" i="213"/>
  <c r="N63" i="213"/>
  <c r="M63" i="213"/>
  <c r="AH62" i="213"/>
  <c r="AC62" i="213"/>
  <c r="W62" i="213"/>
  <c r="V62" i="213"/>
  <c r="Y62" i="213" s="1"/>
  <c r="S62" i="213"/>
  <c r="R62" i="213"/>
  <c r="Q62" i="213"/>
  <c r="P62" i="213"/>
  <c r="O62" i="213"/>
  <c r="N62" i="213"/>
  <c r="M62" i="213"/>
  <c r="AH61" i="213"/>
  <c r="AC61" i="213"/>
  <c r="W61" i="213"/>
  <c r="V61" i="213"/>
  <c r="Y61" i="213" s="1"/>
  <c r="S61" i="213"/>
  <c r="R61" i="213"/>
  <c r="Q61" i="213"/>
  <c r="P61" i="213"/>
  <c r="O61" i="213"/>
  <c r="N61" i="213"/>
  <c r="M61" i="213"/>
  <c r="AH60" i="213"/>
  <c r="AC60" i="213"/>
  <c r="W60" i="213"/>
  <c r="V60" i="213"/>
  <c r="Y60" i="213" s="1"/>
  <c r="S60" i="213"/>
  <c r="R60" i="213"/>
  <c r="Q60" i="213"/>
  <c r="P60" i="213"/>
  <c r="O60" i="213"/>
  <c r="N60" i="213"/>
  <c r="M60" i="213"/>
  <c r="AH59" i="213"/>
  <c r="AC59" i="213"/>
  <c r="W59" i="213"/>
  <c r="V59" i="213"/>
  <c r="Y59" i="213" s="1"/>
  <c r="S59" i="213"/>
  <c r="R59" i="213"/>
  <c r="Q59" i="213"/>
  <c r="P59" i="213"/>
  <c r="O59" i="213"/>
  <c r="N59" i="213"/>
  <c r="M59" i="213"/>
  <c r="AH58" i="213"/>
  <c r="AC58" i="213"/>
  <c r="W58" i="213"/>
  <c r="V58" i="213"/>
  <c r="Y58" i="213" s="1"/>
  <c r="S58" i="213"/>
  <c r="R58" i="213"/>
  <c r="Q58" i="213"/>
  <c r="P58" i="213"/>
  <c r="O58" i="213"/>
  <c r="N58" i="213"/>
  <c r="M58" i="213"/>
  <c r="AH57" i="213"/>
  <c r="AC57" i="213"/>
  <c r="W57" i="213"/>
  <c r="V57" i="213"/>
  <c r="Y57" i="213" s="1"/>
  <c r="S57" i="213"/>
  <c r="R57" i="213"/>
  <c r="Q57" i="213"/>
  <c r="P57" i="213"/>
  <c r="O57" i="213"/>
  <c r="N57" i="213"/>
  <c r="M57" i="213"/>
  <c r="AH56" i="213"/>
  <c r="AC56" i="213"/>
  <c r="W56" i="213"/>
  <c r="V56" i="213"/>
  <c r="Y56" i="213" s="1"/>
  <c r="S56" i="213"/>
  <c r="R56" i="213"/>
  <c r="Q56" i="213"/>
  <c r="P56" i="213"/>
  <c r="O56" i="213"/>
  <c r="N56" i="213"/>
  <c r="M56" i="213"/>
  <c r="AH55" i="213"/>
  <c r="AC55" i="213"/>
  <c r="W55" i="213"/>
  <c r="V55" i="213"/>
  <c r="S55" i="213"/>
  <c r="R55" i="213"/>
  <c r="Q55" i="213"/>
  <c r="P55" i="213"/>
  <c r="O55" i="213"/>
  <c r="N55" i="213"/>
  <c r="M55" i="213"/>
  <c r="AH54" i="213"/>
  <c r="AC54" i="213"/>
  <c r="W54" i="213"/>
  <c r="V54" i="213"/>
  <c r="S54" i="213"/>
  <c r="R54" i="213"/>
  <c r="Q54" i="213"/>
  <c r="P54" i="213"/>
  <c r="O54" i="213"/>
  <c r="N54" i="213"/>
  <c r="M54" i="213"/>
  <c r="AH53" i="213"/>
  <c r="AC53" i="213"/>
  <c r="W53" i="213"/>
  <c r="V53" i="213"/>
  <c r="S53" i="213"/>
  <c r="R53" i="213"/>
  <c r="Q53" i="213"/>
  <c r="P53" i="213"/>
  <c r="O53" i="213"/>
  <c r="N53" i="213"/>
  <c r="M53" i="213"/>
  <c r="AH52" i="213"/>
  <c r="AC52" i="213"/>
  <c r="W52" i="213"/>
  <c r="V52" i="213"/>
  <c r="Y52" i="213" s="1"/>
  <c r="S52" i="213"/>
  <c r="R52" i="213"/>
  <c r="Q52" i="213"/>
  <c r="P52" i="213"/>
  <c r="O52" i="213"/>
  <c r="N52" i="213"/>
  <c r="M52" i="213"/>
  <c r="AH51" i="213"/>
  <c r="AC51" i="213"/>
  <c r="W51" i="213"/>
  <c r="V51" i="213"/>
  <c r="Y51" i="213" s="1"/>
  <c r="S51" i="213"/>
  <c r="R51" i="213"/>
  <c r="Q51" i="213"/>
  <c r="P51" i="213"/>
  <c r="O51" i="213"/>
  <c r="N51" i="213"/>
  <c r="M51" i="213"/>
  <c r="AH50" i="213"/>
  <c r="AC50" i="213"/>
  <c r="W50" i="213"/>
  <c r="V50" i="213"/>
  <c r="Y50" i="213" s="1"/>
  <c r="S50" i="213"/>
  <c r="R50" i="213"/>
  <c r="Q50" i="213"/>
  <c r="P50" i="213"/>
  <c r="O50" i="213"/>
  <c r="N50" i="213"/>
  <c r="M50" i="213"/>
  <c r="AH49" i="213"/>
  <c r="AC49" i="213"/>
  <c r="W49" i="213"/>
  <c r="V49" i="213"/>
  <c r="Y49" i="213" s="1"/>
  <c r="S49" i="213"/>
  <c r="R49" i="213"/>
  <c r="Q49" i="213"/>
  <c r="P49" i="213"/>
  <c r="O49" i="213"/>
  <c r="N49" i="213"/>
  <c r="M49" i="213"/>
  <c r="AH48" i="213"/>
  <c r="AC48" i="213"/>
  <c r="W48" i="213"/>
  <c r="V48" i="213"/>
  <c r="Y48" i="213" s="1"/>
  <c r="S48" i="213"/>
  <c r="R48" i="213"/>
  <c r="Q48" i="213"/>
  <c r="P48" i="213"/>
  <c r="O48" i="213"/>
  <c r="N48" i="213"/>
  <c r="M48" i="213"/>
  <c r="AH47" i="213"/>
  <c r="AC47" i="213"/>
  <c r="W47" i="213"/>
  <c r="V47" i="213"/>
  <c r="Y47" i="213" s="1"/>
  <c r="S47" i="213"/>
  <c r="R47" i="213"/>
  <c r="Q47" i="213"/>
  <c r="P47" i="213"/>
  <c r="O47" i="213"/>
  <c r="N47" i="213"/>
  <c r="M47" i="213"/>
  <c r="AH46" i="213"/>
  <c r="AC46" i="213"/>
  <c r="W46" i="213"/>
  <c r="V46" i="213"/>
  <c r="Y46" i="213" s="1"/>
  <c r="S46" i="213"/>
  <c r="R46" i="213"/>
  <c r="Q46" i="213"/>
  <c r="P46" i="213"/>
  <c r="O46" i="213"/>
  <c r="N46" i="213"/>
  <c r="M46" i="213"/>
  <c r="AH45" i="213"/>
  <c r="AC45" i="213"/>
  <c r="W45" i="213"/>
  <c r="V45" i="213"/>
  <c r="Y45" i="213" s="1"/>
  <c r="S45" i="213"/>
  <c r="R45" i="213"/>
  <c r="Q45" i="213"/>
  <c r="P45" i="213"/>
  <c r="O45" i="213"/>
  <c r="N45" i="213"/>
  <c r="M45" i="213"/>
  <c r="AH44" i="213"/>
  <c r="AC44" i="213"/>
  <c r="W44" i="213"/>
  <c r="V44" i="213"/>
  <c r="Y44" i="213" s="1"/>
  <c r="S44" i="213"/>
  <c r="R44" i="213"/>
  <c r="Q44" i="213"/>
  <c r="P44" i="213"/>
  <c r="O44" i="213"/>
  <c r="N44" i="213"/>
  <c r="M44" i="213"/>
  <c r="AH43" i="213"/>
  <c r="AC43" i="213"/>
  <c r="W43" i="213"/>
  <c r="V43" i="213"/>
  <c r="Y43" i="213" s="1"/>
  <c r="S43" i="213"/>
  <c r="R43" i="213"/>
  <c r="Q43" i="213"/>
  <c r="P43" i="213"/>
  <c r="O43" i="213"/>
  <c r="N43" i="213"/>
  <c r="M43" i="213"/>
  <c r="AH42" i="213"/>
  <c r="AC42" i="213"/>
  <c r="W42" i="213"/>
  <c r="V42" i="213"/>
  <c r="Y42" i="213" s="1"/>
  <c r="S42" i="213"/>
  <c r="R42" i="213"/>
  <c r="Q42" i="213"/>
  <c r="P42" i="213"/>
  <c r="O42" i="213"/>
  <c r="N42" i="213"/>
  <c r="M42" i="213"/>
  <c r="AH41" i="213"/>
  <c r="AC41" i="213"/>
  <c r="W41" i="213"/>
  <c r="V41" i="213"/>
  <c r="Y41" i="213" s="1"/>
  <c r="S41" i="213"/>
  <c r="R41" i="213"/>
  <c r="Q41" i="213"/>
  <c r="P41" i="213"/>
  <c r="O41" i="213"/>
  <c r="N41" i="213"/>
  <c r="M41" i="213"/>
  <c r="AH40" i="213"/>
  <c r="AC40" i="213"/>
  <c r="W40" i="213"/>
  <c r="V40" i="213"/>
  <c r="Y40" i="213" s="1"/>
  <c r="S40" i="213"/>
  <c r="R40" i="213"/>
  <c r="Q40" i="213"/>
  <c r="P40" i="213"/>
  <c r="O40" i="213"/>
  <c r="N40" i="213"/>
  <c r="M40" i="213"/>
  <c r="AH39" i="213"/>
  <c r="AC39" i="213"/>
  <c r="W39" i="213"/>
  <c r="V39" i="213"/>
  <c r="Y39" i="213" s="1"/>
  <c r="S39" i="213"/>
  <c r="R39" i="213"/>
  <c r="Q39" i="213"/>
  <c r="P39" i="213"/>
  <c r="O39" i="213"/>
  <c r="N39" i="213"/>
  <c r="M39" i="213"/>
  <c r="AH38" i="213"/>
  <c r="AC38" i="213"/>
  <c r="W38" i="213"/>
  <c r="V38" i="213"/>
  <c r="Y38" i="213" s="1"/>
  <c r="S38" i="213"/>
  <c r="R38" i="213"/>
  <c r="Q38" i="213"/>
  <c r="P38" i="213"/>
  <c r="O38" i="213"/>
  <c r="N38" i="213"/>
  <c r="M38" i="213"/>
  <c r="AH37" i="213"/>
  <c r="AC37" i="213"/>
  <c r="W37" i="213"/>
  <c r="V37" i="213"/>
  <c r="Y37" i="213" s="1"/>
  <c r="S37" i="213"/>
  <c r="R37" i="213"/>
  <c r="Q37" i="213"/>
  <c r="P37" i="213"/>
  <c r="O37" i="213"/>
  <c r="N37" i="213"/>
  <c r="M37" i="213"/>
  <c r="AH36" i="213"/>
  <c r="AC36" i="213"/>
  <c r="W36" i="213"/>
  <c r="V36" i="213"/>
  <c r="Y36" i="213" s="1"/>
  <c r="S36" i="213"/>
  <c r="R36" i="213"/>
  <c r="Q36" i="213"/>
  <c r="P36" i="213"/>
  <c r="O36" i="213"/>
  <c r="N36" i="213"/>
  <c r="M36" i="213"/>
  <c r="AC35" i="213"/>
  <c r="W35" i="213"/>
  <c r="V35" i="213"/>
  <c r="S35" i="213"/>
  <c r="R35" i="213"/>
  <c r="Q35" i="213"/>
  <c r="P35" i="213"/>
  <c r="O35" i="213"/>
  <c r="N35" i="213"/>
  <c r="M35" i="213"/>
  <c r="AC34" i="213"/>
  <c r="W34" i="213"/>
  <c r="V34" i="213"/>
  <c r="S34" i="213"/>
  <c r="R34" i="213"/>
  <c r="Q34" i="213"/>
  <c r="P34" i="213"/>
  <c r="O34" i="213"/>
  <c r="N34" i="213"/>
  <c r="M34" i="213"/>
  <c r="AC33" i="213"/>
  <c r="W33" i="213"/>
  <c r="V33" i="213"/>
  <c r="S33" i="213"/>
  <c r="R33" i="213"/>
  <c r="Q33" i="213"/>
  <c r="P33" i="213"/>
  <c r="O33" i="213"/>
  <c r="N33" i="213"/>
  <c r="M33" i="213"/>
  <c r="AC32" i="213"/>
  <c r="W32" i="213"/>
  <c r="V32" i="213"/>
  <c r="Y32" i="213" s="1"/>
  <c r="S32" i="213"/>
  <c r="R32" i="213"/>
  <c r="Q32" i="213"/>
  <c r="P32" i="213"/>
  <c r="O32" i="213"/>
  <c r="N32" i="213"/>
  <c r="M32" i="213"/>
  <c r="AC31" i="213"/>
  <c r="W31" i="213"/>
  <c r="V31" i="213"/>
  <c r="Y31" i="213" s="1"/>
  <c r="S31" i="213"/>
  <c r="R31" i="213"/>
  <c r="Q31" i="213"/>
  <c r="P31" i="213"/>
  <c r="O31" i="213"/>
  <c r="N31" i="213"/>
  <c r="M31" i="213"/>
  <c r="AC30" i="213"/>
  <c r="W30" i="213"/>
  <c r="V30" i="213"/>
  <c r="Y30" i="213" s="1"/>
  <c r="S30" i="213"/>
  <c r="R30" i="213"/>
  <c r="Q30" i="213"/>
  <c r="P30" i="213"/>
  <c r="O30" i="213"/>
  <c r="N30" i="213"/>
  <c r="M30" i="213"/>
  <c r="AC29" i="213"/>
  <c r="W29" i="213"/>
  <c r="V29" i="213"/>
  <c r="Y29" i="213" s="1"/>
  <c r="S29" i="213"/>
  <c r="R29" i="213"/>
  <c r="Q29" i="213"/>
  <c r="P29" i="213"/>
  <c r="O29" i="213"/>
  <c r="N29" i="213"/>
  <c r="M29" i="213"/>
  <c r="AC28" i="213"/>
  <c r="W28" i="213"/>
  <c r="V28" i="213"/>
  <c r="Y28" i="213" s="1"/>
  <c r="S28" i="213"/>
  <c r="R28" i="213"/>
  <c r="Q28" i="213"/>
  <c r="P28" i="213"/>
  <c r="O28" i="213"/>
  <c r="N28" i="213"/>
  <c r="M28" i="213"/>
  <c r="AC27" i="213"/>
  <c r="W27" i="213"/>
  <c r="V27" i="213"/>
  <c r="Y27" i="213" s="1"/>
  <c r="S27" i="213"/>
  <c r="R27" i="213"/>
  <c r="Q27" i="213"/>
  <c r="P27" i="213"/>
  <c r="O27" i="213"/>
  <c r="N27" i="213"/>
  <c r="M27" i="213"/>
  <c r="AC26" i="213"/>
  <c r="W26" i="213"/>
  <c r="V26" i="213"/>
  <c r="Y26" i="213" s="1"/>
  <c r="S26" i="213"/>
  <c r="R26" i="213"/>
  <c r="Q26" i="213"/>
  <c r="P26" i="213"/>
  <c r="O26" i="213"/>
  <c r="N26" i="213"/>
  <c r="M26" i="213"/>
  <c r="AC25" i="213"/>
  <c r="W25" i="213"/>
  <c r="V25" i="213"/>
  <c r="Y25" i="213" s="1"/>
  <c r="S25" i="213"/>
  <c r="R25" i="213"/>
  <c r="Q25" i="213"/>
  <c r="P25" i="213"/>
  <c r="O25" i="213"/>
  <c r="N25" i="213"/>
  <c r="M25" i="213"/>
  <c r="AC24" i="213"/>
  <c r="W24" i="213"/>
  <c r="V24" i="213"/>
  <c r="Y24" i="213" s="1"/>
  <c r="S24" i="213"/>
  <c r="R24" i="213"/>
  <c r="Q24" i="213"/>
  <c r="P24" i="213"/>
  <c r="O24" i="213"/>
  <c r="N24" i="213"/>
  <c r="M24" i="213"/>
  <c r="AC23" i="213"/>
  <c r="W23" i="213"/>
  <c r="V23" i="213"/>
  <c r="Y23" i="213" s="1"/>
  <c r="S23" i="213"/>
  <c r="R23" i="213"/>
  <c r="Q23" i="213"/>
  <c r="P23" i="213"/>
  <c r="O23" i="213"/>
  <c r="N23" i="213"/>
  <c r="M23" i="213"/>
  <c r="AC22" i="213"/>
  <c r="W22" i="213"/>
  <c r="V22" i="213"/>
  <c r="Y22" i="213" s="1"/>
  <c r="S22" i="213"/>
  <c r="R22" i="213"/>
  <c r="Q22" i="213"/>
  <c r="P22" i="213"/>
  <c r="O22" i="213"/>
  <c r="N22" i="213"/>
  <c r="M22" i="213"/>
  <c r="AC21" i="213"/>
  <c r="W21" i="213"/>
  <c r="V21" i="213"/>
  <c r="Y21" i="213" s="1"/>
  <c r="S21" i="213"/>
  <c r="R21" i="213"/>
  <c r="Q21" i="213"/>
  <c r="P21" i="213"/>
  <c r="O21" i="213"/>
  <c r="N21" i="213"/>
  <c r="M21" i="213"/>
  <c r="AC20" i="213"/>
  <c r="W20" i="213"/>
  <c r="V20" i="213"/>
  <c r="Y20" i="213" s="1"/>
  <c r="S20" i="213"/>
  <c r="R20" i="213"/>
  <c r="Q20" i="213"/>
  <c r="P20" i="213"/>
  <c r="O20" i="213"/>
  <c r="N20" i="213"/>
  <c r="M20" i="213"/>
  <c r="AC19" i="213"/>
  <c r="W19" i="213"/>
  <c r="V19" i="213"/>
  <c r="Y19" i="213" s="1"/>
  <c r="S19" i="213"/>
  <c r="R19" i="213"/>
  <c r="Q19" i="213"/>
  <c r="P19" i="213"/>
  <c r="O19" i="213"/>
  <c r="N19" i="213"/>
  <c r="M19" i="213"/>
  <c r="AC18" i="213"/>
  <c r="W18" i="213"/>
  <c r="V18" i="213"/>
  <c r="Y18" i="213" s="1"/>
  <c r="S18" i="213"/>
  <c r="R18" i="213"/>
  <c r="Q18" i="213"/>
  <c r="P18" i="213"/>
  <c r="O18" i="213"/>
  <c r="N18" i="213"/>
  <c r="M18" i="213"/>
  <c r="AC17" i="213"/>
  <c r="W17" i="213"/>
  <c r="V17" i="213"/>
  <c r="Y17" i="213" s="1"/>
  <c r="S17" i="213"/>
  <c r="R17" i="213"/>
  <c r="Q17" i="213"/>
  <c r="P17" i="213"/>
  <c r="O17" i="213"/>
  <c r="N17" i="213"/>
  <c r="M17" i="213"/>
  <c r="AC16" i="213"/>
  <c r="W16" i="213"/>
  <c r="V16" i="213"/>
  <c r="S16" i="213"/>
  <c r="R16" i="213"/>
  <c r="Q16" i="213"/>
  <c r="P16" i="213"/>
  <c r="O16" i="213"/>
  <c r="N16" i="213"/>
  <c r="M16" i="213"/>
  <c r="AC15" i="213"/>
  <c r="W15" i="213"/>
  <c r="V15" i="213"/>
  <c r="Y15" i="213" s="1"/>
  <c r="S15" i="213"/>
  <c r="R15" i="213"/>
  <c r="Q15" i="213"/>
  <c r="P15" i="213"/>
  <c r="O15" i="213"/>
  <c r="N15" i="213"/>
  <c r="M15" i="213"/>
  <c r="AC14" i="213"/>
  <c r="W14" i="213"/>
  <c r="V14" i="213"/>
  <c r="S14" i="213"/>
  <c r="R14" i="213"/>
  <c r="Q14" i="213"/>
  <c r="P14" i="213"/>
  <c r="O14" i="213"/>
  <c r="N14" i="213"/>
  <c r="M14" i="213"/>
  <c r="AC13" i="213"/>
  <c r="W13" i="213"/>
  <c r="V13" i="213"/>
  <c r="S13" i="213"/>
  <c r="R13" i="213"/>
  <c r="Q13" i="213"/>
  <c r="P13" i="213"/>
  <c r="O13" i="213"/>
  <c r="N13" i="213"/>
  <c r="M13" i="213"/>
  <c r="AC12" i="213"/>
  <c r="W12" i="213"/>
  <c r="V12" i="213"/>
  <c r="S12" i="213"/>
  <c r="R12" i="213"/>
  <c r="Q12" i="213"/>
  <c r="P12" i="213"/>
  <c r="O12" i="213"/>
  <c r="N12" i="213"/>
  <c r="M12" i="213"/>
  <c r="AC11" i="213"/>
  <c r="W11" i="213"/>
  <c r="V11" i="213"/>
  <c r="Y11" i="213" s="1"/>
  <c r="S11" i="213"/>
  <c r="R11" i="213"/>
  <c r="Q11" i="213"/>
  <c r="P11" i="213"/>
  <c r="O11" i="213"/>
  <c r="N11" i="213"/>
  <c r="M11" i="213"/>
  <c r="AC10" i="213"/>
  <c r="W10" i="213"/>
  <c r="S10" i="213"/>
  <c r="R10" i="213"/>
  <c r="Q10" i="213"/>
  <c r="P10" i="213"/>
  <c r="O10" i="213"/>
  <c r="N10" i="213"/>
  <c r="M10" i="213"/>
  <c r="AC9" i="213"/>
  <c r="W9" i="213"/>
  <c r="S9" i="213"/>
  <c r="R9" i="213"/>
  <c r="Q9" i="213"/>
  <c r="P9" i="213"/>
  <c r="O9" i="213"/>
  <c r="N9" i="213"/>
  <c r="M9" i="213"/>
  <c r="AC8" i="213"/>
  <c r="W8" i="213"/>
  <c r="S8" i="213"/>
  <c r="R8" i="213"/>
  <c r="Q8" i="213"/>
  <c r="P8" i="213"/>
  <c r="O8" i="213"/>
  <c r="N8" i="213"/>
  <c r="M8" i="213"/>
  <c r="AC7" i="213"/>
  <c r="W7" i="213"/>
  <c r="S7" i="213"/>
  <c r="R7" i="213"/>
  <c r="Q7" i="213"/>
  <c r="P7" i="213"/>
  <c r="O7" i="213"/>
  <c r="N7" i="213"/>
  <c r="M7" i="213"/>
  <c r="AC6" i="213"/>
  <c r="W6" i="213"/>
  <c r="S6" i="213"/>
  <c r="R6" i="213"/>
  <c r="Q6" i="213"/>
  <c r="P6" i="213"/>
  <c r="O6" i="213"/>
  <c r="N6" i="213"/>
  <c r="M6" i="213"/>
  <c r="AC5" i="213"/>
  <c r="W5" i="213"/>
  <c r="S5" i="213"/>
  <c r="R5" i="213"/>
  <c r="Q5" i="213"/>
  <c r="P5" i="213"/>
  <c r="O5" i="213"/>
  <c r="N5" i="213"/>
  <c r="M5" i="213"/>
  <c r="AC4" i="213"/>
  <c r="W4" i="213"/>
  <c r="V4" i="213"/>
  <c r="Y4" i="213" s="1"/>
  <c r="S4" i="213"/>
  <c r="R4" i="213"/>
  <c r="Q4" i="213"/>
  <c r="P4" i="213"/>
  <c r="O4" i="213"/>
  <c r="N4" i="213"/>
  <c r="M4" i="213"/>
  <c r="A4" i="213"/>
  <c r="A5" i="213" s="1"/>
  <c r="A6" i="213" s="1"/>
  <c r="A7" i="213" s="1"/>
  <c r="A8" i="213" s="1"/>
  <c r="A9" i="213" s="1"/>
  <c r="A10" i="213" s="1"/>
  <c r="A11" i="213" s="1"/>
  <c r="A12" i="213" s="1"/>
  <c r="A13" i="213" s="1"/>
  <c r="A14" i="213" s="1"/>
  <c r="A15" i="213" s="1"/>
  <c r="A16" i="213" s="1"/>
  <c r="A17" i="213" s="1"/>
  <c r="A18" i="213" s="1"/>
  <c r="A19" i="213" s="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57" i="213" s="1"/>
  <c r="A58" i="213" s="1"/>
  <c r="A59" i="213" s="1"/>
  <c r="A60" i="213" s="1"/>
  <c r="A61" i="213" s="1"/>
  <c r="A62" i="213" s="1"/>
  <c r="A63" i="213" s="1"/>
  <c r="A64" i="213" s="1"/>
  <c r="A65" i="213" s="1"/>
  <c r="A66" i="213" s="1"/>
  <c r="A67" i="213" s="1"/>
  <c r="A68" i="213" s="1"/>
  <c r="A69" i="213" s="1"/>
  <c r="A70" i="213" s="1"/>
  <c r="A71" i="213" s="1"/>
  <c r="A72" i="213" s="1"/>
  <c r="A73" i="213" s="1"/>
  <c r="A74" i="213" s="1"/>
  <c r="A75" i="213" s="1"/>
  <c r="A76" i="213" s="1"/>
  <c r="A77" i="213" s="1"/>
  <c r="A78" i="213" s="1"/>
  <c r="A79" i="213" s="1"/>
  <c r="A80" i="213" s="1"/>
  <c r="A81" i="213" s="1"/>
  <c r="A82" i="213" s="1"/>
  <c r="A83" i="213" s="1"/>
  <c r="A84" i="213" s="1"/>
  <c r="A85" i="213" s="1"/>
  <c r="A86" i="213" s="1"/>
  <c r="A87" i="213" s="1"/>
  <c r="A88" i="213" s="1"/>
  <c r="A89" i="213" s="1"/>
  <c r="A90" i="213" s="1"/>
  <c r="A91" i="213" s="1"/>
  <c r="A92" i="213" s="1"/>
  <c r="A93" i="213" s="1"/>
  <c r="A94" i="213" s="1"/>
  <c r="A95" i="213" s="1"/>
  <c r="A96" i="213" s="1"/>
  <c r="A97" i="213" s="1"/>
  <c r="A98" i="213" s="1"/>
  <c r="A99" i="213" s="1"/>
  <c r="A100" i="213" s="1"/>
  <c r="A101" i="213" s="1"/>
  <c r="A102" i="213" s="1"/>
  <c r="A103" i="213" s="1"/>
  <c r="A104" i="213" s="1"/>
  <c r="A105" i="213" s="1"/>
  <c r="A106" i="213" s="1"/>
  <c r="A107" i="213" s="1"/>
  <c r="A108" i="213" s="1"/>
  <c r="A109" i="213" s="1"/>
  <c r="A110" i="213" s="1"/>
  <c r="A111" i="213" s="1"/>
  <c r="A112" i="213" s="1"/>
  <c r="A113" i="213" s="1"/>
  <c r="A114" i="213" s="1"/>
  <c r="A115" i="213" s="1"/>
  <c r="A116" i="213" s="1"/>
  <c r="A117" i="213" s="1"/>
  <c r="A118" i="213" s="1"/>
  <c r="A119" i="213" s="1"/>
  <c r="A120" i="213" s="1"/>
  <c r="A121" i="213" s="1"/>
  <c r="A122" i="213" s="1"/>
  <c r="A123" i="213" s="1"/>
  <c r="A124" i="213" s="1"/>
  <c r="A125" i="213" s="1"/>
  <c r="A126" i="213" s="1"/>
  <c r="A127" i="213" s="1"/>
  <c r="A128" i="213" s="1"/>
  <c r="A129" i="213" s="1"/>
  <c r="A130" i="213" s="1"/>
  <c r="A131" i="213" s="1"/>
  <c r="A132" i="213" s="1"/>
  <c r="A133" i="213" s="1"/>
  <c r="A134" i="213" s="1"/>
  <c r="A135" i="213" s="1"/>
  <c r="A136" i="213" s="1"/>
  <c r="A137" i="213" s="1"/>
  <c r="A138" i="213" s="1"/>
  <c r="A139" i="213" s="1"/>
  <c r="A140" i="213" s="1"/>
  <c r="A141" i="213" s="1"/>
  <c r="A142" i="213" s="1"/>
  <c r="A143" i="213" s="1"/>
  <c r="A144" i="213" s="1"/>
  <c r="A145" i="213" s="1"/>
  <c r="A146" i="213" s="1"/>
  <c r="A147" i="213" s="1"/>
  <c r="A148" i="213" s="1"/>
  <c r="A149" i="213" s="1"/>
  <c r="A150" i="213" s="1"/>
  <c r="A151" i="213" s="1"/>
  <c r="A152" i="213" s="1"/>
  <c r="A153" i="213" s="1"/>
  <c r="A154" i="213" s="1"/>
  <c r="A155" i="213" s="1"/>
  <c r="A156" i="213" s="1"/>
  <c r="A157" i="213" s="1"/>
  <c r="A158" i="213" s="1"/>
  <c r="A159" i="213" s="1"/>
  <c r="A160" i="213" s="1"/>
  <c r="A161" i="213" s="1"/>
  <c r="A162" i="213" s="1"/>
  <c r="A163" i="213" s="1"/>
  <c r="A164" i="213" s="1"/>
  <c r="A165" i="213" s="1"/>
  <c r="A166" i="213" s="1"/>
  <c r="A167" i="213" s="1"/>
  <c r="A168" i="213" s="1"/>
  <c r="A169" i="213" s="1"/>
  <c r="A170" i="213" s="1"/>
  <c r="A171" i="213" s="1"/>
  <c r="A172" i="213" s="1"/>
  <c r="A173" i="213" s="1"/>
  <c r="A174" i="213" s="1"/>
  <c r="A175" i="213" s="1"/>
  <c r="A176" i="213" s="1"/>
  <c r="A177" i="213" s="1"/>
  <c r="A178" i="213" s="1"/>
  <c r="A179" i="213" s="1"/>
  <c r="A180" i="213" s="1"/>
  <c r="A181" i="213" s="1"/>
  <c r="A182" i="213" s="1"/>
  <c r="A183" i="213" s="1"/>
  <c r="A184" i="213" s="1"/>
  <c r="A185" i="213" s="1"/>
  <c r="A186" i="213" s="1"/>
  <c r="A187" i="213" s="1"/>
  <c r="A188" i="213" s="1"/>
  <c r="A189" i="213" s="1"/>
  <c r="A190" i="213" s="1"/>
  <c r="A191" i="213" s="1"/>
  <c r="A192" i="213" s="1"/>
  <c r="A193" i="213" s="1"/>
  <c r="A194" i="213" s="1"/>
  <c r="A195" i="213" s="1"/>
  <c r="A196" i="213" s="1"/>
  <c r="A197" i="213" s="1"/>
  <c r="A198" i="213" s="1"/>
  <c r="A199" i="213" s="1"/>
  <c r="A200" i="213" s="1"/>
  <c r="A201" i="213" s="1"/>
  <c r="A202" i="213" s="1"/>
  <c r="A203" i="213" s="1"/>
  <c r="A204" i="213" s="1"/>
  <c r="A205" i="213" s="1"/>
  <c r="A206" i="213" s="1"/>
  <c r="A207" i="213" s="1"/>
  <c r="A208" i="213" s="1"/>
  <c r="A209" i="213" s="1"/>
  <c r="A210" i="213" s="1"/>
  <c r="A211" i="213" s="1"/>
  <c r="A212" i="213" s="1"/>
  <c r="A213" i="213" s="1"/>
  <c r="A214" i="213" s="1"/>
  <c r="A215" i="213" s="1"/>
  <c r="A216" i="213" s="1"/>
  <c r="A217" i="213" s="1"/>
  <c r="A218" i="213" s="1"/>
  <c r="A219" i="213" s="1"/>
  <c r="A220" i="213" s="1"/>
  <c r="A221" i="213" s="1"/>
  <c r="A222" i="213" s="1"/>
  <c r="A223" i="213" s="1"/>
  <c r="A224" i="213" s="1"/>
  <c r="A225" i="213" s="1"/>
  <c r="A226" i="213" s="1"/>
  <c r="A227" i="213" s="1"/>
  <c r="A228" i="213" s="1"/>
  <c r="A229" i="213" s="1"/>
  <c r="A230" i="213" s="1"/>
  <c r="A231" i="213" s="1"/>
  <c r="A232" i="213" s="1"/>
  <c r="A233" i="213" s="1"/>
  <c r="A234" i="213" s="1"/>
  <c r="A235" i="213" s="1"/>
  <c r="A236" i="213" s="1"/>
  <c r="A237" i="213" s="1"/>
  <c r="A238" i="213" s="1"/>
  <c r="A239" i="213" s="1"/>
  <c r="A240" i="213" s="1"/>
  <c r="A241" i="213" s="1"/>
  <c r="A242" i="213" s="1"/>
  <c r="A243" i="213" s="1"/>
  <c r="A244" i="213" s="1"/>
  <c r="A245" i="213" s="1"/>
  <c r="A246" i="213" s="1"/>
  <c r="A247" i="213" s="1"/>
  <c r="A248" i="213" s="1"/>
  <c r="A249" i="213" s="1"/>
  <c r="A250" i="213" s="1"/>
  <c r="A251" i="213" s="1"/>
  <c r="A252" i="213" s="1"/>
  <c r="A253" i="213" s="1"/>
  <c r="A254" i="213" s="1"/>
  <c r="A255" i="213" s="1"/>
  <c r="A256" i="213" s="1"/>
  <c r="A257" i="213" s="1"/>
  <c r="A258" i="213" s="1"/>
  <c r="A259" i="213" s="1"/>
  <c r="A260" i="213" s="1"/>
  <c r="A261" i="213" s="1"/>
  <c r="A262" i="213" s="1"/>
  <c r="A263" i="213" s="1"/>
  <c r="A264" i="213" s="1"/>
  <c r="A265" i="213" s="1"/>
  <c r="A266" i="213" s="1"/>
  <c r="A267" i="213" s="1"/>
  <c r="A268" i="213" s="1"/>
  <c r="A269" i="213" s="1"/>
  <c r="A270" i="213" s="1"/>
  <c r="A271" i="213" s="1"/>
  <c r="A272" i="213" s="1"/>
  <c r="A273" i="213" s="1"/>
  <c r="A274" i="213" s="1"/>
  <c r="A275" i="213" s="1"/>
  <c r="A276" i="213" s="1"/>
  <c r="A277" i="213" s="1"/>
  <c r="A278" i="213" s="1"/>
  <c r="A279" i="213" s="1"/>
  <c r="A280" i="213" s="1"/>
  <c r="A281" i="213" s="1"/>
  <c r="A282" i="213" s="1"/>
  <c r="A283" i="213" s="1"/>
  <c r="A284" i="213" s="1"/>
  <c r="A285" i="213" s="1"/>
  <c r="A286" i="213" s="1"/>
  <c r="A287" i="213" s="1"/>
  <c r="A288" i="213" s="1"/>
  <c r="A289" i="213" s="1"/>
  <c r="A290" i="213" s="1"/>
  <c r="A291" i="213" s="1"/>
  <c r="A292" i="213" s="1"/>
  <c r="A293" i="213" s="1"/>
  <c r="A294" i="213" s="1"/>
  <c r="A295" i="213" s="1"/>
  <c r="A296" i="213" s="1"/>
  <c r="A297" i="213" s="1"/>
  <c r="A298" i="213" s="1"/>
  <c r="A299" i="213" s="1"/>
  <c r="A300" i="213" s="1"/>
  <c r="A301" i="213" s="1"/>
  <c r="A302" i="213" s="1"/>
  <c r="A303" i="213" s="1"/>
  <c r="A304" i="213" s="1"/>
  <c r="A305" i="213" s="1"/>
  <c r="A306" i="213" s="1"/>
  <c r="A307" i="213" s="1"/>
  <c r="A308" i="213" s="1"/>
  <c r="A309" i="213" s="1"/>
  <c r="A310" i="213" s="1"/>
  <c r="A311" i="213" s="1"/>
  <c r="A312" i="213" s="1"/>
  <c r="A313" i="213" s="1"/>
  <c r="A314" i="213" s="1"/>
  <c r="A315" i="213" s="1"/>
  <c r="A316" i="213" s="1"/>
  <c r="A317" i="213" s="1"/>
  <c r="A318" i="213" s="1"/>
  <c r="A319" i="213" s="1"/>
  <c r="A320" i="213" s="1"/>
  <c r="A321" i="213" s="1"/>
  <c r="A322" i="213" s="1"/>
  <c r="A323" i="213" s="1"/>
  <c r="A324" i="213" s="1"/>
  <c r="A325" i="213" s="1"/>
  <c r="A326" i="213" s="1"/>
  <c r="A327" i="213" s="1"/>
  <c r="A328" i="213" s="1"/>
  <c r="A329" i="213" s="1"/>
  <c r="A330" i="213" s="1"/>
  <c r="A331" i="213" s="1"/>
  <c r="A332" i="213" s="1"/>
  <c r="A333" i="213" s="1"/>
  <c r="A334" i="213" s="1"/>
  <c r="A335" i="213" s="1"/>
  <c r="A336" i="213" s="1"/>
  <c r="A337" i="213" s="1"/>
  <c r="A338" i="213" s="1"/>
  <c r="A339" i="213" s="1"/>
  <c r="A340" i="213" s="1"/>
  <c r="A341" i="213" s="1"/>
  <c r="A342" i="213" s="1"/>
  <c r="A343" i="213" s="1"/>
  <c r="A344" i="213" s="1"/>
  <c r="A345" i="213" s="1"/>
  <c r="A346" i="213" s="1"/>
  <c r="A347" i="213" s="1"/>
  <c r="A348" i="213" s="1"/>
  <c r="A349" i="213" s="1"/>
  <c r="A350" i="213" s="1"/>
  <c r="A351" i="213" s="1"/>
  <c r="A352" i="213" s="1"/>
  <c r="A353" i="213" s="1"/>
  <c r="A354" i="213" s="1"/>
  <c r="A355" i="213" s="1"/>
  <c r="A356" i="213" s="1"/>
  <c r="A357" i="213" s="1"/>
  <c r="A358" i="213" s="1"/>
  <c r="A359" i="213" s="1"/>
  <c r="A360" i="213" s="1"/>
  <c r="A361" i="213" s="1"/>
  <c r="A362" i="213" s="1"/>
  <c r="A363" i="213" s="1"/>
  <c r="A364" i="213" s="1"/>
  <c r="A365" i="213" s="1"/>
  <c r="A366" i="213" s="1"/>
  <c r="A367" i="213" s="1"/>
  <c r="A368" i="213" s="1"/>
  <c r="A369" i="213" s="1"/>
  <c r="A370" i="213" s="1"/>
  <c r="A371" i="213" s="1"/>
  <c r="A372" i="213" s="1"/>
  <c r="A373" i="213" s="1"/>
  <c r="A374" i="213" s="1"/>
  <c r="A375" i="213" s="1"/>
  <c r="A376" i="213" s="1"/>
  <c r="A377" i="213" s="1"/>
  <c r="A378" i="213" s="1"/>
  <c r="A379" i="213" s="1"/>
  <c r="A380" i="213" s="1"/>
  <c r="A381" i="213" s="1"/>
  <c r="A382" i="213" s="1"/>
  <c r="A383" i="213" s="1"/>
  <c r="A384" i="213" s="1"/>
  <c r="A385" i="213" s="1"/>
  <c r="A386" i="213" s="1"/>
  <c r="A387" i="213" s="1"/>
  <c r="A388" i="213" s="1"/>
  <c r="A389" i="213" s="1"/>
  <c r="A390" i="213" s="1"/>
  <c r="A391" i="213" s="1"/>
  <c r="A392" i="213" s="1"/>
  <c r="A393" i="213" s="1"/>
  <c r="A394" i="213" s="1"/>
  <c r="A395" i="213" s="1"/>
  <c r="A396" i="213" s="1"/>
  <c r="A397" i="213" s="1"/>
  <c r="A398" i="213" s="1"/>
  <c r="A399" i="213" s="1"/>
  <c r="A400" i="213" s="1"/>
  <c r="A401" i="213" s="1"/>
  <c r="A402" i="213" s="1"/>
  <c r="A403" i="213" s="1"/>
  <c r="A404" i="213" s="1"/>
  <c r="A405" i="213" s="1"/>
  <c r="A406" i="213" s="1"/>
  <c r="A407" i="213" s="1"/>
  <c r="A408" i="213" s="1"/>
  <c r="A409" i="213" s="1"/>
  <c r="A410" i="213" s="1"/>
  <c r="A411" i="213" s="1"/>
  <c r="A412" i="213" s="1"/>
  <c r="A413" i="213" s="1"/>
  <c r="A414" i="213" s="1"/>
  <c r="A415" i="213" s="1"/>
  <c r="A416" i="213" s="1"/>
  <c r="A417" i="213" s="1"/>
  <c r="A418" i="213" s="1"/>
  <c r="A419" i="213" s="1"/>
  <c r="A420" i="213" s="1"/>
  <c r="A421" i="213" s="1"/>
  <c r="A422" i="213" s="1"/>
  <c r="A423" i="213" s="1"/>
  <c r="A424" i="213" s="1"/>
  <c r="A425" i="213" s="1"/>
  <c r="A426" i="213" s="1"/>
  <c r="AC3" i="213"/>
  <c r="AB3" i="213"/>
  <c r="AA3" i="213"/>
  <c r="Z3" i="213"/>
  <c r="X3" i="213"/>
  <c r="W3" i="213"/>
  <c r="V3" i="213"/>
  <c r="Y3" i="213" s="1"/>
  <c r="S3" i="213"/>
  <c r="R3" i="213"/>
  <c r="Q3" i="213"/>
  <c r="P3" i="213"/>
  <c r="O3" i="213"/>
  <c r="N3" i="213"/>
  <c r="M3" i="213"/>
  <c r="O10" i="110"/>
  <c r="O11" i="110"/>
  <c r="O9" i="110"/>
  <c r="L97" i="188"/>
  <c r="L89" i="188"/>
  <c r="L84" i="188"/>
  <c r="H48" i="86"/>
  <c r="H49" i="86"/>
  <c r="H50" i="86"/>
  <c r="H51" i="86"/>
  <c r="H52" i="86"/>
  <c r="H53" i="86"/>
  <c r="H54" i="86"/>
  <c r="H55" i="86"/>
  <c r="H56" i="86"/>
  <c r="H57" i="86"/>
  <c r="H58" i="86"/>
  <c r="H59" i="86"/>
  <c r="H60" i="86"/>
  <c r="H61" i="86"/>
  <c r="H62" i="86"/>
  <c r="H47" i="86"/>
  <c r="H45" i="86"/>
  <c r="I45" i="86"/>
  <c r="H44" i="86"/>
  <c r="M45" i="86"/>
  <c r="Y14" i="213" l="1"/>
  <c r="Y260" i="213"/>
  <c r="Y8" i="213"/>
  <c r="Y196" i="213"/>
  <c r="Y206" i="213"/>
  <c r="Y13" i="213"/>
  <c r="Y16" i="213"/>
  <c r="Y7" i="213"/>
  <c r="Y6" i="213"/>
  <c r="Y5" i="213"/>
  <c r="Y9" i="213"/>
  <c r="Y12" i="213"/>
  <c r="G288" i="85"/>
  <c r="HR15" i="27"/>
  <c r="HR16" i="27"/>
  <c r="HR17" i="27"/>
  <c r="HR18" i="27"/>
  <c r="HR19" i="27"/>
  <c r="HR20" i="27"/>
  <c r="HR21" i="27"/>
  <c r="HR22" i="27"/>
  <c r="HR23" i="27"/>
  <c r="HR24" i="27"/>
  <c r="HR25" i="27"/>
  <c r="HR26" i="27"/>
  <c r="HR27" i="27"/>
  <c r="HR28" i="27"/>
  <c r="HR29" i="27"/>
  <c r="HR30" i="27"/>
  <c r="HR31" i="27"/>
  <c r="HR193" i="27"/>
  <c r="HR207" i="27"/>
  <c r="HR12" i="27"/>
  <c r="HR13" i="27"/>
  <c r="HR14" i="27"/>
  <c r="HR32" i="27"/>
  <c r="HR33" i="27"/>
  <c r="HR34" i="27"/>
  <c r="HR35" i="27"/>
  <c r="HR36" i="27"/>
  <c r="HR37" i="27"/>
  <c r="HR38" i="27"/>
  <c r="HR39" i="27"/>
  <c r="HR40" i="27"/>
  <c r="HR41" i="27"/>
  <c r="HR42" i="27"/>
  <c r="HR43" i="27"/>
  <c r="HR44" i="27"/>
  <c r="HR45" i="27"/>
  <c r="HR46" i="27"/>
  <c r="HR47" i="27"/>
  <c r="HR48" i="27"/>
  <c r="HR49" i="27"/>
  <c r="HR50" i="27"/>
  <c r="HR204" i="27"/>
  <c r="HR59" i="27"/>
  <c r="HR60" i="27"/>
  <c r="HR61" i="27"/>
  <c r="HR62" i="27"/>
  <c r="HR63" i="27"/>
  <c r="HR64" i="27"/>
  <c r="HR65" i="27"/>
  <c r="HR66" i="27"/>
  <c r="HR67" i="27"/>
  <c r="HR68" i="27"/>
  <c r="HR69" i="27"/>
  <c r="HR185" i="27"/>
  <c r="HR187" i="27"/>
  <c r="HR188" i="27"/>
  <c r="HR189" i="27"/>
  <c r="HR190" i="27"/>
  <c r="HR51" i="27"/>
  <c r="HR52" i="27"/>
  <c r="HR86" i="27"/>
  <c r="HR92" i="27"/>
  <c r="HR93" i="27"/>
  <c r="HR94" i="27"/>
  <c r="HR95" i="27"/>
  <c r="HR96" i="27"/>
  <c r="HR97" i="27"/>
  <c r="HR98" i="27"/>
  <c r="HR99" i="27"/>
  <c r="HR100" i="27"/>
  <c r="HR101" i="27"/>
  <c r="HR102" i="27"/>
  <c r="HR103" i="27"/>
  <c r="HR104" i="27"/>
  <c r="HR105" i="27"/>
  <c r="HR106" i="27"/>
  <c r="HR107" i="27"/>
  <c r="HR70" i="27"/>
  <c r="HR74" i="27"/>
  <c r="HR77" i="27"/>
  <c r="HR79" i="27"/>
  <c r="HR80" i="27"/>
  <c r="HR87" i="27"/>
  <c r="HR90" i="27"/>
  <c r="HR91" i="27"/>
  <c r="HR108" i="27"/>
  <c r="HR109" i="27"/>
  <c r="HR110" i="27"/>
  <c r="HR111" i="27"/>
  <c r="HR112" i="27"/>
  <c r="HR113" i="27"/>
  <c r="HR114" i="27"/>
  <c r="HR115" i="27"/>
  <c r="HR116" i="27"/>
  <c r="HR117" i="27"/>
  <c r="HR118" i="27"/>
  <c r="HR119" i="27"/>
  <c r="HR120" i="27"/>
  <c r="HR121" i="27"/>
  <c r="HR122" i="27"/>
  <c r="HR123" i="27"/>
  <c r="HR124" i="27"/>
  <c r="HR125" i="27"/>
  <c r="HR126" i="27"/>
  <c r="HR192" i="27"/>
  <c r="HR205" i="27"/>
  <c r="HR56" i="27"/>
  <c r="HR127" i="27"/>
  <c r="HR128" i="27"/>
  <c r="HR129" i="27"/>
  <c r="HR130" i="27"/>
  <c r="HR131" i="27"/>
  <c r="HR132" i="27"/>
  <c r="HR133" i="27"/>
  <c r="HR134" i="27"/>
  <c r="HR135" i="27"/>
  <c r="HR136" i="27"/>
  <c r="HR137" i="27"/>
  <c r="HR138" i="27"/>
  <c r="HR139" i="27"/>
  <c r="HR140" i="27"/>
  <c r="HR141" i="27"/>
  <c r="HR142" i="27"/>
  <c r="HR143" i="27"/>
  <c r="HR144" i="27"/>
  <c r="HR145" i="27"/>
  <c r="HR191" i="27"/>
  <c r="HR53" i="27"/>
  <c r="HR55" i="27"/>
  <c r="HR57" i="27"/>
  <c r="HR58" i="27"/>
  <c r="HR71" i="27"/>
  <c r="HR76" i="27"/>
  <c r="HR81" i="27"/>
  <c r="HR83" i="27"/>
  <c r="HR84" i="27"/>
  <c r="HR85" i="27"/>
  <c r="HR88" i="27"/>
  <c r="HR147" i="27"/>
  <c r="HR148" i="27"/>
  <c r="HR149" i="27"/>
  <c r="HR150" i="27"/>
  <c r="HR151" i="27"/>
  <c r="HR152" i="27"/>
  <c r="HR153" i="27"/>
  <c r="HR154" i="27"/>
  <c r="HR155" i="27"/>
  <c r="HR156" i="27"/>
  <c r="HR157" i="27"/>
  <c r="HR158" i="27"/>
  <c r="HR159" i="27"/>
  <c r="HR160" i="27"/>
  <c r="HR161" i="27"/>
  <c r="HR162" i="27"/>
  <c r="HR163" i="27"/>
  <c r="HR164" i="27"/>
  <c r="HR194" i="27"/>
  <c r="HR54" i="27"/>
  <c r="HR72" i="27"/>
  <c r="HR73" i="27"/>
  <c r="HR75" i="27"/>
  <c r="HR78" i="27"/>
  <c r="HR82" i="27"/>
  <c r="HR89" i="27"/>
  <c r="HR146" i="27"/>
  <c r="HR165" i="27"/>
  <c r="HR166" i="27"/>
  <c r="HR167" i="27"/>
  <c r="HR168" i="27"/>
  <c r="HR169" i="27"/>
  <c r="HR170" i="27"/>
  <c r="HR171" i="27"/>
  <c r="HR172" i="27"/>
  <c r="HR173" i="27"/>
  <c r="HR174" i="27"/>
  <c r="HR175" i="27"/>
  <c r="HR176" i="27"/>
  <c r="HR177" i="27"/>
  <c r="HR178" i="27"/>
  <c r="HR179" i="27"/>
  <c r="HR180" i="27"/>
  <c r="HR181" i="27"/>
  <c r="HR182" i="27"/>
  <c r="HR183" i="27"/>
  <c r="HR186" i="27"/>
  <c r="HR195" i="27"/>
  <c r="HR196" i="27"/>
  <c r="HR197" i="27"/>
  <c r="HR198" i="27"/>
  <c r="HR199" i="27"/>
  <c r="HR200" i="27"/>
  <c r="HR201" i="27"/>
  <c r="HR202" i="27"/>
  <c r="HR184" i="27"/>
  <c r="HR208" i="27"/>
  <c r="HR209" i="27"/>
  <c r="HR210" i="27"/>
  <c r="HR211" i="27"/>
  <c r="HR212" i="27"/>
  <c r="HR213" i="27"/>
  <c r="HR214" i="27"/>
  <c r="HR215" i="27"/>
  <c r="HR216" i="27"/>
  <c r="HR217" i="27"/>
  <c r="HR218" i="27"/>
  <c r="HR219" i="27"/>
  <c r="HR220" i="27"/>
  <c r="HR221" i="27"/>
  <c r="HR203" i="27"/>
  <c r="HR206" i="27"/>
  <c r="HS10" i="27"/>
  <c r="HT9" i="27"/>
  <c r="HS11" i="27"/>
  <c r="HQ7" i="27"/>
  <c r="B288" i="85"/>
  <c r="S288" i="85" s="1"/>
  <c r="D288" i="85"/>
  <c r="E288" i="85"/>
  <c r="E289" i="85"/>
  <c r="F289" i="85"/>
  <c r="AJ289" i="85" s="1" a="1"/>
  <c r="G289" i="85"/>
  <c r="E290" i="85"/>
  <c r="G290" i="85"/>
  <c r="F290" i="85"/>
  <c r="AJ290" i="85" s="1" a="1"/>
  <c r="B291" i="85"/>
  <c r="F291" i="85"/>
  <c r="AJ291" i="85" s="1" a="1"/>
  <c r="D291" i="85"/>
  <c r="G291" i="85"/>
  <c r="E291" i="85"/>
  <c r="F309" i="85"/>
  <c r="AJ309" i="85" s="1" a="1"/>
  <c r="E309" i="85"/>
  <c r="G309" i="85"/>
  <c r="F310" i="85"/>
  <c r="AJ310" i="85" s="1" a="1"/>
  <c r="G310" i="85"/>
  <c r="B311" i="85"/>
  <c r="P311" i="85" s="1"/>
  <c r="G311" i="85"/>
  <c r="D311" i="85"/>
  <c r="F311" i="85"/>
  <c r="AJ311" i="85" s="1" a="1"/>
  <c r="E311" i="85"/>
  <c r="G312" i="85"/>
  <c r="F312" i="85"/>
  <c r="AJ312" i="85" s="1" a="1"/>
  <c r="B267" i="85"/>
  <c r="S267" i="85" s="1"/>
  <c r="F267" i="85"/>
  <c r="AJ267" i="85" s="1" a="1"/>
  <c r="D267" i="85"/>
  <c r="G267" i="85"/>
  <c r="E267" i="85"/>
  <c r="B289" i="85"/>
  <c r="D289" i="85"/>
  <c r="B290" i="85"/>
  <c r="D290" i="85"/>
  <c r="B292" i="85"/>
  <c r="T292" i="85" s="1"/>
  <c r="F292" i="85"/>
  <c r="AJ292" i="85" s="1" a="1"/>
  <c r="D292" i="85"/>
  <c r="E292" i="85"/>
  <c r="B293" i="85"/>
  <c r="G293" i="85"/>
  <c r="D293" i="85"/>
  <c r="E293" i="85"/>
  <c r="F293" i="85"/>
  <c r="AJ293" i="85" s="1" a="1"/>
  <c r="B309" i="85"/>
  <c r="S309" i="85" s="1"/>
  <c r="D309" i="85"/>
  <c r="B310" i="85"/>
  <c r="E310" i="85"/>
  <c r="D310" i="85"/>
  <c r="B312" i="85"/>
  <c r="E312" i="85"/>
  <c r="D312" i="85"/>
  <c r="B313" i="85"/>
  <c r="D313" i="85"/>
  <c r="B315" i="85"/>
  <c r="D315" i="85"/>
  <c r="E315" i="85"/>
  <c r="B316" i="85"/>
  <c r="E316" i="85"/>
  <c r="F316" i="85"/>
  <c r="AJ316" i="85" s="1" a="1"/>
  <c r="D316" i="85"/>
  <c r="B317" i="85"/>
  <c r="E317" i="85"/>
  <c r="D317" i="85"/>
  <c r="V267" i="85"/>
  <c r="B268" i="85"/>
  <c r="D268" i="85"/>
  <c r="E268" i="85"/>
  <c r="F268" i="85"/>
  <c r="AJ268" i="85" s="1" a="1"/>
  <c r="G268" i="85"/>
  <c r="D269" i="85"/>
  <c r="E269" i="85"/>
  <c r="G269" i="85"/>
  <c r="F269" i="85"/>
  <c r="AJ269" i="85" s="1" a="1"/>
  <c r="B269" i="85"/>
  <c r="B270" i="85"/>
  <c r="E270" i="85"/>
  <c r="F270" i="85"/>
  <c r="AJ270" i="85" s="1" a="1"/>
  <c r="D270" i="85"/>
  <c r="G270" i="85"/>
  <c r="F271" i="85"/>
  <c r="AJ271" i="85" s="1" a="1"/>
  <c r="E271" i="85"/>
  <c r="G271" i="85"/>
  <c r="B271" i="85"/>
  <c r="D271" i="85"/>
  <c r="D272" i="85"/>
  <c r="F272" i="85"/>
  <c r="AJ272" i="85" s="1" a="1"/>
  <c r="G272" i="85"/>
  <c r="E272" i="85"/>
  <c r="B272" i="85"/>
  <c r="E273" i="85"/>
  <c r="D273" i="85"/>
  <c r="B273" i="85"/>
  <c r="F273" i="85"/>
  <c r="AJ273" i="85" s="1" a="1"/>
  <c r="G273" i="85"/>
  <c r="B274" i="85"/>
  <c r="E274" i="85"/>
  <c r="F274" i="85"/>
  <c r="AJ274" i="85" s="1" a="1"/>
  <c r="D274" i="85"/>
  <c r="G274" i="85"/>
  <c r="E275" i="85"/>
  <c r="B275" i="85"/>
  <c r="G275" i="85"/>
  <c r="D275" i="85"/>
  <c r="F275" i="85"/>
  <c r="AJ275" i="85" s="1" a="1"/>
  <c r="D276" i="85"/>
  <c r="G276" i="85"/>
  <c r="F276" i="85"/>
  <c r="AJ276" i="85" s="1" a="1"/>
  <c r="B276" i="85"/>
  <c r="E276" i="85"/>
  <c r="D277" i="85"/>
  <c r="B277" i="85"/>
  <c r="F277" i="85"/>
  <c r="AJ277" i="85" s="1" a="1"/>
  <c r="E277" i="85"/>
  <c r="G277" i="85"/>
  <c r="D278" i="85"/>
  <c r="G278" i="85"/>
  <c r="F278" i="85"/>
  <c r="AJ278" i="85" s="1" a="1"/>
  <c r="B278" i="85"/>
  <c r="E278" i="85"/>
  <c r="E279" i="85"/>
  <c r="G279" i="85"/>
  <c r="B279" i="85"/>
  <c r="F279" i="85"/>
  <c r="AJ279" i="85" s="1" a="1"/>
  <c r="D279" i="85"/>
  <c r="E280" i="85"/>
  <c r="B280" i="85"/>
  <c r="G280" i="85"/>
  <c r="D280" i="85"/>
  <c r="F280" i="85"/>
  <c r="AJ280" i="85" s="1" a="1"/>
  <c r="G281" i="85"/>
  <c r="E281" i="85"/>
  <c r="D281" i="85"/>
  <c r="F281" i="85"/>
  <c r="AJ281" i="85" s="1" a="1"/>
  <c r="B281" i="85"/>
  <c r="E282" i="85"/>
  <c r="D282" i="85"/>
  <c r="B282" i="85"/>
  <c r="F282" i="85"/>
  <c r="AJ282" i="85" s="1" a="1"/>
  <c r="G282" i="85"/>
  <c r="F283" i="85"/>
  <c r="AJ283" i="85" s="1" a="1"/>
  <c r="D283" i="85"/>
  <c r="G283" i="85"/>
  <c r="E283" i="85"/>
  <c r="B283" i="85"/>
  <c r="G284" i="85"/>
  <c r="F284" i="85"/>
  <c r="AJ284" i="85" s="1" a="1"/>
  <c r="B284" i="85"/>
  <c r="D284" i="85"/>
  <c r="E284" i="85"/>
  <c r="E285" i="85"/>
  <c r="F285" i="85"/>
  <c r="AJ285" i="85" s="1" a="1"/>
  <c r="B285" i="85"/>
  <c r="G285" i="85"/>
  <c r="D285" i="85"/>
  <c r="B286" i="85"/>
  <c r="G286" i="85"/>
  <c r="E286" i="85"/>
  <c r="D286" i="85"/>
  <c r="F286" i="85"/>
  <c r="AJ286" i="85" s="1" a="1"/>
  <c r="B287" i="85"/>
  <c r="E287" i="85"/>
  <c r="F287" i="85"/>
  <c r="AJ287" i="85" s="1" a="1"/>
  <c r="D287" i="85"/>
  <c r="G287" i="85"/>
  <c r="D294" i="85"/>
  <c r="F294" i="85"/>
  <c r="AJ294" i="85" s="1" a="1"/>
  <c r="B294" i="85"/>
  <c r="E294" i="85"/>
  <c r="G294" i="85"/>
  <c r="D295" i="85"/>
  <c r="G295" i="85"/>
  <c r="F295" i="85"/>
  <c r="AJ295" i="85" s="1" a="1"/>
  <c r="B295" i="85"/>
  <c r="E295" i="85"/>
  <c r="F296" i="85"/>
  <c r="AJ296" i="85" s="1" a="1"/>
  <c r="B296" i="85"/>
  <c r="G296" i="85"/>
  <c r="D296" i="85"/>
  <c r="E296" i="85"/>
  <c r="D297" i="85"/>
  <c r="F297" i="85"/>
  <c r="AJ297" i="85" s="1" a="1"/>
  <c r="E297" i="85"/>
  <c r="G297" i="85"/>
  <c r="B297" i="85"/>
  <c r="E298" i="85"/>
  <c r="D298" i="85"/>
  <c r="F298" i="85"/>
  <c r="AJ298" i="85" s="1" a="1"/>
  <c r="G298" i="85"/>
  <c r="B298" i="85"/>
  <c r="F299" i="85"/>
  <c r="AJ299" i="85" s="1" a="1"/>
  <c r="G299" i="85"/>
  <c r="B299" i="85"/>
  <c r="D299" i="85"/>
  <c r="E299" i="85"/>
  <c r="F300" i="85"/>
  <c r="AJ300" i="85" s="1" a="1"/>
  <c r="D300" i="85"/>
  <c r="B300" i="85"/>
  <c r="G300" i="85"/>
  <c r="E300" i="85"/>
  <c r="G301" i="85"/>
  <c r="B301" i="85"/>
  <c r="F301" i="85"/>
  <c r="AJ301" i="85" s="1" a="1"/>
  <c r="E301" i="85"/>
  <c r="D301" i="85"/>
  <c r="F302" i="85"/>
  <c r="AJ302" i="85" s="1" a="1"/>
  <c r="G302" i="85"/>
  <c r="E302" i="85"/>
  <c r="B302" i="85"/>
  <c r="D302" i="85"/>
  <c r="E303" i="85"/>
  <c r="D303" i="85"/>
  <c r="B303" i="85"/>
  <c r="F303" i="85"/>
  <c r="AJ303" i="85" s="1" a="1"/>
  <c r="G303" i="85"/>
  <c r="D304" i="85"/>
  <c r="G304" i="85"/>
  <c r="E304" i="85"/>
  <c r="F304" i="85"/>
  <c r="AJ304" i="85" s="1" a="1"/>
  <c r="B304" i="85"/>
  <c r="F305" i="85"/>
  <c r="AJ305" i="85" s="1" a="1"/>
  <c r="G305" i="85"/>
  <c r="E305" i="85"/>
  <c r="D305" i="85"/>
  <c r="B305" i="85"/>
  <c r="E306" i="85"/>
  <c r="B306" i="85"/>
  <c r="F306" i="85"/>
  <c r="AJ306" i="85" s="1" a="1"/>
  <c r="D306" i="85"/>
  <c r="G306" i="85"/>
  <c r="F307" i="85"/>
  <c r="AJ307" i="85" s="1" a="1"/>
  <c r="G307" i="85"/>
  <c r="E307" i="85"/>
  <c r="B307" i="85"/>
  <c r="D307" i="85"/>
  <c r="G308" i="85"/>
  <c r="E308" i="85"/>
  <c r="B308" i="85"/>
  <c r="D308" i="85"/>
  <c r="F308" i="85"/>
  <c r="AJ308" i="85" s="1" a="1"/>
  <c r="U314" i="85"/>
  <c r="T314" i="85"/>
  <c r="S314" i="85"/>
  <c r="R314" i="85"/>
  <c r="Q314" i="85"/>
  <c r="P314" i="85"/>
  <c r="O314" i="85"/>
  <c r="V51" i="85"/>
  <c r="AC1" i="189"/>
  <c r="Y218" i="213"/>
  <c r="Y223" i="213"/>
  <c r="Y238" i="213"/>
  <c r="Y243" i="213"/>
  <c r="Y112" i="213"/>
  <c r="AF3" i="213" s="1" a="1"/>
  <c r="Y207" i="213"/>
  <c r="Y277" i="213"/>
  <c r="Y316" i="213"/>
  <c r="Y326" i="213"/>
  <c r="Y406" i="213"/>
  <c r="Y426" i="213"/>
  <c r="Y350" i="213"/>
  <c r="Y269" i="213"/>
  <c r="Y274" i="213"/>
  <c r="Y279" i="213"/>
  <c r="Y284" i="213"/>
  <c r="Y304" i="213"/>
  <c r="Y339" i="213"/>
  <c r="Y344" i="213"/>
  <c r="Y354" i="213"/>
  <c r="Y359" i="213"/>
  <c r="Y364" i="213"/>
  <c r="Y131" i="213"/>
  <c r="Y136" i="213"/>
  <c r="Y146" i="213"/>
  <c r="Y156" i="213"/>
  <c r="Y161" i="213"/>
  <c r="Y368" i="213"/>
  <c r="Y373" i="213"/>
  <c r="Y211" i="213"/>
  <c r="Y216" i="213"/>
  <c r="Y297" i="213"/>
  <c r="Y120" i="213"/>
  <c r="Y140" i="213"/>
  <c r="Y215" i="213"/>
  <c r="Y357" i="213"/>
  <c r="Y225" i="213"/>
  <c r="Y387" i="213"/>
  <c r="Y295" i="213"/>
  <c r="Y123" i="213"/>
  <c r="Y270" i="213"/>
  <c r="Y305" i="213"/>
  <c r="Y315" i="213"/>
  <c r="Y335" i="213"/>
  <c r="Y370" i="213"/>
  <c r="Y420" i="213"/>
  <c r="Y314" i="213"/>
  <c r="Y334" i="213"/>
  <c r="Y177" i="213"/>
  <c r="Y187" i="213"/>
  <c r="Y197" i="213"/>
  <c r="Y288" i="213"/>
  <c r="Y293" i="213"/>
  <c r="Y394" i="213"/>
  <c r="Y404" i="213"/>
  <c r="Y132" i="213"/>
  <c r="Y168" i="213"/>
  <c r="Y173" i="213"/>
  <c r="Y220" i="213"/>
  <c r="Y230" i="213"/>
  <c r="Y240" i="213"/>
  <c r="Y265" i="213"/>
  <c r="Y296" i="213"/>
  <c r="Y347" i="213"/>
  <c r="Y352" i="213"/>
  <c r="Y137" i="213"/>
  <c r="Y142" i="213"/>
  <c r="Y188" i="213"/>
  <c r="Y193" i="213"/>
  <c r="Y209" i="213"/>
  <c r="Y214" i="213"/>
  <c r="Y398" i="213"/>
  <c r="Y403" i="213"/>
  <c r="Y234" i="213"/>
  <c r="Y306" i="213"/>
  <c r="Y377" i="213"/>
  <c r="Y382" i="213"/>
  <c r="Y126" i="213"/>
  <c r="Y157" i="213"/>
  <c r="Y162" i="213"/>
  <c r="Y198" i="213"/>
  <c r="Y203" i="213"/>
  <c r="Y249" i="213"/>
  <c r="Y254" i="213"/>
  <c r="Y285" i="213"/>
  <c r="Y331" i="213"/>
  <c r="Y418" i="213"/>
  <c r="Y423" i="213"/>
  <c r="Y167" i="213"/>
  <c r="Y264" i="213"/>
  <c r="Y346" i="213"/>
  <c r="Y300" i="213"/>
  <c r="Y366" i="213"/>
  <c r="Y397" i="213"/>
  <c r="Y135" i="213"/>
  <c r="Y166" i="213"/>
  <c r="Y171" i="213"/>
  <c r="Y289" i="213"/>
  <c r="Y294" i="213"/>
  <c r="Y310" i="213"/>
  <c r="Y376" i="213"/>
  <c r="Y176" i="213"/>
  <c r="Y186" i="213"/>
  <c r="Y212" i="213"/>
  <c r="Y299" i="213"/>
  <c r="Y320" i="213"/>
  <c r="Y330" i="213"/>
  <c r="Y365" i="213"/>
  <c r="Y386" i="213"/>
  <c r="Y401" i="213"/>
  <c r="Y227" i="213"/>
  <c r="Y237" i="213"/>
  <c r="Y242" i="213"/>
  <c r="Y375" i="213"/>
  <c r="Y119" i="213"/>
  <c r="Y124" i="213"/>
  <c r="Y247" i="213"/>
  <c r="Y252" i="213"/>
  <c r="Y319" i="213"/>
  <c r="Y324" i="213"/>
  <c r="Y226" i="213"/>
  <c r="Y231" i="213"/>
  <c r="Y236" i="213"/>
  <c r="Y241" i="213"/>
  <c r="Y390" i="213"/>
  <c r="Y190" i="213"/>
  <c r="Y246" i="213"/>
  <c r="Y251" i="213"/>
  <c r="Y318" i="213"/>
  <c r="Y323" i="213"/>
  <c r="Y400" i="213"/>
  <c r="Y415" i="213"/>
  <c r="Y128" i="213"/>
  <c r="Y133" i="213"/>
  <c r="Y169" i="213"/>
  <c r="Y261" i="213"/>
  <c r="Y287" i="213"/>
  <c r="Y292" i="213"/>
  <c r="Y338" i="213"/>
  <c r="Y343" i="213"/>
  <c r="Y389" i="213"/>
  <c r="Y122" i="213"/>
  <c r="Y199" i="213"/>
  <c r="Y204" i="213"/>
  <c r="Y210" i="213"/>
  <c r="Y281" i="213"/>
  <c r="Y317" i="213"/>
  <c r="Y322" i="213"/>
  <c r="Y327" i="213"/>
  <c r="Y414" i="213"/>
  <c r="Y419" i="213"/>
  <c r="Y424" i="213"/>
  <c r="Y178" i="213"/>
  <c r="Y183" i="213"/>
  <c r="Y200" i="213"/>
  <c r="Y221" i="213"/>
  <c r="Y259" i="213"/>
  <c r="Y275" i="213"/>
  <c r="Y302" i="213"/>
  <c r="Y329" i="213"/>
  <c r="Y340" i="213"/>
  <c r="Y371" i="213"/>
  <c r="Y392" i="213"/>
  <c r="Y408" i="213"/>
  <c r="Y413" i="213"/>
  <c r="Y129" i="213"/>
  <c r="Y145" i="213"/>
  <c r="Y172" i="213"/>
  <c r="Y248" i="213"/>
  <c r="Y253" i="213"/>
  <c r="Y291" i="213"/>
  <c r="Y355" i="213"/>
  <c r="Y139" i="213"/>
  <c r="Y155" i="213"/>
  <c r="Y182" i="213"/>
  <c r="Y258" i="213"/>
  <c r="Y263" i="213"/>
  <c r="Y280" i="213"/>
  <c r="Y301" i="213"/>
  <c r="Y328" i="213"/>
  <c r="Y333" i="213"/>
  <c r="Y349" i="213"/>
  <c r="Y360" i="213"/>
  <c r="Y391" i="213"/>
  <c r="Y412" i="213"/>
  <c r="Y150" i="213"/>
  <c r="Y111" i="213"/>
  <c r="Y149" i="213"/>
  <c r="Y165" i="213"/>
  <c r="Y192" i="213"/>
  <c r="Y268" i="213"/>
  <c r="Y273" i="213"/>
  <c r="Y290" i="213"/>
  <c r="Y311" i="213"/>
  <c r="Y385" i="213"/>
  <c r="Y396" i="213"/>
  <c r="Y138" i="213"/>
  <c r="Y143" i="213"/>
  <c r="Y160" i="213"/>
  <c r="Y181" i="213"/>
  <c r="Y219" i="213"/>
  <c r="Y235" i="213"/>
  <c r="Y262" i="213"/>
  <c r="Y332" i="213"/>
  <c r="Y348" i="213"/>
  <c r="Y353" i="213"/>
  <c r="Y369" i="213"/>
  <c r="Y380" i="213"/>
  <c r="Y411" i="213"/>
  <c r="Y121" i="213"/>
  <c r="Y159" i="213"/>
  <c r="Y175" i="213"/>
  <c r="Y202" i="213"/>
  <c r="Y278" i="213"/>
  <c r="Y283" i="213"/>
  <c r="Y321" i="213"/>
  <c r="Y342" i="213"/>
  <c r="Y358" i="213"/>
  <c r="Y363" i="213"/>
  <c r="Y379" i="213"/>
  <c r="Y421" i="213"/>
  <c r="Y148" i="213"/>
  <c r="Y153" i="213"/>
  <c r="Y170" i="213"/>
  <c r="Y191" i="213"/>
  <c r="Y229" i="213"/>
  <c r="Y245" i="213"/>
  <c r="Y272" i="213"/>
  <c r="Y405" i="213"/>
  <c r="Y416" i="213"/>
  <c r="Y185" i="213"/>
  <c r="Y158" i="213"/>
  <c r="Y163" i="213"/>
  <c r="Y180" i="213"/>
  <c r="Y201" i="213"/>
  <c r="Y239" i="213"/>
  <c r="Y255" i="213"/>
  <c r="Y282" i="213"/>
  <c r="Y341" i="213"/>
  <c r="Y362" i="213"/>
  <c r="Y378" i="213"/>
  <c r="Y383" i="213"/>
  <c r="Y399" i="213"/>
  <c r="Y410" i="213"/>
  <c r="Y125" i="213"/>
  <c r="Y152" i="213"/>
  <c r="Y228" i="213"/>
  <c r="Y233" i="213"/>
  <c r="Y250" i="213"/>
  <c r="Y271" i="213"/>
  <c r="Y309" i="213"/>
  <c r="Y325" i="213"/>
  <c r="Y336" i="213"/>
  <c r="Y425" i="213"/>
  <c r="Y141" i="213"/>
  <c r="Y179" i="213"/>
  <c r="Y195" i="213"/>
  <c r="Y222" i="213"/>
  <c r="Y298" i="213"/>
  <c r="Y303" i="213"/>
  <c r="Y351" i="213"/>
  <c r="Y372" i="213"/>
  <c r="Y388" i="213"/>
  <c r="Y393" i="213"/>
  <c r="Y409" i="213"/>
  <c r="Y130" i="213"/>
  <c r="Y151" i="213"/>
  <c r="Y189" i="213"/>
  <c r="Y205" i="213"/>
  <c r="Y232" i="213"/>
  <c r="Y308" i="213"/>
  <c r="Y313" i="213"/>
  <c r="Y345" i="213"/>
  <c r="Y356" i="213"/>
  <c r="S289" i="85" l="1"/>
  <c r="R289" i="85"/>
  <c r="Q289" i="85"/>
  <c r="P289" i="85"/>
  <c r="O289" i="85"/>
  <c r="T290" i="85"/>
  <c r="V290" i="85"/>
  <c r="U290" i="85"/>
  <c r="S290" i="85"/>
  <c r="Q290" i="85"/>
  <c r="P290" i="85"/>
  <c r="O290" i="85"/>
  <c r="U310" i="85"/>
  <c r="V310" i="85"/>
  <c r="T310" i="85"/>
  <c r="Q310" i="85"/>
  <c r="P310" i="85"/>
  <c r="O310" i="85"/>
  <c r="V312" i="85"/>
  <c r="U312" i="85"/>
  <c r="T312" i="85"/>
  <c r="S312" i="85"/>
  <c r="R312" i="85"/>
  <c r="Q291" i="85"/>
  <c r="V291" i="85"/>
  <c r="U291" i="85"/>
  <c r="T291" i="85"/>
  <c r="S291" i="85"/>
  <c r="R291" i="85"/>
  <c r="Q312" i="85"/>
  <c r="P312" i="85"/>
  <c r="V313" i="85"/>
  <c r="U313" i="85"/>
  <c r="T313" i="85"/>
  <c r="S313" i="85"/>
  <c r="R313" i="85"/>
  <c r="Q313" i="85"/>
  <c r="P313" i="85"/>
  <c r="O313" i="85"/>
  <c r="T315" i="85"/>
  <c r="V315" i="85"/>
  <c r="U315" i="85"/>
  <c r="V316" i="85"/>
  <c r="S316" i="85"/>
  <c r="R316" i="85"/>
  <c r="AG9" i="213"/>
  <c r="AG8" i="213"/>
  <c r="AG7" i="213"/>
  <c r="AG6" i="213"/>
  <c r="AG5" i="213"/>
  <c r="AG4" i="213"/>
  <c r="AG16" i="213"/>
  <c r="AG15" i="213"/>
  <c r="AG10" i="213"/>
  <c r="AG14" i="213"/>
  <c r="AG13" i="213"/>
  <c r="AG12" i="213"/>
  <c r="AG11" i="213"/>
  <c r="O311" i="85"/>
  <c r="U292" i="85"/>
  <c r="T289" i="85"/>
  <c r="O291" i="85"/>
  <c r="U289" i="85"/>
  <c r="P291" i="85"/>
  <c r="V289" i="85"/>
  <c r="Q267" i="85"/>
  <c r="O309" i="85"/>
  <c r="P309" i="85"/>
  <c r="Q309" i="85"/>
  <c r="T309" i="85"/>
  <c r="Q311" i="85"/>
  <c r="U309" i="85"/>
  <c r="V309" i="85"/>
  <c r="T311" i="85"/>
  <c r="T316" i="85"/>
  <c r="U311" i="85"/>
  <c r="P288" i="85"/>
  <c r="U316" i="85"/>
  <c r="V311" i="85"/>
  <c r="Q288" i="85"/>
  <c r="R309" i="85"/>
  <c r="R288" i="85"/>
  <c r="R311" i="85"/>
  <c r="S311" i="85"/>
  <c r="U288" i="85"/>
  <c r="O288" i="85"/>
  <c r="P315" i="85"/>
  <c r="T288" i="85"/>
  <c r="Q315" i="85"/>
  <c r="R310" i="85"/>
  <c r="R315" i="85"/>
  <c r="O312" i="85"/>
  <c r="S310" i="85"/>
  <c r="R290" i="85"/>
  <c r="V288" i="85"/>
  <c r="O315" i="85"/>
  <c r="S315" i="85"/>
  <c r="HT10" i="27"/>
  <c r="HT11" i="27"/>
  <c r="HS12" i="27"/>
  <c r="HS13" i="27"/>
  <c r="HS14" i="27"/>
  <c r="HS15" i="27"/>
  <c r="HS16" i="27"/>
  <c r="HS17" i="27"/>
  <c r="HS18" i="27"/>
  <c r="HS19" i="27"/>
  <c r="HS20" i="27"/>
  <c r="HS21" i="27"/>
  <c r="HS22" i="27"/>
  <c r="HS23" i="27"/>
  <c r="HS24" i="27"/>
  <c r="HS25" i="27"/>
  <c r="HS26" i="27"/>
  <c r="HS27" i="27"/>
  <c r="HS28" i="27"/>
  <c r="HS29" i="27"/>
  <c r="HS30" i="27"/>
  <c r="HS31" i="27"/>
  <c r="HS32" i="27"/>
  <c r="HS33" i="27"/>
  <c r="HS34" i="27"/>
  <c r="HS35" i="27"/>
  <c r="HS36" i="27"/>
  <c r="HS37" i="27"/>
  <c r="HS38" i="27"/>
  <c r="HS39" i="27"/>
  <c r="HS40" i="27"/>
  <c r="HS41" i="27"/>
  <c r="HS42" i="27"/>
  <c r="HS43" i="27"/>
  <c r="HS44" i="27"/>
  <c r="HS45" i="27"/>
  <c r="HS46" i="27"/>
  <c r="HS47" i="27"/>
  <c r="HS48" i="27"/>
  <c r="HS49" i="27"/>
  <c r="HS58" i="27"/>
  <c r="HS59" i="27"/>
  <c r="HS60" i="27"/>
  <c r="HS61" i="27"/>
  <c r="HS62" i="27"/>
  <c r="HS63" i="27"/>
  <c r="HS64" i="27"/>
  <c r="HS65" i="27"/>
  <c r="HS66" i="27"/>
  <c r="HS67" i="27"/>
  <c r="HS68" i="27"/>
  <c r="HS52" i="27"/>
  <c r="HS56" i="27"/>
  <c r="HS70" i="27"/>
  <c r="HS71" i="27"/>
  <c r="HS90" i="27"/>
  <c r="HS91" i="27"/>
  <c r="HS93" i="27"/>
  <c r="HS94" i="27"/>
  <c r="HS95" i="27"/>
  <c r="HS96" i="27"/>
  <c r="HS97" i="27"/>
  <c r="HS98" i="27"/>
  <c r="HS99" i="27"/>
  <c r="HS100" i="27"/>
  <c r="HS101" i="27"/>
  <c r="HS102" i="27"/>
  <c r="HS103" i="27"/>
  <c r="HS104" i="27"/>
  <c r="HS105" i="27"/>
  <c r="HS106" i="27"/>
  <c r="HS107" i="27"/>
  <c r="HS186" i="27"/>
  <c r="HS203" i="27"/>
  <c r="HS205" i="27"/>
  <c r="HS54" i="27"/>
  <c r="HS55" i="27"/>
  <c r="HS57" i="27"/>
  <c r="HS72" i="27"/>
  <c r="HS86" i="27"/>
  <c r="HS92" i="27"/>
  <c r="HS108" i="27"/>
  <c r="HS109" i="27"/>
  <c r="HS110" i="27"/>
  <c r="HS111" i="27"/>
  <c r="HS112" i="27"/>
  <c r="HS113" i="27"/>
  <c r="HS114" i="27"/>
  <c r="HS115" i="27"/>
  <c r="HS116" i="27"/>
  <c r="HS117" i="27"/>
  <c r="HS118" i="27"/>
  <c r="HS119" i="27"/>
  <c r="HS120" i="27"/>
  <c r="HS121" i="27"/>
  <c r="HS122" i="27"/>
  <c r="HS123" i="27"/>
  <c r="HS124" i="27"/>
  <c r="HS125" i="27"/>
  <c r="HS126" i="27"/>
  <c r="HS184" i="27"/>
  <c r="HS187" i="27"/>
  <c r="HS188" i="27"/>
  <c r="HS189" i="27"/>
  <c r="HS206" i="27"/>
  <c r="HS50" i="27"/>
  <c r="HS53" i="27"/>
  <c r="HS69" i="27"/>
  <c r="HS74" i="27"/>
  <c r="HS75" i="27"/>
  <c r="HS76" i="27"/>
  <c r="HS78" i="27"/>
  <c r="HS79" i="27"/>
  <c r="HS82" i="27"/>
  <c r="HS83" i="27"/>
  <c r="HS85" i="27"/>
  <c r="HS87" i="27"/>
  <c r="HS89" i="27"/>
  <c r="HS127" i="27"/>
  <c r="HS128" i="27"/>
  <c r="HS129" i="27"/>
  <c r="HS130" i="27"/>
  <c r="HS131" i="27"/>
  <c r="HS132" i="27"/>
  <c r="HS133" i="27"/>
  <c r="HS134" i="27"/>
  <c r="HS135" i="27"/>
  <c r="HS136" i="27"/>
  <c r="HS137" i="27"/>
  <c r="HS138" i="27"/>
  <c r="HS139" i="27"/>
  <c r="HS140" i="27"/>
  <c r="HS141" i="27"/>
  <c r="HS142" i="27"/>
  <c r="HS143" i="27"/>
  <c r="HS144" i="27"/>
  <c r="HS145" i="27"/>
  <c r="HS185" i="27"/>
  <c r="HS190" i="27"/>
  <c r="HS193" i="27"/>
  <c r="HS194" i="27"/>
  <c r="HS204" i="27"/>
  <c r="HS51" i="27"/>
  <c r="HS73" i="27"/>
  <c r="HS80" i="27"/>
  <c r="HS146" i="27"/>
  <c r="HS147" i="27"/>
  <c r="HS148" i="27"/>
  <c r="HS149" i="27"/>
  <c r="HS150" i="27"/>
  <c r="HS151" i="27"/>
  <c r="HS152" i="27"/>
  <c r="HS153" i="27"/>
  <c r="HS154" i="27"/>
  <c r="HS155" i="27"/>
  <c r="HS156" i="27"/>
  <c r="HS157" i="27"/>
  <c r="HS158" i="27"/>
  <c r="HS159" i="27"/>
  <c r="HS160" i="27"/>
  <c r="HS161" i="27"/>
  <c r="HS162" i="27"/>
  <c r="HS163" i="27"/>
  <c r="HS164" i="27"/>
  <c r="HS192" i="27"/>
  <c r="HS77" i="27"/>
  <c r="HS81" i="27"/>
  <c r="HS84" i="27"/>
  <c r="HS88" i="27"/>
  <c r="HS165" i="27"/>
  <c r="HS166" i="27"/>
  <c r="HS167" i="27"/>
  <c r="HS168" i="27"/>
  <c r="HS169" i="27"/>
  <c r="HS170" i="27"/>
  <c r="HS171" i="27"/>
  <c r="HS172" i="27"/>
  <c r="HS173" i="27"/>
  <c r="HS174" i="27"/>
  <c r="HS175" i="27"/>
  <c r="HS176" i="27"/>
  <c r="HS177" i="27"/>
  <c r="HS178" i="27"/>
  <c r="HS179" i="27"/>
  <c r="HS180" i="27"/>
  <c r="HS181" i="27"/>
  <c r="HS182" i="27"/>
  <c r="HS183" i="27"/>
  <c r="HS195" i="27"/>
  <c r="HS196" i="27"/>
  <c r="HS197" i="27"/>
  <c r="HS198" i="27"/>
  <c r="HS199" i="27"/>
  <c r="HS200" i="27"/>
  <c r="HS201" i="27"/>
  <c r="HS202" i="27"/>
  <c r="HS207" i="27"/>
  <c r="HS208" i="27"/>
  <c r="HS209" i="27"/>
  <c r="HS210" i="27"/>
  <c r="HS211" i="27"/>
  <c r="HS212" i="27"/>
  <c r="HS213" i="27"/>
  <c r="HS214" i="27"/>
  <c r="HS215" i="27"/>
  <c r="HS216" i="27"/>
  <c r="HS217" i="27"/>
  <c r="HS218" i="27"/>
  <c r="HS219" i="27"/>
  <c r="HS220" i="27"/>
  <c r="HS221" i="27"/>
  <c r="HS191" i="27"/>
  <c r="HR7" i="27"/>
  <c r="T267" i="85"/>
  <c r="O267" i="85"/>
  <c r="U267" i="85"/>
  <c r="R267" i="85"/>
  <c r="P267" i="85"/>
  <c r="S292" i="85"/>
  <c r="R292" i="85"/>
  <c r="Q292" i="85"/>
  <c r="P292" i="85"/>
  <c r="O292" i="85"/>
  <c r="U293" i="85"/>
  <c r="P293" i="85"/>
  <c r="T293" i="85"/>
  <c r="Q293" i="85"/>
  <c r="V293" i="85"/>
  <c r="S293" i="85"/>
  <c r="O293" i="85"/>
  <c r="R293" i="85"/>
  <c r="Q316" i="85"/>
  <c r="P316" i="85"/>
  <c r="O316" i="85"/>
  <c r="V317" i="85"/>
  <c r="U317" i="85"/>
  <c r="T317" i="85"/>
  <c r="S317" i="85"/>
  <c r="R317" i="85"/>
  <c r="Q317" i="85"/>
  <c r="P317" i="85"/>
  <c r="O317" i="85"/>
  <c r="V54" i="85"/>
  <c r="AX54" i="85" s="1"/>
  <c r="V292" i="85"/>
  <c r="V314" i="85"/>
  <c r="S268" i="85"/>
  <c r="O268" i="85"/>
  <c r="V268" i="85"/>
  <c r="R268" i="85"/>
  <c r="T268" i="85"/>
  <c r="Q268" i="85"/>
  <c r="U268" i="85"/>
  <c r="P268" i="85"/>
  <c r="T269" i="85"/>
  <c r="Q269" i="85"/>
  <c r="U269" i="85"/>
  <c r="P269" i="85"/>
  <c r="S269" i="85"/>
  <c r="V269" i="85"/>
  <c r="R269" i="85"/>
  <c r="O269" i="85"/>
  <c r="U270" i="85"/>
  <c r="Q270" i="85"/>
  <c r="V270" i="85"/>
  <c r="R270" i="85"/>
  <c r="S270" i="85"/>
  <c r="O270" i="85"/>
  <c r="T270" i="85"/>
  <c r="P270" i="85"/>
  <c r="T271" i="85"/>
  <c r="P271" i="85"/>
  <c r="U271" i="85"/>
  <c r="O271" i="85"/>
  <c r="S271" i="85"/>
  <c r="V271" i="85"/>
  <c r="R271" i="85"/>
  <c r="Q271" i="85"/>
  <c r="T272" i="85"/>
  <c r="O272" i="85"/>
  <c r="U272" i="85"/>
  <c r="P272" i="85"/>
  <c r="S272" i="85"/>
  <c r="Q272" i="85"/>
  <c r="R272" i="85"/>
  <c r="V272" i="85"/>
  <c r="S273" i="85"/>
  <c r="V273" i="85"/>
  <c r="Q273" i="85"/>
  <c r="R273" i="85"/>
  <c r="T273" i="85"/>
  <c r="P273" i="85"/>
  <c r="U273" i="85"/>
  <c r="O273" i="85"/>
  <c r="S274" i="85"/>
  <c r="P274" i="85"/>
  <c r="T274" i="85"/>
  <c r="Q274" i="85"/>
  <c r="U274" i="85"/>
  <c r="V274" i="85"/>
  <c r="R274" i="85"/>
  <c r="O274" i="85"/>
  <c r="S275" i="85"/>
  <c r="O275" i="85"/>
  <c r="R275" i="85"/>
  <c r="V275" i="85"/>
  <c r="Q275" i="85"/>
  <c r="U275" i="85"/>
  <c r="T275" i="85"/>
  <c r="P275" i="85"/>
  <c r="S276" i="85"/>
  <c r="V276" i="85"/>
  <c r="R276" i="85"/>
  <c r="O276" i="85"/>
  <c r="U276" i="85"/>
  <c r="Q276" i="85"/>
  <c r="T276" i="85"/>
  <c r="P276" i="85"/>
  <c r="S277" i="85"/>
  <c r="O277" i="85"/>
  <c r="V277" i="85"/>
  <c r="R277" i="85"/>
  <c r="T277" i="85"/>
  <c r="P277" i="85"/>
  <c r="U277" i="85"/>
  <c r="Q277" i="85"/>
  <c r="T278" i="85"/>
  <c r="O278" i="85"/>
  <c r="U278" i="85"/>
  <c r="P278" i="85"/>
  <c r="R278" i="85"/>
  <c r="S278" i="85"/>
  <c r="V278" i="85"/>
  <c r="Q278" i="85"/>
  <c r="S279" i="85"/>
  <c r="O279" i="85"/>
  <c r="V279" i="85"/>
  <c r="R279" i="85"/>
  <c r="U279" i="85"/>
  <c r="P279" i="85"/>
  <c r="T279" i="85"/>
  <c r="Q279" i="85"/>
  <c r="Q280" i="85"/>
  <c r="T280" i="85"/>
  <c r="U280" i="85"/>
  <c r="P280" i="85"/>
  <c r="V280" i="85"/>
  <c r="R280" i="85"/>
  <c r="S280" i="85"/>
  <c r="O280" i="85"/>
  <c r="W281" i="85"/>
  <c r="S281" i="85"/>
  <c r="U281" i="85"/>
  <c r="Q281" i="85"/>
  <c r="T281" i="85"/>
  <c r="P281" i="85"/>
  <c r="O281" i="85"/>
  <c r="V281" i="85"/>
  <c r="R281" i="85"/>
  <c r="T282" i="85"/>
  <c r="U282" i="85"/>
  <c r="Q282" i="85"/>
  <c r="V282" i="85"/>
  <c r="P282" i="85"/>
  <c r="R282" i="85"/>
  <c r="S282" i="85"/>
  <c r="O282" i="85"/>
  <c r="Q283" i="85"/>
  <c r="S283" i="85"/>
  <c r="T283" i="85"/>
  <c r="V283" i="85"/>
  <c r="P283" i="85"/>
  <c r="O283" i="85"/>
  <c r="U283" i="85"/>
  <c r="R283" i="85"/>
  <c r="P284" i="85"/>
  <c r="V284" i="85"/>
  <c r="Q284" i="85"/>
  <c r="R284" i="85"/>
  <c r="U284" i="85"/>
  <c r="T284" i="85"/>
  <c r="S284" i="85"/>
  <c r="O284" i="85"/>
  <c r="O285" i="85"/>
  <c r="U285" i="85"/>
  <c r="P285" i="85"/>
  <c r="V285" i="85"/>
  <c r="T285" i="85"/>
  <c r="Q285" i="85"/>
  <c r="S285" i="85"/>
  <c r="R285" i="85"/>
  <c r="R286" i="85"/>
  <c r="O286" i="85"/>
  <c r="U286" i="85"/>
  <c r="V286" i="85"/>
  <c r="Q286" i="85"/>
  <c r="S286" i="85"/>
  <c r="T286" i="85"/>
  <c r="P286" i="85"/>
  <c r="T287" i="85"/>
  <c r="S287" i="85"/>
  <c r="O287" i="85"/>
  <c r="U287" i="85"/>
  <c r="P287" i="85"/>
  <c r="V287" i="85"/>
  <c r="R287" i="85"/>
  <c r="Q287" i="85"/>
  <c r="T294" i="85"/>
  <c r="O294" i="85"/>
  <c r="S294" i="85"/>
  <c r="P294" i="85"/>
  <c r="Q294" i="85"/>
  <c r="V294" i="85"/>
  <c r="R294" i="85"/>
  <c r="U294" i="85"/>
  <c r="V295" i="85"/>
  <c r="P295" i="85"/>
  <c r="R295" i="85"/>
  <c r="O295" i="85"/>
  <c r="S295" i="85"/>
  <c r="T295" i="85"/>
  <c r="Q295" i="85"/>
  <c r="U295" i="85"/>
  <c r="U296" i="85"/>
  <c r="W296" i="85"/>
  <c r="T296" i="85"/>
  <c r="R296" i="85"/>
  <c r="S296" i="85"/>
  <c r="P296" i="85"/>
  <c r="O296" i="85"/>
  <c r="V296" i="85"/>
  <c r="Q296" i="85"/>
  <c r="T297" i="85"/>
  <c r="P297" i="85"/>
  <c r="O297" i="85"/>
  <c r="U297" i="85"/>
  <c r="W297" i="85"/>
  <c r="R297" i="85"/>
  <c r="S297" i="85"/>
  <c r="V297" i="85"/>
  <c r="Q297" i="85"/>
  <c r="S298" i="85"/>
  <c r="U298" i="85"/>
  <c r="P298" i="85"/>
  <c r="V298" i="85"/>
  <c r="T298" i="85"/>
  <c r="Q298" i="85"/>
  <c r="R298" i="85"/>
  <c r="O298" i="85"/>
  <c r="V299" i="85"/>
  <c r="Q299" i="85"/>
  <c r="S299" i="85"/>
  <c r="T299" i="85"/>
  <c r="U299" i="85"/>
  <c r="P299" i="85"/>
  <c r="W299" i="85"/>
  <c r="O299" i="85"/>
  <c r="R299" i="85"/>
  <c r="W300" i="85"/>
  <c r="T300" i="85"/>
  <c r="V300" i="85"/>
  <c r="Q300" i="85"/>
  <c r="U300" i="85"/>
  <c r="O300" i="85"/>
  <c r="S300" i="85"/>
  <c r="R300" i="85"/>
  <c r="P300" i="85"/>
  <c r="W301" i="85"/>
  <c r="U301" i="85"/>
  <c r="O301" i="85"/>
  <c r="T301" i="85"/>
  <c r="P301" i="85"/>
  <c r="Q301" i="85"/>
  <c r="S301" i="85"/>
  <c r="V301" i="85"/>
  <c r="R301" i="85"/>
  <c r="V302" i="85"/>
  <c r="Q302" i="85"/>
  <c r="S302" i="85"/>
  <c r="O302" i="85"/>
  <c r="U302" i="85"/>
  <c r="T302" i="85"/>
  <c r="R302" i="85"/>
  <c r="P302" i="85"/>
  <c r="O303" i="85"/>
  <c r="U303" i="85"/>
  <c r="P303" i="85"/>
  <c r="Q303" i="85"/>
  <c r="S303" i="85"/>
  <c r="V303" i="85"/>
  <c r="R303" i="85"/>
  <c r="T303" i="85"/>
  <c r="T304" i="85"/>
  <c r="S304" i="85"/>
  <c r="O304" i="85"/>
  <c r="V304" i="85"/>
  <c r="P304" i="85"/>
  <c r="R304" i="85"/>
  <c r="U304" i="85"/>
  <c r="Q304" i="85"/>
  <c r="V305" i="85"/>
  <c r="R305" i="85"/>
  <c r="O305" i="85"/>
  <c r="S305" i="85"/>
  <c r="T305" i="85"/>
  <c r="Q305" i="85"/>
  <c r="P305" i="85"/>
  <c r="U305" i="85"/>
  <c r="T306" i="85"/>
  <c r="P306" i="85"/>
  <c r="Q306" i="85"/>
  <c r="S306" i="85"/>
  <c r="U306" i="85"/>
  <c r="R306" i="85"/>
  <c r="V306" i="85"/>
  <c r="O306" i="85"/>
  <c r="O307" i="85"/>
  <c r="U307" i="85"/>
  <c r="V307" i="85"/>
  <c r="R307" i="85"/>
  <c r="S307" i="85"/>
  <c r="Q307" i="85"/>
  <c r="T307" i="85"/>
  <c r="P307" i="85"/>
  <c r="U308" i="85"/>
  <c r="O308" i="85"/>
  <c r="S308" i="85"/>
  <c r="V308" i="85"/>
  <c r="P308" i="85"/>
  <c r="R308" i="85"/>
  <c r="T308" i="85"/>
  <c r="Q308" i="85"/>
  <c r="AD1" i="189"/>
  <c r="W51" i="85"/>
  <c r="HT12" i="27" l="1"/>
  <c r="HT13" i="27"/>
  <c r="HT31" i="27"/>
  <c r="HT32" i="27"/>
  <c r="HT33" i="27"/>
  <c r="HT34" i="27"/>
  <c r="HT35" i="27"/>
  <c r="HT36" i="27"/>
  <c r="HT37" i="27"/>
  <c r="HT38" i="27"/>
  <c r="HT39" i="27"/>
  <c r="HT40" i="27"/>
  <c r="HT41" i="27"/>
  <c r="HT42" i="27"/>
  <c r="HT43" i="27"/>
  <c r="HT44" i="27"/>
  <c r="HT45" i="27"/>
  <c r="HT46" i="27"/>
  <c r="HT47" i="27"/>
  <c r="HT48" i="27"/>
  <c r="HT49" i="27"/>
  <c r="HT184" i="27"/>
  <c r="HT191" i="27"/>
  <c r="HT194" i="27"/>
  <c r="HT58" i="27"/>
  <c r="HT59" i="27"/>
  <c r="HT60" i="27"/>
  <c r="HT61" i="27"/>
  <c r="HT62" i="27"/>
  <c r="HT63" i="27"/>
  <c r="HT64" i="27"/>
  <c r="HT65" i="27"/>
  <c r="HT66" i="27"/>
  <c r="HT67" i="27"/>
  <c r="HT68" i="27"/>
  <c r="HT192" i="27"/>
  <c r="HT204" i="27"/>
  <c r="HT206" i="27"/>
  <c r="HT50" i="27"/>
  <c r="HT69" i="27"/>
  <c r="HT78" i="27"/>
  <c r="HT81" i="27"/>
  <c r="HT82" i="27"/>
  <c r="HT89" i="27"/>
  <c r="HT92" i="27"/>
  <c r="HT93" i="27"/>
  <c r="HT94" i="27"/>
  <c r="HT95" i="27"/>
  <c r="HT96" i="27"/>
  <c r="HT97" i="27"/>
  <c r="HT98" i="27"/>
  <c r="HT99" i="27"/>
  <c r="HT100" i="27"/>
  <c r="HT101" i="27"/>
  <c r="HT102" i="27"/>
  <c r="HT103" i="27"/>
  <c r="HT104" i="27"/>
  <c r="HT105" i="27"/>
  <c r="HT106" i="27"/>
  <c r="HT76" i="27"/>
  <c r="HT84" i="27"/>
  <c r="HT107" i="27"/>
  <c r="HT108" i="27"/>
  <c r="HT109" i="27"/>
  <c r="HT110" i="27"/>
  <c r="HT111" i="27"/>
  <c r="HT112" i="27"/>
  <c r="HT113" i="27"/>
  <c r="HT114" i="27"/>
  <c r="HT115" i="27"/>
  <c r="HT116" i="27"/>
  <c r="HT117" i="27"/>
  <c r="HT118" i="27"/>
  <c r="HT119" i="27"/>
  <c r="HT120" i="27"/>
  <c r="HT121" i="27"/>
  <c r="HT122" i="27"/>
  <c r="HT123" i="27"/>
  <c r="HT124" i="27"/>
  <c r="HT125" i="27"/>
  <c r="HT51" i="27"/>
  <c r="HT73" i="27"/>
  <c r="HT77" i="27"/>
  <c r="HT88" i="27"/>
  <c r="HT90" i="27"/>
  <c r="HT91" i="27"/>
  <c r="HT126" i="27"/>
  <c r="HT127" i="27"/>
  <c r="HT128" i="27"/>
  <c r="HT129" i="27"/>
  <c r="HT130" i="27"/>
  <c r="HT131" i="27"/>
  <c r="HT132" i="27"/>
  <c r="HT133" i="27"/>
  <c r="HT134" i="27"/>
  <c r="HT135" i="27"/>
  <c r="HT136" i="27"/>
  <c r="HT137" i="27"/>
  <c r="HT138" i="27"/>
  <c r="HT139" i="27"/>
  <c r="HT140" i="27"/>
  <c r="HT141" i="27"/>
  <c r="HT142" i="27"/>
  <c r="HT143" i="27"/>
  <c r="HT144" i="27"/>
  <c r="HT186" i="27"/>
  <c r="HT188" i="27"/>
  <c r="HT52" i="27"/>
  <c r="HT54" i="27"/>
  <c r="HT56" i="27"/>
  <c r="HT70" i="27"/>
  <c r="HT72" i="27"/>
  <c r="HT75" i="27"/>
  <c r="HT79" i="27"/>
  <c r="HT87" i="27"/>
  <c r="HT147" i="27"/>
  <c r="HT148" i="27"/>
  <c r="HT149" i="27"/>
  <c r="HT150" i="27"/>
  <c r="HT151" i="27"/>
  <c r="HT152" i="27"/>
  <c r="HT153" i="27"/>
  <c r="HT154" i="27"/>
  <c r="HT155" i="27"/>
  <c r="HT156" i="27"/>
  <c r="HT157" i="27"/>
  <c r="HT158" i="27"/>
  <c r="HT159" i="27"/>
  <c r="HT160" i="27"/>
  <c r="HT161" i="27"/>
  <c r="HT162" i="27"/>
  <c r="HT163" i="27"/>
  <c r="HT164" i="27"/>
  <c r="HT185" i="27"/>
  <c r="HT203" i="27"/>
  <c r="HT205" i="27"/>
  <c r="HT53" i="27"/>
  <c r="HT55" i="27"/>
  <c r="HT57" i="27"/>
  <c r="HT71" i="27"/>
  <c r="HT74" i="27"/>
  <c r="HT80" i="27"/>
  <c r="HT83" i="27"/>
  <c r="HT85" i="27"/>
  <c r="HT86" i="27"/>
  <c r="HT145" i="27"/>
  <c r="HT146" i="27"/>
  <c r="HT165" i="27"/>
  <c r="HT166" i="27"/>
  <c r="HT167" i="27"/>
  <c r="HT168" i="27"/>
  <c r="HT169" i="27"/>
  <c r="HT170" i="27"/>
  <c r="HT171" i="27"/>
  <c r="HT172" i="27"/>
  <c r="HT173" i="27"/>
  <c r="HT174" i="27"/>
  <c r="HT175" i="27"/>
  <c r="HT176" i="27"/>
  <c r="HT177" i="27"/>
  <c r="HT178" i="27"/>
  <c r="HT179" i="27"/>
  <c r="HT180" i="27"/>
  <c r="HT181" i="27"/>
  <c r="HT182" i="27"/>
  <c r="HT183" i="27"/>
  <c r="HT190" i="27"/>
  <c r="HT195" i="27"/>
  <c r="HT196" i="27"/>
  <c r="HT197" i="27"/>
  <c r="HT198" i="27"/>
  <c r="HT199" i="27"/>
  <c r="HT200" i="27"/>
  <c r="HT201" i="27"/>
  <c r="HT202" i="27"/>
  <c r="HT193" i="27"/>
  <c r="HT207" i="27"/>
  <c r="HT208" i="27"/>
  <c r="HT209" i="27"/>
  <c r="HT210" i="27"/>
  <c r="HT211" i="27"/>
  <c r="HT212" i="27"/>
  <c r="HT213" i="27"/>
  <c r="HT214" i="27"/>
  <c r="HT215" i="27"/>
  <c r="HT216" i="27"/>
  <c r="HT217" i="27"/>
  <c r="HT218" i="27"/>
  <c r="HT219" i="27"/>
  <c r="HT220" i="27"/>
  <c r="HT221" i="27"/>
  <c r="HT189" i="27"/>
  <c r="HT14" i="27"/>
  <c r="HT15" i="27"/>
  <c r="HT16" i="27"/>
  <c r="HT17" i="27"/>
  <c r="HT18" i="27"/>
  <c r="HT19" i="27"/>
  <c r="HT20" i="27"/>
  <c r="HT21" i="27"/>
  <c r="HT22" i="27"/>
  <c r="HT23" i="27"/>
  <c r="HT24" i="27"/>
  <c r="HT25" i="27"/>
  <c r="HT26" i="27"/>
  <c r="HT27" i="27"/>
  <c r="HT28" i="27"/>
  <c r="HT29" i="27"/>
  <c r="HT30" i="27"/>
  <c r="HT187" i="27"/>
  <c r="HS7" i="27"/>
  <c r="W278" i="85"/>
  <c r="W277" i="85"/>
  <c r="W276" i="85"/>
  <c r="W306" i="85"/>
  <c r="W285" i="85"/>
  <c r="W283" i="85"/>
  <c r="W282" i="85"/>
  <c r="W280" i="85"/>
  <c r="W279" i="85"/>
  <c r="W54" i="85"/>
  <c r="AY54" i="85" s="1"/>
  <c r="W268" i="85"/>
  <c r="W269" i="85"/>
  <c r="W270" i="85"/>
  <c r="W274" i="85"/>
  <c r="W275" i="85"/>
  <c r="W271" i="85"/>
  <c r="W272" i="85"/>
  <c r="W273" i="85"/>
  <c r="W284" i="85"/>
  <c r="W286" i="85"/>
  <c r="W287" i="85"/>
  <c r="W294" i="85"/>
  <c r="W295" i="85"/>
  <c r="W298" i="85"/>
  <c r="W302" i="85"/>
  <c r="W303" i="85"/>
  <c r="W304" i="85"/>
  <c r="W305" i="85"/>
  <c r="W307" i="85"/>
  <c r="W308" i="85"/>
  <c r="W288" i="85"/>
  <c r="W291" i="85"/>
  <c r="W292" i="85"/>
  <c r="W293" i="85"/>
  <c r="W311" i="85"/>
  <c r="W312" i="85"/>
  <c r="W313" i="85"/>
  <c r="W314" i="85"/>
  <c r="W315" i="85"/>
  <c r="W316" i="85"/>
  <c r="W317" i="85"/>
  <c r="W289" i="85"/>
  <c r="W290" i="85"/>
  <c r="W309" i="85"/>
  <c r="W267" i="85"/>
  <c r="W310" i="85"/>
  <c r="AE1" i="189"/>
  <c r="X51" i="85"/>
  <c r="AH33" i="213"/>
  <c r="AH28" i="213"/>
  <c r="AH34" i="213"/>
  <c r="AH29" i="213"/>
  <c r="AH24" i="213"/>
  <c r="AH19" i="213"/>
  <c r="AH14" i="213"/>
  <c r="AH35" i="213"/>
  <c r="AH30" i="213"/>
  <c r="AH25" i="213"/>
  <c r="AH20" i="213"/>
  <c r="AH15" i="213"/>
  <c r="AH31" i="213"/>
  <c r="AH21" i="213"/>
  <c r="AH16" i="213"/>
  <c r="AH26" i="213"/>
  <c r="AH32" i="213"/>
  <c r="AH27" i="213"/>
  <c r="AH22" i="213"/>
  <c r="AH17" i="213"/>
  <c r="AH23" i="213"/>
  <c r="AH18" i="213"/>
  <c r="AH13" i="213"/>
  <c r="AH7" i="213"/>
  <c r="AH11" i="213"/>
  <c r="AH10" i="213"/>
  <c r="AH6" i="213"/>
  <c r="AH5" i="213"/>
  <c r="AH12" i="213"/>
  <c r="AH4" i="213"/>
  <c r="AH9" i="213"/>
  <c r="AH8" i="213"/>
  <c r="HT7" i="27" l="1"/>
  <c r="X54" i="85"/>
  <c r="AZ54" i="85" s="1"/>
  <c r="X267" i="85"/>
  <c r="X290" i="85"/>
  <c r="X292" i="85"/>
  <c r="X293" i="85"/>
  <c r="X311" i="85"/>
  <c r="X312" i="85"/>
  <c r="X313" i="85"/>
  <c r="X314" i="85"/>
  <c r="X315" i="85"/>
  <c r="X316" i="85"/>
  <c r="X317" i="85"/>
  <c r="X288" i="85"/>
  <c r="X289" i="85"/>
  <c r="X310" i="85"/>
  <c r="X291" i="85"/>
  <c r="X309" i="85"/>
  <c r="X268" i="85"/>
  <c r="X269" i="85"/>
  <c r="X270" i="85"/>
  <c r="X274" i="85"/>
  <c r="X276" i="85"/>
  <c r="X280" i="85"/>
  <c r="X271" i="85"/>
  <c r="X272" i="85"/>
  <c r="X273" i="85"/>
  <c r="X275" i="85"/>
  <c r="X283" i="85"/>
  <c r="X284" i="85"/>
  <c r="X285" i="85"/>
  <c r="X297" i="85"/>
  <c r="X282" i="85"/>
  <c r="X286" i="85"/>
  <c r="X287" i="85"/>
  <c r="X294" i="85"/>
  <c r="X295" i="85"/>
  <c r="X296" i="85"/>
  <c r="X298" i="85"/>
  <c r="X299" i="85"/>
  <c r="X300" i="85"/>
  <c r="X301" i="85"/>
  <c r="X302" i="85"/>
  <c r="X303" i="85"/>
  <c r="X304" i="85"/>
  <c r="X305" i="85"/>
  <c r="X306" i="85"/>
  <c r="X307" i="85"/>
  <c r="X281" i="85"/>
  <c r="X308" i="85"/>
  <c r="X277" i="85"/>
  <c r="X278" i="85"/>
  <c r="X279" i="85"/>
  <c r="AF1" i="189"/>
  <c r="Y51" i="85"/>
  <c r="Y54" i="85" l="1"/>
  <c r="BA54" i="85" s="1"/>
  <c r="Y267" i="85"/>
  <c r="Y292" i="85"/>
  <c r="Y293" i="85"/>
  <c r="Y311" i="85"/>
  <c r="Y312" i="85"/>
  <c r="Y313" i="85"/>
  <c r="Y314" i="85"/>
  <c r="Y310" i="85"/>
  <c r="Y315" i="85"/>
  <c r="Y316" i="85"/>
  <c r="Y317" i="85"/>
  <c r="Y288" i="85"/>
  <c r="Y309" i="85"/>
  <c r="Y289" i="85"/>
  <c r="Y291" i="85"/>
  <c r="Y290" i="85"/>
  <c r="Y268" i="85"/>
  <c r="Y269" i="85"/>
  <c r="Y270" i="85"/>
  <c r="Y271" i="85"/>
  <c r="Y272" i="85"/>
  <c r="Y273" i="85"/>
  <c r="Y274" i="85"/>
  <c r="Y275" i="85"/>
  <c r="Y283" i="85"/>
  <c r="Y284" i="85"/>
  <c r="Y285" i="85"/>
  <c r="Y286" i="85"/>
  <c r="Y287" i="85"/>
  <c r="Y294" i="85"/>
  <c r="Y295" i="85"/>
  <c r="Y296" i="85"/>
  <c r="Y297" i="85"/>
  <c r="Y282" i="85"/>
  <c r="Y298" i="85"/>
  <c r="Y299" i="85"/>
  <c r="Y300" i="85"/>
  <c r="Y301" i="85"/>
  <c r="Y302" i="85"/>
  <c r="Y303" i="85"/>
  <c r="Y304" i="85"/>
  <c r="Y278" i="85"/>
  <c r="Y281" i="85"/>
  <c r="Y305" i="85"/>
  <c r="Y306" i="85"/>
  <c r="Y307" i="85"/>
  <c r="Y279" i="85"/>
  <c r="Y280" i="85"/>
  <c r="Y308" i="85"/>
  <c r="Y276" i="85"/>
  <c r="Y277" i="85"/>
  <c r="Z51" i="85"/>
  <c r="AG1" i="189"/>
  <c r="L85" i="188"/>
  <c r="L86" i="188"/>
  <c r="L94" i="188"/>
  <c r="L92" i="188"/>
  <c r="L91" i="188"/>
  <c r="L90" i="188"/>
  <c r="L88" i="188"/>
  <c r="L87" i="188"/>
  <c r="N84" i="188"/>
  <c r="Z54" i="85" l="1"/>
  <c r="BB54" i="85" s="1"/>
  <c r="Z288" i="85"/>
  <c r="Z289" i="85"/>
  <c r="Z292" i="85"/>
  <c r="Z293" i="85"/>
  <c r="Z311" i="85"/>
  <c r="Z312" i="85"/>
  <c r="Z313" i="85"/>
  <c r="Z314" i="85"/>
  <c r="Z309" i="85"/>
  <c r="Z315" i="85"/>
  <c r="Z316" i="85"/>
  <c r="Z317" i="85"/>
  <c r="Z310" i="85"/>
  <c r="Z267" i="85"/>
  <c r="Z290" i="85"/>
  <c r="Z291" i="85"/>
  <c r="Z268" i="85"/>
  <c r="Z269" i="85"/>
  <c r="Z270" i="85"/>
  <c r="Z274" i="85"/>
  <c r="Z277" i="85"/>
  <c r="Z278" i="85"/>
  <c r="Z279" i="85"/>
  <c r="Z280" i="85"/>
  <c r="Z282" i="85"/>
  <c r="Z271" i="85"/>
  <c r="Z272" i="85"/>
  <c r="Z273" i="85"/>
  <c r="Z275" i="85"/>
  <c r="Z281" i="85"/>
  <c r="Z283" i="85"/>
  <c r="Z284" i="85"/>
  <c r="Z285" i="85"/>
  <c r="Z297" i="85"/>
  <c r="Z286" i="85"/>
  <c r="Z287" i="85"/>
  <c r="Z294" i="85"/>
  <c r="Z295" i="85"/>
  <c r="Z296" i="85"/>
  <c r="Z298" i="85"/>
  <c r="Z299" i="85"/>
  <c r="Z300" i="85"/>
  <c r="Z301" i="85"/>
  <c r="Z302" i="85"/>
  <c r="Z303" i="85"/>
  <c r="Z304" i="85"/>
  <c r="Z305" i="85"/>
  <c r="Z306" i="85"/>
  <c r="Z307" i="85"/>
  <c r="Z308" i="85"/>
  <c r="Z276" i="85"/>
  <c r="AA51" i="85"/>
  <c r="AH1" i="189"/>
  <c r="C38" i="153"/>
  <c r="C43" i="153" s="1"/>
  <c r="R9" i="110"/>
  <c r="S9" i="110" s="1"/>
  <c r="R10" i="110"/>
  <c r="S10" i="110" s="1"/>
  <c r="R11" i="110"/>
  <c r="S11" i="110" s="1"/>
  <c r="P11" i="110"/>
  <c r="P10" i="110"/>
  <c r="P9" i="110"/>
  <c r="Q11" i="110"/>
  <c r="K97" i="188"/>
  <c r="J97" i="188"/>
  <c r="I97" i="188"/>
  <c r="I103" i="188" s="1"/>
  <c r="AA54" i="85" l="1"/>
  <c r="BC54" i="85" s="1"/>
  <c r="AA267" i="85"/>
  <c r="AA292" i="85"/>
  <c r="AA293" i="85"/>
  <c r="AA310" i="85"/>
  <c r="AA311" i="85"/>
  <c r="AA312" i="85"/>
  <c r="AA313" i="85"/>
  <c r="AA314" i="85"/>
  <c r="AA315" i="85"/>
  <c r="AA316" i="85"/>
  <c r="AA317" i="85"/>
  <c r="AA289" i="85"/>
  <c r="AA290" i="85"/>
  <c r="AA291" i="85"/>
  <c r="AA309" i="85"/>
  <c r="AA288" i="85"/>
  <c r="AA268" i="85"/>
  <c r="AA269" i="85"/>
  <c r="AA270" i="85"/>
  <c r="AA275" i="85"/>
  <c r="AA276" i="85"/>
  <c r="AA271" i="85"/>
  <c r="AA272" i="85"/>
  <c r="AA273" i="85"/>
  <c r="AA274" i="85"/>
  <c r="AA279" i="85"/>
  <c r="AA283" i="85"/>
  <c r="AA284" i="85"/>
  <c r="AA285" i="85"/>
  <c r="AA297" i="85"/>
  <c r="AA286" i="85"/>
  <c r="AA287" i="85"/>
  <c r="AA294" i="85"/>
  <c r="AA295" i="85"/>
  <c r="AA296" i="85"/>
  <c r="AA298" i="85"/>
  <c r="AA299" i="85"/>
  <c r="AA300" i="85"/>
  <c r="AA301" i="85"/>
  <c r="AA302" i="85"/>
  <c r="AA303" i="85"/>
  <c r="AA304" i="85"/>
  <c r="AA305" i="85"/>
  <c r="AA277" i="85"/>
  <c r="AA278" i="85"/>
  <c r="AA280" i="85"/>
  <c r="AA306" i="85"/>
  <c r="AA307" i="85"/>
  <c r="AA281" i="85"/>
  <c r="AA282" i="85"/>
  <c r="AA308" i="85"/>
  <c r="AB51" i="85"/>
  <c r="AI1" i="189"/>
  <c r="N97" i="188"/>
  <c r="C41" i="153"/>
  <c r="X10" i="110"/>
  <c r="X11" i="110"/>
  <c r="BC12" i="188"/>
  <c r="BD12" i="188"/>
  <c r="BE12" i="188"/>
  <c r="BF12" i="188"/>
  <c r="BG12" i="188"/>
  <c r="BH12" i="188"/>
  <c r="BI12" i="188"/>
  <c r="BJ12" i="188"/>
  <c r="BK12" i="188"/>
  <c r="BB12" i="188"/>
  <c r="M27" i="202"/>
  <c r="Q17" i="151"/>
  <c r="E17" i="151"/>
  <c r="F16" i="151"/>
  <c r="F17" i="151" s="1"/>
  <c r="N92" i="211"/>
  <c r="M92" i="211"/>
  <c r="I92" i="211"/>
  <c r="H92" i="211"/>
  <c r="G92" i="211"/>
  <c r="F92" i="211"/>
  <c r="N91" i="211"/>
  <c r="M91" i="211"/>
  <c r="H91" i="211"/>
  <c r="G91" i="211"/>
  <c r="I91" i="211" s="1"/>
  <c r="F91" i="211"/>
  <c r="AM90" i="211"/>
  <c r="AM91" i="211" s="1"/>
  <c r="AM92" i="211" s="1"/>
  <c r="AM93" i="211" s="1"/>
  <c r="AM94" i="211" s="1"/>
  <c r="AM95" i="211" s="1"/>
  <c r="H90" i="211"/>
  <c r="G90" i="211"/>
  <c r="I90" i="211" s="1"/>
  <c r="F90" i="211"/>
  <c r="AQ89" i="211"/>
  <c r="AQ90" i="211" s="1"/>
  <c r="AQ91" i="211" s="1"/>
  <c r="AQ92" i="211" s="1"/>
  <c r="AQ93" i="211" s="1"/>
  <c r="AQ94" i="211" s="1"/>
  <c r="AQ95" i="211" s="1"/>
  <c r="AP89" i="211"/>
  <c r="AP90" i="211" s="1"/>
  <c r="AP91" i="211" s="1"/>
  <c r="AP92" i="211" s="1"/>
  <c r="AP93" i="211" s="1"/>
  <c r="AP94" i="211" s="1"/>
  <c r="AP95" i="211" s="1"/>
  <c r="AO89" i="211"/>
  <c r="AO90" i="211" s="1"/>
  <c r="AO91" i="211" s="1"/>
  <c r="AO92" i="211" s="1"/>
  <c r="AO93" i="211" s="1"/>
  <c r="AO94" i="211" s="1"/>
  <c r="AO95" i="211" s="1"/>
  <c r="AN89" i="211"/>
  <c r="AN90" i="211" s="1"/>
  <c r="AN91" i="211" s="1"/>
  <c r="AN92" i="211" s="1"/>
  <c r="AN93" i="211" s="1"/>
  <c r="AN94" i="211" s="1"/>
  <c r="AN95" i="211" s="1"/>
  <c r="AM89" i="211"/>
  <c r="AL89" i="211"/>
  <c r="AK90" i="211" s="1"/>
  <c r="AK89" i="211"/>
  <c r="I89" i="211"/>
  <c r="H89" i="211"/>
  <c r="G89" i="211"/>
  <c r="F89" i="211"/>
  <c r="H88" i="211"/>
  <c r="G88" i="211"/>
  <c r="I88" i="211" s="1"/>
  <c r="F88" i="211"/>
  <c r="AO87" i="211"/>
  <c r="AM87" i="211"/>
  <c r="N87" i="211"/>
  <c r="M87" i="211"/>
  <c r="H87" i="211"/>
  <c r="I87" i="211" s="1"/>
  <c r="G87" i="211"/>
  <c r="F87" i="211"/>
  <c r="AO86" i="211"/>
  <c r="AP86" i="211" s="1"/>
  <c r="AN86" i="211"/>
  <c r="AN87" i="211" s="1"/>
  <c r="I86" i="211"/>
  <c r="H86" i="211"/>
  <c r="H93" i="211" s="1"/>
  <c r="G86" i="211"/>
  <c r="G93" i="211" s="1"/>
  <c r="F86" i="211"/>
  <c r="Y83" i="211"/>
  <c r="S83" i="211"/>
  <c r="AI82" i="211"/>
  <c r="AG82" i="211"/>
  <c r="AF81" i="211"/>
  <c r="AE81" i="211"/>
  <c r="AD81" i="211"/>
  <c r="AC81" i="211"/>
  <c r="AB81" i="211"/>
  <c r="AB83" i="211" s="1"/>
  <c r="AA81" i="211"/>
  <c r="Z81" i="211"/>
  <c r="Z83" i="211" s="1"/>
  <c r="Y81" i="211"/>
  <c r="X81" i="211"/>
  <c r="X83" i="211" s="1"/>
  <c r="W81" i="211"/>
  <c r="V81" i="211"/>
  <c r="V83" i="211" s="1"/>
  <c r="U81" i="211"/>
  <c r="U83" i="211" s="1"/>
  <c r="T81" i="211"/>
  <c r="T83" i="211" s="1"/>
  <c r="S81" i="211"/>
  <c r="AG81" i="211" s="1"/>
  <c r="R81" i="211"/>
  <c r="R83" i="211" s="1"/>
  <c r="H80" i="211"/>
  <c r="AV77" i="211"/>
  <c r="AU77" i="211"/>
  <c r="AT77" i="211"/>
  <c r="AS77" i="211"/>
  <c r="AR77" i="211"/>
  <c r="AQ77" i="211"/>
  <c r="AP77" i="211"/>
  <c r="AO77" i="211"/>
  <c r="AN77" i="211"/>
  <c r="AM77" i="211"/>
  <c r="AL77" i="211"/>
  <c r="AK77" i="211"/>
  <c r="AF77" i="211"/>
  <c r="AE77" i="211"/>
  <c r="AD77" i="211"/>
  <c r="AC77" i="211"/>
  <c r="AB77" i="211"/>
  <c r="AA77" i="211"/>
  <c r="Z77" i="211"/>
  <c r="Y77" i="211"/>
  <c r="X77" i="211"/>
  <c r="W77" i="211"/>
  <c r="V77" i="211"/>
  <c r="U77" i="211"/>
  <c r="T77" i="211"/>
  <c r="S77" i="211"/>
  <c r="R77" i="211"/>
  <c r="O77" i="211"/>
  <c r="N77" i="211"/>
  <c r="J77" i="211"/>
  <c r="I77" i="211"/>
  <c r="I80" i="211" s="1"/>
  <c r="H77" i="211"/>
  <c r="E77" i="211"/>
  <c r="E80" i="211" s="1"/>
  <c r="D77" i="211"/>
  <c r="F80" i="211" s="1"/>
  <c r="AJ73" i="211"/>
  <c r="AH73" i="211"/>
  <c r="Q73" i="211"/>
  <c r="K73" i="211"/>
  <c r="L73" i="211" s="1"/>
  <c r="G73" i="211"/>
  <c r="AJ72" i="211"/>
  <c r="Q72" i="211"/>
  <c r="L72" i="211"/>
  <c r="K72" i="211"/>
  <c r="G72" i="211"/>
  <c r="AJ71" i="211"/>
  <c r="AH71" i="211"/>
  <c r="Q71" i="211"/>
  <c r="K71" i="211"/>
  <c r="L71" i="211" s="1"/>
  <c r="G71" i="211"/>
  <c r="AJ70" i="211"/>
  <c r="AH70" i="211"/>
  <c r="Q70" i="211"/>
  <c r="K70" i="211"/>
  <c r="L70" i="211" s="1"/>
  <c r="G70" i="211"/>
  <c r="AJ69" i="211"/>
  <c r="Q69" i="211"/>
  <c r="L69" i="211"/>
  <c r="K69" i="211"/>
  <c r="G69" i="211"/>
  <c r="AJ68" i="211"/>
  <c r="AH68" i="211"/>
  <c r="Q68" i="211"/>
  <c r="K68" i="211"/>
  <c r="L68" i="211" s="1"/>
  <c r="G68" i="211"/>
  <c r="AJ67" i="211"/>
  <c r="AH67" i="211"/>
  <c r="Q67" i="211"/>
  <c r="K67" i="211"/>
  <c r="L67" i="211" s="1"/>
  <c r="G67" i="211"/>
  <c r="AJ66" i="211"/>
  <c r="Q66" i="211"/>
  <c r="L66" i="211"/>
  <c r="K66" i="211"/>
  <c r="G66" i="211"/>
  <c r="AJ65" i="211"/>
  <c r="AH65" i="211"/>
  <c r="Q65" i="211"/>
  <c r="K65" i="211"/>
  <c r="L65" i="211" s="1"/>
  <c r="G65" i="211"/>
  <c r="AJ64" i="211"/>
  <c r="AH64" i="211"/>
  <c r="Q64" i="211"/>
  <c r="K64" i="211"/>
  <c r="L64" i="211" s="1"/>
  <c r="G64" i="211"/>
  <c r="AJ63" i="211"/>
  <c r="Q63" i="211"/>
  <c r="L63" i="211"/>
  <c r="K63" i="211"/>
  <c r="G63" i="211"/>
  <c r="AJ62" i="211"/>
  <c r="AH62" i="211"/>
  <c r="Q62" i="211"/>
  <c r="K62" i="211"/>
  <c r="L62" i="211" s="1"/>
  <c r="G62" i="211"/>
  <c r="AJ61" i="211"/>
  <c r="AH61" i="211"/>
  <c r="Q61" i="211"/>
  <c r="K61" i="211"/>
  <c r="L61" i="211" s="1"/>
  <c r="G61" i="211"/>
  <c r="AJ60" i="211"/>
  <c r="Q60" i="211"/>
  <c r="L60" i="211"/>
  <c r="K60" i="211"/>
  <c r="G60" i="211"/>
  <c r="AJ59" i="211"/>
  <c r="AH59" i="211"/>
  <c r="Q59" i="211"/>
  <c r="K59" i="211"/>
  <c r="L59" i="211" s="1"/>
  <c r="G59" i="211"/>
  <c r="AJ58" i="211"/>
  <c r="AH58" i="211"/>
  <c r="Q58" i="211"/>
  <c r="K58" i="211"/>
  <c r="L58" i="211" s="1"/>
  <c r="G58" i="211"/>
  <c r="AJ57" i="211"/>
  <c r="Q57" i="211"/>
  <c r="L57" i="211"/>
  <c r="K57" i="211"/>
  <c r="G57" i="211"/>
  <c r="AJ56" i="211"/>
  <c r="AH56" i="211"/>
  <c r="Q56" i="211"/>
  <c r="K56" i="211"/>
  <c r="L56" i="211" s="1"/>
  <c r="G56" i="211"/>
  <c r="AJ55" i="211"/>
  <c r="AH55" i="211"/>
  <c r="Q55" i="211"/>
  <c r="K55" i="211"/>
  <c r="L55" i="211" s="1"/>
  <c r="G55" i="211"/>
  <c r="AJ54" i="211"/>
  <c r="Q54" i="211"/>
  <c r="L54" i="211"/>
  <c r="K54" i="211"/>
  <c r="G54" i="211"/>
  <c r="AJ53" i="211"/>
  <c r="AH53" i="211"/>
  <c r="Q53" i="211"/>
  <c r="K53" i="211"/>
  <c r="L53" i="211" s="1"/>
  <c r="G53" i="211"/>
  <c r="AJ52" i="211"/>
  <c r="AH52" i="211"/>
  <c r="Q52" i="211"/>
  <c r="K52" i="211"/>
  <c r="L52" i="211" s="1"/>
  <c r="G52" i="211"/>
  <c r="AJ51" i="211"/>
  <c r="Q51" i="211"/>
  <c r="L51" i="211"/>
  <c r="K51" i="211"/>
  <c r="G51" i="211"/>
  <c r="AJ50" i="211"/>
  <c r="AH50" i="211"/>
  <c r="Q50" i="211"/>
  <c r="K50" i="211"/>
  <c r="L50" i="211" s="1"/>
  <c r="G50" i="211"/>
  <c r="AJ49" i="211"/>
  <c r="AH49" i="211"/>
  <c r="Q49" i="211"/>
  <c r="K49" i="211"/>
  <c r="L49" i="211" s="1"/>
  <c r="G49" i="211"/>
  <c r="AJ48" i="211"/>
  <c r="Q48" i="211"/>
  <c r="L48" i="211"/>
  <c r="K48" i="211"/>
  <c r="G48" i="211"/>
  <c r="AJ47" i="211"/>
  <c r="AH47" i="211"/>
  <c r="Q47" i="211"/>
  <c r="K47" i="211"/>
  <c r="L47" i="211" s="1"/>
  <c r="G47" i="211"/>
  <c r="AJ46" i="211"/>
  <c r="AH46" i="211"/>
  <c r="Q46" i="211"/>
  <c r="K46" i="211"/>
  <c r="L46" i="211" s="1"/>
  <c r="G46" i="211"/>
  <c r="AJ45" i="211"/>
  <c r="Q45" i="211"/>
  <c r="L45" i="211"/>
  <c r="K45" i="211"/>
  <c r="G45" i="211"/>
  <c r="AJ44" i="211"/>
  <c r="AH44" i="211"/>
  <c r="Q44" i="211"/>
  <c r="K44" i="211"/>
  <c r="L44" i="211" s="1"/>
  <c r="G44" i="211"/>
  <c r="AJ43" i="211"/>
  <c r="AH43" i="211"/>
  <c r="Q43" i="211"/>
  <c r="K43" i="211"/>
  <c r="L43" i="211" s="1"/>
  <c r="G43" i="211"/>
  <c r="AJ42" i="211"/>
  <c r="Q42" i="211"/>
  <c r="L42" i="211"/>
  <c r="K42" i="211"/>
  <c r="G42" i="211"/>
  <c r="AJ41" i="211"/>
  <c r="AH41" i="211"/>
  <c r="Q41" i="211"/>
  <c r="K41" i="211"/>
  <c r="L41" i="211" s="1"/>
  <c r="G41" i="211"/>
  <c r="AJ40" i="211"/>
  <c r="AH40" i="211"/>
  <c r="Q40" i="211"/>
  <c r="K40" i="211"/>
  <c r="L40" i="211" s="1"/>
  <c r="G40" i="211"/>
  <c r="AJ39" i="211"/>
  <c r="Q39" i="211"/>
  <c r="L39" i="211"/>
  <c r="K39" i="211"/>
  <c r="G39" i="211"/>
  <c r="AJ38" i="211"/>
  <c r="AH38" i="211"/>
  <c r="Q38" i="211"/>
  <c r="K38" i="211"/>
  <c r="L38" i="211" s="1"/>
  <c r="G38" i="211"/>
  <c r="AJ37" i="211"/>
  <c r="AH37" i="211"/>
  <c r="Q37" i="211"/>
  <c r="K37" i="211"/>
  <c r="L37" i="211" s="1"/>
  <c r="G37" i="211"/>
  <c r="AJ36" i="211"/>
  <c r="Q36" i="211"/>
  <c r="K36" i="211"/>
  <c r="L36" i="211" s="1"/>
  <c r="G36" i="211"/>
  <c r="AH36" i="211" s="1"/>
  <c r="AJ35" i="211"/>
  <c r="Q35" i="211"/>
  <c r="L35" i="211"/>
  <c r="K35" i="211"/>
  <c r="G35" i="211"/>
  <c r="AJ34" i="211"/>
  <c r="AH34" i="211"/>
  <c r="Q34" i="211"/>
  <c r="K34" i="211"/>
  <c r="L34" i="211" s="1"/>
  <c r="G34" i="211"/>
  <c r="AJ33" i="211"/>
  <c r="Q33" i="211"/>
  <c r="K33" i="211"/>
  <c r="M90" i="211" s="1"/>
  <c r="G33" i="211"/>
  <c r="AJ32" i="211"/>
  <c r="Q32" i="211"/>
  <c r="K32" i="211"/>
  <c r="L32" i="211" s="1"/>
  <c r="G32" i="211"/>
  <c r="AH32" i="211" s="1"/>
  <c r="AJ31" i="211"/>
  <c r="Q31" i="211"/>
  <c r="L31" i="211"/>
  <c r="K31" i="211"/>
  <c r="G31" i="211"/>
  <c r="AH31" i="211" s="1"/>
  <c r="AJ30" i="211"/>
  <c r="AH30" i="211"/>
  <c r="Q30" i="211"/>
  <c r="K30" i="211"/>
  <c r="L30" i="211" s="1"/>
  <c r="G30" i="211"/>
  <c r="AJ29" i="211"/>
  <c r="Q29" i="211"/>
  <c r="K29" i="211"/>
  <c r="L29" i="211" s="1"/>
  <c r="G29" i="211"/>
  <c r="AJ28" i="211"/>
  <c r="Q28" i="211"/>
  <c r="K28" i="211"/>
  <c r="L28" i="211" s="1"/>
  <c r="G28" i="211"/>
  <c r="AH28" i="211" s="1"/>
  <c r="AJ27" i="211"/>
  <c r="Q27" i="211"/>
  <c r="K27" i="211"/>
  <c r="L27" i="211" s="1"/>
  <c r="G27" i="211"/>
  <c r="AH27" i="211" s="1"/>
  <c r="AJ26" i="211"/>
  <c r="AH26" i="211"/>
  <c r="Q26" i="211"/>
  <c r="K26" i="211"/>
  <c r="L26" i="211" s="1"/>
  <c r="G26" i="211"/>
  <c r="AJ25" i="211"/>
  <c r="AH25" i="211"/>
  <c r="Q25" i="211"/>
  <c r="L25" i="211"/>
  <c r="K25" i="211"/>
  <c r="G25" i="211"/>
  <c r="AJ24" i="211"/>
  <c r="Q24" i="211"/>
  <c r="L24" i="211"/>
  <c r="K24" i="211"/>
  <c r="G24" i="211"/>
  <c r="AJ23" i="211"/>
  <c r="AH23" i="211"/>
  <c r="Q23" i="211"/>
  <c r="K23" i="211"/>
  <c r="L23" i="211" s="1"/>
  <c r="G23" i="211"/>
  <c r="AJ22" i="211"/>
  <c r="AH22" i="211"/>
  <c r="Q22" i="211"/>
  <c r="K22" i="211"/>
  <c r="L22" i="211" s="1"/>
  <c r="G22" i="211"/>
  <c r="AJ21" i="211"/>
  <c r="AH21" i="211"/>
  <c r="Q21" i="211"/>
  <c r="L21" i="211"/>
  <c r="K21" i="211"/>
  <c r="G21" i="211"/>
  <c r="AJ20" i="211"/>
  <c r="AJ77" i="211" s="1"/>
  <c r="Q20" i="211"/>
  <c r="L20" i="211"/>
  <c r="N88" i="211" s="1"/>
  <c r="K20" i="211"/>
  <c r="M88" i="211" s="1"/>
  <c r="G20" i="211"/>
  <c r="B20" i="211"/>
  <c r="B21" i="211" s="1"/>
  <c r="B22" i="211" s="1"/>
  <c r="B23" i="211" s="1"/>
  <c r="B24" i="211" s="1"/>
  <c r="B25" i="211" s="1"/>
  <c r="B26" i="211" s="1"/>
  <c r="B27" i="211" s="1"/>
  <c r="B28" i="211" s="1"/>
  <c r="B29" i="211" s="1"/>
  <c r="B30" i="211" s="1"/>
  <c r="B31" i="211" s="1"/>
  <c r="B32" i="211" s="1"/>
  <c r="B33" i="211" s="1"/>
  <c r="B34" i="211" s="1"/>
  <c r="B35" i="211" s="1"/>
  <c r="B36" i="211" s="1"/>
  <c r="B37" i="211" s="1"/>
  <c r="B38" i="211" s="1"/>
  <c r="B39" i="211" s="1"/>
  <c r="B40" i="211" s="1"/>
  <c r="B41" i="211" s="1"/>
  <c r="B42" i="211" s="1"/>
  <c r="B43" i="211" s="1"/>
  <c r="B44" i="211" s="1"/>
  <c r="B45" i="211" s="1"/>
  <c r="B46" i="211" s="1"/>
  <c r="B47" i="211" s="1"/>
  <c r="B48" i="211" s="1"/>
  <c r="B49" i="211" s="1"/>
  <c r="B50" i="211" s="1"/>
  <c r="B51" i="211" s="1"/>
  <c r="B52" i="211" s="1"/>
  <c r="B53" i="211" s="1"/>
  <c r="B54" i="211" s="1"/>
  <c r="B55" i="211" s="1"/>
  <c r="B56" i="211" s="1"/>
  <c r="B57" i="211" s="1"/>
  <c r="B58" i="211" s="1"/>
  <c r="B59" i="211" s="1"/>
  <c r="B60" i="211" s="1"/>
  <c r="B61" i="211" s="1"/>
  <c r="B62" i="211" s="1"/>
  <c r="B63" i="211" s="1"/>
  <c r="B64" i="211" s="1"/>
  <c r="B65" i="211" s="1"/>
  <c r="B66" i="211" s="1"/>
  <c r="B67" i="211" s="1"/>
  <c r="B68" i="211" s="1"/>
  <c r="B69" i="211" s="1"/>
  <c r="B70" i="211" s="1"/>
  <c r="B71" i="211" s="1"/>
  <c r="B72" i="211" s="1"/>
  <c r="B73" i="211" s="1"/>
  <c r="B74" i="211" s="1"/>
  <c r="B75" i="211" s="1"/>
  <c r="B76" i="211" s="1"/>
  <c r="B77" i="211" s="1"/>
  <c r="B78" i="211" s="1"/>
  <c r="B79" i="211" s="1"/>
  <c r="B80" i="211" s="1"/>
  <c r="B81" i="211" s="1"/>
  <c r="AJ19" i="211"/>
  <c r="AH19" i="211"/>
  <c r="Q19" i="211"/>
  <c r="K19" i="211"/>
  <c r="L19" i="211" s="1"/>
  <c r="G19" i="211"/>
  <c r="B19" i="211"/>
  <c r="AJ18" i="211"/>
  <c r="AH18" i="211"/>
  <c r="Q18" i="211"/>
  <c r="K18" i="211"/>
  <c r="L18" i="211" s="1"/>
  <c r="G18" i="211"/>
  <c r="B18" i="211"/>
  <c r="AJ17" i="211"/>
  <c r="AH17" i="211"/>
  <c r="Q17" i="211"/>
  <c r="Q75" i="211" s="1"/>
  <c r="L17" i="211"/>
  <c r="K17" i="211"/>
  <c r="M86" i="211" s="1"/>
  <c r="G17" i="211"/>
  <c r="AU16" i="211"/>
  <c r="AT16" i="211"/>
  <c r="AS16" i="211"/>
  <c r="AR16" i="211"/>
  <c r="AQ16" i="211"/>
  <c r="AP16" i="211"/>
  <c r="AO16" i="211"/>
  <c r="AN16" i="211"/>
  <c r="AM16" i="211"/>
  <c r="AL16" i="211"/>
  <c r="AK16" i="211"/>
  <c r="C15" i="211"/>
  <c r="D15" i="211" s="1"/>
  <c r="E15" i="211" s="1"/>
  <c r="F15" i="211" s="1"/>
  <c r="G15" i="211" s="1"/>
  <c r="H15" i="211" s="1"/>
  <c r="I15" i="211" s="1"/>
  <c r="J15" i="211" s="1"/>
  <c r="K15" i="211" s="1"/>
  <c r="L15" i="211" s="1"/>
  <c r="M15" i="211" s="1"/>
  <c r="N15" i="211" s="1"/>
  <c r="O15" i="211" s="1"/>
  <c r="P15" i="211" s="1"/>
  <c r="Q15" i="211" s="1"/>
  <c r="R15" i="211" s="1"/>
  <c r="S15" i="211" s="1"/>
  <c r="T15" i="211" s="1"/>
  <c r="U15" i="211" s="1"/>
  <c r="V15" i="211" s="1"/>
  <c r="W15" i="211" s="1"/>
  <c r="X15" i="211" s="1"/>
  <c r="Y15" i="211" s="1"/>
  <c r="Z15" i="211" s="1"/>
  <c r="AA15" i="211" s="1"/>
  <c r="AB15" i="211" s="1"/>
  <c r="AC15" i="211" s="1"/>
  <c r="AD15" i="211" s="1"/>
  <c r="AE15" i="211" s="1"/>
  <c r="AF15" i="211" s="1"/>
  <c r="AG15" i="211" s="1"/>
  <c r="AH15" i="211" s="1"/>
  <c r="AI15" i="211" s="1"/>
  <c r="AJ15" i="211" s="1"/>
  <c r="AK15" i="211" s="1"/>
  <c r="AL15" i="211" s="1"/>
  <c r="AM15" i="211" s="1"/>
  <c r="AN15" i="211" s="1"/>
  <c r="AO15" i="211" s="1"/>
  <c r="AP15" i="211" s="1"/>
  <c r="AQ15" i="211" s="1"/>
  <c r="AR15" i="211" s="1"/>
  <c r="AS15" i="211" s="1"/>
  <c r="AT15" i="211" s="1"/>
  <c r="AU15" i="211" s="1"/>
  <c r="AV15" i="211" s="1"/>
  <c r="D13" i="211"/>
  <c r="C13" i="211"/>
  <c r="AB54" i="85" l="1"/>
  <c r="BD54" i="85" s="1"/>
  <c r="AB292" i="85"/>
  <c r="AB293" i="85"/>
  <c r="AB311" i="85"/>
  <c r="AB312" i="85"/>
  <c r="AB313" i="85"/>
  <c r="AB314" i="85"/>
  <c r="AB315" i="85"/>
  <c r="AB316" i="85"/>
  <c r="AB317" i="85"/>
  <c r="AB289" i="85"/>
  <c r="AB291" i="85"/>
  <c r="AB309" i="85"/>
  <c r="AB310" i="85"/>
  <c r="AB288" i="85"/>
  <c r="AB290" i="85"/>
  <c r="AB267" i="85"/>
  <c r="AB268" i="85"/>
  <c r="AB269" i="85"/>
  <c r="AB270" i="85"/>
  <c r="AB278" i="85"/>
  <c r="AB271" i="85"/>
  <c r="AB272" i="85"/>
  <c r="AB273" i="85"/>
  <c r="AB274" i="85"/>
  <c r="AB275" i="85"/>
  <c r="AB276" i="85"/>
  <c r="AB280" i="85"/>
  <c r="AB281" i="85"/>
  <c r="AB283" i="85"/>
  <c r="AB284" i="85"/>
  <c r="AB285" i="85"/>
  <c r="AB297" i="85"/>
  <c r="AB286" i="85"/>
  <c r="AB287" i="85"/>
  <c r="AB294" i="85"/>
  <c r="AB295" i="85"/>
  <c r="AB296" i="85"/>
  <c r="AB298" i="85"/>
  <c r="AB299" i="85"/>
  <c r="AB300" i="85"/>
  <c r="AB301" i="85"/>
  <c r="AB282" i="85"/>
  <c r="AB302" i="85"/>
  <c r="AB303" i="85"/>
  <c r="AB306" i="85"/>
  <c r="AB279" i="85"/>
  <c r="AB304" i="85"/>
  <c r="AB305" i="85"/>
  <c r="AB277" i="85"/>
  <c r="AB307" i="85"/>
  <c r="AB308" i="85"/>
  <c r="AJ1" i="189"/>
  <c r="AC51" i="85"/>
  <c r="K91" i="211"/>
  <c r="M28" i="211"/>
  <c r="M17" i="211"/>
  <c r="M35" i="211"/>
  <c r="M21" i="211"/>
  <c r="M34" i="211"/>
  <c r="M31" i="211"/>
  <c r="M30" i="211"/>
  <c r="M27" i="211"/>
  <c r="M25" i="211"/>
  <c r="N89" i="211"/>
  <c r="I93" i="211"/>
  <c r="I94" i="211" s="1"/>
  <c r="N86" i="211"/>
  <c r="AG83" i="211"/>
  <c r="AP87" i="211"/>
  <c r="AQ86" i="211"/>
  <c r="AQ87" i="211" s="1"/>
  <c r="G77" i="211"/>
  <c r="G80" i="211" s="1"/>
  <c r="M29" i="211"/>
  <c r="M33" i="211"/>
  <c r="AL90" i="211"/>
  <c r="M20" i="211"/>
  <c r="M24" i="211"/>
  <c r="AH29" i="211"/>
  <c r="AH77" i="211" s="1"/>
  <c r="AH33" i="211"/>
  <c r="J86" i="211"/>
  <c r="J89" i="211"/>
  <c r="J92" i="211"/>
  <c r="D93" i="211"/>
  <c r="K77" i="211"/>
  <c r="K86" i="211"/>
  <c r="J87" i="211"/>
  <c r="K89" i="211"/>
  <c r="K92" i="211"/>
  <c r="M32" i="211"/>
  <c r="M36" i="211"/>
  <c r="AH20" i="211"/>
  <c r="AH24" i="211"/>
  <c r="K87" i="211"/>
  <c r="M19" i="211"/>
  <c r="M23" i="211"/>
  <c r="AH39" i="211"/>
  <c r="AH42" i="211"/>
  <c r="AH45" i="211"/>
  <c r="AH48" i="211"/>
  <c r="AH51" i="211"/>
  <c r="AH54" i="211"/>
  <c r="AH57" i="211"/>
  <c r="AH60" i="211"/>
  <c r="AH63" i="211"/>
  <c r="AH66" i="211"/>
  <c r="AH69" i="211"/>
  <c r="AH72" i="211"/>
  <c r="J88" i="211"/>
  <c r="M89" i="211"/>
  <c r="M93" i="211" s="1"/>
  <c r="K88" i="211"/>
  <c r="J90" i="211"/>
  <c r="K90" i="211"/>
  <c r="M18" i="211"/>
  <c r="M22" i="211"/>
  <c r="M26" i="211"/>
  <c r="AH35" i="211"/>
  <c r="L33" i="211"/>
  <c r="N90" i="211" s="1"/>
  <c r="J91" i="211"/>
  <c r="AC54" i="85" l="1"/>
  <c r="BE54" i="85" s="1"/>
  <c r="AC292" i="85"/>
  <c r="AC293" i="85"/>
  <c r="AC311" i="85"/>
  <c r="AC312" i="85"/>
  <c r="AC313" i="85"/>
  <c r="AC314" i="85"/>
  <c r="AC315" i="85"/>
  <c r="AC316" i="85"/>
  <c r="AC317" i="85"/>
  <c r="AC288" i="85"/>
  <c r="AC289" i="85"/>
  <c r="AC291" i="85"/>
  <c r="AC310" i="85"/>
  <c r="AC267" i="85"/>
  <c r="AC290" i="85"/>
  <c r="AC309" i="85"/>
  <c r="AC268" i="85"/>
  <c r="AC269" i="85"/>
  <c r="AC270" i="85"/>
  <c r="AC275" i="85"/>
  <c r="AC278" i="85"/>
  <c r="AC281" i="85"/>
  <c r="AC271" i="85"/>
  <c r="AC272" i="85"/>
  <c r="AC273" i="85"/>
  <c r="AC274" i="85"/>
  <c r="AC276" i="85"/>
  <c r="AC277" i="85"/>
  <c r="AC283" i="85"/>
  <c r="AC284" i="85"/>
  <c r="AC285" i="85"/>
  <c r="AC286" i="85"/>
  <c r="AC287" i="85"/>
  <c r="AC294" i="85"/>
  <c r="AC295" i="85"/>
  <c r="AC296" i="85"/>
  <c r="AC297" i="85"/>
  <c r="AC298" i="85"/>
  <c r="AC299" i="85"/>
  <c r="AC300" i="85"/>
  <c r="AC301" i="85"/>
  <c r="AC302" i="85"/>
  <c r="AC303" i="85"/>
  <c r="AC304" i="85"/>
  <c r="AC305" i="85"/>
  <c r="AC306" i="85"/>
  <c r="AC307" i="85"/>
  <c r="AC282" i="85"/>
  <c r="AC308" i="85"/>
  <c r="AC279" i="85"/>
  <c r="AC280" i="85"/>
  <c r="AK1" i="189"/>
  <c r="AD51" i="85"/>
  <c r="L91" i="211"/>
  <c r="M77" i="211"/>
  <c r="M80" i="211" s="1"/>
  <c r="L87" i="211"/>
  <c r="N94" i="211"/>
  <c r="AL91" i="211"/>
  <c r="AK91" i="211"/>
  <c r="L88" i="211"/>
  <c r="K93" i="211"/>
  <c r="N93" i="211"/>
  <c r="J93" i="211"/>
  <c r="L86" i="211"/>
  <c r="L90" i="211"/>
  <c r="L92" i="211"/>
  <c r="L77" i="211"/>
  <c r="L89" i="211"/>
  <c r="AD54" i="85" l="1"/>
  <c r="BF54" i="85" s="1"/>
  <c r="AD267" i="85"/>
  <c r="AD288" i="85"/>
  <c r="AD290" i="85"/>
  <c r="AD291" i="85"/>
  <c r="AD292" i="85"/>
  <c r="AD293" i="85"/>
  <c r="AD311" i="85"/>
  <c r="AD312" i="85"/>
  <c r="AD313" i="85"/>
  <c r="AD314" i="85"/>
  <c r="AD315" i="85"/>
  <c r="AD316" i="85"/>
  <c r="AD317" i="85"/>
  <c r="AD309" i="85"/>
  <c r="AD289" i="85"/>
  <c r="AD310" i="85"/>
  <c r="AD268" i="85"/>
  <c r="AD269" i="85"/>
  <c r="AD270" i="85"/>
  <c r="AD274" i="85"/>
  <c r="AD275" i="85"/>
  <c r="AD277" i="85"/>
  <c r="AD282" i="85"/>
  <c r="AD271" i="85"/>
  <c r="AD272" i="85"/>
  <c r="AD273" i="85"/>
  <c r="AD276" i="85"/>
  <c r="AD279" i="85"/>
  <c r="AD284" i="85"/>
  <c r="AD285" i="85"/>
  <c r="AD286" i="85"/>
  <c r="AD287" i="85"/>
  <c r="AD294" i="85"/>
  <c r="AD295" i="85"/>
  <c r="AD296" i="85"/>
  <c r="AD297" i="85"/>
  <c r="AD298" i="85"/>
  <c r="AD299" i="85"/>
  <c r="AD300" i="85"/>
  <c r="AD301" i="85"/>
  <c r="AD302" i="85"/>
  <c r="AD303" i="85"/>
  <c r="AD304" i="85"/>
  <c r="AD305" i="85"/>
  <c r="AD306" i="85"/>
  <c r="AD281" i="85"/>
  <c r="AD278" i="85"/>
  <c r="AD283" i="85"/>
  <c r="AD307" i="85"/>
  <c r="AD308" i="85"/>
  <c r="AD280" i="85"/>
  <c r="AE51" i="85"/>
  <c r="AL1" i="189"/>
  <c r="L93" i="211"/>
  <c r="AI47" i="211"/>
  <c r="AI31" i="211"/>
  <c r="AI27" i="211"/>
  <c r="AI32" i="211"/>
  <c r="AI22" i="211"/>
  <c r="AI68" i="211"/>
  <c r="AI53" i="211"/>
  <c r="AI44" i="211"/>
  <c r="AI36" i="211"/>
  <c r="AI28" i="211"/>
  <c r="AI62" i="211"/>
  <c r="AI50" i="211"/>
  <c r="AI38" i="211"/>
  <c r="AI18" i="211"/>
  <c r="AI56" i="211"/>
  <c r="AI41" i="211"/>
  <c r="AI71" i="211"/>
  <c r="AI73" i="211"/>
  <c r="AI70" i="211"/>
  <c r="AI26" i="211"/>
  <c r="AI65" i="211"/>
  <c r="AI59" i="211"/>
  <c r="AI58" i="211"/>
  <c r="AI17" i="211"/>
  <c r="AI37" i="211"/>
  <c r="AI48" i="211"/>
  <c r="AI23" i="211"/>
  <c r="AI66" i="211"/>
  <c r="AI40" i="211"/>
  <c r="AI51" i="211"/>
  <c r="AI30" i="211"/>
  <c r="AI60" i="211"/>
  <c r="AI64" i="211"/>
  <c r="AI42" i="211"/>
  <c r="AI61" i="211"/>
  <c r="AI20" i="211"/>
  <c r="AI21" i="211"/>
  <c r="AI25" i="211"/>
  <c r="AI29" i="211"/>
  <c r="AI39" i="211"/>
  <c r="AI52" i="211"/>
  <c r="AI63" i="211"/>
  <c r="AI55" i="211"/>
  <c r="AI67" i="211"/>
  <c r="AI69" i="211"/>
  <c r="AI72" i="211"/>
  <c r="AI24" i="211"/>
  <c r="AI49" i="211"/>
  <c r="AI34" i="211"/>
  <c r="AI33" i="211"/>
  <c r="AI54" i="211"/>
  <c r="AI19" i="211"/>
  <c r="AI43" i="211"/>
  <c r="AI46" i="211"/>
  <c r="AI45" i="211"/>
  <c r="AI57" i="211"/>
  <c r="AI35" i="211"/>
  <c r="AL92" i="211"/>
  <c r="AK92" i="211"/>
  <c r="K94" i="211"/>
  <c r="AE54" i="85" l="1"/>
  <c r="BG54" i="85" s="1"/>
  <c r="AE267" i="85"/>
  <c r="AE289" i="85"/>
  <c r="AE292" i="85"/>
  <c r="AE293" i="85"/>
  <c r="AE311" i="85"/>
  <c r="AE312" i="85"/>
  <c r="AE313" i="85"/>
  <c r="AE314" i="85"/>
  <c r="AE310" i="85"/>
  <c r="AE315" i="85"/>
  <c r="AE316" i="85"/>
  <c r="AE317" i="85"/>
  <c r="AE288" i="85"/>
  <c r="AE309" i="85"/>
  <c r="AE291" i="85"/>
  <c r="AE290" i="85"/>
  <c r="AE268" i="85"/>
  <c r="AE269" i="85"/>
  <c r="AE270" i="85"/>
  <c r="AE274" i="85"/>
  <c r="AE275" i="85"/>
  <c r="AE279" i="85"/>
  <c r="AE280" i="85"/>
  <c r="AE271" i="85"/>
  <c r="AE272" i="85"/>
  <c r="AE273" i="85"/>
  <c r="AE277" i="85"/>
  <c r="AE283" i="85"/>
  <c r="AE284" i="85"/>
  <c r="AE285" i="85"/>
  <c r="AE286" i="85"/>
  <c r="AE287" i="85"/>
  <c r="AE294" i="85"/>
  <c r="AE295" i="85"/>
  <c r="AE296" i="85"/>
  <c r="AE297" i="85"/>
  <c r="AE298" i="85"/>
  <c r="AE299" i="85"/>
  <c r="AE300" i="85"/>
  <c r="AE301" i="85"/>
  <c r="AE302" i="85"/>
  <c r="AE303" i="85"/>
  <c r="AE304" i="85"/>
  <c r="AE305" i="85"/>
  <c r="AE306" i="85"/>
  <c r="AE278" i="85"/>
  <c r="AE281" i="85"/>
  <c r="AE307" i="85"/>
  <c r="AE308" i="85"/>
  <c r="AE276" i="85"/>
  <c r="AE282" i="85"/>
  <c r="AF51" i="85"/>
  <c r="AM1" i="189"/>
  <c r="P17" i="211"/>
  <c r="AI78" i="211"/>
  <c r="AI77" i="211"/>
  <c r="P26" i="211"/>
  <c r="AK93" i="211"/>
  <c r="AL93" i="211"/>
  <c r="AF54" i="85" l="1"/>
  <c r="BH54" i="85" s="1"/>
  <c r="AF267" i="85"/>
  <c r="AF292" i="85"/>
  <c r="AF293" i="85"/>
  <c r="AF311" i="85"/>
  <c r="AF312" i="85"/>
  <c r="AF313" i="85"/>
  <c r="AF314" i="85"/>
  <c r="AF309" i="85"/>
  <c r="AF315" i="85"/>
  <c r="AF316" i="85"/>
  <c r="AF317" i="85"/>
  <c r="AF290" i="85"/>
  <c r="AF288" i="85"/>
  <c r="AF291" i="85"/>
  <c r="AF310" i="85"/>
  <c r="AF289" i="85"/>
  <c r="AF268" i="85"/>
  <c r="AF269" i="85"/>
  <c r="AF270" i="85"/>
  <c r="AF281" i="85"/>
  <c r="AF271" i="85"/>
  <c r="AF272" i="85"/>
  <c r="AF273" i="85"/>
  <c r="AF274" i="85"/>
  <c r="AF275" i="85"/>
  <c r="AF276" i="85"/>
  <c r="AF277" i="85"/>
  <c r="AF278" i="85"/>
  <c r="AF279" i="85"/>
  <c r="AF283" i="85"/>
  <c r="AF284" i="85"/>
  <c r="AF285" i="85"/>
  <c r="AF297" i="85"/>
  <c r="AF286" i="85"/>
  <c r="AF287" i="85"/>
  <c r="AF294" i="85"/>
  <c r="AF295" i="85"/>
  <c r="AF296" i="85"/>
  <c r="AF298" i="85"/>
  <c r="AF299" i="85"/>
  <c r="AF300" i="85"/>
  <c r="AF301" i="85"/>
  <c r="AF302" i="85"/>
  <c r="AF303" i="85"/>
  <c r="AF304" i="85"/>
  <c r="AF307" i="85"/>
  <c r="AF282" i="85"/>
  <c r="AF305" i="85"/>
  <c r="AF306" i="85"/>
  <c r="AF280" i="85"/>
  <c r="AF308" i="85"/>
  <c r="AN1" i="189"/>
  <c r="AG51" i="85"/>
  <c r="AL94" i="211"/>
  <c r="AK94" i="211"/>
  <c r="AG54" i="85" l="1"/>
  <c r="BI54" i="85" s="1"/>
  <c r="AG267" i="85"/>
  <c r="AG288" i="85"/>
  <c r="AG292" i="85"/>
  <c r="AG293" i="85"/>
  <c r="AG311" i="85"/>
  <c r="AG312" i="85"/>
  <c r="AG313" i="85"/>
  <c r="AG314" i="85"/>
  <c r="AG315" i="85"/>
  <c r="AG316" i="85"/>
  <c r="AG317" i="85"/>
  <c r="AG290" i="85"/>
  <c r="AG310" i="85"/>
  <c r="AG289" i="85"/>
  <c r="AG291" i="85"/>
  <c r="AG309" i="85"/>
  <c r="AG268" i="85"/>
  <c r="AG269" i="85"/>
  <c r="AG270" i="85"/>
  <c r="AG274" i="85"/>
  <c r="AG275" i="85"/>
  <c r="AG276" i="85"/>
  <c r="AG271" i="85"/>
  <c r="AG272" i="85"/>
  <c r="AG273" i="85"/>
  <c r="AG279" i="85"/>
  <c r="AG283" i="85"/>
  <c r="AG284" i="85"/>
  <c r="AG285" i="85"/>
  <c r="AG286" i="85"/>
  <c r="AG287" i="85"/>
  <c r="AG294" i="85"/>
  <c r="AG295" i="85"/>
  <c r="AG296" i="85"/>
  <c r="AG297" i="85"/>
  <c r="AG298" i="85"/>
  <c r="AG299" i="85"/>
  <c r="AG300" i="85"/>
  <c r="AG301" i="85"/>
  <c r="AG302" i="85"/>
  <c r="AG303" i="85"/>
  <c r="AG304" i="85"/>
  <c r="AG305" i="85"/>
  <c r="AG306" i="85"/>
  <c r="AG307" i="85"/>
  <c r="AG281" i="85"/>
  <c r="AG308" i="85"/>
  <c r="AG277" i="85"/>
  <c r="AG278" i="85"/>
  <c r="AG280" i="85"/>
  <c r="AG282" i="85"/>
  <c r="AH51" i="85"/>
  <c r="AO1" i="189"/>
  <c r="AI51" i="85" s="1"/>
  <c r="AL95" i="211"/>
  <c r="AK95" i="211"/>
  <c r="AH54" i="85" l="1"/>
  <c r="BJ54" i="85" s="1"/>
  <c r="AH289" i="85"/>
  <c r="AH281" i="85"/>
  <c r="AH275" i="85"/>
  <c r="AH292" i="85"/>
  <c r="AH293" i="85"/>
  <c r="AH267" i="85"/>
  <c r="AH271" i="85"/>
  <c r="AH311" i="85"/>
  <c r="AH274" i="85"/>
  <c r="AH312" i="85"/>
  <c r="AH268" i="85"/>
  <c r="AH313" i="85"/>
  <c r="AH282" i="85"/>
  <c r="AH314" i="85"/>
  <c r="AH269" i="85"/>
  <c r="AH315" i="85"/>
  <c r="AH272" i="85"/>
  <c r="AH316" i="85"/>
  <c r="AH273" i="85"/>
  <c r="AH317" i="85"/>
  <c r="AH288" i="85"/>
  <c r="AH270" i="85"/>
  <c r="AH309" i="85"/>
  <c r="AH310" i="85"/>
  <c r="AH278" i="85"/>
  <c r="AH286" i="85"/>
  <c r="AH290" i="85"/>
  <c r="AH291" i="85"/>
  <c r="AH280" i="85"/>
  <c r="AH283" i="85"/>
  <c r="AH284" i="85"/>
  <c r="AH285" i="85"/>
  <c r="AH301" i="85"/>
  <c r="AH287" i="85"/>
  <c r="AH294" i="85"/>
  <c r="AH295" i="85"/>
  <c r="AH296" i="85"/>
  <c r="AH297" i="85"/>
  <c r="AH298" i="85"/>
  <c r="AH299" i="85"/>
  <c r="AH300" i="85"/>
  <c r="AH302" i="85"/>
  <c r="AH303" i="85"/>
  <c r="AH304" i="85"/>
  <c r="AH305" i="85"/>
  <c r="AH306" i="85"/>
  <c r="AH279" i="85"/>
  <c r="AH307" i="85"/>
  <c r="AH308" i="85"/>
  <c r="AH276" i="85"/>
  <c r="AH277" i="85"/>
  <c r="AI54" i="85"/>
  <c r="BK54" i="85" s="1"/>
  <c r="AI288" i="85"/>
  <c r="AI290" i="85"/>
  <c r="AI292" i="85"/>
  <c r="AI283" i="85"/>
  <c r="AI293" i="85"/>
  <c r="AI284" i="85"/>
  <c r="AI311" i="85"/>
  <c r="AI285" i="85"/>
  <c r="AI297" i="85"/>
  <c r="AI298" i="85"/>
  <c r="AI312" i="85"/>
  <c r="AI286" i="85"/>
  <c r="AI276" i="85"/>
  <c r="AI287" i="85"/>
  <c r="AI313" i="85"/>
  <c r="AI315" i="85"/>
  <c r="AI294" i="85"/>
  <c r="AI316" i="85"/>
  <c r="AI295" i="85"/>
  <c r="AI317" i="85"/>
  <c r="AI296" i="85"/>
  <c r="AI289" i="85"/>
  <c r="AI314" i="85"/>
  <c r="AI299" i="85"/>
  <c r="AI291" i="85"/>
  <c r="AI300" i="85"/>
  <c r="AI310" i="85"/>
  <c r="AI301" i="85"/>
  <c r="AI267" i="85"/>
  <c r="AI302" i="85"/>
  <c r="AI309" i="85"/>
  <c r="AI303" i="85"/>
  <c r="AI304" i="85"/>
  <c r="AI268" i="85"/>
  <c r="AI269" i="85"/>
  <c r="AI270" i="85"/>
  <c r="AI271" i="85"/>
  <c r="AI280" i="85"/>
  <c r="AI281" i="85"/>
  <c r="AI305" i="85"/>
  <c r="AI306" i="85"/>
  <c r="AI272" i="85"/>
  <c r="AI278" i="85"/>
  <c r="AI307" i="85"/>
  <c r="AI308" i="85"/>
  <c r="AI273" i="85"/>
  <c r="AI274" i="85"/>
  <c r="AI275" i="85"/>
  <c r="AI277" i="85"/>
  <c r="AI279" i="85"/>
  <c r="AI282" i="85"/>
  <c r="D102" i="211"/>
  <c r="E79" i="211"/>
  <c r="M81" i="211"/>
  <c r="M82" i="211" s="1"/>
  <c r="E81" i="211"/>
  <c r="AH36" i="105" l="1"/>
  <c r="AH35" i="105"/>
  <c r="AH34" i="105"/>
  <c r="AH33" i="105"/>
  <c r="AH32" i="105"/>
  <c r="AH31" i="105"/>
  <c r="AH30" i="105"/>
  <c r="AH29" i="105"/>
  <c r="AH28" i="105"/>
  <c r="AH27" i="105"/>
  <c r="AH26" i="105"/>
  <c r="AH25" i="105"/>
  <c r="AH24" i="105"/>
  <c r="AH23" i="105"/>
  <c r="AH22" i="105"/>
  <c r="AH21" i="105"/>
  <c r="AH20" i="105"/>
  <c r="AH19" i="105"/>
  <c r="AH18" i="105"/>
  <c r="T16" i="110" l="1"/>
  <c r="AM102" i="105"/>
  <c r="AM103" i="105" s="1"/>
  <c r="AL102" i="105"/>
  <c r="AN100" i="105"/>
  <c r="AO100" i="105"/>
  <c r="AL103" i="105" l="1"/>
  <c r="AM104" i="105"/>
  <c r="AL104" i="105"/>
  <c r="AM105" i="105" l="1"/>
  <c r="AL105" i="105"/>
  <c r="AP100" i="105"/>
  <c r="AR100" i="105" l="1"/>
  <c r="AQ100" i="105"/>
  <c r="AM106" i="105"/>
  <c r="AL106" i="105"/>
  <c r="Q36" i="105" l="1"/>
  <c r="T17" i="110"/>
  <c r="I11" i="110"/>
  <c r="D62" i="210" l="1"/>
  <c r="D60" i="210"/>
  <c r="D61" i="210" s="1"/>
  <c r="D59" i="210"/>
  <c r="D63" i="210" s="1"/>
  <c r="D53" i="210"/>
  <c r="D55" i="210" s="1"/>
  <c r="D58" i="210" s="1"/>
  <c r="D64" i="210" s="1"/>
  <c r="D97" i="188" l="1"/>
  <c r="F97" i="188" s="1"/>
  <c r="F103" i="188" s="1"/>
  <c r="D94" i="188"/>
  <c r="F94" i="188" s="1"/>
  <c r="B92" i="188"/>
  <c r="B91" i="188"/>
  <c r="B90" i="188"/>
  <c r="B89" i="188"/>
  <c r="B88" i="188"/>
  <c r="B87" i="188"/>
  <c r="B86" i="188"/>
  <c r="B85" i="188"/>
  <c r="B84" i="188"/>
  <c r="H97" i="188" l="1"/>
  <c r="G97" i="188"/>
  <c r="D90" i="188"/>
  <c r="D86" i="188"/>
  <c r="F86" i="188" s="1"/>
  <c r="D89" i="188"/>
  <c r="F89" i="188" s="1"/>
  <c r="D88" i="188"/>
  <c r="D87" i="188"/>
  <c r="D92" i="188"/>
  <c r="D91" i="188"/>
  <c r="D85" i="188"/>
  <c r="C105" i="85"/>
  <c r="B105" i="85" s="1"/>
  <c r="C101" i="85"/>
  <c r="D101" i="85" s="1"/>
  <c r="F102" i="188" l="1"/>
  <c r="AI105" i="85"/>
  <c r="AC105" i="85"/>
  <c r="X105" i="85"/>
  <c r="AA105" i="85"/>
  <c r="AH105" i="85"/>
  <c r="Y105" i="85"/>
  <c r="V105" i="85"/>
  <c r="AF105" i="85"/>
  <c r="AB105" i="85"/>
  <c r="U105" i="85"/>
  <c r="AE105" i="85"/>
  <c r="Z105" i="85"/>
  <c r="AG105" i="85"/>
  <c r="W105" i="85"/>
  <c r="AD105" i="85"/>
  <c r="F90" i="188"/>
  <c r="F88" i="188"/>
  <c r="F85" i="188"/>
  <c r="F91" i="188"/>
  <c r="F87" i="188"/>
  <c r="F92" i="188"/>
  <c r="M97" i="188"/>
  <c r="G101" i="85"/>
  <c r="G105" i="85"/>
  <c r="B101" i="85"/>
  <c r="F105" i="85"/>
  <c r="AJ105" i="85" s="1" a="1"/>
  <c r="F101" i="85"/>
  <c r="AJ101" i="85" s="1" a="1"/>
  <c r="E105" i="85"/>
  <c r="E101" i="85"/>
  <c r="D105" i="85"/>
  <c r="E84" i="188" l="1"/>
  <c r="AA101" i="85"/>
  <c r="W101" i="85"/>
  <c r="AG101" i="85"/>
  <c r="AB101" i="85"/>
  <c r="U101" i="85"/>
  <c r="Y101" i="85"/>
  <c r="AF101" i="85"/>
  <c r="AH101" i="85"/>
  <c r="AC101" i="85"/>
  <c r="Z101" i="85"/>
  <c r="AD101" i="85"/>
  <c r="V101" i="85"/>
  <c r="AE101" i="85"/>
  <c r="AI101" i="85"/>
  <c r="X101" i="85"/>
  <c r="V86" i="207"/>
  <c r="Q86" i="207"/>
  <c r="U85" i="207"/>
  <c r="Q85" i="207"/>
  <c r="Q84" i="207"/>
  <c r="Q83" i="207"/>
  <c r="Q82" i="207"/>
  <c r="V65" i="207"/>
  <c r="Q65" i="207"/>
  <c r="V64" i="207"/>
  <c r="Q64" i="207"/>
  <c r="Q63" i="207"/>
  <c r="Q62" i="207"/>
  <c r="V61" i="207"/>
  <c r="Q61" i="207"/>
  <c r="V60" i="207"/>
  <c r="Q60" i="207"/>
  <c r="V59" i="207"/>
  <c r="Q59" i="207"/>
  <c r="V58" i="207"/>
  <c r="Q58" i="207"/>
  <c r="Q57" i="207"/>
  <c r="V56" i="207"/>
  <c r="Q56" i="207"/>
  <c r="Q55" i="207"/>
  <c r="Q54" i="207"/>
  <c r="V53" i="207"/>
  <c r="Q53" i="207"/>
  <c r="Q52" i="207"/>
  <c r="Q51" i="207"/>
  <c r="Q50" i="207"/>
  <c r="V49" i="207"/>
  <c r="Q49" i="207"/>
  <c r="Q48" i="207"/>
  <c r="V47" i="207"/>
  <c r="Q47" i="207"/>
  <c r="V46" i="207"/>
  <c r="Q46" i="207"/>
  <c r="V45" i="207"/>
  <c r="Q45" i="207"/>
  <c r="Q44" i="207"/>
  <c r="Q43" i="207"/>
  <c r="Q42" i="207"/>
  <c r="Q41" i="207"/>
  <c r="Q40" i="207"/>
  <c r="V39" i="207"/>
  <c r="Q39" i="207"/>
  <c r="Q38" i="207"/>
  <c r="O1" i="110" l="1"/>
  <c r="I27" i="110"/>
  <c r="H26" i="110"/>
  <c r="M26" i="110" s="1"/>
  <c r="N26" i="110" s="1"/>
  <c r="O26" i="110" s="1"/>
  <c r="P26" i="110" s="1"/>
  <c r="H25" i="110"/>
  <c r="M25" i="110" s="1"/>
  <c r="N25" i="110" s="1"/>
  <c r="O25" i="110" s="1"/>
  <c r="P25" i="110" s="1"/>
  <c r="H24" i="110"/>
  <c r="M24" i="110" s="1"/>
  <c r="N24" i="110" s="1"/>
  <c r="O24" i="110" s="1"/>
  <c r="P24" i="110" s="1"/>
  <c r="L23" i="110"/>
  <c r="M23" i="110" s="1"/>
  <c r="H12" i="110"/>
  <c r="F102" i="208"/>
  <c r="E102" i="208"/>
  <c r="F97" i="208"/>
  <c r="E97" i="208"/>
  <c r="P93" i="208"/>
  <c r="P95" i="208" s="1"/>
  <c r="Q89" i="208"/>
  <c r="M89" i="208"/>
  <c r="Q87" i="208"/>
  <c r="M87" i="208"/>
  <c r="Q86" i="208"/>
  <c r="M86" i="208"/>
  <c r="Y84" i="208"/>
  <c r="P84" i="208"/>
  <c r="P87" i="208" s="1"/>
  <c r="Y83" i="208"/>
  <c r="Y82" i="208"/>
  <c r="Y81" i="208"/>
  <c r="Y80" i="208"/>
  <c r="L80" i="208"/>
  <c r="Y79" i="208"/>
  <c r="Y78" i="208"/>
  <c r="P78" i="208"/>
  <c r="Y77" i="208"/>
  <c r="Y76" i="208"/>
  <c r="Y75" i="208"/>
  <c r="P75" i="208"/>
  <c r="P82" i="208" s="1"/>
  <c r="Y74" i="208"/>
  <c r="Y72" i="208"/>
  <c r="H69" i="208"/>
  <c r="N67" i="208"/>
  <c r="O67" i="208" s="1"/>
  <c r="J67" i="208"/>
  <c r="N66" i="208"/>
  <c r="F103" i="208" s="1"/>
  <c r="J66" i="208"/>
  <c r="K66" i="208" s="1"/>
  <c r="E64" i="208"/>
  <c r="N64" i="208" s="1"/>
  <c r="O64" i="208" s="1"/>
  <c r="E63" i="208"/>
  <c r="N63" i="208" s="1"/>
  <c r="O63" i="208" s="1"/>
  <c r="E62" i="208"/>
  <c r="N62" i="208" s="1"/>
  <c r="E61" i="208"/>
  <c r="N61" i="208" s="1"/>
  <c r="O61" i="208" s="1"/>
  <c r="M32" i="208"/>
  <c r="J32" i="208"/>
  <c r="M31" i="208"/>
  <c r="J31" i="208"/>
  <c r="M24" i="208"/>
  <c r="J24" i="208"/>
  <c r="M23" i="208"/>
  <c r="J23" i="208"/>
  <c r="M22" i="208"/>
  <c r="J22" i="208"/>
  <c r="M21" i="208"/>
  <c r="J21" i="208"/>
  <c r="M20" i="208"/>
  <c r="J20" i="208"/>
  <c r="M19" i="208"/>
  <c r="J19" i="208"/>
  <c r="M18" i="208"/>
  <c r="J18" i="208"/>
  <c r="M17" i="208"/>
  <c r="J17" i="208"/>
  <c r="H28" i="202"/>
  <c r="H27" i="202"/>
  <c r="H26" i="202"/>
  <c r="H25" i="202"/>
  <c r="H24" i="202"/>
  <c r="H23" i="202"/>
  <c r="H22" i="202"/>
  <c r="H21" i="202"/>
  <c r="H20" i="202"/>
  <c r="H19" i="202"/>
  <c r="H18" i="202"/>
  <c r="H17" i="202"/>
  <c r="I26" i="202"/>
  <c r="I24" i="202"/>
  <c r="E13" i="145"/>
  <c r="D13" i="145"/>
  <c r="C13" i="145"/>
  <c r="E14" i="145"/>
  <c r="D14" i="145"/>
  <c r="C14" i="145"/>
  <c r="EX221" i="27"/>
  <c r="FG221" i="27" s="1"/>
  <c r="EW221" i="27"/>
  <c r="EV221" i="27"/>
  <c r="ET221" i="27"/>
  <c r="ES221" i="27"/>
  <c r="ER221" i="27"/>
  <c r="EP221" i="27"/>
  <c r="EO221" i="27"/>
  <c r="EN221" i="27"/>
  <c r="EL221" i="27"/>
  <c r="EK221" i="27"/>
  <c r="EJ221" i="27"/>
  <c r="EH221" i="27"/>
  <c r="EG221" i="27"/>
  <c r="EF221" i="27"/>
  <c r="ED221" i="27"/>
  <c r="EC221" i="27"/>
  <c r="EB221" i="27"/>
  <c r="DZ221" i="27"/>
  <c r="DY221" i="27"/>
  <c r="DX221" i="27"/>
  <c r="DV221" i="27"/>
  <c r="DU221" i="27"/>
  <c r="DT221" i="27"/>
  <c r="DR221" i="27"/>
  <c r="DQ221" i="27"/>
  <c r="DP221" i="27"/>
  <c r="DN221" i="27"/>
  <c r="DM221" i="27"/>
  <c r="DL221" i="27"/>
  <c r="DJ221" i="27"/>
  <c r="DI221" i="27"/>
  <c r="DH221" i="27"/>
  <c r="DF221" i="27"/>
  <c r="DE221" i="27"/>
  <c r="DD221" i="27"/>
  <c r="DB221" i="27"/>
  <c r="DA221" i="27"/>
  <c r="CZ221" i="27"/>
  <c r="CX221" i="27"/>
  <c r="CW221" i="27"/>
  <c r="CV221" i="27"/>
  <c r="CT221" i="27"/>
  <c r="CS221" i="27"/>
  <c r="CR221" i="27"/>
  <c r="CP221" i="27"/>
  <c r="CO221" i="27"/>
  <c r="CN221" i="27"/>
  <c r="CL221" i="27"/>
  <c r="CK221" i="27"/>
  <c r="CJ221" i="27"/>
  <c r="CH221" i="27"/>
  <c r="CG221" i="27"/>
  <c r="CF221" i="27"/>
  <c r="CD221" i="27"/>
  <c r="EX220" i="27"/>
  <c r="FG220" i="27" s="1"/>
  <c r="EW220" i="27"/>
  <c r="EV220" i="27"/>
  <c r="ET220" i="27"/>
  <c r="ES220" i="27"/>
  <c r="ER220" i="27"/>
  <c r="EP220" i="27"/>
  <c r="EO220" i="27"/>
  <c r="EN220" i="27"/>
  <c r="EL220" i="27"/>
  <c r="EK220" i="27"/>
  <c r="EJ220" i="27"/>
  <c r="EH220" i="27"/>
  <c r="EG220" i="27"/>
  <c r="EF220" i="27"/>
  <c r="ED220" i="27"/>
  <c r="EC220" i="27"/>
  <c r="EB220" i="27"/>
  <c r="DZ220" i="27"/>
  <c r="DY220" i="27"/>
  <c r="DX220" i="27"/>
  <c r="DV220" i="27"/>
  <c r="DU220" i="27"/>
  <c r="DT220" i="27"/>
  <c r="DR220" i="27"/>
  <c r="DQ220" i="27"/>
  <c r="DP220" i="27"/>
  <c r="DN220" i="27"/>
  <c r="DM220" i="27"/>
  <c r="DL220" i="27"/>
  <c r="DJ220" i="27"/>
  <c r="DI220" i="27"/>
  <c r="DH220" i="27"/>
  <c r="DF220" i="27"/>
  <c r="DE220" i="27"/>
  <c r="DD220" i="27"/>
  <c r="DB220" i="27"/>
  <c r="DA220" i="27"/>
  <c r="CZ220" i="27"/>
  <c r="CX220" i="27"/>
  <c r="CW220" i="27"/>
  <c r="CV220" i="27"/>
  <c r="CT220" i="27"/>
  <c r="CS220" i="27"/>
  <c r="CR220" i="27"/>
  <c r="CP220" i="27"/>
  <c r="CO220" i="27"/>
  <c r="CN220" i="27"/>
  <c r="CL220" i="27"/>
  <c r="CK220" i="27"/>
  <c r="CJ220" i="27"/>
  <c r="CH220" i="27"/>
  <c r="CG220" i="27"/>
  <c r="CF220" i="27"/>
  <c r="CD220" i="27"/>
  <c r="EX219" i="27"/>
  <c r="FG219" i="27" s="1"/>
  <c r="EW219" i="27"/>
  <c r="EV219" i="27"/>
  <c r="ET219" i="27"/>
  <c r="ES219" i="27"/>
  <c r="ER219" i="27"/>
  <c r="EP219" i="27"/>
  <c r="EO219" i="27"/>
  <c r="EN219" i="27"/>
  <c r="EL219" i="27"/>
  <c r="EK219" i="27"/>
  <c r="EJ219" i="27"/>
  <c r="EH219" i="27"/>
  <c r="EG219" i="27"/>
  <c r="EF219" i="27"/>
  <c r="ED219" i="27"/>
  <c r="EC219" i="27"/>
  <c r="EB219" i="27"/>
  <c r="DZ219" i="27"/>
  <c r="DY219" i="27"/>
  <c r="DX219" i="27"/>
  <c r="DV219" i="27"/>
  <c r="DU219" i="27"/>
  <c r="DT219" i="27"/>
  <c r="DR219" i="27"/>
  <c r="DQ219" i="27"/>
  <c r="DP219" i="27"/>
  <c r="DN219" i="27"/>
  <c r="DM219" i="27"/>
  <c r="DL219" i="27"/>
  <c r="DJ219" i="27"/>
  <c r="DI219" i="27"/>
  <c r="DH219" i="27"/>
  <c r="DF219" i="27"/>
  <c r="DE219" i="27"/>
  <c r="DD219" i="27"/>
  <c r="DB219" i="27"/>
  <c r="DA219" i="27"/>
  <c r="CZ219" i="27"/>
  <c r="CX219" i="27"/>
  <c r="CW219" i="27"/>
  <c r="CV219" i="27"/>
  <c r="CT219" i="27"/>
  <c r="CS219" i="27"/>
  <c r="CR219" i="27"/>
  <c r="CP219" i="27"/>
  <c r="CO219" i="27"/>
  <c r="CN219" i="27"/>
  <c r="CL219" i="27"/>
  <c r="CK219" i="27"/>
  <c r="CJ219" i="27"/>
  <c r="CH219" i="27"/>
  <c r="CG219" i="27"/>
  <c r="CF219" i="27"/>
  <c r="CD219" i="27"/>
  <c r="EX218" i="27"/>
  <c r="FG218" i="27" s="1"/>
  <c r="EW218" i="27"/>
  <c r="EV218" i="27"/>
  <c r="ET218" i="27"/>
  <c r="ES218" i="27"/>
  <c r="ER218" i="27"/>
  <c r="EP218" i="27"/>
  <c r="EO218" i="27"/>
  <c r="EN218" i="27"/>
  <c r="EL218" i="27"/>
  <c r="EK218" i="27"/>
  <c r="EJ218" i="27"/>
  <c r="EH218" i="27"/>
  <c r="EG218" i="27"/>
  <c r="EF218" i="27"/>
  <c r="ED218" i="27"/>
  <c r="EC218" i="27"/>
  <c r="EB218" i="27"/>
  <c r="DZ218" i="27"/>
  <c r="DY218" i="27"/>
  <c r="DX218" i="27"/>
  <c r="DV218" i="27"/>
  <c r="DU218" i="27"/>
  <c r="DT218" i="27"/>
  <c r="DR218" i="27"/>
  <c r="DQ218" i="27"/>
  <c r="DP218" i="27"/>
  <c r="DN218" i="27"/>
  <c r="DM218" i="27"/>
  <c r="DL218" i="27"/>
  <c r="DJ218" i="27"/>
  <c r="DI218" i="27"/>
  <c r="DH218" i="27"/>
  <c r="DF218" i="27"/>
  <c r="DE218" i="27"/>
  <c r="DD218" i="27"/>
  <c r="DB218" i="27"/>
  <c r="DA218" i="27"/>
  <c r="CZ218" i="27"/>
  <c r="CX218" i="27"/>
  <c r="CW218" i="27"/>
  <c r="CV218" i="27"/>
  <c r="CT218" i="27"/>
  <c r="CS218" i="27"/>
  <c r="CR218" i="27"/>
  <c r="CP218" i="27"/>
  <c r="CO218" i="27"/>
  <c r="CN218" i="27"/>
  <c r="CL218" i="27"/>
  <c r="CK218" i="27"/>
  <c r="CJ218" i="27"/>
  <c r="CH218" i="27"/>
  <c r="CG218" i="27"/>
  <c r="CF218" i="27"/>
  <c r="CD218" i="27"/>
  <c r="EX217" i="27"/>
  <c r="FG217" i="27" s="1"/>
  <c r="EW217" i="27"/>
  <c r="EV217" i="27"/>
  <c r="ET217" i="27"/>
  <c r="ES217" i="27"/>
  <c r="ER217" i="27"/>
  <c r="EP217" i="27"/>
  <c r="EO217" i="27"/>
  <c r="EN217" i="27"/>
  <c r="EL217" i="27"/>
  <c r="EK217" i="27"/>
  <c r="EJ217" i="27"/>
  <c r="EH217" i="27"/>
  <c r="EG217" i="27"/>
  <c r="EF217" i="27"/>
  <c r="ED217" i="27"/>
  <c r="EC217" i="27"/>
  <c r="EB217" i="27"/>
  <c r="DZ217" i="27"/>
  <c r="DY217" i="27"/>
  <c r="DX217" i="27"/>
  <c r="DV217" i="27"/>
  <c r="DU217" i="27"/>
  <c r="DT217" i="27"/>
  <c r="DR217" i="27"/>
  <c r="DQ217" i="27"/>
  <c r="DP217" i="27"/>
  <c r="DN217" i="27"/>
  <c r="DM217" i="27"/>
  <c r="DL217" i="27"/>
  <c r="DJ217" i="27"/>
  <c r="DI217" i="27"/>
  <c r="DH217" i="27"/>
  <c r="DF217" i="27"/>
  <c r="DE217" i="27"/>
  <c r="DD217" i="27"/>
  <c r="DB217" i="27"/>
  <c r="DA217" i="27"/>
  <c r="CZ217" i="27"/>
  <c r="CX217" i="27"/>
  <c r="CW217" i="27"/>
  <c r="CV217" i="27"/>
  <c r="CT217" i="27"/>
  <c r="CS217" i="27"/>
  <c r="CR217" i="27"/>
  <c r="CP217" i="27"/>
  <c r="CO217" i="27"/>
  <c r="CN217" i="27"/>
  <c r="CL217" i="27"/>
  <c r="CK217" i="27"/>
  <c r="CJ217" i="27"/>
  <c r="CH217" i="27"/>
  <c r="CG217" i="27"/>
  <c r="CF217" i="27"/>
  <c r="CD217" i="27"/>
  <c r="EX216" i="27"/>
  <c r="FG216" i="27" s="1"/>
  <c r="EW216" i="27"/>
  <c r="EV216" i="27"/>
  <c r="ET216" i="27"/>
  <c r="ES216" i="27"/>
  <c r="ER216" i="27"/>
  <c r="EP216" i="27"/>
  <c r="EO216" i="27"/>
  <c r="EN216" i="27"/>
  <c r="EL216" i="27"/>
  <c r="EK216" i="27"/>
  <c r="EJ216" i="27"/>
  <c r="EH216" i="27"/>
  <c r="EG216" i="27"/>
  <c r="EF216" i="27"/>
  <c r="ED216" i="27"/>
  <c r="EC216" i="27"/>
  <c r="EB216" i="27"/>
  <c r="DZ216" i="27"/>
  <c r="DY216" i="27"/>
  <c r="DX216" i="27"/>
  <c r="DV216" i="27"/>
  <c r="DU216" i="27"/>
  <c r="DT216" i="27"/>
  <c r="DR216" i="27"/>
  <c r="DQ216" i="27"/>
  <c r="DP216" i="27"/>
  <c r="DN216" i="27"/>
  <c r="DM216" i="27"/>
  <c r="DL216" i="27"/>
  <c r="DJ216" i="27"/>
  <c r="DI216" i="27"/>
  <c r="DH216" i="27"/>
  <c r="DF216" i="27"/>
  <c r="DE216" i="27"/>
  <c r="DD216" i="27"/>
  <c r="DB216" i="27"/>
  <c r="DA216" i="27"/>
  <c r="CZ216" i="27"/>
  <c r="CX216" i="27"/>
  <c r="CW216" i="27"/>
  <c r="CV216" i="27"/>
  <c r="CT216" i="27"/>
  <c r="CS216" i="27"/>
  <c r="CR216" i="27"/>
  <c r="CP216" i="27"/>
  <c r="CO216" i="27"/>
  <c r="CN216" i="27"/>
  <c r="CL216" i="27"/>
  <c r="CK216" i="27"/>
  <c r="CJ216" i="27"/>
  <c r="CH216" i="27"/>
  <c r="CG216" i="27"/>
  <c r="CF216" i="27"/>
  <c r="CD216" i="27"/>
  <c r="EX215" i="27"/>
  <c r="FG215" i="27" s="1"/>
  <c r="EW215" i="27"/>
  <c r="EV215" i="27"/>
  <c r="ET215" i="27"/>
  <c r="ES215" i="27"/>
  <c r="ER215" i="27"/>
  <c r="EP215" i="27"/>
  <c r="EO215" i="27"/>
  <c r="EN215" i="27"/>
  <c r="EL215" i="27"/>
  <c r="EK215" i="27"/>
  <c r="EJ215" i="27"/>
  <c r="EH215" i="27"/>
  <c r="EG215" i="27"/>
  <c r="EF215" i="27"/>
  <c r="ED215" i="27"/>
  <c r="EC215" i="27"/>
  <c r="EB215" i="27"/>
  <c r="DZ215" i="27"/>
  <c r="DY215" i="27"/>
  <c r="DX215" i="27"/>
  <c r="DV215" i="27"/>
  <c r="DU215" i="27"/>
  <c r="DT215" i="27"/>
  <c r="DR215" i="27"/>
  <c r="DQ215" i="27"/>
  <c r="DP215" i="27"/>
  <c r="DN215" i="27"/>
  <c r="DM215" i="27"/>
  <c r="DL215" i="27"/>
  <c r="DJ215" i="27"/>
  <c r="DI215" i="27"/>
  <c r="DH215" i="27"/>
  <c r="DF215" i="27"/>
  <c r="DE215" i="27"/>
  <c r="DD215" i="27"/>
  <c r="DB215" i="27"/>
  <c r="DA215" i="27"/>
  <c r="CZ215" i="27"/>
  <c r="CX215" i="27"/>
  <c r="CW215" i="27"/>
  <c r="CV215" i="27"/>
  <c r="CT215" i="27"/>
  <c r="CS215" i="27"/>
  <c r="CR215" i="27"/>
  <c r="CP215" i="27"/>
  <c r="CO215" i="27"/>
  <c r="CN215" i="27"/>
  <c r="CL215" i="27"/>
  <c r="CK215" i="27"/>
  <c r="CJ215" i="27"/>
  <c r="CH215" i="27"/>
  <c r="CG215" i="27"/>
  <c r="CF215" i="27"/>
  <c r="CD215" i="27"/>
  <c r="EX214" i="27"/>
  <c r="FG214" i="27" s="1"/>
  <c r="EW214" i="27"/>
  <c r="EV214" i="27"/>
  <c r="ET214" i="27"/>
  <c r="ES214" i="27"/>
  <c r="ER214" i="27"/>
  <c r="EP214" i="27"/>
  <c r="EO214" i="27"/>
  <c r="EN214" i="27"/>
  <c r="EL214" i="27"/>
  <c r="EK214" i="27"/>
  <c r="EJ214" i="27"/>
  <c r="EH214" i="27"/>
  <c r="EG214" i="27"/>
  <c r="EF214" i="27"/>
  <c r="ED214" i="27"/>
  <c r="EC214" i="27"/>
  <c r="EB214" i="27"/>
  <c r="DZ214" i="27"/>
  <c r="DY214" i="27"/>
  <c r="DX214" i="27"/>
  <c r="DV214" i="27"/>
  <c r="DU214" i="27"/>
  <c r="DT214" i="27"/>
  <c r="DR214" i="27"/>
  <c r="DQ214" i="27"/>
  <c r="DP214" i="27"/>
  <c r="DN214" i="27"/>
  <c r="DM214" i="27"/>
  <c r="DL214" i="27"/>
  <c r="DJ214" i="27"/>
  <c r="DI214" i="27"/>
  <c r="DH214" i="27"/>
  <c r="DF214" i="27"/>
  <c r="DE214" i="27"/>
  <c r="DD214" i="27"/>
  <c r="DB214" i="27"/>
  <c r="DA214" i="27"/>
  <c r="CZ214" i="27"/>
  <c r="CX214" i="27"/>
  <c r="CW214" i="27"/>
  <c r="CV214" i="27"/>
  <c r="CT214" i="27"/>
  <c r="CS214" i="27"/>
  <c r="CR214" i="27"/>
  <c r="CP214" i="27"/>
  <c r="CO214" i="27"/>
  <c r="CN214" i="27"/>
  <c r="CL214" i="27"/>
  <c r="CK214" i="27"/>
  <c r="CJ214" i="27"/>
  <c r="CH214" i="27"/>
  <c r="CG214" i="27"/>
  <c r="CF214" i="27"/>
  <c r="CD214" i="27"/>
  <c r="EX213" i="27"/>
  <c r="FG213" i="27" s="1"/>
  <c r="EW213" i="27"/>
  <c r="EV213" i="27"/>
  <c r="ET213" i="27"/>
  <c r="ES213" i="27"/>
  <c r="ER213" i="27"/>
  <c r="EP213" i="27"/>
  <c r="EO213" i="27"/>
  <c r="EN213" i="27"/>
  <c r="EL213" i="27"/>
  <c r="EK213" i="27"/>
  <c r="EJ213" i="27"/>
  <c r="EH213" i="27"/>
  <c r="EG213" i="27"/>
  <c r="EF213" i="27"/>
  <c r="ED213" i="27"/>
  <c r="EC213" i="27"/>
  <c r="EB213" i="27"/>
  <c r="DZ213" i="27"/>
  <c r="DY213" i="27"/>
  <c r="DX213" i="27"/>
  <c r="DV213" i="27"/>
  <c r="DU213" i="27"/>
  <c r="DT213" i="27"/>
  <c r="DR213" i="27"/>
  <c r="DQ213" i="27"/>
  <c r="DP213" i="27"/>
  <c r="DN213" i="27"/>
  <c r="DM213" i="27"/>
  <c r="DL213" i="27"/>
  <c r="DJ213" i="27"/>
  <c r="DI213" i="27"/>
  <c r="DH213" i="27"/>
  <c r="DF213" i="27"/>
  <c r="DE213" i="27"/>
  <c r="DD213" i="27"/>
  <c r="DB213" i="27"/>
  <c r="DA213" i="27"/>
  <c r="CZ213" i="27"/>
  <c r="CX213" i="27"/>
  <c r="CW213" i="27"/>
  <c r="CV213" i="27"/>
  <c r="CT213" i="27"/>
  <c r="CS213" i="27"/>
  <c r="CR213" i="27"/>
  <c r="CP213" i="27"/>
  <c r="CO213" i="27"/>
  <c r="CN213" i="27"/>
  <c r="CL213" i="27"/>
  <c r="CK213" i="27"/>
  <c r="CJ213" i="27"/>
  <c r="CH213" i="27"/>
  <c r="CG213" i="27"/>
  <c r="CF213" i="27"/>
  <c r="CD213" i="27"/>
  <c r="EX212" i="27"/>
  <c r="FG212" i="27" s="1"/>
  <c r="EW212" i="27"/>
  <c r="EV212" i="27"/>
  <c r="ET212" i="27"/>
  <c r="ES212" i="27"/>
  <c r="ER212" i="27"/>
  <c r="EP212" i="27"/>
  <c r="EO212" i="27"/>
  <c r="EN212" i="27"/>
  <c r="EL212" i="27"/>
  <c r="EK212" i="27"/>
  <c r="EJ212" i="27"/>
  <c r="EH212" i="27"/>
  <c r="EG212" i="27"/>
  <c r="EF212" i="27"/>
  <c r="ED212" i="27"/>
  <c r="EC212" i="27"/>
  <c r="EB212" i="27"/>
  <c r="DZ212" i="27"/>
  <c r="DY212" i="27"/>
  <c r="DX212" i="27"/>
  <c r="DV212" i="27"/>
  <c r="DU212" i="27"/>
  <c r="DT212" i="27"/>
  <c r="DR212" i="27"/>
  <c r="DQ212" i="27"/>
  <c r="DP212" i="27"/>
  <c r="DN212" i="27"/>
  <c r="DM212" i="27"/>
  <c r="DL212" i="27"/>
  <c r="DJ212" i="27"/>
  <c r="DI212" i="27"/>
  <c r="DH212" i="27"/>
  <c r="DF212" i="27"/>
  <c r="DE212" i="27"/>
  <c r="DD212" i="27"/>
  <c r="DB212" i="27"/>
  <c r="DA212" i="27"/>
  <c r="CZ212" i="27"/>
  <c r="CX212" i="27"/>
  <c r="CW212" i="27"/>
  <c r="CV212" i="27"/>
  <c r="CT212" i="27"/>
  <c r="CS212" i="27"/>
  <c r="CR212" i="27"/>
  <c r="CP212" i="27"/>
  <c r="CO212" i="27"/>
  <c r="CN212" i="27"/>
  <c r="CL212" i="27"/>
  <c r="CK212" i="27"/>
  <c r="CJ212" i="27"/>
  <c r="CH212" i="27"/>
  <c r="CG212" i="27"/>
  <c r="CF212" i="27"/>
  <c r="CD212" i="27"/>
  <c r="EX211" i="27"/>
  <c r="FG211" i="27" s="1"/>
  <c r="EW211" i="27"/>
  <c r="EV211" i="27"/>
  <c r="ET211" i="27"/>
  <c r="ES211" i="27"/>
  <c r="ER211" i="27"/>
  <c r="EP211" i="27"/>
  <c r="EO211" i="27"/>
  <c r="EN211" i="27"/>
  <c r="EL211" i="27"/>
  <c r="EK211" i="27"/>
  <c r="EJ211" i="27"/>
  <c r="EH211" i="27"/>
  <c r="EG211" i="27"/>
  <c r="EF211" i="27"/>
  <c r="ED211" i="27"/>
  <c r="EC211" i="27"/>
  <c r="EB211" i="27"/>
  <c r="DZ211" i="27"/>
  <c r="DY211" i="27"/>
  <c r="DX211" i="27"/>
  <c r="DV211" i="27"/>
  <c r="DU211" i="27"/>
  <c r="DT211" i="27"/>
  <c r="DR211" i="27"/>
  <c r="DQ211" i="27"/>
  <c r="DP211" i="27"/>
  <c r="DN211" i="27"/>
  <c r="DM211" i="27"/>
  <c r="DL211" i="27"/>
  <c r="DJ211" i="27"/>
  <c r="DI211" i="27"/>
  <c r="DH211" i="27"/>
  <c r="DF211" i="27"/>
  <c r="DE211" i="27"/>
  <c r="DD211" i="27"/>
  <c r="DB211" i="27"/>
  <c r="DA211" i="27"/>
  <c r="CZ211" i="27"/>
  <c r="CX211" i="27"/>
  <c r="CW211" i="27"/>
  <c r="CV211" i="27"/>
  <c r="CT211" i="27"/>
  <c r="CS211" i="27"/>
  <c r="CR211" i="27"/>
  <c r="CP211" i="27"/>
  <c r="CO211" i="27"/>
  <c r="CN211" i="27"/>
  <c r="CL211" i="27"/>
  <c r="CK211" i="27"/>
  <c r="CJ211" i="27"/>
  <c r="CH211" i="27"/>
  <c r="CG211" i="27"/>
  <c r="CF211" i="27"/>
  <c r="CD211" i="27"/>
  <c r="EX210" i="27"/>
  <c r="FG210" i="27" s="1"/>
  <c r="EW210" i="27"/>
  <c r="EV210" i="27"/>
  <c r="ET210" i="27"/>
  <c r="ES210" i="27"/>
  <c r="ER210" i="27"/>
  <c r="EP210" i="27"/>
  <c r="EO210" i="27"/>
  <c r="EN210" i="27"/>
  <c r="EL210" i="27"/>
  <c r="EK210" i="27"/>
  <c r="EJ210" i="27"/>
  <c r="EH210" i="27"/>
  <c r="EG210" i="27"/>
  <c r="EF210" i="27"/>
  <c r="ED210" i="27"/>
  <c r="EC210" i="27"/>
  <c r="EB210" i="27"/>
  <c r="DZ210" i="27"/>
  <c r="DY210" i="27"/>
  <c r="DX210" i="27"/>
  <c r="DV210" i="27"/>
  <c r="DU210" i="27"/>
  <c r="DT210" i="27"/>
  <c r="DR210" i="27"/>
  <c r="DQ210" i="27"/>
  <c r="DP210" i="27"/>
  <c r="DN210" i="27"/>
  <c r="DM210" i="27"/>
  <c r="DL210" i="27"/>
  <c r="DJ210" i="27"/>
  <c r="DI210" i="27"/>
  <c r="DH210" i="27"/>
  <c r="DF210" i="27"/>
  <c r="DE210" i="27"/>
  <c r="DD210" i="27"/>
  <c r="DB210" i="27"/>
  <c r="DA210" i="27"/>
  <c r="CZ210" i="27"/>
  <c r="CX210" i="27"/>
  <c r="CW210" i="27"/>
  <c r="CV210" i="27"/>
  <c r="CT210" i="27"/>
  <c r="CS210" i="27"/>
  <c r="CR210" i="27"/>
  <c r="CP210" i="27"/>
  <c r="CO210" i="27"/>
  <c r="CN210" i="27"/>
  <c r="CL210" i="27"/>
  <c r="CK210" i="27"/>
  <c r="CJ210" i="27"/>
  <c r="CH210" i="27"/>
  <c r="CG210" i="27"/>
  <c r="CF210" i="27"/>
  <c r="CD210" i="27"/>
  <c r="EX209" i="27"/>
  <c r="FG209" i="27" s="1"/>
  <c r="EW209" i="27"/>
  <c r="EV209" i="27"/>
  <c r="ET209" i="27"/>
  <c r="ES209" i="27"/>
  <c r="ER209" i="27"/>
  <c r="EP209" i="27"/>
  <c r="EO209" i="27"/>
  <c r="EN209" i="27"/>
  <c r="EL209" i="27"/>
  <c r="EK209" i="27"/>
  <c r="EJ209" i="27"/>
  <c r="EH209" i="27"/>
  <c r="EG209" i="27"/>
  <c r="EF209" i="27"/>
  <c r="ED209" i="27"/>
  <c r="EC209" i="27"/>
  <c r="EB209" i="27"/>
  <c r="DZ209" i="27"/>
  <c r="DY209" i="27"/>
  <c r="DX209" i="27"/>
  <c r="DV209" i="27"/>
  <c r="DU209" i="27"/>
  <c r="DT209" i="27"/>
  <c r="DR209" i="27"/>
  <c r="DQ209" i="27"/>
  <c r="DP209" i="27"/>
  <c r="DN209" i="27"/>
  <c r="DM209" i="27"/>
  <c r="DL209" i="27"/>
  <c r="DJ209" i="27"/>
  <c r="DI209" i="27"/>
  <c r="DH209" i="27"/>
  <c r="DF209" i="27"/>
  <c r="DE209" i="27"/>
  <c r="DD209" i="27"/>
  <c r="DB209" i="27"/>
  <c r="DA209" i="27"/>
  <c r="CZ209" i="27"/>
  <c r="CX209" i="27"/>
  <c r="CW209" i="27"/>
  <c r="CV209" i="27"/>
  <c r="CT209" i="27"/>
  <c r="CS209" i="27"/>
  <c r="CR209" i="27"/>
  <c r="CP209" i="27"/>
  <c r="CO209" i="27"/>
  <c r="CN209" i="27"/>
  <c r="CL209" i="27"/>
  <c r="CK209" i="27"/>
  <c r="CJ209" i="27"/>
  <c r="CH209" i="27"/>
  <c r="CG209" i="27"/>
  <c r="CF209" i="27"/>
  <c r="CD209" i="27"/>
  <c r="EX208" i="27"/>
  <c r="FG208" i="27" s="1"/>
  <c r="EW208" i="27"/>
  <c r="EV208" i="27"/>
  <c r="ET208" i="27"/>
  <c r="ES208" i="27"/>
  <c r="ER208" i="27"/>
  <c r="EP208" i="27"/>
  <c r="EO208" i="27"/>
  <c r="EN208" i="27"/>
  <c r="EL208" i="27"/>
  <c r="EK208" i="27"/>
  <c r="EJ208" i="27"/>
  <c r="EH208" i="27"/>
  <c r="EG208" i="27"/>
  <c r="EF208" i="27"/>
  <c r="ED208" i="27"/>
  <c r="EC208" i="27"/>
  <c r="EB208" i="27"/>
  <c r="DZ208" i="27"/>
  <c r="DY208" i="27"/>
  <c r="DX208" i="27"/>
  <c r="DV208" i="27"/>
  <c r="DU208" i="27"/>
  <c r="DT208" i="27"/>
  <c r="DR208" i="27"/>
  <c r="DQ208" i="27"/>
  <c r="DP208" i="27"/>
  <c r="DN208" i="27"/>
  <c r="DM208" i="27"/>
  <c r="DL208" i="27"/>
  <c r="DJ208" i="27"/>
  <c r="DI208" i="27"/>
  <c r="DH208" i="27"/>
  <c r="DF208" i="27"/>
  <c r="DE208" i="27"/>
  <c r="DD208" i="27"/>
  <c r="DB208" i="27"/>
  <c r="DA208" i="27"/>
  <c r="CZ208" i="27"/>
  <c r="CX208" i="27"/>
  <c r="CW208" i="27"/>
  <c r="CV208" i="27"/>
  <c r="CT208" i="27"/>
  <c r="CS208" i="27"/>
  <c r="CR208" i="27"/>
  <c r="CP208" i="27"/>
  <c r="CO208" i="27"/>
  <c r="CN208" i="27"/>
  <c r="CL208" i="27"/>
  <c r="CK208" i="27"/>
  <c r="CJ208" i="27"/>
  <c r="CH208" i="27"/>
  <c r="CG208" i="27"/>
  <c r="CF208" i="27"/>
  <c r="CD208" i="27"/>
  <c r="EX207" i="27"/>
  <c r="FG207" i="27" s="1"/>
  <c r="EW207" i="27"/>
  <c r="EV207" i="27"/>
  <c r="ET207" i="27"/>
  <c r="ES207" i="27"/>
  <c r="ER207" i="27"/>
  <c r="EP207" i="27"/>
  <c r="EO207" i="27"/>
  <c r="EN207" i="27"/>
  <c r="EL207" i="27"/>
  <c r="EK207" i="27"/>
  <c r="EJ207" i="27"/>
  <c r="EH207" i="27"/>
  <c r="EG207" i="27"/>
  <c r="EF207" i="27"/>
  <c r="ED207" i="27"/>
  <c r="EC207" i="27"/>
  <c r="EB207" i="27"/>
  <c r="DZ207" i="27"/>
  <c r="DY207" i="27"/>
  <c r="DX207" i="27"/>
  <c r="DV207" i="27"/>
  <c r="DU207" i="27"/>
  <c r="DT207" i="27"/>
  <c r="DR207" i="27"/>
  <c r="DQ207" i="27"/>
  <c r="DP207" i="27"/>
  <c r="DN207" i="27"/>
  <c r="DM207" i="27"/>
  <c r="DL207" i="27"/>
  <c r="DJ207" i="27"/>
  <c r="DI207" i="27"/>
  <c r="DH207" i="27"/>
  <c r="DF207" i="27"/>
  <c r="DE207" i="27"/>
  <c r="DD207" i="27"/>
  <c r="DB207" i="27"/>
  <c r="DA207" i="27"/>
  <c r="CZ207" i="27"/>
  <c r="CX207" i="27"/>
  <c r="CW207" i="27"/>
  <c r="CV207" i="27"/>
  <c r="CT207" i="27"/>
  <c r="CS207" i="27"/>
  <c r="CR207" i="27"/>
  <c r="CP207" i="27"/>
  <c r="CO207" i="27"/>
  <c r="CN207" i="27"/>
  <c r="CL207" i="27"/>
  <c r="CK207" i="27"/>
  <c r="CJ207" i="27"/>
  <c r="CH207" i="27"/>
  <c r="CG207" i="27"/>
  <c r="CF207" i="27"/>
  <c r="CD207" i="27"/>
  <c r="EX206" i="27"/>
  <c r="FG206" i="27" s="1"/>
  <c r="EW206" i="27"/>
  <c r="EV206" i="27"/>
  <c r="ET206" i="27"/>
  <c r="ES206" i="27"/>
  <c r="ER206" i="27"/>
  <c r="EP206" i="27"/>
  <c r="EO206" i="27"/>
  <c r="EN206" i="27"/>
  <c r="EL206" i="27"/>
  <c r="EK206" i="27"/>
  <c r="EJ206" i="27"/>
  <c r="EH206" i="27"/>
  <c r="EG206" i="27"/>
  <c r="EF206" i="27"/>
  <c r="ED206" i="27"/>
  <c r="EC206" i="27"/>
  <c r="EB206" i="27"/>
  <c r="DZ206" i="27"/>
  <c r="DY206" i="27"/>
  <c r="DX206" i="27"/>
  <c r="DV206" i="27"/>
  <c r="DU206" i="27"/>
  <c r="DT206" i="27"/>
  <c r="DR206" i="27"/>
  <c r="DQ206" i="27"/>
  <c r="DP206" i="27"/>
  <c r="DN206" i="27"/>
  <c r="DM206" i="27"/>
  <c r="DL206" i="27"/>
  <c r="DJ206" i="27"/>
  <c r="DI206" i="27"/>
  <c r="DH206" i="27"/>
  <c r="DF206" i="27"/>
  <c r="DE206" i="27"/>
  <c r="DD206" i="27"/>
  <c r="DB206" i="27"/>
  <c r="DA206" i="27"/>
  <c r="CZ206" i="27"/>
  <c r="CX206" i="27"/>
  <c r="CW206" i="27"/>
  <c r="CV206" i="27"/>
  <c r="CT206" i="27"/>
  <c r="CS206" i="27"/>
  <c r="CR206" i="27"/>
  <c r="CP206" i="27"/>
  <c r="CO206" i="27"/>
  <c r="CN206" i="27"/>
  <c r="CL206" i="27"/>
  <c r="CK206" i="27"/>
  <c r="CJ206" i="27"/>
  <c r="CH206" i="27"/>
  <c r="CG206" i="27"/>
  <c r="CF206" i="27"/>
  <c r="CD206" i="27"/>
  <c r="EX205" i="27"/>
  <c r="FG205" i="27" s="1"/>
  <c r="EW205" i="27"/>
  <c r="EV205" i="27"/>
  <c r="ET205" i="27"/>
  <c r="ES205" i="27"/>
  <c r="ER205" i="27"/>
  <c r="EP205" i="27"/>
  <c r="EO205" i="27"/>
  <c r="EN205" i="27"/>
  <c r="EL205" i="27"/>
  <c r="EK205" i="27"/>
  <c r="EJ205" i="27"/>
  <c r="EH205" i="27"/>
  <c r="EG205" i="27"/>
  <c r="EF205" i="27"/>
  <c r="ED205" i="27"/>
  <c r="EC205" i="27"/>
  <c r="EB205" i="27"/>
  <c r="DZ205" i="27"/>
  <c r="DY205" i="27"/>
  <c r="DX205" i="27"/>
  <c r="DV205" i="27"/>
  <c r="DU205" i="27"/>
  <c r="DT205" i="27"/>
  <c r="DR205" i="27"/>
  <c r="DQ205" i="27"/>
  <c r="DP205" i="27"/>
  <c r="DN205" i="27"/>
  <c r="DM205" i="27"/>
  <c r="DL205" i="27"/>
  <c r="DJ205" i="27"/>
  <c r="DI205" i="27"/>
  <c r="DH205" i="27"/>
  <c r="DF205" i="27"/>
  <c r="DE205" i="27"/>
  <c r="DD205" i="27"/>
  <c r="DB205" i="27"/>
  <c r="DA205" i="27"/>
  <c r="CZ205" i="27"/>
  <c r="CX205" i="27"/>
  <c r="CW205" i="27"/>
  <c r="CV205" i="27"/>
  <c r="CT205" i="27"/>
  <c r="CS205" i="27"/>
  <c r="CR205" i="27"/>
  <c r="CP205" i="27"/>
  <c r="CO205" i="27"/>
  <c r="CN205" i="27"/>
  <c r="CL205" i="27"/>
  <c r="CK205" i="27"/>
  <c r="CJ205" i="27"/>
  <c r="CH205" i="27"/>
  <c r="CG205" i="27"/>
  <c r="CF205" i="27"/>
  <c r="CD205" i="27"/>
  <c r="EX204" i="27"/>
  <c r="FG204" i="27" s="1"/>
  <c r="EW204" i="27"/>
  <c r="EV204" i="27"/>
  <c r="ET204" i="27"/>
  <c r="ES204" i="27"/>
  <c r="ER204" i="27"/>
  <c r="EP204" i="27"/>
  <c r="EO204" i="27"/>
  <c r="EN204" i="27"/>
  <c r="EL204" i="27"/>
  <c r="EK204" i="27"/>
  <c r="EJ204" i="27"/>
  <c r="EH204" i="27"/>
  <c r="EG204" i="27"/>
  <c r="EF204" i="27"/>
  <c r="ED204" i="27"/>
  <c r="EC204" i="27"/>
  <c r="EB204" i="27"/>
  <c r="DZ204" i="27"/>
  <c r="DY204" i="27"/>
  <c r="DX204" i="27"/>
  <c r="DV204" i="27"/>
  <c r="DU204" i="27"/>
  <c r="DT204" i="27"/>
  <c r="DR204" i="27"/>
  <c r="DQ204" i="27"/>
  <c r="DP204" i="27"/>
  <c r="DN204" i="27"/>
  <c r="DM204" i="27"/>
  <c r="DL204" i="27"/>
  <c r="DJ204" i="27"/>
  <c r="DI204" i="27"/>
  <c r="DH204" i="27"/>
  <c r="DF204" i="27"/>
  <c r="DE204" i="27"/>
  <c r="DD204" i="27"/>
  <c r="DB204" i="27"/>
  <c r="DA204" i="27"/>
  <c r="CZ204" i="27"/>
  <c r="CX204" i="27"/>
  <c r="CW204" i="27"/>
  <c r="CV204" i="27"/>
  <c r="CT204" i="27"/>
  <c r="CS204" i="27"/>
  <c r="CR204" i="27"/>
  <c r="CP204" i="27"/>
  <c r="CO204" i="27"/>
  <c r="CN204" i="27"/>
  <c r="CL204" i="27"/>
  <c r="CK204" i="27"/>
  <c r="CJ204" i="27"/>
  <c r="CH204" i="27"/>
  <c r="CG204" i="27"/>
  <c r="CF204" i="27"/>
  <c r="CD204" i="27"/>
  <c r="EX203" i="27"/>
  <c r="FG203" i="27" s="1"/>
  <c r="EW203" i="27"/>
  <c r="EV203" i="27"/>
  <c r="ET203" i="27"/>
  <c r="ES203" i="27"/>
  <c r="ER203" i="27"/>
  <c r="EP203" i="27"/>
  <c r="EO203" i="27"/>
  <c r="EN203" i="27"/>
  <c r="EL203" i="27"/>
  <c r="EK203" i="27"/>
  <c r="EJ203" i="27"/>
  <c r="EH203" i="27"/>
  <c r="EG203" i="27"/>
  <c r="EF203" i="27"/>
  <c r="ED203" i="27"/>
  <c r="EC203" i="27"/>
  <c r="EB203" i="27"/>
  <c r="DZ203" i="27"/>
  <c r="DY203" i="27"/>
  <c r="DX203" i="27"/>
  <c r="DV203" i="27"/>
  <c r="DU203" i="27"/>
  <c r="DT203" i="27"/>
  <c r="DR203" i="27"/>
  <c r="DQ203" i="27"/>
  <c r="DP203" i="27"/>
  <c r="DN203" i="27"/>
  <c r="DM203" i="27"/>
  <c r="DL203" i="27"/>
  <c r="DJ203" i="27"/>
  <c r="DI203" i="27"/>
  <c r="DH203" i="27"/>
  <c r="DF203" i="27"/>
  <c r="DE203" i="27"/>
  <c r="DD203" i="27"/>
  <c r="DB203" i="27"/>
  <c r="DA203" i="27"/>
  <c r="CZ203" i="27"/>
  <c r="CX203" i="27"/>
  <c r="CW203" i="27"/>
  <c r="CV203" i="27"/>
  <c r="CT203" i="27"/>
  <c r="CS203" i="27"/>
  <c r="CR203" i="27"/>
  <c r="CP203" i="27"/>
  <c r="CO203" i="27"/>
  <c r="CN203" i="27"/>
  <c r="CL203" i="27"/>
  <c r="CK203" i="27"/>
  <c r="CJ203" i="27"/>
  <c r="CH203" i="27"/>
  <c r="CG203" i="27"/>
  <c r="CF203" i="27"/>
  <c r="CD203" i="27"/>
  <c r="EX202" i="27"/>
  <c r="FG202" i="27" s="1"/>
  <c r="EW202" i="27"/>
  <c r="EV202" i="27"/>
  <c r="ET202" i="27"/>
  <c r="ES202" i="27"/>
  <c r="ER202" i="27"/>
  <c r="EP202" i="27"/>
  <c r="EO202" i="27"/>
  <c r="EN202" i="27"/>
  <c r="EL202" i="27"/>
  <c r="EK202" i="27"/>
  <c r="EJ202" i="27"/>
  <c r="EH202" i="27"/>
  <c r="EG202" i="27"/>
  <c r="EF202" i="27"/>
  <c r="ED202" i="27"/>
  <c r="EC202" i="27"/>
  <c r="EB202" i="27"/>
  <c r="DZ202" i="27"/>
  <c r="DY202" i="27"/>
  <c r="DX202" i="27"/>
  <c r="DV202" i="27"/>
  <c r="DU202" i="27"/>
  <c r="DT202" i="27"/>
  <c r="DR202" i="27"/>
  <c r="DQ202" i="27"/>
  <c r="DP202" i="27"/>
  <c r="DN202" i="27"/>
  <c r="DM202" i="27"/>
  <c r="DL202" i="27"/>
  <c r="DJ202" i="27"/>
  <c r="DI202" i="27"/>
  <c r="DH202" i="27"/>
  <c r="DF202" i="27"/>
  <c r="DE202" i="27"/>
  <c r="DD202" i="27"/>
  <c r="DB202" i="27"/>
  <c r="DA202" i="27"/>
  <c r="CZ202" i="27"/>
  <c r="CX202" i="27"/>
  <c r="CW202" i="27"/>
  <c r="CV202" i="27"/>
  <c r="CT202" i="27"/>
  <c r="CS202" i="27"/>
  <c r="CR202" i="27"/>
  <c r="CP202" i="27"/>
  <c r="CO202" i="27"/>
  <c r="CN202" i="27"/>
  <c r="CL202" i="27"/>
  <c r="CK202" i="27"/>
  <c r="CJ202" i="27"/>
  <c r="CH202" i="27"/>
  <c r="CG202" i="27"/>
  <c r="CF202" i="27"/>
  <c r="CD202" i="27"/>
  <c r="EX201" i="27"/>
  <c r="FG201" i="27" s="1"/>
  <c r="EW201" i="27"/>
  <c r="EV201" i="27"/>
  <c r="ET201" i="27"/>
  <c r="ES201" i="27"/>
  <c r="ER201" i="27"/>
  <c r="EP201" i="27"/>
  <c r="EO201" i="27"/>
  <c r="EN201" i="27"/>
  <c r="EL201" i="27"/>
  <c r="EK201" i="27"/>
  <c r="EJ201" i="27"/>
  <c r="EH201" i="27"/>
  <c r="EG201" i="27"/>
  <c r="EF201" i="27"/>
  <c r="ED201" i="27"/>
  <c r="EC201" i="27"/>
  <c r="EB201" i="27"/>
  <c r="DZ201" i="27"/>
  <c r="DY201" i="27"/>
  <c r="DX201" i="27"/>
  <c r="DV201" i="27"/>
  <c r="DU201" i="27"/>
  <c r="DT201" i="27"/>
  <c r="DR201" i="27"/>
  <c r="DQ201" i="27"/>
  <c r="DP201" i="27"/>
  <c r="DN201" i="27"/>
  <c r="DM201" i="27"/>
  <c r="DL201" i="27"/>
  <c r="DJ201" i="27"/>
  <c r="DI201" i="27"/>
  <c r="DH201" i="27"/>
  <c r="DF201" i="27"/>
  <c r="DE201" i="27"/>
  <c r="DD201" i="27"/>
  <c r="DB201" i="27"/>
  <c r="DA201" i="27"/>
  <c r="CZ201" i="27"/>
  <c r="CX201" i="27"/>
  <c r="CW201" i="27"/>
  <c r="CV201" i="27"/>
  <c r="CT201" i="27"/>
  <c r="CS201" i="27"/>
  <c r="CR201" i="27"/>
  <c r="CP201" i="27"/>
  <c r="CO201" i="27"/>
  <c r="CN201" i="27"/>
  <c r="CL201" i="27"/>
  <c r="CK201" i="27"/>
  <c r="CJ201" i="27"/>
  <c r="CH201" i="27"/>
  <c r="CG201" i="27"/>
  <c r="CF201" i="27"/>
  <c r="CD201" i="27"/>
  <c r="EX200" i="27"/>
  <c r="FG200" i="27" s="1"/>
  <c r="EW200" i="27"/>
  <c r="EV200" i="27"/>
  <c r="ET200" i="27"/>
  <c r="ES200" i="27"/>
  <c r="ER200" i="27"/>
  <c r="EP200" i="27"/>
  <c r="EO200" i="27"/>
  <c r="EN200" i="27"/>
  <c r="EL200" i="27"/>
  <c r="EK200" i="27"/>
  <c r="EJ200" i="27"/>
  <c r="EH200" i="27"/>
  <c r="EG200" i="27"/>
  <c r="EF200" i="27"/>
  <c r="ED200" i="27"/>
  <c r="EC200" i="27"/>
  <c r="EB200" i="27"/>
  <c r="DZ200" i="27"/>
  <c r="DY200" i="27"/>
  <c r="DX200" i="27"/>
  <c r="DV200" i="27"/>
  <c r="DU200" i="27"/>
  <c r="DT200" i="27"/>
  <c r="DR200" i="27"/>
  <c r="DQ200" i="27"/>
  <c r="DP200" i="27"/>
  <c r="DN200" i="27"/>
  <c r="DM200" i="27"/>
  <c r="DL200" i="27"/>
  <c r="DJ200" i="27"/>
  <c r="DI200" i="27"/>
  <c r="DH200" i="27"/>
  <c r="DF200" i="27"/>
  <c r="DE200" i="27"/>
  <c r="DD200" i="27"/>
  <c r="DB200" i="27"/>
  <c r="DA200" i="27"/>
  <c r="CZ200" i="27"/>
  <c r="CX200" i="27"/>
  <c r="CW200" i="27"/>
  <c r="CV200" i="27"/>
  <c r="CT200" i="27"/>
  <c r="CS200" i="27"/>
  <c r="CR200" i="27"/>
  <c r="CP200" i="27"/>
  <c r="CO200" i="27"/>
  <c r="CN200" i="27"/>
  <c r="CL200" i="27"/>
  <c r="CK200" i="27"/>
  <c r="CJ200" i="27"/>
  <c r="CH200" i="27"/>
  <c r="CG200" i="27"/>
  <c r="CF200" i="27"/>
  <c r="CD200" i="27"/>
  <c r="EX199" i="27"/>
  <c r="FG199" i="27" s="1"/>
  <c r="EW199" i="27"/>
  <c r="EV199" i="27"/>
  <c r="ET199" i="27"/>
  <c r="ES199" i="27"/>
  <c r="ER199" i="27"/>
  <c r="EP199" i="27"/>
  <c r="EO199" i="27"/>
  <c r="EN199" i="27"/>
  <c r="EL199" i="27"/>
  <c r="EK199" i="27"/>
  <c r="EJ199" i="27"/>
  <c r="EH199" i="27"/>
  <c r="EG199" i="27"/>
  <c r="EF199" i="27"/>
  <c r="ED199" i="27"/>
  <c r="EC199" i="27"/>
  <c r="EB199" i="27"/>
  <c r="DZ199" i="27"/>
  <c r="DY199" i="27"/>
  <c r="DX199" i="27"/>
  <c r="DV199" i="27"/>
  <c r="DU199" i="27"/>
  <c r="DT199" i="27"/>
  <c r="DR199" i="27"/>
  <c r="DQ199" i="27"/>
  <c r="DP199" i="27"/>
  <c r="DN199" i="27"/>
  <c r="DM199" i="27"/>
  <c r="DL199" i="27"/>
  <c r="DJ199" i="27"/>
  <c r="DI199" i="27"/>
  <c r="DH199" i="27"/>
  <c r="DF199" i="27"/>
  <c r="DE199" i="27"/>
  <c r="DD199" i="27"/>
  <c r="DB199" i="27"/>
  <c r="DA199" i="27"/>
  <c r="CZ199" i="27"/>
  <c r="CX199" i="27"/>
  <c r="CW199" i="27"/>
  <c r="CV199" i="27"/>
  <c r="CT199" i="27"/>
  <c r="CS199" i="27"/>
  <c r="CR199" i="27"/>
  <c r="CP199" i="27"/>
  <c r="CO199" i="27"/>
  <c r="CN199" i="27"/>
  <c r="CL199" i="27"/>
  <c r="CK199" i="27"/>
  <c r="CJ199" i="27"/>
  <c r="CH199" i="27"/>
  <c r="CG199" i="27"/>
  <c r="CF199" i="27"/>
  <c r="CD199" i="27"/>
  <c r="EX198" i="27"/>
  <c r="FG198" i="27" s="1"/>
  <c r="EW198" i="27"/>
  <c r="EV198" i="27"/>
  <c r="ET198" i="27"/>
  <c r="ES198" i="27"/>
  <c r="ER198" i="27"/>
  <c r="EP198" i="27"/>
  <c r="EO198" i="27"/>
  <c r="EN198" i="27"/>
  <c r="EL198" i="27"/>
  <c r="EK198" i="27"/>
  <c r="EJ198" i="27"/>
  <c r="EH198" i="27"/>
  <c r="EG198" i="27"/>
  <c r="EF198" i="27"/>
  <c r="ED198" i="27"/>
  <c r="EC198" i="27"/>
  <c r="EB198" i="27"/>
  <c r="DZ198" i="27"/>
  <c r="DY198" i="27"/>
  <c r="DX198" i="27"/>
  <c r="DV198" i="27"/>
  <c r="DU198" i="27"/>
  <c r="DT198" i="27"/>
  <c r="DR198" i="27"/>
  <c r="DQ198" i="27"/>
  <c r="DP198" i="27"/>
  <c r="DN198" i="27"/>
  <c r="DM198" i="27"/>
  <c r="DL198" i="27"/>
  <c r="DJ198" i="27"/>
  <c r="DI198" i="27"/>
  <c r="DH198" i="27"/>
  <c r="DF198" i="27"/>
  <c r="DE198" i="27"/>
  <c r="DD198" i="27"/>
  <c r="DB198" i="27"/>
  <c r="DA198" i="27"/>
  <c r="CZ198" i="27"/>
  <c r="CX198" i="27"/>
  <c r="CW198" i="27"/>
  <c r="CV198" i="27"/>
  <c r="CT198" i="27"/>
  <c r="CS198" i="27"/>
  <c r="CR198" i="27"/>
  <c r="CP198" i="27"/>
  <c r="CO198" i="27"/>
  <c r="CN198" i="27"/>
  <c r="CL198" i="27"/>
  <c r="CK198" i="27"/>
  <c r="CJ198" i="27"/>
  <c r="CH198" i="27"/>
  <c r="CG198" i="27"/>
  <c r="CF198" i="27"/>
  <c r="CD198" i="27"/>
  <c r="EX197" i="27"/>
  <c r="FG197" i="27" s="1"/>
  <c r="EW197" i="27"/>
  <c r="EV197" i="27"/>
  <c r="ET197" i="27"/>
  <c r="ES197" i="27"/>
  <c r="ER197" i="27"/>
  <c r="EP197" i="27"/>
  <c r="EO197" i="27"/>
  <c r="EN197" i="27"/>
  <c r="EL197" i="27"/>
  <c r="EK197" i="27"/>
  <c r="EJ197" i="27"/>
  <c r="EH197" i="27"/>
  <c r="EG197" i="27"/>
  <c r="EF197" i="27"/>
  <c r="ED197" i="27"/>
  <c r="EC197" i="27"/>
  <c r="EB197" i="27"/>
  <c r="DZ197" i="27"/>
  <c r="DY197" i="27"/>
  <c r="DX197" i="27"/>
  <c r="DV197" i="27"/>
  <c r="DU197" i="27"/>
  <c r="DT197" i="27"/>
  <c r="DR197" i="27"/>
  <c r="DQ197" i="27"/>
  <c r="DP197" i="27"/>
  <c r="DN197" i="27"/>
  <c r="DM197" i="27"/>
  <c r="DL197" i="27"/>
  <c r="DJ197" i="27"/>
  <c r="DI197" i="27"/>
  <c r="DH197" i="27"/>
  <c r="DF197" i="27"/>
  <c r="DE197" i="27"/>
  <c r="DD197" i="27"/>
  <c r="DB197" i="27"/>
  <c r="DA197" i="27"/>
  <c r="CZ197" i="27"/>
  <c r="CX197" i="27"/>
  <c r="CW197" i="27"/>
  <c r="CV197" i="27"/>
  <c r="CT197" i="27"/>
  <c r="CS197" i="27"/>
  <c r="CR197" i="27"/>
  <c r="CP197" i="27"/>
  <c r="CO197" i="27"/>
  <c r="CN197" i="27"/>
  <c r="CL197" i="27"/>
  <c r="CK197" i="27"/>
  <c r="CJ197" i="27"/>
  <c r="CH197" i="27"/>
  <c r="CG197" i="27"/>
  <c r="CF197" i="27"/>
  <c r="CD197" i="27"/>
  <c r="EX196" i="27"/>
  <c r="FG196" i="27" s="1"/>
  <c r="EW196" i="27"/>
  <c r="EV196" i="27"/>
  <c r="ET196" i="27"/>
  <c r="ES196" i="27"/>
  <c r="ER196" i="27"/>
  <c r="EP196" i="27"/>
  <c r="EO196" i="27"/>
  <c r="EN196" i="27"/>
  <c r="EL196" i="27"/>
  <c r="EK196" i="27"/>
  <c r="EJ196" i="27"/>
  <c r="EH196" i="27"/>
  <c r="EG196" i="27"/>
  <c r="EF196" i="27"/>
  <c r="ED196" i="27"/>
  <c r="EC196" i="27"/>
  <c r="EB196" i="27"/>
  <c r="DZ196" i="27"/>
  <c r="DY196" i="27"/>
  <c r="DX196" i="27"/>
  <c r="DV196" i="27"/>
  <c r="DU196" i="27"/>
  <c r="DT196" i="27"/>
  <c r="DR196" i="27"/>
  <c r="DQ196" i="27"/>
  <c r="DP196" i="27"/>
  <c r="DN196" i="27"/>
  <c r="DM196" i="27"/>
  <c r="DL196" i="27"/>
  <c r="DJ196" i="27"/>
  <c r="DI196" i="27"/>
  <c r="DH196" i="27"/>
  <c r="DF196" i="27"/>
  <c r="DE196" i="27"/>
  <c r="DD196" i="27"/>
  <c r="DB196" i="27"/>
  <c r="DA196" i="27"/>
  <c r="CZ196" i="27"/>
  <c r="CX196" i="27"/>
  <c r="CW196" i="27"/>
  <c r="CV196" i="27"/>
  <c r="CT196" i="27"/>
  <c r="CS196" i="27"/>
  <c r="CR196" i="27"/>
  <c r="CP196" i="27"/>
  <c r="CO196" i="27"/>
  <c r="CN196" i="27"/>
  <c r="CL196" i="27"/>
  <c r="CK196" i="27"/>
  <c r="CJ196" i="27"/>
  <c r="CH196" i="27"/>
  <c r="CG196" i="27"/>
  <c r="CF196" i="27"/>
  <c r="CD196" i="27"/>
  <c r="EX195" i="27"/>
  <c r="FG195" i="27" s="1"/>
  <c r="EW195" i="27"/>
  <c r="EV195" i="27"/>
  <c r="ET195" i="27"/>
  <c r="ES195" i="27"/>
  <c r="ER195" i="27"/>
  <c r="EP195" i="27"/>
  <c r="EO195" i="27"/>
  <c r="EN195" i="27"/>
  <c r="EL195" i="27"/>
  <c r="EK195" i="27"/>
  <c r="EJ195" i="27"/>
  <c r="EH195" i="27"/>
  <c r="EG195" i="27"/>
  <c r="EF195" i="27"/>
  <c r="ED195" i="27"/>
  <c r="EC195" i="27"/>
  <c r="EB195" i="27"/>
  <c r="DZ195" i="27"/>
  <c r="DY195" i="27"/>
  <c r="DX195" i="27"/>
  <c r="DV195" i="27"/>
  <c r="DU195" i="27"/>
  <c r="DT195" i="27"/>
  <c r="DR195" i="27"/>
  <c r="DQ195" i="27"/>
  <c r="DP195" i="27"/>
  <c r="DN195" i="27"/>
  <c r="DM195" i="27"/>
  <c r="DL195" i="27"/>
  <c r="DJ195" i="27"/>
  <c r="DI195" i="27"/>
  <c r="DH195" i="27"/>
  <c r="DF195" i="27"/>
  <c r="DE195" i="27"/>
  <c r="DD195" i="27"/>
  <c r="DB195" i="27"/>
  <c r="DA195" i="27"/>
  <c r="CZ195" i="27"/>
  <c r="CX195" i="27"/>
  <c r="CW195" i="27"/>
  <c r="CV195" i="27"/>
  <c r="CT195" i="27"/>
  <c r="CS195" i="27"/>
  <c r="CR195" i="27"/>
  <c r="CP195" i="27"/>
  <c r="CO195" i="27"/>
  <c r="CN195" i="27"/>
  <c r="CL195" i="27"/>
  <c r="CK195" i="27"/>
  <c r="CJ195" i="27"/>
  <c r="CH195" i="27"/>
  <c r="CG195" i="27"/>
  <c r="CF195" i="27"/>
  <c r="CD195" i="27"/>
  <c r="EX194" i="27"/>
  <c r="FG194" i="27" s="1"/>
  <c r="EW194" i="27"/>
  <c r="EV194" i="27"/>
  <c r="ET194" i="27"/>
  <c r="ES194" i="27"/>
  <c r="ER194" i="27"/>
  <c r="EP194" i="27"/>
  <c r="EO194" i="27"/>
  <c r="EN194" i="27"/>
  <c r="EL194" i="27"/>
  <c r="EK194" i="27"/>
  <c r="EJ194" i="27"/>
  <c r="EH194" i="27"/>
  <c r="EG194" i="27"/>
  <c r="EF194" i="27"/>
  <c r="ED194" i="27"/>
  <c r="EC194" i="27"/>
  <c r="EB194" i="27"/>
  <c r="DZ194" i="27"/>
  <c r="DY194" i="27"/>
  <c r="DX194" i="27"/>
  <c r="DV194" i="27"/>
  <c r="DU194" i="27"/>
  <c r="DT194" i="27"/>
  <c r="DR194" i="27"/>
  <c r="DQ194" i="27"/>
  <c r="DP194" i="27"/>
  <c r="DN194" i="27"/>
  <c r="DM194" i="27"/>
  <c r="DL194" i="27"/>
  <c r="DJ194" i="27"/>
  <c r="DI194" i="27"/>
  <c r="DH194" i="27"/>
  <c r="DF194" i="27"/>
  <c r="DE194" i="27"/>
  <c r="DD194" i="27"/>
  <c r="DB194" i="27"/>
  <c r="DA194" i="27"/>
  <c r="CZ194" i="27"/>
  <c r="CX194" i="27"/>
  <c r="CW194" i="27"/>
  <c r="CV194" i="27"/>
  <c r="CT194" i="27"/>
  <c r="CS194" i="27"/>
  <c r="CR194" i="27"/>
  <c r="CP194" i="27"/>
  <c r="CO194" i="27"/>
  <c r="CN194" i="27"/>
  <c r="CL194" i="27"/>
  <c r="CK194" i="27"/>
  <c r="CJ194" i="27"/>
  <c r="CH194" i="27"/>
  <c r="CG194" i="27"/>
  <c r="CF194" i="27"/>
  <c r="CD194" i="27"/>
  <c r="EX193" i="27"/>
  <c r="FG193" i="27" s="1"/>
  <c r="EW193" i="27"/>
  <c r="EV193" i="27"/>
  <c r="ET193" i="27"/>
  <c r="ES193" i="27"/>
  <c r="ER193" i="27"/>
  <c r="EP193" i="27"/>
  <c r="EO193" i="27"/>
  <c r="EN193" i="27"/>
  <c r="EL193" i="27"/>
  <c r="EK193" i="27"/>
  <c r="EJ193" i="27"/>
  <c r="EH193" i="27"/>
  <c r="EG193" i="27"/>
  <c r="EF193" i="27"/>
  <c r="ED193" i="27"/>
  <c r="EC193" i="27"/>
  <c r="EB193" i="27"/>
  <c r="DZ193" i="27"/>
  <c r="DY193" i="27"/>
  <c r="DX193" i="27"/>
  <c r="DV193" i="27"/>
  <c r="DU193" i="27"/>
  <c r="DT193" i="27"/>
  <c r="DR193" i="27"/>
  <c r="DQ193" i="27"/>
  <c r="DP193" i="27"/>
  <c r="DN193" i="27"/>
  <c r="DM193" i="27"/>
  <c r="DL193" i="27"/>
  <c r="DJ193" i="27"/>
  <c r="DI193" i="27"/>
  <c r="DH193" i="27"/>
  <c r="DF193" i="27"/>
  <c r="DE193" i="27"/>
  <c r="DD193" i="27"/>
  <c r="DB193" i="27"/>
  <c r="DA193" i="27"/>
  <c r="CZ193" i="27"/>
  <c r="CX193" i="27"/>
  <c r="CW193" i="27"/>
  <c r="CV193" i="27"/>
  <c r="CT193" i="27"/>
  <c r="CS193" i="27"/>
  <c r="CR193" i="27"/>
  <c r="CP193" i="27"/>
  <c r="CO193" i="27"/>
  <c r="CN193" i="27"/>
  <c r="CL193" i="27"/>
  <c r="CK193" i="27"/>
  <c r="CJ193" i="27"/>
  <c r="CH193" i="27"/>
  <c r="CG193" i="27"/>
  <c r="CF193" i="27"/>
  <c r="CD193" i="27"/>
  <c r="EX192" i="27"/>
  <c r="FG192" i="27" s="1"/>
  <c r="EW192" i="27"/>
  <c r="EV192" i="27"/>
  <c r="ET192" i="27"/>
  <c r="ES192" i="27"/>
  <c r="ER192" i="27"/>
  <c r="EP192" i="27"/>
  <c r="EO192" i="27"/>
  <c r="EN192" i="27"/>
  <c r="EL192" i="27"/>
  <c r="EK192" i="27"/>
  <c r="EJ192" i="27"/>
  <c r="EH192" i="27"/>
  <c r="EG192" i="27"/>
  <c r="EF192" i="27"/>
  <c r="ED192" i="27"/>
  <c r="EC192" i="27"/>
  <c r="EB192" i="27"/>
  <c r="DZ192" i="27"/>
  <c r="DY192" i="27"/>
  <c r="DX192" i="27"/>
  <c r="DV192" i="27"/>
  <c r="DU192" i="27"/>
  <c r="DT192" i="27"/>
  <c r="DR192" i="27"/>
  <c r="DQ192" i="27"/>
  <c r="DP192" i="27"/>
  <c r="DN192" i="27"/>
  <c r="DM192" i="27"/>
  <c r="DL192" i="27"/>
  <c r="DJ192" i="27"/>
  <c r="DI192" i="27"/>
  <c r="DH192" i="27"/>
  <c r="DF192" i="27"/>
  <c r="DE192" i="27"/>
  <c r="DD192" i="27"/>
  <c r="DB192" i="27"/>
  <c r="DA192" i="27"/>
  <c r="CZ192" i="27"/>
  <c r="CX192" i="27"/>
  <c r="CW192" i="27"/>
  <c r="CV192" i="27"/>
  <c r="CT192" i="27"/>
  <c r="CS192" i="27"/>
  <c r="CR192" i="27"/>
  <c r="CP192" i="27"/>
  <c r="CO192" i="27"/>
  <c r="CN192" i="27"/>
  <c r="CL192" i="27"/>
  <c r="CK192" i="27"/>
  <c r="CJ192" i="27"/>
  <c r="CH192" i="27"/>
  <c r="CG192" i="27"/>
  <c r="CF192" i="27"/>
  <c r="CD192" i="27"/>
  <c r="EX191" i="27"/>
  <c r="FG191" i="27" s="1"/>
  <c r="EW191" i="27"/>
  <c r="EV191" i="27"/>
  <c r="ET191" i="27"/>
  <c r="ES191" i="27"/>
  <c r="ER191" i="27"/>
  <c r="EP191" i="27"/>
  <c r="EO191" i="27"/>
  <c r="EN191" i="27"/>
  <c r="EL191" i="27"/>
  <c r="EK191" i="27"/>
  <c r="EJ191" i="27"/>
  <c r="EH191" i="27"/>
  <c r="EG191" i="27"/>
  <c r="EF191" i="27"/>
  <c r="ED191" i="27"/>
  <c r="EC191" i="27"/>
  <c r="EB191" i="27"/>
  <c r="DZ191" i="27"/>
  <c r="DY191" i="27"/>
  <c r="DX191" i="27"/>
  <c r="DV191" i="27"/>
  <c r="DU191" i="27"/>
  <c r="DT191" i="27"/>
  <c r="DR191" i="27"/>
  <c r="DQ191" i="27"/>
  <c r="DP191" i="27"/>
  <c r="DN191" i="27"/>
  <c r="DM191" i="27"/>
  <c r="DL191" i="27"/>
  <c r="DJ191" i="27"/>
  <c r="DI191" i="27"/>
  <c r="DH191" i="27"/>
  <c r="DF191" i="27"/>
  <c r="DE191" i="27"/>
  <c r="DD191" i="27"/>
  <c r="DB191" i="27"/>
  <c r="DA191" i="27"/>
  <c r="CZ191" i="27"/>
  <c r="CX191" i="27"/>
  <c r="CW191" i="27"/>
  <c r="CV191" i="27"/>
  <c r="CT191" i="27"/>
  <c r="CS191" i="27"/>
  <c r="CR191" i="27"/>
  <c r="CP191" i="27"/>
  <c r="CO191" i="27"/>
  <c r="CN191" i="27"/>
  <c r="CL191" i="27"/>
  <c r="CK191" i="27"/>
  <c r="CJ191" i="27"/>
  <c r="CH191" i="27"/>
  <c r="CG191" i="27"/>
  <c r="CF191" i="27"/>
  <c r="CD191" i="27"/>
  <c r="EX190" i="27"/>
  <c r="FG190" i="27" s="1"/>
  <c r="EW190" i="27"/>
  <c r="EV190" i="27"/>
  <c r="ET190" i="27"/>
  <c r="ES190" i="27"/>
  <c r="ER190" i="27"/>
  <c r="EP190" i="27"/>
  <c r="EO190" i="27"/>
  <c r="EN190" i="27"/>
  <c r="EL190" i="27"/>
  <c r="EK190" i="27"/>
  <c r="EJ190" i="27"/>
  <c r="EH190" i="27"/>
  <c r="EG190" i="27"/>
  <c r="EF190" i="27"/>
  <c r="ED190" i="27"/>
  <c r="EC190" i="27"/>
  <c r="EB190" i="27"/>
  <c r="DZ190" i="27"/>
  <c r="DY190" i="27"/>
  <c r="DX190" i="27"/>
  <c r="DV190" i="27"/>
  <c r="DU190" i="27"/>
  <c r="DT190" i="27"/>
  <c r="DR190" i="27"/>
  <c r="DQ190" i="27"/>
  <c r="DP190" i="27"/>
  <c r="DN190" i="27"/>
  <c r="DM190" i="27"/>
  <c r="DL190" i="27"/>
  <c r="DJ190" i="27"/>
  <c r="DI190" i="27"/>
  <c r="DH190" i="27"/>
  <c r="DF190" i="27"/>
  <c r="DE190" i="27"/>
  <c r="DD190" i="27"/>
  <c r="DB190" i="27"/>
  <c r="DA190" i="27"/>
  <c r="CZ190" i="27"/>
  <c r="CX190" i="27"/>
  <c r="CW190" i="27"/>
  <c r="CV190" i="27"/>
  <c r="CT190" i="27"/>
  <c r="CS190" i="27"/>
  <c r="CR190" i="27"/>
  <c r="CP190" i="27"/>
  <c r="CO190" i="27"/>
  <c r="CN190" i="27"/>
  <c r="CL190" i="27"/>
  <c r="CK190" i="27"/>
  <c r="CJ190" i="27"/>
  <c r="CH190" i="27"/>
  <c r="CG190" i="27"/>
  <c r="CF190" i="27"/>
  <c r="CD190" i="27"/>
  <c r="EX189" i="27"/>
  <c r="FG189" i="27" s="1"/>
  <c r="EW189" i="27"/>
  <c r="EV189" i="27"/>
  <c r="ET189" i="27"/>
  <c r="ES189" i="27"/>
  <c r="ER189" i="27"/>
  <c r="EP189" i="27"/>
  <c r="EO189" i="27"/>
  <c r="EN189" i="27"/>
  <c r="EL189" i="27"/>
  <c r="EK189" i="27"/>
  <c r="EJ189" i="27"/>
  <c r="EH189" i="27"/>
  <c r="EG189" i="27"/>
  <c r="EF189" i="27"/>
  <c r="ED189" i="27"/>
  <c r="EC189" i="27"/>
  <c r="EB189" i="27"/>
  <c r="DZ189" i="27"/>
  <c r="DY189" i="27"/>
  <c r="DX189" i="27"/>
  <c r="DV189" i="27"/>
  <c r="DU189" i="27"/>
  <c r="DT189" i="27"/>
  <c r="DR189" i="27"/>
  <c r="DQ189" i="27"/>
  <c r="DP189" i="27"/>
  <c r="DN189" i="27"/>
  <c r="DM189" i="27"/>
  <c r="DL189" i="27"/>
  <c r="DJ189" i="27"/>
  <c r="DI189" i="27"/>
  <c r="DH189" i="27"/>
  <c r="DF189" i="27"/>
  <c r="DE189" i="27"/>
  <c r="DD189" i="27"/>
  <c r="DB189" i="27"/>
  <c r="DA189" i="27"/>
  <c r="CZ189" i="27"/>
  <c r="CX189" i="27"/>
  <c r="CW189" i="27"/>
  <c r="CV189" i="27"/>
  <c r="CT189" i="27"/>
  <c r="CS189" i="27"/>
  <c r="CR189" i="27"/>
  <c r="CP189" i="27"/>
  <c r="CO189" i="27"/>
  <c r="CN189" i="27"/>
  <c r="CL189" i="27"/>
  <c r="CK189" i="27"/>
  <c r="CJ189" i="27"/>
  <c r="CH189" i="27"/>
  <c r="CG189" i="27"/>
  <c r="CF189" i="27"/>
  <c r="CD189" i="27"/>
  <c r="EX188" i="27"/>
  <c r="FG188" i="27" s="1"/>
  <c r="EW188" i="27"/>
  <c r="EV188" i="27"/>
  <c r="ET188" i="27"/>
  <c r="ES188" i="27"/>
  <c r="ER188" i="27"/>
  <c r="EP188" i="27"/>
  <c r="EO188" i="27"/>
  <c r="EN188" i="27"/>
  <c r="EL188" i="27"/>
  <c r="EK188" i="27"/>
  <c r="EJ188" i="27"/>
  <c r="EH188" i="27"/>
  <c r="EG188" i="27"/>
  <c r="EF188" i="27"/>
  <c r="ED188" i="27"/>
  <c r="EC188" i="27"/>
  <c r="EB188" i="27"/>
  <c r="DZ188" i="27"/>
  <c r="DY188" i="27"/>
  <c r="DX188" i="27"/>
  <c r="DV188" i="27"/>
  <c r="DU188" i="27"/>
  <c r="DT188" i="27"/>
  <c r="DR188" i="27"/>
  <c r="DQ188" i="27"/>
  <c r="DP188" i="27"/>
  <c r="DN188" i="27"/>
  <c r="DM188" i="27"/>
  <c r="DL188" i="27"/>
  <c r="DJ188" i="27"/>
  <c r="DI188" i="27"/>
  <c r="DH188" i="27"/>
  <c r="DF188" i="27"/>
  <c r="DE188" i="27"/>
  <c r="DD188" i="27"/>
  <c r="DB188" i="27"/>
  <c r="DA188" i="27"/>
  <c r="CZ188" i="27"/>
  <c r="CX188" i="27"/>
  <c r="CW188" i="27"/>
  <c r="CV188" i="27"/>
  <c r="CT188" i="27"/>
  <c r="CS188" i="27"/>
  <c r="CR188" i="27"/>
  <c r="CP188" i="27"/>
  <c r="CO188" i="27"/>
  <c r="CN188" i="27"/>
  <c r="CL188" i="27"/>
  <c r="CK188" i="27"/>
  <c r="CJ188" i="27"/>
  <c r="CH188" i="27"/>
  <c r="CG188" i="27"/>
  <c r="CF188" i="27"/>
  <c r="CD188" i="27"/>
  <c r="EX187" i="27"/>
  <c r="FG187" i="27" s="1"/>
  <c r="EW187" i="27"/>
  <c r="EV187" i="27"/>
  <c r="ET187" i="27"/>
  <c r="ES187" i="27"/>
  <c r="ER187" i="27"/>
  <c r="EP187" i="27"/>
  <c r="EO187" i="27"/>
  <c r="EN187" i="27"/>
  <c r="EL187" i="27"/>
  <c r="EK187" i="27"/>
  <c r="EJ187" i="27"/>
  <c r="EH187" i="27"/>
  <c r="EG187" i="27"/>
  <c r="EF187" i="27"/>
  <c r="ED187" i="27"/>
  <c r="EC187" i="27"/>
  <c r="EB187" i="27"/>
  <c r="DZ187" i="27"/>
  <c r="DY187" i="27"/>
  <c r="DX187" i="27"/>
  <c r="DV187" i="27"/>
  <c r="DU187" i="27"/>
  <c r="DT187" i="27"/>
  <c r="DR187" i="27"/>
  <c r="DQ187" i="27"/>
  <c r="DP187" i="27"/>
  <c r="DN187" i="27"/>
  <c r="DM187" i="27"/>
  <c r="DL187" i="27"/>
  <c r="DJ187" i="27"/>
  <c r="DI187" i="27"/>
  <c r="DH187" i="27"/>
  <c r="DF187" i="27"/>
  <c r="DE187" i="27"/>
  <c r="DD187" i="27"/>
  <c r="DB187" i="27"/>
  <c r="DA187" i="27"/>
  <c r="CZ187" i="27"/>
  <c r="CX187" i="27"/>
  <c r="CW187" i="27"/>
  <c r="CV187" i="27"/>
  <c r="CT187" i="27"/>
  <c r="CS187" i="27"/>
  <c r="CR187" i="27"/>
  <c r="CP187" i="27"/>
  <c r="CO187" i="27"/>
  <c r="CN187" i="27"/>
  <c r="CL187" i="27"/>
  <c r="CK187" i="27"/>
  <c r="CJ187" i="27"/>
  <c r="CH187" i="27"/>
  <c r="CG187" i="27"/>
  <c r="CF187" i="27"/>
  <c r="CD187" i="27"/>
  <c r="EX186" i="27"/>
  <c r="FG186" i="27" s="1"/>
  <c r="EW186" i="27"/>
  <c r="EV186" i="27"/>
  <c r="ET186" i="27"/>
  <c r="ES186" i="27"/>
  <c r="ER186" i="27"/>
  <c r="EP186" i="27"/>
  <c r="EO186" i="27"/>
  <c r="EN186" i="27"/>
  <c r="EL186" i="27"/>
  <c r="EK186" i="27"/>
  <c r="EJ186" i="27"/>
  <c r="EH186" i="27"/>
  <c r="EG186" i="27"/>
  <c r="EF186" i="27"/>
  <c r="ED186" i="27"/>
  <c r="EC186" i="27"/>
  <c r="EB186" i="27"/>
  <c r="DZ186" i="27"/>
  <c r="DY186" i="27"/>
  <c r="DX186" i="27"/>
  <c r="DV186" i="27"/>
  <c r="DU186" i="27"/>
  <c r="DT186" i="27"/>
  <c r="DR186" i="27"/>
  <c r="DQ186" i="27"/>
  <c r="DP186" i="27"/>
  <c r="DN186" i="27"/>
  <c r="DM186" i="27"/>
  <c r="DL186" i="27"/>
  <c r="DJ186" i="27"/>
  <c r="DI186" i="27"/>
  <c r="DH186" i="27"/>
  <c r="DF186" i="27"/>
  <c r="DE186" i="27"/>
  <c r="DD186" i="27"/>
  <c r="DB186" i="27"/>
  <c r="DA186" i="27"/>
  <c r="CZ186" i="27"/>
  <c r="CX186" i="27"/>
  <c r="CW186" i="27"/>
  <c r="CV186" i="27"/>
  <c r="CT186" i="27"/>
  <c r="CS186" i="27"/>
  <c r="CR186" i="27"/>
  <c r="CP186" i="27"/>
  <c r="CO186" i="27"/>
  <c r="CN186" i="27"/>
  <c r="CL186" i="27"/>
  <c r="CK186" i="27"/>
  <c r="CJ186" i="27"/>
  <c r="CH186" i="27"/>
  <c r="CG186" i="27"/>
  <c r="CF186" i="27"/>
  <c r="CD186" i="27"/>
  <c r="EX185" i="27"/>
  <c r="FG185" i="27" s="1"/>
  <c r="EW185" i="27"/>
  <c r="EV185" i="27"/>
  <c r="ET185" i="27"/>
  <c r="ES185" i="27"/>
  <c r="ER185" i="27"/>
  <c r="EP185" i="27"/>
  <c r="EO185" i="27"/>
  <c r="EN185" i="27"/>
  <c r="EL185" i="27"/>
  <c r="EK185" i="27"/>
  <c r="EJ185" i="27"/>
  <c r="EH185" i="27"/>
  <c r="EG185" i="27"/>
  <c r="EF185" i="27"/>
  <c r="ED185" i="27"/>
  <c r="EC185" i="27"/>
  <c r="EB185" i="27"/>
  <c r="DZ185" i="27"/>
  <c r="DY185" i="27"/>
  <c r="DX185" i="27"/>
  <c r="DV185" i="27"/>
  <c r="DU185" i="27"/>
  <c r="DT185" i="27"/>
  <c r="DR185" i="27"/>
  <c r="DQ185" i="27"/>
  <c r="DP185" i="27"/>
  <c r="DN185" i="27"/>
  <c r="DM185" i="27"/>
  <c r="DL185" i="27"/>
  <c r="DJ185" i="27"/>
  <c r="DI185" i="27"/>
  <c r="DH185" i="27"/>
  <c r="DF185" i="27"/>
  <c r="DE185" i="27"/>
  <c r="DD185" i="27"/>
  <c r="DB185" i="27"/>
  <c r="DA185" i="27"/>
  <c r="CZ185" i="27"/>
  <c r="CX185" i="27"/>
  <c r="CW185" i="27"/>
  <c r="CV185" i="27"/>
  <c r="CT185" i="27"/>
  <c r="CS185" i="27"/>
  <c r="CR185" i="27"/>
  <c r="CP185" i="27"/>
  <c r="CO185" i="27"/>
  <c r="CN185" i="27"/>
  <c r="CL185" i="27"/>
  <c r="CK185" i="27"/>
  <c r="CJ185" i="27"/>
  <c r="CH185" i="27"/>
  <c r="CG185" i="27"/>
  <c r="CF185" i="27"/>
  <c r="CD185" i="27"/>
  <c r="EX184" i="27"/>
  <c r="FG184" i="27" s="1"/>
  <c r="EW184" i="27"/>
  <c r="EV184" i="27"/>
  <c r="ET184" i="27"/>
  <c r="ES184" i="27"/>
  <c r="ER184" i="27"/>
  <c r="EP184" i="27"/>
  <c r="EO184" i="27"/>
  <c r="EN184" i="27"/>
  <c r="EL184" i="27"/>
  <c r="EK184" i="27"/>
  <c r="EJ184" i="27"/>
  <c r="EH184" i="27"/>
  <c r="EG184" i="27"/>
  <c r="EF184" i="27"/>
  <c r="ED184" i="27"/>
  <c r="EC184" i="27"/>
  <c r="EB184" i="27"/>
  <c r="DZ184" i="27"/>
  <c r="DY184" i="27"/>
  <c r="DX184" i="27"/>
  <c r="DV184" i="27"/>
  <c r="DU184" i="27"/>
  <c r="DT184" i="27"/>
  <c r="DR184" i="27"/>
  <c r="DQ184" i="27"/>
  <c r="DP184" i="27"/>
  <c r="DN184" i="27"/>
  <c r="DM184" i="27"/>
  <c r="DL184" i="27"/>
  <c r="DJ184" i="27"/>
  <c r="DI184" i="27"/>
  <c r="DH184" i="27"/>
  <c r="DF184" i="27"/>
  <c r="DE184" i="27"/>
  <c r="DD184" i="27"/>
  <c r="DB184" i="27"/>
  <c r="DA184" i="27"/>
  <c r="CZ184" i="27"/>
  <c r="CX184" i="27"/>
  <c r="CW184" i="27"/>
  <c r="CV184" i="27"/>
  <c r="CT184" i="27"/>
  <c r="CS184" i="27"/>
  <c r="CR184" i="27"/>
  <c r="CP184" i="27"/>
  <c r="CO184" i="27"/>
  <c r="CN184" i="27"/>
  <c r="CL184" i="27"/>
  <c r="CK184" i="27"/>
  <c r="CJ184" i="27"/>
  <c r="CH184" i="27"/>
  <c r="CG184" i="27"/>
  <c r="CF184" i="27"/>
  <c r="CD184" i="27"/>
  <c r="EX183" i="27"/>
  <c r="FG183" i="27" s="1"/>
  <c r="EW183" i="27"/>
  <c r="EV183" i="27"/>
  <c r="ET183" i="27"/>
  <c r="ES183" i="27"/>
  <c r="ER183" i="27"/>
  <c r="EP183" i="27"/>
  <c r="EO183" i="27"/>
  <c r="EN183" i="27"/>
  <c r="EL183" i="27"/>
  <c r="EK183" i="27"/>
  <c r="EJ183" i="27"/>
  <c r="EH183" i="27"/>
  <c r="EG183" i="27"/>
  <c r="EF183" i="27"/>
  <c r="ED183" i="27"/>
  <c r="EC183" i="27"/>
  <c r="EB183" i="27"/>
  <c r="DZ183" i="27"/>
  <c r="DY183" i="27"/>
  <c r="DX183" i="27"/>
  <c r="DV183" i="27"/>
  <c r="DU183" i="27"/>
  <c r="DT183" i="27"/>
  <c r="DR183" i="27"/>
  <c r="DQ183" i="27"/>
  <c r="DP183" i="27"/>
  <c r="DN183" i="27"/>
  <c r="DM183" i="27"/>
  <c r="DL183" i="27"/>
  <c r="DJ183" i="27"/>
  <c r="DI183" i="27"/>
  <c r="DH183" i="27"/>
  <c r="DF183" i="27"/>
  <c r="DE183" i="27"/>
  <c r="DD183" i="27"/>
  <c r="DB183" i="27"/>
  <c r="DA183" i="27"/>
  <c r="CZ183" i="27"/>
  <c r="CX183" i="27"/>
  <c r="CW183" i="27"/>
  <c r="CV183" i="27"/>
  <c r="CT183" i="27"/>
  <c r="CS183" i="27"/>
  <c r="CR183" i="27"/>
  <c r="CP183" i="27"/>
  <c r="CO183" i="27"/>
  <c r="CN183" i="27"/>
  <c r="CL183" i="27"/>
  <c r="CK183" i="27"/>
  <c r="CJ183" i="27"/>
  <c r="CH183" i="27"/>
  <c r="CG183" i="27"/>
  <c r="CF183" i="27"/>
  <c r="CD183" i="27"/>
  <c r="EX182" i="27"/>
  <c r="FG182" i="27" s="1"/>
  <c r="EW182" i="27"/>
  <c r="EV182" i="27"/>
  <c r="ET182" i="27"/>
  <c r="ES182" i="27"/>
  <c r="ER182" i="27"/>
  <c r="EP182" i="27"/>
  <c r="EO182" i="27"/>
  <c r="EN182" i="27"/>
  <c r="EL182" i="27"/>
  <c r="EK182" i="27"/>
  <c r="EJ182" i="27"/>
  <c r="EH182" i="27"/>
  <c r="EG182" i="27"/>
  <c r="EF182" i="27"/>
  <c r="ED182" i="27"/>
  <c r="EC182" i="27"/>
  <c r="EB182" i="27"/>
  <c r="DZ182" i="27"/>
  <c r="DY182" i="27"/>
  <c r="DX182" i="27"/>
  <c r="DV182" i="27"/>
  <c r="DU182" i="27"/>
  <c r="DT182" i="27"/>
  <c r="DR182" i="27"/>
  <c r="DQ182" i="27"/>
  <c r="DP182" i="27"/>
  <c r="DN182" i="27"/>
  <c r="DM182" i="27"/>
  <c r="DL182" i="27"/>
  <c r="DJ182" i="27"/>
  <c r="DI182" i="27"/>
  <c r="DH182" i="27"/>
  <c r="DF182" i="27"/>
  <c r="DE182" i="27"/>
  <c r="DD182" i="27"/>
  <c r="DB182" i="27"/>
  <c r="DA182" i="27"/>
  <c r="CZ182" i="27"/>
  <c r="CX182" i="27"/>
  <c r="CW182" i="27"/>
  <c r="CV182" i="27"/>
  <c r="CT182" i="27"/>
  <c r="CS182" i="27"/>
  <c r="CR182" i="27"/>
  <c r="CP182" i="27"/>
  <c r="CO182" i="27"/>
  <c r="CN182" i="27"/>
  <c r="CL182" i="27"/>
  <c r="CK182" i="27"/>
  <c r="CJ182" i="27"/>
  <c r="CH182" i="27"/>
  <c r="CG182" i="27"/>
  <c r="CF182" i="27"/>
  <c r="CD182" i="27"/>
  <c r="EX181" i="27"/>
  <c r="FG181" i="27" s="1"/>
  <c r="EW181" i="27"/>
  <c r="EV181" i="27"/>
  <c r="ET181" i="27"/>
  <c r="ES181" i="27"/>
  <c r="ER181" i="27"/>
  <c r="EP181" i="27"/>
  <c r="EO181" i="27"/>
  <c r="EN181" i="27"/>
  <c r="EL181" i="27"/>
  <c r="EK181" i="27"/>
  <c r="EJ181" i="27"/>
  <c r="EH181" i="27"/>
  <c r="EG181" i="27"/>
  <c r="EF181" i="27"/>
  <c r="ED181" i="27"/>
  <c r="EC181" i="27"/>
  <c r="EB181" i="27"/>
  <c r="DZ181" i="27"/>
  <c r="DY181" i="27"/>
  <c r="DX181" i="27"/>
  <c r="DV181" i="27"/>
  <c r="DU181" i="27"/>
  <c r="DT181" i="27"/>
  <c r="DR181" i="27"/>
  <c r="DQ181" i="27"/>
  <c r="DP181" i="27"/>
  <c r="DN181" i="27"/>
  <c r="DM181" i="27"/>
  <c r="DL181" i="27"/>
  <c r="DJ181" i="27"/>
  <c r="DI181" i="27"/>
  <c r="DH181" i="27"/>
  <c r="DF181" i="27"/>
  <c r="DE181" i="27"/>
  <c r="DD181" i="27"/>
  <c r="DB181" i="27"/>
  <c r="DA181" i="27"/>
  <c r="CZ181" i="27"/>
  <c r="CX181" i="27"/>
  <c r="CW181" i="27"/>
  <c r="CV181" i="27"/>
  <c r="CT181" i="27"/>
  <c r="CS181" i="27"/>
  <c r="CR181" i="27"/>
  <c r="CP181" i="27"/>
  <c r="CO181" i="27"/>
  <c r="CN181" i="27"/>
  <c r="CL181" i="27"/>
  <c r="CK181" i="27"/>
  <c r="CJ181" i="27"/>
  <c r="CH181" i="27"/>
  <c r="CG181" i="27"/>
  <c r="CF181" i="27"/>
  <c r="CD181" i="27"/>
  <c r="EX180" i="27"/>
  <c r="FG180" i="27" s="1"/>
  <c r="EW180" i="27"/>
  <c r="EV180" i="27"/>
  <c r="ET180" i="27"/>
  <c r="ES180" i="27"/>
  <c r="ER180" i="27"/>
  <c r="EP180" i="27"/>
  <c r="EO180" i="27"/>
  <c r="EN180" i="27"/>
  <c r="EL180" i="27"/>
  <c r="EK180" i="27"/>
  <c r="EJ180" i="27"/>
  <c r="EH180" i="27"/>
  <c r="EG180" i="27"/>
  <c r="EF180" i="27"/>
  <c r="ED180" i="27"/>
  <c r="EC180" i="27"/>
  <c r="EB180" i="27"/>
  <c r="DZ180" i="27"/>
  <c r="DY180" i="27"/>
  <c r="DX180" i="27"/>
  <c r="DV180" i="27"/>
  <c r="DU180" i="27"/>
  <c r="DT180" i="27"/>
  <c r="DR180" i="27"/>
  <c r="DQ180" i="27"/>
  <c r="DP180" i="27"/>
  <c r="DN180" i="27"/>
  <c r="DM180" i="27"/>
  <c r="DL180" i="27"/>
  <c r="DJ180" i="27"/>
  <c r="DI180" i="27"/>
  <c r="DH180" i="27"/>
  <c r="DF180" i="27"/>
  <c r="DE180" i="27"/>
  <c r="DD180" i="27"/>
  <c r="DB180" i="27"/>
  <c r="DA180" i="27"/>
  <c r="CZ180" i="27"/>
  <c r="CX180" i="27"/>
  <c r="CW180" i="27"/>
  <c r="CV180" i="27"/>
  <c r="CT180" i="27"/>
  <c r="CS180" i="27"/>
  <c r="CR180" i="27"/>
  <c r="CP180" i="27"/>
  <c r="CO180" i="27"/>
  <c r="CN180" i="27"/>
  <c r="CL180" i="27"/>
  <c r="CK180" i="27"/>
  <c r="CJ180" i="27"/>
  <c r="CH180" i="27"/>
  <c r="CG180" i="27"/>
  <c r="CF180" i="27"/>
  <c r="CD180" i="27"/>
  <c r="EX179" i="27"/>
  <c r="FG179" i="27" s="1"/>
  <c r="EW179" i="27"/>
  <c r="EV179" i="27"/>
  <c r="ET179" i="27"/>
  <c r="ES179" i="27"/>
  <c r="ER179" i="27"/>
  <c r="EP179" i="27"/>
  <c r="EO179" i="27"/>
  <c r="EN179" i="27"/>
  <c r="EL179" i="27"/>
  <c r="EK179" i="27"/>
  <c r="EJ179" i="27"/>
  <c r="EH179" i="27"/>
  <c r="EG179" i="27"/>
  <c r="EF179" i="27"/>
  <c r="ED179" i="27"/>
  <c r="EC179" i="27"/>
  <c r="EB179" i="27"/>
  <c r="DZ179" i="27"/>
  <c r="DY179" i="27"/>
  <c r="DX179" i="27"/>
  <c r="DV179" i="27"/>
  <c r="DU179" i="27"/>
  <c r="DT179" i="27"/>
  <c r="DR179" i="27"/>
  <c r="DQ179" i="27"/>
  <c r="DP179" i="27"/>
  <c r="DN179" i="27"/>
  <c r="DM179" i="27"/>
  <c r="DL179" i="27"/>
  <c r="DJ179" i="27"/>
  <c r="DI179" i="27"/>
  <c r="DH179" i="27"/>
  <c r="DF179" i="27"/>
  <c r="DE179" i="27"/>
  <c r="DD179" i="27"/>
  <c r="DB179" i="27"/>
  <c r="DA179" i="27"/>
  <c r="CZ179" i="27"/>
  <c r="CX179" i="27"/>
  <c r="CW179" i="27"/>
  <c r="CV179" i="27"/>
  <c r="CT179" i="27"/>
  <c r="CS179" i="27"/>
  <c r="CR179" i="27"/>
  <c r="CP179" i="27"/>
  <c r="CO179" i="27"/>
  <c r="CN179" i="27"/>
  <c r="CL179" i="27"/>
  <c r="CK179" i="27"/>
  <c r="CJ179" i="27"/>
  <c r="CH179" i="27"/>
  <c r="CG179" i="27"/>
  <c r="CF179" i="27"/>
  <c r="CD179" i="27"/>
  <c r="EX178" i="27"/>
  <c r="FG178" i="27" s="1"/>
  <c r="EW178" i="27"/>
  <c r="EV178" i="27"/>
  <c r="ET178" i="27"/>
  <c r="ES178" i="27"/>
  <c r="ER178" i="27"/>
  <c r="EP178" i="27"/>
  <c r="EO178" i="27"/>
  <c r="EN178" i="27"/>
  <c r="EL178" i="27"/>
  <c r="EK178" i="27"/>
  <c r="EJ178" i="27"/>
  <c r="EH178" i="27"/>
  <c r="EG178" i="27"/>
  <c r="EF178" i="27"/>
  <c r="ED178" i="27"/>
  <c r="EC178" i="27"/>
  <c r="EB178" i="27"/>
  <c r="DZ178" i="27"/>
  <c r="DY178" i="27"/>
  <c r="DX178" i="27"/>
  <c r="DV178" i="27"/>
  <c r="DU178" i="27"/>
  <c r="DT178" i="27"/>
  <c r="DR178" i="27"/>
  <c r="DQ178" i="27"/>
  <c r="DP178" i="27"/>
  <c r="DN178" i="27"/>
  <c r="DM178" i="27"/>
  <c r="DL178" i="27"/>
  <c r="DJ178" i="27"/>
  <c r="DI178" i="27"/>
  <c r="DH178" i="27"/>
  <c r="DF178" i="27"/>
  <c r="DE178" i="27"/>
  <c r="DD178" i="27"/>
  <c r="DB178" i="27"/>
  <c r="DA178" i="27"/>
  <c r="CZ178" i="27"/>
  <c r="CX178" i="27"/>
  <c r="CW178" i="27"/>
  <c r="CV178" i="27"/>
  <c r="CT178" i="27"/>
  <c r="CS178" i="27"/>
  <c r="CR178" i="27"/>
  <c r="CP178" i="27"/>
  <c r="CO178" i="27"/>
  <c r="CN178" i="27"/>
  <c r="CL178" i="27"/>
  <c r="CK178" i="27"/>
  <c r="CJ178" i="27"/>
  <c r="CH178" i="27"/>
  <c r="CG178" i="27"/>
  <c r="CF178" i="27"/>
  <c r="CD178" i="27"/>
  <c r="EX177" i="27"/>
  <c r="FG177" i="27" s="1"/>
  <c r="EW177" i="27"/>
  <c r="EV177" i="27"/>
  <c r="ET177" i="27"/>
  <c r="ES177" i="27"/>
  <c r="ER177" i="27"/>
  <c r="EP177" i="27"/>
  <c r="EO177" i="27"/>
  <c r="EN177" i="27"/>
  <c r="EL177" i="27"/>
  <c r="EK177" i="27"/>
  <c r="EJ177" i="27"/>
  <c r="EH177" i="27"/>
  <c r="EG177" i="27"/>
  <c r="EF177" i="27"/>
  <c r="ED177" i="27"/>
  <c r="EC177" i="27"/>
  <c r="EB177" i="27"/>
  <c r="DZ177" i="27"/>
  <c r="DY177" i="27"/>
  <c r="DX177" i="27"/>
  <c r="DV177" i="27"/>
  <c r="DU177" i="27"/>
  <c r="DT177" i="27"/>
  <c r="DR177" i="27"/>
  <c r="DQ177" i="27"/>
  <c r="DP177" i="27"/>
  <c r="DN177" i="27"/>
  <c r="DM177" i="27"/>
  <c r="DL177" i="27"/>
  <c r="DJ177" i="27"/>
  <c r="DI177" i="27"/>
  <c r="DH177" i="27"/>
  <c r="DF177" i="27"/>
  <c r="DE177" i="27"/>
  <c r="DD177" i="27"/>
  <c r="DB177" i="27"/>
  <c r="DA177" i="27"/>
  <c r="CZ177" i="27"/>
  <c r="CX177" i="27"/>
  <c r="CW177" i="27"/>
  <c r="CV177" i="27"/>
  <c r="CT177" i="27"/>
  <c r="CS177" i="27"/>
  <c r="CR177" i="27"/>
  <c r="CP177" i="27"/>
  <c r="CO177" i="27"/>
  <c r="CN177" i="27"/>
  <c r="CL177" i="27"/>
  <c r="CK177" i="27"/>
  <c r="CJ177" i="27"/>
  <c r="CH177" i="27"/>
  <c r="CG177" i="27"/>
  <c r="CF177" i="27"/>
  <c r="CD177" i="27"/>
  <c r="EX176" i="27"/>
  <c r="FG176" i="27" s="1"/>
  <c r="EW176" i="27"/>
  <c r="EV176" i="27"/>
  <c r="ET176" i="27"/>
  <c r="ES176" i="27"/>
  <c r="ER176" i="27"/>
  <c r="EP176" i="27"/>
  <c r="EO176" i="27"/>
  <c r="EN176" i="27"/>
  <c r="EL176" i="27"/>
  <c r="EK176" i="27"/>
  <c r="EJ176" i="27"/>
  <c r="EH176" i="27"/>
  <c r="EG176" i="27"/>
  <c r="EF176" i="27"/>
  <c r="ED176" i="27"/>
  <c r="EC176" i="27"/>
  <c r="EB176" i="27"/>
  <c r="DZ176" i="27"/>
  <c r="DY176" i="27"/>
  <c r="DX176" i="27"/>
  <c r="DV176" i="27"/>
  <c r="DU176" i="27"/>
  <c r="DT176" i="27"/>
  <c r="DR176" i="27"/>
  <c r="DQ176" i="27"/>
  <c r="DP176" i="27"/>
  <c r="DN176" i="27"/>
  <c r="DM176" i="27"/>
  <c r="DL176" i="27"/>
  <c r="DJ176" i="27"/>
  <c r="DI176" i="27"/>
  <c r="DH176" i="27"/>
  <c r="DF176" i="27"/>
  <c r="DE176" i="27"/>
  <c r="DD176" i="27"/>
  <c r="DB176" i="27"/>
  <c r="DA176" i="27"/>
  <c r="CZ176" i="27"/>
  <c r="CX176" i="27"/>
  <c r="CW176" i="27"/>
  <c r="CV176" i="27"/>
  <c r="CT176" i="27"/>
  <c r="CS176" i="27"/>
  <c r="CR176" i="27"/>
  <c r="CP176" i="27"/>
  <c r="CO176" i="27"/>
  <c r="CN176" i="27"/>
  <c r="CL176" i="27"/>
  <c r="CK176" i="27"/>
  <c r="CJ176" i="27"/>
  <c r="CH176" i="27"/>
  <c r="CG176" i="27"/>
  <c r="CF176" i="27"/>
  <c r="CD176" i="27"/>
  <c r="EX175" i="27"/>
  <c r="FG175" i="27" s="1"/>
  <c r="EW175" i="27"/>
  <c r="EV175" i="27"/>
  <c r="ET175" i="27"/>
  <c r="ES175" i="27"/>
  <c r="ER175" i="27"/>
  <c r="EP175" i="27"/>
  <c r="EO175" i="27"/>
  <c r="EN175" i="27"/>
  <c r="EL175" i="27"/>
  <c r="EK175" i="27"/>
  <c r="EJ175" i="27"/>
  <c r="EH175" i="27"/>
  <c r="EG175" i="27"/>
  <c r="EF175" i="27"/>
  <c r="ED175" i="27"/>
  <c r="EC175" i="27"/>
  <c r="EB175" i="27"/>
  <c r="DZ175" i="27"/>
  <c r="DY175" i="27"/>
  <c r="DX175" i="27"/>
  <c r="DV175" i="27"/>
  <c r="DU175" i="27"/>
  <c r="DT175" i="27"/>
  <c r="DR175" i="27"/>
  <c r="DQ175" i="27"/>
  <c r="DP175" i="27"/>
  <c r="DN175" i="27"/>
  <c r="DM175" i="27"/>
  <c r="DL175" i="27"/>
  <c r="DJ175" i="27"/>
  <c r="DI175" i="27"/>
  <c r="DH175" i="27"/>
  <c r="DF175" i="27"/>
  <c r="DE175" i="27"/>
  <c r="DD175" i="27"/>
  <c r="DB175" i="27"/>
  <c r="DA175" i="27"/>
  <c r="CZ175" i="27"/>
  <c r="CX175" i="27"/>
  <c r="CW175" i="27"/>
  <c r="CV175" i="27"/>
  <c r="CT175" i="27"/>
  <c r="CS175" i="27"/>
  <c r="CR175" i="27"/>
  <c r="CP175" i="27"/>
  <c r="CO175" i="27"/>
  <c r="CN175" i="27"/>
  <c r="CL175" i="27"/>
  <c r="CK175" i="27"/>
  <c r="CJ175" i="27"/>
  <c r="CH175" i="27"/>
  <c r="CG175" i="27"/>
  <c r="CF175" i="27"/>
  <c r="CD175" i="27"/>
  <c r="EX174" i="27"/>
  <c r="FG174" i="27" s="1"/>
  <c r="EW174" i="27"/>
  <c r="EV174" i="27"/>
  <c r="ET174" i="27"/>
  <c r="ES174" i="27"/>
  <c r="ER174" i="27"/>
  <c r="EP174" i="27"/>
  <c r="EO174" i="27"/>
  <c r="EN174" i="27"/>
  <c r="EL174" i="27"/>
  <c r="EK174" i="27"/>
  <c r="EJ174" i="27"/>
  <c r="EH174" i="27"/>
  <c r="EG174" i="27"/>
  <c r="EF174" i="27"/>
  <c r="ED174" i="27"/>
  <c r="EC174" i="27"/>
  <c r="EB174" i="27"/>
  <c r="DZ174" i="27"/>
  <c r="DY174" i="27"/>
  <c r="DX174" i="27"/>
  <c r="DV174" i="27"/>
  <c r="DU174" i="27"/>
  <c r="DT174" i="27"/>
  <c r="DR174" i="27"/>
  <c r="DQ174" i="27"/>
  <c r="DP174" i="27"/>
  <c r="DN174" i="27"/>
  <c r="DM174" i="27"/>
  <c r="DL174" i="27"/>
  <c r="DJ174" i="27"/>
  <c r="DI174" i="27"/>
  <c r="DH174" i="27"/>
  <c r="DF174" i="27"/>
  <c r="DE174" i="27"/>
  <c r="DD174" i="27"/>
  <c r="DB174" i="27"/>
  <c r="DA174" i="27"/>
  <c r="CZ174" i="27"/>
  <c r="CX174" i="27"/>
  <c r="CW174" i="27"/>
  <c r="CV174" i="27"/>
  <c r="CT174" i="27"/>
  <c r="CS174" i="27"/>
  <c r="CR174" i="27"/>
  <c r="CP174" i="27"/>
  <c r="CO174" i="27"/>
  <c r="CN174" i="27"/>
  <c r="CL174" i="27"/>
  <c r="CK174" i="27"/>
  <c r="CJ174" i="27"/>
  <c r="CH174" i="27"/>
  <c r="CG174" i="27"/>
  <c r="CF174" i="27"/>
  <c r="CD174" i="27"/>
  <c r="EX173" i="27"/>
  <c r="FG173" i="27" s="1"/>
  <c r="EW173" i="27"/>
  <c r="EV173" i="27"/>
  <c r="ET173" i="27"/>
  <c r="ES173" i="27"/>
  <c r="ER173" i="27"/>
  <c r="EP173" i="27"/>
  <c r="EO173" i="27"/>
  <c r="EN173" i="27"/>
  <c r="EL173" i="27"/>
  <c r="EK173" i="27"/>
  <c r="EJ173" i="27"/>
  <c r="EH173" i="27"/>
  <c r="EG173" i="27"/>
  <c r="EF173" i="27"/>
  <c r="ED173" i="27"/>
  <c r="EC173" i="27"/>
  <c r="EB173" i="27"/>
  <c r="DZ173" i="27"/>
  <c r="DY173" i="27"/>
  <c r="DX173" i="27"/>
  <c r="DV173" i="27"/>
  <c r="DU173" i="27"/>
  <c r="DT173" i="27"/>
  <c r="DR173" i="27"/>
  <c r="DQ173" i="27"/>
  <c r="DP173" i="27"/>
  <c r="DN173" i="27"/>
  <c r="DM173" i="27"/>
  <c r="DL173" i="27"/>
  <c r="DJ173" i="27"/>
  <c r="DI173" i="27"/>
  <c r="DH173" i="27"/>
  <c r="DF173" i="27"/>
  <c r="DE173" i="27"/>
  <c r="DD173" i="27"/>
  <c r="DB173" i="27"/>
  <c r="DA173" i="27"/>
  <c r="CZ173" i="27"/>
  <c r="CX173" i="27"/>
  <c r="CW173" i="27"/>
  <c r="CV173" i="27"/>
  <c r="CT173" i="27"/>
  <c r="CS173" i="27"/>
  <c r="CR173" i="27"/>
  <c r="CP173" i="27"/>
  <c r="CO173" i="27"/>
  <c r="CN173" i="27"/>
  <c r="CL173" i="27"/>
  <c r="CK173" i="27"/>
  <c r="CJ173" i="27"/>
  <c r="CH173" i="27"/>
  <c r="CG173" i="27"/>
  <c r="CF173" i="27"/>
  <c r="CD173" i="27"/>
  <c r="EX172" i="27"/>
  <c r="FG172" i="27" s="1"/>
  <c r="EW172" i="27"/>
  <c r="EV172" i="27"/>
  <c r="ET172" i="27"/>
  <c r="ES172" i="27"/>
  <c r="ER172" i="27"/>
  <c r="EP172" i="27"/>
  <c r="EO172" i="27"/>
  <c r="EN172" i="27"/>
  <c r="EL172" i="27"/>
  <c r="EK172" i="27"/>
  <c r="EJ172" i="27"/>
  <c r="EH172" i="27"/>
  <c r="EG172" i="27"/>
  <c r="EF172" i="27"/>
  <c r="ED172" i="27"/>
  <c r="EC172" i="27"/>
  <c r="EB172" i="27"/>
  <c r="DZ172" i="27"/>
  <c r="DY172" i="27"/>
  <c r="DX172" i="27"/>
  <c r="DV172" i="27"/>
  <c r="DU172" i="27"/>
  <c r="DT172" i="27"/>
  <c r="DR172" i="27"/>
  <c r="DQ172" i="27"/>
  <c r="DP172" i="27"/>
  <c r="DN172" i="27"/>
  <c r="DM172" i="27"/>
  <c r="DL172" i="27"/>
  <c r="DJ172" i="27"/>
  <c r="DI172" i="27"/>
  <c r="DH172" i="27"/>
  <c r="DF172" i="27"/>
  <c r="DE172" i="27"/>
  <c r="DD172" i="27"/>
  <c r="DB172" i="27"/>
  <c r="DA172" i="27"/>
  <c r="CZ172" i="27"/>
  <c r="CX172" i="27"/>
  <c r="CW172" i="27"/>
  <c r="CV172" i="27"/>
  <c r="CT172" i="27"/>
  <c r="CS172" i="27"/>
  <c r="CR172" i="27"/>
  <c r="CP172" i="27"/>
  <c r="CO172" i="27"/>
  <c r="CN172" i="27"/>
  <c r="CL172" i="27"/>
  <c r="CK172" i="27"/>
  <c r="CJ172" i="27"/>
  <c r="CH172" i="27"/>
  <c r="CG172" i="27"/>
  <c r="CF172" i="27"/>
  <c r="CD172" i="27"/>
  <c r="EX171" i="27"/>
  <c r="FG171" i="27" s="1"/>
  <c r="EW171" i="27"/>
  <c r="EV171" i="27"/>
  <c r="ET171" i="27"/>
  <c r="ES171" i="27"/>
  <c r="ER171" i="27"/>
  <c r="EP171" i="27"/>
  <c r="EO171" i="27"/>
  <c r="EN171" i="27"/>
  <c r="EL171" i="27"/>
  <c r="EK171" i="27"/>
  <c r="EJ171" i="27"/>
  <c r="EH171" i="27"/>
  <c r="EG171" i="27"/>
  <c r="EF171" i="27"/>
  <c r="ED171" i="27"/>
  <c r="EC171" i="27"/>
  <c r="EB171" i="27"/>
  <c r="DZ171" i="27"/>
  <c r="DY171" i="27"/>
  <c r="DX171" i="27"/>
  <c r="DV171" i="27"/>
  <c r="DU171" i="27"/>
  <c r="DT171" i="27"/>
  <c r="DR171" i="27"/>
  <c r="DQ171" i="27"/>
  <c r="DP171" i="27"/>
  <c r="DN171" i="27"/>
  <c r="DM171" i="27"/>
  <c r="DL171" i="27"/>
  <c r="DJ171" i="27"/>
  <c r="DI171" i="27"/>
  <c r="DH171" i="27"/>
  <c r="DF171" i="27"/>
  <c r="DE171" i="27"/>
  <c r="DD171" i="27"/>
  <c r="DB171" i="27"/>
  <c r="DA171" i="27"/>
  <c r="CZ171" i="27"/>
  <c r="CX171" i="27"/>
  <c r="CW171" i="27"/>
  <c r="CV171" i="27"/>
  <c r="CT171" i="27"/>
  <c r="CS171" i="27"/>
  <c r="CR171" i="27"/>
  <c r="CP171" i="27"/>
  <c r="CO171" i="27"/>
  <c r="CN171" i="27"/>
  <c r="CL171" i="27"/>
  <c r="CK171" i="27"/>
  <c r="CJ171" i="27"/>
  <c r="CH171" i="27"/>
  <c r="CG171" i="27"/>
  <c r="CF171" i="27"/>
  <c r="CD171" i="27"/>
  <c r="EX170" i="27"/>
  <c r="FG170" i="27" s="1"/>
  <c r="EW170" i="27"/>
  <c r="EV170" i="27"/>
  <c r="ET170" i="27"/>
  <c r="ES170" i="27"/>
  <c r="ER170" i="27"/>
  <c r="EP170" i="27"/>
  <c r="EO170" i="27"/>
  <c r="EN170" i="27"/>
  <c r="EL170" i="27"/>
  <c r="EK170" i="27"/>
  <c r="EJ170" i="27"/>
  <c r="EH170" i="27"/>
  <c r="EG170" i="27"/>
  <c r="EF170" i="27"/>
  <c r="ED170" i="27"/>
  <c r="EC170" i="27"/>
  <c r="EB170" i="27"/>
  <c r="DZ170" i="27"/>
  <c r="DY170" i="27"/>
  <c r="DX170" i="27"/>
  <c r="DV170" i="27"/>
  <c r="DU170" i="27"/>
  <c r="DT170" i="27"/>
  <c r="DR170" i="27"/>
  <c r="DQ170" i="27"/>
  <c r="DP170" i="27"/>
  <c r="DN170" i="27"/>
  <c r="DM170" i="27"/>
  <c r="DL170" i="27"/>
  <c r="DJ170" i="27"/>
  <c r="DI170" i="27"/>
  <c r="DH170" i="27"/>
  <c r="DF170" i="27"/>
  <c r="DE170" i="27"/>
  <c r="DD170" i="27"/>
  <c r="DB170" i="27"/>
  <c r="DA170" i="27"/>
  <c r="CZ170" i="27"/>
  <c r="CX170" i="27"/>
  <c r="CW170" i="27"/>
  <c r="CV170" i="27"/>
  <c r="CT170" i="27"/>
  <c r="CS170" i="27"/>
  <c r="CR170" i="27"/>
  <c r="CP170" i="27"/>
  <c r="CO170" i="27"/>
  <c r="CN170" i="27"/>
  <c r="CL170" i="27"/>
  <c r="CK170" i="27"/>
  <c r="CJ170" i="27"/>
  <c r="CH170" i="27"/>
  <c r="CG170" i="27"/>
  <c r="CF170" i="27"/>
  <c r="CD170" i="27"/>
  <c r="EX169" i="27"/>
  <c r="FG169" i="27" s="1"/>
  <c r="EW169" i="27"/>
  <c r="EV169" i="27"/>
  <c r="ET169" i="27"/>
  <c r="ES169" i="27"/>
  <c r="ER169" i="27"/>
  <c r="EP169" i="27"/>
  <c r="EO169" i="27"/>
  <c r="EN169" i="27"/>
  <c r="EL169" i="27"/>
  <c r="EK169" i="27"/>
  <c r="EJ169" i="27"/>
  <c r="EH169" i="27"/>
  <c r="EG169" i="27"/>
  <c r="EF169" i="27"/>
  <c r="ED169" i="27"/>
  <c r="EC169" i="27"/>
  <c r="EB169" i="27"/>
  <c r="DZ169" i="27"/>
  <c r="DY169" i="27"/>
  <c r="DX169" i="27"/>
  <c r="DV169" i="27"/>
  <c r="DU169" i="27"/>
  <c r="DT169" i="27"/>
  <c r="DR169" i="27"/>
  <c r="DQ169" i="27"/>
  <c r="DP169" i="27"/>
  <c r="DN169" i="27"/>
  <c r="DM169" i="27"/>
  <c r="DL169" i="27"/>
  <c r="DJ169" i="27"/>
  <c r="DI169" i="27"/>
  <c r="DH169" i="27"/>
  <c r="DF169" i="27"/>
  <c r="DE169" i="27"/>
  <c r="DD169" i="27"/>
  <c r="DB169" i="27"/>
  <c r="DA169" i="27"/>
  <c r="CZ169" i="27"/>
  <c r="CX169" i="27"/>
  <c r="CW169" i="27"/>
  <c r="CV169" i="27"/>
  <c r="CT169" i="27"/>
  <c r="CS169" i="27"/>
  <c r="CR169" i="27"/>
  <c r="CP169" i="27"/>
  <c r="CO169" i="27"/>
  <c r="CN169" i="27"/>
  <c r="CL169" i="27"/>
  <c r="CK169" i="27"/>
  <c r="CJ169" i="27"/>
  <c r="CH169" i="27"/>
  <c r="CG169" i="27"/>
  <c r="CF169" i="27"/>
  <c r="CD169" i="27"/>
  <c r="F39" i="75"/>
  <c r="G39" i="75" s="1"/>
  <c r="F38" i="75"/>
  <c r="G38" i="75" s="1"/>
  <c r="F37" i="75"/>
  <c r="G37" i="75" s="1"/>
  <c r="F36" i="75"/>
  <c r="G36" i="75" s="1"/>
  <c r="G35" i="75"/>
  <c r="F35" i="75"/>
  <c r="F34" i="75"/>
  <c r="G34" i="75" s="1"/>
  <c r="F33" i="75"/>
  <c r="G33" i="75" s="1"/>
  <c r="F32" i="75"/>
  <c r="G32" i="75" s="1"/>
  <c r="G31" i="75"/>
  <c r="F31" i="75"/>
  <c r="F30" i="75"/>
  <c r="G30" i="75" s="1"/>
  <c r="F29" i="75"/>
  <c r="G29" i="75" s="1"/>
  <c r="F28" i="75"/>
  <c r="G28" i="75" s="1"/>
  <c r="F27" i="75"/>
  <c r="G27" i="75" s="1"/>
  <c r="F26" i="75"/>
  <c r="G26" i="75" s="1"/>
  <c r="F25" i="75"/>
  <c r="G25" i="75" s="1"/>
  <c r="F24" i="75"/>
  <c r="G24" i="75" s="1"/>
  <c r="F23" i="75"/>
  <c r="G23" i="75" s="1"/>
  <c r="F22" i="75"/>
  <c r="G22" i="75" s="1"/>
  <c r="G21" i="75"/>
  <c r="F21" i="75"/>
  <c r="F20" i="75"/>
  <c r="G20" i="75" s="1"/>
  <c r="G19" i="75"/>
  <c r="F19" i="75"/>
  <c r="F18" i="75"/>
  <c r="G18" i="75" s="1"/>
  <c r="F17" i="75"/>
  <c r="G17" i="75" s="1"/>
  <c r="F16" i="75"/>
  <c r="G16" i="75" s="1"/>
  <c r="G15" i="75"/>
  <c r="F15" i="75"/>
  <c r="F14" i="75"/>
  <c r="G14" i="75" s="1"/>
  <c r="F13" i="75"/>
  <c r="F12" i="75"/>
  <c r="F11" i="75"/>
  <c r="F10" i="75"/>
  <c r="G10" i="75" s="1"/>
  <c r="F9" i="75"/>
  <c r="G9" i="75" s="1"/>
  <c r="F8" i="75"/>
  <c r="G8" i="75" s="1"/>
  <c r="F47" i="85"/>
  <c r="E47" i="85"/>
  <c r="D47" i="85"/>
  <c r="G47" i="85" s="1"/>
  <c r="C47" i="85"/>
  <c r="F46" i="85"/>
  <c r="F45" i="85"/>
  <c r="F44" i="85"/>
  <c r="F43" i="85"/>
  <c r="F42" i="85"/>
  <c r="F41" i="85"/>
  <c r="F40" i="85"/>
  <c r="F39" i="85"/>
  <c r="F38" i="85"/>
  <c r="F37" i="85"/>
  <c r="F35" i="85"/>
  <c r="F34" i="85"/>
  <c r="F33" i="85"/>
  <c r="F32" i="85"/>
  <c r="F31" i="85"/>
  <c r="F30" i="85"/>
  <c r="F29" i="85"/>
  <c r="F28" i="85"/>
  <c r="F27" i="85"/>
  <c r="F26" i="85"/>
  <c r="F25" i="85"/>
  <c r="F24" i="85"/>
  <c r="F23" i="85"/>
  <c r="E46" i="85"/>
  <c r="D46" i="85"/>
  <c r="G46" i="85" s="1"/>
  <c r="C46" i="85"/>
  <c r="D45" i="85"/>
  <c r="G45" i="85" s="1"/>
  <c r="C45" i="85"/>
  <c r="E44" i="85"/>
  <c r="D44" i="85"/>
  <c r="G44" i="85" s="1"/>
  <c r="C44" i="85"/>
  <c r="E43" i="85"/>
  <c r="D43" i="85"/>
  <c r="G43" i="85" s="1"/>
  <c r="C43" i="85"/>
  <c r="E42" i="85"/>
  <c r="D42" i="85"/>
  <c r="C42" i="85"/>
  <c r="E41" i="85"/>
  <c r="D41" i="85"/>
  <c r="C41" i="85"/>
  <c r="E40" i="85"/>
  <c r="D40" i="85"/>
  <c r="C40" i="85"/>
  <c r="E39" i="85"/>
  <c r="D39" i="85"/>
  <c r="C39" i="85"/>
  <c r="E38" i="85"/>
  <c r="D38" i="85"/>
  <c r="C38" i="85"/>
  <c r="E37" i="85"/>
  <c r="D37" i="85"/>
  <c r="C37" i="85"/>
  <c r="E36" i="85"/>
  <c r="D36" i="85"/>
  <c r="C36" i="85"/>
  <c r="E35" i="85"/>
  <c r="D35" i="85"/>
  <c r="C35" i="85"/>
  <c r="E34" i="85"/>
  <c r="D34" i="85"/>
  <c r="C34" i="85"/>
  <c r="E33" i="85"/>
  <c r="D33" i="85"/>
  <c r="C33" i="85"/>
  <c r="E32" i="85"/>
  <c r="D32" i="85"/>
  <c r="C32" i="85"/>
  <c r="E31" i="85"/>
  <c r="D31" i="85"/>
  <c r="C31" i="85"/>
  <c r="E30" i="85"/>
  <c r="D30" i="85"/>
  <c r="C30" i="85"/>
  <c r="E29" i="85"/>
  <c r="D29" i="85"/>
  <c r="C29" i="85"/>
  <c r="E28" i="85"/>
  <c r="D28" i="85"/>
  <c r="C28" i="85"/>
  <c r="E27" i="85"/>
  <c r="D27" i="85"/>
  <c r="C27" i="85"/>
  <c r="E26" i="85"/>
  <c r="D26" i="85"/>
  <c r="C26" i="85"/>
  <c r="E25" i="85"/>
  <c r="D25" i="85"/>
  <c r="C25" i="85"/>
  <c r="E24" i="85"/>
  <c r="D24" i="85"/>
  <c r="C24" i="85"/>
  <c r="M62" i="86"/>
  <c r="I62" i="86" s="1"/>
  <c r="M61" i="86"/>
  <c r="I61" i="86" s="1"/>
  <c r="M60" i="86"/>
  <c r="I60" i="86" s="1"/>
  <c r="M59" i="86"/>
  <c r="I59" i="86" s="1"/>
  <c r="M58" i="86"/>
  <c r="I58" i="86" s="1"/>
  <c r="M57" i="86"/>
  <c r="I57" i="86" s="1"/>
  <c r="M56" i="86"/>
  <c r="I56" i="86" s="1"/>
  <c r="M55" i="86"/>
  <c r="I55" i="86" s="1"/>
  <c r="M54" i="86"/>
  <c r="I54" i="86" s="1"/>
  <c r="M53" i="86"/>
  <c r="I53" i="86" s="1"/>
  <c r="M52" i="86"/>
  <c r="I52" i="86" s="1"/>
  <c r="M51" i="86"/>
  <c r="I51" i="86" s="1"/>
  <c r="M50" i="86"/>
  <c r="I50" i="86" s="1"/>
  <c r="M49" i="86"/>
  <c r="I49" i="86" s="1"/>
  <c r="M48" i="86"/>
  <c r="I48" i="86" s="1"/>
  <c r="M47" i="86"/>
  <c r="I47" i="86" s="1"/>
  <c r="M44" i="86"/>
  <c r="I44" i="86" s="1"/>
  <c r="C203" i="145"/>
  <c r="B203" i="145" s="1"/>
  <c r="C204" i="145"/>
  <c r="B204" i="145" s="1"/>
  <c r="C205" i="145"/>
  <c r="B205" i="145" s="1"/>
  <c r="C206" i="145"/>
  <c r="F206" i="145" s="1"/>
  <c r="C207" i="145"/>
  <c r="D207" i="145" s="1"/>
  <c r="C208" i="145"/>
  <c r="C209" i="145"/>
  <c r="D209" i="145" s="1"/>
  <c r="C210" i="145"/>
  <c r="G210" i="145" s="1"/>
  <c r="C211" i="145"/>
  <c r="F211" i="145" s="1"/>
  <c r="C212" i="145"/>
  <c r="F212" i="145" s="1"/>
  <c r="C213" i="145"/>
  <c r="C214" i="145"/>
  <c r="F214" i="145" s="1"/>
  <c r="C215" i="145"/>
  <c r="D215" i="145" s="1"/>
  <c r="C216" i="145"/>
  <c r="D216" i="145" s="1"/>
  <c r="C217" i="145"/>
  <c r="D217" i="145" s="1"/>
  <c r="C218" i="145"/>
  <c r="G218" i="145" s="1"/>
  <c r="C219" i="145"/>
  <c r="C220" i="145"/>
  <c r="B220" i="145" s="1"/>
  <c r="C221" i="145"/>
  <c r="F221" i="145" s="1"/>
  <c r="C222" i="145"/>
  <c r="F222" i="145" s="1"/>
  <c r="C223" i="145"/>
  <c r="D223" i="145" s="1"/>
  <c r="C224" i="145"/>
  <c r="E224" i="145" s="1"/>
  <c r="C225" i="145"/>
  <c r="D225" i="145" s="1"/>
  <c r="C226" i="145"/>
  <c r="D226" i="145" s="1"/>
  <c r="C227" i="145"/>
  <c r="F227" i="145" s="1"/>
  <c r="C228" i="145"/>
  <c r="F228" i="145" s="1"/>
  <c r="C229" i="145"/>
  <c r="B229" i="145" s="1"/>
  <c r="C230" i="145"/>
  <c r="F230" i="145" s="1"/>
  <c r="C231" i="145"/>
  <c r="E231" i="145" s="1"/>
  <c r="C232" i="145"/>
  <c r="E232" i="145" s="1"/>
  <c r="C233" i="145"/>
  <c r="F233" i="145" s="1"/>
  <c r="C234" i="145"/>
  <c r="C235" i="145"/>
  <c r="B235" i="145" s="1"/>
  <c r="C236" i="145"/>
  <c r="F236" i="145" s="1"/>
  <c r="C237" i="145"/>
  <c r="B237" i="145" s="1"/>
  <c r="C238" i="145"/>
  <c r="F238" i="145" s="1"/>
  <c r="C239" i="145"/>
  <c r="D239" i="145" s="1"/>
  <c r="C240" i="145"/>
  <c r="E240" i="145" s="1"/>
  <c r="C241" i="145"/>
  <c r="G241" i="145" s="1"/>
  <c r="C242" i="145"/>
  <c r="F242" i="145" s="1"/>
  <c r="C243" i="145"/>
  <c r="F243" i="145" s="1"/>
  <c r="C244" i="145"/>
  <c r="F244" i="145" s="1"/>
  <c r="C245" i="145"/>
  <c r="C246" i="145"/>
  <c r="F246" i="145" s="1"/>
  <c r="C247" i="145"/>
  <c r="B247" i="145" s="1"/>
  <c r="C248" i="145"/>
  <c r="G248" i="145" s="1"/>
  <c r="C249" i="145"/>
  <c r="F249" i="145" s="1"/>
  <c r="C250" i="145"/>
  <c r="F250" i="145" s="1"/>
  <c r="C251" i="145"/>
  <c r="F251" i="145" s="1"/>
  <c r="C252" i="145"/>
  <c r="F252" i="145" s="1"/>
  <c r="C253" i="145"/>
  <c r="F253" i="145" s="1"/>
  <c r="C254" i="145"/>
  <c r="C255" i="145"/>
  <c r="E255" i="145" s="1"/>
  <c r="C256" i="145"/>
  <c r="D256" i="145" s="1"/>
  <c r="C257" i="145"/>
  <c r="B257" i="145" s="1"/>
  <c r="C258" i="145"/>
  <c r="B258" i="145" s="1"/>
  <c r="C259" i="145"/>
  <c r="C260" i="145"/>
  <c r="D260" i="145" s="1"/>
  <c r="C261" i="145"/>
  <c r="D261" i="145" s="1"/>
  <c r="C262" i="145"/>
  <c r="G262" i="145" s="1"/>
  <c r="C263" i="145"/>
  <c r="C264" i="145"/>
  <c r="G264" i="145" s="1"/>
  <c r="C265" i="145"/>
  <c r="F265" i="145" s="1"/>
  <c r="C266" i="145"/>
  <c r="D266" i="145" s="1"/>
  <c r="C214" i="85"/>
  <c r="D214" i="85" s="1"/>
  <c r="C169" i="27" s="1"/>
  <c r="C215" i="85"/>
  <c r="D215" i="85" s="1"/>
  <c r="C170" i="27" s="1"/>
  <c r="C216" i="85"/>
  <c r="E216" i="85" s="1"/>
  <c r="C217" i="85"/>
  <c r="B217" i="85" s="1"/>
  <c r="C218" i="85"/>
  <c r="D218" i="85" s="1"/>
  <c r="C173" i="27" s="1"/>
  <c r="C219" i="85"/>
  <c r="D219" i="85" s="1"/>
  <c r="C174" i="27" s="1"/>
  <c r="C220" i="85"/>
  <c r="B175" i="27" s="1"/>
  <c r="FM175" i="27" s="1"/>
  <c r="C221" i="85"/>
  <c r="B221" i="85" s="1"/>
  <c r="C222" i="85"/>
  <c r="D222" i="85" s="1"/>
  <c r="C177" i="27" s="1"/>
  <c r="C223" i="85"/>
  <c r="B178" i="27" s="1"/>
  <c r="FM178" i="27" s="1"/>
  <c r="C224" i="85"/>
  <c r="E224" i="85" s="1"/>
  <c r="C225" i="85"/>
  <c r="B225" i="85" s="1"/>
  <c r="C226" i="85"/>
  <c r="D226" i="85" s="1"/>
  <c r="C181" i="27" s="1"/>
  <c r="C227" i="85"/>
  <c r="B182" i="27" s="1"/>
  <c r="FM182" i="27" s="1"/>
  <c r="C228" i="85"/>
  <c r="E228" i="85" s="1"/>
  <c r="C229" i="85"/>
  <c r="E229" i="85" s="1"/>
  <c r="C230" i="85"/>
  <c r="D230" i="85" s="1"/>
  <c r="C185" i="27" s="1"/>
  <c r="C231" i="85"/>
  <c r="E231" i="85" s="1"/>
  <c r="C232" i="85"/>
  <c r="E232" i="85" s="1"/>
  <c r="C233" i="85"/>
  <c r="E233" i="85" s="1"/>
  <c r="C234" i="85"/>
  <c r="D234" i="85" s="1"/>
  <c r="C189" i="27" s="1"/>
  <c r="C235" i="85"/>
  <c r="D235" i="85" s="1"/>
  <c r="C190" i="27" s="1"/>
  <c r="C236" i="85"/>
  <c r="F236" i="85" s="1"/>
  <c r="AJ236" i="85" s="1" a="1"/>
  <c r="C237" i="85"/>
  <c r="D237" i="85" s="1"/>
  <c r="C192" i="27" s="1"/>
  <c r="C238" i="85"/>
  <c r="B193" i="27" s="1"/>
  <c r="FM193" i="27" s="1"/>
  <c r="C239" i="85"/>
  <c r="B239" i="85" s="1"/>
  <c r="C240" i="85"/>
  <c r="E240" i="85" s="1"/>
  <c r="C241" i="85"/>
  <c r="D241" i="85" s="1"/>
  <c r="C196" i="27" s="1"/>
  <c r="C242" i="85"/>
  <c r="F242" i="85" s="1"/>
  <c r="AJ242" i="85" s="1" a="1"/>
  <c r="C243" i="85"/>
  <c r="B198" i="27" s="1"/>
  <c r="FM198" i="27" s="1"/>
  <c r="C244" i="85"/>
  <c r="D244" i="85" s="1"/>
  <c r="C199" i="27" s="1"/>
  <c r="C245" i="85"/>
  <c r="B200" i="27" s="1"/>
  <c r="FM200" i="27" s="1"/>
  <c r="C246" i="85"/>
  <c r="E246" i="85" s="1"/>
  <c r="C247" i="85"/>
  <c r="E247" i="85" s="1"/>
  <c r="C248" i="85"/>
  <c r="E248" i="85" s="1"/>
  <c r="C249" i="85"/>
  <c r="G249" i="85" s="1"/>
  <c r="C250" i="85"/>
  <c r="F250" i="85" s="1"/>
  <c r="AJ250" i="85" s="1" a="1"/>
  <c r="C251" i="85"/>
  <c r="B251" i="85" s="1"/>
  <c r="C252" i="85"/>
  <c r="E252" i="85" s="1"/>
  <c r="C253" i="85"/>
  <c r="G253" i="85" s="1"/>
  <c r="C254" i="85"/>
  <c r="B209" i="27" s="1"/>
  <c r="FM209" i="27" s="1"/>
  <c r="C255" i="85"/>
  <c r="B255" i="85" s="1"/>
  <c r="C256" i="85"/>
  <c r="E256" i="85" s="1"/>
  <c r="C257" i="85"/>
  <c r="G257" i="85" s="1"/>
  <c r="C258" i="85"/>
  <c r="G258" i="85" s="1"/>
  <c r="C259" i="85"/>
  <c r="G259" i="85" s="1"/>
  <c r="C260" i="85"/>
  <c r="E260" i="85" s="1"/>
  <c r="C261" i="85"/>
  <c r="B216" i="27" s="1"/>
  <c r="FM216" i="27" s="1"/>
  <c r="C262" i="85"/>
  <c r="F262" i="85" s="1"/>
  <c r="AJ262" i="85" s="1" a="1"/>
  <c r="C263" i="85"/>
  <c r="B263" i="85" s="1"/>
  <c r="C264" i="85"/>
  <c r="E264" i="85" s="1"/>
  <c r="C265" i="85"/>
  <c r="B220" i="27" s="1"/>
  <c r="FM220" i="27" s="1"/>
  <c r="C266" i="85"/>
  <c r="D266" i="85" s="1"/>
  <c r="C221" i="27" s="1"/>
  <c r="AB81" i="105"/>
  <c r="AB83" i="105" s="1"/>
  <c r="AA81" i="105"/>
  <c r="Z81" i="105"/>
  <c r="Z83" i="105" s="1"/>
  <c r="Y81" i="105"/>
  <c r="Y83" i="105" s="1"/>
  <c r="AB77" i="105"/>
  <c r="AA77" i="105"/>
  <c r="Z77" i="105"/>
  <c r="Y77" i="105"/>
  <c r="K73" i="105"/>
  <c r="L73" i="105" s="1"/>
  <c r="G73" i="105"/>
  <c r="K72" i="105"/>
  <c r="L72" i="105" s="1"/>
  <c r="G72" i="105"/>
  <c r="K71" i="105"/>
  <c r="L71" i="105" s="1"/>
  <c r="G71" i="105"/>
  <c r="K70" i="105"/>
  <c r="L70" i="105" s="1"/>
  <c r="G70" i="105"/>
  <c r="K69" i="105"/>
  <c r="L69" i="105" s="1"/>
  <c r="G69" i="105"/>
  <c r="K68" i="105"/>
  <c r="G68" i="105"/>
  <c r="K67" i="105"/>
  <c r="L67" i="105" s="1"/>
  <c r="G67" i="105"/>
  <c r="K66" i="105"/>
  <c r="G66" i="105"/>
  <c r="K65" i="105"/>
  <c r="L65" i="105" s="1"/>
  <c r="G65" i="105"/>
  <c r="K64" i="105"/>
  <c r="G64" i="105"/>
  <c r="K63" i="105"/>
  <c r="L63" i="105" s="1"/>
  <c r="G63" i="105"/>
  <c r="K62" i="105"/>
  <c r="G62" i="105"/>
  <c r="K61" i="105"/>
  <c r="L61" i="105" s="1"/>
  <c r="G61" i="105"/>
  <c r="K60" i="105"/>
  <c r="G60" i="105"/>
  <c r="K59" i="105"/>
  <c r="L59" i="105" s="1"/>
  <c r="G59" i="105"/>
  <c r="K58" i="105"/>
  <c r="G58" i="105"/>
  <c r="K57" i="105"/>
  <c r="L57" i="105" s="1"/>
  <c r="G57" i="105"/>
  <c r="K56" i="105"/>
  <c r="G56" i="105"/>
  <c r="K55" i="105"/>
  <c r="G55" i="105"/>
  <c r="K54" i="105"/>
  <c r="G54" i="105"/>
  <c r="K53" i="105"/>
  <c r="L53" i="105" s="1"/>
  <c r="G53" i="105"/>
  <c r="K52" i="105"/>
  <c r="G52" i="105"/>
  <c r="K51" i="105"/>
  <c r="G51" i="105"/>
  <c r="K50" i="105"/>
  <c r="G50" i="105"/>
  <c r="K49" i="105"/>
  <c r="L49" i="105" s="1"/>
  <c r="G49" i="105"/>
  <c r="K48" i="105"/>
  <c r="L48" i="105" s="1"/>
  <c r="G48" i="105"/>
  <c r="K47" i="105"/>
  <c r="L47" i="105" s="1"/>
  <c r="G47" i="105"/>
  <c r="K46" i="105"/>
  <c r="L46" i="105" s="1"/>
  <c r="G46" i="105"/>
  <c r="K45" i="105"/>
  <c r="G45" i="105"/>
  <c r="K44" i="105"/>
  <c r="L44" i="105" s="1"/>
  <c r="G44" i="105"/>
  <c r="K43" i="105"/>
  <c r="L43" i="105" s="1"/>
  <c r="G43" i="105"/>
  <c r="K42" i="105"/>
  <c r="L42" i="105" s="1"/>
  <c r="G42" i="105"/>
  <c r="K41" i="105"/>
  <c r="G41" i="105"/>
  <c r="K40" i="105"/>
  <c r="L40" i="105" s="1"/>
  <c r="G40" i="105"/>
  <c r="K39" i="105"/>
  <c r="L39" i="105" s="1"/>
  <c r="G39" i="105"/>
  <c r="K38" i="105"/>
  <c r="L38" i="105" s="1"/>
  <c r="G38" i="105"/>
  <c r="K37" i="105"/>
  <c r="G37" i="105"/>
  <c r="K36" i="105"/>
  <c r="L36" i="105" s="1"/>
  <c r="K35" i="105"/>
  <c r="L35" i="105" s="1"/>
  <c r="K34" i="105"/>
  <c r="L34" i="105" s="1"/>
  <c r="K33" i="105"/>
  <c r="Q33" i="105"/>
  <c r="Q32" i="105"/>
  <c r="K32" i="105"/>
  <c r="L32" i="105" s="1"/>
  <c r="K31" i="105"/>
  <c r="L31" i="105" s="1"/>
  <c r="K30" i="105"/>
  <c r="L30" i="105" s="1"/>
  <c r="K29" i="105"/>
  <c r="Q29" i="105"/>
  <c r="Q28" i="105"/>
  <c r="K28" i="105"/>
  <c r="L28" i="105" s="1"/>
  <c r="K27" i="105"/>
  <c r="L27" i="105" s="1"/>
  <c r="K26" i="105"/>
  <c r="L26" i="105" s="1"/>
  <c r="K25" i="105"/>
  <c r="L25" i="105" s="1"/>
  <c r="K24" i="105"/>
  <c r="L24" i="105" s="1"/>
  <c r="K23" i="105"/>
  <c r="L23" i="105" s="1"/>
  <c r="K22" i="105"/>
  <c r="L22" i="105" s="1"/>
  <c r="K21" i="105"/>
  <c r="L21" i="105" s="1"/>
  <c r="K20" i="105"/>
  <c r="L20" i="105" s="1"/>
  <c r="K19" i="105"/>
  <c r="L19" i="105" s="1"/>
  <c r="K18" i="105"/>
  <c r="L18" i="105" s="1"/>
  <c r="P76" i="208" l="1"/>
  <c r="J61" i="208"/>
  <c r="K61" i="208" s="1"/>
  <c r="J63" i="208"/>
  <c r="K63" i="208" s="1"/>
  <c r="L14" i="145"/>
  <c r="AI14" i="145"/>
  <c r="AO14" i="145" s="1"/>
  <c r="L13" i="145"/>
  <c r="AI13" i="145"/>
  <c r="AO13" i="145" s="1"/>
  <c r="AH217" i="85"/>
  <c r="X217" i="85"/>
  <c r="AC217" i="85"/>
  <c r="AI217" i="85"/>
  <c r="AF217" i="85"/>
  <c r="V217" i="85"/>
  <c r="AG217" i="85"/>
  <c r="AD217" i="85"/>
  <c r="Y217" i="85"/>
  <c r="U217" i="85"/>
  <c r="W217" i="85"/>
  <c r="AA217" i="85"/>
  <c r="AB217" i="85"/>
  <c r="AE217" i="85"/>
  <c r="Z217" i="85"/>
  <c r="AG221" i="85"/>
  <c r="AB221" i="85"/>
  <c r="AA221" i="85"/>
  <c r="AF221" i="85"/>
  <c r="AE221" i="85"/>
  <c r="AC221" i="85"/>
  <c r="X221" i="85"/>
  <c r="AD221" i="85"/>
  <c r="U221" i="85"/>
  <c r="Z221" i="85"/>
  <c r="AH221" i="85"/>
  <c r="AI221" i="85"/>
  <c r="Y221" i="85"/>
  <c r="W221" i="85"/>
  <c r="V221" i="85"/>
  <c r="AD225" i="85"/>
  <c r="AI225" i="85"/>
  <c r="AE225" i="85"/>
  <c r="Z225" i="85"/>
  <c r="U225" i="85"/>
  <c r="AA225" i="85"/>
  <c r="AG225" i="85"/>
  <c r="AH225" i="85"/>
  <c r="AC225" i="85"/>
  <c r="V225" i="85"/>
  <c r="AF225" i="85"/>
  <c r="W225" i="85"/>
  <c r="AB225" i="85"/>
  <c r="Y225" i="85"/>
  <c r="X225" i="85"/>
  <c r="Z239" i="85"/>
  <c r="V239" i="85"/>
  <c r="AG239" i="85"/>
  <c r="U239" i="85"/>
  <c r="AI239" i="85"/>
  <c r="AD239" i="85"/>
  <c r="X239" i="85"/>
  <c r="AH239" i="85"/>
  <c r="AC239" i="85"/>
  <c r="Y239" i="85"/>
  <c r="AF239" i="85"/>
  <c r="AB239" i="85"/>
  <c r="W239" i="85"/>
  <c r="AE239" i="85"/>
  <c r="AA239" i="85"/>
  <c r="AC251" i="85"/>
  <c r="AA251" i="85"/>
  <c r="AB251" i="85"/>
  <c r="W251" i="85"/>
  <c r="AH251" i="85"/>
  <c r="X251" i="85"/>
  <c r="AF251" i="85"/>
  <c r="AG251" i="85"/>
  <c r="AI251" i="85"/>
  <c r="AD251" i="85"/>
  <c r="AE251" i="85"/>
  <c r="Z251" i="85"/>
  <c r="V251" i="85"/>
  <c r="U251" i="85"/>
  <c r="Y251" i="85"/>
  <c r="AH255" i="85"/>
  <c r="AI255" i="85"/>
  <c r="AD255" i="85"/>
  <c r="Y255" i="85"/>
  <c r="W255" i="85"/>
  <c r="AB255" i="85"/>
  <c r="AG255" i="85"/>
  <c r="AE255" i="85"/>
  <c r="V255" i="85"/>
  <c r="Z255" i="85"/>
  <c r="U255" i="85"/>
  <c r="AC255" i="85"/>
  <c r="AA255" i="85"/>
  <c r="AF255" i="85"/>
  <c r="X255" i="85"/>
  <c r="Y263" i="85"/>
  <c r="AH263" i="85"/>
  <c r="U263" i="85"/>
  <c r="AG263" i="85"/>
  <c r="X263" i="85"/>
  <c r="V263" i="85"/>
  <c r="AC263" i="85"/>
  <c r="AA263" i="85"/>
  <c r="W263" i="85"/>
  <c r="AI263" i="85"/>
  <c r="AB263" i="85"/>
  <c r="AD263" i="85"/>
  <c r="AE263" i="85"/>
  <c r="AF263" i="85"/>
  <c r="Z263" i="85"/>
  <c r="H27" i="110"/>
  <c r="O66" i="208"/>
  <c r="E103" i="208" s="1"/>
  <c r="L82" i="208"/>
  <c r="Z85" i="208"/>
  <c r="L76" i="208" s="1"/>
  <c r="D240" i="85"/>
  <c r="C195" i="27" s="1"/>
  <c r="G233" i="85"/>
  <c r="D258" i="85"/>
  <c r="C213" i="27" s="1"/>
  <c r="DK182" i="27"/>
  <c r="EQ182" i="27"/>
  <c r="EA210" i="27"/>
  <c r="E250" i="85"/>
  <c r="B250" i="85"/>
  <c r="CY217" i="27"/>
  <c r="EE217" i="27"/>
  <c r="DO179" i="27"/>
  <c r="CY183" i="27"/>
  <c r="E218" i="85"/>
  <c r="B176" i="27"/>
  <c r="FM176" i="27" s="1"/>
  <c r="B184" i="27"/>
  <c r="FM184" i="27" s="1"/>
  <c r="B192" i="27"/>
  <c r="FM192" i="27" s="1"/>
  <c r="B208" i="27"/>
  <c r="FM208" i="27" s="1"/>
  <c r="G256" i="85"/>
  <c r="E214" i="85"/>
  <c r="B169" i="27"/>
  <c r="FM169" i="27" s="1"/>
  <c r="B177" i="27"/>
  <c r="FM177" i="27" s="1"/>
  <c r="B185" i="27"/>
  <c r="FM185" i="27" s="1"/>
  <c r="B201" i="27"/>
  <c r="FM201" i="27" s="1"/>
  <c r="B217" i="27"/>
  <c r="FM217" i="27" s="1"/>
  <c r="G211" i="145"/>
  <c r="B170" i="27"/>
  <c r="FM170" i="27" s="1"/>
  <c r="B186" i="27"/>
  <c r="FM186" i="27" s="1"/>
  <c r="B194" i="27"/>
  <c r="FM194" i="27" s="1"/>
  <c r="B202" i="27"/>
  <c r="FM202" i="27" s="1"/>
  <c r="B210" i="27"/>
  <c r="FM210" i="27" s="1"/>
  <c r="B218" i="27"/>
  <c r="FM218" i="27" s="1"/>
  <c r="B171" i="27"/>
  <c r="FM171" i="27" s="1"/>
  <c r="B179" i="27"/>
  <c r="FM179" i="27" s="1"/>
  <c r="B187" i="27"/>
  <c r="FM187" i="27" s="1"/>
  <c r="B195" i="27"/>
  <c r="FM195" i="27" s="1"/>
  <c r="B203" i="27"/>
  <c r="FM203" i="27" s="1"/>
  <c r="B211" i="27"/>
  <c r="FM211" i="27" s="1"/>
  <c r="B219" i="27"/>
  <c r="FM219" i="27" s="1"/>
  <c r="G240" i="85"/>
  <c r="D264" i="145"/>
  <c r="F256" i="85"/>
  <c r="AJ256" i="85" s="1" a="1"/>
  <c r="B172" i="27"/>
  <c r="FM172" i="27" s="1"/>
  <c r="B180" i="27"/>
  <c r="FM180" i="27" s="1"/>
  <c r="B188" i="27"/>
  <c r="FM188" i="27" s="1"/>
  <c r="B196" i="27"/>
  <c r="FM196" i="27" s="1"/>
  <c r="B204" i="27"/>
  <c r="FM204" i="27" s="1"/>
  <c r="B212" i="27"/>
  <c r="FM212" i="27" s="1"/>
  <c r="B173" i="27"/>
  <c r="FM173" i="27" s="1"/>
  <c r="B181" i="27"/>
  <c r="FM181" i="27" s="1"/>
  <c r="B189" i="27"/>
  <c r="FM189" i="27" s="1"/>
  <c r="B197" i="27"/>
  <c r="FM197" i="27" s="1"/>
  <c r="B205" i="27"/>
  <c r="FM205" i="27" s="1"/>
  <c r="B213" i="27"/>
  <c r="FM213" i="27" s="1"/>
  <c r="E234" i="85"/>
  <c r="B174" i="27"/>
  <c r="FM174" i="27" s="1"/>
  <c r="B190" i="27"/>
  <c r="FM190" i="27" s="1"/>
  <c r="B206" i="27"/>
  <c r="FM206" i="27" s="1"/>
  <c r="B214" i="27"/>
  <c r="FM214" i="27" s="1"/>
  <c r="B221" i="27"/>
  <c r="FM221" i="27" s="1"/>
  <c r="G251" i="85"/>
  <c r="E230" i="85"/>
  <c r="B183" i="27"/>
  <c r="FM183" i="27" s="1"/>
  <c r="B191" i="27"/>
  <c r="FM191" i="27" s="1"/>
  <c r="B199" i="27"/>
  <c r="FM199" i="27" s="1"/>
  <c r="B207" i="27"/>
  <c r="FM207" i="27" s="1"/>
  <c r="B215" i="27"/>
  <c r="FM215" i="27" s="1"/>
  <c r="EA202" i="27"/>
  <c r="EQ221" i="27"/>
  <c r="N23" i="110"/>
  <c r="M27" i="110"/>
  <c r="N69" i="208"/>
  <c r="N71" i="208" s="1"/>
  <c r="O62" i="208"/>
  <c r="J62" i="208"/>
  <c r="P85" i="208"/>
  <c r="J64" i="208"/>
  <c r="K64" i="208" s="1"/>
  <c r="E104" i="208"/>
  <c r="E101" i="208" s="1"/>
  <c r="F104" i="208"/>
  <c r="K67" i="208"/>
  <c r="E98" i="208" s="1"/>
  <c r="F98" i="208"/>
  <c r="D229" i="145"/>
  <c r="B250" i="145"/>
  <c r="U250" i="145" s="1"/>
  <c r="V250" i="145" s="1"/>
  <c r="D255" i="145"/>
  <c r="D250" i="145"/>
  <c r="E220" i="145"/>
  <c r="F232" i="145"/>
  <c r="G224" i="145"/>
  <c r="B218" i="145"/>
  <c r="U218" i="145" s="1"/>
  <c r="V218" i="145" s="1"/>
  <c r="E214" i="145"/>
  <c r="F224" i="145"/>
  <c r="E212" i="145"/>
  <c r="F216" i="145"/>
  <c r="G265" i="145"/>
  <c r="G225" i="145"/>
  <c r="E206" i="145"/>
  <c r="D258" i="145"/>
  <c r="E262" i="145"/>
  <c r="F264" i="145"/>
  <c r="E246" i="145"/>
  <c r="F256" i="145"/>
  <c r="E230" i="145"/>
  <c r="F248" i="145"/>
  <c r="G235" i="145"/>
  <c r="B217" i="145"/>
  <c r="U217" i="145" s="1"/>
  <c r="V217" i="145" s="1"/>
  <c r="E222" i="145"/>
  <c r="F240" i="145"/>
  <c r="B208" i="145"/>
  <c r="U208" i="145" s="1"/>
  <c r="G208" i="145"/>
  <c r="E208" i="145"/>
  <c r="F208" i="145"/>
  <c r="B263" i="145"/>
  <c r="U263" i="145" s="1"/>
  <c r="V263" i="145" s="1"/>
  <c r="E263" i="145"/>
  <c r="D263" i="145"/>
  <c r="G263" i="145"/>
  <c r="F263" i="145"/>
  <c r="E238" i="145"/>
  <c r="D254" i="145"/>
  <c r="F254" i="145"/>
  <c r="B234" i="145"/>
  <c r="U234" i="145" s="1"/>
  <c r="V234" i="145" s="1"/>
  <c r="F234" i="145"/>
  <c r="E234" i="145"/>
  <c r="D259" i="145"/>
  <c r="G259" i="145"/>
  <c r="F259" i="145"/>
  <c r="E259" i="145"/>
  <c r="B259" i="145"/>
  <c r="U259" i="145" s="1"/>
  <c r="V259" i="145" s="1"/>
  <c r="F219" i="145"/>
  <c r="E219" i="145"/>
  <c r="F213" i="145"/>
  <c r="E213" i="145"/>
  <c r="F245" i="145"/>
  <c r="E245" i="145"/>
  <c r="E254" i="145"/>
  <c r="D262" i="145"/>
  <c r="D249" i="145"/>
  <c r="G237" i="145"/>
  <c r="D233" i="145"/>
  <c r="D224" i="145"/>
  <c r="E261" i="145"/>
  <c r="E253" i="145"/>
  <c r="E237" i="145"/>
  <c r="E229" i="145"/>
  <c r="E221" i="145"/>
  <c r="E205" i="145"/>
  <c r="F255" i="145"/>
  <c r="F247" i="145"/>
  <c r="F239" i="145"/>
  <c r="F231" i="145"/>
  <c r="F223" i="145"/>
  <c r="F215" i="145"/>
  <c r="F207" i="145"/>
  <c r="E260" i="145"/>
  <c r="E252" i="145"/>
  <c r="E244" i="145"/>
  <c r="E236" i="145"/>
  <c r="E228" i="145"/>
  <c r="E204" i="145"/>
  <c r="F262" i="145"/>
  <c r="B262" i="145"/>
  <c r="U262" i="145" s="1"/>
  <c r="V262" i="145" s="1"/>
  <c r="G251" i="145"/>
  <c r="B249" i="145"/>
  <c r="U249" i="145" s="1"/>
  <c r="G232" i="145"/>
  <c r="B228" i="145"/>
  <c r="U228" i="145" s="1"/>
  <c r="B224" i="145"/>
  <c r="U224" i="145" s="1"/>
  <c r="E251" i="145"/>
  <c r="E243" i="145"/>
  <c r="E235" i="145"/>
  <c r="E227" i="145"/>
  <c r="E211" i="145"/>
  <c r="E203" i="145"/>
  <c r="F261" i="145"/>
  <c r="F237" i="145"/>
  <c r="F229" i="145"/>
  <c r="F205" i="145"/>
  <c r="E266" i="145"/>
  <c r="E258" i="145"/>
  <c r="E250" i="145"/>
  <c r="E242" i="145"/>
  <c r="E226" i="145"/>
  <c r="E218" i="145"/>
  <c r="E210" i="145"/>
  <c r="F260" i="145"/>
  <c r="F220" i="145"/>
  <c r="F204" i="145"/>
  <c r="G250" i="145"/>
  <c r="B248" i="145"/>
  <c r="U248" i="145" s="1"/>
  <c r="V248" i="145" s="1"/>
  <c r="G240" i="145"/>
  <c r="D235" i="145"/>
  <c r="D231" i="145"/>
  <c r="B210" i="145"/>
  <c r="U210" i="145" s="1"/>
  <c r="V210" i="145" s="1"/>
  <c r="E265" i="145"/>
  <c r="E257" i="145"/>
  <c r="E249" i="145"/>
  <c r="E241" i="145"/>
  <c r="E233" i="145"/>
  <c r="E225" i="145"/>
  <c r="E217" i="145"/>
  <c r="E209" i="145"/>
  <c r="F235" i="145"/>
  <c r="F203" i="145"/>
  <c r="E264" i="145"/>
  <c r="E256" i="145"/>
  <c r="E248" i="145"/>
  <c r="E216" i="145"/>
  <c r="F266" i="145"/>
  <c r="F258" i="145"/>
  <c r="F226" i="145"/>
  <c r="F218" i="145"/>
  <c r="F210" i="145"/>
  <c r="E247" i="145"/>
  <c r="E239" i="145"/>
  <c r="E223" i="145"/>
  <c r="E215" i="145"/>
  <c r="E207" i="145"/>
  <c r="F257" i="145"/>
  <c r="F241" i="145"/>
  <c r="F225" i="145"/>
  <c r="F217" i="145"/>
  <c r="F209" i="145"/>
  <c r="EA181" i="27"/>
  <c r="CE206" i="27"/>
  <c r="CI221" i="27"/>
  <c r="EU221" i="27"/>
  <c r="EI183" i="27"/>
  <c r="CY190" i="27"/>
  <c r="DS177" i="27"/>
  <c r="DW183" i="27"/>
  <c r="DG187" i="27"/>
  <c r="EM187" i="27"/>
  <c r="DC190" i="27"/>
  <c r="EI190" i="27"/>
  <c r="CQ191" i="27"/>
  <c r="DW191" i="27"/>
  <c r="DK192" i="27"/>
  <c r="CY210" i="27"/>
  <c r="EU210" i="27"/>
  <c r="DW212" i="27"/>
  <c r="CY214" i="27"/>
  <c r="EE214" i="27"/>
  <c r="DG216" i="27"/>
  <c r="EM216" i="27"/>
  <c r="CU217" i="27"/>
  <c r="EA217" i="27"/>
  <c r="DO218" i="27"/>
  <c r="CY221" i="27"/>
  <c r="EE221" i="27"/>
  <c r="CY169" i="27"/>
  <c r="EE169" i="27"/>
  <c r="CM170" i="27"/>
  <c r="DG171" i="27"/>
  <c r="EM171" i="27"/>
  <c r="CU172" i="27"/>
  <c r="EA172" i="27"/>
  <c r="CI173" i="27"/>
  <c r="CM177" i="27"/>
  <c r="CY177" i="27"/>
  <c r="CU179" i="27"/>
  <c r="DO180" i="27"/>
  <c r="EU180" i="27"/>
  <c r="DG194" i="27"/>
  <c r="EM194" i="27"/>
  <c r="DW198" i="27"/>
  <c r="DG202" i="27"/>
  <c r="EM210" i="27"/>
  <c r="EA211" i="27"/>
  <c r="CI212" i="27"/>
  <c r="DO212" i="27"/>
  <c r="EU212" i="27"/>
  <c r="DK215" i="27"/>
  <c r="EQ215" i="27"/>
  <c r="EM218" i="27"/>
  <c r="CU219" i="27"/>
  <c r="DW184" i="27"/>
  <c r="CU175" i="27"/>
  <c r="CY179" i="27"/>
  <c r="EE179" i="27"/>
  <c r="CU190" i="27"/>
  <c r="EA190" i="27"/>
  <c r="EQ194" i="27"/>
  <c r="DK202" i="27"/>
  <c r="DW179" i="27"/>
  <c r="EE181" i="27"/>
  <c r="DW187" i="27"/>
  <c r="DS190" i="27"/>
  <c r="CQ195" i="27"/>
  <c r="DW195" i="27"/>
  <c r="CE183" i="27"/>
  <c r="EM179" i="27"/>
  <c r="DO181" i="27"/>
  <c r="DK185" i="27"/>
  <c r="EQ185" i="27"/>
  <c r="CM187" i="27"/>
  <c r="DG196" i="27"/>
  <c r="EM196" i="27"/>
  <c r="DS210" i="27"/>
  <c r="CU211" i="27"/>
  <c r="CM217" i="27"/>
  <c r="DS217" i="27"/>
  <c r="EA219" i="27"/>
  <c r="EM193" i="27"/>
  <c r="EA175" i="27"/>
  <c r="DG211" i="27"/>
  <c r="CM218" i="27"/>
  <c r="DS218" i="27"/>
  <c r="EM219" i="27"/>
  <c r="DC221" i="27"/>
  <c r="CQ171" i="27"/>
  <c r="DW171" i="27"/>
  <c r="CY173" i="27"/>
  <c r="EE173" i="27"/>
  <c r="CI177" i="27"/>
  <c r="EI177" i="27"/>
  <c r="CQ178" i="27"/>
  <c r="DW178" i="27"/>
  <c r="CI184" i="27"/>
  <c r="DC185" i="27"/>
  <c r="CQ202" i="27"/>
  <c r="CE217" i="27"/>
  <c r="DK217" i="27"/>
  <c r="EQ217" i="27"/>
  <c r="CY218" i="27"/>
  <c r="DO221" i="27"/>
  <c r="EM169" i="27"/>
  <c r="CI171" i="27"/>
  <c r="DO171" i="27"/>
  <c r="CQ173" i="27"/>
  <c r="CM176" i="27"/>
  <c r="DS176" i="27"/>
  <c r="DG177" i="27"/>
  <c r="EA177" i="27"/>
  <c r="EM184" i="27"/>
  <c r="EA185" i="27"/>
  <c r="CQ187" i="27"/>
  <c r="DS191" i="27"/>
  <c r="DG192" i="27"/>
  <c r="DO194" i="27"/>
  <c r="EU194" i="27"/>
  <c r="EI210" i="27"/>
  <c r="DC217" i="27"/>
  <c r="EI217" i="27"/>
  <c r="CQ218" i="27"/>
  <c r="CQ174" i="27"/>
  <c r="DW174" i="27"/>
  <c r="DK175" i="27"/>
  <c r="DG183" i="27"/>
  <c r="CY188" i="27"/>
  <c r="EE188" i="27"/>
  <c r="CU191" i="27"/>
  <c r="EA191" i="27"/>
  <c r="CI192" i="27"/>
  <c r="DO192" i="27"/>
  <c r="DK194" i="27"/>
  <c r="DW194" i="27"/>
  <c r="CY195" i="27"/>
  <c r="EE195" i="27"/>
  <c r="CU198" i="27"/>
  <c r="DG204" i="27"/>
  <c r="EM204" i="27"/>
  <c r="DC206" i="27"/>
  <c r="CQ207" i="27"/>
  <c r="DW207" i="27"/>
  <c r="DK208" i="27"/>
  <c r="EQ208" i="27"/>
  <c r="CM209" i="27"/>
  <c r="DS209" i="27"/>
  <c r="DG210" i="27"/>
  <c r="CE221" i="27"/>
  <c r="CM191" i="27"/>
  <c r="EM192" i="27"/>
  <c r="EU193" i="27"/>
  <c r="DK196" i="27"/>
  <c r="DS198" i="27"/>
  <c r="CQ169" i="27"/>
  <c r="DW169" i="27"/>
  <c r="CY171" i="27"/>
  <c r="EE171" i="27"/>
  <c r="CM172" i="27"/>
  <c r="DS172" i="27"/>
  <c r="EM173" i="27"/>
  <c r="DC176" i="27"/>
  <c r="EI176" i="27"/>
  <c r="CY178" i="27"/>
  <c r="EE178" i="27"/>
  <c r="CM179" i="27"/>
  <c r="DG179" i="27"/>
  <c r="EQ183" i="27"/>
  <c r="CY184" i="27"/>
  <c r="EE184" i="27"/>
  <c r="CM185" i="27"/>
  <c r="DG186" i="27"/>
  <c r="EM186" i="27"/>
  <c r="DO187" i="27"/>
  <c r="EU187" i="27"/>
  <c r="DK190" i="27"/>
  <c r="DG200" i="27"/>
  <c r="EM200" i="27"/>
  <c r="CU201" i="27"/>
  <c r="CI202" i="27"/>
  <c r="CI213" i="27"/>
  <c r="CU213" i="27"/>
  <c r="DO213" i="27"/>
  <c r="EA213" i="27"/>
  <c r="CI214" i="27"/>
  <c r="DO214" i="27"/>
  <c r="EU214" i="27"/>
  <c r="CY199" i="27"/>
  <c r="EE199" i="27"/>
  <c r="CQ204" i="27"/>
  <c r="DW204" i="27"/>
  <c r="DK205" i="27"/>
  <c r="CM206" i="27"/>
  <c r="DS206" i="27"/>
  <c r="DG207" i="27"/>
  <c r="EM207" i="27"/>
  <c r="CU208" i="27"/>
  <c r="EA208" i="27"/>
  <c r="CI209" i="27"/>
  <c r="DO209" i="27"/>
  <c r="EU209" i="27"/>
  <c r="CQ210" i="27"/>
  <c r="DS174" i="27"/>
  <c r="DG175" i="27"/>
  <c r="EM175" i="27"/>
  <c r="EQ179" i="27"/>
  <c r="CU182" i="27"/>
  <c r="EA182" i="27"/>
  <c r="DO183" i="27"/>
  <c r="EI197" i="27"/>
  <c r="EI198" i="27"/>
  <c r="CU203" i="27"/>
  <c r="EA203" i="27"/>
  <c r="CI204" i="27"/>
  <c r="DO204" i="27"/>
  <c r="EU204" i="27"/>
  <c r="CQ205" i="27"/>
  <c r="DC205" i="27"/>
  <c r="DW205" i="27"/>
  <c r="EI205" i="27"/>
  <c r="EQ206" i="27"/>
  <c r="CY207" i="27"/>
  <c r="EE207" i="27"/>
  <c r="EA209" i="27"/>
  <c r="CI210" i="27"/>
  <c r="EQ169" i="27"/>
  <c r="CM171" i="27"/>
  <c r="DS171" i="27"/>
  <c r="CU173" i="27"/>
  <c r="EA173" i="27"/>
  <c r="EU173" i="27"/>
  <c r="CI179" i="27"/>
  <c r="DK180" i="27"/>
  <c r="EQ180" i="27"/>
  <c r="CY181" i="27"/>
  <c r="EU183" i="27"/>
  <c r="DC184" i="27"/>
  <c r="CQ185" i="27"/>
  <c r="DK186" i="27"/>
  <c r="EQ186" i="27"/>
  <c r="CY187" i="27"/>
  <c r="EE190" i="27"/>
  <c r="EQ190" i="27"/>
  <c r="EA194" i="27"/>
  <c r="CM198" i="27"/>
  <c r="CY198" i="27"/>
  <c r="DG199" i="27"/>
  <c r="EM199" i="27"/>
  <c r="CU200" i="27"/>
  <c r="EA200" i="27"/>
  <c r="EI201" i="27"/>
  <c r="DW202" i="27"/>
  <c r="CI206" i="27"/>
  <c r="DO206" i="27"/>
  <c r="CM210" i="27"/>
  <c r="DC212" i="27"/>
  <c r="DK214" i="27"/>
  <c r="EQ214" i="27"/>
  <c r="CY215" i="27"/>
  <c r="EE215" i="27"/>
  <c r="CM216" i="27"/>
  <c r="DS216" i="27"/>
  <c r="DG217" i="27"/>
  <c r="EM217" i="27"/>
  <c r="CU218" i="27"/>
  <c r="EA218" i="27"/>
  <c r="DO219" i="27"/>
  <c r="EU219" i="27"/>
  <c r="EY198" i="27"/>
  <c r="CQ221" i="27"/>
  <c r="DW221" i="27"/>
  <c r="DG173" i="27"/>
  <c r="DS173" i="27"/>
  <c r="EI175" i="27"/>
  <c r="CE177" i="27"/>
  <c r="DK177" i="27"/>
  <c r="EA179" i="27"/>
  <c r="EU179" i="27"/>
  <c r="CQ181" i="27"/>
  <c r="DW181" i="27"/>
  <c r="CY182" i="27"/>
  <c r="EE182" i="27"/>
  <c r="DS183" i="27"/>
  <c r="EM183" i="27"/>
  <c r="EA184" i="27"/>
  <c r="DO185" i="27"/>
  <c r="DC186" i="27"/>
  <c r="EI186" i="27"/>
  <c r="EE187" i="27"/>
  <c r="CU189" i="27"/>
  <c r="EA189" i="27"/>
  <c r="CQ197" i="27"/>
  <c r="DK198" i="27"/>
  <c r="DO202" i="27"/>
  <c r="EU202" i="27"/>
  <c r="CQ203" i="27"/>
  <c r="DW203" i="27"/>
  <c r="DK204" i="27"/>
  <c r="EQ204" i="27"/>
  <c r="EA206" i="27"/>
  <c r="EM206" i="27"/>
  <c r="CU207" i="27"/>
  <c r="EA207" i="27"/>
  <c r="CI208" i="27"/>
  <c r="DO208" i="27"/>
  <c r="EU208" i="27"/>
  <c r="EE210" i="27"/>
  <c r="EM211" i="27"/>
  <c r="CU212" i="27"/>
  <c r="EA212" i="27"/>
  <c r="DC214" i="27"/>
  <c r="EI214" i="27"/>
  <c r="CY194" i="27"/>
  <c r="CM219" i="27"/>
  <c r="DS219" i="27"/>
  <c r="CI170" i="27"/>
  <c r="DO170" i="27"/>
  <c r="EU170" i="27"/>
  <c r="DC171" i="27"/>
  <c r="EI171" i="27"/>
  <c r="EQ177" i="27"/>
  <c r="DS179" i="27"/>
  <c r="EA180" i="27"/>
  <c r="DK183" i="27"/>
  <c r="EE183" i="27"/>
  <c r="CI187" i="27"/>
  <c r="EI187" i="27"/>
  <c r="CM190" i="27"/>
  <c r="EY194" i="27"/>
  <c r="CU197" i="27"/>
  <c r="CI198" i="27"/>
  <c r="DO198" i="27"/>
  <c r="CQ199" i="27"/>
  <c r="DW199" i="27"/>
  <c r="DK200" i="27"/>
  <c r="EQ200" i="27"/>
  <c r="CY201" i="27"/>
  <c r="EE201" i="27"/>
  <c r="CM202" i="27"/>
  <c r="EM202" i="27"/>
  <c r="CY206" i="27"/>
  <c r="EE206" i="27"/>
  <c r="CM207" i="27"/>
  <c r="DG208" i="27"/>
  <c r="DC210" i="27"/>
  <c r="DW210" i="27"/>
  <c r="EQ210" i="27"/>
  <c r="DS212" i="27"/>
  <c r="CU214" i="27"/>
  <c r="EA214" i="27"/>
  <c r="CI215" i="27"/>
  <c r="DO215" i="27"/>
  <c r="EU215" i="27"/>
  <c r="DC216" i="27"/>
  <c r="CQ217" i="27"/>
  <c r="DW217" i="27"/>
  <c r="CE218" i="27"/>
  <c r="CU221" i="27"/>
  <c r="EQ219" i="27"/>
  <c r="DG221" i="27"/>
  <c r="EM221" i="27"/>
  <c r="EA170" i="27"/>
  <c r="DC173" i="27"/>
  <c r="DK174" i="27"/>
  <c r="DG176" i="27"/>
  <c r="EM176" i="27"/>
  <c r="EU177" i="27"/>
  <c r="CQ179" i="27"/>
  <c r="CM180" i="27"/>
  <c r="DG181" i="27"/>
  <c r="DC183" i="27"/>
  <c r="DC188" i="27"/>
  <c r="EI188" i="27"/>
  <c r="CE190" i="27"/>
  <c r="DC193" i="27"/>
  <c r="EI193" i="27"/>
  <c r="DC194" i="27"/>
  <c r="EA198" i="27"/>
  <c r="EM198" i="27"/>
  <c r="EQ201" i="27"/>
  <c r="DS202" i="27"/>
  <c r="EE202" i="27"/>
  <c r="DG203" i="27"/>
  <c r="EM203" i="27"/>
  <c r="CU204" i="27"/>
  <c r="EA204" i="27"/>
  <c r="CQ206" i="27"/>
  <c r="DW206" i="27"/>
  <c r="CU210" i="27"/>
  <c r="DO210" i="27"/>
  <c r="CQ211" i="27"/>
  <c r="EQ212" i="27"/>
  <c r="CM214" i="27"/>
  <c r="DS214" i="27"/>
  <c r="EY217" i="27"/>
  <c r="DO217" i="27"/>
  <c r="EU217" i="27"/>
  <c r="DC218" i="27"/>
  <c r="CQ219" i="27"/>
  <c r="DW219" i="27"/>
  <c r="CM221" i="27"/>
  <c r="DS221" i="27"/>
  <c r="EY175" i="27"/>
  <c r="CY175" i="27"/>
  <c r="EE175" i="27"/>
  <c r="EI180" i="27"/>
  <c r="CQ190" i="27"/>
  <c r="CU194" i="27"/>
  <c r="EI194" i="27"/>
  <c r="DC198" i="27"/>
  <c r="EQ198" i="27"/>
  <c r="CY213" i="27"/>
  <c r="EE213" i="27"/>
  <c r="EA216" i="27"/>
  <c r="EI219" i="27"/>
  <c r="DO173" i="27"/>
  <c r="EQ175" i="27"/>
  <c r="CU177" i="27"/>
  <c r="EY179" i="27"/>
  <c r="CU180" i="27"/>
  <c r="CM183" i="27"/>
  <c r="DG184" i="27"/>
  <c r="EU184" i="27"/>
  <c r="CM189" i="27"/>
  <c r="DS189" i="27"/>
  <c r="CI190" i="27"/>
  <c r="EU190" i="27"/>
  <c r="EY193" i="27"/>
  <c r="EE193" i="27"/>
  <c r="EA201" i="27"/>
  <c r="DC202" i="27"/>
  <c r="EQ202" i="27"/>
  <c r="CE209" i="27"/>
  <c r="DK209" i="27"/>
  <c r="EQ209" i="27"/>
  <c r="CI217" i="27"/>
  <c r="EY202" i="27"/>
  <c r="DC169" i="27"/>
  <c r="EI169" i="27"/>
  <c r="DK170" i="27"/>
  <c r="EQ170" i="27"/>
  <c r="EY171" i="27"/>
  <c r="DK171" i="27"/>
  <c r="EQ171" i="27"/>
  <c r="CY172" i="27"/>
  <c r="EE172" i="27"/>
  <c r="CI174" i="27"/>
  <c r="DO174" i="27"/>
  <c r="EI174" i="27"/>
  <c r="EU174" i="27"/>
  <c r="CQ175" i="27"/>
  <c r="DC175" i="27"/>
  <c r="DW175" i="27"/>
  <c r="EM177" i="27"/>
  <c r="DC178" i="27"/>
  <c r="EI178" i="27"/>
  <c r="EI179" i="27"/>
  <c r="DS180" i="27"/>
  <c r="EM180" i="27"/>
  <c r="CI181" i="27"/>
  <c r="CU181" i="27"/>
  <c r="EI181" i="27"/>
  <c r="EY183" i="27"/>
  <c r="EA183" i="27"/>
  <c r="CY189" i="27"/>
  <c r="EE189" i="27"/>
  <c r="EM190" i="27"/>
  <c r="CM194" i="27"/>
  <c r="EQ196" i="27"/>
  <c r="DG198" i="27"/>
  <c r="EU198" i="27"/>
  <c r="DK206" i="27"/>
  <c r="EY206" i="27"/>
  <c r="EY210" i="27"/>
  <c r="CM211" i="27"/>
  <c r="EI212" i="27"/>
  <c r="CQ214" i="27"/>
  <c r="DW214" i="27"/>
  <c r="EU220" i="27"/>
  <c r="EI221" i="27"/>
  <c r="EY186" i="27"/>
  <c r="EU192" i="27"/>
  <c r="DW193" i="27"/>
  <c r="CE194" i="27"/>
  <c r="DS194" i="27"/>
  <c r="DS201" i="27"/>
  <c r="CU202" i="27"/>
  <c r="EI202" i="27"/>
  <c r="EA174" i="27"/>
  <c r="CI175" i="27"/>
  <c r="DO175" i="27"/>
  <c r="EU175" i="27"/>
  <c r="EU181" i="27"/>
  <c r="CU185" i="27"/>
  <c r="EI185" i="27"/>
  <c r="CQ189" i="27"/>
  <c r="DW189" i="27"/>
  <c r="DW190" i="27"/>
  <c r="EY190" i="27"/>
  <c r="CQ194" i="27"/>
  <c r="EE194" i="27"/>
  <c r="EQ197" i="27"/>
  <c r="EM208" i="27"/>
  <c r="EU213" i="27"/>
  <c r="DK219" i="27"/>
  <c r="EA221" i="27"/>
  <c r="EU171" i="27"/>
  <c r="CI176" i="27"/>
  <c r="DO176" i="27"/>
  <c r="EU176" i="27"/>
  <c r="DK179" i="27"/>
  <c r="CQ180" i="27"/>
  <c r="DC189" i="27"/>
  <c r="EI189" i="27"/>
  <c r="DO190" i="27"/>
  <c r="DW197" i="27"/>
  <c r="CE198" i="27"/>
  <c r="CQ198" i="27"/>
  <c r="EE198" i="27"/>
  <c r="CY202" i="27"/>
  <c r="EQ205" i="27"/>
  <c r="CU206" i="27"/>
  <c r="EI206" i="27"/>
  <c r="CU209" i="27"/>
  <c r="DW211" i="27"/>
  <c r="CM220" i="27"/>
  <c r="DS220" i="27"/>
  <c r="CM169" i="27"/>
  <c r="DS169" i="27"/>
  <c r="DG170" i="27"/>
  <c r="EM170" i="27"/>
  <c r="CU171" i="27"/>
  <c r="EA171" i="27"/>
  <c r="CI172" i="27"/>
  <c r="DO172" i="27"/>
  <c r="EU172" i="27"/>
  <c r="DW173" i="27"/>
  <c r="CM175" i="27"/>
  <c r="DS175" i="27"/>
  <c r="DC177" i="27"/>
  <c r="CM178" i="27"/>
  <c r="DS178" i="27"/>
  <c r="DC179" i="27"/>
  <c r="CI180" i="27"/>
  <c r="DC180" i="27"/>
  <c r="EM181" i="27"/>
  <c r="CI183" i="27"/>
  <c r="CU183" i="27"/>
  <c r="DO184" i="27"/>
  <c r="CE185" i="27"/>
  <c r="DS185" i="27"/>
  <c r="EM185" i="27"/>
  <c r="DK187" i="27"/>
  <c r="DG188" i="27"/>
  <c r="EM188" i="27"/>
  <c r="DG190" i="27"/>
  <c r="DG193" i="27"/>
  <c r="CI194" i="27"/>
  <c r="DG195" i="27"/>
  <c r="EM195" i="27"/>
  <c r="CU196" i="27"/>
  <c r="EA196" i="27"/>
  <c r="CE202" i="27"/>
  <c r="DG206" i="27"/>
  <c r="EU206" i="27"/>
  <c r="DK210" i="27"/>
  <c r="EI211" i="27"/>
  <c r="CQ212" i="27"/>
  <c r="DK212" i="27"/>
  <c r="EE212" i="27"/>
  <c r="DG214" i="27"/>
  <c r="EM214" i="27"/>
  <c r="EA215" i="27"/>
  <c r="DG218" i="27"/>
  <c r="CI219" i="27"/>
  <c r="DC219" i="27"/>
  <c r="CY220" i="27"/>
  <c r="EE220" i="27"/>
  <c r="DK221" i="27"/>
  <c r="CU174" i="27"/>
  <c r="CE179" i="27"/>
  <c r="EY182" i="27"/>
  <c r="CU184" i="27"/>
  <c r="CI185" i="27"/>
  <c r="EU185" i="27"/>
  <c r="CQ186" i="27"/>
  <c r="DW186" i="27"/>
  <c r="EY187" i="27"/>
  <c r="EQ187" i="27"/>
  <c r="CM188" i="27"/>
  <c r="DS188" i="27"/>
  <c r="CI189" i="27"/>
  <c r="DO189" i="27"/>
  <c r="EU189" i="27"/>
  <c r="DG191" i="27"/>
  <c r="EM191" i="27"/>
  <c r="CU192" i="27"/>
  <c r="EA192" i="27"/>
  <c r="CI169" i="27"/>
  <c r="DO169" i="27"/>
  <c r="CY170" i="27"/>
  <c r="DS170" i="27"/>
  <c r="EE170" i="27"/>
  <c r="EY172" i="27"/>
  <c r="DK172" i="27"/>
  <c r="EQ172" i="27"/>
  <c r="CM173" i="27"/>
  <c r="DG174" i="27"/>
  <c r="EM174" i="27"/>
  <c r="CY176" i="27"/>
  <c r="EE176" i="27"/>
  <c r="EE177" i="27"/>
  <c r="CI178" i="27"/>
  <c r="DO178" i="27"/>
  <c r="EU178" i="27"/>
  <c r="DS181" i="27"/>
  <c r="CQ182" i="27"/>
  <c r="DW182" i="27"/>
  <c r="CU169" i="27"/>
  <c r="EA169" i="27"/>
  <c r="EY170" i="27"/>
  <c r="CQ172" i="27"/>
  <c r="DW172" i="27"/>
  <c r="EY173" i="27"/>
  <c r="EQ173" i="27"/>
  <c r="CM174" i="27"/>
  <c r="EY176" i="27"/>
  <c r="DK176" i="27"/>
  <c r="EQ176" i="27"/>
  <c r="DW177" i="27"/>
  <c r="CU178" i="27"/>
  <c r="EA178" i="27"/>
  <c r="EE180" i="27"/>
  <c r="DK181" i="27"/>
  <c r="DC182" i="27"/>
  <c r="EI182" i="27"/>
  <c r="CM184" i="27"/>
  <c r="EQ184" i="27"/>
  <c r="EE185" i="27"/>
  <c r="CI186" i="27"/>
  <c r="DO186" i="27"/>
  <c r="EU186" i="27"/>
  <c r="EA187" i="27"/>
  <c r="DK188" i="27"/>
  <c r="EQ188" i="27"/>
  <c r="DG189" i="27"/>
  <c r="EM189" i="27"/>
  <c r="CY191" i="27"/>
  <c r="EE191" i="27"/>
  <c r="CM192" i="27"/>
  <c r="DS192" i="27"/>
  <c r="CU193" i="27"/>
  <c r="DG169" i="27"/>
  <c r="EU169" i="27"/>
  <c r="CQ170" i="27"/>
  <c r="DW170" i="27"/>
  <c r="DC172" i="27"/>
  <c r="EI172" i="27"/>
  <c r="EI173" i="27"/>
  <c r="CY174" i="27"/>
  <c r="EE174" i="27"/>
  <c r="CQ176" i="27"/>
  <c r="DW176" i="27"/>
  <c r="DO177" i="27"/>
  <c r="DG178" i="27"/>
  <c r="EM178" i="27"/>
  <c r="DW180" i="27"/>
  <c r="DC181" i="27"/>
  <c r="CI182" i="27"/>
  <c r="DO182" i="27"/>
  <c r="EU182" i="27"/>
  <c r="EI184" i="27"/>
  <c r="DW185" i="27"/>
  <c r="CU186" i="27"/>
  <c r="EA186" i="27"/>
  <c r="DS187" i="27"/>
  <c r="CQ188" i="27"/>
  <c r="DW188" i="27"/>
  <c r="DK191" i="27"/>
  <c r="EQ191" i="27"/>
  <c r="CY192" i="27"/>
  <c r="EE192" i="27"/>
  <c r="CM215" i="27"/>
  <c r="DS215" i="27"/>
  <c r="EY174" i="27"/>
  <c r="EY180" i="27"/>
  <c r="EY184" i="27"/>
  <c r="EY189" i="27"/>
  <c r="EY192" i="27"/>
  <c r="DC209" i="27"/>
  <c r="EI209" i="27"/>
  <c r="CE210" i="27"/>
  <c r="EY214" i="27"/>
  <c r="EY221" i="27"/>
  <c r="DC170" i="27"/>
  <c r="EI170" i="27"/>
  <c r="CE171" i="27"/>
  <c r="EQ174" i="27"/>
  <c r="CE180" i="27"/>
  <c r="DG180" i="27"/>
  <c r="CM181" i="27"/>
  <c r="DG182" i="27"/>
  <c r="EM182" i="27"/>
  <c r="CQ183" i="27"/>
  <c r="CQ184" i="27"/>
  <c r="DS184" i="27"/>
  <c r="DG185" i="27"/>
  <c r="CM186" i="27"/>
  <c r="DS186" i="27"/>
  <c r="DC187" i="27"/>
  <c r="CI188" i="27"/>
  <c r="DO188" i="27"/>
  <c r="EU188" i="27"/>
  <c r="CE189" i="27"/>
  <c r="DK189" i="27"/>
  <c r="EQ189" i="27"/>
  <c r="DC191" i="27"/>
  <c r="EI191" i="27"/>
  <c r="CQ192" i="27"/>
  <c r="DW192" i="27"/>
  <c r="CU199" i="27"/>
  <c r="EA199" i="27"/>
  <c r="CI200" i="27"/>
  <c r="DO200" i="27"/>
  <c r="EU200" i="27"/>
  <c r="DC201" i="27"/>
  <c r="EY169" i="27"/>
  <c r="DK169" i="27"/>
  <c r="CU170" i="27"/>
  <c r="DG172" i="27"/>
  <c r="EM172" i="27"/>
  <c r="DK173" i="27"/>
  <c r="DC174" i="27"/>
  <c r="CE175" i="27"/>
  <c r="CU176" i="27"/>
  <c r="EA176" i="27"/>
  <c r="CQ177" i="27"/>
  <c r="EY178" i="27"/>
  <c r="DK178" i="27"/>
  <c r="EQ178" i="27"/>
  <c r="CY180" i="27"/>
  <c r="EY181" i="27"/>
  <c r="EQ181" i="27"/>
  <c r="CM182" i="27"/>
  <c r="DS182" i="27"/>
  <c r="DK184" i="27"/>
  <c r="CY185" i="27"/>
  <c r="CY186" i="27"/>
  <c r="EE186" i="27"/>
  <c r="CU187" i="27"/>
  <c r="CU188" i="27"/>
  <c r="EA188" i="27"/>
  <c r="CI191" i="27"/>
  <c r="DO191" i="27"/>
  <c r="EU191" i="27"/>
  <c r="DC192" i="27"/>
  <c r="CU195" i="27"/>
  <c r="EA195" i="27"/>
  <c r="CI196" i="27"/>
  <c r="DO196" i="27"/>
  <c r="EU196" i="27"/>
  <c r="DC197" i="27"/>
  <c r="EY219" i="27"/>
  <c r="CY219" i="27"/>
  <c r="CI195" i="27"/>
  <c r="DO195" i="27"/>
  <c r="EU195" i="27"/>
  <c r="DC196" i="27"/>
  <c r="EI196" i="27"/>
  <c r="CI199" i="27"/>
  <c r="DO199" i="27"/>
  <c r="EU199" i="27"/>
  <c r="DC200" i="27"/>
  <c r="EI200" i="27"/>
  <c r="CI203" i="27"/>
  <c r="DO203" i="27"/>
  <c r="EU203" i="27"/>
  <c r="DC204" i="27"/>
  <c r="EI204" i="27"/>
  <c r="CI207" i="27"/>
  <c r="DO207" i="27"/>
  <c r="EU207" i="27"/>
  <c r="DC208" i="27"/>
  <c r="EI208" i="27"/>
  <c r="CI211" i="27"/>
  <c r="DO211" i="27"/>
  <c r="EU211" i="27"/>
  <c r="EM212" i="27"/>
  <c r="DG215" i="27"/>
  <c r="EM215" i="27"/>
  <c r="EU218" i="27"/>
  <c r="CE219" i="27"/>
  <c r="DG219" i="27"/>
  <c r="CU220" i="27"/>
  <c r="EA220" i="27"/>
  <c r="EA193" i="27"/>
  <c r="CM195" i="27"/>
  <c r="DS195" i="27"/>
  <c r="CI197" i="27"/>
  <c r="DO197" i="27"/>
  <c r="EU197" i="27"/>
  <c r="CM199" i="27"/>
  <c r="DS199" i="27"/>
  <c r="CM203" i="27"/>
  <c r="DS203" i="27"/>
  <c r="CI205" i="27"/>
  <c r="DO205" i="27"/>
  <c r="EU205" i="27"/>
  <c r="DS207" i="27"/>
  <c r="DS211" i="27"/>
  <c r="CM213" i="27"/>
  <c r="DG213" i="27"/>
  <c r="DS213" i="27"/>
  <c r="EM213" i="27"/>
  <c r="CM196" i="27"/>
  <c r="DS196" i="27"/>
  <c r="EA197" i="27"/>
  <c r="CM200" i="27"/>
  <c r="DS200" i="27"/>
  <c r="CY203" i="27"/>
  <c r="EE203" i="27"/>
  <c r="CM204" i="27"/>
  <c r="DS204" i="27"/>
  <c r="CM208" i="27"/>
  <c r="DS208" i="27"/>
  <c r="CY211" i="27"/>
  <c r="EE211" i="27"/>
  <c r="CM212" i="27"/>
  <c r="DG212" i="27"/>
  <c r="CQ215" i="27"/>
  <c r="DW215" i="27"/>
  <c r="DK218" i="27"/>
  <c r="EE218" i="27"/>
  <c r="EQ192" i="27"/>
  <c r="CM193" i="27"/>
  <c r="CY193" i="27"/>
  <c r="DS193" i="27"/>
  <c r="DK195" i="27"/>
  <c r="EQ195" i="27"/>
  <c r="CY196" i="27"/>
  <c r="EE196" i="27"/>
  <c r="CM197" i="27"/>
  <c r="DG197" i="27"/>
  <c r="DS197" i="27"/>
  <c r="EM197" i="27"/>
  <c r="DK199" i="27"/>
  <c r="EQ199" i="27"/>
  <c r="CY200" i="27"/>
  <c r="EE200" i="27"/>
  <c r="CM201" i="27"/>
  <c r="DK203" i="27"/>
  <c r="EQ203" i="27"/>
  <c r="CY204" i="27"/>
  <c r="EE204" i="27"/>
  <c r="CM205" i="27"/>
  <c r="DG205" i="27"/>
  <c r="DS205" i="27"/>
  <c r="EM205" i="27"/>
  <c r="DK207" i="27"/>
  <c r="EQ207" i="27"/>
  <c r="CY208" i="27"/>
  <c r="EE208" i="27"/>
  <c r="DK211" i="27"/>
  <c r="EQ211" i="27"/>
  <c r="CY212" i="27"/>
  <c r="EY213" i="27"/>
  <c r="DK213" i="27"/>
  <c r="EQ213" i="27"/>
  <c r="DC215" i="27"/>
  <c r="EI215" i="27"/>
  <c r="CQ216" i="27"/>
  <c r="DW216" i="27"/>
  <c r="EQ216" i="27"/>
  <c r="CI218" i="27"/>
  <c r="DW218" i="27"/>
  <c r="EQ218" i="27"/>
  <c r="EE219" i="27"/>
  <c r="CQ220" i="27"/>
  <c r="DW220" i="27"/>
  <c r="EY196" i="27"/>
  <c r="EY200" i="27"/>
  <c r="EY204" i="27"/>
  <c r="EY208" i="27"/>
  <c r="EY212" i="27"/>
  <c r="EI192" i="27"/>
  <c r="CE193" i="27"/>
  <c r="CQ193" i="27"/>
  <c r="DK193" i="27"/>
  <c r="EQ193" i="27"/>
  <c r="DC195" i="27"/>
  <c r="EI195" i="27"/>
  <c r="CQ196" i="27"/>
  <c r="DW196" i="27"/>
  <c r="EY197" i="27"/>
  <c r="CY197" i="27"/>
  <c r="EE197" i="27"/>
  <c r="DC199" i="27"/>
  <c r="EI199" i="27"/>
  <c r="CQ200" i="27"/>
  <c r="DW200" i="27"/>
  <c r="EY201" i="27"/>
  <c r="DK201" i="27"/>
  <c r="DC203" i="27"/>
  <c r="EI203" i="27"/>
  <c r="EY205" i="27"/>
  <c r="CY205" i="27"/>
  <c r="EE205" i="27"/>
  <c r="DC207" i="27"/>
  <c r="EI207" i="27"/>
  <c r="CQ208" i="27"/>
  <c r="DW208" i="27"/>
  <c r="EY209" i="27"/>
  <c r="DC211" i="27"/>
  <c r="CQ213" i="27"/>
  <c r="DW213" i="27"/>
  <c r="CE214" i="27"/>
  <c r="CU215" i="27"/>
  <c r="CI216" i="27"/>
  <c r="DO216" i="27"/>
  <c r="EI216" i="27"/>
  <c r="EU216" i="27"/>
  <c r="CI220" i="27"/>
  <c r="DO220" i="27"/>
  <c r="EY215" i="27"/>
  <c r="CE215" i="27"/>
  <c r="CE176" i="27"/>
  <c r="CE184" i="27"/>
  <c r="CE187" i="27"/>
  <c r="EY195" i="27"/>
  <c r="CI201" i="27"/>
  <c r="DO201" i="27"/>
  <c r="EU201" i="27"/>
  <c r="CY209" i="27"/>
  <c r="EE209" i="27"/>
  <c r="EY211" i="27"/>
  <c r="CE169" i="27"/>
  <c r="EY177" i="27"/>
  <c r="EY185" i="27"/>
  <c r="EY199" i="27"/>
  <c r="CE199" i="27"/>
  <c r="CE170" i="27"/>
  <c r="CE178" i="27"/>
  <c r="CE186" i="27"/>
  <c r="DG201" i="27"/>
  <c r="EM201" i="27"/>
  <c r="CQ209" i="27"/>
  <c r="DW209" i="27"/>
  <c r="EI218" i="27"/>
  <c r="CI193" i="27"/>
  <c r="DO193" i="27"/>
  <c r="DK197" i="27"/>
  <c r="CU205" i="27"/>
  <c r="EA205" i="27"/>
  <c r="DC213" i="27"/>
  <c r="EI213" i="27"/>
  <c r="CE172" i="27"/>
  <c r="EY191" i="27"/>
  <c r="CE191" i="27"/>
  <c r="EY203" i="27"/>
  <c r="CE173" i="27"/>
  <c r="CE181" i="27"/>
  <c r="EY207" i="27"/>
  <c r="CE207" i="27"/>
  <c r="CE174" i="27"/>
  <c r="CE182" i="27"/>
  <c r="EY188" i="27"/>
  <c r="CQ201" i="27"/>
  <c r="DW201" i="27"/>
  <c r="DG209" i="27"/>
  <c r="EM209" i="27"/>
  <c r="CE192" i="27"/>
  <c r="CE200" i="27"/>
  <c r="CE208" i="27"/>
  <c r="CY216" i="27"/>
  <c r="EE216" i="27"/>
  <c r="EY220" i="27"/>
  <c r="CE220" i="27"/>
  <c r="DK220" i="27"/>
  <c r="EQ220" i="27"/>
  <c r="CE201" i="27"/>
  <c r="EY216" i="27"/>
  <c r="CE216" i="27"/>
  <c r="DK216" i="27"/>
  <c r="DC220" i="27"/>
  <c r="EI220" i="27"/>
  <c r="CE195" i="27"/>
  <c r="CE203" i="27"/>
  <c r="CE211" i="27"/>
  <c r="EY218" i="27"/>
  <c r="CE188" i="27"/>
  <c r="CE196" i="27"/>
  <c r="CE204" i="27"/>
  <c r="CE212" i="27"/>
  <c r="CE197" i="27"/>
  <c r="CE205" i="27"/>
  <c r="CE213" i="27"/>
  <c r="CU216" i="27"/>
  <c r="DG220" i="27"/>
  <c r="EM220" i="27"/>
  <c r="G255" i="85"/>
  <c r="G250" i="85"/>
  <c r="E266" i="85"/>
  <c r="F248" i="85"/>
  <c r="AJ248" i="85" s="1" a="1"/>
  <c r="F228" i="85"/>
  <c r="AJ228" i="85" s="1" a="1"/>
  <c r="B241" i="85"/>
  <c r="D259" i="85"/>
  <c r="C214" i="27" s="1"/>
  <c r="G244" i="85"/>
  <c r="G225" i="85"/>
  <c r="F264" i="85"/>
  <c r="AJ264" i="85" s="1" a="1"/>
  <c r="D225" i="85"/>
  <c r="C180" i="27" s="1"/>
  <c r="G218" i="85"/>
  <c r="E262" i="85"/>
  <c r="F244" i="85"/>
  <c r="AJ244" i="85" s="1" a="1"/>
  <c r="E226" i="85"/>
  <c r="F252" i="85"/>
  <c r="AJ252" i="85" s="1" a="1"/>
  <c r="F260" i="85"/>
  <c r="AJ260" i="85" s="1" a="1"/>
  <c r="E242" i="85"/>
  <c r="F224" i="85"/>
  <c r="AJ224" i="85" s="1" a="1"/>
  <c r="F216" i="85"/>
  <c r="AJ216" i="85" s="1" a="1"/>
  <c r="D252" i="85"/>
  <c r="C207" i="27" s="1"/>
  <c r="D248" i="85"/>
  <c r="C203" i="27" s="1"/>
  <c r="G217" i="85"/>
  <c r="E258" i="85"/>
  <c r="F240" i="85"/>
  <c r="AJ240" i="85" s="1" a="1"/>
  <c r="E222" i="85"/>
  <c r="F246" i="85"/>
  <c r="AJ246" i="85" s="1" a="1"/>
  <c r="B246" i="85"/>
  <c r="D245" i="85"/>
  <c r="C200" i="27" s="1"/>
  <c r="B245" i="85"/>
  <c r="E245" i="85"/>
  <c r="G245" i="85"/>
  <c r="F245" i="85"/>
  <c r="AJ245" i="85" s="1" a="1"/>
  <c r="B220" i="85"/>
  <c r="E220" i="85"/>
  <c r="F220" i="85"/>
  <c r="AJ220" i="85" s="1" a="1"/>
  <c r="D261" i="85"/>
  <c r="C216" i="27" s="1"/>
  <c r="E261" i="85"/>
  <c r="F261" i="85"/>
  <c r="AJ261" i="85" s="1" a="1"/>
  <c r="D227" i="85"/>
  <c r="C182" i="27" s="1"/>
  <c r="E227" i="85"/>
  <c r="F227" i="85"/>
  <c r="AJ227" i="85" s="1" a="1"/>
  <c r="F232" i="85"/>
  <c r="AJ232" i="85" s="1" a="1"/>
  <c r="F254" i="85"/>
  <c r="AJ254" i="85" s="1" a="1"/>
  <c r="D254" i="85"/>
  <c r="C209" i="27" s="1"/>
  <c r="G254" i="85"/>
  <c r="B254" i="85"/>
  <c r="E243" i="85"/>
  <c r="F243" i="85"/>
  <c r="AJ243" i="85" s="1" a="1"/>
  <c r="D236" i="85"/>
  <c r="C191" i="27" s="1"/>
  <c r="E236" i="85"/>
  <c r="B236" i="85"/>
  <c r="D223" i="85"/>
  <c r="C178" i="27" s="1"/>
  <c r="E223" i="85"/>
  <c r="F223" i="85"/>
  <c r="AJ223" i="85" s="1" a="1"/>
  <c r="E265" i="85"/>
  <c r="D265" i="85"/>
  <c r="C220" i="27" s="1"/>
  <c r="F265" i="85"/>
  <c r="AJ265" i="85" s="1" a="1"/>
  <c r="D238" i="85"/>
  <c r="C193" i="27" s="1"/>
  <c r="F238" i="85"/>
  <c r="AJ238" i="85" s="1" a="1"/>
  <c r="E254" i="85"/>
  <c r="E238" i="85"/>
  <c r="D260" i="85"/>
  <c r="C215" i="27" s="1"/>
  <c r="D256" i="85"/>
  <c r="C211" i="27" s="1"/>
  <c r="D250" i="85"/>
  <c r="C205" i="27" s="1"/>
  <c r="G237" i="85"/>
  <c r="D233" i="85"/>
  <c r="C188" i="27" s="1"/>
  <c r="G226" i="85"/>
  <c r="D217" i="85"/>
  <c r="C172" i="27" s="1"/>
  <c r="F257" i="85"/>
  <c r="AJ257" i="85" s="1" a="1"/>
  <c r="F253" i="85"/>
  <c r="AJ253" i="85" s="1" a="1"/>
  <c r="F249" i="85"/>
  <c r="AJ249" i="85" s="1" a="1"/>
  <c r="F241" i="85"/>
  <c r="AJ241" i="85" s="1" a="1"/>
  <c r="F237" i="85"/>
  <c r="AJ237" i="85" s="1" a="1"/>
  <c r="F233" i="85"/>
  <c r="AJ233" i="85" s="1" a="1"/>
  <c r="F229" i="85"/>
  <c r="AJ229" i="85" s="1" a="1"/>
  <c r="F225" i="85"/>
  <c r="AJ225" i="85" s="1" a="1"/>
  <c r="F221" i="85"/>
  <c r="AJ221" i="85" s="1" a="1"/>
  <c r="F217" i="85"/>
  <c r="AJ217" i="85" s="1" a="1"/>
  <c r="E257" i="85"/>
  <c r="E253" i="85"/>
  <c r="E249" i="85"/>
  <c r="E241" i="85"/>
  <c r="E237" i="85"/>
  <c r="E225" i="85"/>
  <c r="E221" i="85"/>
  <c r="E217" i="85"/>
  <c r="D255" i="85"/>
  <c r="C210" i="27" s="1"/>
  <c r="E244" i="85"/>
  <c r="F263" i="85"/>
  <c r="AJ263" i="85" s="1" a="1"/>
  <c r="F259" i="85"/>
  <c r="AJ259" i="85" s="1" a="1"/>
  <c r="F255" i="85"/>
  <c r="AJ255" i="85" s="1" a="1"/>
  <c r="F251" i="85"/>
  <c r="AJ251" i="85" s="1" a="1"/>
  <c r="F247" i="85"/>
  <c r="AJ247" i="85" s="1" a="1"/>
  <c r="F239" i="85"/>
  <c r="AJ239" i="85" s="1" a="1"/>
  <c r="F235" i="85"/>
  <c r="AJ235" i="85" s="1" a="1"/>
  <c r="F231" i="85"/>
  <c r="AJ231" i="85" s="1" a="1"/>
  <c r="F219" i="85"/>
  <c r="AJ219" i="85" s="1" a="1"/>
  <c r="F215" i="85"/>
  <c r="AJ215" i="85" s="1" a="1"/>
  <c r="D251" i="85"/>
  <c r="C206" i="27" s="1"/>
  <c r="E263" i="85"/>
  <c r="E259" i="85"/>
  <c r="E255" i="85"/>
  <c r="E251" i="85"/>
  <c r="E239" i="85"/>
  <c r="E235" i="85"/>
  <c r="E219" i="85"/>
  <c r="E215" i="85"/>
  <c r="B234" i="85"/>
  <c r="B218" i="85"/>
  <c r="F266" i="85"/>
  <c r="AJ266" i="85" s="1" a="1"/>
  <c r="F258" i="85"/>
  <c r="AJ258" i="85" s="1" a="1"/>
  <c r="F234" i="85"/>
  <c r="AJ234" i="85" s="1" a="1"/>
  <c r="F230" i="85"/>
  <c r="AJ230" i="85" s="1" a="1"/>
  <c r="F226" i="85"/>
  <c r="AJ226" i="85" s="1" a="1"/>
  <c r="F222" i="85"/>
  <c r="AJ222" i="85" s="1" a="1"/>
  <c r="F218" i="85"/>
  <c r="AJ218" i="85" s="1" a="1"/>
  <c r="F214" i="85"/>
  <c r="AJ214" i="85" s="1" a="1"/>
  <c r="U237" i="145"/>
  <c r="V237" i="145" s="1"/>
  <c r="G258" i="145"/>
  <c r="B256" i="145"/>
  <c r="U256" i="145" s="1"/>
  <c r="D248" i="145"/>
  <c r="D241" i="145"/>
  <c r="B236" i="145"/>
  <c r="U236" i="145" s="1"/>
  <c r="V236" i="145" s="1"/>
  <c r="D234" i="145"/>
  <c r="G229" i="145"/>
  <c r="D228" i="145"/>
  <c r="G223" i="145"/>
  <c r="B216" i="145"/>
  <c r="U216" i="145" s="1"/>
  <c r="G209" i="145"/>
  <c r="D246" i="145"/>
  <c r="D237" i="145"/>
  <c r="D208" i="145"/>
  <c r="G256" i="145"/>
  <c r="B243" i="145"/>
  <c r="U243" i="145" s="1"/>
  <c r="G216" i="145"/>
  <c r="B209" i="145"/>
  <c r="U209" i="145" s="1"/>
  <c r="V209" i="145" s="1"/>
  <c r="G247" i="145"/>
  <c r="G222" i="145"/>
  <c r="G217" i="145"/>
  <c r="G214" i="145"/>
  <c r="B264" i="145"/>
  <c r="G249" i="145"/>
  <c r="G234" i="145"/>
  <c r="B225" i="145"/>
  <c r="D218" i="145"/>
  <c r="D210" i="145"/>
  <c r="G203" i="145"/>
  <c r="D247" i="145"/>
  <c r="D236" i="145"/>
  <c r="D222" i="145"/>
  <c r="D214" i="145"/>
  <c r="D206" i="145"/>
  <c r="U258" i="145"/>
  <c r="V258" i="145" s="1"/>
  <c r="U257" i="145"/>
  <c r="V257" i="145" s="1"/>
  <c r="G252" i="145"/>
  <c r="D252" i="145"/>
  <c r="B252" i="145"/>
  <c r="G266" i="145"/>
  <c r="D251" i="145"/>
  <c r="B266" i="145"/>
  <c r="B251" i="145"/>
  <c r="B245" i="145"/>
  <c r="D245" i="145"/>
  <c r="G245" i="145"/>
  <c r="B261" i="145"/>
  <c r="G261" i="145"/>
  <c r="B265" i="145"/>
  <c r="D265" i="145"/>
  <c r="G260" i="145"/>
  <c r="B260" i="145"/>
  <c r="D257" i="145"/>
  <c r="G257" i="145"/>
  <c r="B255" i="145"/>
  <c r="G255" i="145"/>
  <c r="G244" i="145"/>
  <c r="B244" i="145"/>
  <c r="D244" i="145"/>
  <c r="U247" i="145"/>
  <c r="V247" i="145" s="1"/>
  <c r="G246" i="145"/>
  <c r="B246" i="145"/>
  <c r="D238" i="145"/>
  <c r="G238" i="145"/>
  <c r="B238" i="145"/>
  <c r="G254" i="145"/>
  <c r="B254" i="145"/>
  <c r="B242" i="145"/>
  <c r="G242" i="145"/>
  <c r="D242" i="145"/>
  <c r="U229" i="145"/>
  <c r="V229" i="145" s="1"/>
  <c r="B253" i="145"/>
  <c r="D253" i="145"/>
  <c r="G253" i="145"/>
  <c r="D243" i="145"/>
  <c r="G243" i="145"/>
  <c r="B227" i="145"/>
  <c r="D227" i="145"/>
  <c r="U220" i="145"/>
  <c r="V220" i="145" s="1"/>
  <c r="G239" i="145"/>
  <c r="B239" i="145"/>
  <c r="G231" i="145"/>
  <c r="B231" i="145"/>
  <c r="D230" i="145"/>
  <c r="G230" i="145"/>
  <c r="U204" i="145"/>
  <c r="V204" i="145" s="1"/>
  <c r="G233" i="145"/>
  <c r="B230" i="145"/>
  <c r="B241" i="145"/>
  <c r="B233" i="145"/>
  <c r="G226" i="145"/>
  <c r="B226" i="145"/>
  <c r="U235" i="145"/>
  <c r="V235" i="145" s="1"/>
  <c r="B240" i="145"/>
  <c r="D240" i="145"/>
  <c r="G236" i="145"/>
  <c r="B232" i="145"/>
  <c r="D232" i="145"/>
  <c r="G228" i="145"/>
  <c r="G227" i="145"/>
  <c r="B223" i="145"/>
  <c r="B221" i="145"/>
  <c r="D221" i="145"/>
  <c r="G221" i="145"/>
  <c r="B211" i="145"/>
  <c r="D211" i="145"/>
  <c r="U205" i="145"/>
  <c r="G219" i="145"/>
  <c r="G215" i="145"/>
  <c r="G212" i="145"/>
  <c r="D212" i="145"/>
  <c r="B212" i="145"/>
  <c r="B219" i="145"/>
  <c r="D219" i="145"/>
  <c r="B215" i="145"/>
  <c r="B213" i="145"/>
  <c r="D213" i="145"/>
  <c r="G213" i="145"/>
  <c r="G207" i="145"/>
  <c r="B207" i="145"/>
  <c r="G220" i="145"/>
  <c r="D220" i="145"/>
  <c r="G204" i="145"/>
  <c r="D204" i="145"/>
  <c r="U203" i="145"/>
  <c r="V203" i="145" s="1"/>
  <c r="B222" i="145"/>
  <c r="B214" i="145"/>
  <c r="B206" i="145"/>
  <c r="G205" i="145"/>
  <c r="G206" i="145"/>
  <c r="D205" i="145"/>
  <c r="D203" i="145"/>
  <c r="G222" i="85"/>
  <c r="B266" i="85"/>
  <c r="B252" i="85"/>
  <c r="B259" i="85"/>
  <c r="B222" i="85"/>
  <c r="G214" i="85"/>
  <c r="B230" i="85"/>
  <c r="B258" i="85"/>
  <c r="G263" i="85"/>
  <c r="G260" i="85"/>
  <c r="D257" i="85"/>
  <c r="C212" i="27" s="1"/>
  <c r="B256" i="85"/>
  <c r="D253" i="85"/>
  <c r="C208" i="27" s="1"/>
  <c r="G241" i="85"/>
  <c r="B237" i="85"/>
  <c r="G234" i="85"/>
  <c r="B226" i="85"/>
  <c r="G221" i="85"/>
  <c r="G230" i="85"/>
  <c r="G266" i="85"/>
  <c r="D263" i="85"/>
  <c r="C218" i="27" s="1"/>
  <c r="B253" i="85"/>
  <c r="D221" i="85"/>
  <c r="C176" i="27" s="1"/>
  <c r="B214" i="85"/>
  <c r="D262" i="85"/>
  <c r="C217" i="27" s="1"/>
  <c r="G262" i="85"/>
  <c r="B262" i="85"/>
  <c r="D264" i="85"/>
  <c r="C219" i="27" s="1"/>
  <c r="B264" i="85"/>
  <c r="G264" i="85"/>
  <c r="G265" i="85"/>
  <c r="B265" i="85"/>
  <c r="G261" i="85"/>
  <c r="B261" i="85"/>
  <c r="G243" i="85"/>
  <c r="D243" i="85"/>
  <c r="C198" i="27" s="1"/>
  <c r="B243" i="85"/>
  <c r="B247" i="85"/>
  <c r="D247" i="85"/>
  <c r="C202" i="27" s="1"/>
  <c r="B242" i="85"/>
  <c r="D242" i="85"/>
  <c r="C197" i="27" s="1"/>
  <c r="G242" i="85"/>
  <c r="B260" i="85"/>
  <c r="B257" i="85"/>
  <c r="G248" i="85"/>
  <c r="B244" i="85"/>
  <c r="D249" i="85"/>
  <c r="C204" i="27" s="1"/>
  <c r="B248" i="85"/>
  <c r="D246" i="85"/>
  <c r="C201" i="27" s="1"/>
  <c r="G246" i="85"/>
  <c r="D232" i="85"/>
  <c r="C187" i="27" s="1"/>
  <c r="G232" i="85"/>
  <c r="B232" i="85"/>
  <c r="G252" i="85"/>
  <c r="B249" i="85"/>
  <c r="G247" i="85"/>
  <c r="B238" i="85"/>
  <c r="B240" i="85"/>
  <c r="G224" i="85"/>
  <c r="D224" i="85"/>
  <c r="C179" i="27" s="1"/>
  <c r="B224" i="85"/>
  <c r="B235" i="85"/>
  <c r="G235" i="85"/>
  <c r="G239" i="85"/>
  <c r="D239" i="85"/>
  <c r="C194" i="27" s="1"/>
  <c r="G231" i="85"/>
  <c r="B229" i="85"/>
  <c r="G229" i="85"/>
  <c r="D229" i="85"/>
  <c r="C184" i="27" s="1"/>
  <c r="G228" i="85"/>
  <c r="D228" i="85"/>
  <c r="C183" i="27" s="1"/>
  <c r="B228" i="85"/>
  <c r="G238" i="85"/>
  <c r="B231" i="85"/>
  <c r="D231" i="85"/>
  <c r="C186" i="27" s="1"/>
  <c r="G223" i="85"/>
  <c r="B223" i="85"/>
  <c r="G220" i="85"/>
  <c r="D220" i="85"/>
  <c r="C175" i="27" s="1"/>
  <c r="G215" i="85"/>
  <c r="B215" i="85"/>
  <c r="B233" i="85"/>
  <c r="G227" i="85"/>
  <c r="G236" i="85"/>
  <c r="B227" i="85"/>
  <c r="G219" i="85"/>
  <c r="B219" i="85"/>
  <c r="G216" i="85"/>
  <c r="B216" i="85"/>
  <c r="D216" i="85"/>
  <c r="C171" i="27" s="1"/>
  <c r="Q27" i="105"/>
  <c r="Q31" i="105"/>
  <c r="Q35" i="105"/>
  <c r="L55" i="105"/>
  <c r="Q18" i="105"/>
  <c r="Q19" i="105"/>
  <c r="Q20" i="105"/>
  <c r="Q21" i="105"/>
  <c r="Q22" i="105"/>
  <c r="Q23" i="105"/>
  <c r="Q24" i="105"/>
  <c r="Q25" i="105"/>
  <c r="Q26" i="105"/>
  <c r="L29" i="105"/>
  <c r="Q30" i="105"/>
  <c r="L33" i="105"/>
  <c r="Q34" i="105"/>
  <c r="L37" i="105"/>
  <c r="L41" i="105"/>
  <c r="L45" i="105"/>
  <c r="L51" i="105"/>
  <c r="L50" i="105"/>
  <c r="L52" i="105"/>
  <c r="L54" i="105"/>
  <c r="L56" i="105"/>
  <c r="L58" i="105"/>
  <c r="L60" i="105"/>
  <c r="L62" i="105"/>
  <c r="L64" i="105"/>
  <c r="L66" i="105"/>
  <c r="L68" i="105"/>
  <c r="C160" i="145"/>
  <c r="C161" i="145"/>
  <c r="C162" i="145"/>
  <c r="C163" i="145"/>
  <c r="C164" i="145"/>
  <c r="C165" i="145"/>
  <c r="G165" i="145" s="1"/>
  <c r="C166" i="145"/>
  <c r="C167" i="145"/>
  <c r="C168" i="145"/>
  <c r="C169" i="145"/>
  <c r="C170" i="145"/>
  <c r="C171" i="145"/>
  <c r="C172" i="145"/>
  <c r="C173" i="145"/>
  <c r="C174" i="145"/>
  <c r="C175" i="145"/>
  <c r="C176" i="145"/>
  <c r="D176" i="145" s="1"/>
  <c r="C177" i="145"/>
  <c r="C178" i="145"/>
  <c r="D178" i="145" s="1"/>
  <c r="C179" i="145"/>
  <c r="G179" i="145" s="1"/>
  <c r="C180" i="145"/>
  <c r="C181" i="145"/>
  <c r="C182" i="145"/>
  <c r="C183" i="145"/>
  <c r="C184" i="145"/>
  <c r="C185" i="145"/>
  <c r="C186" i="145"/>
  <c r="C187" i="145"/>
  <c r="C188" i="145"/>
  <c r="C189" i="145"/>
  <c r="C190" i="145"/>
  <c r="D190" i="145" s="1"/>
  <c r="C191" i="145"/>
  <c r="C192" i="145"/>
  <c r="G192" i="145" s="1"/>
  <c r="C193" i="145"/>
  <c r="C194" i="145"/>
  <c r="C195" i="145"/>
  <c r="G195" i="145" s="1"/>
  <c r="C196" i="145"/>
  <c r="C197" i="145"/>
  <c r="C198" i="145"/>
  <c r="C199" i="145"/>
  <c r="C200" i="145"/>
  <c r="C201" i="145"/>
  <c r="C202" i="145"/>
  <c r="O69" i="208" l="1"/>
  <c r="V250" i="85"/>
  <c r="AC250" i="85"/>
  <c r="Y250" i="85"/>
  <c r="U250" i="85"/>
  <c r="Z250" i="85"/>
  <c r="AG250" i="85"/>
  <c r="AE250" i="85"/>
  <c r="X250" i="85"/>
  <c r="AB250" i="85"/>
  <c r="AD250" i="85"/>
  <c r="AF250" i="85"/>
  <c r="AA250" i="85"/>
  <c r="AI250" i="85"/>
  <c r="AH250" i="85"/>
  <c r="W250" i="85"/>
  <c r="W241" i="85"/>
  <c r="AH241" i="85"/>
  <c r="AB241" i="85"/>
  <c r="AG241" i="85"/>
  <c r="AF241" i="85"/>
  <c r="AE241" i="85"/>
  <c r="Z241" i="85"/>
  <c r="AA241" i="85"/>
  <c r="AI241" i="85"/>
  <c r="AC241" i="85"/>
  <c r="X241" i="85"/>
  <c r="AD241" i="85"/>
  <c r="Y241" i="85"/>
  <c r="U241" i="85"/>
  <c r="V241" i="85"/>
  <c r="W246" i="85"/>
  <c r="AB246" i="85"/>
  <c r="X246" i="85"/>
  <c r="AG246" i="85"/>
  <c r="AE246" i="85"/>
  <c r="AC246" i="85"/>
  <c r="AA246" i="85"/>
  <c r="U246" i="85"/>
  <c r="AH246" i="85"/>
  <c r="AF246" i="85"/>
  <c r="V246" i="85"/>
  <c r="Z246" i="85"/>
  <c r="AI246" i="85"/>
  <c r="AD246" i="85"/>
  <c r="Y246" i="85"/>
  <c r="AD245" i="85"/>
  <c r="AI245" i="85"/>
  <c r="AG245" i="85"/>
  <c r="AC245" i="85"/>
  <c r="U245" i="85"/>
  <c r="Y245" i="85"/>
  <c r="Z245" i="85"/>
  <c r="AA245" i="85"/>
  <c r="AF245" i="85"/>
  <c r="V245" i="85"/>
  <c r="AE245" i="85"/>
  <c r="AH245" i="85"/>
  <c r="W245" i="85"/>
  <c r="X245" i="85"/>
  <c r="AB245" i="85"/>
  <c r="AG220" i="85"/>
  <c r="AA220" i="85"/>
  <c r="V220" i="85"/>
  <c r="AE220" i="85"/>
  <c r="Z220" i="85"/>
  <c r="AF220" i="85"/>
  <c r="W220" i="85"/>
  <c r="AB220" i="85"/>
  <c r="U220" i="85"/>
  <c r="Y220" i="85"/>
  <c r="AD220" i="85"/>
  <c r="AH220" i="85"/>
  <c r="X220" i="85"/>
  <c r="AC220" i="85"/>
  <c r="AI220" i="85"/>
  <c r="AH254" i="85"/>
  <c r="AC254" i="85"/>
  <c r="U254" i="85"/>
  <c r="AF254" i="85"/>
  <c r="AA254" i="85"/>
  <c r="AG254" i="85"/>
  <c r="AB254" i="85"/>
  <c r="V254" i="85"/>
  <c r="X254" i="85"/>
  <c r="Y254" i="85"/>
  <c r="AE254" i="85"/>
  <c r="AI254" i="85"/>
  <c r="AD254" i="85"/>
  <c r="Z254" i="85"/>
  <c r="W254" i="85"/>
  <c r="AH236" i="85"/>
  <c r="AB236" i="85"/>
  <c r="Z236" i="85"/>
  <c r="X236" i="85"/>
  <c r="U236" i="85"/>
  <c r="V236" i="85"/>
  <c r="AC236" i="85"/>
  <c r="AF236" i="85"/>
  <c r="W236" i="85"/>
  <c r="AA236" i="85"/>
  <c r="AE236" i="85"/>
  <c r="AG236" i="85"/>
  <c r="AI236" i="85"/>
  <c r="AD236" i="85"/>
  <c r="Y236" i="85"/>
  <c r="AC234" i="85"/>
  <c r="AA234" i="85"/>
  <c r="AH234" i="85"/>
  <c r="AE234" i="85"/>
  <c r="V234" i="85"/>
  <c r="X234" i="85"/>
  <c r="AB234" i="85"/>
  <c r="Y234" i="85"/>
  <c r="W234" i="85"/>
  <c r="U234" i="85"/>
  <c r="Z234" i="85"/>
  <c r="AF234" i="85"/>
  <c r="AI234" i="85"/>
  <c r="AG234" i="85"/>
  <c r="AD234" i="85"/>
  <c r="AE218" i="85"/>
  <c r="AC218" i="85"/>
  <c r="V218" i="85"/>
  <c r="W218" i="85"/>
  <c r="AG218" i="85"/>
  <c r="Z218" i="85"/>
  <c r="AD218" i="85"/>
  <c r="AI218" i="85"/>
  <c r="AA218" i="85"/>
  <c r="U218" i="85"/>
  <c r="AH218" i="85"/>
  <c r="Y218" i="85"/>
  <c r="X218" i="85"/>
  <c r="AB218" i="85"/>
  <c r="AF218" i="85"/>
  <c r="AH266" i="85"/>
  <c r="AI266" i="85"/>
  <c r="AG266" i="85"/>
  <c r="AF266" i="85"/>
  <c r="AE266" i="85"/>
  <c r="AD266" i="85"/>
  <c r="AC266" i="85"/>
  <c r="AB266" i="85"/>
  <c r="Z266" i="85"/>
  <c r="Y266" i="85"/>
  <c r="X266" i="85"/>
  <c r="W266" i="85"/>
  <c r="V266" i="85"/>
  <c r="U266" i="85"/>
  <c r="AA266" i="85"/>
  <c r="AH252" i="85"/>
  <c r="U252" i="85"/>
  <c r="AD252" i="85"/>
  <c r="Z252" i="85"/>
  <c r="AG252" i="85"/>
  <c r="Y252" i="85"/>
  <c r="V252" i="85"/>
  <c r="AI252" i="85"/>
  <c r="AA252" i="85"/>
  <c r="X252" i="85"/>
  <c r="AC252" i="85"/>
  <c r="AE252" i="85"/>
  <c r="W252" i="85"/>
  <c r="AF252" i="85"/>
  <c r="AB252" i="85"/>
  <c r="X259" i="85"/>
  <c r="AF259" i="85"/>
  <c r="AE259" i="85"/>
  <c r="Z259" i="85"/>
  <c r="AC259" i="85"/>
  <c r="AH259" i="85"/>
  <c r="AG259" i="85"/>
  <c r="AD259" i="85"/>
  <c r="W259" i="85"/>
  <c r="AA259" i="85"/>
  <c r="AI259" i="85"/>
  <c r="Y259" i="85"/>
  <c r="U259" i="85"/>
  <c r="AB259" i="85"/>
  <c r="V259" i="85"/>
  <c r="AE222" i="85"/>
  <c r="Y222" i="85"/>
  <c r="W222" i="85"/>
  <c r="AB222" i="85"/>
  <c r="AI222" i="85"/>
  <c r="AF222" i="85"/>
  <c r="AG222" i="85"/>
  <c r="AA222" i="85"/>
  <c r="AD222" i="85"/>
  <c r="Z222" i="85"/>
  <c r="U222" i="85"/>
  <c r="AH222" i="85"/>
  <c r="AC222" i="85"/>
  <c r="X222" i="85"/>
  <c r="V222" i="85"/>
  <c r="X230" i="85"/>
  <c r="AB230" i="85"/>
  <c r="AE230" i="85"/>
  <c r="Z230" i="85"/>
  <c r="AH230" i="85"/>
  <c r="AG230" i="85"/>
  <c r="AA230" i="85"/>
  <c r="V230" i="85"/>
  <c r="AD230" i="85"/>
  <c r="Y230" i="85"/>
  <c r="U230" i="85"/>
  <c r="AC230" i="85"/>
  <c r="W230" i="85"/>
  <c r="AF230" i="85"/>
  <c r="AI230" i="85"/>
  <c r="X258" i="85"/>
  <c r="AC258" i="85"/>
  <c r="AH258" i="85"/>
  <c r="Y258" i="85"/>
  <c r="AI258" i="85"/>
  <c r="AG258" i="85"/>
  <c r="Z258" i="85"/>
  <c r="U258" i="85"/>
  <c r="AD258" i="85"/>
  <c r="AE258" i="85"/>
  <c r="AB258" i="85"/>
  <c r="W258" i="85"/>
  <c r="AF258" i="85"/>
  <c r="V258" i="85"/>
  <c r="AA258" i="85"/>
  <c r="AC256" i="85"/>
  <c r="AH256" i="85"/>
  <c r="Y256" i="85"/>
  <c r="U256" i="85"/>
  <c r="Z256" i="85"/>
  <c r="X256" i="85"/>
  <c r="AG256" i="85"/>
  <c r="AB256" i="85"/>
  <c r="AE256" i="85"/>
  <c r="AI256" i="85"/>
  <c r="W256" i="85"/>
  <c r="AF256" i="85"/>
  <c r="AD256" i="85"/>
  <c r="V256" i="85"/>
  <c r="AA256" i="85"/>
  <c r="Z237" i="85"/>
  <c r="AD237" i="85"/>
  <c r="AH237" i="85"/>
  <c r="AE237" i="85"/>
  <c r="AF237" i="85"/>
  <c r="AB237" i="85"/>
  <c r="X237" i="85"/>
  <c r="AI237" i="85"/>
  <c r="AC237" i="85"/>
  <c r="V237" i="85"/>
  <c r="AA237" i="85"/>
  <c r="AG237" i="85"/>
  <c r="U237" i="85"/>
  <c r="Y237" i="85"/>
  <c r="W237" i="85"/>
  <c r="AE226" i="85"/>
  <c r="AH226" i="85"/>
  <c r="AC226" i="85"/>
  <c r="AG226" i="85"/>
  <c r="AI226" i="85"/>
  <c r="Z226" i="85"/>
  <c r="U226" i="85"/>
  <c r="Y226" i="85"/>
  <c r="V226" i="85"/>
  <c r="AB226" i="85"/>
  <c r="W226" i="85"/>
  <c r="AA226" i="85"/>
  <c r="AF226" i="85"/>
  <c r="AD226" i="85"/>
  <c r="X226" i="85"/>
  <c r="AE253" i="85"/>
  <c r="Z253" i="85"/>
  <c r="U253" i="85"/>
  <c r="AA253" i="85"/>
  <c r="V253" i="85"/>
  <c r="AI253" i="85"/>
  <c r="AF253" i="85"/>
  <c r="Y253" i="85"/>
  <c r="X253" i="85"/>
  <c r="AG253" i="85"/>
  <c r="AB253" i="85"/>
  <c r="W253" i="85"/>
  <c r="AH253" i="85"/>
  <c r="AC253" i="85"/>
  <c r="AD253" i="85"/>
  <c r="Y214" i="85"/>
  <c r="AH214" i="85"/>
  <c r="AC214" i="85"/>
  <c r="X214" i="85"/>
  <c r="AE214" i="85"/>
  <c r="Z214" i="85"/>
  <c r="V214" i="85"/>
  <c r="AI214" i="85"/>
  <c r="AD214" i="85"/>
  <c r="AF214" i="85"/>
  <c r="AB214" i="85"/>
  <c r="W214" i="85"/>
  <c r="AG214" i="85"/>
  <c r="AA214" i="85"/>
  <c r="U214" i="85"/>
  <c r="AE262" i="85"/>
  <c r="W262" i="85"/>
  <c r="U262" i="85"/>
  <c r="X262" i="85"/>
  <c r="AC262" i="85"/>
  <c r="AH262" i="85"/>
  <c r="Z262" i="85"/>
  <c r="V262" i="85"/>
  <c r="AB262" i="85"/>
  <c r="Y262" i="85"/>
  <c r="AF262" i="85"/>
  <c r="AD262" i="85"/>
  <c r="AG262" i="85"/>
  <c r="AI262" i="85"/>
  <c r="AA262" i="85"/>
  <c r="X264" i="85"/>
  <c r="U264" i="85"/>
  <c r="AI264" i="85"/>
  <c r="AH264" i="85"/>
  <c r="AG264" i="85"/>
  <c r="AF264" i="85"/>
  <c r="AE264" i="85"/>
  <c r="AD264" i="85"/>
  <c r="AC264" i="85"/>
  <c r="AB264" i="85"/>
  <c r="AA264" i="85"/>
  <c r="Z264" i="85"/>
  <c r="W264" i="85"/>
  <c r="V264" i="85"/>
  <c r="Y264" i="85"/>
  <c r="AH265" i="85"/>
  <c r="AG265" i="85"/>
  <c r="AF265" i="85"/>
  <c r="AE265" i="85"/>
  <c r="AD265" i="85"/>
  <c r="AC265" i="85"/>
  <c r="AB265" i="85"/>
  <c r="AA265" i="85"/>
  <c r="Z265" i="85"/>
  <c r="Y265" i="85"/>
  <c r="X265" i="85"/>
  <c r="W265" i="85"/>
  <c r="V265" i="85"/>
  <c r="U265" i="85"/>
  <c r="AI265" i="85"/>
  <c r="AH261" i="85"/>
  <c r="AB261" i="85"/>
  <c r="X261" i="85"/>
  <c r="V261" i="85"/>
  <c r="Z261" i="85"/>
  <c r="AF261" i="85"/>
  <c r="AE261" i="85"/>
  <c r="AD261" i="85"/>
  <c r="W261" i="85"/>
  <c r="AA261" i="85"/>
  <c r="AI261" i="85"/>
  <c r="AC261" i="85"/>
  <c r="U261" i="85"/>
  <c r="Y261" i="85"/>
  <c r="AG261" i="85"/>
  <c r="Z243" i="85"/>
  <c r="AE243" i="85"/>
  <c r="X243" i="85"/>
  <c r="AB243" i="85"/>
  <c r="AI243" i="85"/>
  <c r="AD243" i="85"/>
  <c r="W243" i="85"/>
  <c r="AC243" i="85"/>
  <c r="U243" i="85"/>
  <c r="AF243" i="85"/>
  <c r="AH243" i="85"/>
  <c r="AG243" i="85"/>
  <c r="Y243" i="85"/>
  <c r="AA243" i="85"/>
  <c r="V243" i="85"/>
  <c r="AA247" i="85"/>
  <c r="V247" i="85"/>
  <c r="AD247" i="85"/>
  <c r="AH247" i="85"/>
  <c r="AC247" i="85"/>
  <c r="Y247" i="85"/>
  <c r="AI247" i="85"/>
  <c r="U247" i="85"/>
  <c r="X247" i="85"/>
  <c r="AG247" i="85"/>
  <c r="Z247" i="85"/>
  <c r="AE247" i="85"/>
  <c r="W247" i="85"/>
  <c r="AB247" i="85"/>
  <c r="AF247" i="85"/>
  <c r="V242" i="85"/>
  <c r="Z242" i="85"/>
  <c r="AF242" i="85"/>
  <c r="AB242" i="85"/>
  <c r="W242" i="85"/>
  <c r="AE242" i="85"/>
  <c r="X242" i="85"/>
  <c r="AG242" i="85"/>
  <c r="AI242" i="85"/>
  <c r="U242" i="85"/>
  <c r="AA242" i="85"/>
  <c r="Y242" i="85"/>
  <c r="AD242" i="85"/>
  <c r="AH242" i="85"/>
  <c r="AC242" i="85"/>
  <c r="AF260" i="85"/>
  <c r="AA260" i="85"/>
  <c r="V260" i="85"/>
  <c r="AI260" i="85"/>
  <c r="AD260" i="85"/>
  <c r="AG260" i="85"/>
  <c r="X260" i="85"/>
  <c r="AB260" i="85"/>
  <c r="Y260" i="85"/>
  <c r="W260" i="85"/>
  <c r="AC260" i="85"/>
  <c r="AH260" i="85"/>
  <c r="AE260" i="85"/>
  <c r="Z260" i="85"/>
  <c r="U260" i="85"/>
  <c r="AF257" i="85"/>
  <c r="Z257" i="85"/>
  <c r="V257" i="85"/>
  <c r="AA257" i="85"/>
  <c r="AB257" i="85"/>
  <c r="U257" i="85"/>
  <c r="Y257" i="85"/>
  <c r="X257" i="85"/>
  <c r="AE257" i="85"/>
  <c r="AG257" i="85"/>
  <c r="AD257" i="85"/>
  <c r="AH257" i="85"/>
  <c r="AI257" i="85"/>
  <c r="W257" i="85"/>
  <c r="AC257" i="85"/>
  <c r="AH244" i="85"/>
  <c r="AC244" i="85"/>
  <c r="X244" i="85"/>
  <c r="AB244" i="85"/>
  <c r="U244" i="85"/>
  <c r="W244" i="85"/>
  <c r="Z244" i="85"/>
  <c r="AG244" i="85"/>
  <c r="AA244" i="85"/>
  <c r="AI244" i="85"/>
  <c r="AF244" i="85"/>
  <c r="Y244" i="85"/>
  <c r="AD244" i="85"/>
  <c r="AE244" i="85"/>
  <c r="V244" i="85"/>
  <c r="AH248" i="85"/>
  <c r="U248" i="85"/>
  <c r="AF248" i="85"/>
  <c r="AD248" i="85"/>
  <c r="AC248" i="85"/>
  <c r="X248" i="85"/>
  <c r="Z248" i="85"/>
  <c r="AB248" i="85"/>
  <c r="AI248" i="85"/>
  <c r="AE248" i="85"/>
  <c r="AA248" i="85"/>
  <c r="AG248" i="85"/>
  <c r="Y248" i="85"/>
  <c r="V248" i="85"/>
  <c r="W248" i="85"/>
  <c r="AC232" i="85"/>
  <c r="AI232" i="85"/>
  <c r="AF232" i="85"/>
  <c r="AB232" i="85"/>
  <c r="Y232" i="85"/>
  <c r="U232" i="85"/>
  <c r="AH232" i="85"/>
  <c r="V232" i="85"/>
  <c r="Z232" i="85"/>
  <c r="AD232" i="85"/>
  <c r="AG232" i="85"/>
  <c r="AE232" i="85"/>
  <c r="AA232" i="85"/>
  <c r="W232" i="85"/>
  <c r="X232" i="85"/>
  <c r="AH249" i="85"/>
  <c r="AB249" i="85"/>
  <c r="V249" i="85"/>
  <c r="AC249" i="85"/>
  <c r="AA249" i="85"/>
  <c r="U249" i="85"/>
  <c r="W249" i="85"/>
  <c r="AI249" i="85"/>
  <c r="AD249" i="85"/>
  <c r="Z249" i="85"/>
  <c r="X249" i="85"/>
  <c r="AF249" i="85"/>
  <c r="Y249" i="85"/>
  <c r="AG249" i="85"/>
  <c r="AE249" i="85"/>
  <c r="AB238" i="85"/>
  <c r="AH238" i="85"/>
  <c r="X238" i="85"/>
  <c r="U238" i="85"/>
  <c r="Y238" i="85"/>
  <c r="AD238" i="85"/>
  <c r="AI238" i="85"/>
  <c r="AA238" i="85"/>
  <c r="W238" i="85"/>
  <c r="AF238" i="85"/>
  <c r="V238" i="85"/>
  <c r="Z238" i="85"/>
  <c r="AE238" i="85"/>
  <c r="AG238" i="85"/>
  <c r="AC238" i="85"/>
  <c r="Y240" i="85"/>
  <c r="X240" i="85"/>
  <c r="AF240" i="85"/>
  <c r="AB240" i="85"/>
  <c r="U240" i="85"/>
  <c r="W240" i="85"/>
  <c r="Z240" i="85"/>
  <c r="AD240" i="85"/>
  <c r="AH240" i="85"/>
  <c r="AG240" i="85"/>
  <c r="AA240" i="85"/>
  <c r="AI240" i="85"/>
  <c r="AC240" i="85"/>
  <c r="AE240" i="85"/>
  <c r="V240" i="85"/>
  <c r="X224" i="85"/>
  <c r="AC224" i="85"/>
  <c r="AF224" i="85"/>
  <c r="AD224" i="85"/>
  <c r="Z224" i="85"/>
  <c r="U224" i="85"/>
  <c r="AG224" i="85"/>
  <c r="Y224" i="85"/>
  <c r="AI224" i="85"/>
  <c r="AE224" i="85"/>
  <c r="AA224" i="85"/>
  <c r="V224" i="85"/>
  <c r="W224" i="85"/>
  <c r="AH224" i="85"/>
  <c r="AB224" i="85"/>
  <c r="AA235" i="85"/>
  <c r="AI235" i="85"/>
  <c r="AD235" i="85"/>
  <c r="Z235" i="85"/>
  <c r="V235" i="85"/>
  <c r="AE235" i="85"/>
  <c r="U235" i="85"/>
  <c r="X235" i="85"/>
  <c r="AB235" i="85"/>
  <c r="AF235" i="85"/>
  <c r="W235" i="85"/>
  <c r="Y235" i="85"/>
  <c r="AC235" i="85"/>
  <c r="AG235" i="85"/>
  <c r="AH235" i="85"/>
  <c r="AB229" i="85"/>
  <c r="AI229" i="85"/>
  <c r="U229" i="85"/>
  <c r="W229" i="85"/>
  <c r="AH229" i="85"/>
  <c r="AF229" i="85"/>
  <c r="Z229" i="85"/>
  <c r="V229" i="85"/>
  <c r="AG229" i="85"/>
  <c r="AA229" i="85"/>
  <c r="AC229" i="85"/>
  <c r="Y229" i="85"/>
  <c r="AE229" i="85"/>
  <c r="AD229" i="85"/>
  <c r="X229" i="85"/>
  <c r="AI228" i="85"/>
  <c r="V228" i="85"/>
  <c r="Z228" i="85"/>
  <c r="AD228" i="85"/>
  <c r="U228" i="85"/>
  <c r="Y228" i="85"/>
  <c r="AA228" i="85"/>
  <c r="AE228" i="85"/>
  <c r="W228" i="85"/>
  <c r="X228" i="85"/>
  <c r="AC228" i="85"/>
  <c r="AH228" i="85"/>
  <c r="AB228" i="85"/>
  <c r="AG228" i="85"/>
  <c r="AF228" i="85"/>
  <c r="AA231" i="85"/>
  <c r="U231" i="85"/>
  <c r="AF231" i="85"/>
  <c r="W231" i="85"/>
  <c r="Y231" i="85"/>
  <c r="AE231" i="85"/>
  <c r="AG231" i="85"/>
  <c r="AC231" i="85"/>
  <c r="AI231" i="85"/>
  <c r="X231" i="85"/>
  <c r="AB231" i="85"/>
  <c r="AD231" i="85"/>
  <c r="AH231" i="85"/>
  <c r="V231" i="85"/>
  <c r="Z231" i="85"/>
  <c r="V223" i="85"/>
  <c r="AH223" i="85"/>
  <c r="AG223" i="85"/>
  <c r="AA223" i="85"/>
  <c r="U223" i="85"/>
  <c r="AC223" i="85"/>
  <c r="X223" i="85"/>
  <c r="AE223" i="85"/>
  <c r="Z223" i="85"/>
  <c r="Y223" i="85"/>
  <c r="AB223" i="85"/>
  <c r="AD223" i="85"/>
  <c r="AI223" i="85"/>
  <c r="W223" i="85"/>
  <c r="AF223" i="85"/>
  <c r="AC215" i="85"/>
  <c r="AG215" i="85"/>
  <c r="Z215" i="85"/>
  <c r="AB215" i="85"/>
  <c r="AH215" i="85"/>
  <c r="V215" i="85"/>
  <c r="X215" i="85"/>
  <c r="W215" i="85"/>
  <c r="AA215" i="85"/>
  <c r="AE215" i="85"/>
  <c r="AI215" i="85"/>
  <c r="AF215" i="85"/>
  <c r="AD215" i="85"/>
  <c r="Y215" i="85"/>
  <c r="U215" i="85"/>
  <c r="AD233" i="85"/>
  <c r="AB233" i="85"/>
  <c r="W233" i="85"/>
  <c r="Z233" i="85"/>
  <c r="AI233" i="85"/>
  <c r="X233" i="85"/>
  <c r="AF233" i="85"/>
  <c r="AH233" i="85"/>
  <c r="Y233" i="85"/>
  <c r="U233" i="85"/>
  <c r="V233" i="85"/>
  <c r="AA233" i="85"/>
  <c r="AC233" i="85"/>
  <c r="AE233" i="85"/>
  <c r="AG233" i="85"/>
  <c r="U227" i="85"/>
  <c r="AI227" i="85"/>
  <c r="AE227" i="85"/>
  <c r="AA227" i="85"/>
  <c r="W227" i="85"/>
  <c r="AC227" i="85"/>
  <c r="V227" i="85"/>
  <c r="AH227" i="85"/>
  <c r="Y227" i="85"/>
  <c r="AG227" i="85"/>
  <c r="AB227" i="85"/>
  <c r="X227" i="85"/>
  <c r="AF227" i="85"/>
  <c r="AD227" i="85"/>
  <c r="Z227" i="85"/>
  <c r="AG219" i="85"/>
  <c r="AB219" i="85"/>
  <c r="W219" i="85"/>
  <c r="AA219" i="85"/>
  <c r="U219" i="85"/>
  <c r="V219" i="85"/>
  <c r="AE219" i="85"/>
  <c r="AI219" i="85"/>
  <c r="AC219" i="85"/>
  <c r="X219" i="85"/>
  <c r="Z219" i="85"/>
  <c r="AD219" i="85"/>
  <c r="AH219" i="85"/>
  <c r="AF219" i="85"/>
  <c r="Y219" i="85"/>
  <c r="AI216" i="85"/>
  <c r="AA216" i="85"/>
  <c r="W216" i="85"/>
  <c r="AC216" i="85"/>
  <c r="AE216" i="85"/>
  <c r="AB216" i="85"/>
  <c r="Z216" i="85"/>
  <c r="AG216" i="85"/>
  <c r="AF216" i="85"/>
  <c r="U216" i="85"/>
  <c r="V216" i="85"/>
  <c r="AH216" i="85"/>
  <c r="AD216" i="85"/>
  <c r="Y216" i="85"/>
  <c r="X216" i="85"/>
  <c r="L83" i="208"/>
  <c r="L84" i="208"/>
  <c r="O23" i="110"/>
  <c r="N27" i="110"/>
  <c r="F99" i="208"/>
  <c r="K62" i="208"/>
  <c r="O71" i="208"/>
  <c r="P72" i="208"/>
  <c r="P86" i="208"/>
  <c r="J69" i="208"/>
  <c r="J71" i="208" s="1"/>
  <c r="Q71" i="208" s="1"/>
  <c r="F101" i="208"/>
  <c r="G187" i="145"/>
  <c r="F187" i="145"/>
  <c r="E187" i="145"/>
  <c r="B179" i="145"/>
  <c r="U179" i="145" s="1"/>
  <c r="F179" i="145"/>
  <c r="E179" i="145"/>
  <c r="F198" i="145"/>
  <c r="E198" i="145"/>
  <c r="B192" i="145"/>
  <c r="U192" i="145" s="1"/>
  <c r="E192" i="145"/>
  <c r="F192" i="145"/>
  <c r="F185" i="145"/>
  <c r="E185" i="145"/>
  <c r="G172" i="145"/>
  <c r="F172" i="145"/>
  <c r="E172" i="145"/>
  <c r="B165" i="145"/>
  <c r="U165" i="145" s="1"/>
  <c r="V165" i="145" s="1"/>
  <c r="F165" i="145"/>
  <c r="E165" i="145"/>
  <c r="B197" i="145"/>
  <c r="U197" i="145" s="1"/>
  <c r="V197" i="145" s="1"/>
  <c r="F197" i="145"/>
  <c r="E197" i="145"/>
  <c r="G191" i="145"/>
  <c r="E191" i="145"/>
  <c r="F191" i="145"/>
  <c r="E184" i="145"/>
  <c r="F184" i="145"/>
  <c r="F178" i="145"/>
  <c r="E178" i="145"/>
  <c r="F171" i="145"/>
  <c r="E171" i="145"/>
  <c r="G164" i="145"/>
  <c r="F164" i="145"/>
  <c r="E164" i="145"/>
  <c r="E199" i="145"/>
  <c r="F199" i="145"/>
  <c r="B173" i="145"/>
  <c r="U173" i="145" s="1"/>
  <c r="V173" i="145" s="1"/>
  <c r="F173" i="145"/>
  <c r="E173" i="145"/>
  <c r="G196" i="145"/>
  <c r="F196" i="145"/>
  <c r="E196" i="145"/>
  <c r="B170" i="145"/>
  <c r="U170" i="145" s="1"/>
  <c r="F170" i="145"/>
  <c r="E170" i="145"/>
  <c r="F190" i="145"/>
  <c r="E190" i="145"/>
  <c r="D182" i="145"/>
  <c r="F182" i="145"/>
  <c r="E182" i="145"/>
  <c r="F169" i="145"/>
  <c r="E169" i="145"/>
  <c r="B162" i="145"/>
  <c r="U162" i="145" s="1"/>
  <c r="V162" i="145" s="1"/>
  <c r="F162" i="145"/>
  <c r="E162" i="145"/>
  <c r="F193" i="145"/>
  <c r="E193" i="145"/>
  <c r="F166" i="145"/>
  <c r="E166" i="145"/>
  <c r="G186" i="145"/>
  <c r="F186" i="145"/>
  <c r="E186" i="145"/>
  <c r="D195" i="145"/>
  <c r="F195" i="145"/>
  <c r="E195" i="145"/>
  <c r="F181" i="145"/>
  <c r="E181" i="145"/>
  <c r="F161" i="145"/>
  <c r="E161" i="145"/>
  <c r="E200" i="145"/>
  <c r="F200" i="145"/>
  <c r="F174" i="145"/>
  <c r="E174" i="145"/>
  <c r="E183" i="145"/>
  <c r="F183" i="145"/>
  <c r="B177" i="145"/>
  <c r="U177" i="145" s="1"/>
  <c r="V177" i="145" s="1"/>
  <c r="F177" i="145"/>
  <c r="E177" i="145"/>
  <c r="F163" i="145"/>
  <c r="E163" i="145"/>
  <c r="F202" i="145"/>
  <c r="E202" i="145"/>
  <c r="F189" i="145"/>
  <c r="E189" i="145"/>
  <c r="E176" i="145"/>
  <c r="F176" i="145"/>
  <c r="D168" i="145"/>
  <c r="E168" i="145"/>
  <c r="F168" i="145"/>
  <c r="F201" i="145"/>
  <c r="E201" i="145"/>
  <c r="F194" i="145"/>
  <c r="E194" i="145"/>
  <c r="F188" i="145"/>
  <c r="E188" i="145"/>
  <c r="G180" i="145"/>
  <c r="F180" i="145"/>
  <c r="E180" i="145"/>
  <c r="B175" i="145"/>
  <c r="U175" i="145" s="1"/>
  <c r="V175" i="145" s="1"/>
  <c r="E175" i="145"/>
  <c r="F175" i="145"/>
  <c r="B167" i="145"/>
  <c r="U167" i="145" s="1"/>
  <c r="E167" i="145"/>
  <c r="F167" i="145"/>
  <c r="D160" i="145"/>
  <c r="E160" i="145"/>
  <c r="F160" i="145"/>
  <c r="B176" i="145"/>
  <c r="U176" i="145" s="1"/>
  <c r="V176" i="145" s="1"/>
  <c r="B166" i="145"/>
  <c r="U166" i="145" s="1"/>
  <c r="U225" i="145"/>
  <c r="V225" i="145" s="1"/>
  <c r="B195" i="145"/>
  <c r="U195" i="145" s="1"/>
  <c r="G175" i="145"/>
  <c r="U264" i="145"/>
  <c r="V264" i="145" s="1"/>
  <c r="D193" i="145"/>
  <c r="U206" i="145"/>
  <c r="V206" i="145" s="1"/>
  <c r="U207" i="145"/>
  <c r="V207" i="145" s="1"/>
  <c r="U215" i="145"/>
  <c r="U241" i="145"/>
  <c r="V241" i="145" s="1"/>
  <c r="U231" i="145"/>
  <c r="V231" i="145" s="1"/>
  <c r="U238" i="145"/>
  <c r="V238" i="145" s="1"/>
  <c r="U246" i="145"/>
  <c r="V246" i="145" s="1"/>
  <c r="U226" i="145"/>
  <c r="V226" i="145" s="1"/>
  <c r="U211" i="145"/>
  <c r="V216" i="145"/>
  <c r="U227" i="145"/>
  <c r="V227" i="145" s="1"/>
  <c r="U242" i="145"/>
  <c r="V242" i="145" s="1"/>
  <c r="U214" i="145"/>
  <c r="V256" i="145"/>
  <c r="U230" i="145"/>
  <c r="U254" i="145"/>
  <c r="U261" i="145"/>
  <c r="V261" i="145" s="1"/>
  <c r="U222" i="145"/>
  <c r="V208" i="145"/>
  <c r="U221" i="145"/>
  <c r="V221" i="145" s="1"/>
  <c r="U244" i="145"/>
  <c r="U219" i="145"/>
  <c r="V219" i="145" s="1"/>
  <c r="V224" i="145"/>
  <c r="U240" i="145"/>
  <c r="V249" i="145"/>
  <c r="U260" i="145"/>
  <c r="V260" i="145" s="1"/>
  <c r="U245" i="145"/>
  <c r="V245" i="145" s="1"/>
  <c r="U266" i="145"/>
  <c r="V266" i="145" s="1"/>
  <c r="U223" i="145"/>
  <c r="V223" i="145" s="1"/>
  <c r="U233" i="145"/>
  <c r="V233" i="145" s="1"/>
  <c r="U265" i="145"/>
  <c r="V265" i="145" s="1"/>
  <c r="U251" i="145"/>
  <c r="U252" i="145"/>
  <c r="U232" i="145"/>
  <c r="V232" i="145" s="1"/>
  <c r="U239" i="145"/>
  <c r="V239" i="145" s="1"/>
  <c r="U255" i="145"/>
  <c r="V255" i="145" s="1"/>
  <c r="U213" i="145"/>
  <c r="U212" i="145"/>
  <c r="V205" i="145"/>
  <c r="V228" i="145"/>
  <c r="V243" i="145"/>
  <c r="U253" i="145"/>
  <c r="V253" i="145" s="1"/>
  <c r="B178" i="145"/>
  <c r="U178" i="145" s="1"/>
  <c r="V178" i="145" s="1"/>
  <c r="B199" i="145"/>
  <c r="U199" i="145" s="1"/>
  <c r="V199" i="145" s="1"/>
  <c r="B193" i="145"/>
  <c r="U193" i="145" s="1"/>
  <c r="V193" i="145" s="1"/>
  <c r="G181" i="145"/>
  <c r="B184" i="145"/>
  <c r="U184" i="145" s="1"/>
  <c r="V184" i="145" s="1"/>
  <c r="B180" i="145"/>
  <c r="U180" i="145" s="1"/>
  <c r="V180" i="145" s="1"/>
  <c r="B186" i="145"/>
  <c r="U186" i="145" s="1"/>
  <c r="V186" i="145" s="1"/>
  <c r="G184" i="145"/>
  <c r="G194" i="145"/>
  <c r="B188" i="145"/>
  <c r="U188" i="145" s="1"/>
  <c r="V188" i="145" s="1"/>
  <c r="B168" i="145"/>
  <c r="U168" i="145" s="1"/>
  <c r="V168" i="145" s="1"/>
  <c r="G201" i="145"/>
  <c r="D184" i="145"/>
  <c r="G178" i="145"/>
  <c r="G170" i="145"/>
  <c r="D202" i="145"/>
  <c r="D200" i="145"/>
  <c r="D197" i="145"/>
  <c r="D191" i="145"/>
  <c r="D174" i="145"/>
  <c r="B200" i="145"/>
  <c r="G193" i="145"/>
  <c r="D186" i="145"/>
  <c r="D180" i="145"/>
  <c r="G176" i="145"/>
  <c r="B174" i="145"/>
  <c r="G167" i="145"/>
  <c r="D166" i="145"/>
  <c r="G198" i="145"/>
  <c r="D192" i="145"/>
  <c r="D175" i="145"/>
  <c r="D172" i="145"/>
  <c r="D170" i="145"/>
  <c r="D164" i="145"/>
  <c r="D201" i="145"/>
  <c r="G200" i="145"/>
  <c r="B198" i="145"/>
  <c r="G197" i="145"/>
  <c r="G173" i="145"/>
  <c r="G168" i="145"/>
  <c r="D167" i="145"/>
  <c r="G185" i="145"/>
  <c r="G202" i="145"/>
  <c r="D199" i="145"/>
  <c r="D185" i="145"/>
  <c r="B160" i="145"/>
  <c r="U160" i="145" s="1"/>
  <c r="V160" i="145" s="1"/>
  <c r="B202" i="145"/>
  <c r="B189" i="145"/>
  <c r="D189" i="145"/>
  <c r="G189" i="145"/>
  <c r="D198" i="145"/>
  <c r="B183" i="145"/>
  <c r="D183" i="145"/>
  <c r="G183" i="145"/>
  <c r="B191" i="145"/>
  <c r="D196" i="145"/>
  <c r="D194" i="145"/>
  <c r="G199" i="145"/>
  <c r="B201" i="145"/>
  <c r="B196" i="145"/>
  <c r="B194" i="145"/>
  <c r="G188" i="145"/>
  <c r="D188" i="145"/>
  <c r="B187" i="145"/>
  <c r="D187" i="145"/>
  <c r="B190" i="145"/>
  <c r="B185" i="145"/>
  <c r="G182" i="145"/>
  <c r="B182" i="145"/>
  <c r="G190" i="145"/>
  <c r="D179" i="145"/>
  <c r="G169" i="145"/>
  <c r="B169" i="145"/>
  <c r="D169" i="145"/>
  <c r="G177" i="145"/>
  <c r="D177" i="145"/>
  <c r="D163" i="145"/>
  <c r="G163" i="145"/>
  <c r="B163" i="145"/>
  <c r="B181" i="145"/>
  <c r="D181" i="145"/>
  <c r="D171" i="145"/>
  <c r="G171" i="145"/>
  <c r="B171" i="145"/>
  <c r="G162" i="145"/>
  <c r="D161" i="145"/>
  <c r="B161" i="145"/>
  <c r="G160" i="145"/>
  <c r="B172" i="145"/>
  <c r="B164" i="145"/>
  <c r="D162" i="145"/>
  <c r="G174" i="145"/>
  <c r="D173" i="145"/>
  <c r="G166" i="145"/>
  <c r="D165" i="145"/>
  <c r="G161" i="145"/>
  <c r="D34" i="210" l="1"/>
  <c r="L87" i="208"/>
  <c r="L85" i="208"/>
  <c r="O27" i="110"/>
  <c r="P23" i="110"/>
  <c r="P88" i="208"/>
  <c r="E99" i="208"/>
  <c r="E96" i="208" s="1"/>
  <c r="K69" i="208"/>
  <c r="F96" i="208"/>
  <c r="L72" i="208"/>
  <c r="L86" i="208"/>
  <c r="V179" i="145"/>
  <c r="V222" i="145"/>
  <c r="V213" i="145"/>
  <c r="V251" i="145"/>
  <c r="V254" i="145"/>
  <c r="V212" i="145"/>
  <c r="V252" i="145"/>
  <c r="V240" i="145"/>
  <c r="V244" i="145"/>
  <c r="V230" i="145"/>
  <c r="V214" i="145"/>
  <c r="V211" i="145"/>
  <c r="V215" i="145"/>
  <c r="U200" i="145"/>
  <c r="V200" i="145" s="1"/>
  <c r="U174" i="145"/>
  <c r="V174" i="145" s="1"/>
  <c r="U198" i="145"/>
  <c r="V198" i="145" s="1"/>
  <c r="U191" i="145"/>
  <c r="V191" i="145" s="1"/>
  <c r="U172" i="145"/>
  <c r="V172" i="145" s="1"/>
  <c r="U171" i="145"/>
  <c r="V171" i="145" s="1"/>
  <c r="V192" i="145"/>
  <c r="U161" i="145"/>
  <c r="V161" i="145" s="1"/>
  <c r="U169" i="145"/>
  <c r="V169" i="145" s="1"/>
  <c r="U182" i="145"/>
  <c r="V182" i="145" s="1"/>
  <c r="U183" i="145"/>
  <c r="V183" i="145" s="1"/>
  <c r="U189" i="145"/>
  <c r="U181" i="145"/>
  <c r="V181" i="145" s="1"/>
  <c r="U163" i="145"/>
  <c r="V163" i="145" s="1"/>
  <c r="V167" i="145"/>
  <c r="V195" i="145"/>
  <c r="U164" i="145"/>
  <c r="V164" i="145" s="1"/>
  <c r="U194" i="145"/>
  <c r="V194" i="145" s="1"/>
  <c r="V170" i="145"/>
  <c r="U185" i="145"/>
  <c r="U196" i="145"/>
  <c r="V196" i="145" s="1"/>
  <c r="U201" i="145"/>
  <c r="V166" i="145"/>
  <c r="U187" i="145"/>
  <c r="U202" i="145"/>
  <c r="U190" i="145"/>
  <c r="V190" i="145" s="1"/>
  <c r="O31" i="110" l="1"/>
  <c r="X27" i="110"/>
  <c r="L88" i="208"/>
  <c r="K71" i="208"/>
  <c r="P91" i="208"/>
  <c r="P90" i="208"/>
  <c r="V189" i="145"/>
  <c r="V187" i="145"/>
  <c r="V202" i="145"/>
  <c r="V201" i="145"/>
  <c r="V185" i="145"/>
  <c r="F18" i="190" l="1"/>
  <c r="E18" i="190"/>
  <c r="L91" i="208"/>
  <c r="L90" i="208"/>
  <c r="Q75" i="207" l="1"/>
  <c r="Q74" i="207"/>
  <c r="Q73" i="207"/>
  <c r="Q72" i="207"/>
  <c r="Q71" i="207"/>
  <c r="Q70" i="207"/>
  <c r="Q78" i="207"/>
  <c r="Q77" i="207"/>
  <c r="U76" i="207"/>
  <c r="Q76" i="207"/>
  <c r="Q80" i="207"/>
  <c r="Q79" i="207"/>
  <c r="Q81" i="207"/>
  <c r="Q87" i="207"/>
  <c r="Q69" i="207"/>
  <c r="Q37" i="207" l="1"/>
  <c r="Q66" i="207" l="1"/>
  <c r="Q34" i="207"/>
  <c r="U33" i="207"/>
  <c r="Q33" i="207"/>
  <c r="U32" i="207"/>
  <c r="Q32" i="207"/>
  <c r="Q31" i="207"/>
  <c r="Q30" i="207"/>
  <c r="Q29" i="207"/>
  <c r="Q28" i="207"/>
  <c r="U27" i="207"/>
  <c r="Q27" i="207"/>
  <c r="U26" i="207"/>
  <c r="Q26" i="207"/>
  <c r="Q25" i="207"/>
  <c r="Q24" i="207"/>
  <c r="Q23" i="207"/>
  <c r="U22" i="207"/>
  <c r="Q22" i="207"/>
  <c r="U21" i="207"/>
  <c r="Q21" i="207"/>
  <c r="U20" i="207"/>
  <c r="Q20" i="207"/>
  <c r="Q19" i="207"/>
  <c r="Q18" i="207"/>
  <c r="AH27" i="207"/>
  <c r="AJ27" i="207" s="1"/>
  <c r="AM27" i="207" s="1"/>
  <c r="AO27" i="207" s="1"/>
  <c r="AH26" i="207"/>
  <c r="AJ26" i="207" s="1"/>
  <c r="AM26" i="207" s="1"/>
  <c r="AO26" i="207" s="1"/>
  <c r="AH25" i="207"/>
  <c r="AJ25" i="207" s="1"/>
  <c r="AM25" i="207" s="1"/>
  <c r="AO25" i="207" s="1"/>
  <c r="AH24" i="207"/>
  <c r="AJ24" i="207" s="1"/>
  <c r="AM24" i="207" s="1"/>
  <c r="AO24" i="207" s="1"/>
  <c r="AH23" i="207"/>
  <c r="AJ23" i="207" s="1"/>
  <c r="AM23" i="207" s="1"/>
  <c r="AO23" i="207" s="1"/>
  <c r="AH18" i="207"/>
  <c r="AJ18" i="207" s="1"/>
  <c r="AM18" i="207" s="1"/>
  <c r="AO18" i="207" s="1"/>
  <c r="Q17" i="207"/>
  <c r="M15" i="207"/>
  <c r="B15" i="207"/>
  <c r="B16" i="207" s="1"/>
  <c r="B17" i="207" s="1"/>
  <c r="B18" i="207" s="1"/>
  <c r="B19" i="207" s="1"/>
  <c r="B20" i="207" s="1"/>
  <c r="B21" i="207" s="1"/>
  <c r="B22" i="207" s="1"/>
  <c r="B23" i="207" s="1"/>
  <c r="B24" i="207" s="1"/>
  <c r="B25" i="207" s="1"/>
  <c r="B26" i="207" s="1"/>
  <c r="B27" i="207" s="1"/>
  <c r="B28" i="207" s="1"/>
  <c r="B29" i="207" s="1"/>
  <c r="R84" i="207" l="1"/>
  <c r="R83" i="207"/>
  <c r="S83" i="207"/>
  <c r="S82" i="207"/>
  <c r="T85" i="207"/>
  <c r="S84" i="207"/>
  <c r="R86" i="207"/>
  <c r="S85" i="207"/>
  <c r="T82" i="207"/>
  <c r="R82" i="207"/>
  <c r="S86" i="207"/>
  <c r="T83" i="207"/>
  <c r="T86" i="207"/>
  <c r="R85" i="207"/>
  <c r="T84" i="207"/>
  <c r="S65" i="207"/>
  <c r="T54" i="207"/>
  <c r="S56" i="207"/>
  <c r="R58" i="207"/>
  <c r="T63" i="207"/>
  <c r="S58" i="207"/>
  <c r="T58" i="207"/>
  <c r="T57" i="207"/>
  <c r="R59" i="207"/>
  <c r="T64" i="207"/>
  <c r="S59" i="207"/>
  <c r="T62" i="207"/>
  <c r="S57" i="207"/>
  <c r="S62" i="207"/>
  <c r="T61" i="207"/>
  <c r="R60" i="207"/>
  <c r="S55" i="207"/>
  <c r="S61" i="207"/>
  <c r="T60" i="207"/>
  <c r="R65" i="207"/>
  <c r="S63" i="207"/>
  <c r="T65" i="207"/>
  <c r="R61" i="207"/>
  <c r="S60" i="207"/>
  <c r="R55" i="207"/>
  <c r="T55" i="207"/>
  <c r="R54" i="207"/>
  <c r="R62" i="207"/>
  <c r="T56" i="207"/>
  <c r="R63" i="207"/>
  <c r="S64" i="207"/>
  <c r="R56" i="207"/>
  <c r="R64" i="207"/>
  <c r="S54" i="207"/>
  <c r="T59" i="207"/>
  <c r="R57" i="207"/>
  <c r="R50" i="207"/>
  <c r="S53" i="207"/>
  <c r="R52" i="207"/>
  <c r="T50" i="207"/>
  <c r="R51" i="207"/>
  <c r="T51" i="207"/>
  <c r="S51" i="207"/>
  <c r="S52" i="207"/>
  <c r="T53" i="207"/>
  <c r="T52" i="207"/>
  <c r="R53" i="207"/>
  <c r="S50" i="207"/>
  <c r="S47" i="207"/>
  <c r="T46" i="207"/>
  <c r="S46" i="207"/>
  <c r="T47" i="207"/>
  <c r="S49" i="207"/>
  <c r="T48" i="207"/>
  <c r="S48" i="207"/>
  <c r="T49" i="207"/>
  <c r="R46" i="207"/>
  <c r="R48" i="207"/>
  <c r="R49" i="207"/>
  <c r="R47" i="207"/>
  <c r="T43" i="207"/>
  <c r="S43" i="207"/>
  <c r="T44" i="207"/>
  <c r="S44" i="207"/>
  <c r="S42" i="207"/>
  <c r="S45" i="207"/>
  <c r="T42" i="207"/>
  <c r="T45" i="207"/>
  <c r="R42" i="207"/>
  <c r="R43" i="207"/>
  <c r="R44" i="207"/>
  <c r="R45" i="207"/>
  <c r="T40" i="207"/>
  <c r="S40" i="207"/>
  <c r="T41" i="207"/>
  <c r="R41" i="207"/>
  <c r="S41" i="207"/>
  <c r="R40" i="207"/>
  <c r="T39" i="207"/>
  <c r="R39" i="207"/>
  <c r="S39" i="207"/>
  <c r="T38" i="207"/>
  <c r="S38" i="207"/>
  <c r="R38" i="207"/>
  <c r="B30" i="207"/>
  <c r="T75" i="207"/>
  <c r="T71" i="207"/>
  <c r="R70" i="207"/>
  <c r="R74" i="207"/>
  <c r="R75" i="207"/>
  <c r="R71" i="207"/>
  <c r="T73" i="207"/>
  <c r="S73" i="207"/>
  <c r="T74" i="207"/>
  <c r="S71" i="207"/>
  <c r="R73" i="207"/>
  <c r="S72" i="207"/>
  <c r="T72" i="207"/>
  <c r="R72" i="207"/>
  <c r="T70" i="207"/>
  <c r="S70" i="207"/>
  <c r="S74" i="207"/>
  <c r="S75" i="207"/>
  <c r="T76" i="207"/>
  <c r="S76" i="207"/>
  <c r="S77" i="207"/>
  <c r="S78" i="207"/>
  <c r="R77" i="207"/>
  <c r="T78" i="207"/>
  <c r="T77" i="207"/>
  <c r="R76" i="207"/>
  <c r="R78" i="207"/>
  <c r="T79" i="207"/>
  <c r="R80" i="207"/>
  <c r="S79" i="207"/>
  <c r="S80" i="207"/>
  <c r="R79" i="207"/>
  <c r="T80" i="207"/>
  <c r="T66" i="207"/>
  <c r="S18" i="207"/>
  <c r="R27" i="207"/>
  <c r="T81" i="207"/>
  <c r="S69" i="207"/>
  <c r="R81" i="207"/>
  <c r="R87" i="207"/>
  <c r="S81" i="207"/>
  <c r="T87" i="207"/>
  <c r="T69" i="207"/>
  <c r="S87" i="207"/>
  <c r="R69" i="207"/>
  <c r="T31" i="207"/>
  <c r="R19" i="207"/>
  <c r="T23" i="207"/>
  <c r="S32" i="207"/>
  <c r="S28" i="207"/>
  <c r="S20" i="207"/>
  <c r="R24" i="207"/>
  <c r="T29" i="207"/>
  <c r="S37" i="207"/>
  <c r="T21" i="207"/>
  <c r="T34" i="207"/>
  <c r="R37" i="207"/>
  <c r="S17" i="207"/>
  <c r="T26" i="207"/>
  <c r="T37" i="207"/>
  <c r="R26" i="207"/>
  <c r="S26" i="207"/>
  <c r="T32" i="207"/>
  <c r="S27" i="207"/>
  <c r="T18" i="207"/>
  <c r="R28" i="207"/>
  <c r="R31" i="207"/>
  <c r="T28" i="207"/>
  <c r="S24" i="207"/>
  <c r="R34" i="207"/>
  <c r="S19" i="207"/>
  <c r="T24" i="207"/>
  <c r="R32" i="207"/>
  <c r="S34" i="207"/>
  <c r="R18" i="207"/>
  <c r="R20" i="207"/>
  <c r="R23" i="207"/>
  <c r="T20" i="207"/>
  <c r="T22" i="207"/>
  <c r="S22" i="207"/>
  <c r="R22" i="207"/>
  <c r="T30" i="207"/>
  <c r="S30" i="207"/>
  <c r="R30" i="207"/>
  <c r="S33" i="207"/>
  <c r="R33" i="207"/>
  <c r="S25" i="207"/>
  <c r="R25" i="207"/>
  <c r="T33" i="207"/>
  <c r="T25" i="207"/>
  <c r="T19" i="207"/>
  <c r="T27" i="207"/>
  <c r="S23" i="207"/>
  <c r="S31" i="207"/>
  <c r="R66" i="207"/>
  <c r="R21" i="207"/>
  <c r="R29" i="207"/>
  <c r="S66" i="207"/>
  <c r="S29" i="207"/>
  <c r="S21" i="207"/>
  <c r="T17" i="207"/>
  <c r="R17" i="207"/>
  <c r="B31" i="207" l="1"/>
  <c r="B32" i="207" l="1"/>
  <c r="B33" i="207" l="1"/>
  <c r="B34" i="207" l="1"/>
  <c r="B35" i="207" l="1"/>
  <c r="B36" i="207" s="1"/>
  <c r="B37" i="207" s="1"/>
  <c r="B38" i="207" s="1"/>
  <c r="B39" i="207" s="1"/>
  <c r="B40" i="207" s="1"/>
  <c r="B41" i="207" s="1"/>
  <c r="B42" i="207" s="1"/>
  <c r="B43" i="207" s="1"/>
  <c r="B44" i="207" s="1"/>
  <c r="B45" i="207" s="1"/>
  <c r="B46" i="207" s="1"/>
  <c r="B47" i="207" s="1"/>
  <c r="B48" i="207" s="1"/>
  <c r="B49" i="207" s="1"/>
  <c r="B50" i="207" s="1"/>
  <c r="B51" i="207" s="1"/>
  <c r="B52" i="207" s="1"/>
  <c r="B53" i="207" s="1"/>
  <c r="B54" i="207" s="1"/>
  <c r="B55" i="207" s="1"/>
  <c r="B56" i="207" s="1"/>
  <c r="B57" i="207" s="1"/>
  <c r="B58" i="207" s="1"/>
  <c r="B59" i="207" s="1"/>
  <c r="B60" i="207" s="1"/>
  <c r="B61" i="207" s="1"/>
  <c r="B62" i="207" s="1"/>
  <c r="B63" i="207" s="1"/>
  <c r="B64" i="207" s="1"/>
  <c r="B65" i="207" s="1"/>
  <c r="B66" i="207" s="1"/>
  <c r="B67" i="207" s="1"/>
  <c r="B68" i="207" s="1"/>
  <c r="B69" i="207" s="1"/>
  <c r="B70" i="207" s="1"/>
  <c r="B71" i="207" s="1"/>
  <c r="B72" i="207" s="1"/>
  <c r="B73" i="207" s="1"/>
  <c r="B74" i="207" s="1"/>
  <c r="B75" i="207" s="1"/>
  <c r="B76" i="207" s="1"/>
  <c r="B77" i="207" s="1"/>
  <c r="B78" i="207" s="1"/>
  <c r="B79" i="207" s="1"/>
  <c r="B80" i="207" s="1"/>
  <c r="B81" i="207" s="1"/>
  <c r="B82" i="207" s="1"/>
  <c r="B83" i="207" s="1"/>
  <c r="B84" i="207" s="1"/>
  <c r="B85" i="207" s="1"/>
  <c r="B86" i="207" s="1"/>
  <c r="B87" i="207" s="1"/>
  <c r="B88" i="207" s="1"/>
  <c r="B89" i="207" s="1"/>
  <c r="B90" i="207" s="1"/>
  <c r="B91" i="207" s="1"/>
  <c r="B92" i="207" s="1"/>
  <c r="B93" i="207" s="1"/>
  <c r="B94" i="207" s="1"/>
  <c r="B95" i="207" s="1"/>
  <c r="B96" i="207" s="1"/>
  <c r="B97" i="207" s="1"/>
  <c r="B98" i="207" s="1"/>
  <c r="B99" i="207" s="1"/>
  <c r="B100" i="207" s="1"/>
  <c r="B101" i="207" s="1"/>
  <c r="B102" i="207" s="1"/>
  <c r="B103" i="207" s="1"/>
  <c r="B104" i="207" s="1"/>
  <c r="B105" i="207" s="1"/>
  <c r="B106" i="207" s="1"/>
  <c r="B107" i="207" s="1"/>
  <c r="B108" i="207" s="1"/>
  <c r="B109" i="207" s="1"/>
  <c r="B110" i="207" s="1"/>
  <c r="B111" i="207" s="1"/>
  <c r="B112" i="207" s="1"/>
  <c r="B113" i="207" s="1"/>
  <c r="B114" i="207" s="1"/>
  <c r="B115" i="207" s="1"/>
  <c r="B116" i="207" s="1"/>
  <c r="B117" i="207" s="1"/>
  <c r="B118" i="207" s="1"/>
  <c r="B119" i="207" s="1"/>
  <c r="B120" i="207" s="1"/>
  <c r="B121" i="207" s="1"/>
  <c r="B122" i="207" s="1"/>
  <c r="B123" i="207" s="1"/>
  <c r="B124" i="207" s="1"/>
  <c r="B125" i="207" s="1"/>
  <c r="B126" i="207" s="1"/>
  <c r="B127" i="207" s="1"/>
  <c r="B128" i="207" s="1"/>
  <c r="B129" i="207" s="1"/>
  <c r="B130" i="207" s="1"/>
  <c r="B131" i="207" s="1"/>
  <c r="B132" i="207" s="1"/>
  <c r="B133" i="207" s="1"/>
  <c r="B134" i="207" s="1"/>
  <c r="B135" i="207" s="1"/>
  <c r="B136" i="207" s="1"/>
  <c r="B137" i="207" s="1"/>
  <c r="B138" i="207" s="1"/>
  <c r="B139" i="207" s="1"/>
  <c r="B140" i="207" s="1"/>
  <c r="B141" i="207" s="1"/>
  <c r="B142" i="207" s="1"/>
  <c r="B143" i="207" s="1"/>
  <c r="B144" i="207" s="1"/>
  <c r="B145" i="207" s="1"/>
  <c r="B146" i="207" s="1"/>
  <c r="B147" i="207" s="1"/>
  <c r="B148" i="207" s="1"/>
  <c r="B149" i="207" s="1"/>
  <c r="K18" i="205"/>
  <c r="L18" i="205"/>
  <c r="Q18" i="205"/>
  <c r="T18" i="205" s="1"/>
  <c r="V18" i="205"/>
  <c r="K19" i="205"/>
  <c r="L19" i="205"/>
  <c r="Q19" i="205"/>
  <c r="T19" i="205" s="1"/>
  <c r="U19" i="205"/>
  <c r="Y19" i="205"/>
  <c r="K20" i="205"/>
  <c r="L20" i="205"/>
  <c r="Q20" i="205"/>
  <c r="R20" i="205" s="1"/>
  <c r="U20" i="205"/>
  <c r="Y20" i="205"/>
  <c r="K21" i="205"/>
  <c r="L21" i="205"/>
  <c r="Q21" i="205"/>
  <c r="U21" i="205"/>
  <c r="Y21" i="205"/>
  <c r="Y30" i="205" s="1"/>
  <c r="K22" i="205"/>
  <c r="L22" i="205"/>
  <c r="Q22" i="205"/>
  <c r="T22" i="205" s="1"/>
  <c r="S22" i="205"/>
  <c r="U22" i="205"/>
  <c r="Y22" i="205"/>
  <c r="K23" i="205"/>
  <c r="L23" i="205"/>
  <c r="Q23" i="205"/>
  <c r="T23" i="205" s="1"/>
  <c r="U23" i="205"/>
  <c r="Y23" i="205"/>
  <c r="K24" i="205"/>
  <c r="L24" i="205"/>
  <c r="Q24" i="205"/>
  <c r="R24" i="205" s="1"/>
  <c r="V24" i="205"/>
  <c r="K25" i="205"/>
  <c r="L25" i="205"/>
  <c r="Q25" i="205"/>
  <c r="U25" i="205"/>
  <c r="Y25" i="205"/>
  <c r="K26" i="205"/>
  <c r="L26" i="205"/>
  <c r="Q26" i="205"/>
  <c r="T26" i="205" s="1"/>
  <c r="S26" i="205"/>
  <c r="U26" i="205"/>
  <c r="Y26" i="205"/>
  <c r="K27" i="205"/>
  <c r="L27" i="205"/>
  <c r="Q27" i="205"/>
  <c r="R27" i="205" s="1"/>
  <c r="U27" i="205"/>
  <c r="Y27" i="205"/>
  <c r="K28" i="205"/>
  <c r="L28" i="205"/>
  <c r="Q28" i="205"/>
  <c r="R28" i="205" s="1"/>
  <c r="T28" i="205"/>
  <c r="U28" i="205"/>
  <c r="Y28" i="205"/>
  <c r="K29" i="205"/>
  <c r="L29" i="205"/>
  <c r="Q29" i="205"/>
  <c r="U29" i="205"/>
  <c r="Y29" i="205"/>
  <c r="K30" i="205"/>
  <c r="L30" i="205"/>
  <c r="Q30" i="205"/>
  <c r="T30" i="205" s="1"/>
  <c r="S30" i="205"/>
  <c r="V30" i="205"/>
  <c r="K31" i="205"/>
  <c r="L31" i="205"/>
  <c r="Q31" i="205"/>
  <c r="R31" i="205" s="1"/>
  <c r="U31" i="205"/>
  <c r="Y31" i="205"/>
  <c r="K32" i="205"/>
  <c r="L32" i="205"/>
  <c r="Q32" i="205"/>
  <c r="R32" i="205" s="1"/>
  <c r="S32" i="205"/>
  <c r="U32" i="205"/>
  <c r="Y32" i="205"/>
  <c r="K33" i="205"/>
  <c r="L33" i="205"/>
  <c r="Q33" i="205"/>
  <c r="U33" i="205"/>
  <c r="Y33" i="205"/>
  <c r="K34" i="205"/>
  <c r="L34" i="205"/>
  <c r="Q34" i="205"/>
  <c r="T34" i="205" s="1"/>
  <c r="U34" i="205"/>
  <c r="Y34" i="205"/>
  <c r="K35" i="205"/>
  <c r="L35" i="205"/>
  <c r="Q35" i="205"/>
  <c r="R35" i="205" s="1"/>
  <c r="U35" i="205"/>
  <c r="Y35" i="205"/>
  <c r="K36" i="205"/>
  <c r="L36" i="205"/>
  <c r="Q36" i="205"/>
  <c r="R36" i="205" s="1"/>
  <c r="U36" i="205"/>
  <c r="Y36" i="205"/>
  <c r="K37" i="205"/>
  <c r="L37" i="205"/>
  <c r="Q37" i="205"/>
  <c r="U37" i="205"/>
  <c r="Y37" i="205"/>
  <c r="K38" i="205"/>
  <c r="L38" i="205"/>
  <c r="Q38" i="205"/>
  <c r="T38" i="205" s="1"/>
  <c r="R38" i="205"/>
  <c r="S38" i="205"/>
  <c r="U38" i="205"/>
  <c r="Y38" i="205"/>
  <c r="K39" i="205"/>
  <c r="L39" i="205"/>
  <c r="Q39" i="205"/>
  <c r="R39" i="205" s="1"/>
  <c r="U39" i="205"/>
  <c r="Y39" i="205"/>
  <c r="K40" i="205"/>
  <c r="L40" i="205"/>
  <c r="Q40" i="205"/>
  <c r="S40" i="205" s="1"/>
  <c r="V40" i="205" s="1"/>
  <c r="R40" i="205"/>
  <c r="T40" i="205"/>
  <c r="U40" i="205"/>
  <c r="Y40" i="205"/>
  <c r="K41" i="205"/>
  <c r="L41" i="205"/>
  <c r="Q41" i="205"/>
  <c r="U41" i="205"/>
  <c r="Y41" i="205"/>
  <c r="K42" i="205"/>
  <c r="L42" i="205"/>
  <c r="Q42" i="205"/>
  <c r="T42" i="205" s="1"/>
  <c r="U42" i="205"/>
  <c r="Y42" i="205"/>
  <c r="K43" i="205"/>
  <c r="L43" i="205"/>
  <c r="Q43" i="205"/>
  <c r="R43" i="205" s="1"/>
  <c r="U43" i="205"/>
  <c r="Y43" i="205"/>
  <c r="K44" i="205"/>
  <c r="L44" i="205"/>
  <c r="Q44" i="205"/>
  <c r="S44" i="205" s="1"/>
  <c r="V44" i="205" s="1"/>
  <c r="U44" i="205"/>
  <c r="Y44" i="205"/>
  <c r="K45" i="205"/>
  <c r="L45" i="205"/>
  <c r="Q45" i="205"/>
  <c r="U45" i="205"/>
  <c r="Y45" i="205"/>
  <c r="K46" i="205"/>
  <c r="L46" i="205"/>
  <c r="Q46" i="205"/>
  <c r="T46" i="205" s="1"/>
  <c r="U46" i="205"/>
  <c r="Y46" i="205"/>
  <c r="K47" i="205"/>
  <c r="L47" i="205"/>
  <c r="Q47" i="205"/>
  <c r="R47" i="205" s="1"/>
  <c r="U47" i="205"/>
  <c r="Y47" i="205"/>
  <c r="K48" i="205"/>
  <c r="L48" i="205"/>
  <c r="Q48" i="205"/>
  <c r="R48" i="205" s="1"/>
  <c r="U48" i="205"/>
  <c r="Y48" i="205"/>
  <c r="K49" i="205"/>
  <c r="L49" i="205"/>
  <c r="Q49" i="205"/>
  <c r="U49" i="205"/>
  <c r="Y49" i="205"/>
  <c r="K50" i="205"/>
  <c r="L50" i="205"/>
  <c r="Q50" i="205"/>
  <c r="T50" i="205" s="1"/>
  <c r="R50" i="205"/>
  <c r="V50" i="205" s="1"/>
  <c r="U50" i="205"/>
  <c r="Y50" i="205"/>
  <c r="K51" i="205"/>
  <c r="L51" i="205"/>
  <c r="Q51" i="205"/>
  <c r="R51" i="205" s="1"/>
  <c r="U51" i="205"/>
  <c r="Y51" i="205"/>
  <c r="K52" i="205"/>
  <c r="L52" i="205"/>
  <c r="Q52" i="205"/>
  <c r="T52" i="205" s="1"/>
  <c r="S52" i="205"/>
  <c r="V52" i="205" s="1"/>
  <c r="U52" i="205"/>
  <c r="Y52" i="205"/>
  <c r="K53" i="205"/>
  <c r="L53" i="205"/>
  <c r="Q53" i="205"/>
  <c r="U53" i="205"/>
  <c r="Y53" i="205"/>
  <c r="K54" i="205"/>
  <c r="L54" i="205"/>
  <c r="Q54" i="205"/>
  <c r="T54" i="205" s="1"/>
  <c r="R54" i="205"/>
  <c r="U54" i="205"/>
  <c r="Y54" i="205"/>
  <c r="K55" i="205"/>
  <c r="L55" i="205"/>
  <c r="Q55" i="205"/>
  <c r="R55" i="205" s="1"/>
  <c r="U55" i="205"/>
  <c r="Y55" i="205"/>
  <c r="K56" i="205"/>
  <c r="L56" i="205"/>
  <c r="Q56" i="205"/>
  <c r="S56" i="205" s="1"/>
  <c r="V56" i="205" s="1"/>
  <c r="R56" i="205"/>
  <c r="U56" i="205"/>
  <c r="Y56" i="205"/>
  <c r="K57" i="205"/>
  <c r="L57" i="205"/>
  <c r="Q57" i="205"/>
  <c r="U57" i="205"/>
  <c r="Y57" i="205"/>
  <c r="K58" i="205"/>
  <c r="L58" i="205"/>
  <c r="Q58" i="205"/>
  <c r="T58" i="205" s="1"/>
  <c r="U58" i="205"/>
  <c r="Y58" i="205"/>
  <c r="K59" i="205"/>
  <c r="L59" i="205"/>
  <c r="Q59" i="205"/>
  <c r="R59" i="205" s="1"/>
  <c r="U59" i="205"/>
  <c r="Y59" i="205"/>
  <c r="K60" i="205"/>
  <c r="L60" i="205"/>
  <c r="Q60" i="205"/>
  <c r="R60" i="205"/>
  <c r="S60" i="205"/>
  <c r="V60" i="205" s="1"/>
  <c r="T60" i="205"/>
  <c r="U60" i="205"/>
  <c r="Y60" i="205"/>
  <c r="K61" i="205"/>
  <c r="L61" i="205"/>
  <c r="Q61" i="205"/>
  <c r="U61" i="205"/>
  <c r="Y61" i="205"/>
  <c r="K62" i="205"/>
  <c r="L62" i="205"/>
  <c r="Q62" i="205"/>
  <c r="T62" i="205" s="1"/>
  <c r="U62" i="205"/>
  <c r="Y62" i="205"/>
  <c r="K63" i="205"/>
  <c r="L63" i="205"/>
  <c r="Q63" i="205"/>
  <c r="R63" i="205" s="1"/>
  <c r="U63" i="205"/>
  <c r="Y63" i="205"/>
  <c r="K64" i="205"/>
  <c r="L64" i="205"/>
  <c r="Q64" i="205"/>
  <c r="T64" i="205" s="1"/>
  <c r="R64" i="205"/>
  <c r="U64" i="205"/>
  <c r="Y64" i="205"/>
  <c r="K65" i="205"/>
  <c r="L65" i="205"/>
  <c r="Q65" i="205"/>
  <c r="U65" i="205"/>
  <c r="Y65" i="205"/>
  <c r="K66" i="205"/>
  <c r="L66" i="205"/>
  <c r="Q66" i="205"/>
  <c r="T66" i="205" s="1"/>
  <c r="U66" i="205"/>
  <c r="Y66" i="205"/>
  <c r="K67" i="205"/>
  <c r="L67" i="205"/>
  <c r="Q67" i="205"/>
  <c r="R67" i="205" s="1"/>
  <c r="U67" i="205"/>
  <c r="Y67" i="205"/>
  <c r="K68" i="205"/>
  <c r="L68" i="205"/>
  <c r="Q68" i="205"/>
  <c r="R68" i="205" s="1"/>
  <c r="U68" i="205"/>
  <c r="Y68" i="205"/>
  <c r="K69" i="205"/>
  <c r="L69" i="205"/>
  <c r="Q69" i="205"/>
  <c r="U69" i="205"/>
  <c r="Y69" i="205"/>
  <c r="K70" i="205"/>
  <c r="L70" i="205"/>
  <c r="Q70" i="205"/>
  <c r="T70" i="205" s="1"/>
  <c r="R70" i="205"/>
  <c r="U70" i="205"/>
  <c r="Y70" i="205"/>
  <c r="K71" i="205"/>
  <c r="L71" i="205"/>
  <c r="Q71" i="205"/>
  <c r="R71" i="205" s="1"/>
  <c r="U71" i="205"/>
  <c r="Y71" i="205"/>
  <c r="K72" i="205"/>
  <c r="L72" i="205"/>
  <c r="Q72" i="205"/>
  <c r="R72" i="205" s="1"/>
  <c r="U72" i="205"/>
  <c r="Y72" i="205"/>
  <c r="K73" i="205"/>
  <c r="L73" i="205"/>
  <c r="Q73" i="205"/>
  <c r="U73" i="205"/>
  <c r="Y73" i="205"/>
  <c r="K74" i="205"/>
  <c r="L74" i="205"/>
  <c r="Q74" i="205"/>
  <c r="T74" i="205" s="1"/>
  <c r="S74" i="205"/>
  <c r="U74" i="205"/>
  <c r="Y74" i="205"/>
  <c r="K75" i="205"/>
  <c r="L75" i="205"/>
  <c r="Q75" i="205"/>
  <c r="R75" i="205" s="1"/>
  <c r="U75" i="205"/>
  <c r="Y75" i="205"/>
  <c r="K76" i="205"/>
  <c r="L76" i="205"/>
  <c r="Q76" i="205"/>
  <c r="T76" i="205" s="1"/>
  <c r="U76" i="205"/>
  <c r="Y76" i="205"/>
  <c r="K77" i="205"/>
  <c r="L77" i="205"/>
  <c r="Q77" i="205"/>
  <c r="U77" i="205"/>
  <c r="Y77" i="205"/>
  <c r="K78" i="205"/>
  <c r="L78" i="205"/>
  <c r="Q78" i="205"/>
  <c r="T78" i="205" s="1"/>
  <c r="U78" i="205"/>
  <c r="Y78" i="205"/>
  <c r="K79" i="205"/>
  <c r="L79" i="205"/>
  <c r="Q79" i="205"/>
  <c r="U79" i="205"/>
  <c r="Y79" i="205"/>
  <c r="K80" i="205"/>
  <c r="L80" i="205"/>
  <c r="Q80" i="205"/>
  <c r="R80" i="205" s="1"/>
  <c r="U80" i="205"/>
  <c r="Y80" i="205"/>
  <c r="K81" i="205"/>
  <c r="L81" i="205"/>
  <c r="Q81" i="205"/>
  <c r="U81" i="205"/>
  <c r="Y81" i="205"/>
  <c r="K82" i="205"/>
  <c r="L82" i="205"/>
  <c r="Q82" i="205"/>
  <c r="T82" i="205" s="1"/>
  <c r="S82" i="205"/>
  <c r="U82" i="205"/>
  <c r="Y82" i="205"/>
  <c r="K83" i="205"/>
  <c r="L83" i="205"/>
  <c r="Q83" i="205"/>
  <c r="U83" i="205"/>
  <c r="Y83" i="205"/>
  <c r="K84" i="205"/>
  <c r="L84" i="205"/>
  <c r="Q84" i="205"/>
  <c r="T84" i="205" s="1"/>
  <c r="R84" i="205"/>
  <c r="S84" i="205"/>
  <c r="V84" i="205" s="1"/>
  <c r="U84" i="205"/>
  <c r="Y84" i="205"/>
  <c r="K85" i="205"/>
  <c r="L85" i="205"/>
  <c r="Q85" i="205"/>
  <c r="U85" i="205"/>
  <c r="Y85" i="205"/>
  <c r="K86" i="205"/>
  <c r="L86" i="205"/>
  <c r="Q86" i="205"/>
  <c r="T86" i="205" s="1"/>
  <c r="U86" i="205"/>
  <c r="Y86" i="205"/>
  <c r="K87" i="205"/>
  <c r="L87" i="205"/>
  <c r="Q87" i="205"/>
  <c r="R87" i="205" s="1"/>
  <c r="U87" i="205"/>
  <c r="Y87" i="205"/>
  <c r="K88" i="205"/>
  <c r="L88" i="205"/>
  <c r="Q88" i="205"/>
  <c r="R88" i="205" s="1"/>
  <c r="U88" i="205"/>
  <c r="Y88" i="205"/>
  <c r="K89" i="205"/>
  <c r="L89" i="205"/>
  <c r="Q89" i="205"/>
  <c r="U89" i="205"/>
  <c r="Y89" i="205"/>
  <c r="K90" i="205"/>
  <c r="L90" i="205"/>
  <c r="Q90" i="205"/>
  <c r="T90" i="205" s="1"/>
  <c r="U90" i="205"/>
  <c r="Y90" i="205"/>
  <c r="K91" i="205"/>
  <c r="L91" i="205"/>
  <c r="Q91" i="205"/>
  <c r="S91" i="205" s="1"/>
  <c r="T91" i="205"/>
  <c r="U91" i="205"/>
  <c r="Y91" i="205"/>
  <c r="K92" i="205"/>
  <c r="L92" i="205"/>
  <c r="Q92" i="205"/>
  <c r="S92" i="205" s="1"/>
  <c r="V92" i="205" s="1"/>
  <c r="R92" i="205"/>
  <c r="U92" i="205"/>
  <c r="Y92" i="205"/>
  <c r="K93" i="205"/>
  <c r="L93" i="205"/>
  <c r="Q93" i="205"/>
  <c r="T93" i="205" s="1"/>
  <c r="U93" i="205"/>
  <c r="Y93" i="205"/>
  <c r="K94" i="205"/>
  <c r="L94" i="205"/>
  <c r="Q94" i="205"/>
  <c r="T94" i="205" s="1"/>
  <c r="U94" i="205"/>
  <c r="Y94" i="205"/>
  <c r="K95" i="205"/>
  <c r="L95" i="205"/>
  <c r="Q95" i="205"/>
  <c r="S95" i="205" s="1"/>
  <c r="R95" i="205"/>
  <c r="U95" i="205"/>
  <c r="Y95" i="205"/>
  <c r="K96" i="205"/>
  <c r="L96" i="205"/>
  <c r="Q96" i="205"/>
  <c r="T96" i="205" s="1"/>
  <c r="R96" i="205"/>
  <c r="U96" i="205"/>
  <c r="Y96" i="205"/>
  <c r="K97" i="205"/>
  <c r="L97" i="205"/>
  <c r="Q97" i="205"/>
  <c r="T97" i="205" s="1"/>
  <c r="U97" i="205"/>
  <c r="Y97" i="205"/>
  <c r="K98" i="205"/>
  <c r="L98" i="205"/>
  <c r="Q98" i="205"/>
  <c r="T98" i="205" s="1"/>
  <c r="V98" i="205" s="1"/>
  <c r="U98" i="205"/>
  <c r="Y98" i="205"/>
  <c r="K99" i="205"/>
  <c r="L99" i="205"/>
  <c r="Q99" i="205"/>
  <c r="S99" i="205" s="1"/>
  <c r="U99" i="205"/>
  <c r="Y99" i="205"/>
  <c r="K100" i="205"/>
  <c r="L100" i="205"/>
  <c r="Q100" i="205"/>
  <c r="T100" i="205" s="1"/>
  <c r="R100" i="205"/>
  <c r="S100" i="205"/>
  <c r="V100" i="205" s="1"/>
  <c r="U100" i="205"/>
  <c r="Y100" i="205"/>
  <c r="K101" i="205"/>
  <c r="L101" i="205"/>
  <c r="Q101" i="205"/>
  <c r="R101" i="205" s="1"/>
  <c r="S101" i="205"/>
  <c r="U101" i="205"/>
  <c r="Y101" i="205"/>
  <c r="K102" i="205"/>
  <c r="L102" i="205"/>
  <c r="Q102" i="205"/>
  <c r="T102" i="205" s="1"/>
  <c r="R102" i="205"/>
  <c r="V102" i="205" s="1"/>
  <c r="S102" i="205"/>
  <c r="U102" i="205"/>
  <c r="Y102" i="205"/>
  <c r="K103" i="205"/>
  <c r="L103" i="205"/>
  <c r="Q103" i="205"/>
  <c r="S103" i="205" s="1"/>
  <c r="V103" i="205" s="1"/>
  <c r="U103" i="205"/>
  <c r="Y103" i="205"/>
  <c r="K104" i="205"/>
  <c r="L104" i="205"/>
  <c r="Q104" i="205"/>
  <c r="S104" i="205" s="1"/>
  <c r="V104" i="205" s="1"/>
  <c r="R104" i="205"/>
  <c r="T104" i="205"/>
  <c r="U104" i="205"/>
  <c r="Y104" i="205"/>
  <c r="K105" i="205"/>
  <c r="L105" i="205"/>
  <c r="Q105" i="205"/>
  <c r="S105" i="205" s="1"/>
  <c r="U105" i="205"/>
  <c r="Y105" i="205"/>
  <c r="W104" i="205" l="1"/>
  <c r="R105" i="205"/>
  <c r="V105" i="205" s="1"/>
  <c r="W105" i="205" s="1"/>
  <c r="R99" i="205"/>
  <c r="S96" i="205"/>
  <c r="V96" i="205" s="1"/>
  <c r="W96" i="205" s="1"/>
  <c r="R74" i="205"/>
  <c r="V74" i="205" s="1"/>
  <c r="W74" i="205" s="1"/>
  <c r="S70" i="205"/>
  <c r="S64" i="205"/>
  <c r="V64" i="205" s="1"/>
  <c r="W64" i="205" s="1"/>
  <c r="R52" i="205"/>
  <c r="T32" i="205"/>
  <c r="V32" i="205" s="1"/>
  <c r="W32" i="205" s="1"/>
  <c r="S28" i="205"/>
  <c r="V28" i="205" s="1"/>
  <c r="W28" i="205" s="1"/>
  <c r="Y24" i="205"/>
  <c r="T36" i="205"/>
  <c r="S18" i="205"/>
  <c r="R86" i="205"/>
  <c r="V86" i="205" s="1"/>
  <c r="W86" i="205" s="1"/>
  <c r="R82" i="205"/>
  <c r="S76" i="205"/>
  <c r="V76" i="205" s="1"/>
  <c r="W76" i="205" s="1"/>
  <c r="T72" i="205"/>
  <c r="S50" i="205"/>
  <c r="R44" i="205"/>
  <c r="R76" i="205"/>
  <c r="S72" i="205"/>
  <c r="V72" i="205" s="1"/>
  <c r="W72" i="205" s="1"/>
  <c r="S62" i="205"/>
  <c r="S23" i="205"/>
  <c r="S19" i="205"/>
  <c r="T103" i="205"/>
  <c r="S94" i="205"/>
  <c r="V94" i="205" s="1"/>
  <c r="W94" i="205" s="1"/>
  <c r="S90" i="205"/>
  <c r="R62" i="205"/>
  <c r="S58" i="205"/>
  <c r="S34" i="205"/>
  <c r="T24" i="205"/>
  <c r="R23" i="205"/>
  <c r="V23" i="205" s="1"/>
  <c r="W23" i="205" s="1"/>
  <c r="R19" i="205"/>
  <c r="V19" i="205" s="1"/>
  <c r="W19" i="205" s="1"/>
  <c r="Y18" i="205"/>
  <c r="R90" i="205"/>
  <c r="V90" i="205" s="1"/>
  <c r="W90" i="205" s="1"/>
  <c r="T80" i="205"/>
  <c r="R58" i="205"/>
  <c r="V58" i="205" s="1"/>
  <c r="W58" i="205" s="1"/>
  <c r="R42" i="205"/>
  <c r="V42" i="205" s="1"/>
  <c r="W42" i="205" s="1"/>
  <c r="S24" i="205"/>
  <c r="T20" i="205"/>
  <c r="W60" i="205"/>
  <c r="W44" i="205"/>
  <c r="W52" i="205"/>
  <c r="W98" i="205"/>
  <c r="W92" i="205"/>
  <c r="W56" i="205"/>
  <c r="W40" i="205"/>
  <c r="W84" i="205"/>
  <c r="R103" i="205"/>
  <c r="R94" i="205"/>
  <c r="T92" i="205"/>
  <c r="S80" i="205"/>
  <c r="V80" i="205" s="1"/>
  <c r="W80" i="205" s="1"/>
  <c r="S78" i="205"/>
  <c r="T56" i="205"/>
  <c r="S36" i="205"/>
  <c r="V36" i="205" s="1"/>
  <c r="W36" i="205" s="1"/>
  <c r="W103" i="205"/>
  <c r="R78" i="205"/>
  <c r="V78" i="205" s="1"/>
  <c r="W78" i="205" s="1"/>
  <c r="S54" i="205"/>
  <c r="W100" i="205"/>
  <c r="R91" i="205"/>
  <c r="V91" i="205" s="1"/>
  <c r="W91" i="205" s="1"/>
  <c r="T88" i="205"/>
  <c r="T68" i="205"/>
  <c r="W50" i="205"/>
  <c r="T48" i="205"/>
  <c r="T105" i="205"/>
  <c r="S88" i="205"/>
  <c r="V88" i="205" s="1"/>
  <c r="W88" i="205" s="1"/>
  <c r="S68" i="205"/>
  <c r="V68" i="205" s="1"/>
  <c r="W68" i="205" s="1"/>
  <c r="S66" i="205"/>
  <c r="S48" i="205"/>
  <c r="V48" i="205" s="1"/>
  <c r="W48" i="205" s="1"/>
  <c r="S46" i="205"/>
  <c r="T44" i="205"/>
  <c r="S98" i="205"/>
  <c r="R98" i="205"/>
  <c r="S86" i="205"/>
  <c r="R66" i="205"/>
  <c r="V66" i="205" s="1"/>
  <c r="W66" i="205" s="1"/>
  <c r="R46" i="205"/>
  <c r="S42" i="205"/>
  <c r="W102" i="205"/>
  <c r="T95" i="205"/>
  <c r="V95" i="205" s="1"/>
  <c r="W95" i="205" s="1"/>
  <c r="R93" i="205"/>
  <c r="S93" i="205"/>
  <c r="S87" i="205"/>
  <c r="T87" i="205"/>
  <c r="V87" i="205" s="1"/>
  <c r="W87" i="205" s="1"/>
  <c r="V62" i="205"/>
  <c r="W62" i="205" s="1"/>
  <c r="R61" i="205"/>
  <c r="S61" i="205"/>
  <c r="T61" i="205"/>
  <c r="R21" i="205"/>
  <c r="S21" i="205"/>
  <c r="T21" i="205"/>
  <c r="R81" i="205"/>
  <c r="S81" i="205"/>
  <c r="T81" i="205"/>
  <c r="R41" i="205"/>
  <c r="V41" i="205" s="1"/>
  <c r="W41" i="205" s="1"/>
  <c r="S41" i="205"/>
  <c r="T41" i="205"/>
  <c r="R49" i="205"/>
  <c r="S49" i="205"/>
  <c r="T49" i="205"/>
  <c r="R73" i="205"/>
  <c r="S73" i="205"/>
  <c r="T73" i="205"/>
  <c r="T101" i="205"/>
  <c r="V101" i="205" s="1"/>
  <c r="W101" i="205" s="1"/>
  <c r="T99" i="205"/>
  <c r="R97" i="205"/>
  <c r="V97" i="205" s="1"/>
  <c r="W97" i="205" s="1"/>
  <c r="S97" i="205"/>
  <c r="R85" i="205"/>
  <c r="S85" i="205"/>
  <c r="T85" i="205"/>
  <c r="R79" i="205"/>
  <c r="S79" i="205"/>
  <c r="T79" i="205"/>
  <c r="V70" i="205"/>
  <c r="W70" i="205" s="1"/>
  <c r="R69" i="205"/>
  <c r="S69" i="205"/>
  <c r="T69" i="205"/>
  <c r="V38" i="205"/>
  <c r="W38" i="205" s="1"/>
  <c r="R37" i="205"/>
  <c r="V37" i="205" s="1"/>
  <c r="W37" i="205" s="1"/>
  <c r="S37" i="205"/>
  <c r="T37" i="205"/>
  <c r="R89" i="205"/>
  <c r="S89" i="205"/>
  <c r="T89" i="205"/>
  <c r="R57" i="205"/>
  <c r="V57" i="205" s="1"/>
  <c r="W57" i="205" s="1"/>
  <c r="S57" i="205"/>
  <c r="T57" i="205"/>
  <c r="V99" i="205"/>
  <c r="W99" i="205" s="1"/>
  <c r="R77" i="205"/>
  <c r="S77" i="205"/>
  <c r="T77" i="205"/>
  <c r="V46" i="205"/>
  <c r="W46" i="205" s="1"/>
  <c r="R45" i="205"/>
  <c r="V45" i="205" s="1"/>
  <c r="W45" i="205" s="1"/>
  <c r="S45" i="205"/>
  <c r="T45" i="205"/>
  <c r="R33" i="205"/>
  <c r="S33" i="205"/>
  <c r="T33" i="205"/>
  <c r="R83" i="205"/>
  <c r="S83" i="205"/>
  <c r="T83" i="205"/>
  <c r="R65" i="205"/>
  <c r="S65" i="205"/>
  <c r="T65" i="205"/>
  <c r="V35" i="205"/>
  <c r="W35" i="205" s="1"/>
  <c r="R29" i="205"/>
  <c r="S29" i="205"/>
  <c r="T29" i="205"/>
  <c r="V82" i="205"/>
  <c r="W82" i="205" s="1"/>
  <c r="V54" i="205"/>
  <c r="W54" i="205" s="1"/>
  <c r="R53" i="205"/>
  <c r="V53" i="205" s="1"/>
  <c r="W53" i="205" s="1"/>
  <c r="S53" i="205"/>
  <c r="T53" i="205"/>
  <c r="R25" i="205"/>
  <c r="S25" i="205"/>
  <c r="T25" i="205"/>
  <c r="T75" i="205"/>
  <c r="T71" i="205"/>
  <c r="T67" i="205"/>
  <c r="T63" i="205"/>
  <c r="T59" i="205"/>
  <c r="T55" i="205"/>
  <c r="T51" i="205"/>
  <c r="T47" i="205"/>
  <c r="T43" i="205"/>
  <c r="T39" i="205"/>
  <c r="T35" i="205"/>
  <c r="R34" i="205"/>
  <c r="T31" i="205"/>
  <c r="R30" i="205"/>
  <c r="U30" i="205" s="1"/>
  <c r="W30" i="205" s="1"/>
  <c r="T27" i="205"/>
  <c r="R26" i="205"/>
  <c r="V26" i="205" s="1"/>
  <c r="W26" i="205" s="1"/>
  <c r="R22" i="205"/>
  <c r="V22" i="205" s="1"/>
  <c r="W22" i="205" s="1"/>
  <c r="R18" i="205"/>
  <c r="S75" i="205"/>
  <c r="V75" i="205" s="1"/>
  <c r="W75" i="205" s="1"/>
  <c r="S71" i="205"/>
  <c r="V71" i="205" s="1"/>
  <c r="W71" i="205" s="1"/>
  <c r="S67" i="205"/>
  <c r="V67" i="205" s="1"/>
  <c r="W67" i="205" s="1"/>
  <c r="S63" i="205"/>
  <c r="V63" i="205" s="1"/>
  <c r="W63" i="205" s="1"/>
  <c r="S59" i="205"/>
  <c r="V59" i="205" s="1"/>
  <c r="W59" i="205" s="1"/>
  <c r="S55" i="205"/>
  <c r="V55" i="205" s="1"/>
  <c r="W55" i="205" s="1"/>
  <c r="S51" i="205"/>
  <c r="V51" i="205" s="1"/>
  <c r="W51" i="205" s="1"/>
  <c r="S47" i="205"/>
  <c r="V47" i="205" s="1"/>
  <c r="W47" i="205" s="1"/>
  <c r="S43" i="205"/>
  <c r="V43" i="205" s="1"/>
  <c r="W43" i="205" s="1"/>
  <c r="S39" i="205"/>
  <c r="V39" i="205" s="1"/>
  <c r="W39" i="205" s="1"/>
  <c r="S35" i="205"/>
  <c r="S31" i="205"/>
  <c r="S27" i="205"/>
  <c r="S20" i="205"/>
  <c r="V34" i="205" l="1"/>
  <c r="W34" i="205" s="1"/>
  <c r="U18" i="205"/>
  <c r="W18" i="205" s="1"/>
  <c r="U24" i="205"/>
  <c r="W24" i="205" s="1"/>
  <c r="V27" i="205"/>
  <c r="W27" i="205" s="1"/>
  <c r="V20" i="205"/>
  <c r="W20" i="205" s="1"/>
  <c r="V31" i="205"/>
  <c r="W31" i="205" s="1"/>
  <c r="V25" i="205"/>
  <c r="W25" i="205" s="1"/>
  <c r="V21" i="205"/>
  <c r="W21" i="205" s="1"/>
  <c r="V65" i="205"/>
  <c r="W65" i="205" s="1"/>
  <c r="V29" i="205"/>
  <c r="W29" i="205" s="1"/>
  <c r="V33" i="205"/>
  <c r="W33" i="205" s="1"/>
  <c r="V79" i="205"/>
  <c r="W79" i="205" s="1"/>
  <c r="V81" i="205"/>
  <c r="W81" i="205" s="1"/>
  <c r="V89" i="205"/>
  <c r="W89" i="205" s="1"/>
  <c r="V49" i="205"/>
  <c r="W49" i="205" s="1"/>
  <c r="V93" i="205"/>
  <c r="W93" i="205" s="1"/>
  <c r="V83" i="205"/>
  <c r="W83" i="205" s="1"/>
  <c r="V77" i="205"/>
  <c r="W77" i="205" s="1"/>
  <c r="V69" i="205"/>
  <c r="W69" i="205" s="1"/>
  <c r="V85" i="205"/>
  <c r="W85" i="205" s="1"/>
  <c r="V73" i="205"/>
  <c r="W73" i="205" s="1"/>
  <c r="V61" i="205"/>
  <c r="W61" i="205" s="1"/>
  <c r="M69" i="86"/>
  <c r="L69" i="86"/>
  <c r="L68" i="86"/>
  <c r="M68" i="86" s="1"/>
  <c r="L67" i="86"/>
  <c r="M67" i="86" s="1"/>
  <c r="L66" i="86"/>
  <c r="M66" i="86" s="1"/>
  <c r="L65" i="86"/>
  <c r="M65" i="86" s="1"/>
  <c r="L64" i="86"/>
  <c r="M64" i="86" s="1"/>
  <c r="L63" i="86"/>
  <c r="M63" i="86" s="1"/>
  <c r="C26" i="145" l="1"/>
  <c r="C39" i="145"/>
  <c r="C38" i="145"/>
  <c r="C37" i="145"/>
  <c r="E39" i="145"/>
  <c r="D39" i="145"/>
  <c r="E38" i="145"/>
  <c r="D38" i="145"/>
  <c r="E37" i="145"/>
  <c r="D37" i="145"/>
  <c r="E35" i="145"/>
  <c r="AI35" i="145" s="1"/>
  <c r="D35" i="145"/>
  <c r="E34" i="145"/>
  <c r="D34" i="145"/>
  <c r="C34" i="145"/>
  <c r="E33" i="145"/>
  <c r="AI33" i="145" s="1"/>
  <c r="D33" i="145"/>
  <c r="E32" i="145"/>
  <c r="AI32" i="145" s="1"/>
  <c r="D32" i="145"/>
  <c r="E30" i="145"/>
  <c r="D30" i="145"/>
  <c r="E29" i="145"/>
  <c r="D29" i="145"/>
  <c r="C29" i="145"/>
  <c r="E28" i="145"/>
  <c r="D28" i="145"/>
  <c r="E27" i="145"/>
  <c r="D27" i="145"/>
  <c r="E23" i="145"/>
  <c r="D23" i="145"/>
  <c r="E21" i="145"/>
  <c r="D21" i="145"/>
  <c r="E20" i="145"/>
  <c r="D20" i="145"/>
  <c r="E19" i="145"/>
  <c r="D19" i="145"/>
  <c r="D18" i="145"/>
  <c r="E18" i="145"/>
  <c r="E16" i="145"/>
  <c r="D16" i="145"/>
  <c r="E15" i="145"/>
  <c r="D15" i="145"/>
  <c r="E12" i="145"/>
  <c r="D12" i="145"/>
  <c r="L34" i="145" l="1"/>
  <c r="AI34" i="145"/>
  <c r="AO34" i="145" s="1"/>
  <c r="L37" i="145"/>
  <c r="AI37" i="145"/>
  <c r="L27" i="145"/>
  <c r="AI27" i="145"/>
  <c r="AN27" i="145" s="1"/>
  <c r="L28" i="145"/>
  <c r="AI28" i="145"/>
  <c r="L12" i="145"/>
  <c r="AI12" i="145"/>
  <c r="L20" i="145"/>
  <c r="AI20" i="145"/>
  <c r="L23" i="145"/>
  <c r="AI23" i="145"/>
  <c r="L29" i="145"/>
  <c r="AI29" i="145"/>
  <c r="AO29" i="145" s="1"/>
  <c r="L19" i="145"/>
  <c r="AI19" i="145"/>
  <c r="L21" i="145"/>
  <c r="AI21" i="145"/>
  <c r="L15" i="145"/>
  <c r="AI15" i="145"/>
  <c r="L30" i="145"/>
  <c r="AI30" i="145"/>
  <c r="L16" i="145"/>
  <c r="AI16" i="145"/>
  <c r="L18" i="145"/>
  <c r="AI18" i="145"/>
  <c r="L33" i="145"/>
  <c r="L35" i="145"/>
  <c r="L39" i="145"/>
  <c r="L38" i="145"/>
  <c r="L32" i="145"/>
  <c r="B24" i="85" l="1"/>
  <c r="B25" i="85" s="1"/>
  <c r="B26" i="85" s="1"/>
  <c r="B27" i="85" s="1"/>
  <c r="B28" i="85" s="1"/>
  <c r="B29" i="85" s="1"/>
  <c r="B30" i="85" s="1"/>
  <c r="B31" i="85" s="1"/>
  <c r="B32" i="85" s="1"/>
  <c r="B33" i="85" s="1"/>
  <c r="B34" i="85" s="1"/>
  <c r="B35" i="85" s="1"/>
  <c r="B36" i="85" s="1"/>
  <c r="B37" i="85" s="1"/>
  <c r="B38" i="85" s="1"/>
  <c r="B39" i="85" s="1"/>
  <c r="B40" i="85" s="1"/>
  <c r="B41" i="85" s="1"/>
  <c r="B42" i="85" s="1"/>
  <c r="G42" i="85"/>
  <c r="G41" i="85"/>
  <c r="G40" i="85"/>
  <c r="G39" i="85"/>
  <c r="G38" i="85"/>
  <c r="G37" i="85"/>
  <c r="G36" i="85"/>
  <c r="G35" i="85"/>
  <c r="G34" i="85"/>
  <c r="G33" i="85"/>
  <c r="G32" i="85"/>
  <c r="G31" i="85"/>
  <c r="G30" i="85"/>
  <c r="G29" i="85"/>
  <c r="G28" i="85"/>
  <c r="G27" i="85"/>
  <c r="G26" i="85"/>
  <c r="G25" i="85"/>
  <c r="G24" i="85"/>
  <c r="D23" i="85"/>
  <c r="G23" i="85" s="1"/>
  <c r="E23" i="85"/>
  <c r="C23" i="85"/>
  <c r="B43" i="85" l="1"/>
  <c r="B44" i="85" s="1"/>
  <c r="B45" i="85" s="1"/>
  <c r="B46" i="85" s="1"/>
  <c r="B47" i="85" s="1"/>
  <c r="W25" i="153" l="1"/>
  <c r="W26" i="153" s="1"/>
  <c r="W27" i="153" s="1"/>
  <c r="W28" i="153"/>
  <c r="W29" i="153" s="1"/>
  <c r="AH27" i="205" l="1"/>
  <c r="AJ27" i="205" s="1"/>
  <c r="AM27" i="205" s="1"/>
  <c r="AO27" i="205" s="1"/>
  <c r="AH26" i="205"/>
  <c r="AJ26" i="205" s="1"/>
  <c r="AM26" i="205" s="1"/>
  <c r="AO26" i="205" s="1"/>
  <c r="AH25" i="205"/>
  <c r="AJ25" i="205" s="1"/>
  <c r="AM25" i="205" s="1"/>
  <c r="AO25" i="205" s="1"/>
  <c r="AH24" i="205"/>
  <c r="AJ24" i="205" s="1"/>
  <c r="AM24" i="205" s="1"/>
  <c r="AO24" i="205" s="1"/>
  <c r="AH23" i="205"/>
  <c r="AJ23" i="205" s="1"/>
  <c r="AM23" i="205" s="1"/>
  <c r="AO23" i="205" s="1"/>
  <c r="AH18" i="205"/>
  <c r="AJ18" i="205" s="1"/>
  <c r="AM18" i="205" s="1"/>
  <c r="AO18" i="205" s="1"/>
  <c r="Q17" i="205"/>
  <c r="T17" i="205" s="1"/>
  <c r="K17" i="205"/>
  <c r="M15" i="205"/>
  <c r="B15" i="205"/>
  <c r="B16" i="205" s="1"/>
  <c r="B17" i="205" s="1"/>
  <c r="B18" i="205" s="1"/>
  <c r="B19" i="205" s="1"/>
  <c r="B20" i="205" s="1"/>
  <c r="B21" i="205" s="1"/>
  <c r="B23" i="205" s="1"/>
  <c r="B24" i="205" s="1"/>
  <c r="B25" i="205" s="1"/>
  <c r="B26" i="205" s="1"/>
  <c r="B27" i="205" s="1"/>
  <c r="B28" i="205" s="1"/>
  <c r="B29" i="205" s="1"/>
  <c r="B30" i="205" s="1"/>
  <c r="B31" i="205" s="1"/>
  <c r="B32" i="205" s="1"/>
  <c r="A2" i="146"/>
  <c r="A3" i="146" s="1"/>
  <c r="A4" i="146" s="1"/>
  <c r="A5" i="146" s="1"/>
  <c r="A6" i="146" s="1"/>
  <c r="A7" i="146" s="1"/>
  <c r="A8" i="146" s="1"/>
  <c r="A9" i="146" s="1"/>
  <c r="A10" i="146" s="1"/>
  <c r="A11" i="146" s="1"/>
  <c r="A12" i="146" s="1"/>
  <c r="A13" i="146" s="1"/>
  <c r="A14" i="146" s="1"/>
  <c r="A15" i="146" s="1"/>
  <c r="A16" i="146" s="1"/>
  <c r="A17" i="146" s="1"/>
  <c r="A18" i="146" s="1"/>
  <c r="A19" i="146" s="1"/>
  <c r="A20" i="146" s="1"/>
  <c r="A21" i="146" s="1"/>
  <c r="A22" i="146" s="1"/>
  <c r="A23" i="146" s="1"/>
  <c r="A24" i="146" s="1"/>
  <c r="A25" i="146" s="1"/>
  <c r="A26" i="146" s="1"/>
  <c r="A27" i="146" s="1"/>
  <c r="A28" i="146" s="1"/>
  <c r="D1" i="146"/>
  <c r="E1" i="146" s="1"/>
  <c r="F1" i="146" s="1"/>
  <c r="G1" i="146" s="1"/>
  <c r="H1" i="146" s="1"/>
  <c r="I1" i="146" s="1"/>
  <c r="J1" i="146" s="1"/>
  <c r="K1" i="146" s="1"/>
  <c r="L1" i="146" s="1"/>
  <c r="M1" i="146" s="1"/>
  <c r="N1" i="146" s="1"/>
  <c r="O1" i="146" s="1"/>
  <c r="P1" i="146" s="1"/>
  <c r="Q1" i="146" s="1"/>
  <c r="R1" i="146" s="1"/>
  <c r="S1" i="146" s="1"/>
  <c r="T1" i="146" s="1"/>
  <c r="U1" i="146" s="1"/>
  <c r="V1" i="146" s="1"/>
  <c r="W1" i="146" l="1"/>
  <c r="X1" i="146" s="1"/>
  <c r="Y1" i="146" s="1"/>
  <c r="Z1" i="146" s="1"/>
  <c r="Z11" i="205" s="1"/>
  <c r="Z17" i="205" s="1"/>
  <c r="P11" i="207"/>
  <c r="K16" i="205"/>
  <c r="K15" i="205" s="1"/>
  <c r="O15" i="205" s="1"/>
  <c r="P11" i="205"/>
  <c r="P17" i="205"/>
  <c r="B60" i="205"/>
  <c r="B61" i="205" s="1"/>
  <c r="B62" i="205" s="1"/>
  <c r="B33" i="205"/>
  <c r="B34" i="205" s="1"/>
  <c r="B35" i="205" s="1"/>
  <c r="R17" i="205"/>
  <c r="S17" i="205"/>
  <c r="AA1" i="146" l="1"/>
  <c r="AB1" i="146" s="1"/>
  <c r="AC1" i="146" s="1"/>
  <c r="AD1" i="146" s="1"/>
  <c r="AE1" i="146" s="1"/>
  <c r="AF1" i="146" s="1"/>
  <c r="AG1" i="146" s="1"/>
  <c r="AH1" i="146" s="1"/>
  <c r="AI1" i="146" s="1"/>
  <c r="AJ1" i="146" s="1"/>
  <c r="Z11" i="207"/>
  <c r="Z31" i="205"/>
  <c r="Z33" i="205"/>
  <c r="Z34" i="205"/>
  <c r="Z40" i="205"/>
  <c r="Z55" i="205"/>
  <c r="Z56" i="205"/>
  <c r="Z58" i="205"/>
  <c r="Z61" i="205"/>
  <c r="Z63" i="205"/>
  <c r="Z65" i="205"/>
  <c r="Z88" i="205"/>
  <c r="Z90" i="205"/>
  <c r="Z91" i="205"/>
  <c r="Z92" i="205"/>
  <c r="Z93" i="205"/>
  <c r="Z95" i="205"/>
  <c r="Z27" i="205"/>
  <c r="Z29" i="205"/>
  <c r="Z30" i="205"/>
  <c r="Z32" i="205"/>
  <c r="Z49" i="205"/>
  <c r="Z51" i="205"/>
  <c r="Z53" i="205"/>
  <c r="Z54" i="205"/>
  <c r="Z60" i="205"/>
  <c r="Z62" i="205"/>
  <c r="Z64" i="205"/>
  <c r="Z87" i="205"/>
  <c r="Z96" i="205"/>
  <c r="Z100" i="205"/>
  <c r="Z101" i="205"/>
  <c r="Z103" i="205"/>
  <c r="Z105" i="205"/>
  <c r="Z18" i="205"/>
  <c r="Z21" i="205"/>
  <c r="Z22" i="205"/>
  <c r="Z25" i="205"/>
  <c r="Z26" i="205"/>
  <c r="Z28" i="205"/>
  <c r="Z48" i="205"/>
  <c r="Z50" i="205"/>
  <c r="Z52" i="205"/>
  <c r="Z81" i="205"/>
  <c r="Z83" i="205"/>
  <c r="Z85" i="205"/>
  <c r="Z86" i="205"/>
  <c r="Z102" i="205"/>
  <c r="Z19" i="205"/>
  <c r="Z20" i="205"/>
  <c r="Z23" i="205"/>
  <c r="Z24" i="205"/>
  <c r="Z47" i="205"/>
  <c r="Z79" i="205"/>
  <c r="Z80" i="205"/>
  <c r="Z82" i="205"/>
  <c r="Z84" i="205"/>
  <c r="Z46" i="205"/>
  <c r="Z69" i="205"/>
  <c r="Z71" i="205"/>
  <c r="Z78" i="205"/>
  <c r="Z45" i="205"/>
  <c r="Z68" i="205"/>
  <c r="Z70" i="205"/>
  <c r="Z73" i="205"/>
  <c r="Z75" i="205"/>
  <c r="Z77" i="205"/>
  <c r="Z37" i="205"/>
  <c r="Z39" i="205"/>
  <c r="Z43" i="205"/>
  <c r="Z44" i="205"/>
  <c r="Z67" i="205"/>
  <c r="Z72" i="205"/>
  <c r="Z74" i="205"/>
  <c r="Z76" i="205"/>
  <c r="Z35" i="205"/>
  <c r="Z36" i="205"/>
  <c r="Z38" i="205"/>
  <c r="Z41" i="205"/>
  <c r="Z42" i="205"/>
  <c r="Z57" i="205"/>
  <c r="Z59" i="205"/>
  <c r="Z66" i="205"/>
  <c r="Z89" i="205"/>
  <c r="Z98" i="205"/>
  <c r="Z99" i="205"/>
  <c r="Z94" i="205"/>
  <c r="Z97" i="205"/>
  <c r="Z104" i="205"/>
  <c r="P46" i="205"/>
  <c r="P69" i="205"/>
  <c r="P71" i="205"/>
  <c r="P74" i="205"/>
  <c r="P76" i="205"/>
  <c r="P78" i="205"/>
  <c r="P98" i="205"/>
  <c r="P38" i="205"/>
  <c r="P40" i="205"/>
  <c r="AB40" i="205" s="1"/>
  <c r="P44" i="205"/>
  <c r="P45" i="205"/>
  <c r="P68" i="205"/>
  <c r="P73" i="205"/>
  <c r="P75" i="205"/>
  <c r="P77" i="205"/>
  <c r="P36" i="205"/>
  <c r="P37" i="205"/>
  <c r="P39" i="205"/>
  <c r="P42" i="205"/>
  <c r="P43" i="205"/>
  <c r="P58" i="205"/>
  <c r="P60" i="205"/>
  <c r="P67" i="205"/>
  <c r="P90" i="205"/>
  <c r="P99" i="205"/>
  <c r="P100" i="205"/>
  <c r="P96" i="205"/>
  <c r="P32" i="205"/>
  <c r="P34" i="205"/>
  <c r="P35" i="205"/>
  <c r="P41" i="205"/>
  <c r="P56" i="205"/>
  <c r="P57" i="205"/>
  <c r="P59" i="205"/>
  <c r="P62" i="205"/>
  <c r="P64" i="205"/>
  <c r="P66" i="205"/>
  <c r="P89" i="205"/>
  <c r="P91" i="205"/>
  <c r="P92" i="205"/>
  <c r="P93" i="205"/>
  <c r="P94" i="205"/>
  <c r="P95" i="205"/>
  <c r="P28" i="205"/>
  <c r="P30" i="205"/>
  <c r="P31" i="205"/>
  <c r="P33" i="205"/>
  <c r="P50" i="205"/>
  <c r="P52" i="205"/>
  <c r="P54" i="205"/>
  <c r="P55" i="205"/>
  <c r="P61" i="205"/>
  <c r="P63" i="205"/>
  <c r="P65" i="205"/>
  <c r="P88" i="205"/>
  <c r="P97" i="205"/>
  <c r="P101" i="205"/>
  <c r="P102" i="205"/>
  <c r="P104" i="205"/>
  <c r="P18" i="205"/>
  <c r="P19" i="205"/>
  <c r="P22" i="205"/>
  <c r="P23" i="205"/>
  <c r="P26" i="205"/>
  <c r="P27" i="205"/>
  <c r="P29" i="205"/>
  <c r="P49" i="205"/>
  <c r="P51" i="205"/>
  <c r="P53" i="205"/>
  <c r="P82" i="205"/>
  <c r="P84" i="205"/>
  <c r="P86" i="205"/>
  <c r="P87" i="205"/>
  <c r="P103" i="205"/>
  <c r="P20" i="205"/>
  <c r="P21" i="205"/>
  <c r="P24" i="205"/>
  <c r="P25" i="205"/>
  <c r="P48" i="205"/>
  <c r="P80" i="205"/>
  <c r="P81" i="205"/>
  <c r="P83" i="205"/>
  <c r="P85" i="205"/>
  <c r="P105" i="205"/>
  <c r="P47" i="205"/>
  <c r="P70" i="205"/>
  <c r="P72" i="205"/>
  <c r="P79" i="205"/>
  <c r="O16" i="205"/>
  <c r="O43" i="205" s="1"/>
  <c r="B63" i="205"/>
  <c r="B64" i="205" s="1"/>
  <c r="B65" i="205" s="1"/>
  <c r="B66" i="205" s="1"/>
  <c r="B67" i="205" s="1"/>
  <c r="B68" i="205" s="1"/>
  <c r="B69" i="205" s="1"/>
  <c r="B70" i="205" s="1"/>
  <c r="B71" i="205" s="1"/>
  <c r="B72" i="205" s="1"/>
  <c r="B73" i="205" s="1"/>
  <c r="B74" i="205" s="1"/>
  <c r="B75" i="205" s="1"/>
  <c r="B76" i="205" s="1"/>
  <c r="B77" i="205" s="1"/>
  <c r="B78" i="205" s="1"/>
  <c r="B79" i="205" s="1"/>
  <c r="B80" i="205" s="1"/>
  <c r="B81" i="205" s="1"/>
  <c r="B82" i="205" s="1"/>
  <c r="B83" i="205" s="1"/>
  <c r="B84" i="205" s="1"/>
  <c r="B85" i="205" s="1"/>
  <c r="B86" i="205" s="1"/>
  <c r="B87" i="205" s="1"/>
  <c r="B88" i="205" s="1"/>
  <c r="B89" i="205" s="1"/>
  <c r="B36" i="205"/>
  <c r="B37" i="205" s="1"/>
  <c r="B38" i="205" s="1"/>
  <c r="B39" i="205" s="1"/>
  <c r="B40" i="205" s="1"/>
  <c r="B41" i="205" s="1"/>
  <c r="B42" i="205" s="1"/>
  <c r="B43" i="205" s="1"/>
  <c r="B44" i="205" s="1"/>
  <c r="B45" i="205" s="1"/>
  <c r="B46" i="205" s="1"/>
  <c r="B47" i="205" s="1"/>
  <c r="B48" i="205" s="1"/>
  <c r="B49" i="205" s="1"/>
  <c r="B50" i="205" s="1"/>
  <c r="B51" i="205" s="1"/>
  <c r="B52" i="205" s="1"/>
  <c r="B53" i="205" s="1"/>
  <c r="B54" i="205" s="1"/>
  <c r="B55" i="205" s="1"/>
  <c r="B56" i="205" s="1"/>
  <c r="B57" i="205" s="1"/>
  <c r="B58" i="205" s="1"/>
  <c r="B59" i="205" s="1"/>
  <c r="B93" i="205"/>
  <c r="B94" i="205" s="1"/>
  <c r="B95" i="205" s="1"/>
  <c r="B96" i="205" s="1"/>
  <c r="B97" i="205" s="1"/>
  <c r="B98" i="205" s="1"/>
  <c r="B99" i="205" s="1"/>
  <c r="B100" i="205" s="1"/>
  <c r="B101" i="205" s="1"/>
  <c r="B102" i="205" s="1"/>
  <c r="B103" i="205" s="1"/>
  <c r="B104" i="205" s="1"/>
  <c r="B90" i="205"/>
  <c r="B91" i="205" s="1"/>
  <c r="B92" i="205" s="1"/>
  <c r="U17" i="205"/>
  <c r="O17" i="205" l="1"/>
  <c r="O89" i="205"/>
  <c r="O105" i="205"/>
  <c r="O98" i="205"/>
  <c r="O57" i="205"/>
  <c r="O73" i="205"/>
  <c r="O21" i="205"/>
  <c r="O36" i="205"/>
  <c r="O87" i="205"/>
  <c r="O76" i="205"/>
  <c r="O52" i="205"/>
  <c r="O40" i="205"/>
  <c r="O42" i="205"/>
  <c r="O90" i="205"/>
  <c r="O48" i="205"/>
  <c r="O31" i="205"/>
  <c r="O96" i="205"/>
  <c r="O102" i="205"/>
  <c r="O86" i="205"/>
  <c r="O101" i="205"/>
  <c r="O69" i="205"/>
  <c r="O37" i="205"/>
  <c r="O54" i="205"/>
  <c r="O99" i="205"/>
  <c r="O55" i="205"/>
  <c r="O92" i="205"/>
  <c r="O88" i="205"/>
  <c r="O64" i="205"/>
  <c r="O80" i="205"/>
  <c r="O97" i="205"/>
  <c r="O65" i="205"/>
  <c r="O29" i="205"/>
  <c r="O50" i="205"/>
  <c r="O95" i="205"/>
  <c r="O51" i="205"/>
  <c r="O41" i="205"/>
  <c r="O62" i="205"/>
  <c r="O18" i="205"/>
  <c r="O59" i="205"/>
  <c r="O68" i="205"/>
  <c r="O82" i="205"/>
  <c r="O84" i="205"/>
  <c r="O72" i="205"/>
  <c r="O93" i="205"/>
  <c r="O61" i="205"/>
  <c r="O25" i="205"/>
  <c r="O46" i="205"/>
  <c r="O91" i="205"/>
  <c r="O35" i="205"/>
  <c r="O44" i="205"/>
  <c r="O53" i="205"/>
  <c r="O71" i="205"/>
  <c r="O56" i="205"/>
  <c r="O60" i="205"/>
  <c r="O74" i="205"/>
  <c r="O38" i="205"/>
  <c r="O27" i="205"/>
  <c r="O32" i="205"/>
  <c r="O28" i="205"/>
  <c r="O100" i="205"/>
  <c r="O104" i="205"/>
  <c r="O81" i="205"/>
  <c r="O49" i="205"/>
  <c r="O70" i="205"/>
  <c r="O34" i="205"/>
  <c r="O67" i="205"/>
  <c r="O23" i="205"/>
  <c r="O20" i="205"/>
  <c r="O85" i="205"/>
  <c r="O94" i="205"/>
  <c r="O24" i="205"/>
  <c r="O103" i="205"/>
  <c r="O78" i="205"/>
  <c r="O77" i="205"/>
  <c r="O45" i="205"/>
  <c r="O66" i="205"/>
  <c r="O22" i="205"/>
  <c r="O63" i="205"/>
  <c r="O19" i="205"/>
  <c r="P16" i="205"/>
  <c r="Z16" i="205"/>
  <c r="O30" i="205"/>
  <c r="O83" i="205"/>
  <c r="O47" i="205"/>
  <c r="O33" i="205"/>
  <c r="O58" i="205"/>
  <c r="O26" i="205"/>
  <c r="O79" i="205"/>
  <c r="O39" i="205"/>
  <c r="O75" i="205"/>
  <c r="U16" i="205"/>
  <c r="Y17" i="205" l="1"/>
  <c r="F16" i="203" l="1"/>
  <c r="G17" i="105" l="1"/>
  <c r="D13" i="105"/>
  <c r="AH17" i="105" l="1"/>
  <c r="AK17" i="105"/>
  <c r="AO33" i="145" l="1"/>
  <c r="AO32" i="145"/>
  <c r="AO28" i="145"/>
  <c r="AO23" i="145"/>
  <c r="AO16" i="145"/>
  <c r="AO15" i="145"/>
  <c r="AO12" i="145"/>
  <c r="AN19" i="145"/>
  <c r="AN20" i="145"/>
  <c r="AN21" i="145"/>
  <c r="AN18" i="145"/>
  <c r="M99" i="190" l="1"/>
  <c r="M97" i="190"/>
  <c r="M96" i="190"/>
  <c r="I22" i="202" l="1"/>
  <c r="I20" i="202"/>
  <c r="AD77" i="105" l="1"/>
  <c r="AC77" i="105"/>
  <c r="X77" i="105"/>
  <c r="C58" i="85" l="1"/>
  <c r="C59" i="85"/>
  <c r="C60" i="85"/>
  <c r="C61" i="85"/>
  <c r="C62" i="85"/>
  <c r="C63" i="85"/>
  <c r="C64" i="85"/>
  <c r="C65" i="85"/>
  <c r="C66" i="85"/>
  <c r="C67" i="85"/>
  <c r="C68" i="85"/>
  <c r="C69" i="85"/>
  <c r="C70" i="85"/>
  <c r="C71" i="85"/>
  <c r="C72" i="85"/>
  <c r="C73" i="85"/>
  <c r="C74" i="85"/>
  <c r="C75" i="85"/>
  <c r="C76" i="85"/>
  <c r="C77" i="85"/>
  <c r="C78" i="85"/>
  <c r="C79" i="85"/>
  <c r="C80" i="85"/>
  <c r="C81" i="85"/>
  <c r="C82" i="85"/>
  <c r="C83" i="85"/>
  <c r="C84" i="85"/>
  <c r="C85" i="85"/>
  <c r="C86" i="85"/>
  <c r="C87" i="85"/>
  <c r="C88" i="85"/>
  <c r="C89" i="85"/>
  <c r="C90" i="85"/>
  <c r="C91" i="85"/>
  <c r="C92" i="85"/>
  <c r="C93" i="85"/>
  <c r="C94" i="85"/>
  <c r="C95" i="85"/>
  <c r="C96" i="85"/>
  <c r="C97" i="85"/>
  <c r="C98" i="85"/>
  <c r="C99" i="85"/>
  <c r="C100" i="85"/>
  <c r="C102" i="85"/>
  <c r="C103" i="85"/>
  <c r="C104" i="85"/>
  <c r="C106" i="85"/>
  <c r="C108" i="85"/>
  <c r="C109" i="85"/>
  <c r="C110" i="85"/>
  <c r="C111" i="85"/>
  <c r="C112" i="85"/>
  <c r="C113" i="85"/>
  <c r="C114" i="85"/>
  <c r="C115" i="85"/>
  <c r="C116" i="85"/>
  <c r="C117" i="85"/>
  <c r="C118" i="85"/>
  <c r="C119" i="85"/>
  <c r="C120" i="85"/>
  <c r="C121" i="85"/>
  <c r="C122" i="85"/>
  <c r="C123" i="85"/>
  <c r="C124" i="85"/>
  <c r="C125" i="85"/>
  <c r="C126" i="85"/>
  <c r="C127" i="85"/>
  <c r="C128" i="85"/>
  <c r="C129" i="85"/>
  <c r="C130" i="85"/>
  <c r="C131" i="85"/>
  <c r="C132" i="85"/>
  <c r="C133" i="85"/>
  <c r="C134" i="85"/>
  <c r="C135" i="85"/>
  <c r="C136" i="85"/>
  <c r="C137" i="85"/>
  <c r="C138" i="85"/>
  <c r="C139" i="85"/>
  <c r="C140" i="85"/>
  <c r="C141" i="85"/>
  <c r="C142" i="85"/>
  <c r="C143" i="85"/>
  <c r="C144" i="85"/>
  <c r="C145" i="85"/>
  <c r="C146" i="85"/>
  <c r="C147" i="85"/>
  <c r="C148" i="85"/>
  <c r="C149" i="85"/>
  <c r="C150" i="85"/>
  <c r="C151" i="85"/>
  <c r="C152" i="85"/>
  <c r="C153" i="85"/>
  <c r="C154" i="85"/>
  <c r="C155" i="85"/>
  <c r="C156" i="85"/>
  <c r="C157" i="85"/>
  <c r="C158" i="85"/>
  <c r="C159" i="85"/>
  <c r="C160" i="85"/>
  <c r="C161" i="85"/>
  <c r="C162" i="85"/>
  <c r="C163" i="85"/>
  <c r="C164" i="85"/>
  <c r="C165" i="85"/>
  <c r="C166" i="85"/>
  <c r="C167" i="85"/>
  <c r="C168" i="85"/>
  <c r="C169" i="85"/>
  <c r="C170" i="85"/>
  <c r="C171" i="85"/>
  <c r="C172" i="85"/>
  <c r="C173" i="85"/>
  <c r="C174" i="85"/>
  <c r="C175" i="85"/>
  <c r="C176" i="85"/>
  <c r="C177" i="85"/>
  <c r="C178" i="85"/>
  <c r="C179" i="85"/>
  <c r="C180" i="85"/>
  <c r="C181" i="85"/>
  <c r="C182" i="85"/>
  <c r="C183" i="85"/>
  <c r="C184" i="85"/>
  <c r="C185" i="85"/>
  <c r="C186" i="85"/>
  <c r="C187" i="85"/>
  <c r="C188" i="85"/>
  <c r="C189" i="85"/>
  <c r="C190" i="85"/>
  <c r="C191" i="85"/>
  <c r="C192" i="85"/>
  <c r="C193" i="85"/>
  <c r="C194" i="85"/>
  <c r="C195" i="85"/>
  <c r="C196" i="85"/>
  <c r="C197" i="85"/>
  <c r="C198" i="85"/>
  <c r="C199" i="85"/>
  <c r="C200" i="85"/>
  <c r="C201" i="85"/>
  <c r="C202" i="85"/>
  <c r="C203" i="85"/>
  <c r="C204" i="85"/>
  <c r="C205" i="85"/>
  <c r="C206" i="85"/>
  <c r="C207" i="85"/>
  <c r="C208" i="85"/>
  <c r="C209" i="85"/>
  <c r="C210" i="85"/>
  <c r="C211" i="85"/>
  <c r="C212" i="85"/>
  <c r="C213" i="85"/>
  <c r="F186" i="85" l="1"/>
  <c r="AJ186" i="85" s="1" a="1"/>
  <c r="E186" i="85"/>
  <c r="B154" i="85"/>
  <c r="F154" i="85"/>
  <c r="AJ154" i="85" s="1" a="1"/>
  <c r="E154" i="85"/>
  <c r="F122" i="85"/>
  <c r="AJ122" i="85" s="1" a="1"/>
  <c r="E122" i="85"/>
  <c r="E89" i="85"/>
  <c r="F89" i="85"/>
  <c r="AJ89" i="85" s="1" a="1"/>
  <c r="E209" i="85"/>
  <c r="F209" i="85"/>
  <c r="AJ209" i="85" s="1" a="1"/>
  <c r="E177" i="85"/>
  <c r="F177" i="85"/>
  <c r="AJ177" i="85" s="1" a="1"/>
  <c r="E169" i="85"/>
  <c r="F169" i="85"/>
  <c r="AJ169" i="85" s="1" a="1"/>
  <c r="E161" i="85"/>
  <c r="F161" i="85"/>
  <c r="AJ161" i="85" s="1" a="1"/>
  <c r="E153" i="85"/>
  <c r="F153" i="85"/>
  <c r="AJ153" i="85" s="1" a="1"/>
  <c r="E145" i="85"/>
  <c r="F145" i="85"/>
  <c r="AJ145" i="85" s="1" a="1"/>
  <c r="E137" i="85"/>
  <c r="F137" i="85"/>
  <c r="AJ137" i="85" s="1" a="1"/>
  <c r="E129" i="85"/>
  <c r="F129" i="85"/>
  <c r="AJ129" i="85" s="1" a="1"/>
  <c r="E121" i="85"/>
  <c r="F121" i="85"/>
  <c r="AJ121" i="85" s="1" a="1"/>
  <c r="B113" i="85"/>
  <c r="E113" i="85"/>
  <c r="F113" i="85"/>
  <c r="AJ113" i="85" s="1" a="1"/>
  <c r="E104" i="85"/>
  <c r="F104" i="85"/>
  <c r="AJ104" i="85" s="1" a="1"/>
  <c r="E96" i="85"/>
  <c r="F96" i="85"/>
  <c r="AJ96" i="85" s="1" a="1"/>
  <c r="B88" i="85"/>
  <c r="E88" i="85"/>
  <c r="F88" i="85"/>
  <c r="AJ88" i="85" s="1" a="1"/>
  <c r="E80" i="85"/>
  <c r="F80" i="85"/>
  <c r="AJ80" i="85" s="1" a="1"/>
  <c r="E72" i="85"/>
  <c r="F72" i="85"/>
  <c r="AJ72" i="85" s="1" a="1"/>
  <c r="E64" i="85"/>
  <c r="F64" i="85"/>
  <c r="AJ64" i="85" s="1" a="1"/>
  <c r="E208" i="85"/>
  <c r="F208" i="85"/>
  <c r="AJ208" i="85" s="1" a="1"/>
  <c r="E200" i="85"/>
  <c r="F200" i="85"/>
  <c r="AJ200" i="85" s="1" a="1"/>
  <c r="E192" i="85"/>
  <c r="F192" i="85"/>
  <c r="AJ192" i="85" s="1" a="1"/>
  <c r="E184" i="85"/>
  <c r="F184" i="85"/>
  <c r="AJ184" i="85" s="1" a="1"/>
  <c r="E176" i="85"/>
  <c r="F176" i="85"/>
  <c r="AJ176" i="85" s="1" a="1"/>
  <c r="E168" i="85"/>
  <c r="F168" i="85"/>
  <c r="AJ168" i="85" s="1" a="1"/>
  <c r="E160" i="85"/>
  <c r="F160" i="85"/>
  <c r="AJ160" i="85" s="1" a="1"/>
  <c r="E152" i="85"/>
  <c r="F152" i="85"/>
  <c r="AJ152" i="85" s="1" a="1"/>
  <c r="E144" i="85"/>
  <c r="F144" i="85"/>
  <c r="AJ144" i="85" s="1" a="1"/>
  <c r="E136" i="85"/>
  <c r="F136" i="85"/>
  <c r="AJ136" i="85" s="1" a="1"/>
  <c r="E128" i="85"/>
  <c r="F128" i="85"/>
  <c r="AJ128" i="85" s="1" a="1"/>
  <c r="E120" i="85"/>
  <c r="F120" i="85"/>
  <c r="AJ120" i="85" s="1" a="1"/>
  <c r="E112" i="85"/>
  <c r="F112" i="85"/>
  <c r="AJ112" i="85" s="1" a="1"/>
  <c r="E103" i="85"/>
  <c r="F103" i="85"/>
  <c r="AJ103" i="85" s="1" a="1"/>
  <c r="E95" i="85"/>
  <c r="F95" i="85"/>
  <c r="AJ95" i="85" s="1" a="1"/>
  <c r="E87" i="85"/>
  <c r="F87" i="85"/>
  <c r="AJ87" i="85" s="1" a="1"/>
  <c r="E79" i="85"/>
  <c r="F79" i="85"/>
  <c r="AJ79" i="85" s="1" a="1"/>
  <c r="E71" i="85"/>
  <c r="F71" i="85"/>
  <c r="AJ71" i="85" s="1" a="1"/>
  <c r="E63" i="85"/>
  <c r="F63" i="85"/>
  <c r="AJ63" i="85" s="1" a="1"/>
  <c r="F210" i="85"/>
  <c r="AJ210" i="85" s="1" a="1"/>
  <c r="E210" i="85"/>
  <c r="F178" i="85"/>
  <c r="AJ178" i="85" s="1" a="1"/>
  <c r="E178" i="85"/>
  <c r="F130" i="85"/>
  <c r="AJ130" i="85" s="1" a="1"/>
  <c r="E130" i="85"/>
  <c r="E73" i="85"/>
  <c r="F73" i="85"/>
  <c r="AJ73" i="85" s="1" a="1"/>
  <c r="E201" i="85"/>
  <c r="F201" i="85"/>
  <c r="AJ201" i="85" s="1" a="1"/>
  <c r="E207" i="85"/>
  <c r="F207" i="85"/>
  <c r="AJ207" i="85" s="1" a="1"/>
  <c r="E183" i="85"/>
  <c r="F183" i="85"/>
  <c r="AJ183" i="85" s="1" a="1"/>
  <c r="E159" i="85"/>
  <c r="F159" i="85"/>
  <c r="AJ159" i="85" s="1" a="1"/>
  <c r="B135" i="85"/>
  <c r="E135" i="85"/>
  <c r="F135" i="85"/>
  <c r="AJ135" i="85" s="1" a="1"/>
  <c r="E111" i="85"/>
  <c r="F111" i="85"/>
  <c r="AJ111" i="85" s="1" a="1"/>
  <c r="F86" i="85"/>
  <c r="AJ86" i="85" s="1" a="1"/>
  <c r="E86" i="85"/>
  <c r="B70" i="85"/>
  <c r="F70" i="85"/>
  <c r="AJ70" i="85" s="1" a="1"/>
  <c r="E70" i="85"/>
  <c r="F190" i="85"/>
  <c r="AJ190" i="85" s="1" a="1"/>
  <c r="E190" i="85"/>
  <c r="F166" i="85"/>
  <c r="AJ166" i="85" s="1" a="1"/>
  <c r="E166" i="85"/>
  <c r="F142" i="85"/>
  <c r="AJ142" i="85" s="1" a="1"/>
  <c r="E142" i="85"/>
  <c r="F126" i="85"/>
  <c r="AJ126" i="85" s="1" a="1"/>
  <c r="E126" i="85"/>
  <c r="E61" i="85"/>
  <c r="F61" i="85"/>
  <c r="AJ61" i="85" s="1" a="1"/>
  <c r="E213" i="85"/>
  <c r="F213" i="85"/>
  <c r="AJ213" i="85" s="1" a="1"/>
  <c r="E205" i="85"/>
  <c r="F205" i="85"/>
  <c r="AJ205" i="85" s="1" a="1"/>
  <c r="B197" i="85"/>
  <c r="E197" i="85"/>
  <c r="F197" i="85"/>
  <c r="AJ197" i="85" s="1" a="1"/>
  <c r="E189" i="85"/>
  <c r="F189" i="85"/>
  <c r="AJ189" i="85" s="1" a="1"/>
  <c r="E181" i="85"/>
  <c r="F181" i="85"/>
  <c r="AJ181" i="85" s="1" a="1"/>
  <c r="E173" i="85"/>
  <c r="F173" i="85"/>
  <c r="AJ173" i="85" s="1" a="1"/>
  <c r="E165" i="85"/>
  <c r="F165" i="85"/>
  <c r="AJ165" i="85" s="1" a="1"/>
  <c r="E157" i="85"/>
  <c r="F157" i="85"/>
  <c r="AJ157" i="85" s="1" a="1"/>
  <c r="E149" i="85"/>
  <c r="F149" i="85"/>
  <c r="AJ149" i="85" s="1" a="1"/>
  <c r="E141" i="85"/>
  <c r="F141" i="85"/>
  <c r="AJ141" i="85" s="1" a="1"/>
  <c r="E133" i="85"/>
  <c r="F133" i="85"/>
  <c r="AJ133" i="85" s="1" a="1"/>
  <c r="E125" i="85"/>
  <c r="F125" i="85"/>
  <c r="AJ125" i="85" s="1" a="1"/>
  <c r="E117" i="85"/>
  <c r="F117" i="85"/>
  <c r="AJ117" i="85" s="1" a="1"/>
  <c r="B109" i="85"/>
  <c r="E109" i="85"/>
  <c r="F109" i="85"/>
  <c r="AJ109" i="85" s="1" a="1"/>
  <c r="E100" i="85"/>
  <c r="F100" i="85"/>
  <c r="AJ100" i="85" s="1" a="1"/>
  <c r="E92" i="85"/>
  <c r="F92" i="85"/>
  <c r="AJ92" i="85" s="1" a="1"/>
  <c r="E84" i="85"/>
  <c r="F84" i="85"/>
  <c r="AJ84" i="85" s="1" a="1"/>
  <c r="E76" i="85"/>
  <c r="F76" i="85"/>
  <c r="AJ76" i="85" s="1" a="1"/>
  <c r="E68" i="85"/>
  <c r="F68" i="85"/>
  <c r="AJ68" i="85" s="1" a="1"/>
  <c r="G60" i="85"/>
  <c r="E60" i="85"/>
  <c r="F60" i="85"/>
  <c r="AJ60" i="85" s="1" a="1"/>
  <c r="B194" i="85"/>
  <c r="F194" i="85"/>
  <c r="AJ194" i="85" s="1" a="1"/>
  <c r="E194" i="85"/>
  <c r="F162" i="85"/>
  <c r="AJ162" i="85" s="1" a="1"/>
  <c r="E162" i="85"/>
  <c r="F146" i="85"/>
  <c r="AJ146" i="85" s="1" a="1"/>
  <c r="E146" i="85"/>
  <c r="F114" i="85"/>
  <c r="AJ114" i="85" s="1" a="1"/>
  <c r="E114" i="85"/>
  <c r="E81" i="85"/>
  <c r="F81" i="85"/>
  <c r="AJ81" i="85" s="1" a="1"/>
  <c r="E193" i="85"/>
  <c r="F193" i="85"/>
  <c r="AJ193" i="85" s="1" a="1"/>
  <c r="E199" i="85"/>
  <c r="F199" i="85"/>
  <c r="AJ199" i="85" s="1" a="1"/>
  <c r="E175" i="85"/>
  <c r="F175" i="85"/>
  <c r="AJ175" i="85" s="1" a="1"/>
  <c r="E151" i="85"/>
  <c r="F151" i="85"/>
  <c r="AJ151" i="85" s="1" a="1"/>
  <c r="E127" i="85"/>
  <c r="F127" i="85"/>
  <c r="AJ127" i="85" s="1" a="1"/>
  <c r="F102" i="85"/>
  <c r="AJ102" i="85" s="1" a="1"/>
  <c r="E102" i="85"/>
  <c r="F78" i="85"/>
  <c r="AJ78" i="85" s="1" a="1"/>
  <c r="E78" i="85"/>
  <c r="F206" i="85"/>
  <c r="AJ206" i="85" s="1" a="1"/>
  <c r="E206" i="85"/>
  <c r="F182" i="85"/>
  <c r="AJ182" i="85" s="1" a="1"/>
  <c r="E182" i="85"/>
  <c r="B158" i="85"/>
  <c r="F158" i="85"/>
  <c r="AJ158" i="85" s="1" a="1"/>
  <c r="E158" i="85"/>
  <c r="F134" i="85"/>
  <c r="AJ134" i="85" s="1" a="1"/>
  <c r="E134" i="85"/>
  <c r="F110" i="85"/>
  <c r="AJ110" i="85" s="1" a="1"/>
  <c r="E110" i="85"/>
  <c r="E85" i="85"/>
  <c r="F85" i="85"/>
  <c r="AJ85" i="85" s="1" a="1"/>
  <c r="E77" i="85"/>
  <c r="F77" i="85"/>
  <c r="AJ77" i="85" s="1" a="1"/>
  <c r="E204" i="85"/>
  <c r="F204" i="85"/>
  <c r="AJ204" i="85" s="1" a="1"/>
  <c r="E196" i="85"/>
  <c r="F196" i="85"/>
  <c r="AJ196" i="85" s="1" a="1"/>
  <c r="E188" i="85"/>
  <c r="F188" i="85"/>
  <c r="AJ188" i="85" s="1" a="1"/>
  <c r="E180" i="85"/>
  <c r="F180" i="85"/>
  <c r="AJ180" i="85" s="1" a="1"/>
  <c r="E172" i="85"/>
  <c r="F172" i="85"/>
  <c r="AJ172" i="85" s="1" a="1"/>
  <c r="E164" i="85"/>
  <c r="F164" i="85"/>
  <c r="AJ164" i="85" s="1" a="1"/>
  <c r="E156" i="85"/>
  <c r="F156" i="85"/>
  <c r="AJ156" i="85" s="1" a="1"/>
  <c r="B148" i="85"/>
  <c r="E148" i="85"/>
  <c r="F148" i="85"/>
  <c r="AJ148" i="85" s="1" a="1"/>
  <c r="B140" i="85"/>
  <c r="E140" i="85"/>
  <c r="F140" i="85"/>
  <c r="AJ140" i="85" s="1" a="1"/>
  <c r="E132" i="85"/>
  <c r="F132" i="85"/>
  <c r="AJ132" i="85" s="1" a="1"/>
  <c r="E124" i="85"/>
  <c r="F124" i="85"/>
  <c r="AJ124" i="85" s="1" a="1"/>
  <c r="E116" i="85"/>
  <c r="F116" i="85"/>
  <c r="AJ116" i="85" s="1" a="1"/>
  <c r="E108" i="85"/>
  <c r="F108" i="85"/>
  <c r="AJ108" i="85" s="1" a="1"/>
  <c r="E99" i="85"/>
  <c r="F99" i="85"/>
  <c r="AJ99" i="85" s="1" a="1"/>
  <c r="E91" i="85"/>
  <c r="F91" i="85"/>
  <c r="AJ91" i="85" s="1" a="1"/>
  <c r="E83" i="85"/>
  <c r="F83" i="85"/>
  <c r="AJ83" i="85" s="1" a="1"/>
  <c r="B75" i="85"/>
  <c r="E75" i="85"/>
  <c r="F75" i="85"/>
  <c r="AJ75" i="85" s="1" a="1"/>
  <c r="E67" i="85"/>
  <c r="F67" i="85"/>
  <c r="AJ67" i="85" s="1" a="1"/>
  <c r="D59" i="85"/>
  <c r="E59" i="85"/>
  <c r="F59" i="85"/>
  <c r="AJ59" i="85" s="1" a="1"/>
  <c r="F202" i="85"/>
  <c r="AJ202" i="85" s="1" a="1"/>
  <c r="E202" i="85"/>
  <c r="F170" i="85"/>
  <c r="AJ170" i="85" s="1" a="1"/>
  <c r="E170" i="85"/>
  <c r="F138" i="85"/>
  <c r="AJ138" i="85" s="1" a="1"/>
  <c r="E138" i="85"/>
  <c r="E97" i="85"/>
  <c r="F97" i="85"/>
  <c r="AJ97" i="85" s="1" a="1"/>
  <c r="E65" i="85"/>
  <c r="F65" i="85"/>
  <c r="AJ65" i="85" s="1" a="1"/>
  <c r="E185" i="85"/>
  <c r="F185" i="85"/>
  <c r="AJ185" i="85" s="1" a="1"/>
  <c r="E191" i="85"/>
  <c r="F191" i="85"/>
  <c r="AJ191" i="85" s="1" a="1"/>
  <c r="E167" i="85"/>
  <c r="F167" i="85"/>
  <c r="AJ167" i="85" s="1" a="1"/>
  <c r="B143" i="85"/>
  <c r="E143" i="85"/>
  <c r="F143" i="85"/>
  <c r="AJ143" i="85" s="1" a="1"/>
  <c r="E119" i="85"/>
  <c r="F119" i="85"/>
  <c r="AJ119" i="85" s="1" a="1"/>
  <c r="F94" i="85"/>
  <c r="AJ94" i="85" s="1" a="1"/>
  <c r="E94" i="85"/>
  <c r="F62" i="85"/>
  <c r="AJ62" i="85" s="1" a="1"/>
  <c r="E62" i="85"/>
  <c r="F198" i="85"/>
  <c r="AJ198" i="85" s="1" a="1"/>
  <c r="E198" i="85"/>
  <c r="F174" i="85"/>
  <c r="AJ174" i="85" s="1" a="1"/>
  <c r="E174" i="85"/>
  <c r="F150" i="85"/>
  <c r="AJ150" i="85" s="1" a="1"/>
  <c r="E150" i="85"/>
  <c r="F118" i="85"/>
  <c r="AJ118" i="85" s="1" a="1"/>
  <c r="E118" i="85"/>
  <c r="E93" i="85"/>
  <c r="F93" i="85"/>
  <c r="AJ93" i="85" s="1" a="1"/>
  <c r="E69" i="85"/>
  <c r="F69" i="85"/>
  <c r="AJ69" i="85" s="1" a="1"/>
  <c r="E212" i="85"/>
  <c r="F212" i="85"/>
  <c r="AJ212" i="85" s="1" a="1"/>
  <c r="E211" i="85"/>
  <c r="F211" i="85"/>
  <c r="AJ211" i="85" s="1" a="1"/>
  <c r="E203" i="85"/>
  <c r="F203" i="85"/>
  <c r="AJ203" i="85" s="1" a="1"/>
  <c r="E195" i="85"/>
  <c r="F195" i="85"/>
  <c r="AJ195" i="85" s="1" a="1"/>
  <c r="E187" i="85"/>
  <c r="F187" i="85"/>
  <c r="AJ187" i="85" s="1" a="1"/>
  <c r="E179" i="85"/>
  <c r="F179" i="85"/>
  <c r="AJ179" i="85" s="1" a="1"/>
  <c r="E171" i="85"/>
  <c r="F171" i="85"/>
  <c r="AJ171" i="85" s="1" a="1"/>
  <c r="E163" i="85"/>
  <c r="F163" i="85"/>
  <c r="AJ163" i="85" s="1" a="1"/>
  <c r="E155" i="85"/>
  <c r="F155" i="85"/>
  <c r="AJ155" i="85" s="1" a="1"/>
  <c r="E147" i="85"/>
  <c r="F147" i="85"/>
  <c r="AJ147" i="85" s="1" a="1"/>
  <c r="E139" i="85"/>
  <c r="F139" i="85"/>
  <c r="AJ139" i="85" s="1" a="1"/>
  <c r="E131" i="85"/>
  <c r="F131" i="85"/>
  <c r="AJ131" i="85" s="1" a="1"/>
  <c r="B123" i="85"/>
  <c r="E123" i="85"/>
  <c r="F123" i="85"/>
  <c r="AJ123" i="85" s="1" a="1"/>
  <c r="E115" i="85"/>
  <c r="F115" i="85"/>
  <c r="AJ115" i="85" s="1" a="1"/>
  <c r="F106" i="85"/>
  <c r="AJ106" i="85" s="1" a="1"/>
  <c r="E106" i="85"/>
  <c r="F98" i="85"/>
  <c r="AJ98" i="85" s="1" a="1"/>
  <c r="E98" i="85"/>
  <c r="F90" i="85"/>
  <c r="AJ90" i="85" s="1" a="1"/>
  <c r="E90" i="85"/>
  <c r="F82" i="85"/>
  <c r="AJ82" i="85" s="1" a="1"/>
  <c r="E82" i="85"/>
  <c r="F74" i="85"/>
  <c r="AJ74" i="85" s="1" a="1"/>
  <c r="E74" i="85"/>
  <c r="F66" i="85"/>
  <c r="AJ66" i="85" s="1" a="1"/>
  <c r="E66" i="85"/>
  <c r="D58" i="85"/>
  <c r="F58" i="85"/>
  <c r="AJ58" i="85" s="1" a="1"/>
  <c r="E58" i="85"/>
  <c r="B173" i="85"/>
  <c r="B196" i="85"/>
  <c r="B210" i="85"/>
  <c r="B202" i="85"/>
  <c r="B209" i="85"/>
  <c r="D201" i="85"/>
  <c r="B201" i="85"/>
  <c r="B193" i="85"/>
  <c r="B185" i="85"/>
  <c r="B177" i="85"/>
  <c r="B169" i="85"/>
  <c r="G161" i="85"/>
  <c r="B161" i="85"/>
  <c r="B200" i="85"/>
  <c r="G168" i="85"/>
  <c r="B168" i="85"/>
  <c r="B183" i="85"/>
  <c r="B167" i="85"/>
  <c r="D192" i="85"/>
  <c r="B192" i="85"/>
  <c r="B160" i="85"/>
  <c r="B207" i="85"/>
  <c r="B191" i="85"/>
  <c r="B175" i="85"/>
  <c r="B206" i="85"/>
  <c r="B198" i="85"/>
  <c r="B190" i="85"/>
  <c r="D182" i="85"/>
  <c r="B182" i="85"/>
  <c r="D174" i="85"/>
  <c r="B174" i="85"/>
  <c r="D166" i="85"/>
  <c r="B166" i="85"/>
  <c r="B184" i="85"/>
  <c r="B212" i="85"/>
  <c r="D180" i="85"/>
  <c r="B180" i="85"/>
  <c r="B164" i="85"/>
  <c r="B208" i="85"/>
  <c r="B176" i="85"/>
  <c r="B213" i="85"/>
  <c r="B189" i="85"/>
  <c r="G165" i="85"/>
  <c r="B165" i="85"/>
  <c r="D204" i="85"/>
  <c r="B204" i="85"/>
  <c r="B188" i="85"/>
  <c r="B172" i="85"/>
  <c r="B211" i="85"/>
  <c r="B203" i="85"/>
  <c r="B195" i="85"/>
  <c r="B187" i="85"/>
  <c r="B179" i="85"/>
  <c r="B171" i="85"/>
  <c r="B163" i="85"/>
  <c r="B199" i="85"/>
  <c r="D205" i="85"/>
  <c r="B205" i="85"/>
  <c r="B181" i="85"/>
  <c r="B186" i="85"/>
  <c r="D178" i="85"/>
  <c r="B178" i="85"/>
  <c r="D170" i="85"/>
  <c r="B170" i="85"/>
  <c r="D162" i="85"/>
  <c r="B162" i="85"/>
  <c r="G112" i="85"/>
  <c r="B112" i="85"/>
  <c r="G153" i="85"/>
  <c r="B153" i="85"/>
  <c r="G145" i="85"/>
  <c r="B145" i="85"/>
  <c r="G137" i="85"/>
  <c r="B137" i="85"/>
  <c r="G129" i="85"/>
  <c r="B129" i="85"/>
  <c r="D121" i="85"/>
  <c r="B121" i="85"/>
  <c r="B104" i="85"/>
  <c r="D96" i="85"/>
  <c r="B96" i="85"/>
  <c r="B80" i="85"/>
  <c r="B72" i="85"/>
  <c r="G64" i="85"/>
  <c r="B64" i="85"/>
  <c r="B144" i="85"/>
  <c r="D103" i="85"/>
  <c r="B103" i="85"/>
  <c r="D63" i="85"/>
  <c r="B63" i="85"/>
  <c r="B159" i="85"/>
  <c r="D151" i="85"/>
  <c r="B151" i="85"/>
  <c r="G127" i="85"/>
  <c r="B127" i="85"/>
  <c r="G119" i="85"/>
  <c r="B119" i="85"/>
  <c r="G111" i="85"/>
  <c r="B111" i="85"/>
  <c r="B102" i="85"/>
  <c r="B94" i="85"/>
  <c r="B86" i="85"/>
  <c r="G78" i="85"/>
  <c r="B78" i="85"/>
  <c r="D62" i="85"/>
  <c r="B62" i="85"/>
  <c r="B95" i="85"/>
  <c r="G150" i="85"/>
  <c r="B150" i="85"/>
  <c r="B142" i="85"/>
  <c r="D134" i="85"/>
  <c r="B134" i="85"/>
  <c r="D126" i="85"/>
  <c r="B126" i="85"/>
  <c r="B118" i="85"/>
  <c r="B110" i="85"/>
  <c r="B93" i="85"/>
  <c r="B85" i="85"/>
  <c r="B77" i="85"/>
  <c r="B69" i="85"/>
  <c r="B61" i="85"/>
  <c r="D120" i="85"/>
  <c r="B120" i="85"/>
  <c r="B79" i="85"/>
  <c r="G149" i="85"/>
  <c r="B149" i="85"/>
  <c r="G141" i="85"/>
  <c r="B141" i="85"/>
  <c r="G133" i="85"/>
  <c r="B133" i="85"/>
  <c r="G125" i="85"/>
  <c r="B125" i="85"/>
  <c r="B117" i="85"/>
  <c r="D100" i="85"/>
  <c r="B100" i="85"/>
  <c r="D92" i="85"/>
  <c r="B92" i="85"/>
  <c r="B84" i="85"/>
  <c r="B76" i="85"/>
  <c r="B68" i="85"/>
  <c r="B136" i="85"/>
  <c r="D71" i="85"/>
  <c r="B71" i="85"/>
  <c r="B132" i="85"/>
  <c r="B124" i="85"/>
  <c r="D116" i="85"/>
  <c r="B116" i="85"/>
  <c r="D108" i="85"/>
  <c r="B108" i="85"/>
  <c r="D99" i="85"/>
  <c r="B99" i="85"/>
  <c r="B91" i="85"/>
  <c r="B83" i="85"/>
  <c r="D67" i="85"/>
  <c r="B67" i="85"/>
  <c r="B152" i="85"/>
  <c r="B128" i="85"/>
  <c r="B87" i="85"/>
  <c r="G157" i="85"/>
  <c r="B157" i="85"/>
  <c r="D156" i="85"/>
  <c r="B156" i="85"/>
  <c r="D147" i="85"/>
  <c r="B147" i="85"/>
  <c r="G131" i="85"/>
  <c r="B131" i="85"/>
  <c r="G115" i="85"/>
  <c r="B115" i="85"/>
  <c r="B106" i="85"/>
  <c r="B98" i="85"/>
  <c r="B90" i="85"/>
  <c r="B82" i="85"/>
  <c r="G74" i="85"/>
  <c r="B74" i="85"/>
  <c r="D66" i="85"/>
  <c r="B66" i="85"/>
  <c r="B155" i="85"/>
  <c r="D139" i="85"/>
  <c r="B139" i="85"/>
  <c r="G146" i="85"/>
  <c r="B146" i="85"/>
  <c r="D138" i="85"/>
  <c r="B138" i="85"/>
  <c r="D130" i="85"/>
  <c r="B130" i="85"/>
  <c r="D122" i="85"/>
  <c r="B122" i="85"/>
  <c r="B114" i="85"/>
  <c r="G97" i="85"/>
  <c r="B97" i="85"/>
  <c r="B89" i="85"/>
  <c r="B81" i="85"/>
  <c r="B73" i="85"/>
  <c r="B65" i="85"/>
  <c r="G187" i="85"/>
  <c r="G192" i="85"/>
  <c r="D187" i="85"/>
  <c r="G200" i="85"/>
  <c r="D188" i="85"/>
  <c r="D193" i="85"/>
  <c r="D212" i="85"/>
  <c r="D200" i="85"/>
  <c r="G188" i="85"/>
  <c r="G212" i="85"/>
  <c r="D208" i="85"/>
  <c r="D196" i="85"/>
  <c r="D184" i="85"/>
  <c r="D160" i="85"/>
  <c r="G100" i="85"/>
  <c r="G95" i="85"/>
  <c r="G183" i="85"/>
  <c r="G138" i="85"/>
  <c r="D183" i="85"/>
  <c r="D172" i="85"/>
  <c r="D167" i="85"/>
  <c r="D171" i="85"/>
  <c r="G203" i="85"/>
  <c r="G195" i="85"/>
  <c r="G175" i="85"/>
  <c r="D211" i="85"/>
  <c r="D199" i="85"/>
  <c r="D195" i="85"/>
  <c r="D191" i="85"/>
  <c r="G180" i="85"/>
  <c r="D124" i="85"/>
  <c r="G207" i="85"/>
  <c r="D203" i="85"/>
  <c r="D185" i="85"/>
  <c r="D179" i="85"/>
  <c r="D207" i="85"/>
  <c r="G196" i="85"/>
  <c r="D189" i="85"/>
  <c r="G184" i="85"/>
  <c r="G144" i="85"/>
  <c r="G204" i="85"/>
  <c r="G211" i="85"/>
  <c r="G208" i="85"/>
  <c r="D85" i="85"/>
  <c r="G73" i="85"/>
  <c r="G199" i="85"/>
  <c r="G191" i="85"/>
  <c r="G167" i="85"/>
  <c r="D89" i="85"/>
  <c r="G66" i="85"/>
  <c r="D176" i="85"/>
  <c r="G172" i="85"/>
  <c r="G163" i="85"/>
  <c r="G160" i="85"/>
  <c r="D155" i="85"/>
  <c r="G151" i="85"/>
  <c r="G147" i="85"/>
  <c r="D136" i="85"/>
  <c r="D132" i="85"/>
  <c r="G85" i="85"/>
  <c r="G81" i="85"/>
  <c r="D77" i="85"/>
  <c r="G104" i="85"/>
  <c r="G156" i="85"/>
  <c r="G134" i="85"/>
  <c r="D118" i="85"/>
  <c r="G159" i="85"/>
  <c r="G130" i="85"/>
  <c r="G120" i="85"/>
  <c r="D104" i="85"/>
  <c r="D65" i="85"/>
  <c r="D61" i="85"/>
  <c r="D164" i="85"/>
  <c r="D152" i="85"/>
  <c r="D112" i="85"/>
  <c r="D106" i="85"/>
  <c r="D98" i="85"/>
  <c r="G77" i="85"/>
  <c r="D168" i="85"/>
  <c r="D159" i="85"/>
  <c r="G108" i="85"/>
  <c r="G94" i="85"/>
  <c r="G84" i="85"/>
  <c r="D81" i="85"/>
  <c r="D175" i="85"/>
  <c r="D163" i="85"/>
  <c r="G126" i="85"/>
  <c r="G116" i="85"/>
  <c r="D114" i="85"/>
  <c r="G96" i="85"/>
  <c r="G90" i="85"/>
  <c r="G69" i="85"/>
  <c r="G176" i="85"/>
  <c r="G164" i="85"/>
  <c r="G155" i="85"/>
  <c r="D102" i="85"/>
  <c r="G86" i="85"/>
  <c r="G80" i="85"/>
  <c r="D73" i="85"/>
  <c r="G179" i="85"/>
  <c r="G152" i="85"/>
  <c r="G121" i="85"/>
  <c r="G89" i="85"/>
  <c r="D69" i="85"/>
  <c r="G65" i="85"/>
  <c r="G62" i="85"/>
  <c r="D181" i="85"/>
  <c r="G171" i="85"/>
  <c r="D128" i="85"/>
  <c r="D110" i="85"/>
  <c r="D93" i="85"/>
  <c r="G72" i="85"/>
  <c r="D194" i="85"/>
  <c r="G194" i="85"/>
  <c r="D210" i="85"/>
  <c r="G210" i="85"/>
  <c r="G201" i="85"/>
  <c r="D186" i="85"/>
  <c r="G186" i="85"/>
  <c r="G205" i="85"/>
  <c r="G209" i="85"/>
  <c r="D198" i="85"/>
  <c r="G198" i="85"/>
  <c r="G213" i="85"/>
  <c r="D202" i="85"/>
  <c r="G202" i="85"/>
  <c r="G197" i="85"/>
  <c r="D209" i="85"/>
  <c r="D206" i="85"/>
  <c r="G206" i="85"/>
  <c r="D213" i="85"/>
  <c r="D197" i="85"/>
  <c r="D190" i="85"/>
  <c r="G190" i="85"/>
  <c r="D158" i="85"/>
  <c r="G158" i="85"/>
  <c r="D154" i="85"/>
  <c r="G154" i="85"/>
  <c r="G140" i="85"/>
  <c r="D140" i="85"/>
  <c r="D123" i="85"/>
  <c r="G123" i="85"/>
  <c r="G177" i="85"/>
  <c r="D177" i="85"/>
  <c r="G174" i="85"/>
  <c r="G170" i="85"/>
  <c r="G166" i="85"/>
  <c r="D143" i="85"/>
  <c r="G143" i="85"/>
  <c r="G182" i="85"/>
  <c r="G173" i="85"/>
  <c r="D173" i="85"/>
  <c r="G169" i="85"/>
  <c r="D169" i="85"/>
  <c r="D148" i="85"/>
  <c r="G148" i="85"/>
  <c r="G193" i="85"/>
  <c r="G189" i="85"/>
  <c r="G185" i="85"/>
  <c r="G181" i="85"/>
  <c r="D135" i="85"/>
  <c r="G135" i="85"/>
  <c r="G162" i="85"/>
  <c r="G178" i="85"/>
  <c r="D165" i="85"/>
  <c r="D161" i="85"/>
  <c r="D157" i="85"/>
  <c r="D153" i="85"/>
  <c r="D150" i="85"/>
  <c r="D145" i="85"/>
  <c r="G142" i="85"/>
  <c r="D137" i="85"/>
  <c r="D109" i="85"/>
  <c r="G109" i="85"/>
  <c r="D142" i="85"/>
  <c r="D125" i="85"/>
  <c r="D117" i="85"/>
  <c r="G117" i="85"/>
  <c r="D149" i="85"/>
  <c r="D144" i="85"/>
  <c r="D127" i="85"/>
  <c r="D129" i="85"/>
  <c r="D146" i="85"/>
  <c r="D141" i="85"/>
  <c r="G139" i="85"/>
  <c r="D131" i="85"/>
  <c r="D133" i="85"/>
  <c r="D113" i="85"/>
  <c r="G113" i="85"/>
  <c r="D119" i="85"/>
  <c r="D115" i="85"/>
  <c r="D111" i="85"/>
  <c r="D70" i="85"/>
  <c r="G70" i="85"/>
  <c r="G136" i="85"/>
  <c r="G132" i="85"/>
  <c r="G128" i="85"/>
  <c r="G124" i="85"/>
  <c r="G122" i="85"/>
  <c r="D75" i="85"/>
  <c r="G75" i="85"/>
  <c r="D88" i="85"/>
  <c r="G88" i="85"/>
  <c r="G92" i="85"/>
  <c r="D87" i="85"/>
  <c r="G87" i="85"/>
  <c r="D74" i="85"/>
  <c r="D97" i="85"/>
  <c r="D95" i="85"/>
  <c r="D90" i="85"/>
  <c r="D86" i="85"/>
  <c r="D80" i="85"/>
  <c r="D72" i="85"/>
  <c r="G103" i="85"/>
  <c r="G99" i="85"/>
  <c r="D79" i="85"/>
  <c r="G79" i="85"/>
  <c r="D78" i="85"/>
  <c r="G118" i="85"/>
  <c r="G114" i="85"/>
  <c r="G110" i="85"/>
  <c r="G106" i="85"/>
  <c r="G102" i="85"/>
  <c r="G98" i="85"/>
  <c r="D94" i="85"/>
  <c r="G91" i="85"/>
  <c r="D84" i="85"/>
  <c r="G82" i="85"/>
  <c r="G76" i="85"/>
  <c r="G68" i="85"/>
  <c r="D68" i="85"/>
  <c r="G93" i="85"/>
  <c r="D83" i="85"/>
  <c r="G83" i="85"/>
  <c r="D91" i="85"/>
  <c r="D82" i="85"/>
  <c r="D76" i="85"/>
  <c r="G71" i="85"/>
  <c r="G67" i="85"/>
  <c r="G63" i="85"/>
  <c r="G59" i="85"/>
  <c r="D64" i="85"/>
  <c r="D60" i="85"/>
  <c r="G58" i="85"/>
  <c r="G61" i="85"/>
  <c r="AD154" i="85" l="1"/>
  <c r="AA154" i="85"/>
  <c r="Y154" i="85"/>
  <c r="AG154" i="85"/>
  <c r="Z154" i="85"/>
  <c r="AE154" i="85"/>
  <c r="X154" i="85"/>
  <c r="AF154" i="85"/>
  <c r="W154" i="85"/>
  <c r="AC154" i="85"/>
  <c r="AI154" i="85"/>
  <c r="AB154" i="85"/>
  <c r="U154" i="85"/>
  <c r="AH154" i="85"/>
  <c r="V154" i="85"/>
  <c r="AC113" i="85"/>
  <c r="AD113" i="85"/>
  <c r="AA113" i="85"/>
  <c r="AE113" i="85"/>
  <c r="AF113" i="85"/>
  <c r="X113" i="85"/>
  <c r="AI113" i="85"/>
  <c r="AG113" i="85"/>
  <c r="U113" i="85"/>
  <c r="AH113" i="85"/>
  <c r="Y113" i="85"/>
  <c r="W113" i="85"/>
  <c r="V113" i="85"/>
  <c r="Z113" i="85"/>
  <c r="AB113" i="85"/>
  <c r="AD88" i="85"/>
  <c r="AF88" i="85"/>
  <c r="W88" i="85"/>
  <c r="AC88" i="85"/>
  <c r="AE88" i="85"/>
  <c r="U88" i="85"/>
  <c r="AH88" i="85"/>
  <c r="Y88" i="85"/>
  <c r="AA88" i="85"/>
  <c r="X88" i="85"/>
  <c r="AG88" i="85"/>
  <c r="V88" i="85"/>
  <c r="AI88" i="85"/>
  <c r="AB88" i="85"/>
  <c r="Z88" i="85"/>
  <c r="AB135" i="85"/>
  <c r="U135" i="85"/>
  <c r="V135" i="85"/>
  <c r="W135" i="85"/>
  <c r="X135" i="85"/>
  <c r="Y135" i="85"/>
  <c r="Z135" i="85"/>
  <c r="AA135" i="85"/>
  <c r="AC135" i="85"/>
  <c r="AD135" i="85"/>
  <c r="AE135" i="85"/>
  <c r="AF135" i="85"/>
  <c r="AG135" i="85"/>
  <c r="AH135" i="85"/>
  <c r="AI135" i="85"/>
  <c r="AB70" i="85"/>
  <c r="U70" i="85"/>
  <c r="AA70" i="85"/>
  <c r="Z70" i="85"/>
  <c r="AG70" i="85"/>
  <c r="V70" i="85"/>
  <c r="W70" i="85"/>
  <c r="AF70" i="85"/>
  <c r="AE70" i="85"/>
  <c r="AD70" i="85"/>
  <c r="AH70" i="85"/>
  <c r="X70" i="85"/>
  <c r="AC70" i="85"/>
  <c r="Y70" i="85"/>
  <c r="AI70" i="85"/>
  <c r="AD197" i="85"/>
  <c r="AC197" i="85"/>
  <c r="AB197" i="85"/>
  <c r="AA197" i="85"/>
  <c r="Z197" i="85"/>
  <c r="AI197" i="85"/>
  <c r="X197" i="85"/>
  <c r="W197" i="85"/>
  <c r="AH197" i="85"/>
  <c r="AG197" i="85"/>
  <c r="AF197" i="85"/>
  <c r="V197" i="85"/>
  <c r="Y197" i="85"/>
  <c r="AE197" i="85"/>
  <c r="U197" i="85"/>
  <c r="AH109" i="85"/>
  <c r="AF109" i="85"/>
  <c r="V109" i="85"/>
  <c r="Y109" i="85"/>
  <c r="AG109" i="85"/>
  <c r="W109" i="85"/>
  <c r="AC109" i="85"/>
  <c r="AA109" i="85"/>
  <c r="AB109" i="85"/>
  <c r="X109" i="85"/>
  <c r="AI109" i="85"/>
  <c r="U109" i="85"/>
  <c r="AD109" i="85"/>
  <c r="AE109" i="85"/>
  <c r="Z109" i="85"/>
  <c r="X194" i="85"/>
  <c r="AC194" i="85"/>
  <c r="AB194" i="85"/>
  <c r="AE194" i="85"/>
  <c r="Z194" i="85"/>
  <c r="W194" i="85"/>
  <c r="AI194" i="85"/>
  <c r="AH194" i="85"/>
  <c r="U194" i="85"/>
  <c r="V194" i="85"/>
  <c r="AG194" i="85"/>
  <c r="AA194" i="85"/>
  <c r="Y194" i="85"/>
  <c r="AF194" i="85"/>
  <c r="AD194" i="85"/>
  <c r="X158" i="85"/>
  <c r="AB158" i="85"/>
  <c r="AH158" i="85"/>
  <c r="W158" i="85"/>
  <c r="AI158" i="85"/>
  <c r="Y158" i="85"/>
  <c r="AC158" i="85"/>
  <c r="V158" i="85"/>
  <c r="AG158" i="85"/>
  <c r="Z158" i="85"/>
  <c r="AA158" i="85"/>
  <c r="AD158" i="85"/>
  <c r="U158" i="85"/>
  <c r="AF158" i="85"/>
  <c r="AE158" i="85"/>
  <c r="AI148" i="85"/>
  <c r="V148" i="85"/>
  <c r="AH148" i="85"/>
  <c r="AA148" i="85"/>
  <c r="AF148" i="85"/>
  <c r="AC148" i="85"/>
  <c r="AB148" i="85"/>
  <c r="Y148" i="85"/>
  <c r="Z148" i="85"/>
  <c r="AG148" i="85"/>
  <c r="X148" i="85"/>
  <c r="AD148" i="85"/>
  <c r="W148" i="85"/>
  <c r="U148" i="85"/>
  <c r="AE148" i="85"/>
  <c r="AG140" i="85"/>
  <c r="U140" i="85"/>
  <c r="V140" i="85"/>
  <c r="AI140" i="85"/>
  <c r="AH140" i="85"/>
  <c r="AF140" i="85"/>
  <c r="AE140" i="85"/>
  <c r="AD140" i="85"/>
  <c r="AC140" i="85"/>
  <c r="AB140" i="85"/>
  <c r="AA140" i="85"/>
  <c r="Z140" i="85"/>
  <c r="Y140" i="85"/>
  <c r="X140" i="85"/>
  <c r="W140" i="85"/>
  <c r="AD75" i="85"/>
  <c r="AC75" i="85"/>
  <c r="U75" i="85"/>
  <c r="V75" i="85"/>
  <c r="AI75" i="85"/>
  <c r="AB75" i="85"/>
  <c r="AG75" i="85"/>
  <c r="W75" i="85"/>
  <c r="AH75" i="85"/>
  <c r="AF75" i="85"/>
  <c r="AE75" i="85"/>
  <c r="AA75" i="85"/>
  <c r="Z75" i="85"/>
  <c r="Y75" i="85"/>
  <c r="X75" i="85"/>
  <c r="AF143" i="85"/>
  <c r="AD143" i="85"/>
  <c r="Y143" i="85"/>
  <c r="W143" i="85"/>
  <c r="AC143" i="85"/>
  <c r="AG143" i="85"/>
  <c r="AB143" i="85"/>
  <c r="U143" i="85"/>
  <c r="AA143" i="85"/>
  <c r="AH143" i="85"/>
  <c r="Z143" i="85"/>
  <c r="X143" i="85"/>
  <c r="V143" i="85"/>
  <c r="AE143" i="85"/>
  <c r="AI143" i="85"/>
  <c r="V123" i="85"/>
  <c r="U123" i="85"/>
  <c r="W123" i="85"/>
  <c r="X123" i="85"/>
  <c r="Y123" i="85"/>
  <c r="Z123" i="85"/>
  <c r="AA123" i="85"/>
  <c r="AB123" i="85"/>
  <c r="AC123" i="85"/>
  <c r="AD123" i="85"/>
  <c r="AE123" i="85"/>
  <c r="AF123" i="85"/>
  <c r="AG123" i="85"/>
  <c r="AH123" i="85"/>
  <c r="AI123" i="85"/>
  <c r="AF173" i="85"/>
  <c r="Z173" i="85"/>
  <c r="AE173" i="85"/>
  <c r="AA173" i="85"/>
  <c r="U173" i="85"/>
  <c r="Y173" i="85"/>
  <c r="AD173" i="85"/>
  <c r="AH173" i="85"/>
  <c r="X173" i="85"/>
  <c r="AB173" i="85"/>
  <c r="AI173" i="85"/>
  <c r="AG173" i="85"/>
  <c r="AC173" i="85"/>
  <c r="W173" i="85"/>
  <c r="V173" i="85"/>
  <c r="Z196" i="85"/>
  <c r="Y196" i="85"/>
  <c r="X196" i="85"/>
  <c r="V196" i="85"/>
  <c r="U196" i="85"/>
  <c r="W196" i="85"/>
  <c r="AH196" i="85"/>
  <c r="AI196" i="85"/>
  <c r="AG196" i="85"/>
  <c r="AF196" i="85"/>
  <c r="AE196" i="85"/>
  <c r="AD196" i="85"/>
  <c r="AC196" i="85"/>
  <c r="AB196" i="85"/>
  <c r="AA196" i="85"/>
  <c r="AH210" i="85"/>
  <c r="AD210" i="85"/>
  <c r="U210" i="85"/>
  <c r="X210" i="85"/>
  <c r="AA210" i="85"/>
  <c r="Z210" i="85"/>
  <c r="AC210" i="85"/>
  <c r="Y210" i="85"/>
  <c r="W210" i="85"/>
  <c r="V210" i="85"/>
  <c r="AF210" i="85"/>
  <c r="AB210" i="85"/>
  <c r="AG210" i="85"/>
  <c r="AE210" i="85"/>
  <c r="AI210" i="85"/>
  <c r="Y202" i="85"/>
  <c r="Z202" i="85"/>
  <c r="AA202" i="85"/>
  <c r="AB202" i="85"/>
  <c r="AD202" i="85"/>
  <c r="AE202" i="85"/>
  <c r="AF202" i="85"/>
  <c r="AI202" i="85"/>
  <c r="AG202" i="85"/>
  <c r="X202" i="85"/>
  <c r="W202" i="85"/>
  <c r="V202" i="85"/>
  <c r="U202" i="85"/>
  <c r="AC202" i="85"/>
  <c r="AH202" i="85"/>
  <c r="W209" i="85"/>
  <c r="AI209" i="85"/>
  <c r="AE209" i="85"/>
  <c r="AB209" i="85"/>
  <c r="Z209" i="85"/>
  <c r="V209" i="85"/>
  <c r="AA209" i="85"/>
  <c r="AD209" i="85"/>
  <c r="AG209" i="85"/>
  <c r="AC209" i="85"/>
  <c r="AF209" i="85"/>
  <c r="AH209" i="85"/>
  <c r="U209" i="85"/>
  <c r="X209" i="85"/>
  <c r="Y209" i="85"/>
  <c r="AG201" i="85"/>
  <c r="U201" i="85"/>
  <c r="V201" i="85"/>
  <c r="W201" i="85"/>
  <c r="X201" i="85"/>
  <c r="Y201" i="85"/>
  <c r="Z201" i="85"/>
  <c r="AA201" i="85"/>
  <c r="AB201" i="85"/>
  <c r="AC201" i="85"/>
  <c r="AD201" i="85"/>
  <c r="AE201" i="85"/>
  <c r="AF201" i="85"/>
  <c r="AI201" i="85"/>
  <c r="AH201" i="85"/>
  <c r="Y193" i="85"/>
  <c r="W193" i="85"/>
  <c r="AG193" i="85"/>
  <c r="X193" i="85"/>
  <c r="Z193" i="85"/>
  <c r="AI193" i="85"/>
  <c r="AH193" i="85"/>
  <c r="U193" i="85"/>
  <c r="AF193" i="85"/>
  <c r="AD193" i="85"/>
  <c r="AE193" i="85"/>
  <c r="AC193" i="85"/>
  <c r="V193" i="85"/>
  <c r="AB193" i="85"/>
  <c r="AA193" i="85"/>
  <c r="AF185" i="85"/>
  <c r="Y185" i="85"/>
  <c r="AA185" i="85"/>
  <c r="AB185" i="85"/>
  <c r="AD185" i="85"/>
  <c r="AE185" i="85"/>
  <c r="AH185" i="85"/>
  <c r="AG185" i="85"/>
  <c r="Z185" i="85"/>
  <c r="AI185" i="85"/>
  <c r="AC185" i="85"/>
  <c r="U185" i="85"/>
  <c r="V185" i="85"/>
  <c r="W185" i="85"/>
  <c r="X185" i="85"/>
  <c r="AF177" i="85"/>
  <c r="AI177" i="85"/>
  <c r="X177" i="85"/>
  <c r="Y177" i="85"/>
  <c r="W177" i="85"/>
  <c r="AC177" i="85"/>
  <c r="AH177" i="85"/>
  <c r="AB177" i="85"/>
  <c r="AE177" i="85"/>
  <c r="Z177" i="85"/>
  <c r="V177" i="85"/>
  <c r="AA177" i="85"/>
  <c r="AD177" i="85"/>
  <c r="U177" i="85"/>
  <c r="AG177" i="85"/>
  <c r="AD169" i="85"/>
  <c r="U169" i="85"/>
  <c r="V169" i="85"/>
  <c r="AH169" i="85"/>
  <c r="AB169" i="85"/>
  <c r="X169" i="85"/>
  <c r="W169" i="85"/>
  <c r="Z169" i="85"/>
  <c r="AF169" i="85"/>
  <c r="AI169" i="85"/>
  <c r="AC169" i="85"/>
  <c r="Y169" i="85"/>
  <c r="AE169" i="85"/>
  <c r="AA169" i="85"/>
  <c r="AG169" i="85"/>
  <c r="AH161" i="85"/>
  <c r="W161" i="85"/>
  <c r="V161" i="85"/>
  <c r="AB161" i="85"/>
  <c r="AF161" i="85"/>
  <c r="AE161" i="85"/>
  <c r="X161" i="85"/>
  <c r="AG161" i="85"/>
  <c r="Y161" i="85"/>
  <c r="AD161" i="85"/>
  <c r="AI161" i="85"/>
  <c r="AA161" i="85"/>
  <c r="AC161" i="85"/>
  <c r="Z161" i="85"/>
  <c r="U161" i="85"/>
  <c r="U200" i="85"/>
  <c r="AH200" i="85"/>
  <c r="X200" i="85"/>
  <c r="V200" i="85"/>
  <c r="W200" i="85"/>
  <c r="AI200" i="85"/>
  <c r="Y200" i="85"/>
  <c r="Z200" i="85"/>
  <c r="AA200" i="85"/>
  <c r="AB200" i="85"/>
  <c r="AC200" i="85"/>
  <c r="AD200" i="85"/>
  <c r="AE200" i="85"/>
  <c r="AF200" i="85"/>
  <c r="AG200" i="85"/>
  <c r="AI168" i="85"/>
  <c r="AH168" i="85"/>
  <c r="AC168" i="85"/>
  <c r="U168" i="85"/>
  <c r="AF168" i="85"/>
  <c r="AA168" i="85"/>
  <c r="X168" i="85"/>
  <c r="W168" i="85"/>
  <c r="AB168" i="85"/>
  <c r="AE168" i="85"/>
  <c r="Z168" i="85"/>
  <c r="AD168" i="85"/>
  <c r="AG168" i="85"/>
  <c r="V168" i="85"/>
  <c r="Y168" i="85"/>
  <c r="W183" i="85"/>
  <c r="AG183" i="85"/>
  <c r="AH183" i="85"/>
  <c r="AF183" i="85"/>
  <c r="AB183" i="85"/>
  <c r="U183" i="85"/>
  <c r="V183" i="85"/>
  <c r="AC183" i="85"/>
  <c r="Y183" i="85"/>
  <c r="AI183" i="85"/>
  <c r="Z183" i="85"/>
  <c r="AA183" i="85"/>
  <c r="AD183" i="85"/>
  <c r="X183" i="85"/>
  <c r="AE183" i="85"/>
  <c r="X167" i="85"/>
  <c r="V167" i="85"/>
  <c r="U167" i="85"/>
  <c r="AD167" i="85"/>
  <c r="AB167" i="85"/>
  <c r="AF167" i="85"/>
  <c r="Y167" i="85"/>
  <c r="AA167" i="85"/>
  <c r="W167" i="85"/>
  <c r="AE167" i="85"/>
  <c r="AI167" i="85"/>
  <c r="AG167" i="85"/>
  <c r="Z167" i="85"/>
  <c r="AC167" i="85"/>
  <c r="AH167" i="85"/>
  <c r="Y192" i="85"/>
  <c r="Z192" i="85"/>
  <c r="AA192" i="85"/>
  <c r="AI192" i="85"/>
  <c r="AH192" i="85"/>
  <c r="AG192" i="85"/>
  <c r="AF192" i="85"/>
  <c r="U192" i="85"/>
  <c r="AE192" i="85"/>
  <c r="AB192" i="85"/>
  <c r="AC192" i="85"/>
  <c r="AD192" i="85"/>
  <c r="V192" i="85"/>
  <c r="W192" i="85"/>
  <c r="X192" i="85"/>
  <c r="U160" i="85"/>
  <c r="AG160" i="85"/>
  <c r="Y160" i="85"/>
  <c r="AC160" i="85"/>
  <c r="X160" i="85"/>
  <c r="AF160" i="85"/>
  <c r="AI160" i="85"/>
  <c r="AD160" i="85"/>
  <c r="AA160" i="85"/>
  <c r="AE160" i="85"/>
  <c r="V160" i="85"/>
  <c r="W160" i="85"/>
  <c r="Z160" i="85"/>
  <c r="AB160" i="85"/>
  <c r="AH160" i="85"/>
  <c r="AI207" i="85"/>
  <c r="AC207" i="85"/>
  <c r="Y207" i="85"/>
  <c r="W207" i="85"/>
  <c r="AA207" i="85"/>
  <c r="U207" i="85"/>
  <c r="AF207" i="85"/>
  <c r="V207" i="85"/>
  <c r="Z207" i="85"/>
  <c r="AE207" i="85"/>
  <c r="AB207" i="85"/>
  <c r="X207" i="85"/>
  <c r="AD207" i="85"/>
  <c r="AG207" i="85"/>
  <c r="AH207" i="85"/>
  <c r="AE191" i="85"/>
  <c r="U191" i="85"/>
  <c r="V191" i="85"/>
  <c r="AI191" i="85"/>
  <c r="W191" i="85"/>
  <c r="X191" i="85"/>
  <c r="Y191" i="85"/>
  <c r="Z191" i="85"/>
  <c r="AB191" i="85"/>
  <c r="AC191" i="85"/>
  <c r="AD191" i="85"/>
  <c r="AF191" i="85"/>
  <c r="AG191" i="85"/>
  <c r="AH191" i="85"/>
  <c r="AA191" i="85"/>
  <c r="AE175" i="85"/>
  <c r="U175" i="85"/>
  <c r="W175" i="85"/>
  <c r="V175" i="85"/>
  <c r="AA175" i="85"/>
  <c r="AH175" i="85"/>
  <c r="AB175" i="85"/>
  <c r="Z175" i="85"/>
  <c r="AG175" i="85"/>
  <c r="AF175" i="85"/>
  <c r="X175" i="85"/>
  <c r="AD175" i="85"/>
  <c r="Y175" i="85"/>
  <c r="AC175" i="85"/>
  <c r="AI175" i="85"/>
  <c r="Y206" i="85"/>
  <c r="AG206" i="85"/>
  <c r="V206" i="85"/>
  <c r="Z206" i="85"/>
  <c r="AC206" i="85"/>
  <c r="AE206" i="85"/>
  <c r="AH206" i="85"/>
  <c r="AF206" i="85"/>
  <c r="AB206" i="85"/>
  <c r="U206" i="85"/>
  <c r="AI206" i="85"/>
  <c r="AD206" i="85"/>
  <c r="AA206" i="85"/>
  <c r="W206" i="85"/>
  <c r="X206" i="85"/>
  <c r="U198" i="85"/>
  <c r="V198" i="85"/>
  <c r="W198" i="85"/>
  <c r="X198" i="85"/>
  <c r="Y198" i="85"/>
  <c r="Z198" i="85"/>
  <c r="AA198" i="85"/>
  <c r="AB198" i="85"/>
  <c r="AC198" i="85"/>
  <c r="AD198" i="85"/>
  <c r="AE198" i="85"/>
  <c r="AF198" i="85"/>
  <c r="AG198" i="85"/>
  <c r="AH198" i="85"/>
  <c r="AI198" i="85"/>
  <c r="Z190" i="85"/>
  <c r="AA190" i="85"/>
  <c r="AB190" i="85"/>
  <c r="AC190" i="85"/>
  <c r="AD190" i="85"/>
  <c r="X190" i="85"/>
  <c r="W190" i="85"/>
  <c r="V190" i="85"/>
  <c r="U190" i="85"/>
  <c r="AE190" i="85"/>
  <c r="AF190" i="85"/>
  <c r="AG190" i="85"/>
  <c r="AH190" i="85"/>
  <c r="AI190" i="85"/>
  <c r="Y190" i="85"/>
  <c r="AE182" i="85"/>
  <c r="Z182" i="85"/>
  <c r="V182" i="85"/>
  <c r="AG182" i="85"/>
  <c r="Y182" i="85"/>
  <c r="AI182" i="85"/>
  <c r="AD182" i="85"/>
  <c r="AH182" i="85"/>
  <c r="AC182" i="85"/>
  <c r="X182" i="85"/>
  <c r="AB182" i="85"/>
  <c r="W182" i="85"/>
  <c r="U182" i="85"/>
  <c r="AF182" i="85"/>
  <c r="AA182" i="85"/>
  <c r="Y174" i="85"/>
  <c r="AI174" i="85"/>
  <c r="X174" i="85"/>
  <c r="AH174" i="85"/>
  <c r="AC174" i="85"/>
  <c r="U174" i="85"/>
  <c r="AG174" i="85"/>
  <c r="Z174" i="85"/>
  <c r="AA174" i="85"/>
  <c r="W174" i="85"/>
  <c r="AD174" i="85"/>
  <c r="AB174" i="85"/>
  <c r="AF174" i="85"/>
  <c r="AE174" i="85"/>
  <c r="V174" i="85"/>
  <c r="AF166" i="85"/>
  <c r="AE166" i="85"/>
  <c r="AG166" i="85"/>
  <c r="AA166" i="85"/>
  <c r="W166" i="85"/>
  <c r="V166" i="85"/>
  <c r="X166" i="85"/>
  <c r="AB166" i="85"/>
  <c r="AI166" i="85"/>
  <c r="AC166" i="85"/>
  <c r="Y166" i="85"/>
  <c r="U166" i="85"/>
  <c r="Z166" i="85"/>
  <c r="AD166" i="85"/>
  <c r="AH166" i="85"/>
  <c r="AI184" i="85"/>
  <c r="AE184" i="85"/>
  <c r="Z184" i="85"/>
  <c r="V184" i="85"/>
  <c r="AH184" i="85"/>
  <c r="X184" i="85"/>
  <c r="W184" i="85"/>
  <c r="U184" i="85"/>
  <c r="Y184" i="85"/>
  <c r="AC184" i="85"/>
  <c r="AF184" i="85"/>
  <c r="AG184" i="85"/>
  <c r="AB184" i="85"/>
  <c r="AD184" i="85"/>
  <c r="AA184" i="85"/>
  <c r="Z212" i="85"/>
  <c r="V212" i="85"/>
  <c r="AE212" i="85"/>
  <c r="AG212" i="85"/>
  <c r="AF212" i="85"/>
  <c r="AB212" i="85"/>
  <c r="AI212" i="85"/>
  <c r="AA212" i="85"/>
  <c r="W212" i="85"/>
  <c r="X212" i="85"/>
  <c r="AC212" i="85"/>
  <c r="AH212" i="85"/>
  <c r="AD212" i="85"/>
  <c r="Y212" i="85"/>
  <c r="U212" i="85"/>
  <c r="AH180" i="85"/>
  <c r="AC180" i="85"/>
  <c r="X180" i="85"/>
  <c r="AG180" i="85"/>
  <c r="AF180" i="85"/>
  <c r="AD180" i="85"/>
  <c r="U180" i="85"/>
  <c r="AE180" i="85"/>
  <c r="V180" i="85"/>
  <c r="AA180" i="85"/>
  <c r="AB180" i="85"/>
  <c r="W180" i="85"/>
  <c r="Y180" i="85"/>
  <c r="AI180" i="85"/>
  <c r="Z180" i="85"/>
  <c r="V164" i="85"/>
  <c r="X164" i="85"/>
  <c r="AA164" i="85"/>
  <c r="AE164" i="85"/>
  <c r="U164" i="85"/>
  <c r="Y164" i="85"/>
  <c r="AI164" i="85"/>
  <c r="AD164" i="85"/>
  <c r="AG164" i="85"/>
  <c r="W164" i="85"/>
  <c r="Z164" i="85"/>
  <c r="AH164" i="85"/>
  <c r="AB164" i="85"/>
  <c r="AC164" i="85"/>
  <c r="AF164" i="85"/>
  <c r="AE208" i="85"/>
  <c r="AG208" i="85"/>
  <c r="W208" i="85"/>
  <c r="AF208" i="85"/>
  <c r="X208" i="85"/>
  <c r="U208" i="85"/>
  <c r="Z208" i="85"/>
  <c r="V208" i="85"/>
  <c r="AA208" i="85"/>
  <c r="AH208" i="85"/>
  <c r="AD208" i="85"/>
  <c r="Y208" i="85"/>
  <c r="AB208" i="85"/>
  <c r="AI208" i="85"/>
  <c r="AC208" i="85"/>
  <c r="U176" i="85"/>
  <c r="X176" i="85"/>
  <c r="AC176" i="85"/>
  <c r="AI176" i="85"/>
  <c r="V176" i="85"/>
  <c r="Z176" i="85"/>
  <c r="AF176" i="85"/>
  <c r="AA176" i="85"/>
  <c r="AH176" i="85"/>
  <c r="AB176" i="85"/>
  <c r="Y176" i="85"/>
  <c r="AG176" i="85"/>
  <c r="AE176" i="85"/>
  <c r="W176" i="85"/>
  <c r="AD176" i="85"/>
  <c r="AA213" i="85"/>
  <c r="AI213" i="85"/>
  <c r="AE213" i="85"/>
  <c r="AH213" i="85"/>
  <c r="V213" i="85"/>
  <c r="X213" i="85"/>
  <c r="AB213" i="85"/>
  <c r="Z213" i="85"/>
  <c r="Y213" i="85"/>
  <c r="AC213" i="85"/>
  <c r="U213" i="85"/>
  <c r="AF213" i="85"/>
  <c r="AD213" i="85"/>
  <c r="W213" i="85"/>
  <c r="AG213" i="85"/>
  <c r="W189" i="85"/>
  <c r="AI189" i="85"/>
  <c r="U189" i="85"/>
  <c r="V189" i="85"/>
  <c r="Y189" i="85"/>
  <c r="Z189" i="85"/>
  <c r="AA189" i="85"/>
  <c r="AB189" i="85"/>
  <c r="AC189" i="85"/>
  <c r="AD189" i="85"/>
  <c r="AE189" i="85"/>
  <c r="AF189" i="85"/>
  <c r="AG189" i="85"/>
  <c r="AH189" i="85"/>
  <c r="X189" i="85"/>
  <c r="AC165" i="85"/>
  <c r="Y165" i="85"/>
  <c r="W165" i="85"/>
  <c r="AA165" i="85"/>
  <c r="AE165" i="85"/>
  <c r="AI165" i="85"/>
  <c r="Z165" i="85"/>
  <c r="AD165" i="85"/>
  <c r="AH165" i="85"/>
  <c r="U165" i="85"/>
  <c r="AF165" i="85"/>
  <c r="AB165" i="85"/>
  <c r="V165" i="85"/>
  <c r="X165" i="85"/>
  <c r="AG165" i="85"/>
  <c r="AH204" i="85"/>
  <c r="X204" i="85"/>
  <c r="W204" i="85"/>
  <c r="V204" i="85"/>
  <c r="AB204" i="85"/>
  <c r="AD204" i="85"/>
  <c r="AF204" i="85"/>
  <c r="AI204" i="85"/>
  <c r="U204" i="85"/>
  <c r="AA204" i="85"/>
  <c r="Z204" i="85"/>
  <c r="Y204" i="85"/>
  <c r="AC204" i="85"/>
  <c r="AE204" i="85"/>
  <c r="AG204" i="85"/>
  <c r="AI188" i="85"/>
  <c r="U188" i="85"/>
  <c r="V188" i="85"/>
  <c r="W188" i="85"/>
  <c r="X188" i="85"/>
  <c r="Y188" i="85"/>
  <c r="Z188" i="85"/>
  <c r="AA188" i="85"/>
  <c r="AB188" i="85"/>
  <c r="AE188" i="85"/>
  <c r="AD188" i="85"/>
  <c r="AH188" i="85"/>
  <c r="AC188" i="85"/>
  <c r="AF188" i="85"/>
  <c r="AG188" i="85"/>
  <c r="AG172" i="85"/>
  <c r="W172" i="85"/>
  <c r="AB172" i="85"/>
  <c r="AC172" i="85"/>
  <c r="AI172" i="85"/>
  <c r="V172" i="85"/>
  <c r="X172" i="85"/>
  <c r="AH172" i="85"/>
  <c r="Y172" i="85"/>
  <c r="AD172" i="85"/>
  <c r="AE172" i="85"/>
  <c r="Z172" i="85"/>
  <c r="U172" i="85"/>
  <c r="AA172" i="85"/>
  <c r="AF172" i="85"/>
  <c r="W211" i="85"/>
  <c r="AC211" i="85"/>
  <c r="AF211" i="85"/>
  <c r="AA211" i="85"/>
  <c r="V211" i="85"/>
  <c r="AB211" i="85"/>
  <c r="AE211" i="85"/>
  <c r="AG211" i="85"/>
  <c r="Z211" i="85"/>
  <c r="X211" i="85"/>
  <c r="AH211" i="85"/>
  <c r="U211" i="85"/>
  <c r="Y211" i="85"/>
  <c r="AD211" i="85"/>
  <c r="AI211" i="85"/>
  <c r="Z203" i="85"/>
  <c r="AF203" i="85"/>
  <c r="AE203" i="85"/>
  <c r="AD203" i="85"/>
  <c r="AC203" i="85"/>
  <c r="AB203" i="85"/>
  <c r="AA203" i="85"/>
  <c r="Y203" i="85"/>
  <c r="X203" i="85"/>
  <c r="V203" i="85"/>
  <c r="U203" i="85"/>
  <c r="W203" i="85"/>
  <c r="AI203" i="85"/>
  <c r="AH203" i="85"/>
  <c r="AG203" i="85"/>
  <c r="V195" i="85"/>
  <c r="W195" i="85"/>
  <c r="X195" i="85"/>
  <c r="Y195" i="85"/>
  <c r="Z195" i="85"/>
  <c r="AA195" i="85"/>
  <c r="AB195" i="85"/>
  <c r="AC195" i="85"/>
  <c r="AD195" i="85"/>
  <c r="AE195" i="85"/>
  <c r="AF195" i="85"/>
  <c r="U195" i="85"/>
  <c r="AG195" i="85"/>
  <c r="AH195" i="85"/>
  <c r="AI195" i="85"/>
  <c r="X187" i="85"/>
  <c r="AH187" i="85"/>
  <c r="Z187" i="85"/>
  <c r="AI187" i="85"/>
  <c r="AG187" i="85"/>
  <c r="AF187" i="85"/>
  <c r="AE187" i="85"/>
  <c r="AD187" i="85"/>
  <c r="AC187" i="85"/>
  <c r="AB187" i="85"/>
  <c r="AA187" i="85"/>
  <c r="U187" i="85"/>
  <c r="V187" i="85"/>
  <c r="W187" i="85"/>
  <c r="Y187" i="85"/>
  <c r="AG179" i="85"/>
  <c r="AC179" i="85"/>
  <c r="U179" i="85"/>
  <c r="Z179" i="85"/>
  <c r="AF179" i="85"/>
  <c r="AH179" i="85"/>
  <c r="AD179" i="85"/>
  <c r="AI179" i="85"/>
  <c r="AE179" i="85"/>
  <c r="AA179" i="85"/>
  <c r="V179" i="85"/>
  <c r="X179" i="85"/>
  <c r="W179" i="85"/>
  <c r="AB179" i="85"/>
  <c r="Y179" i="85"/>
  <c r="V171" i="85"/>
  <c r="AI171" i="85"/>
  <c r="AC171" i="85"/>
  <c r="X171" i="85"/>
  <c r="AA171" i="85"/>
  <c r="AE171" i="85"/>
  <c r="Z171" i="85"/>
  <c r="AF171" i="85"/>
  <c r="W171" i="85"/>
  <c r="U171" i="85"/>
  <c r="Y171" i="85"/>
  <c r="AD171" i="85"/>
  <c r="AH171" i="85"/>
  <c r="AB171" i="85"/>
  <c r="AG171" i="85"/>
  <c r="X163" i="85"/>
  <c r="W163" i="85"/>
  <c r="AG163" i="85"/>
  <c r="AI163" i="85"/>
  <c r="AF163" i="85"/>
  <c r="AD163" i="85"/>
  <c r="Y163" i="85"/>
  <c r="AC163" i="85"/>
  <c r="AH163" i="85"/>
  <c r="AB163" i="85"/>
  <c r="U163" i="85"/>
  <c r="Z163" i="85"/>
  <c r="AE163" i="85"/>
  <c r="V163" i="85"/>
  <c r="AA163" i="85"/>
  <c r="W199" i="85"/>
  <c r="AI199" i="85"/>
  <c r="AG199" i="85"/>
  <c r="AF199" i="85"/>
  <c r="AE199" i="85"/>
  <c r="AC199" i="85"/>
  <c r="AB199" i="85"/>
  <c r="AD199" i="85"/>
  <c r="AA199" i="85"/>
  <c r="Z199" i="85"/>
  <c r="Y199" i="85"/>
  <c r="X199" i="85"/>
  <c r="V199" i="85"/>
  <c r="U199" i="85"/>
  <c r="AH199" i="85"/>
  <c r="W205" i="85"/>
  <c r="V205" i="85"/>
  <c r="Z205" i="85"/>
  <c r="AD205" i="85"/>
  <c r="AE205" i="85"/>
  <c r="AA205" i="85"/>
  <c r="AC205" i="85"/>
  <c r="AI205" i="85"/>
  <c r="U205" i="85"/>
  <c r="AF205" i="85"/>
  <c r="AH205" i="85"/>
  <c r="AG205" i="85"/>
  <c r="X205" i="85"/>
  <c r="AB205" i="85"/>
  <c r="Y205" i="85"/>
  <c r="V181" i="85"/>
  <c r="AA181" i="85"/>
  <c r="AE181" i="85"/>
  <c r="U181" i="85"/>
  <c r="X181" i="85"/>
  <c r="AB181" i="85"/>
  <c r="AF181" i="85"/>
  <c r="AD181" i="85"/>
  <c r="AH181" i="85"/>
  <c r="Z181" i="85"/>
  <c r="AI181" i="85"/>
  <c r="AG181" i="85"/>
  <c r="AC181" i="85"/>
  <c r="Y181" i="85"/>
  <c r="W181" i="85"/>
  <c r="Y186" i="85"/>
  <c r="Z186" i="85"/>
  <c r="AA186" i="85"/>
  <c r="AB186" i="85"/>
  <c r="AC186" i="85"/>
  <c r="AD186" i="85"/>
  <c r="AE186" i="85"/>
  <c r="U186" i="85"/>
  <c r="V186" i="85"/>
  <c r="W186" i="85"/>
  <c r="X186" i="85"/>
  <c r="AI186" i="85"/>
  <c r="AH186" i="85"/>
  <c r="AF186" i="85"/>
  <c r="AG186" i="85"/>
  <c r="X178" i="85"/>
  <c r="U178" i="85"/>
  <c r="AC178" i="85"/>
  <c r="AH178" i="85"/>
  <c r="AI178" i="85"/>
  <c r="AD178" i="85"/>
  <c r="AB178" i="85"/>
  <c r="AE178" i="85"/>
  <c r="Z178" i="85"/>
  <c r="V178" i="85"/>
  <c r="AG178" i="85"/>
  <c r="Y178" i="85"/>
  <c r="AA178" i="85"/>
  <c r="W178" i="85"/>
  <c r="AF178" i="85"/>
  <c r="AI170" i="85"/>
  <c r="V170" i="85"/>
  <c r="AA170" i="85"/>
  <c r="AF170" i="85"/>
  <c r="AE170" i="85"/>
  <c r="AC170" i="85"/>
  <c r="X170" i="85"/>
  <c r="Y170" i="85"/>
  <c r="AD170" i="85"/>
  <c r="AG170" i="85"/>
  <c r="AH170" i="85"/>
  <c r="Z170" i="85"/>
  <c r="U170" i="85"/>
  <c r="W170" i="85"/>
  <c r="AB170" i="85"/>
  <c r="X162" i="85"/>
  <c r="AC162" i="85"/>
  <c r="AH162" i="85"/>
  <c r="AD162" i="85"/>
  <c r="Y162" i="85"/>
  <c r="AI162" i="85"/>
  <c r="AE162" i="85"/>
  <c r="U162" i="85"/>
  <c r="Z162" i="85"/>
  <c r="AB162" i="85"/>
  <c r="AG162" i="85"/>
  <c r="W162" i="85"/>
  <c r="AA162" i="85"/>
  <c r="AF162" i="85"/>
  <c r="V162" i="85"/>
  <c r="U112" i="85"/>
  <c r="AI112" i="85"/>
  <c r="AE112" i="85"/>
  <c r="AD112" i="85"/>
  <c r="AC112" i="85"/>
  <c r="AB112" i="85"/>
  <c r="AG112" i="85"/>
  <c r="AH112" i="85"/>
  <c r="AF112" i="85"/>
  <c r="AA112" i="85"/>
  <c r="Z112" i="85"/>
  <c r="Y112" i="85"/>
  <c r="X112" i="85"/>
  <c r="W112" i="85"/>
  <c r="V112" i="85"/>
  <c r="W153" i="85"/>
  <c r="AD153" i="85"/>
  <c r="X153" i="85"/>
  <c r="AB153" i="85"/>
  <c r="U153" i="85"/>
  <c r="AI153" i="85"/>
  <c r="AC153" i="85"/>
  <c r="AF153" i="85"/>
  <c r="AA153" i="85"/>
  <c r="AG153" i="85"/>
  <c r="Z153" i="85"/>
  <c r="AE153" i="85"/>
  <c r="V153" i="85"/>
  <c r="AH153" i="85"/>
  <c r="Y153" i="85"/>
  <c r="AI145" i="85"/>
  <c r="AE145" i="85"/>
  <c r="Z145" i="85"/>
  <c r="AC145" i="85"/>
  <c r="AF145" i="85"/>
  <c r="Y145" i="85"/>
  <c r="X145" i="85"/>
  <c r="AA145" i="85"/>
  <c r="AD145" i="85"/>
  <c r="V145" i="85"/>
  <c r="W145" i="85"/>
  <c r="AH145" i="85"/>
  <c r="U145" i="85"/>
  <c r="AG145" i="85"/>
  <c r="AB145" i="85"/>
  <c r="V137" i="85"/>
  <c r="U137" i="85"/>
  <c r="Y137" i="85"/>
  <c r="AI137" i="85"/>
  <c r="X137" i="85"/>
  <c r="AH137" i="85"/>
  <c r="AG137" i="85"/>
  <c r="W137" i="85"/>
  <c r="Z137" i="85"/>
  <c r="AA137" i="85"/>
  <c r="AB137" i="85"/>
  <c r="AC137" i="85"/>
  <c r="AD137" i="85"/>
  <c r="AE137" i="85"/>
  <c r="AF137" i="85"/>
  <c r="U129" i="85"/>
  <c r="AE129" i="85"/>
  <c r="AF129" i="85"/>
  <c r="AG129" i="85"/>
  <c r="AH129" i="85"/>
  <c r="AI129" i="85"/>
  <c r="V129" i="85"/>
  <c r="Z129" i="85"/>
  <c r="Y129" i="85"/>
  <c r="AD129" i="85"/>
  <c r="AC129" i="85"/>
  <c r="AB129" i="85"/>
  <c r="X129" i="85"/>
  <c r="W129" i="85"/>
  <c r="AA129" i="85"/>
  <c r="V121" i="85"/>
  <c r="W121" i="85"/>
  <c r="AF121" i="85"/>
  <c r="AG121" i="85"/>
  <c r="AC121" i="85"/>
  <c r="AI121" i="85"/>
  <c r="AE121" i="85"/>
  <c r="AD121" i="85"/>
  <c r="AB121" i="85"/>
  <c r="AA121" i="85"/>
  <c r="X121" i="85"/>
  <c r="Z121" i="85"/>
  <c r="AH121" i="85"/>
  <c r="U121" i="85"/>
  <c r="Y121" i="85"/>
  <c r="Z104" i="85"/>
  <c r="AC104" i="85"/>
  <c r="AF104" i="85"/>
  <c r="Y104" i="85"/>
  <c r="AB104" i="85"/>
  <c r="W104" i="85"/>
  <c r="AH104" i="85"/>
  <c r="AD104" i="85"/>
  <c r="X104" i="85"/>
  <c r="AI104" i="85"/>
  <c r="AE104" i="85"/>
  <c r="U104" i="85"/>
  <c r="AA104" i="85"/>
  <c r="AG104" i="85"/>
  <c r="V104" i="85"/>
  <c r="AC96" i="85"/>
  <c r="U96" i="85"/>
  <c r="X96" i="85"/>
  <c r="Z96" i="85"/>
  <c r="AD96" i="85"/>
  <c r="AG96" i="85"/>
  <c r="AB96" i="85"/>
  <c r="AH96" i="85"/>
  <c r="AI96" i="85"/>
  <c r="AE96" i="85"/>
  <c r="AF96" i="85"/>
  <c r="W96" i="85"/>
  <c r="Y96" i="85"/>
  <c r="V96" i="85"/>
  <c r="AA96" i="85"/>
  <c r="AI80" i="85"/>
  <c r="X80" i="85"/>
  <c r="AH80" i="85"/>
  <c r="U80" i="85"/>
  <c r="W80" i="85"/>
  <c r="Z80" i="85"/>
  <c r="AC80" i="85"/>
  <c r="AD80" i="85"/>
  <c r="AF80" i="85"/>
  <c r="AG80" i="85"/>
  <c r="V80" i="85"/>
  <c r="AE80" i="85"/>
  <c r="Y80" i="85"/>
  <c r="AA80" i="85"/>
  <c r="AB80" i="85"/>
  <c r="AD72" i="85"/>
  <c r="V72" i="85"/>
  <c r="W72" i="85"/>
  <c r="X72" i="85"/>
  <c r="AH72" i="85"/>
  <c r="Z72" i="85"/>
  <c r="AC72" i="85"/>
  <c r="AI72" i="85"/>
  <c r="AG72" i="85"/>
  <c r="Y72" i="85"/>
  <c r="AB72" i="85"/>
  <c r="U72" i="85"/>
  <c r="AF72" i="85"/>
  <c r="AE72" i="85"/>
  <c r="AA72" i="85"/>
  <c r="AB64" i="85"/>
  <c r="AC64" i="85"/>
  <c r="AD64" i="85"/>
  <c r="AE64" i="85"/>
  <c r="AF64" i="85"/>
  <c r="AG64" i="85"/>
  <c r="AH64" i="85"/>
  <c r="AI64" i="85"/>
  <c r="U64" i="85"/>
  <c r="V64" i="85"/>
  <c r="W64" i="85"/>
  <c r="X64" i="85"/>
  <c r="Y64" i="85"/>
  <c r="Z64" i="85"/>
  <c r="AA64" i="85"/>
  <c r="Z144" i="85"/>
  <c r="AC144" i="85"/>
  <c r="AI144" i="85"/>
  <c r="AF144" i="85"/>
  <c r="Y144" i="85"/>
  <c r="AB144" i="85"/>
  <c r="W144" i="85"/>
  <c r="U144" i="85"/>
  <c r="AH144" i="85"/>
  <c r="V144" i="85"/>
  <c r="AA144" i="85"/>
  <c r="AG144" i="85"/>
  <c r="AE144" i="85"/>
  <c r="AD144" i="85"/>
  <c r="X144" i="85"/>
  <c r="V103" i="85"/>
  <c r="AD103" i="85"/>
  <c r="AE103" i="85"/>
  <c r="Y103" i="85"/>
  <c r="X103" i="85"/>
  <c r="AF103" i="85"/>
  <c r="AI103" i="85"/>
  <c r="Z103" i="85"/>
  <c r="AH103" i="85"/>
  <c r="AB103" i="85"/>
  <c r="W103" i="85"/>
  <c r="U103" i="85"/>
  <c r="AA103" i="85"/>
  <c r="AG103" i="85"/>
  <c r="AC103" i="85"/>
  <c r="AC63" i="85"/>
  <c r="U63" i="85"/>
  <c r="V63" i="85"/>
  <c r="W63" i="85"/>
  <c r="X63" i="85"/>
  <c r="Y63" i="85"/>
  <c r="Z63" i="85"/>
  <c r="AA63" i="85"/>
  <c r="AB63" i="85"/>
  <c r="AD63" i="85"/>
  <c r="AE63" i="85"/>
  <c r="AF63" i="85"/>
  <c r="AG63" i="85"/>
  <c r="AH63" i="85"/>
  <c r="AI63" i="85"/>
  <c r="AD159" i="85"/>
  <c r="Y159" i="85"/>
  <c r="U159" i="85"/>
  <c r="W159" i="85"/>
  <c r="AG159" i="85"/>
  <c r="AE159" i="85"/>
  <c r="AH159" i="85"/>
  <c r="AC159" i="85"/>
  <c r="AB159" i="85"/>
  <c r="V159" i="85"/>
  <c r="AF159" i="85"/>
  <c r="X159" i="85"/>
  <c r="Z159" i="85"/>
  <c r="AA159" i="85"/>
  <c r="AI159" i="85"/>
  <c r="AB151" i="85"/>
  <c r="AI151" i="85"/>
  <c r="AH151" i="85"/>
  <c r="Z151" i="85"/>
  <c r="U151" i="85"/>
  <c r="Y151" i="85"/>
  <c r="AA151" i="85"/>
  <c r="AG151" i="85"/>
  <c r="AE151" i="85"/>
  <c r="X151" i="85"/>
  <c r="W151" i="85"/>
  <c r="AC151" i="85"/>
  <c r="AF151" i="85"/>
  <c r="AD151" i="85"/>
  <c r="V151" i="85"/>
  <c r="U127" i="85"/>
  <c r="AE127" i="85"/>
  <c r="AG127" i="85"/>
  <c r="AH127" i="85"/>
  <c r="AF127" i="85"/>
  <c r="Z127" i="85"/>
  <c r="Y127" i="85"/>
  <c r="AA127" i="85"/>
  <c r="AB127" i="85"/>
  <c r="AI127" i="85"/>
  <c r="X127" i="85"/>
  <c r="AD127" i="85"/>
  <c r="W127" i="85"/>
  <c r="V127" i="85"/>
  <c r="AC127" i="85"/>
  <c r="AB119" i="85"/>
  <c r="AA119" i="85"/>
  <c r="Z119" i="85"/>
  <c r="AG119" i="85"/>
  <c r="AI119" i="85"/>
  <c r="AH119" i="85"/>
  <c r="X119" i="85"/>
  <c r="U119" i="85"/>
  <c r="V119" i="85"/>
  <c r="W119" i="85"/>
  <c r="Y119" i="85"/>
  <c r="AF119" i="85"/>
  <c r="AC119" i="85"/>
  <c r="AE119" i="85"/>
  <c r="AD119" i="85"/>
  <c r="AH111" i="85"/>
  <c r="Y111" i="85"/>
  <c r="Z111" i="85"/>
  <c r="V111" i="85"/>
  <c r="U111" i="85"/>
  <c r="X111" i="85"/>
  <c r="AA111" i="85"/>
  <c r="W111" i="85"/>
  <c r="AB111" i="85"/>
  <c r="AF111" i="85"/>
  <c r="AC111" i="85"/>
  <c r="AG111" i="85"/>
  <c r="AE111" i="85"/>
  <c r="AD111" i="85"/>
  <c r="AI111" i="85"/>
  <c r="AD102" i="85"/>
  <c r="AH102" i="85"/>
  <c r="U102" i="85"/>
  <c r="AG102" i="85"/>
  <c r="AE102" i="85"/>
  <c r="AF102" i="85"/>
  <c r="Y102" i="85"/>
  <c r="Z102" i="85"/>
  <c r="AI102" i="85"/>
  <c r="AC102" i="85"/>
  <c r="W102" i="85"/>
  <c r="AA102" i="85"/>
  <c r="V102" i="85"/>
  <c r="X102" i="85"/>
  <c r="AB102" i="85"/>
  <c r="W94" i="85"/>
  <c r="AH94" i="85"/>
  <c r="Z94" i="85"/>
  <c r="Y94" i="85"/>
  <c r="AE94" i="85"/>
  <c r="V94" i="85"/>
  <c r="AC94" i="85"/>
  <c r="AD94" i="85"/>
  <c r="AI94" i="85"/>
  <c r="U94" i="85"/>
  <c r="X94" i="85"/>
  <c r="AA94" i="85"/>
  <c r="AF94" i="85"/>
  <c r="AG94" i="85"/>
  <c r="AB94" i="85"/>
  <c r="U86" i="85"/>
  <c r="AI86" i="85"/>
  <c r="X86" i="85"/>
  <c r="V86" i="85"/>
  <c r="AB86" i="85"/>
  <c r="AH86" i="85"/>
  <c r="W86" i="85"/>
  <c r="AA86" i="85"/>
  <c r="AG86" i="85"/>
  <c r="AF86" i="85"/>
  <c r="AC86" i="85"/>
  <c r="AE86" i="85"/>
  <c r="Y86" i="85"/>
  <c r="Z86" i="85"/>
  <c r="AD86" i="85"/>
  <c r="U78" i="85"/>
  <c r="V78" i="85"/>
  <c r="AH78" i="85"/>
  <c r="W78" i="85"/>
  <c r="AI78" i="85"/>
  <c r="AD78" i="85"/>
  <c r="Z78" i="85"/>
  <c r="AF78" i="85"/>
  <c r="AC78" i="85"/>
  <c r="Y78" i="85"/>
  <c r="X78" i="85"/>
  <c r="AE78" i="85"/>
  <c r="AB78" i="85"/>
  <c r="AA78" i="85"/>
  <c r="AG78" i="85"/>
  <c r="AD62" i="85"/>
  <c r="AE62" i="85"/>
  <c r="U62" i="85"/>
  <c r="AC62" i="85"/>
  <c r="AB62" i="85"/>
  <c r="AA62" i="85"/>
  <c r="Z62" i="85"/>
  <c r="Y62" i="85"/>
  <c r="X62" i="85"/>
  <c r="W62" i="85"/>
  <c r="V62" i="85"/>
  <c r="AI62" i="85"/>
  <c r="AH62" i="85"/>
  <c r="AG62" i="85"/>
  <c r="AF62" i="85"/>
  <c r="Y95" i="85"/>
  <c r="V95" i="85"/>
  <c r="AG95" i="85"/>
  <c r="AD95" i="85"/>
  <c r="AH95" i="85"/>
  <c r="AC95" i="85"/>
  <c r="AA95" i="85"/>
  <c r="W95" i="85"/>
  <c r="AB95" i="85"/>
  <c r="AF95" i="85"/>
  <c r="AE95" i="85"/>
  <c r="Z95" i="85"/>
  <c r="X95" i="85"/>
  <c r="AI95" i="85"/>
  <c r="U95" i="85"/>
  <c r="AG150" i="85"/>
  <c r="AI150" i="85"/>
  <c r="AA150" i="85"/>
  <c r="U150" i="85"/>
  <c r="AB150" i="85"/>
  <c r="W150" i="85"/>
  <c r="AH150" i="85"/>
  <c r="AE150" i="85"/>
  <c r="AC150" i="85"/>
  <c r="X150" i="85"/>
  <c r="AF150" i="85"/>
  <c r="Y150" i="85"/>
  <c r="Z150" i="85"/>
  <c r="AD150" i="85"/>
  <c r="V150" i="85"/>
  <c r="AA142" i="85"/>
  <c r="U142" i="85"/>
  <c r="X142" i="85"/>
  <c r="AG142" i="85"/>
  <c r="AB142" i="85"/>
  <c r="AF142" i="85"/>
  <c r="Y142" i="85"/>
  <c r="AD142" i="85"/>
  <c r="AI142" i="85"/>
  <c r="Z142" i="85"/>
  <c r="AH142" i="85"/>
  <c r="W142" i="85"/>
  <c r="AE142" i="85"/>
  <c r="AC142" i="85"/>
  <c r="V142" i="85"/>
  <c r="AI134" i="85"/>
  <c r="AF134" i="85"/>
  <c r="AE134" i="85"/>
  <c r="U134" i="85"/>
  <c r="AD134" i="85"/>
  <c r="AA134" i="85"/>
  <c r="AB134" i="85"/>
  <c r="Y134" i="85"/>
  <c r="X134" i="85"/>
  <c r="W134" i="85"/>
  <c r="AG134" i="85"/>
  <c r="Z134" i="85"/>
  <c r="V134" i="85"/>
  <c r="AC134" i="85"/>
  <c r="AH134" i="85"/>
  <c r="W126" i="85"/>
  <c r="X126" i="85"/>
  <c r="Y126" i="85"/>
  <c r="Z126" i="85"/>
  <c r="AA126" i="85"/>
  <c r="AB126" i="85"/>
  <c r="AC126" i="85"/>
  <c r="AD126" i="85"/>
  <c r="AE126" i="85"/>
  <c r="AF126" i="85"/>
  <c r="AG126" i="85"/>
  <c r="AH126" i="85"/>
  <c r="AI126" i="85"/>
  <c r="U126" i="85"/>
  <c r="V126" i="85"/>
  <c r="U118" i="85"/>
  <c r="Y118" i="85"/>
  <c r="AI118" i="85"/>
  <c r="AB118" i="85"/>
  <c r="Z118" i="85"/>
  <c r="AH118" i="85"/>
  <c r="AF118" i="85"/>
  <c r="AG118" i="85"/>
  <c r="V118" i="85"/>
  <c r="X118" i="85"/>
  <c r="AE118" i="85"/>
  <c r="AC118" i="85"/>
  <c r="AD118" i="85"/>
  <c r="AA118" i="85"/>
  <c r="W118" i="85"/>
  <c r="AF110" i="85"/>
  <c r="AI110" i="85"/>
  <c r="Z110" i="85"/>
  <c r="AH110" i="85"/>
  <c r="AE110" i="85"/>
  <c r="V110" i="85"/>
  <c r="Y110" i="85"/>
  <c r="AB110" i="85"/>
  <c r="W110" i="85"/>
  <c r="U110" i="85"/>
  <c r="AG110" i="85"/>
  <c r="AA110" i="85"/>
  <c r="AC110" i="85"/>
  <c r="AD110" i="85"/>
  <c r="X110" i="85"/>
  <c r="Z93" i="85"/>
  <c r="AH93" i="85"/>
  <c r="AD93" i="85"/>
  <c r="AF93" i="85"/>
  <c r="U93" i="85"/>
  <c r="Y93" i="85"/>
  <c r="AG93" i="85"/>
  <c r="AB93" i="85"/>
  <c r="AA93" i="85"/>
  <c r="V93" i="85"/>
  <c r="AI93" i="85"/>
  <c r="AE93" i="85"/>
  <c r="X93" i="85"/>
  <c r="W93" i="85"/>
  <c r="AC93" i="85"/>
  <c r="W85" i="85"/>
  <c r="X85" i="85"/>
  <c r="AC85" i="85"/>
  <c r="AG85" i="85"/>
  <c r="Y85" i="85"/>
  <c r="AH85" i="85"/>
  <c r="AE85" i="85"/>
  <c r="AI85" i="85"/>
  <c r="U85" i="85"/>
  <c r="AA85" i="85"/>
  <c r="AD85" i="85"/>
  <c r="V85" i="85"/>
  <c r="Z85" i="85"/>
  <c r="AB85" i="85"/>
  <c r="AF85" i="85"/>
  <c r="AF77" i="85"/>
  <c r="AE77" i="85"/>
  <c r="AD77" i="85"/>
  <c r="AC77" i="85"/>
  <c r="AB77" i="85"/>
  <c r="AA77" i="85"/>
  <c r="Z77" i="85"/>
  <c r="Y77" i="85"/>
  <c r="X77" i="85"/>
  <c r="W77" i="85"/>
  <c r="V77" i="85"/>
  <c r="U77" i="85"/>
  <c r="AI77" i="85"/>
  <c r="AH77" i="85"/>
  <c r="AG77" i="85"/>
  <c r="X69" i="85"/>
  <c r="AD69" i="85"/>
  <c r="Z69" i="85"/>
  <c r="AF69" i="85"/>
  <c r="AG69" i="85"/>
  <c r="AH69" i="85"/>
  <c r="AE69" i="85"/>
  <c r="Y69" i="85"/>
  <c r="AA69" i="85"/>
  <c r="W69" i="85"/>
  <c r="AI69" i="85"/>
  <c r="V69" i="85"/>
  <c r="U69" i="85"/>
  <c r="AC69" i="85"/>
  <c r="AB69" i="85"/>
  <c r="U61" i="85"/>
  <c r="V61" i="85"/>
  <c r="W61" i="85"/>
  <c r="X61" i="85"/>
  <c r="Y61" i="85"/>
  <c r="Z61" i="85"/>
  <c r="AA61" i="85"/>
  <c r="AB61" i="85"/>
  <c r="AC61" i="85"/>
  <c r="AD61" i="85"/>
  <c r="AE61" i="85"/>
  <c r="AG61" i="85"/>
  <c r="AH61" i="85"/>
  <c r="AI61" i="85"/>
  <c r="AF61" i="85"/>
  <c r="AA120" i="85"/>
  <c r="AH120" i="85"/>
  <c r="AI120" i="85"/>
  <c r="AE120" i="85"/>
  <c r="AD120" i="85"/>
  <c r="AC120" i="85"/>
  <c r="AB120" i="85"/>
  <c r="Z120" i="85"/>
  <c r="Y120" i="85"/>
  <c r="X120" i="85"/>
  <c r="V120" i="85"/>
  <c r="U120" i="85"/>
  <c r="AF120" i="85"/>
  <c r="AG120" i="85"/>
  <c r="W120" i="85"/>
  <c r="AI79" i="85"/>
  <c r="AG79" i="85"/>
  <c r="AE79" i="85"/>
  <c r="AD79" i="85"/>
  <c r="AF79" i="85"/>
  <c r="V79" i="85"/>
  <c r="AB79" i="85"/>
  <c r="AA79" i="85"/>
  <c r="AC79" i="85"/>
  <c r="Z79" i="85"/>
  <c r="U79" i="85"/>
  <c r="W79" i="85"/>
  <c r="AH79" i="85"/>
  <c r="X79" i="85"/>
  <c r="Y79" i="85"/>
  <c r="X149" i="85"/>
  <c r="Y149" i="85"/>
  <c r="AA149" i="85"/>
  <c r="AF149" i="85"/>
  <c r="AI149" i="85"/>
  <c r="AG149" i="85"/>
  <c r="AH149" i="85"/>
  <c r="AB149" i="85"/>
  <c r="U149" i="85"/>
  <c r="Z149" i="85"/>
  <c r="AE149" i="85"/>
  <c r="AC149" i="85"/>
  <c r="V149" i="85"/>
  <c r="AD149" i="85"/>
  <c r="W149" i="85"/>
  <c r="AE141" i="85"/>
  <c r="AD141" i="85"/>
  <c r="AG141" i="85"/>
  <c r="W141" i="85"/>
  <c r="AH141" i="85"/>
  <c r="AI141" i="85"/>
  <c r="U141" i="85"/>
  <c r="V141" i="85"/>
  <c r="X141" i="85"/>
  <c r="AF141" i="85"/>
  <c r="Y141" i="85"/>
  <c r="AC141" i="85"/>
  <c r="Z141" i="85"/>
  <c r="AA141" i="85"/>
  <c r="AB141" i="85"/>
  <c r="AA133" i="85"/>
  <c r="U133" i="85"/>
  <c r="V133" i="85"/>
  <c r="W133" i="85"/>
  <c r="X133" i="85"/>
  <c r="Y133" i="85"/>
  <c r="Z133" i="85"/>
  <c r="AB133" i="85"/>
  <c r="AC133" i="85"/>
  <c r="AD133" i="85"/>
  <c r="AE133" i="85"/>
  <c r="AF133" i="85"/>
  <c r="AG133" i="85"/>
  <c r="AH133" i="85"/>
  <c r="AI133" i="85"/>
  <c r="AE125" i="85"/>
  <c r="W125" i="85"/>
  <c r="AI125" i="85"/>
  <c r="AD125" i="85"/>
  <c r="Y125" i="85"/>
  <c r="U125" i="85"/>
  <c r="V125" i="85"/>
  <c r="AH125" i="85"/>
  <c r="AG125" i="85"/>
  <c r="AF125" i="85"/>
  <c r="X125" i="85"/>
  <c r="AC125" i="85"/>
  <c r="AB125" i="85"/>
  <c r="AA125" i="85"/>
  <c r="Z125" i="85"/>
  <c r="AF117" i="85"/>
  <c r="AB117" i="85"/>
  <c r="AE117" i="85"/>
  <c r="U117" i="85"/>
  <c r="AH117" i="85"/>
  <c r="AI117" i="85"/>
  <c r="V117" i="85"/>
  <c r="AA117" i="85"/>
  <c r="Z117" i="85"/>
  <c r="Y117" i="85"/>
  <c r="AC117" i="85"/>
  <c r="AD117" i="85"/>
  <c r="X117" i="85"/>
  <c r="W117" i="85"/>
  <c r="AG117" i="85"/>
  <c r="AI100" i="85"/>
  <c r="AF100" i="85"/>
  <c r="AB100" i="85"/>
  <c r="W100" i="85"/>
  <c r="Y100" i="85"/>
  <c r="AE100" i="85"/>
  <c r="AC100" i="85"/>
  <c r="AA100" i="85"/>
  <c r="Z100" i="85"/>
  <c r="U100" i="85"/>
  <c r="AD100" i="85"/>
  <c r="X100" i="85"/>
  <c r="AG100" i="85"/>
  <c r="AH100" i="85"/>
  <c r="V100" i="85"/>
  <c r="Z92" i="85"/>
  <c r="V92" i="85"/>
  <c r="AD92" i="85"/>
  <c r="W92" i="85"/>
  <c r="AI92" i="85"/>
  <c r="AE92" i="85"/>
  <c r="Y92" i="85"/>
  <c r="AB92" i="85"/>
  <c r="X92" i="85"/>
  <c r="AC92" i="85"/>
  <c r="AG92" i="85"/>
  <c r="AF92" i="85"/>
  <c r="AA92" i="85"/>
  <c r="U92" i="85"/>
  <c r="AH92" i="85"/>
  <c r="AD84" i="85"/>
  <c r="AI84" i="85"/>
  <c r="W84" i="85"/>
  <c r="AE84" i="85"/>
  <c r="X84" i="85"/>
  <c r="AG84" i="85"/>
  <c r="AB84" i="85"/>
  <c r="V84" i="85"/>
  <c r="AF84" i="85"/>
  <c r="AC84" i="85"/>
  <c r="U84" i="85"/>
  <c r="AH84" i="85"/>
  <c r="Y84" i="85"/>
  <c r="AA84" i="85"/>
  <c r="Z84" i="85"/>
  <c r="X76" i="85"/>
  <c r="AI76" i="85"/>
  <c r="AD76" i="85"/>
  <c r="AC76" i="85"/>
  <c r="AB76" i="85"/>
  <c r="AG76" i="85"/>
  <c r="AF76" i="85"/>
  <c r="AE76" i="85"/>
  <c r="AA76" i="85"/>
  <c r="AH76" i="85"/>
  <c r="W76" i="85"/>
  <c r="V76" i="85"/>
  <c r="Z76" i="85"/>
  <c r="U76" i="85"/>
  <c r="Y76" i="85"/>
  <c r="AI68" i="85"/>
  <c r="AH68" i="85"/>
  <c r="AG68" i="85"/>
  <c r="AF68" i="85"/>
  <c r="AE68" i="85"/>
  <c r="AD68" i="85"/>
  <c r="AC68" i="85"/>
  <c r="V68" i="85"/>
  <c r="AA68" i="85"/>
  <c r="Z68" i="85"/>
  <c r="Y68" i="85"/>
  <c r="X68" i="85"/>
  <c r="W68" i="85"/>
  <c r="U68" i="85"/>
  <c r="AB68" i="85"/>
  <c r="AC136" i="85"/>
  <c r="AB136" i="85"/>
  <c r="AE136" i="85"/>
  <c r="AF136" i="85"/>
  <c r="AI136" i="85"/>
  <c r="AG136" i="85"/>
  <c r="W136" i="85"/>
  <c r="AA136" i="85"/>
  <c r="Z136" i="85"/>
  <c r="Y136" i="85"/>
  <c r="X136" i="85"/>
  <c r="AD136" i="85"/>
  <c r="AH136" i="85"/>
  <c r="U136" i="85"/>
  <c r="V136" i="85"/>
  <c r="U71" i="85"/>
  <c r="V71" i="85"/>
  <c r="AI71" i="85"/>
  <c r="W71" i="85"/>
  <c r="X71" i="85"/>
  <c r="AC71" i="85"/>
  <c r="Y71" i="85"/>
  <c r="Z71" i="85"/>
  <c r="AA71" i="85"/>
  <c r="AB71" i="85"/>
  <c r="AD71" i="85"/>
  <c r="AE71" i="85"/>
  <c r="AF71" i="85"/>
  <c r="AG71" i="85"/>
  <c r="AH71" i="85"/>
  <c r="V132" i="85"/>
  <c r="AC132" i="85"/>
  <c r="U132" i="85"/>
  <c r="AA132" i="85"/>
  <c r="AB132" i="85"/>
  <c r="AI132" i="85"/>
  <c r="AE132" i="85"/>
  <c r="AD132" i="85"/>
  <c r="Y132" i="85"/>
  <c r="AH132" i="85"/>
  <c r="Z132" i="85"/>
  <c r="X132" i="85"/>
  <c r="AG132" i="85"/>
  <c r="AF132" i="85"/>
  <c r="W132" i="85"/>
  <c r="AH124" i="85"/>
  <c r="V124" i="85"/>
  <c r="AB124" i="85"/>
  <c r="U124" i="85"/>
  <c r="Y124" i="85"/>
  <c r="AI124" i="85"/>
  <c r="X124" i="85"/>
  <c r="AG124" i="85"/>
  <c r="AF124" i="85"/>
  <c r="AA124" i="85"/>
  <c r="AE124" i="85"/>
  <c r="AD124" i="85"/>
  <c r="AC124" i="85"/>
  <c r="Z124" i="85"/>
  <c r="W124" i="85"/>
  <c r="AH116" i="85"/>
  <c r="AB116" i="85"/>
  <c r="AA116" i="85"/>
  <c r="AI116" i="85"/>
  <c r="Z116" i="85"/>
  <c r="Y116" i="85"/>
  <c r="X116" i="85"/>
  <c r="AC116" i="85"/>
  <c r="V116" i="85"/>
  <c r="AD116" i="85"/>
  <c r="AE116" i="85"/>
  <c r="AG116" i="85"/>
  <c r="AF116" i="85"/>
  <c r="W116" i="85"/>
  <c r="U116" i="85"/>
  <c r="AD108" i="85"/>
  <c r="AI108" i="85"/>
  <c r="W108" i="85"/>
  <c r="Y108" i="85"/>
  <c r="AG108" i="85"/>
  <c r="V108" i="85"/>
  <c r="AB108" i="85"/>
  <c r="AA108" i="85"/>
  <c r="AE108" i="85"/>
  <c r="Z108" i="85"/>
  <c r="U108" i="85"/>
  <c r="AC108" i="85"/>
  <c r="AH108" i="85"/>
  <c r="AF108" i="85"/>
  <c r="X108" i="85"/>
  <c r="Y99" i="85"/>
  <c r="W99" i="85"/>
  <c r="AH99" i="85"/>
  <c r="V99" i="85"/>
  <c r="AB99" i="85"/>
  <c r="AF99" i="85"/>
  <c r="AA99" i="85"/>
  <c r="AI99" i="85"/>
  <c r="AD99" i="85"/>
  <c r="Z99" i="85"/>
  <c r="U99" i="85"/>
  <c r="AE99" i="85"/>
  <c r="AC99" i="85"/>
  <c r="X99" i="85"/>
  <c r="AG99" i="85"/>
  <c r="V91" i="85"/>
  <c r="AA91" i="85"/>
  <c r="AB91" i="85"/>
  <c r="AF91" i="85"/>
  <c r="U91" i="85"/>
  <c r="AC91" i="85"/>
  <c r="AG91" i="85"/>
  <c r="X91" i="85"/>
  <c r="AD91" i="85"/>
  <c r="W91" i="85"/>
  <c r="Y91" i="85"/>
  <c r="AI91" i="85"/>
  <c r="Z91" i="85"/>
  <c r="AH91" i="85"/>
  <c r="AE91" i="85"/>
  <c r="AI83" i="85"/>
  <c r="V83" i="85"/>
  <c r="W83" i="85"/>
  <c r="AB83" i="85"/>
  <c r="AH83" i="85"/>
  <c r="X83" i="85"/>
  <c r="AC83" i="85"/>
  <c r="U83" i="85"/>
  <c r="AD83" i="85"/>
  <c r="AE83" i="85"/>
  <c r="Z83" i="85"/>
  <c r="AA83" i="85"/>
  <c r="AG83" i="85"/>
  <c r="Y83" i="85"/>
  <c r="AF83" i="85"/>
  <c r="AG67" i="85"/>
  <c r="AD67" i="85"/>
  <c r="AA67" i="85"/>
  <c r="Y67" i="85"/>
  <c r="Z67" i="85"/>
  <c r="AB67" i="85"/>
  <c r="U67" i="85"/>
  <c r="V67" i="85"/>
  <c r="AC67" i="85"/>
  <c r="AE67" i="85"/>
  <c r="AH67" i="85"/>
  <c r="X67" i="85"/>
  <c r="W67" i="85"/>
  <c r="AI67" i="85"/>
  <c r="AF67" i="85"/>
  <c r="X152" i="85"/>
  <c r="AA152" i="85"/>
  <c r="U152" i="85"/>
  <c r="V152" i="85"/>
  <c r="AC152" i="85"/>
  <c r="AD152" i="85"/>
  <c r="Z152" i="85"/>
  <c r="AF152" i="85"/>
  <c r="AI152" i="85"/>
  <c r="Y152" i="85"/>
  <c r="AG152" i="85"/>
  <c r="W152" i="85"/>
  <c r="AB152" i="85"/>
  <c r="AH152" i="85"/>
  <c r="AE152" i="85"/>
  <c r="AH128" i="85"/>
  <c r="AI128" i="85"/>
  <c r="W128" i="85"/>
  <c r="V128" i="85"/>
  <c r="U128" i="85"/>
  <c r="AD128" i="85"/>
  <c r="AA128" i="85"/>
  <c r="AB128" i="85"/>
  <c r="AC128" i="85"/>
  <c r="Z128" i="85"/>
  <c r="X128" i="85"/>
  <c r="Y128" i="85"/>
  <c r="AE128" i="85"/>
  <c r="AF128" i="85"/>
  <c r="AG128" i="85"/>
  <c r="Z87" i="85"/>
  <c r="U87" i="85"/>
  <c r="AI87" i="85"/>
  <c r="AB87" i="85"/>
  <c r="AC87" i="85"/>
  <c r="Y87" i="85"/>
  <c r="W87" i="85"/>
  <c r="AH87" i="85"/>
  <c r="AD87" i="85"/>
  <c r="V87" i="85"/>
  <c r="X87" i="85"/>
  <c r="AE87" i="85"/>
  <c r="AF87" i="85"/>
  <c r="AA87" i="85"/>
  <c r="AG87" i="85"/>
  <c r="AE157" i="85"/>
  <c r="AB157" i="85"/>
  <c r="AI157" i="85"/>
  <c r="W157" i="85"/>
  <c r="AG157" i="85"/>
  <c r="V157" i="85"/>
  <c r="X157" i="85"/>
  <c r="AC157" i="85"/>
  <c r="U157" i="85"/>
  <c r="Z157" i="85"/>
  <c r="AA157" i="85"/>
  <c r="Y157" i="85"/>
  <c r="AH157" i="85"/>
  <c r="AF157" i="85"/>
  <c r="AD157" i="85"/>
  <c r="Z156" i="85"/>
  <c r="V156" i="85"/>
  <c r="U156" i="85"/>
  <c r="AH156" i="85"/>
  <c r="AA156" i="85"/>
  <c r="AC156" i="85"/>
  <c r="X156" i="85"/>
  <c r="AG156" i="85"/>
  <c r="AD156" i="85"/>
  <c r="Y156" i="85"/>
  <c r="AF156" i="85"/>
  <c r="AB156" i="85"/>
  <c r="W156" i="85"/>
  <c r="AI156" i="85"/>
  <c r="AE156" i="85"/>
  <c r="AE147" i="85"/>
  <c r="AG147" i="85"/>
  <c r="AI147" i="85"/>
  <c r="AB147" i="85"/>
  <c r="Y147" i="85"/>
  <c r="AC147" i="85"/>
  <c r="Z147" i="85"/>
  <c r="AD147" i="85"/>
  <c r="AH147" i="85"/>
  <c r="V147" i="85"/>
  <c r="AF147" i="85"/>
  <c r="X147" i="85"/>
  <c r="U147" i="85"/>
  <c r="AA147" i="85"/>
  <c r="W147" i="85"/>
  <c r="AB131" i="85"/>
  <c r="AC131" i="85"/>
  <c r="AD131" i="85"/>
  <c r="W131" i="85"/>
  <c r="AE131" i="85"/>
  <c r="AF131" i="85"/>
  <c r="U131" i="85"/>
  <c r="AI131" i="85"/>
  <c r="AH131" i="85"/>
  <c r="AG131" i="85"/>
  <c r="V131" i="85"/>
  <c r="X131" i="85"/>
  <c r="Y131" i="85"/>
  <c r="Z131" i="85"/>
  <c r="AA131" i="85"/>
  <c r="AG115" i="85"/>
  <c r="AI115" i="85"/>
  <c r="AH115" i="85"/>
  <c r="Y115" i="85"/>
  <c r="V115" i="85"/>
  <c r="X115" i="85"/>
  <c r="AC115" i="85"/>
  <c r="AF115" i="85"/>
  <c r="AB115" i="85"/>
  <c r="AE115" i="85"/>
  <c r="AA115" i="85"/>
  <c r="U115" i="85"/>
  <c r="AD115" i="85"/>
  <c r="W115" i="85"/>
  <c r="Z115" i="85"/>
  <c r="U106" i="85"/>
  <c r="AI106" i="85"/>
  <c r="AD106" i="85"/>
  <c r="AB106" i="85"/>
  <c r="W106" i="85"/>
  <c r="AF106" i="85"/>
  <c r="Y106" i="85"/>
  <c r="AH106" i="85"/>
  <c r="AG106" i="85"/>
  <c r="V106" i="85"/>
  <c r="Z106" i="85"/>
  <c r="X106" i="85"/>
  <c r="AC106" i="85"/>
  <c r="AA106" i="85"/>
  <c r="AE106" i="85"/>
  <c r="AE98" i="85"/>
  <c r="AH98" i="85"/>
  <c r="V98" i="85"/>
  <c r="AI98" i="85"/>
  <c r="X98" i="85"/>
  <c r="W98" i="85"/>
  <c r="AD98" i="85"/>
  <c r="AA98" i="85"/>
  <c r="Y98" i="85"/>
  <c r="U98" i="85"/>
  <c r="AF98" i="85"/>
  <c r="AC98" i="85"/>
  <c r="AG98" i="85"/>
  <c r="AB98" i="85"/>
  <c r="Z98" i="85"/>
  <c r="AH90" i="85"/>
  <c r="AA90" i="85"/>
  <c r="V90" i="85"/>
  <c r="AD90" i="85"/>
  <c r="W90" i="85"/>
  <c r="AG90" i="85"/>
  <c r="AB90" i="85"/>
  <c r="U90" i="85"/>
  <c r="Y90" i="85"/>
  <c r="AI90" i="85"/>
  <c r="X90" i="85"/>
  <c r="AC90" i="85"/>
  <c r="AF90" i="85"/>
  <c r="Z90" i="85"/>
  <c r="AE90" i="85"/>
  <c r="AA82" i="85"/>
  <c r="AH82" i="85"/>
  <c r="AF82" i="85"/>
  <c r="Y82" i="85"/>
  <c r="U82" i="85"/>
  <c r="AC82" i="85"/>
  <c r="AE82" i="85"/>
  <c r="W82" i="85"/>
  <c r="AB82" i="85"/>
  <c r="AG82" i="85"/>
  <c r="X82" i="85"/>
  <c r="V82" i="85"/>
  <c r="AI82" i="85"/>
  <c r="Z82" i="85"/>
  <c r="AD82" i="85"/>
  <c r="X74" i="85"/>
  <c r="W74" i="85"/>
  <c r="AE74" i="85"/>
  <c r="AF74" i="85"/>
  <c r="V74" i="85"/>
  <c r="AG74" i="85"/>
  <c r="AH74" i="85"/>
  <c r="AI74" i="85"/>
  <c r="AD74" i="85"/>
  <c r="AC74" i="85"/>
  <c r="AB74" i="85"/>
  <c r="AA74" i="85"/>
  <c r="Z74" i="85"/>
  <c r="U74" i="85"/>
  <c r="Y74" i="85"/>
  <c r="AG66" i="85"/>
  <c r="V66" i="85"/>
  <c r="AH66" i="85"/>
  <c r="AI66" i="85"/>
  <c r="U66" i="85"/>
  <c r="AB66" i="85"/>
  <c r="AF66" i="85"/>
  <c r="W66" i="85"/>
  <c r="AE66" i="85"/>
  <c r="AD66" i="85"/>
  <c r="AC66" i="85"/>
  <c r="AA66" i="85"/>
  <c r="Z66" i="85"/>
  <c r="Y66" i="85"/>
  <c r="X66" i="85"/>
  <c r="Z155" i="85"/>
  <c r="AE155" i="85"/>
  <c r="AB155" i="85"/>
  <c r="AI155" i="85"/>
  <c r="AF155" i="85"/>
  <c r="AH155" i="85"/>
  <c r="W155" i="85"/>
  <c r="AD155" i="85"/>
  <c r="V155" i="85"/>
  <c r="Y155" i="85"/>
  <c r="AA155" i="85"/>
  <c r="U155" i="85"/>
  <c r="AG155" i="85"/>
  <c r="X155" i="85"/>
  <c r="AC155" i="85"/>
  <c r="AA139" i="85"/>
  <c r="AI139" i="85"/>
  <c r="AH139" i="85"/>
  <c r="W139" i="85"/>
  <c r="AG139" i="85"/>
  <c r="AD139" i="85"/>
  <c r="AF139" i="85"/>
  <c r="AE139" i="85"/>
  <c r="AC139" i="85"/>
  <c r="U139" i="85"/>
  <c r="V139" i="85"/>
  <c r="AB139" i="85"/>
  <c r="X139" i="85"/>
  <c r="Y139" i="85"/>
  <c r="Z139" i="85"/>
  <c r="AG146" i="85"/>
  <c r="AE146" i="85"/>
  <c r="AC146" i="85"/>
  <c r="W146" i="85"/>
  <c r="AA146" i="85"/>
  <c r="V146" i="85"/>
  <c r="Z146" i="85"/>
  <c r="AF146" i="85"/>
  <c r="AB146" i="85"/>
  <c r="AH146" i="85"/>
  <c r="X146" i="85"/>
  <c r="AD146" i="85"/>
  <c r="AI146" i="85"/>
  <c r="U146" i="85"/>
  <c r="Y146" i="85"/>
  <c r="AI138" i="85"/>
  <c r="AH138" i="85"/>
  <c r="AG138" i="85"/>
  <c r="Z138" i="85"/>
  <c r="AF138" i="85"/>
  <c r="AE138" i="85"/>
  <c r="AD138" i="85"/>
  <c r="AC138" i="85"/>
  <c r="AB138" i="85"/>
  <c r="AA138" i="85"/>
  <c r="Y138" i="85"/>
  <c r="X138" i="85"/>
  <c r="W138" i="85"/>
  <c r="V138" i="85"/>
  <c r="U138" i="85"/>
  <c r="AI130" i="85"/>
  <c r="AH130" i="85"/>
  <c r="AG130" i="85"/>
  <c r="AF130" i="85"/>
  <c r="AE130" i="85"/>
  <c r="AD130" i="85"/>
  <c r="AC130" i="85"/>
  <c r="U130" i="85"/>
  <c r="Y130" i="85"/>
  <c r="Z130" i="85"/>
  <c r="X130" i="85"/>
  <c r="W130" i="85"/>
  <c r="V130" i="85"/>
  <c r="AA130" i="85"/>
  <c r="AB130" i="85"/>
  <c r="AC122" i="85"/>
  <c r="AB122" i="85"/>
  <c r="Z122" i="85"/>
  <c r="Y122" i="85"/>
  <c r="X122" i="85"/>
  <c r="W122" i="85"/>
  <c r="V122" i="85"/>
  <c r="AA122" i="85"/>
  <c r="U122" i="85"/>
  <c r="AI122" i="85"/>
  <c r="AH122" i="85"/>
  <c r="AG122" i="85"/>
  <c r="AF122" i="85"/>
  <c r="AE122" i="85"/>
  <c r="AD122" i="85"/>
  <c r="W114" i="85"/>
  <c r="Y114" i="85"/>
  <c r="Z114" i="85"/>
  <c r="AD114" i="85"/>
  <c r="AA114" i="85"/>
  <c r="AB114" i="85"/>
  <c r="AG114" i="85"/>
  <c r="AI114" i="85"/>
  <c r="X114" i="85"/>
  <c r="AH114" i="85"/>
  <c r="V114" i="85"/>
  <c r="U114" i="85"/>
  <c r="AF114" i="85"/>
  <c r="AE114" i="85"/>
  <c r="AC114" i="85"/>
  <c r="AC97" i="85"/>
  <c r="AG97" i="85"/>
  <c r="AH97" i="85"/>
  <c r="AA97" i="85"/>
  <c r="V97" i="85"/>
  <c r="Z97" i="85"/>
  <c r="W97" i="85"/>
  <c r="AE97" i="85"/>
  <c r="AF97" i="85"/>
  <c r="AI97" i="85"/>
  <c r="AD97" i="85"/>
  <c r="X97" i="85"/>
  <c r="Y97" i="85"/>
  <c r="U97" i="85"/>
  <c r="AB97" i="85"/>
  <c r="W89" i="85"/>
  <c r="AB89" i="85"/>
  <c r="AG89" i="85"/>
  <c r="V89" i="85"/>
  <c r="Z89" i="85"/>
  <c r="AH89" i="85"/>
  <c r="U89" i="85"/>
  <c r="Y89" i="85"/>
  <c r="X89" i="85"/>
  <c r="AE89" i="85"/>
  <c r="AI89" i="85"/>
  <c r="AC89" i="85"/>
  <c r="AD89" i="85"/>
  <c r="AF89" i="85"/>
  <c r="AA89" i="85"/>
  <c r="AC81" i="85"/>
  <c r="AD81" i="85"/>
  <c r="X81" i="85"/>
  <c r="AF81" i="85"/>
  <c r="AG81" i="85"/>
  <c r="Z81" i="85"/>
  <c r="V81" i="85"/>
  <c r="AA81" i="85"/>
  <c r="AH81" i="85"/>
  <c r="W81" i="85"/>
  <c r="AI81" i="85"/>
  <c r="AE81" i="85"/>
  <c r="Y81" i="85"/>
  <c r="U81" i="85"/>
  <c r="AB81" i="85"/>
  <c r="X73" i="85"/>
  <c r="U73" i="85"/>
  <c r="Z73" i="85"/>
  <c r="Y73" i="85"/>
  <c r="AI73" i="85"/>
  <c r="W73" i="85"/>
  <c r="V73" i="85"/>
  <c r="AF73" i="85"/>
  <c r="AH73" i="85"/>
  <c r="AG73" i="85"/>
  <c r="AE73" i="85"/>
  <c r="AA73" i="85"/>
  <c r="AD73" i="85"/>
  <c r="AC73" i="85"/>
  <c r="AB73" i="85"/>
  <c r="AA65" i="85"/>
  <c r="AB65" i="85"/>
  <c r="U65" i="85"/>
  <c r="V65" i="85"/>
  <c r="AC65" i="85"/>
  <c r="X65" i="85"/>
  <c r="Y65" i="85"/>
  <c r="Z65" i="85"/>
  <c r="AD65" i="85"/>
  <c r="W65" i="85"/>
  <c r="AE65" i="85"/>
  <c r="AG65" i="85"/>
  <c r="AF65" i="85"/>
  <c r="AH65" i="85"/>
  <c r="AI65" i="85"/>
  <c r="F88" i="105"/>
  <c r="G12" i="204" s="1"/>
  <c r="F87" i="105"/>
  <c r="F86" i="105"/>
  <c r="E12" i="204" s="1"/>
  <c r="F90" i="105"/>
  <c r="F92" i="105"/>
  <c r="F91" i="105"/>
  <c r="F89" i="105"/>
  <c r="I12" i="204" s="1"/>
  <c r="D134" i="202"/>
  <c r="D135" i="202" s="1"/>
  <c r="D136" i="202" s="1"/>
  <c r="C134" i="202"/>
  <c r="C133" i="202"/>
  <c r="C102" i="202"/>
  <c r="H101" i="202"/>
  <c r="C101" i="202" s="1"/>
  <c r="H100" i="202"/>
  <c r="C100" i="202" s="1"/>
  <c r="I99" i="202"/>
  <c r="D100" i="202" s="1"/>
  <c r="H99" i="202"/>
  <c r="D108" i="202" s="1"/>
  <c r="D90" i="202"/>
  <c r="C89" i="202"/>
  <c r="E85" i="202"/>
  <c r="C85" i="202"/>
  <c r="D84" i="202"/>
  <c r="E82" i="202"/>
  <c r="D82" i="202"/>
  <c r="E81" i="202"/>
  <c r="E84" i="202" s="1"/>
  <c r="D81" i="202"/>
  <c r="D89" i="202" s="1"/>
  <c r="O80" i="202"/>
  <c r="E80" i="202"/>
  <c r="I79" i="202" s="1"/>
  <c r="D80" i="202"/>
  <c r="D87" i="202" s="1"/>
  <c r="O79" i="202"/>
  <c r="E79" i="202"/>
  <c r="D79" i="202"/>
  <c r="B18" i="202"/>
  <c r="B19" i="202" s="1"/>
  <c r="B20" i="202" s="1"/>
  <c r="C99" i="202" l="1"/>
  <c r="C84" i="202" s="1"/>
  <c r="F108" i="202"/>
  <c r="D88" i="202"/>
  <c r="B21" i="202"/>
  <c r="H79" i="202"/>
  <c r="D101" i="202"/>
  <c r="AS77" i="105"/>
  <c r="AS16" i="105"/>
  <c r="AT77" i="105"/>
  <c r="AT16" i="105"/>
  <c r="AU77" i="105"/>
  <c r="AU16" i="105"/>
  <c r="B22" i="202" l="1"/>
  <c r="B23" i="202" l="1"/>
  <c r="B24" i="202" l="1"/>
  <c r="C16" i="145"/>
  <c r="C24" i="202" l="1"/>
  <c r="B25" i="202"/>
  <c r="L94" i="190"/>
  <c r="L97" i="190" s="1"/>
  <c r="AD93" i="190"/>
  <c r="AD92" i="190"/>
  <c r="AD91" i="190"/>
  <c r="AD90" i="190"/>
  <c r="AD89" i="190"/>
  <c r="AD88" i="190"/>
  <c r="AD87" i="190"/>
  <c r="AD86" i="190"/>
  <c r="AD85" i="190"/>
  <c r="AD84" i="190"/>
  <c r="AD83" i="190"/>
  <c r="AD82" i="190"/>
  <c r="AD94" i="190" l="1"/>
  <c r="C25" i="202"/>
  <c r="L93" i="190"/>
  <c r="B26" i="202"/>
  <c r="C26" i="202" l="1"/>
  <c r="B27" i="202"/>
  <c r="L88" i="190"/>
  <c r="P94" i="190"/>
  <c r="P97" i="190" s="1"/>
  <c r="P86" i="190"/>
  <c r="P84" i="190"/>
  <c r="B28" i="202" l="1"/>
  <c r="L95" i="190"/>
  <c r="P95" i="190"/>
  <c r="C28" i="202" l="1"/>
  <c r="AN87" i="105"/>
  <c r="E77" i="105" l="1"/>
  <c r="AD81" i="105"/>
  <c r="AC81" i="105"/>
  <c r="X81" i="105"/>
  <c r="X83" i="105" s="1"/>
  <c r="AO87" i="105"/>
  <c r="AP87" i="105"/>
  <c r="AQ87" i="105" l="1"/>
  <c r="AR87" i="105"/>
  <c r="AI38" i="105"/>
  <c r="AJ38" i="105" s="1"/>
  <c r="AI41" i="105"/>
  <c r="AJ41" i="105" s="1"/>
  <c r="AI45" i="105"/>
  <c r="AJ45" i="105" s="1"/>
  <c r="AI52" i="105"/>
  <c r="AJ52" i="105" s="1"/>
  <c r="AI60" i="105"/>
  <c r="AJ60" i="105" s="1"/>
  <c r="AI82" i="105"/>
  <c r="AI48" i="105" l="1"/>
  <c r="AJ48" i="105" s="1"/>
  <c r="AI51" i="105"/>
  <c r="AJ51" i="105" s="1"/>
  <c r="AI53" i="105"/>
  <c r="AJ53" i="105" s="1"/>
  <c r="AI56" i="105"/>
  <c r="AJ56" i="105" s="1"/>
  <c r="AI59" i="105"/>
  <c r="AJ59" i="105" s="1"/>
  <c r="AI64" i="105"/>
  <c r="AJ64" i="105" s="1"/>
  <c r="AI70" i="105"/>
  <c r="AJ70" i="105" s="1"/>
  <c r="AI43" i="105"/>
  <c r="AJ43" i="105" s="1"/>
  <c r="AI65" i="105"/>
  <c r="AJ65" i="105" s="1"/>
  <c r="AI49" i="105"/>
  <c r="AJ49" i="105" s="1"/>
  <c r="AI68" i="105"/>
  <c r="AJ68" i="105" s="1"/>
  <c r="AI72" i="105"/>
  <c r="AJ72" i="105" s="1"/>
  <c r="AI54" i="105"/>
  <c r="AJ54" i="105" s="1"/>
  <c r="AI73" i="105"/>
  <c r="AJ73" i="105" s="1"/>
  <c r="AI42" i="105"/>
  <c r="AJ42" i="105" s="1"/>
  <c r="AI57" i="105"/>
  <c r="AJ57" i="105" s="1"/>
  <c r="AI67" i="105"/>
  <c r="AJ67" i="105" s="1"/>
  <c r="AI58" i="105"/>
  <c r="AJ58" i="105" s="1"/>
  <c r="AI61" i="105"/>
  <c r="AJ61" i="105" s="1"/>
  <c r="AI69" i="105"/>
  <c r="AJ69" i="105" s="1"/>
  <c r="AI39" i="105"/>
  <c r="AJ39" i="105" s="1"/>
  <c r="AI62" i="105"/>
  <c r="AJ62" i="105" s="1"/>
  <c r="AI50" i="105"/>
  <c r="AJ50" i="105" s="1"/>
  <c r="AI66" i="105"/>
  <c r="AJ66" i="105" s="1"/>
  <c r="AI71" i="105"/>
  <c r="AJ71" i="105" s="1"/>
  <c r="AI44" i="105"/>
  <c r="AJ44" i="105" s="1"/>
  <c r="AI37" i="105"/>
  <c r="AJ37" i="105" s="1"/>
  <c r="AI46" i="105"/>
  <c r="AJ46" i="105" s="1"/>
  <c r="AI55" i="105"/>
  <c r="AJ55" i="105" s="1"/>
  <c r="AI63" i="105"/>
  <c r="AJ63" i="105" s="1"/>
  <c r="AI40" i="105"/>
  <c r="AJ40" i="105" s="1"/>
  <c r="AI47" i="105"/>
  <c r="AJ47" i="105" s="1"/>
  <c r="AI17" i="105"/>
  <c r="AJ17" i="105" s="1"/>
  <c r="AI19" i="105"/>
  <c r="AJ19" i="105" s="1"/>
  <c r="AI22" i="105"/>
  <c r="AJ22" i="105" s="1"/>
  <c r="AI23" i="105"/>
  <c r="AJ23" i="105" s="1"/>
  <c r="AI24" i="105"/>
  <c r="AJ24" i="105" s="1"/>
  <c r="AI18" i="105"/>
  <c r="AJ18" i="105" s="1"/>
  <c r="AI20" i="105"/>
  <c r="AJ20" i="105" s="1"/>
  <c r="AI21" i="105"/>
  <c r="AJ21" i="105" s="1"/>
  <c r="AI25" i="105"/>
  <c r="AJ25" i="105" s="1"/>
  <c r="AI26" i="105"/>
  <c r="AI27" i="105"/>
  <c r="AJ27" i="105" s="1"/>
  <c r="AI28" i="105"/>
  <c r="AJ28" i="105" s="1"/>
  <c r="AI29" i="105"/>
  <c r="AJ29" i="105" s="1"/>
  <c r="AI30" i="105"/>
  <c r="AJ30" i="105" s="1"/>
  <c r="AI31" i="105"/>
  <c r="AJ31" i="105" s="1"/>
  <c r="AI32" i="105"/>
  <c r="AJ32" i="105" s="1"/>
  <c r="AI36" i="105"/>
  <c r="AJ36" i="105" s="1"/>
  <c r="AI35" i="105"/>
  <c r="AJ35" i="105" s="1"/>
  <c r="AI33" i="105"/>
  <c r="AJ33" i="105" s="1"/>
  <c r="AI34" i="105"/>
  <c r="AJ34" i="105" s="1"/>
  <c r="AP77" i="105"/>
  <c r="AQ77" i="105"/>
  <c r="AQ16" i="105"/>
  <c r="C22" i="202" s="1"/>
  <c r="AP16" i="105"/>
  <c r="C21" i="202" s="1"/>
  <c r="AJ26" i="105" l="1"/>
  <c r="AJ77" i="105" s="1"/>
  <c r="AJ38" i="145"/>
  <c r="AJ39" i="145"/>
  <c r="E26" i="145"/>
  <c r="B26" i="145"/>
  <c r="K42" i="202" l="1"/>
  <c r="K41" i="202" s="1"/>
  <c r="AJ78" i="105"/>
  <c r="L26" i="145"/>
  <c r="AI26" i="145"/>
  <c r="K30" i="202"/>
  <c r="G91" i="105"/>
  <c r="G89" i="105"/>
  <c r="H12" i="204" s="1"/>
  <c r="G90" i="105"/>
  <c r="B37" i="145" l="1"/>
  <c r="C15" i="145"/>
  <c r="C18" i="145"/>
  <c r="C19" i="145"/>
  <c r="C20" i="145"/>
  <c r="C21" i="145"/>
  <c r="C23" i="145"/>
  <c r="B23" i="145" s="1"/>
  <c r="C27" i="145"/>
  <c r="B27" i="145" s="1"/>
  <c r="C28" i="145"/>
  <c r="B28" i="145" s="1"/>
  <c r="C30" i="145"/>
  <c r="C32" i="145"/>
  <c r="C33" i="145"/>
  <c r="C35" i="145"/>
  <c r="E9" i="145"/>
  <c r="C61" i="145"/>
  <c r="C62" i="145"/>
  <c r="C63" i="145"/>
  <c r="C64" i="145"/>
  <c r="C65" i="145"/>
  <c r="C66" i="145"/>
  <c r="C67" i="145"/>
  <c r="C68" i="145"/>
  <c r="C69" i="145"/>
  <c r="C70" i="145"/>
  <c r="C71" i="145"/>
  <c r="C72" i="145"/>
  <c r="C73" i="145"/>
  <c r="C74" i="145"/>
  <c r="C75" i="145"/>
  <c r="C76" i="145"/>
  <c r="C77" i="145"/>
  <c r="C78" i="145"/>
  <c r="C79" i="145"/>
  <c r="C80" i="145"/>
  <c r="C81" i="145"/>
  <c r="C82" i="145"/>
  <c r="C83" i="145"/>
  <c r="C84" i="145"/>
  <c r="C85" i="145"/>
  <c r="C86" i="145"/>
  <c r="C87" i="145"/>
  <c r="C88" i="145"/>
  <c r="C89" i="145"/>
  <c r="C90" i="145"/>
  <c r="C91" i="145"/>
  <c r="C92" i="145"/>
  <c r="C93" i="145"/>
  <c r="C94" i="145"/>
  <c r="C95" i="145"/>
  <c r="C96" i="145"/>
  <c r="C97" i="145"/>
  <c r="C98" i="145"/>
  <c r="C99" i="145"/>
  <c r="C100" i="145"/>
  <c r="C101" i="145"/>
  <c r="C102" i="145"/>
  <c r="C103" i="145"/>
  <c r="C104" i="145"/>
  <c r="C105" i="145"/>
  <c r="C106" i="145"/>
  <c r="C108" i="145"/>
  <c r="C109" i="145"/>
  <c r="C110" i="145"/>
  <c r="C111" i="145"/>
  <c r="C112" i="145"/>
  <c r="C113" i="145"/>
  <c r="C114" i="145"/>
  <c r="C115" i="145"/>
  <c r="C116" i="145"/>
  <c r="C117" i="145"/>
  <c r="C118" i="145"/>
  <c r="C119" i="145"/>
  <c r="C120" i="145"/>
  <c r="C121" i="145"/>
  <c r="C122" i="145"/>
  <c r="C123" i="145"/>
  <c r="C124" i="145"/>
  <c r="C125" i="145"/>
  <c r="C126" i="145"/>
  <c r="C127" i="145"/>
  <c r="C128" i="145"/>
  <c r="C129" i="145"/>
  <c r="C130" i="145"/>
  <c r="C131" i="145"/>
  <c r="C132" i="145"/>
  <c r="C133" i="145"/>
  <c r="C134" i="145"/>
  <c r="C135" i="145"/>
  <c r="C136" i="145"/>
  <c r="C137" i="145"/>
  <c r="C138" i="145"/>
  <c r="C139" i="145"/>
  <c r="C140" i="145"/>
  <c r="C141" i="145"/>
  <c r="C142" i="145"/>
  <c r="C143" i="145"/>
  <c r="C144" i="145"/>
  <c r="C145" i="145"/>
  <c r="C146" i="145"/>
  <c r="C147" i="145"/>
  <c r="C148" i="145"/>
  <c r="C149" i="145"/>
  <c r="C150" i="145"/>
  <c r="C151" i="145"/>
  <c r="C152" i="145"/>
  <c r="C153" i="145"/>
  <c r="C154" i="145"/>
  <c r="C155" i="145"/>
  <c r="C156" i="145"/>
  <c r="C157" i="145"/>
  <c r="C158" i="145"/>
  <c r="C159" i="145"/>
  <c r="C58" i="145"/>
  <c r="C59" i="145"/>
  <c r="C60" i="145"/>
  <c r="C57" i="145"/>
  <c r="B50" i="145"/>
  <c r="C50" i="145" s="1"/>
  <c r="D50" i="145" s="1"/>
  <c r="E50" i="145" s="1"/>
  <c r="F50" i="145" s="1"/>
  <c r="G50" i="145" s="1"/>
  <c r="H50" i="145" s="1"/>
  <c r="I50" i="145" s="1"/>
  <c r="J50" i="145" s="1"/>
  <c r="K50" i="145" s="1"/>
  <c r="L50" i="145" s="1"/>
  <c r="M50" i="145" s="1"/>
  <c r="AI9" i="145" l="1"/>
  <c r="L9" i="145"/>
  <c r="F147" i="145"/>
  <c r="E147" i="145"/>
  <c r="F106" i="145"/>
  <c r="E106" i="145"/>
  <c r="F90" i="145"/>
  <c r="E90" i="145"/>
  <c r="F66" i="145"/>
  <c r="E66" i="145"/>
  <c r="F146" i="145"/>
  <c r="E146" i="145"/>
  <c r="F150" i="145"/>
  <c r="E150" i="145"/>
  <c r="F134" i="145"/>
  <c r="E134" i="145"/>
  <c r="F118" i="145"/>
  <c r="E118" i="145"/>
  <c r="F101" i="145"/>
  <c r="E101" i="145"/>
  <c r="F85" i="145"/>
  <c r="E85" i="145"/>
  <c r="F69" i="145"/>
  <c r="E69" i="145"/>
  <c r="F157" i="145"/>
  <c r="E157" i="145"/>
  <c r="F149" i="145"/>
  <c r="E149" i="145"/>
  <c r="F141" i="145"/>
  <c r="E141" i="145"/>
  <c r="F133" i="145"/>
  <c r="E133" i="145"/>
  <c r="F125" i="145"/>
  <c r="E125" i="145"/>
  <c r="F117" i="145"/>
  <c r="E117" i="145"/>
  <c r="F109" i="145"/>
  <c r="E109" i="145"/>
  <c r="F100" i="145"/>
  <c r="E100" i="145"/>
  <c r="F92" i="145"/>
  <c r="E92" i="145"/>
  <c r="F84" i="145"/>
  <c r="E84" i="145"/>
  <c r="F76" i="145"/>
  <c r="E76" i="145"/>
  <c r="F68" i="145"/>
  <c r="E68" i="145"/>
  <c r="F155" i="145"/>
  <c r="E155" i="145"/>
  <c r="F131" i="145"/>
  <c r="E131" i="145"/>
  <c r="F98" i="145"/>
  <c r="E98" i="145"/>
  <c r="F74" i="145"/>
  <c r="E74" i="145"/>
  <c r="F60" i="145"/>
  <c r="E60" i="145"/>
  <c r="F158" i="145"/>
  <c r="E158" i="145"/>
  <c r="F142" i="145"/>
  <c r="E142" i="145"/>
  <c r="F126" i="145"/>
  <c r="E126" i="145"/>
  <c r="F110" i="145"/>
  <c r="E110" i="145"/>
  <c r="F93" i="145"/>
  <c r="E93" i="145"/>
  <c r="F77" i="145"/>
  <c r="E77" i="145"/>
  <c r="F61" i="145"/>
  <c r="E61" i="145"/>
  <c r="F156" i="145"/>
  <c r="E156" i="145"/>
  <c r="F148" i="145"/>
  <c r="E148" i="145"/>
  <c r="F140" i="145"/>
  <c r="E140" i="145"/>
  <c r="F132" i="145"/>
  <c r="E132" i="145"/>
  <c r="F124" i="145"/>
  <c r="E124" i="145"/>
  <c r="F116" i="145"/>
  <c r="E116" i="145"/>
  <c r="F108" i="145"/>
  <c r="E108" i="145"/>
  <c r="F99" i="145"/>
  <c r="E99" i="145"/>
  <c r="F91" i="145"/>
  <c r="E91" i="145"/>
  <c r="F83" i="145"/>
  <c r="E83" i="145"/>
  <c r="F75" i="145"/>
  <c r="E75" i="145"/>
  <c r="F67" i="145"/>
  <c r="E67" i="145"/>
  <c r="F139" i="145"/>
  <c r="E139" i="145"/>
  <c r="F115" i="145"/>
  <c r="E115" i="145"/>
  <c r="F82" i="145"/>
  <c r="E82" i="145"/>
  <c r="F138" i="145"/>
  <c r="E138" i="145"/>
  <c r="F122" i="145"/>
  <c r="E122" i="145"/>
  <c r="F97" i="145"/>
  <c r="E97" i="145"/>
  <c r="D81" i="145"/>
  <c r="F81" i="145"/>
  <c r="E81" i="145"/>
  <c r="F59" i="145"/>
  <c r="E59" i="145"/>
  <c r="F137" i="145"/>
  <c r="E137" i="145"/>
  <c r="F113" i="145"/>
  <c r="E113" i="145"/>
  <c r="E96" i="145"/>
  <c r="F96" i="145"/>
  <c r="E88" i="145"/>
  <c r="F88" i="145"/>
  <c r="E80" i="145"/>
  <c r="F80" i="145"/>
  <c r="E72" i="145"/>
  <c r="F72" i="145"/>
  <c r="E64" i="145"/>
  <c r="F64" i="145"/>
  <c r="F57" i="145"/>
  <c r="E57" i="145"/>
  <c r="F123" i="145"/>
  <c r="E123" i="145"/>
  <c r="F154" i="145"/>
  <c r="E154" i="145"/>
  <c r="F105" i="145"/>
  <c r="E105" i="145"/>
  <c r="F65" i="145"/>
  <c r="E65" i="145"/>
  <c r="F145" i="145"/>
  <c r="E145" i="145"/>
  <c r="F121" i="145"/>
  <c r="E121" i="145"/>
  <c r="E152" i="145"/>
  <c r="F152" i="145"/>
  <c r="E144" i="145"/>
  <c r="F144" i="145"/>
  <c r="E136" i="145"/>
  <c r="F136" i="145"/>
  <c r="E128" i="145"/>
  <c r="F128" i="145"/>
  <c r="E120" i="145"/>
  <c r="F120" i="145"/>
  <c r="E112" i="145"/>
  <c r="F112" i="145"/>
  <c r="E103" i="145"/>
  <c r="F103" i="145"/>
  <c r="E95" i="145"/>
  <c r="F95" i="145"/>
  <c r="E87" i="145"/>
  <c r="F87" i="145"/>
  <c r="E79" i="145"/>
  <c r="F79" i="145"/>
  <c r="E71" i="145"/>
  <c r="F71" i="145"/>
  <c r="E63" i="145"/>
  <c r="F63" i="145"/>
  <c r="F130" i="145"/>
  <c r="E130" i="145"/>
  <c r="F114" i="145"/>
  <c r="E114" i="145"/>
  <c r="F89" i="145"/>
  <c r="E89" i="145"/>
  <c r="F73" i="145"/>
  <c r="E73" i="145"/>
  <c r="F153" i="145"/>
  <c r="E153" i="145"/>
  <c r="F129" i="145"/>
  <c r="E129" i="145"/>
  <c r="E104" i="145"/>
  <c r="F104" i="145"/>
  <c r="F58" i="145"/>
  <c r="E58" i="145"/>
  <c r="G159" i="145"/>
  <c r="E159" i="145"/>
  <c r="F159" i="145"/>
  <c r="E151" i="145"/>
  <c r="F151" i="145"/>
  <c r="E143" i="145"/>
  <c r="F143" i="145"/>
  <c r="E135" i="145"/>
  <c r="F135" i="145"/>
  <c r="G127" i="145"/>
  <c r="E127" i="145"/>
  <c r="F127" i="145"/>
  <c r="E119" i="145"/>
  <c r="F119" i="145"/>
  <c r="E111" i="145"/>
  <c r="F111" i="145"/>
  <c r="F102" i="145"/>
  <c r="E102" i="145"/>
  <c r="F94" i="145"/>
  <c r="E94" i="145"/>
  <c r="F86" i="145"/>
  <c r="E86" i="145"/>
  <c r="F78" i="145"/>
  <c r="E78" i="145"/>
  <c r="F70" i="145"/>
  <c r="E70" i="145"/>
  <c r="F62" i="145"/>
  <c r="E62" i="145"/>
  <c r="N50" i="145"/>
  <c r="O50" i="145" s="1"/>
  <c r="P50" i="145" s="1"/>
  <c r="Q50" i="145" s="1"/>
  <c r="R50" i="145" s="1"/>
  <c r="S50" i="145" s="1"/>
  <c r="D151" i="145"/>
  <c r="G151" i="145"/>
  <c r="D111" i="145"/>
  <c r="G111" i="145"/>
  <c r="B87" i="145"/>
  <c r="D87" i="145"/>
  <c r="G87" i="145"/>
  <c r="D147" i="145"/>
  <c r="G147" i="145"/>
  <c r="D154" i="145"/>
  <c r="G154" i="145"/>
  <c r="G138" i="145"/>
  <c r="D138" i="145"/>
  <c r="D114" i="145"/>
  <c r="G114" i="145"/>
  <c r="B98" i="145"/>
  <c r="G98" i="145"/>
  <c r="D98" i="145"/>
  <c r="B82" i="145"/>
  <c r="D82" i="145"/>
  <c r="G82" i="145"/>
  <c r="G153" i="145"/>
  <c r="D153" i="145"/>
  <c r="G145" i="145"/>
  <c r="D145" i="145"/>
  <c r="D137" i="145"/>
  <c r="G137" i="145"/>
  <c r="D129" i="145"/>
  <c r="G129" i="145"/>
  <c r="D121" i="145"/>
  <c r="G121" i="145"/>
  <c r="G113" i="145"/>
  <c r="D113" i="145"/>
  <c r="B105" i="145"/>
  <c r="D105" i="145"/>
  <c r="G105" i="145"/>
  <c r="B97" i="145"/>
  <c r="D97" i="145"/>
  <c r="G97" i="145"/>
  <c r="D119" i="145"/>
  <c r="G119" i="145"/>
  <c r="B71" i="145"/>
  <c r="G71" i="145"/>
  <c r="D71" i="145"/>
  <c r="G123" i="145"/>
  <c r="D123" i="145"/>
  <c r="D146" i="145"/>
  <c r="G146" i="145"/>
  <c r="D122" i="145"/>
  <c r="G122" i="145"/>
  <c r="B90" i="145"/>
  <c r="D90" i="145"/>
  <c r="B74" i="145"/>
  <c r="D74" i="145"/>
  <c r="G74" i="145"/>
  <c r="D57" i="145"/>
  <c r="D152" i="145"/>
  <c r="G152" i="145"/>
  <c r="D144" i="145"/>
  <c r="G144" i="145"/>
  <c r="D136" i="145"/>
  <c r="G136" i="145"/>
  <c r="G128" i="145"/>
  <c r="D128" i="145"/>
  <c r="G120" i="145"/>
  <c r="D120" i="145"/>
  <c r="D112" i="145"/>
  <c r="G112" i="145"/>
  <c r="B104" i="145"/>
  <c r="D104" i="145"/>
  <c r="G104" i="145"/>
  <c r="B96" i="145"/>
  <c r="G96" i="145"/>
  <c r="D96" i="145"/>
  <c r="G135" i="145"/>
  <c r="D135" i="145"/>
  <c r="D59" i="145"/>
  <c r="G59" i="145"/>
  <c r="D158" i="145"/>
  <c r="G158" i="145"/>
  <c r="G150" i="145"/>
  <c r="D150" i="145"/>
  <c r="D142" i="145"/>
  <c r="G142" i="145"/>
  <c r="D134" i="145"/>
  <c r="G134" i="145"/>
  <c r="D126" i="145"/>
  <c r="G126" i="145"/>
  <c r="G118" i="145"/>
  <c r="D118" i="145"/>
  <c r="G110" i="145"/>
  <c r="D110" i="145"/>
  <c r="B102" i="145"/>
  <c r="D102" i="145"/>
  <c r="G102" i="145"/>
  <c r="B94" i="145"/>
  <c r="D94" i="145"/>
  <c r="G94" i="145"/>
  <c r="D86" i="145"/>
  <c r="G86" i="145"/>
  <c r="B86" i="145"/>
  <c r="G78" i="145"/>
  <c r="B78" i="145"/>
  <c r="D78" i="145"/>
  <c r="D70" i="145"/>
  <c r="B70" i="145"/>
  <c r="G70" i="145"/>
  <c r="D62" i="145"/>
  <c r="B62" i="145"/>
  <c r="G62" i="145"/>
  <c r="D58" i="145"/>
  <c r="G58" i="145"/>
  <c r="G157" i="145"/>
  <c r="D157" i="145"/>
  <c r="D149" i="145"/>
  <c r="G149" i="145"/>
  <c r="D141" i="145"/>
  <c r="G141" i="145"/>
  <c r="D133" i="145"/>
  <c r="G133" i="145"/>
  <c r="G125" i="145"/>
  <c r="D125" i="145"/>
  <c r="D117" i="145"/>
  <c r="G117" i="145"/>
  <c r="D109" i="145"/>
  <c r="G109" i="145"/>
  <c r="B101" i="145"/>
  <c r="D101" i="145"/>
  <c r="G101" i="145"/>
  <c r="B93" i="145"/>
  <c r="G93" i="145"/>
  <c r="D93" i="145"/>
  <c r="D156" i="145"/>
  <c r="G156" i="145"/>
  <c r="G148" i="145"/>
  <c r="D148" i="145"/>
  <c r="G140" i="145"/>
  <c r="D140" i="145"/>
  <c r="D132" i="145"/>
  <c r="G132" i="145"/>
  <c r="D124" i="145"/>
  <c r="G124" i="145"/>
  <c r="G116" i="145"/>
  <c r="D116" i="145"/>
  <c r="G108" i="145"/>
  <c r="D108" i="145"/>
  <c r="B100" i="145"/>
  <c r="D100" i="145"/>
  <c r="G100" i="145"/>
  <c r="B92" i="145"/>
  <c r="D92" i="145"/>
  <c r="G92" i="145"/>
  <c r="B84" i="145"/>
  <c r="D84" i="145"/>
  <c r="G84" i="145"/>
  <c r="B76" i="145"/>
  <c r="G76" i="145"/>
  <c r="D76" i="145"/>
  <c r="B68" i="145"/>
  <c r="D68" i="145"/>
  <c r="G68" i="145"/>
  <c r="G60" i="145"/>
  <c r="D60" i="145"/>
  <c r="D159" i="145"/>
  <c r="D127" i="145"/>
  <c r="B95" i="145"/>
  <c r="D95" i="145"/>
  <c r="G95" i="145"/>
  <c r="B79" i="145"/>
  <c r="D79" i="145"/>
  <c r="G79" i="145"/>
  <c r="G155" i="145"/>
  <c r="D155" i="145"/>
  <c r="D131" i="145"/>
  <c r="G131" i="145"/>
  <c r="D115" i="145"/>
  <c r="G115" i="145"/>
  <c r="B99" i="145"/>
  <c r="D99" i="145"/>
  <c r="G99" i="145"/>
  <c r="B91" i="145"/>
  <c r="G91" i="145"/>
  <c r="D91" i="145"/>
  <c r="B83" i="145"/>
  <c r="G83" i="145"/>
  <c r="D83" i="145"/>
  <c r="B75" i="145"/>
  <c r="D75" i="145"/>
  <c r="G75" i="145"/>
  <c r="B67" i="145"/>
  <c r="D67" i="145"/>
  <c r="G67" i="145"/>
  <c r="G143" i="145"/>
  <c r="D143" i="145"/>
  <c r="B103" i="145"/>
  <c r="G103" i="145"/>
  <c r="D103" i="145"/>
  <c r="B63" i="145"/>
  <c r="G63" i="145"/>
  <c r="D63" i="145"/>
  <c r="D139" i="145"/>
  <c r="G139" i="145"/>
  <c r="G130" i="145"/>
  <c r="D130" i="145"/>
  <c r="B106" i="145"/>
  <c r="G106" i="145"/>
  <c r="D106" i="145"/>
  <c r="B66" i="145"/>
  <c r="G66" i="145"/>
  <c r="D66" i="145"/>
  <c r="G90" i="145"/>
  <c r="B85" i="145"/>
  <c r="G85" i="145"/>
  <c r="D85" i="145"/>
  <c r="B77" i="145"/>
  <c r="D77" i="145"/>
  <c r="G77" i="145"/>
  <c r="B69" i="145"/>
  <c r="D69" i="145"/>
  <c r="G69" i="145"/>
  <c r="D61" i="145"/>
  <c r="G61" i="145"/>
  <c r="B61" i="145"/>
  <c r="B89" i="145"/>
  <c r="D89" i="145"/>
  <c r="G89" i="145"/>
  <c r="B81" i="145"/>
  <c r="G81" i="145"/>
  <c r="B73" i="145"/>
  <c r="G73" i="145"/>
  <c r="D73" i="145"/>
  <c r="B65" i="145"/>
  <c r="D65" i="145"/>
  <c r="G65" i="145"/>
  <c r="B88" i="145"/>
  <c r="G88" i="145"/>
  <c r="D88" i="145"/>
  <c r="B80" i="145"/>
  <c r="D80" i="145"/>
  <c r="G80" i="145"/>
  <c r="B72" i="145"/>
  <c r="D72" i="145"/>
  <c r="G72" i="145"/>
  <c r="B64" i="145"/>
  <c r="D64" i="145"/>
  <c r="G64" i="145"/>
  <c r="B60" i="145"/>
  <c r="B58" i="145"/>
  <c r="G57" i="145"/>
  <c r="B57" i="145"/>
  <c r="B59" i="145"/>
  <c r="B7" i="189"/>
  <c r="B8" i="189" s="1"/>
  <c r="B9" i="189" s="1"/>
  <c r="B10" i="189" s="1"/>
  <c r="B11" i="189" s="1"/>
  <c r="B12" i="189" s="1"/>
  <c r="B13" i="189" s="1"/>
  <c r="B14" i="189" s="1"/>
  <c r="B15" i="189" s="1"/>
  <c r="B16" i="189" s="1"/>
  <c r="B17" i="189" s="1"/>
  <c r="B18" i="189" s="1"/>
  <c r="B19" i="189" s="1"/>
  <c r="B20" i="189" s="1"/>
  <c r="B21" i="189" s="1"/>
  <c r="B22" i="189" s="1"/>
  <c r="B23" i="189" s="1"/>
  <c r="B24" i="189" s="1"/>
  <c r="B25" i="189" s="1"/>
  <c r="B26" i="189" s="1"/>
  <c r="B27" i="189" s="1"/>
  <c r="B28" i="189" s="1"/>
  <c r="B29" i="189" s="1"/>
  <c r="B30" i="189" s="1"/>
  <c r="B31" i="189" s="1"/>
  <c r="B32" i="189" s="1"/>
  <c r="B33" i="189" s="1"/>
  <c r="B34" i="189" s="1"/>
  <c r="B35" i="189" s="1"/>
  <c r="B36" i="189" s="1"/>
  <c r="B37" i="189" s="1"/>
  <c r="B38" i="189" s="1"/>
  <c r="B39" i="189" s="1"/>
  <c r="B40" i="189" s="1"/>
  <c r="B41" i="189" s="1"/>
  <c r="B42" i="189" s="1"/>
  <c r="B43" i="189" s="1"/>
  <c r="B44" i="189" s="1"/>
  <c r="B45" i="189" s="1"/>
  <c r="B46" i="189" s="1"/>
  <c r="B47" i="189" s="1"/>
  <c r="B48" i="189" s="1"/>
  <c r="B49" i="189" s="1"/>
  <c r="B50" i="189" s="1"/>
  <c r="B51" i="189" s="1"/>
  <c r="B52" i="189" s="1"/>
  <c r="B53" i="189" s="1"/>
  <c r="B54" i="189" s="1"/>
  <c r="B55" i="189" s="1"/>
  <c r="B56" i="189" s="1"/>
  <c r="B57" i="189" s="1"/>
  <c r="B58" i="189" s="1"/>
  <c r="B59" i="189" s="1"/>
  <c r="B60" i="189" s="1"/>
  <c r="B61" i="189" s="1"/>
  <c r="B62" i="189" s="1"/>
  <c r="B63" i="189" s="1"/>
  <c r="B64" i="189" s="1"/>
  <c r="B65" i="189" s="1"/>
  <c r="B66" i="189" s="1"/>
  <c r="B67" i="189" s="1"/>
  <c r="B68" i="189" s="1"/>
  <c r="B69" i="189" s="1"/>
  <c r="B70" i="189" s="1"/>
  <c r="B71" i="189" s="1"/>
  <c r="B72" i="189" s="1"/>
  <c r="B73" i="189" s="1"/>
  <c r="B74" i="189" s="1"/>
  <c r="B75" i="189" s="1"/>
  <c r="B76" i="189" s="1"/>
  <c r="B77" i="189" s="1"/>
  <c r="B78" i="189" s="1"/>
  <c r="B79" i="189" s="1"/>
  <c r="B80" i="189" s="1"/>
  <c r="B81" i="189" s="1"/>
  <c r="B82" i="189" s="1"/>
  <c r="B83" i="189" s="1"/>
  <c r="B84" i="189" s="1"/>
  <c r="B85" i="189" s="1"/>
  <c r="B86" i="189" s="1"/>
  <c r="B87" i="189" s="1"/>
  <c r="B88" i="189" s="1"/>
  <c r="B89" i="189" s="1"/>
  <c r="B90" i="189" s="1"/>
  <c r="B91" i="189" s="1"/>
  <c r="B92" i="189" s="1"/>
  <c r="B93" i="189" s="1"/>
  <c r="B94" i="189" s="1"/>
  <c r="B95" i="189" s="1"/>
  <c r="B96" i="189" s="1"/>
  <c r="B97" i="189" s="1"/>
  <c r="B98" i="189" s="1"/>
  <c r="B99" i="189" s="1"/>
  <c r="B100" i="189" s="1"/>
  <c r="B101" i="189" s="1"/>
  <c r="B102" i="189" s="1"/>
  <c r="B103" i="189" s="1"/>
  <c r="B104" i="189" s="1"/>
  <c r="B105" i="189" s="1"/>
  <c r="B106" i="189" s="1"/>
  <c r="B107" i="189" s="1"/>
  <c r="B108" i="189" s="1"/>
  <c r="B109" i="189" s="1"/>
  <c r="B110" i="189" s="1"/>
  <c r="B111" i="189" s="1"/>
  <c r="B112" i="189" s="1"/>
  <c r="B113" i="189" s="1"/>
  <c r="B114" i="189" s="1"/>
  <c r="B115" i="189" s="1"/>
  <c r="B116" i="189" s="1"/>
  <c r="B117" i="189" s="1"/>
  <c r="B118" i="189" s="1"/>
  <c r="B119" i="189" s="1"/>
  <c r="B120" i="189" s="1"/>
  <c r="B121" i="189" s="1"/>
  <c r="B122" i="189" s="1"/>
  <c r="B123" i="189" s="1"/>
  <c r="B124" i="189" s="1"/>
  <c r="B125" i="189" s="1"/>
  <c r="B126" i="189" s="1"/>
  <c r="B127" i="189" s="1"/>
  <c r="B128" i="189" s="1"/>
  <c r="B129" i="189" s="1"/>
  <c r="B130" i="189" s="1"/>
  <c r="B131" i="189" s="1"/>
  <c r="B132" i="189" s="1"/>
  <c r="B133" i="189" s="1"/>
  <c r="B134" i="189" s="1"/>
  <c r="B135" i="189" s="1"/>
  <c r="B136" i="189" s="1"/>
  <c r="B137" i="189" s="1"/>
  <c r="B138" i="189" s="1"/>
  <c r="B139" i="189" s="1"/>
  <c r="B140" i="189" s="1"/>
  <c r="B141" i="189" s="1"/>
  <c r="B142" i="189" s="1"/>
  <c r="B143" i="189" s="1"/>
  <c r="B144" i="189" s="1"/>
  <c r="B145" i="189" s="1"/>
  <c r="B146" i="189" s="1"/>
  <c r="B147" i="189" s="1"/>
  <c r="B148" i="189" s="1"/>
  <c r="B149" i="189" s="1"/>
  <c r="B150" i="189" s="1"/>
  <c r="B151" i="189" s="1"/>
  <c r="B152" i="189" s="1"/>
  <c r="B153" i="189" s="1"/>
  <c r="B154" i="189" s="1"/>
  <c r="B155" i="189" s="1"/>
  <c r="B156" i="189" s="1"/>
  <c r="B157" i="189" s="1"/>
  <c r="B158" i="189" s="1"/>
  <c r="B159" i="189" s="1"/>
  <c r="B160" i="189" s="1"/>
  <c r="B161" i="189" s="1"/>
  <c r="B162" i="189" s="1"/>
  <c r="B163" i="189" s="1"/>
  <c r="B164" i="189" s="1"/>
  <c r="B165" i="189" s="1"/>
  <c r="B166" i="189" s="1"/>
  <c r="B167" i="189" s="1"/>
  <c r="B168" i="189" s="1"/>
  <c r="B169" i="189" s="1"/>
  <c r="B170" i="189" s="1"/>
  <c r="B171" i="189" s="1"/>
  <c r="B172" i="189" s="1"/>
  <c r="B173" i="189" s="1"/>
  <c r="B174" i="189" s="1"/>
  <c r="B175" i="189" s="1"/>
  <c r="B176" i="189" s="1"/>
  <c r="B177" i="189" s="1"/>
  <c r="B178" i="189" s="1"/>
  <c r="B179" i="189" s="1"/>
  <c r="B180" i="189" s="1"/>
  <c r="B181" i="189" s="1"/>
  <c r="B182" i="189" s="1"/>
  <c r="B183" i="189" s="1"/>
  <c r="B184" i="189" s="1"/>
  <c r="B185" i="189" s="1"/>
  <c r="B186" i="189" s="1"/>
  <c r="B187" i="189" s="1"/>
  <c r="B188" i="189" s="1"/>
  <c r="B189" i="189" s="1"/>
  <c r="B190" i="189" s="1"/>
  <c r="B191" i="189" s="1"/>
  <c r="B192" i="189" s="1"/>
  <c r="B193" i="189" s="1"/>
  <c r="B194" i="189" s="1"/>
  <c r="B195" i="189" s="1"/>
  <c r="B196" i="189" s="1"/>
  <c r="B197" i="189" s="1"/>
  <c r="B198" i="189" s="1"/>
  <c r="B199" i="189" s="1"/>
  <c r="B200" i="189" s="1"/>
  <c r="B201" i="189" s="1"/>
  <c r="B202" i="189" s="1"/>
  <c r="B203" i="189" s="1"/>
  <c r="B204" i="189" s="1"/>
  <c r="B205" i="189" s="1"/>
  <c r="B206" i="189" s="1"/>
  <c r="B207" i="189" s="1"/>
  <c r="B208" i="189" s="1"/>
  <c r="B209" i="189" s="1"/>
  <c r="B210" i="189" s="1"/>
  <c r="B211" i="189" s="1"/>
  <c r="B212" i="189" s="1"/>
  <c r="B213" i="189" s="1"/>
  <c r="B214" i="189" s="1"/>
  <c r="B215" i="189" s="1"/>
  <c r="CD121" i="27"/>
  <c r="CF121" i="27"/>
  <c r="CG121" i="27"/>
  <c r="CH121" i="27"/>
  <c r="CJ121" i="27"/>
  <c r="CK121" i="27"/>
  <c r="CL121" i="27"/>
  <c r="CN121" i="27"/>
  <c r="CO121" i="27"/>
  <c r="CP121" i="27"/>
  <c r="CR121" i="27"/>
  <c r="CS121" i="27"/>
  <c r="CT121" i="27"/>
  <c r="CV121" i="27"/>
  <c r="CW121" i="27"/>
  <c r="CX121" i="27"/>
  <c r="CZ121" i="27"/>
  <c r="DA121" i="27"/>
  <c r="DB121" i="27"/>
  <c r="DD121" i="27"/>
  <c r="DE121" i="27"/>
  <c r="DF121" i="27"/>
  <c r="DH121" i="27"/>
  <c r="DI121" i="27"/>
  <c r="DJ121" i="27"/>
  <c r="DL121" i="27"/>
  <c r="DM121" i="27"/>
  <c r="DN121" i="27"/>
  <c r="DP121" i="27"/>
  <c r="DQ121" i="27"/>
  <c r="DR121" i="27"/>
  <c r="DT121" i="27"/>
  <c r="DU121" i="27"/>
  <c r="DV121" i="27"/>
  <c r="DX121" i="27"/>
  <c r="DY121" i="27"/>
  <c r="DZ121" i="27"/>
  <c r="EB121" i="27"/>
  <c r="EC121" i="27"/>
  <c r="ED121" i="27"/>
  <c r="EF121" i="27"/>
  <c r="EG121" i="27"/>
  <c r="EH121" i="27"/>
  <c r="EJ121" i="27"/>
  <c r="EK121" i="27"/>
  <c r="EL121" i="27"/>
  <c r="EN121" i="27"/>
  <c r="EO121" i="27"/>
  <c r="EP121" i="27"/>
  <c r="ER121" i="27"/>
  <c r="ES121" i="27"/>
  <c r="ET121" i="27"/>
  <c r="EV121" i="27"/>
  <c r="EW121" i="27"/>
  <c r="EX121" i="27"/>
  <c r="FG121" i="27" s="1"/>
  <c r="CD122" i="27"/>
  <c r="CF122" i="27"/>
  <c r="CG122" i="27"/>
  <c r="CH122" i="27"/>
  <c r="CJ122" i="27"/>
  <c r="CK122" i="27"/>
  <c r="CL122" i="27"/>
  <c r="CN122" i="27"/>
  <c r="CO122" i="27"/>
  <c r="CP122" i="27"/>
  <c r="CR122" i="27"/>
  <c r="CS122" i="27"/>
  <c r="CT122" i="27"/>
  <c r="CV122" i="27"/>
  <c r="CW122" i="27"/>
  <c r="CX122" i="27"/>
  <c r="CZ122" i="27"/>
  <c r="DA122" i="27"/>
  <c r="DB122" i="27"/>
  <c r="DD122" i="27"/>
  <c r="DE122" i="27"/>
  <c r="DF122" i="27"/>
  <c r="DH122" i="27"/>
  <c r="DI122" i="27"/>
  <c r="DJ122" i="27"/>
  <c r="DL122" i="27"/>
  <c r="DM122" i="27"/>
  <c r="DN122" i="27"/>
  <c r="DP122" i="27"/>
  <c r="DQ122" i="27"/>
  <c r="DR122" i="27"/>
  <c r="DT122" i="27"/>
  <c r="DU122" i="27"/>
  <c r="DV122" i="27"/>
  <c r="DX122" i="27"/>
  <c r="DY122" i="27"/>
  <c r="DZ122" i="27"/>
  <c r="EB122" i="27"/>
  <c r="EC122" i="27"/>
  <c r="ED122" i="27"/>
  <c r="EF122" i="27"/>
  <c r="EG122" i="27"/>
  <c r="EH122" i="27"/>
  <c r="EJ122" i="27"/>
  <c r="EK122" i="27"/>
  <c r="EL122" i="27"/>
  <c r="EN122" i="27"/>
  <c r="EO122" i="27"/>
  <c r="EP122" i="27"/>
  <c r="ER122" i="27"/>
  <c r="ES122" i="27"/>
  <c r="ET122" i="27"/>
  <c r="EV122" i="27"/>
  <c r="EW122" i="27"/>
  <c r="EX122" i="27"/>
  <c r="FG122" i="27" s="1"/>
  <c r="CD123" i="27"/>
  <c r="CF123" i="27"/>
  <c r="CG123" i="27"/>
  <c r="CH123" i="27"/>
  <c r="CJ123" i="27"/>
  <c r="CK123" i="27"/>
  <c r="CL123" i="27"/>
  <c r="CN123" i="27"/>
  <c r="CO123" i="27"/>
  <c r="CP123" i="27"/>
  <c r="CR123" i="27"/>
  <c r="CS123" i="27"/>
  <c r="CT123" i="27"/>
  <c r="CV123" i="27"/>
  <c r="CW123" i="27"/>
  <c r="CX123" i="27"/>
  <c r="CZ123" i="27"/>
  <c r="DA123" i="27"/>
  <c r="DB123" i="27"/>
  <c r="DD123" i="27"/>
  <c r="DE123" i="27"/>
  <c r="DF123" i="27"/>
  <c r="DH123" i="27"/>
  <c r="DI123" i="27"/>
  <c r="DJ123" i="27"/>
  <c r="DL123" i="27"/>
  <c r="DM123" i="27"/>
  <c r="DN123" i="27"/>
  <c r="DP123" i="27"/>
  <c r="DQ123" i="27"/>
  <c r="DR123" i="27"/>
  <c r="DT123" i="27"/>
  <c r="DU123" i="27"/>
  <c r="DV123" i="27"/>
  <c r="DX123" i="27"/>
  <c r="DY123" i="27"/>
  <c r="DZ123" i="27"/>
  <c r="EB123" i="27"/>
  <c r="EC123" i="27"/>
  <c r="ED123" i="27"/>
  <c r="EF123" i="27"/>
  <c r="EG123" i="27"/>
  <c r="EH123" i="27"/>
  <c r="EJ123" i="27"/>
  <c r="EK123" i="27"/>
  <c r="EL123" i="27"/>
  <c r="EN123" i="27"/>
  <c r="EO123" i="27"/>
  <c r="EP123" i="27"/>
  <c r="ER123" i="27"/>
  <c r="ES123" i="27"/>
  <c r="ET123" i="27"/>
  <c r="EV123" i="27"/>
  <c r="EW123" i="27"/>
  <c r="EX123" i="27"/>
  <c r="FG123" i="27" s="1"/>
  <c r="CD124" i="27"/>
  <c r="CF124" i="27"/>
  <c r="CG124" i="27"/>
  <c r="CH124" i="27"/>
  <c r="CJ124" i="27"/>
  <c r="CK124" i="27"/>
  <c r="CL124" i="27"/>
  <c r="CN124" i="27"/>
  <c r="CO124" i="27"/>
  <c r="CP124" i="27"/>
  <c r="CR124" i="27"/>
  <c r="CS124" i="27"/>
  <c r="CT124" i="27"/>
  <c r="CV124" i="27"/>
  <c r="CW124" i="27"/>
  <c r="CX124" i="27"/>
  <c r="CZ124" i="27"/>
  <c r="DA124" i="27"/>
  <c r="DB124" i="27"/>
  <c r="DD124" i="27"/>
  <c r="DE124" i="27"/>
  <c r="DF124" i="27"/>
  <c r="DH124" i="27"/>
  <c r="DI124" i="27"/>
  <c r="DJ124" i="27"/>
  <c r="DL124" i="27"/>
  <c r="DM124" i="27"/>
  <c r="DN124" i="27"/>
  <c r="DP124" i="27"/>
  <c r="DQ124" i="27"/>
  <c r="DR124" i="27"/>
  <c r="DT124" i="27"/>
  <c r="DU124" i="27"/>
  <c r="DV124" i="27"/>
  <c r="DX124" i="27"/>
  <c r="DY124" i="27"/>
  <c r="DZ124" i="27"/>
  <c r="EB124" i="27"/>
  <c r="EC124" i="27"/>
  <c r="ED124" i="27"/>
  <c r="EF124" i="27"/>
  <c r="EG124" i="27"/>
  <c r="EH124" i="27"/>
  <c r="EJ124" i="27"/>
  <c r="EK124" i="27"/>
  <c r="EL124" i="27"/>
  <c r="EN124" i="27"/>
  <c r="EO124" i="27"/>
  <c r="EP124" i="27"/>
  <c r="ER124" i="27"/>
  <c r="ES124" i="27"/>
  <c r="ET124" i="27"/>
  <c r="EV124" i="27"/>
  <c r="EW124" i="27"/>
  <c r="EX124" i="27"/>
  <c r="FG124" i="27" s="1"/>
  <c r="CD125" i="27"/>
  <c r="CF125" i="27"/>
  <c r="CG125" i="27"/>
  <c r="CH125" i="27"/>
  <c r="CJ125" i="27"/>
  <c r="CK125" i="27"/>
  <c r="CL125" i="27"/>
  <c r="CN125" i="27"/>
  <c r="CO125" i="27"/>
  <c r="CP125" i="27"/>
  <c r="CR125" i="27"/>
  <c r="CS125" i="27"/>
  <c r="CT125" i="27"/>
  <c r="CV125" i="27"/>
  <c r="CW125" i="27"/>
  <c r="CX125" i="27"/>
  <c r="CZ125" i="27"/>
  <c r="DA125" i="27"/>
  <c r="DB125" i="27"/>
  <c r="DD125" i="27"/>
  <c r="DE125" i="27"/>
  <c r="DF125" i="27"/>
  <c r="DH125" i="27"/>
  <c r="DI125" i="27"/>
  <c r="DJ125" i="27"/>
  <c r="DL125" i="27"/>
  <c r="DM125" i="27"/>
  <c r="DN125" i="27"/>
  <c r="DP125" i="27"/>
  <c r="DQ125" i="27"/>
  <c r="DR125" i="27"/>
  <c r="DT125" i="27"/>
  <c r="DU125" i="27"/>
  <c r="DV125" i="27"/>
  <c r="DX125" i="27"/>
  <c r="DY125" i="27"/>
  <c r="DZ125" i="27"/>
  <c r="EB125" i="27"/>
  <c r="EC125" i="27"/>
  <c r="ED125" i="27"/>
  <c r="EF125" i="27"/>
  <c r="EG125" i="27"/>
  <c r="EH125" i="27"/>
  <c r="EJ125" i="27"/>
  <c r="EK125" i="27"/>
  <c r="EL125" i="27"/>
  <c r="EN125" i="27"/>
  <c r="EO125" i="27"/>
  <c r="EP125" i="27"/>
  <c r="ER125" i="27"/>
  <c r="ES125" i="27"/>
  <c r="ET125" i="27"/>
  <c r="EV125" i="27"/>
  <c r="EW125" i="27"/>
  <c r="EX125" i="27"/>
  <c r="FG125" i="27" s="1"/>
  <c r="CD126" i="27"/>
  <c r="CF126" i="27"/>
  <c r="CG126" i="27"/>
  <c r="CH126" i="27"/>
  <c r="CJ126" i="27"/>
  <c r="CK126" i="27"/>
  <c r="CL126" i="27"/>
  <c r="CN126" i="27"/>
  <c r="CO126" i="27"/>
  <c r="CP126" i="27"/>
  <c r="CR126" i="27"/>
  <c r="CS126" i="27"/>
  <c r="CT126" i="27"/>
  <c r="CV126" i="27"/>
  <c r="CW126" i="27"/>
  <c r="CX126" i="27"/>
  <c r="CZ126" i="27"/>
  <c r="DA126" i="27"/>
  <c r="DB126" i="27"/>
  <c r="DD126" i="27"/>
  <c r="DE126" i="27"/>
  <c r="DF126" i="27"/>
  <c r="DH126" i="27"/>
  <c r="DI126" i="27"/>
  <c r="DJ126" i="27"/>
  <c r="DL126" i="27"/>
  <c r="DM126" i="27"/>
  <c r="DN126" i="27"/>
  <c r="DP126" i="27"/>
  <c r="DQ126" i="27"/>
  <c r="DR126" i="27"/>
  <c r="DT126" i="27"/>
  <c r="DU126" i="27"/>
  <c r="DV126" i="27"/>
  <c r="DX126" i="27"/>
  <c r="DY126" i="27"/>
  <c r="DZ126" i="27"/>
  <c r="EB126" i="27"/>
  <c r="EC126" i="27"/>
  <c r="ED126" i="27"/>
  <c r="EF126" i="27"/>
  <c r="EG126" i="27"/>
  <c r="EH126" i="27"/>
  <c r="EJ126" i="27"/>
  <c r="EK126" i="27"/>
  <c r="EL126" i="27"/>
  <c r="EN126" i="27"/>
  <c r="EO126" i="27"/>
  <c r="EP126" i="27"/>
  <c r="ER126" i="27"/>
  <c r="ES126" i="27"/>
  <c r="ET126" i="27"/>
  <c r="EV126" i="27"/>
  <c r="EW126" i="27"/>
  <c r="EX126" i="27"/>
  <c r="FG126" i="27" s="1"/>
  <c r="CD127" i="27"/>
  <c r="CF127" i="27"/>
  <c r="CG127" i="27"/>
  <c r="CH127" i="27"/>
  <c r="CJ127" i="27"/>
  <c r="CK127" i="27"/>
  <c r="CL127" i="27"/>
  <c r="CN127" i="27"/>
  <c r="CO127" i="27"/>
  <c r="CP127" i="27"/>
  <c r="CR127" i="27"/>
  <c r="CS127" i="27"/>
  <c r="CT127" i="27"/>
  <c r="CV127" i="27"/>
  <c r="CW127" i="27"/>
  <c r="CX127" i="27"/>
  <c r="CZ127" i="27"/>
  <c r="DA127" i="27"/>
  <c r="DB127" i="27"/>
  <c r="DD127" i="27"/>
  <c r="DE127" i="27"/>
  <c r="DF127" i="27"/>
  <c r="DH127" i="27"/>
  <c r="DI127" i="27"/>
  <c r="DJ127" i="27"/>
  <c r="DL127" i="27"/>
  <c r="DM127" i="27"/>
  <c r="DN127" i="27"/>
  <c r="DP127" i="27"/>
  <c r="DQ127" i="27"/>
  <c r="DR127" i="27"/>
  <c r="DT127" i="27"/>
  <c r="DU127" i="27"/>
  <c r="DV127" i="27"/>
  <c r="DX127" i="27"/>
  <c r="DY127" i="27"/>
  <c r="DZ127" i="27"/>
  <c r="EB127" i="27"/>
  <c r="EC127" i="27"/>
  <c r="ED127" i="27"/>
  <c r="EF127" i="27"/>
  <c r="EG127" i="27"/>
  <c r="EH127" i="27"/>
  <c r="EJ127" i="27"/>
  <c r="EK127" i="27"/>
  <c r="EL127" i="27"/>
  <c r="EN127" i="27"/>
  <c r="EO127" i="27"/>
  <c r="EP127" i="27"/>
  <c r="ER127" i="27"/>
  <c r="ES127" i="27"/>
  <c r="ET127" i="27"/>
  <c r="EV127" i="27"/>
  <c r="EW127" i="27"/>
  <c r="EX127" i="27"/>
  <c r="FG127" i="27" s="1"/>
  <c r="CD128" i="27"/>
  <c r="CF128" i="27"/>
  <c r="CG128" i="27"/>
  <c r="CH128" i="27"/>
  <c r="CJ128" i="27"/>
  <c r="CK128" i="27"/>
  <c r="CL128" i="27"/>
  <c r="CN128" i="27"/>
  <c r="CO128" i="27"/>
  <c r="CP128" i="27"/>
  <c r="CR128" i="27"/>
  <c r="CS128" i="27"/>
  <c r="CT128" i="27"/>
  <c r="CV128" i="27"/>
  <c r="CW128" i="27"/>
  <c r="CX128" i="27"/>
  <c r="CZ128" i="27"/>
  <c r="DA128" i="27"/>
  <c r="DB128" i="27"/>
  <c r="DD128" i="27"/>
  <c r="DE128" i="27"/>
  <c r="DF128" i="27"/>
  <c r="DH128" i="27"/>
  <c r="DI128" i="27"/>
  <c r="DJ128" i="27"/>
  <c r="DL128" i="27"/>
  <c r="DM128" i="27"/>
  <c r="DN128" i="27"/>
  <c r="DP128" i="27"/>
  <c r="DQ128" i="27"/>
  <c r="DR128" i="27"/>
  <c r="DT128" i="27"/>
  <c r="DU128" i="27"/>
  <c r="DV128" i="27"/>
  <c r="DX128" i="27"/>
  <c r="DY128" i="27"/>
  <c r="DZ128" i="27"/>
  <c r="EB128" i="27"/>
  <c r="EC128" i="27"/>
  <c r="ED128" i="27"/>
  <c r="EF128" i="27"/>
  <c r="EG128" i="27"/>
  <c r="EH128" i="27"/>
  <c r="EJ128" i="27"/>
  <c r="EK128" i="27"/>
  <c r="EL128" i="27"/>
  <c r="EN128" i="27"/>
  <c r="EO128" i="27"/>
  <c r="EP128" i="27"/>
  <c r="ER128" i="27"/>
  <c r="ES128" i="27"/>
  <c r="ET128" i="27"/>
  <c r="EV128" i="27"/>
  <c r="EW128" i="27"/>
  <c r="EX128" i="27"/>
  <c r="FG128" i="27" s="1"/>
  <c r="CD129" i="27"/>
  <c r="CF129" i="27"/>
  <c r="CG129" i="27"/>
  <c r="CH129" i="27"/>
  <c r="CJ129" i="27"/>
  <c r="CK129" i="27"/>
  <c r="CL129" i="27"/>
  <c r="CN129" i="27"/>
  <c r="CO129" i="27"/>
  <c r="CP129" i="27"/>
  <c r="CR129" i="27"/>
  <c r="CS129" i="27"/>
  <c r="CT129" i="27"/>
  <c r="CV129" i="27"/>
  <c r="CW129" i="27"/>
  <c r="CX129" i="27"/>
  <c r="CZ129" i="27"/>
  <c r="DA129" i="27"/>
  <c r="DB129" i="27"/>
  <c r="DD129" i="27"/>
  <c r="DE129" i="27"/>
  <c r="DF129" i="27"/>
  <c r="DH129" i="27"/>
  <c r="DI129" i="27"/>
  <c r="DJ129" i="27"/>
  <c r="DL129" i="27"/>
  <c r="DM129" i="27"/>
  <c r="DN129" i="27"/>
  <c r="DP129" i="27"/>
  <c r="DQ129" i="27"/>
  <c r="DR129" i="27"/>
  <c r="DT129" i="27"/>
  <c r="DU129" i="27"/>
  <c r="DV129" i="27"/>
  <c r="DX129" i="27"/>
  <c r="DY129" i="27"/>
  <c r="DZ129" i="27"/>
  <c r="EB129" i="27"/>
  <c r="EC129" i="27"/>
  <c r="ED129" i="27"/>
  <c r="EF129" i="27"/>
  <c r="EG129" i="27"/>
  <c r="EH129" i="27"/>
  <c r="EJ129" i="27"/>
  <c r="EK129" i="27"/>
  <c r="EL129" i="27"/>
  <c r="EN129" i="27"/>
  <c r="EO129" i="27"/>
  <c r="EP129" i="27"/>
  <c r="ER129" i="27"/>
  <c r="ES129" i="27"/>
  <c r="ET129" i="27"/>
  <c r="EV129" i="27"/>
  <c r="EW129" i="27"/>
  <c r="EX129" i="27"/>
  <c r="FG129" i="27" s="1"/>
  <c r="CD130" i="27"/>
  <c r="CF130" i="27"/>
  <c r="CG130" i="27"/>
  <c r="CH130" i="27"/>
  <c r="CJ130" i="27"/>
  <c r="CK130" i="27"/>
  <c r="CL130" i="27"/>
  <c r="CN130" i="27"/>
  <c r="CO130" i="27"/>
  <c r="CP130" i="27"/>
  <c r="CR130" i="27"/>
  <c r="CS130" i="27"/>
  <c r="CT130" i="27"/>
  <c r="CV130" i="27"/>
  <c r="CW130" i="27"/>
  <c r="CX130" i="27"/>
  <c r="CZ130" i="27"/>
  <c r="DA130" i="27"/>
  <c r="DB130" i="27"/>
  <c r="DD130" i="27"/>
  <c r="DE130" i="27"/>
  <c r="DF130" i="27"/>
  <c r="DH130" i="27"/>
  <c r="DI130" i="27"/>
  <c r="DJ130" i="27"/>
  <c r="DL130" i="27"/>
  <c r="DM130" i="27"/>
  <c r="DN130" i="27"/>
  <c r="DP130" i="27"/>
  <c r="DQ130" i="27"/>
  <c r="DR130" i="27"/>
  <c r="DT130" i="27"/>
  <c r="DU130" i="27"/>
  <c r="DV130" i="27"/>
  <c r="DX130" i="27"/>
  <c r="DY130" i="27"/>
  <c r="DZ130" i="27"/>
  <c r="EB130" i="27"/>
  <c r="EC130" i="27"/>
  <c r="ED130" i="27"/>
  <c r="EF130" i="27"/>
  <c r="EG130" i="27"/>
  <c r="EH130" i="27"/>
  <c r="EJ130" i="27"/>
  <c r="EK130" i="27"/>
  <c r="EL130" i="27"/>
  <c r="EN130" i="27"/>
  <c r="EO130" i="27"/>
  <c r="EP130" i="27"/>
  <c r="ER130" i="27"/>
  <c r="ES130" i="27"/>
  <c r="ET130" i="27"/>
  <c r="EV130" i="27"/>
  <c r="EW130" i="27"/>
  <c r="EX130" i="27"/>
  <c r="FG130" i="27" s="1"/>
  <c r="CD131" i="27"/>
  <c r="CF131" i="27"/>
  <c r="CG131" i="27"/>
  <c r="CH131" i="27"/>
  <c r="CJ131" i="27"/>
  <c r="CK131" i="27"/>
  <c r="CL131" i="27"/>
  <c r="CN131" i="27"/>
  <c r="CO131" i="27"/>
  <c r="CP131" i="27"/>
  <c r="CR131" i="27"/>
  <c r="CS131" i="27"/>
  <c r="CT131" i="27"/>
  <c r="CV131" i="27"/>
  <c r="CW131" i="27"/>
  <c r="CX131" i="27"/>
  <c r="CZ131" i="27"/>
  <c r="DA131" i="27"/>
  <c r="DB131" i="27"/>
  <c r="DD131" i="27"/>
  <c r="DE131" i="27"/>
  <c r="DF131" i="27"/>
  <c r="DH131" i="27"/>
  <c r="DI131" i="27"/>
  <c r="DJ131" i="27"/>
  <c r="DL131" i="27"/>
  <c r="DM131" i="27"/>
  <c r="DN131" i="27"/>
  <c r="DP131" i="27"/>
  <c r="DQ131" i="27"/>
  <c r="DR131" i="27"/>
  <c r="DT131" i="27"/>
  <c r="DU131" i="27"/>
  <c r="DV131" i="27"/>
  <c r="DX131" i="27"/>
  <c r="DY131" i="27"/>
  <c r="DZ131" i="27"/>
  <c r="EB131" i="27"/>
  <c r="EC131" i="27"/>
  <c r="ED131" i="27"/>
  <c r="EF131" i="27"/>
  <c r="EG131" i="27"/>
  <c r="EH131" i="27"/>
  <c r="EJ131" i="27"/>
  <c r="EK131" i="27"/>
  <c r="EL131" i="27"/>
  <c r="EN131" i="27"/>
  <c r="EO131" i="27"/>
  <c r="EP131" i="27"/>
  <c r="ER131" i="27"/>
  <c r="ES131" i="27"/>
  <c r="ET131" i="27"/>
  <c r="EV131" i="27"/>
  <c r="EW131" i="27"/>
  <c r="EX131" i="27"/>
  <c r="FG131" i="27" s="1"/>
  <c r="CD132" i="27"/>
  <c r="CF132" i="27"/>
  <c r="CG132" i="27"/>
  <c r="CH132" i="27"/>
  <c r="CJ132" i="27"/>
  <c r="CK132" i="27"/>
  <c r="CL132" i="27"/>
  <c r="CN132" i="27"/>
  <c r="CO132" i="27"/>
  <c r="CP132" i="27"/>
  <c r="CR132" i="27"/>
  <c r="CS132" i="27"/>
  <c r="CT132" i="27"/>
  <c r="CV132" i="27"/>
  <c r="CW132" i="27"/>
  <c r="CX132" i="27"/>
  <c r="CZ132" i="27"/>
  <c r="DA132" i="27"/>
  <c r="DB132" i="27"/>
  <c r="DD132" i="27"/>
  <c r="DE132" i="27"/>
  <c r="DF132" i="27"/>
  <c r="DH132" i="27"/>
  <c r="DI132" i="27"/>
  <c r="DJ132" i="27"/>
  <c r="DL132" i="27"/>
  <c r="DM132" i="27"/>
  <c r="DN132" i="27"/>
  <c r="DP132" i="27"/>
  <c r="DQ132" i="27"/>
  <c r="DR132" i="27"/>
  <c r="DT132" i="27"/>
  <c r="DU132" i="27"/>
  <c r="DV132" i="27"/>
  <c r="DX132" i="27"/>
  <c r="DY132" i="27"/>
  <c r="DZ132" i="27"/>
  <c r="EB132" i="27"/>
  <c r="EC132" i="27"/>
  <c r="ED132" i="27"/>
  <c r="EF132" i="27"/>
  <c r="EG132" i="27"/>
  <c r="EH132" i="27"/>
  <c r="EJ132" i="27"/>
  <c r="EK132" i="27"/>
  <c r="EL132" i="27"/>
  <c r="EN132" i="27"/>
  <c r="EO132" i="27"/>
  <c r="EP132" i="27"/>
  <c r="ER132" i="27"/>
  <c r="ES132" i="27"/>
  <c r="ET132" i="27"/>
  <c r="EV132" i="27"/>
  <c r="EW132" i="27"/>
  <c r="EX132" i="27"/>
  <c r="FG132" i="27" s="1"/>
  <c r="CD133" i="27"/>
  <c r="CF133" i="27"/>
  <c r="CG133" i="27"/>
  <c r="CH133" i="27"/>
  <c r="CJ133" i="27"/>
  <c r="CK133" i="27"/>
  <c r="CL133" i="27"/>
  <c r="CN133" i="27"/>
  <c r="CO133" i="27"/>
  <c r="CP133" i="27"/>
  <c r="CR133" i="27"/>
  <c r="CS133" i="27"/>
  <c r="CT133" i="27"/>
  <c r="CV133" i="27"/>
  <c r="CW133" i="27"/>
  <c r="CX133" i="27"/>
  <c r="CZ133" i="27"/>
  <c r="DA133" i="27"/>
  <c r="DB133" i="27"/>
  <c r="DD133" i="27"/>
  <c r="DE133" i="27"/>
  <c r="DF133" i="27"/>
  <c r="DH133" i="27"/>
  <c r="DI133" i="27"/>
  <c r="DJ133" i="27"/>
  <c r="DL133" i="27"/>
  <c r="DM133" i="27"/>
  <c r="DN133" i="27"/>
  <c r="DP133" i="27"/>
  <c r="DQ133" i="27"/>
  <c r="DR133" i="27"/>
  <c r="DT133" i="27"/>
  <c r="DU133" i="27"/>
  <c r="DV133" i="27"/>
  <c r="DX133" i="27"/>
  <c r="DY133" i="27"/>
  <c r="DZ133" i="27"/>
  <c r="EB133" i="27"/>
  <c r="EC133" i="27"/>
  <c r="ED133" i="27"/>
  <c r="EF133" i="27"/>
  <c r="EG133" i="27"/>
  <c r="EH133" i="27"/>
  <c r="EJ133" i="27"/>
  <c r="EK133" i="27"/>
  <c r="EL133" i="27"/>
  <c r="EN133" i="27"/>
  <c r="EO133" i="27"/>
  <c r="EP133" i="27"/>
  <c r="ER133" i="27"/>
  <c r="ES133" i="27"/>
  <c r="ET133" i="27"/>
  <c r="EV133" i="27"/>
  <c r="EW133" i="27"/>
  <c r="EX133" i="27"/>
  <c r="FG133" i="27" s="1"/>
  <c r="CD134" i="27"/>
  <c r="CF134" i="27"/>
  <c r="CG134" i="27"/>
  <c r="CH134" i="27"/>
  <c r="CJ134" i="27"/>
  <c r="CK134" i="27"/>
  <c r="CL134" i="27"/>
  <c r="CN134" i="27"/>
  <c r="CO134" i="27"/>
  <c r="CP134" i="27"/>
  <c r="CR134" i="27"/>
  <c r="CS134" i="27"/>
  <c r="CT134" i="27"/>
  <c r="CV134" i="27"/>
  <c r="CW134" i="27"/>
  <c r="CX134" i="27"/>
  <c r="CZ134" i="27"/>
  <c r="DA134" i="27"/>
  <c r="DB134" i="27"/>
  <c r="DD134" i="27"/>
  <c r="DE134" i="27"/>
  <c r="DF134" i="27"/>
  <c r="DH134" i="27"/>
  <c r="DI134" i="27"/>
  <c r="DJ134" i="27"/>
  <c r="DL134" i="27"/>
  <c r="DM134" i="27"/>
  <c r="DN134" i="27"/>
  <c r="DP134" i="27"/>
  <c r="DQ134" i="27"/>
  <c r="DR134" i="27"/>
  <c r="DT134" i="27"/>
  <c r="DU134" i="27"/>
  <c r="DV134" i="27"/>
  <c r="DX134" i="27"/>
  <c r="DY134" i="27"/>
  <c r="DZ134" i="27"/>
  <c r="EB134" i="27"/>
  <c r="EC134" i="27"/>
  <c r="ED134" i="27"/>
  <c r="EF134" i="27"/>
  <c r="EG134" i="27"/>
  <c r="EH134" i="27"/>
  <c r="EJ134" i="27"/>
  <c r="EK134" i="27"/>
  <c r="EL134" i="27"/>
  <c r="EN134" i="27"/>
  <c r="EO134" i="27"/>
  <c r="EP134" i="27"/>
  <c r="ER134" i="27"/>
  <c r="ES134" i="27"/>
  <c r="ET134" i="27"/>
  <c r="EV134" i="27"/>
  <c r="EW134" i="27"/>
  <c r="EX134" i="27"/>
  <c r="FG134" i="27" s="1"/>
  <c r="CD135" i="27"/>
  <c r="CF135" i="27"/>
  <c r="CG135" i="27"/>
  <c r="CH135" i="27"/>
  <c r="CJ135" i="27"/>
  <c r="CK135" i="27"/>
  <c r="CL135" i="27"/>
  <c r="CN135" i="27"/>
  <c r="CO135" i="27"/>
  <c r="CP135" i="27"/>
  <c r="CR135" i="27"/>
  <c r="CS135" i="27"/>
  <c r="CT135" i="27"/>
  <c r="CV135" i="27"/>
  <c r="CW135" i="27"/>
  <c r="CX135" i="27"/>
  <c r="CZ135" i="27"/>
  <c r="DA135" i="27"/>
  <c r="DB135" i="27"/>
  <c r="DD135" i="27"/>
  <c r="DE135" i="27"/>
  <c r="DF135" i="27"/>
  <c r="DH135" i="27"/>
  <c r="DI135" i="27"/>
  <c r="DJ135" i="27"/>
  <c r="DL135" i="27"/>
  <c r="DM135" i="27"/>
  <c r="DN135" i="27"/>
  <c r="DP135" i="27"/>
  <c r="DQ135" i="27"/>
  <c r="DR135" i="27"/>
  <c r="DT135" i="27"/>
  <c r="DU135" i="27"/>
  <c r="DV135" i="27"/>
  <c r="DX135" i="27"/>
  <c r="DY135" i="27"/>
  <c r="DZ135" i="27"/>
  <c r="EB135" i="27"/>
  <c r="EC135" i="27"/>
  <c r="ED135" i="27"/>
  <c r="EF135" i="27"/>
  <c r="EG135" i="27"/>
  <c r="EH135" i="27"/>
  <c r="EJ135" i="27"/>
  <c r="EK135" i="27"/>
  <c r="EL135" i="27"/>
  <c r="EN135" i="27"/>
  <c r="EO135" i="27"/>
  <c r="EP135" i="27"/>
  <c r="ER135" i="27"/>
  <c r="ES135" i="27"/>
  <c r="ET135" i="27"/>
  <c r="EV135" i="27"/>
  <c r="EW135" i="27"/>
  <c r="EX135" i="27"/>
  <c r="FG135" i="27" s="1"/>
  <c r="CD136" i="27"/>
  <c r="CF136" i="27"/>
  <c r="CG136" i="27"/>
  <c r="CH136" i="27"/>
  <c r="CJ136" i="27"/>
  <c r="CK136" i="27"/>
  <c r="CL136" i="27"/>
  <c r="CN136" i="27"/>
  <c r="CO136" i="27"/>
  <c r="CP136" i="27"/>
  <c r="CR136" i="27"/>
  <c r="CS136" i="27"/>
  <c r="CT136" i="27"/>
  <c r="CV136" i="27"/>
  <c r="CW136" i="27"/>
  <c r="CX136" i="27"/>
  <c r="CZ136" i="27"/>
  <c r="DA136" i="27"/>
  <c r="DB136" i="27"/>
  <c r="DD136" i="27"/>
  <c r="DE136" i="27"/>
  <c r="DF136" i="27"/>
  <c r="DH136" i="27"/>
  <c r="DI136" i="27"/>
  <c r="DJ136" i="27"/>
  <c r="DL136" i="27"/>
  <c r="DM136" i="27"/>
  <c r="DN136" i="27"/>
  <c r="DP136" i="27"/>
  <c r="DQ136" i="27"/>
  <c r="DR136" i="27"/>
  <c r="DT136" i="27"/>
  <c r="DU136" i="27"/>
  <c r="DV136" i="27"/>
  <c r="DX136" i="27"/>
  <c r="DY136" i="27"/>
  <c r="DZ136" i="27"/>
  <c r="EB136" i="27"/>
  <c r="EC136" i="27"/>
  <c r="ED136" i="27"/>
  <c r="EF136" i="27"/>
  <c r="EG136" i="27"/>
  <c r="EH136" i="27"/>
  <c r="EJ136" i="27"/>
  <c r="EK136" i="27"/>
  <c r="EL136" i="27"/>
  <c r="EN136" i="27"/>
  <c r="EO136" i="27"/>
  <c r="EP136" i="27"/>
  <c r="ER136" i="27"/>
  <c r="ES136" i="27"/>
  <c r="ET136" i="27"/>
  <c r="EV136" i="27"/>
  <c r="EW136" i="27"/>
  <c r="EX136" i="27"/>
  <c r="FG136" i="27" s="1"/>
  <c r="CD137" i="27"/>
  <c r="CF137" i="27"/>
  <c r="CG137" i="27"/>
  <c r="CH137" i="27"/>
  <c r="CJ137" i="27"/>
  <c r="CK137" i="27"/>
  <c r="CL137" i="27"/>
  <c r="CN137" i="27"/>
  <c r="CO137" i="27"/>
  <c r="CP137" i="27"/>
  <c r="CR137" i="27"/>
  <c r="CS137" i="27"/>
  <c r="CT137" i="27"/>
  <c r="CV137" i="27"/>
  <c r="CW137" i="27"/>
  <c r="CX137" i="27"/>
  <c r="CZ137" i="27"/>
  <c r="DA137" i="27"/>
  <c r="DB137" i="27"/>
  <c r="DD137" i="27"/>
  <c r="DE137" i="27"/>
  <c r="DF137" i="27"/>
  <c r="DH137" i="27"/>
  <c r="DI137" i="27"/>
  <c r="DJ137" i="27"/>
  <c r="DL137" i="27"/>
  <c r="DM137" i="27"/>
  <c r="DN137" i="27"/>
  <c r="DP137" i="27"/>
  <c r="DQ137" i="27"/>
  <c r="DR137" i="27"/>
  <c r="DT137" i="27"/>
  <c r="DU137" i="27"/>
  <c r="DV137" i="27"/>
  <c r="DX137" i="27"/>
  <c r="DY137" i="27"/>
  <c r="DZ137" i="27"/>
  <c r="EB137" i="27"/>
  <c r="EC137" i="27"/>
  <c r="ED137" i="27"/>
  <c r="EF137" i="27"/>
  <c r="EG137" i="27"/>
  <c r="EH137" i="27"/>
  <c r="EJ137" i="27"/>
  <c r="EK137" i="27"/>
  <c r="EL137" i="27"/>
  <c r="EN137" i="27"/>
  <c r="EO137" i="27"/>
  <c r="EP137" i="27"/>
  <c r="ER137" i="27"/>
  <c r="ES137" i="27"/>
  <c r="ET137" i="27"/>
  <c r="EV137" i="27"/>
  <c r="EW137" i="27"/>
  <c r="EX137" i="27"/>
  <c r="FG137" i="27" s="1"/>
  <c r="CD138" i="27"/>
  <c r="CF138" i="27"/>
  <c r="CG138" i="27"/>
  <c r="CH138" i="27"/>
  <c r="CJ138" i="27"/>
  <c r="CK138" i="27"/>
  <c r="CL138" i="27"/>
  <c r="CN138" i="27"/>
  <c r="CO138" i="27"/>
  <c r="CP138" i="27"/>
  <c r="CR138" i="27"/>
  <c r="CS138" i="27"/>
  <c r="CT138" i="27"/>
  <c r="CV138" i="27"/>
  <c r="CW138" i="27"/>
  <c r="CX138" i="27"/>
  <c r="CZ138" i="27"/>
  <c r="DA138" i="27"/>
  <c r="DB138" i="27"/>
  <c r="DD138" i="27"/>
  <c r="DE138" i="27"/>
  <c r="DF138" i="27"/>
  <c r="DH138" i="27"/>
  <c r="DI138" i="27"/>
  <c r="DJ138" i="27"/>
  <c r="DL138" i="27"/>
  <c r="DM138" i="27"/>
  <c r="DN138" i="27"/>
  <c r="DP138" i="27"/>
  <c r="DQ138" i="27"/>
  <c r="DR138" i="27"/>
  <c r="DT138" i="27"/>
  <c r="DU138" i="27"/>
  <c r="DV138" i="27"/>
  <c r="DX138" i="27"/>
  <c r="DY138" i="27"/>
  <c r="DZ138" i="27"/>
  <c r="EB138" i="27"/>
  <c r="EC138" i="27"/>
  <c r="ED138" i="27"/>
  <c r="EF138" i="27"/>
  <c r="EG138" i="27"/>
  <c r="EH138" i="27"/>
  <c r="EJ138" i="27"/>
  <c r="EK138" i="27"/>
  <c r="EL138" i="27"/>
  <c r="EN138" i="27"/>
  <c r="EO138" i="27"/>
  <c r="EP138" i="27"/>
  <c r="ER138" i="27"/>
  <c r="ES138" i="27"/>
  <c r="ET138" i="27"/>
  <c r="EV138" i="27"/>
  <c r="EW138" i="27"/>
  <c r="EX138" i="27"/>
  <c r="FG138" i="27" s="1"/>
  <c r="CD139" i="27"/>
  <c r="CF139" i="27"/>
  <c r="CG139" i="27"/>
  <c r="CH139" i="27"/>
  <c r="CJ139" i="27"/>
  <c r="CK139" i="27"/>
  <c r="CL139" i="27"/>
  <c r="CN139" i="27"/>
  <c r="CO139" i="27"/>
  <c r="CP139" i="27"/>
  <c r="CR139" i="27"/>
  <c r="CS139" i="27"/>
  <c r="CT139" i="27"/>
  <c r="CV139" i="27"/>
  <c r="CW139" i="27"/>
  <c r="CX139" i="27"/>
  <c r="CZ139" i="27"/>
  <c r="DA139" i="27"/>
  <c r="DB139" i="27"/>
  <c r="DD139" i="27"/>
  <c r="DE139" i="27"/>
  <c r="DF139" i="27"/>
  <c r="DH139" i="27"/>
  <c r="DI139" i="27"/>
  <c r="DJ139" i="27"/>
  <c r="DL139" i="27"/>
  <c r="DM139" i="27"/>
  <c r="DN139" i="27"/>
  <c r="DP139" i="27"/>
  <c r="DQ139" i="27"/>
  <c r="DR139" i="27"/>
  <c r="DT139" i="27"/>
  <c r="DU139" i="27"/>
  <c r="DV139" i="27"/>
  <c r="DX139" i="27"/>
  <c r="DY139" i="27"/>
  <c r="DZ139" i="27"/>
  <c r="EB139" i="27"/>
  <c r="EC139" i="27"/>
  <c r="ED139" i="27"/>
  <c r="EF139" i="27"/>
  <c r="EG139" i="27"/>
  <c r="EH139" i="27"/>
  <c r="EJ139" i="27"/>
  <c r="EK139" i="27"/>
  <c r="EL139" i="27"/>
  <c r="EN139" i="27"/>
  <c r="EO139" i="27"/>
  <c r="EP139" i="27"/>
  <c r="ER139" i="27"/>
  <c r="ES139" i="27"/>
  <c r="ET139" i="27"/>
  <c r="EV139" i="27"/>
  <c r="EW139" i="27"/>
  <c r="EX139" i="27"/>
  <c r="FG139" i="27" s="1"/>
  <c r="CD140" i="27"/>
  <c r="CF140" i="27"/>
  <c r="CG140" i="27"/>
  <c r="CH140" i="27"/>
  <c r="CJ140" i="27"/>
  <c r="CK140" i="27"/>
  <c r="CL140" i="27"/>
  <c r="CN140" i="27"/>
  <c r="CO140" i="27"/>
  <c r="CP140" i="27"/>
  <c r="CR140" i="27"/>
  <c r="CS140" i="27"/>
  <c r="CT140" i="27"/>
  <c r="CV140" i="27"/>
  <c r="CW140" i="27"/>
  <c r="CX140" i="27"/>
  <c r="CZ140" i="27"/>
  <c r="DA140" i="27"/>
  <c r="DB140" i="27"/>
  <c r="DD140" i="27"/>
  <c r="DE140" i="27"/>
  <c r="DF140" i="27"/>
  <c r="DH140" i="27"/>
  <c r="DI140" i="27"/>
  <c r="DJ140" i="27"/>
  <c r="DL140" i="27"/>
  <c r="DM140" i="27"/>
  <c r="DN140" i="27"/>
  <c r="DP140" i="27"/>
  <c r="DQ140" i="27"/>
  <c r="DR140" i="27"/>
  <c r="DT140" i="27"/>
  <c r="DU140" i="27"/>
  <c r="DV140" i="27"/>
  <c r="DX140" i="27"/>
  <c r="DY140" i="27"/>
  <c r="DZ140" i="27"/>
  <c r="EB140" i="27"/>
  <c r="EC140" i="27"/>
  <c r="ED140" i="27"/>
  <c r="EF140" i="27"/>
  <c r="EG140" i="27"/>
  <c r="EH140" i="27"/>
  <c r="EJ140" i="27"/>
  <c r="EK140" i="27"/>
  <c r="EL140" i="27"/>
  <c r="EN140" i="27"/>
  <c r="EO140" i="27"/>
  <c r="EP140" i="27"/>
  <c r="ER140" i="27"/>
  <c r="ES140" i="27"/>
  <c r="ET140" i="27"/>
  <c r="EV140" i="27"/>
  <c r="EW140" i="27"/>
  <c r="EX140" i="27"/>
  <c r="FG140" i="27" s="1"/>
  <c r="CD141" i="27"/>
  <c r="CF141" i="27"/>
  <c r="CG141" i="27"/>
  <c r="CH141" i="27"/>
  <c r="CJ141" i="27"/>
  <c r="CK141" i="27"/>
  <c r="CL141" i="27"/>
  <c r="CN141" i="27"/>
  <c r="CO141" i="27"/>
  <c r="CP141" i="27"/>
  <c r="CR141" i="27"/>
  <c r="CS141" i="27"/>
  <c r="CT141" i="27"/>
  <c r="CV141" i="27"/>
  <c r="CW141" i="27"/>
  <c r="CX141" i="27"/>
  <c r="CZ141" i="27"/>
  <c r="DA141" i="27"/>
  <c r="DB141" i="27"/>
  <c r="DD141" i="27"/>
  <c r="DE141" i="27"/>
  <c r="DF141" i="27"/>
  <c r="DH141" i="27"/>
  <c r="DI141" i="27"/>
  <c r="DJ141" i="27"/>
  <c r="DL141" i="27"/>
  <c r="DM141" i="27"/>
  <c r="DN141" i="27"/>
  <c r="DP141" i="27"/>
  <c r="DQ141" i="27"/>
  <c r="DR141" i="27"/>
  <c r="DT141" i="27"/>
  <c r="DU141" i="27"/>
  <c r="DV141" i="27"/>
  <c r="DX141" i="27"/>
  <c r="DY141" i="27"/>
  <c r="DZ141" i="27"/>
  <c r="EB141" i="27"/>
  <c r="EC141" i="27"/>
  <c r="ED141" i="27"/>
  <c r="EF141" i="27"/>
  <c r="EG141" i="27"/>
  <c r="EH141" i="27"/>
  <c r="EJ141" i="27"/>
  <c r="EK141" i="27"/>
  <c r="EL141" i="27"/>
  <c r="EN141" i="27"/>
  <c r="EO141" i="27"/>
  <c r="EP141" i="27"/>
  <c r="ER141" i="27"/>
  <c r="ES141" i="27"/>
  <c r="ET141" i="27"/>
  <c r="EV141" i="27"/>
  <c r="EW141" i="27"/>
  <c r="EX141" i="27"/>
  <c r="FG141" i="27" s="1"/>
  <c r="CD142" i="27"/>
  <c r="CF142" i="27"/>
  <c r="CG142" i="27"/>
  <c r="CH142" i="27"/>
  <c r="CJ142" i="27"/>
  <c r="CK142" i="27"/>
  <c r="CL142" i="27"/>
  <c r="CN142" i="27"/>
  <c r="CO142" i="27"/>
  <c r="CP142" i="27"/>
  <c r="CR142" i="27"/>
  <c r="CS142" i="27"/>
  <c r="CT142" i="27"/>
  <c r="CV142" i="27"/>
  <c r="CW142" i="27"/>
  <c r="CX142" i="27"/>
  <c r="CZ142" i="27"/>
  <c r="DA142" i="27"/>
  <c r="DB142" i="27"/>
  <c r="DD142" i="27"/>
  <c r="DE142" i="27"/>
  <c r="DF142" i="27"/>
  <c r="DH142" i="27"/>
  <c r="DI142" i="27"/>
  <c r="DJ142" i="27"/>
  <c r="DL142" i="27"/>
  <c r="DM142" i="27"/>
  <c r="DN142" i="27"/>
  <c r="DP142" i="27"/>
  <c r="DQ142" i="27"/>
  <c r="DR142" i="27"/>
  <c r="DT142" i="27"/>
  <c r="DU142" i="27"/>
  <c r="DV142" i="27"/>
  <c r="DX142" i="27"/>
  <c r="DY142" i="27"/>
  <c r="DZ142" i="27"/>
  <c r="EB142" i="27"/>
  <c r="EC142" i="27"/>
  <c r="ED142" i="27"/>
  <c r="EF142" i="27"/>
  <c r="EG142" i="27"/>
  <c r="EH142" i="27"/>
  <c r="EJ142" i="27"/>
  <c r="EK142" i="27"/>
  <c r="EL142" i="27"/>
  <c r="EN142" i="27"/>
  <c r="EO142" i="27"/>
  <c r="EP142" i="27"/>
  <c r="ER142" i="27"/>
  <c r="ES142" i="27"/>
  <c r="ET142" i="27"/>
  <c r="EV142" i="27"/>
  <c r="EW142" i="27"/>
  <c r="EX142" i="27"/>
  <c r="FG142" i="27" s="1"/>
  <c r="CD143" i="27"/>
  <c r="CF143" i="27"/>
  <c r="CG143" i="27"/>
  <c r="CH143" i="27"/>
  <c r="CJ143" i="27"/>
  <c r="CK143" i="27"/>
  <c r="CL143" i="27"/>
  <c r="CN143" i="27"/>
  <c r="CO143" i="27"/>
  <c r="CP143" i="27"/>
  <c r="CR143" i="27"/>
  <c r="CS143" i="27"/>
  <c r="CT143" i="27"/>
  <c r="CV143" i="27"/>
  <c r="CW143" i="27"/>
  <c r="CX143" i="27"/>
  <c r="CZ143" i="27"/>
  <c r="DA143" i="27"/>
  <c r="DB143" i="27"/>
  <c r="DD143" i="27"/>
  <c r="DE143" i="27"/>
  <c r="DF143" i="27"/>
  <c r="DH143" i="27"/>
  <c r="DI143" i="27"/>
  <c r="DJ143" i="27"/>
  <c r="DL143" i="27"/>
  <c r="DM143" i="27"/>
  <c r="DN143" i="27"/>
  <c r="DP143" i="27"/>
  <c r="DQ143" i="27"/>
  <c r="DR143" i="27"/>
  <c r="DT143" i="27"/>
  <c r="DU143" i="27"/>
  <c r="DV143" i="27"/>
  <c r="DX143" i="27"/>
  <c r="DY143" i="27"/>
  <c r="DZ143" i="27"/>
  <c r="EB143" i="27"/>
  <c r="EC143" i="27"/>
  <c r="ED143" i="27"/>
  <c r="EF143" i="27"/>
  <c r="EG143" i="27"/>
  <c r="EH143" i="27"/>
  <c r="EJ143" i="27"/>
  <c r="EK143" i="27"/>
  <c r="EL143" i="27"/>
  <c r="EN143" i="27"/>
  <c r="EO143" i="27"/>
  <c r="EP143" i="27"/>
  <c r="ER143" i="27"/>
  <c r="ES143" i="27"/>
  <c r="ET143" i="27"/>
  <c r="EV143" i="27"/>
  <c r="EW143" i="27"/>
  <c r="EX143" i="27"/>
  <c r="FG143" i="27" s="1"/>
  <c r="CD144" i="27"/>
  <c r="CF144" i="27"/>
  <c r="CG144" i="27"/>
  <c r="CH144" i="27"/>
  <c r="CJ144" i="27"/>
  <c r="CK144" i="27"/>
  <c r="CL144" i="27"/>
  <c r="CN144" i="27"/>
  <c r="CO144" i="27"/>
  <c r="CP144" i="27"/>
  <c r="CR144" i="27"/>
  <c r="CS144" i="27"/>
  <c r="CT144" i="27"/>
  <c r="CV144" i="27"/>
  <c r="CW144" i="27"/>
  <c r="CX144" i="27"/>
  <c r="CZ144" i="27"/>
  <c r="DA144" i="27"/>
  <c r="DB144" i="27"/>
  <c r="DD144" i="27"/>
  <c r="DE144" i="27"/>
  <c r="DF144" i="27"/>
  <c r="DH144" i="27"/>
  <c r="DI144" i="27"/>
  <c r="DJ144" i="27"/>
  <c r="DL144" i="27"/>
  <c r="DM144" i="27"/>
  <c r="DN144" i="27"/>
  <c r="DP144" i="27"/>
  <c r="DQ144" i="27"/>
  <c r="DR144" i="27"/>
  <c r="DT144" i="27"/>
  <c r="DU144" i="27"/>
  <c r="DV144" i="27"/>
  <c r="DX144" i="27"/>
  <c r="DY144" i="27"/>
  <c r="DZ144" i="27"/>
  <c r="EB144" i="27"/>
  <c r="EC144" i="27"/>
  <c r="ED144" i="27"/>
  <c r="EF144" i="27"/>
  <c r="EG144" i="27"/>
  <c r="EH144" i="27"/>
  <c r="EJ144" i="27"/>
  <c r="EK144" i="27"/>
  <c r="EL144" i="27"/>
  <c r="EN144" i="27"/>
  <c r="EO144" i="27"/>
  <c r="EP144" i="27"/>
  <c r="ER144" i="27"/>
  <c r="ES144" i="27"/>
  <c r="ET144" i="27"/>
  <c r="EV144" i="27"/>
  <c r="EW144" i="27"/>
  <c r="EX144" i="27"/>
  <c r="FG144" i="27" s="1"/>
  <c r="CD145" i="27"/>
  <c r="CF145" i="27"/>
  <c r="CG145" i="27"/>
  <c r="CH145" i="27"/>
  <c r="CJ145" i="27"/>
  <c r="CK145" i="27"/>
  <c r="CL145" i="27"/>
  <c r="CN145" i="27"/>
  <c r="CO145" i="27"/>
  <c r="CP145" i="27"/>
  <c r="CR145" i="27"/>
  <c r="CS145" i="27"/>
  <c r="CT145" i="27"/>
  <c r="CV145" i="27"/>
  <c r="CW145" i="27"/>
  <c r="CX145" i="27"/>
  <c r="CZ145" i="27"/>
  <c r="DA145" i="27"/>
  <c r="DB145" i="27"/>
  <c r="DD145" i="27"/>
  <c r="DE145" i="27"/>
  <c r="DF145" i="27"/>
  <c r="DH145" i="27"/>
  <c r="DI145" i="27"/>
  <c r="DJ145" i="27"/>
  <c r="DL145" i="27"/>
  <c r="DM145" i="27"/>
  <c r="DN145" i="27"/>
  <c r="DP145" i="27"/>
  <c r="DQ145" i="27"/>
  <c r="DR145" i="27"/>
  <c r="DT145" i="27"/>
  <c r="DU145" i="27"/>
  <c r="DV145" i="27"/>
  <c r="DX145" i="27"/>
  <c r="DY145" i="27"/>
  <c r="DZ145" i="27"/>
  <c r="EB145" i="27"/>
  <c r="EC145" i="27"/>
  <c r="ED145" i="27"/>
  <c r="EF145" i="27"/>
  <c r="EG145" i="27"/>
  <c r="EH145" i="27"/>
  <c r="EJ145" i="27"/>
  <c r="EK145" i="27"/>
  <c r="EL145" i="27"/>
  <c r="EN145" i="27"/>
  <c r="EO145" i="27"/>
  <c r="EP145" i="27"/>
  <c r="ER145" i="27"/>
  <c r="ES145" i="27"/>
  <c r="ET145" i="27"/>
  <c r="EV145" i="27"/>
  <c r="EW145" i="27"/>
  <c r="EX145" i="27"/>
  <c r="FG145" i="27" s="1"/>
  <c r="CD146" i="27"/>
  <c r="CF146" i="27"/>
  <c r="CG146" i="27"/>
  <c r="CH146" i="27"/>
  <c r="CJ146" i="27"/>
  <c r="CK146" i="27"/>
  <c r="CL146" i="27"/>
  <c r="CN146" i="27"/>
  <c r="CO146" i="27"/>
  <c r="CP146" i="27"/>
  <c r="CR146" i="27"/>
  <c r="CS146" i="27"/>
  <c r="CT146" i="27"/>
  <c r="CV146" i="27"/>
  <c r="CW146" i="27"/>
  <c r="CX146" i="27"/>
  <c r="CZ146" i="27"/>
  <c r="DA146" i="27"/>
  <c r="DB146" i="27"/>
  <c r="DD146" i="27"/>
  <c r="DE146" i="27"/>
  <c r="DF146" i="27"/>
  <c r="DH146" i="27"/>
  <c r="DI146" i="27"/>
  <c r="DJ146" i="27"/>
  <c r="DL146" i="27"/>
  <c r="DM146" i="27"/>
  <c r="DN146" i="27"/>
  <c r="DP146" i="27"/>
  <c r="DQ146" i="27"/>
  <c r="DR146" i="27"/>
  <c r="DT146" i="27"/>
  <c r="DU146" i="27"/>
  <c r="DV146" i="27"/>
  <c r="DX146" i="27"/>
  <c r="DY146" i="27"/>
  <c r="DZ146" i="27"/>
  <c r="EB146" i="27"/>
  <c r="EC146" i="27"/>
  <c r="ED146" i="27"/>
  <c r="EF146" i="27"/>
  <c r="EG146" i="27"/>
  <c r="EH146" i="27"/>
  <c r="EJ146" i="27"/>
  <c r="EK146" i="27"/>
  <c r="EL146" i="27"/>
  <c r="EN146" i="27"/>
  <c r="EO146" i="27"/>
  <c r="EP146" i="27"/>
  <c r="ER146" i="27"/>
  <c r="ES146" i="27"/>
  <c r="ET146" i="27"/>
  <c r="EV146" i="27"/>
  <c r="EW146" i="27"/>
  <c r="EX146" i="27"/>
  <c r="FG146" i="27" s="1"/>
  <c r="CD147" i="27"/>
  <c r="CF147" i="27"/>
  <c r="CG147" i="27"/>
  <c r="CH147" i="27"/>
  <c r="CJ147" i="27"/>
  <c r="CK147" i="27"/>
  <c r="CL147" i="27"/>
  <c r="CN147" i="27"/>
  <c r="CO147" i="27"/>
  <c r="CP147" i="27"/>
  <c r="CR147" i="27"/>
  <c r="CS147" i="27"/>
  <c r="CT147" i="27"/>
  <c r="CV147" i="27"/>
  <c r="CW147" i="27"/>
  <c r="CX147" i="27"/>
  <c r="CZ147" i="27"/>
  <c r="DA147" i="27"/>
  <c r="DB147" i="27"/>
  <c r="DD147" i="27"/>
  <c r="DE147" i="27"/>
  <c r="DF147" i="27"/>
  <c r="DH147" i="27"/>
  <c r="DI147" i="27"/>
  <c r="DJ147" i="27"/>
  <c r="DL147" i="27"/>
  <c r="DM147" i="27"/>
  <c r="DN147" i="27"/>
  <c r="DP147" i="27"/>
  <c r="DQ147" i="27"/>
  <c r="DR147" i="27"/>
  <c r="DT147" i="27"/>
  <c r="DU147" i="27"/>
  <c r="DV147" i="27"/>
  <c r="DX147" i="27"/>
  <c r="DY147" i="27"/>
  <c r="DZ147" i="27"/>
  <c r="EB147" i="27"/>
  <c r="EC147" i="27"/>
  <c r="ED147" i="27"/>
  <c r="EF147" i="27"/>
  <c r="EG147" i="27"/>
  <c r="EH147" i="27"/>
  <c r="EJ147" i="27"/>
  <c r="EK147" i="27"/>
  <c r="EL147" i="27"/>
  <c r="EN147" i="27"/>
  <c r="EO147" i="27"/>
  <c r="EP147" i="27"/>
  <c r="ER147" i="27"/>
  <c r="ES147" i="27"/>
  <c r="ET147" i="27"/>
  <c r="EV147" i="27"/>
  <c r="EW147" i="27"/>
  <c r="EX147" i="27"/>
  <c r="FG147" i="27" s="1"/>
  <c r="CD148" i="27"/>
  <c r="CF148" i="27"/>
  <c r="CG148" i="27"/>
  <c r="CH148" i="27"/>
  <c r="CJ148" i="27"/>
  <c r="CK148" i="27"/>
  <c r="CL148" i="27"/>
  <c r="CN148" i="27"/>
  <c r="CO148" i="27"/>
  <c r="CP148" i="27"/>
  <c r="CR148" i="27"/>
  <c r="CS148" i="27"/>
  <c r="CT148" i="27"/>
  <c r="CV148" i="27"/>
  <c r="CW148" i="27"/>
  <c r="CX148" i="27"/>
  <c r="CZ148" i="27"/>
  <c r="DA148" i="27"/>
  <c r="DB148" i="27"/>
  <c r="DD148" i="27"/>
  <c r="DE148" i="27"/>
  <c r="DF148" i="27"/>
  <c r="DH148" i="27"/>
  <c r="DI148" i="27"/>
  <c r="DJ148" i="27"/>
  <c r="DL148" i="27"/>
  <c r="DM148" i="27"/>
  <c r="DN148" i="27"/>
  <c r="DP148" i="27"/>
  <c r="DQ148" i="27"/>
  <c r="DR148" i="27"/>
  <c r="DT148" i="27"/>
  <c r="DU148" i="27"/>
  <c r="DV148" i="27"/>
  <c r="DX148" i="27"/>
  <c r="DY148" i="27"/>
  <c r="DZ148" i="27"/>
  <c r="EB148" i="27"/>
  <c r="EC148" i="27"/>
  <c r="ED148" i="27"/>
  <c r="EF148" i="27"/>
  <c r="EG148" i="27"/>
  <c r="EH148" i="27"/>
  <c r="EJ148" i="27"/>
  <c r="EK148" i="27"/>
  <c r="EL148" i="27"/>
  <c r="EN148" i="27"/>
  <c r="EO148" i="27"/>
  <c r="EP148" i="27"/>
  <c r="ER148" i="27"/>
  <c r="ES148" i="27"/>
  <c r="ET148" i="27"/>
  <c r="EV148" i="27"/>
  <c r="EW148" i="27"/>
  <c r="EX148" i="27"/>
  <c r="FG148" i="27" s="1"/>
  <c r="CD149" i="27"/>
  <c r="CF149" i="27"/>
  <c r="CG149" i="27"/>
  <c r="CH149" i="27"/>
  <c r="CJ149" i="27"/>
  <c r="CK149" i="27"/>
  <c r="CL149" i="27"/>
  <c r="CN149" i="27"/>
  <c r="CO149" i="27"/>
  <c r="CP149" i="27"/>
  <c r="CR149" i="27"/>
  <c r="CS149" i="27"/>
  <c r="CT149" i="27"/>
  <c r="CV149" i="27"/>
  <c r="CW149" i="27"/>
  <c r="CX149" i="27"/>
  <c r="CZ149" i="27"/>
  <c r="DA149" i="27"/>
  <c r="DB149" i="27"/>
  <c r="DD149" i="27"/>
  <c r="DE149" i="27"/>
  <c r="DF149" i="27"/>
  <c r="DH149" i="27"/>
  <c r="DI149" i="27"/>
  <c r="DJ149" i="27"/>
  <c r="DL149" i="27"/>
  <c r="DM149" i="27"/>
  <c r="DN149" i="27"/>
  <c r="DP149" i="27"/>
  <c r="DQ149" i="27"/>
  <c r="DR149" i="27"/>
  <c r="DT149" i="27"/>
  <c r="DU149" i="27"/>
  <c r="DV149" i="27"/>
  <c r="DX149" i="27"/>
  <c r="DY149" i="27"/>
  <c r="DZ149" i="27"/>
  <c r="EB149" i="27"/>
  <c r="EC149" i="27"/>
  <c r="ED149" i="27"/>
  <c r="EF149" i="27"/>
  <c r="EG149" i="27"/>
  <c r="EH149" i="27"/>
  <c r="EJ149" i="27"/>
  <c r="EK149" i="27"/>
  <c r="EL149" i="27"/>
  <c r="EN149" i="27"/>
  <c r="EO149" i="27"/>
  <c r="EP149" i="27"/>
  <c r="ER149" i="27"/>
  <c r="ES149" i="27"/>
  <c r="ET149" i="27"/>
  <c r="EV149" i="27"/>
  <c r="EW149" i="27"/>
  <c r="EX149" i="27"/>
  <c r="FG149" i="27" s="1"/>
  <c r="CD150" i="27"/>
  <c r="CF150" i="27"/>
  <c r="CG150" i="27"/>
  <c r="CH150" i="27"/>
  <c r="CJ150" i="27"/>
  <c r="CK150" i="27"/>
  <c r="CL150" i="27"/>
  <c r="CN150" i="27"/>
  <c r="CO150" i="27"/>
  <c r="CP150" i="27"/>
  <c r="CR150" i="27"/>
  <c r="CS150" i="27"/>
  <c r="CT150" i="27"/>
  <c r="CV150" i="27"/>
  <c r="CW150" i="27"/>
  <c r="CX150" i="27"/>
  <c r="CZ150" i="27"/>
  <c r="DA150" i="27"/>
  <c r="DB150" i="27"/>
  <c r="DD150" i="27"/>
  <c r="DE150" i="27"/>
  <c r="DF150" i="27"/>
  <c r="DH150" i="27"/>
  <c r="DI150" i="27"/>
  <c r="DJ150" i="27"/>
  <c r="DL150" i="27"/>
  <c r="DM150" i="27"/>
  <c r="DN150" i="27"/>
  <c r="DP150" i="27"/>
  <c r="DQ150" i="27"/>
  <c r="DR150" i="27"/>
  <c r="DT150" i="27"/>
  <c r="DU150" i="27"/>
  <c r="DV150" i="27"/>
  <c r="DX150" i="27"/>
  <c r="DY150" i="27"/>
  <c r="DZ150" i="27"/>
  <c r="EB150" i="27"/>
  <c r="EC150" i="27"/>
  <c r="ED150" i="27"/>
  <c r="EF150" i="27"/>
  <c r="EG150" i="27"/>
  <c r="EH150" i="27"/>
  <c r="EJ150" i="27"/>
  <c r="EK150" i="27"/>
  <c r="EL150" i="27"/>
  <c r="EN150" i="27"/>
  <c r="EO150" i="27"/>
  <c r="EP150" i="27"/>
  <c r="ER150" i="27"/>
  <c r="ES150" i="27"/>
  <c r="ET150" i="27"/>
  <c r="EV150" i="27"/>
  <c r="EW150" i="27"/>
  <c r="EX150" i="27"/>
  <c r="FG150" i="27" s="1"/>
  <c r="CD151" i="27"/>
  <c r="CF151" i="27"/>
  <c r="CG151" i="27"/>
  <c r="CH151" i="27"/>
  <c r="CJ151" i="27"/>
  <c r="CK151" i="27"/>
  <c r="CL151" i="27"/>
  <c r="CN151" i="27"/>
  <c r="CO151" i="27"/>
  <c r="CP151" i="27"/>
  <c r="CR151" i="27"/>
  <c r="CS151" i="27"/>
  <c r="CT151" i="27"/>
  <c r="CV151" i="27"/>
  <c r="CW151" i="27"/>
  <c r="CX151" i="27"/>
  <c r="CZ151" i="27"/>
  <c r="DA151" i="27"/>
  <c r="DB151" i="27"/>
  <c r="DD151" i="27"/>
  <c r="DE151" i="27"/>
  <c r="DF151" i="27"/>
  <c r="DH151" i="27"/>
  <c r="DI151" i="27"/>
  <c r="DJ151" i="27"/>
  <c r="DL151" i="27"/>
  <c r="DM151" i="27"/>
  <c r="DN151" i="27"/>
  <c r="DP151" i="27"/>
  <c r="DQ151" i="27"/>
  <c r="DR151" i="27"/>
  <c r="DT151" i="27"/>
  <c r="DU151" i="27"/>
  <c r="DV151" i="27"/>
  <c r="DX151" i="27"/>
  <c r="DY151" i="27"/>
  <c r="DZ151" i="27"/>
  <c r="EB151" i="27"/>
  <c r="EC151" i="27"/>
  <c r="ED151" i="27"/>
  <c r="EF151" i="27"/>
  <c r="EG151" i="27"/>
  <c r="EH151" i="27"/>
  <c r="EJ151" i="27"/>
  <c r="EK151" i="27"/>
  <c r="EL151" i="27"/>
  <c r="EN151" i="27"/>
  <c r="EO151" i="27"/>
  <c r="EP151" i="27"/>
  <c r="ER151" i="27"/>
  <c r="ES151" i="27"/>
  <c r="ET151" i="27"/>
  <c r="EV151" i="27"/>
  <c r="EW151" i="27"/>
  <c r="EX151" i="27"/>
  <c r="FG151" i="27" s="1"/>
  <c r="CD152" i="27"/>
  <c r="CF152" i="27"/>
  <c r="CG152" i="27"/>
  <c r="CH152" i="27"/>
  <c r="CJ152" i="27"/>
  <c r="CK152" i="27"/>
  <c r="CL152" i="27"/>
  <c r="CN152" i="27"/>
  <c r="CO152" i="27"/>
  <c r="CP152" i="27"/>
  <c r="CR152" i="27"/>
  <c r="CS152" i="27"/>
  <c r="CT152" i="27"/>
  <c r="CV152" i="27"/>
  <c r="CW152" i="27"/>
  <c r="CX152" i="27"/>
  <c r="CZ152" i="27"/>
  <c r="DA152" i="27"/>
  <c r="DB152" i="27"/>
  <c r="DD152" i="27"/>
  <c r="DE152" i="27"/>
  <c r="DF152" i="27"/>
  <c r="DH152" i="27"/>
  <c r="DI152" i="27"/>
  <c r="DJ152" i="27"/>
  <c r="DL152" i="27"/>
  <c r="DM152" i="27"/>
  <c r="DN152" i="27"/>
  <c r="DP152" i="27"/>
  <c r="DQ152" i="27"/>
  <c r="DR152" i="27"/>
  <c r="DT152" i="27"/>
  <c r="DU152" i="27"/>
  <c r="DV152" i="27"/>
  <c r="DX152" i="27"/>
  <c r="DY152" i="27"/>
  <c r="DZ152" i="27"/>
  <c r="EB152" i="27"/>
  <c r="EC152" i="27"/>
  <c r="ED152" i="27"/>
  <c r="EF152" i="27"/>
  <c r="EG152" i="27"/>
  <c r="EH152" i="27"/>
  <c r="EJ152" i="27"/>
  <c r="EK152" i="27"/>
  <c r="EL152" i="27"/>
  <c r="EN152" i="27"/>
  <c r="EO152" i="27"/>
  <c r="EP152" i="27"/>
  <c r="ER152" i="27"/>
  <c r="ES152" i="27"/>
  <c r="ET152" i="27"/>
  <c r="EV152" i="27"/>
  <c r="EW152" i="27"/>
  <c r="EX152" i="27"/>
  <c r="FG152" i="27" s="1"/>
  <c r="CD153" i="27"/>
  <c r="CF153" i="27"/>
  <c r="CG153" i="27"/>
  <c r="CH153" i="27"/>
  <c r="CJ153" i="27"/>
  <c r="CK153" i="27"/>
  <c r="CL153" i="27"/>
  <c r="CN153" i="27"/>
  <c r="CO153" i="27"/>
  <c r="CP153" i="27"/>
  <c r="CR153" i="27"/>
  <c r="CS153" i="27"/>
  <c r="CT153" i="27"/>
  <c r="CV153" i="27"/>
  <c r="CW153" i="27"/>
  <c r="CX153" i="27"/>
  <c r="CZ153" i="27"/>
  <c r="DA153" i="27"/>
  <c r="DB153" i="27"/>
  <c r="DD153" i="27"/>
  <c r="DE153" i="27"/>
  <c r="DF153" i="27"/>
  <c r="DH153" i="27"/>
  <c r="DI153" i="27"/>
  <c r="DJ153" i="27"/>
  <c r="DL153" i="27"/>
  <c r="DM153" i="27"/>
  <c r="DN153" i="27"/>
  <c r="DP153" i="27"/>
  <c r="DQ153" i="27"/>
  <c r="DR153" i="27"/>
  <c r="DT153" i="27"/>
  <c r="DU153" i="27"/>
  <c r="DV153" i="27"/>
  <c r="DX153" i="27"/>
  <c r="DY153" i="27"/>
  <c r="DZ153" i="27"/>
  <c r="EB153" i="27"/>
  <c r="EC153" i="27"/>
  <c r="ED153" i="27"/>
  <c r="EF153" i="27"/>
  <c r="EG153" i="27"/>
  <c r="EH153" i="27"/>
  <c r="EJ153" i="27"/>
  <c r="EK153" i="27"/>
  <c r="EL153" i="27"/>
  <c r="EN153" i="27"/>
  <c r="EO153" i="27"/>
  <c r="EP153" i="27"/>
  <c r="ER153" i="27"/>
  <c r="ES153" i="27"/>
  <c r="ET153" i="27"/>
  <c r="EV153" i="27"/>
  <c r="EW153" i="27"/>
  <c r="EX153" i="27"/>
  <c r="FG153" i="27" s="1"/>
  <c r="CD154" i="27"/>
  <c r="CF154" i="27"/>
  <c r="CG154" i="27"/>
  <c r="CH154" i="27"/>
  <c r="CJ154" i="27"/>
  <c r="CK154" i="27"/>
  <c r="CL154" i="27"/>
  <c r="CN154" i="27"/>
  <c r="CO154" i="27"/>
  <c r="CP154" i="27"/>
  <c r="CR154" i="27"/>
  <c r="CS154" i="27"/>
  <c r="CT154" i="27"/>
  <c r="CV154" i="27"/>
  <c r="CW154" i="27"/>
  <c r="CX154" i="27"/>
  <c r="CZ154" i="27"/>
  <c r="DA154" i="27"/>
  <c r="DB154" i="27"/>
  <c r="DD154" i="27"/>
  <c r="DE154" i="27"/>
  <c r="DF154" i="27"/>
  <c r="DH154" i="27"/>
  <c r="DI154" i="27"/>
  <c r="DJ154" i="27"/>
  <c r="DL154" i="27"/>
  <c r="DM154" i="27"/>
  <c r="DN154" i="27"/>
  <c r="DP154" i="27"/>
  <c r="DQ154" i="27"/>
  <c r="DR154" i="27"/>
  <c r="DT154" i="27"/>
  <c r="DU154" i="27"/>
  <c r="DV154" i="27"/>
  <c r="DX154" i="27"/>
  <c r="DY154" i="27"/>
  <c r="DZ154" i="27"/>
  <c r="EB154" i="27"/>
  <c r="EC154" i="27"/>
  <c r="ED154" i="27"/>
  <c r="EF154" i="27"/>
  <c r="EG154" i="27"/>
  <c r="EH154" i="27"/>
  <c r="EJ154" i="27"/>
  <c r="EK154" i="27"/>
  <c r="EL154" i="27"/>
  <c r="EN154" i="27"/>
  <c r="EO154" i="27"/>
  <c r="EP154" i="27"/>
  <c r="ER154" i="27"/>
  <c r="ES154" i="27"/>
  <c r="ET154" i="27"/>
  <c r="EV154" i="27"/>
  <c r="EW154" i="27"/>
  <c r="EX154" i="27"/>
  <c r="FG154" i="27" s="1"/>
  <c r="CD155" i="27"/>
  <c r="CF155" i="27"/>
  <c r="CG155" i="27"/>
  <c r="CH155" i="27"/>
  <c r="CJ155" i="27"/>
  <c r="CK155" i="27"/>
  <c r="CL155" i="27"/>
  <c r="CN155" i="27"/>
  <c r="CO155" i="27"/>
  <c r="CP155" i="27"/>
  <c r="CR155" i="27"/>
  <c r="CS155" i="27"/>
  <c r="CT155" i="27"/>
  <c r="CV155" i="27"/>
  <c r="CW155" i="27"/>
  <c r="CX155" i="27"/>
  <c r="CZ155" i="27"/>
  <c r="DA155" i="27"/>
  <c r="DB155" i="27"/>
  <c r="DD155" i="27"/>
  <c r="DE155" i="27"/>
  <c r="DF155" i="27"/>
  <c r="DH155" i="27"/>
  <c r="DI155" i="27"/>
  <c r="DJ155" i="27"/>
  <c r="DL155" i="27"/>
  <c r="DM155" i="27"/>
  <c r="DN155" i="27"/>
  <c r="DP155" i="27"/>
  <c r="DQ155" i="27"/>
  <c r="DR155" i="27"/>
  <c r="DT155" i="27"/>
  <c r="DU155" i="27"/>
  <c r="DV155" i="27"/>
  <c r="DX155" i="27"/>
  <c r="DY155" i="27"/>
  <c r="DZ155" i="27"/>
  <c r="EB155" i="27"/>
  <c r="EC155" i="27"/>
  <c r="ED155" i="27"/>
  <c r="EF155" i="27"/>
  <c r="EG155" i="27"/>
  <c r="EH155" i="27"/>
  <c r="EJ155" i="27"/>
  <c r="EK155" i="27"/>
  <c r="EL155" i="27"/>
  <c r="EN155" i="27"/>
  <c r="EO155" i="27"/>
  <c r="EP155" i="27"/>
  <c r="ER155" i="27"/>
  <c r="ES155" i="27"/>
  <c r="ET155" i="27"/>
  <c r="EV155" i="27"/>
  <c r="EW155" i="27"/>
  <c r="EX155" i="27"/>
  <c r="FG155" i="27" s="1"/>
  <c r="CD156" i="27"/>
  <c r="CF156" i="27"/>
  <c r="CG156" i="27"/>
  <c r="CH156" i="27"/>
  <c r="CJ156" i="27"/>
  <c r="CK156" i="27"/>
  <c r="CL156" i="27"/>
  <c r="CN156" i="27"/>
  <c r="CO156" i="27"/>
  <c r="CP156" i="27"/>
  <c r="CR156" i="27"/>
  <c r="CS156" i="27"/>
  <c r="CT156" i="27"/>
  <c r="CV156" i="27"/>
  <c r="CW156" i="27"/>
  <c r="CX156" i="27"/>
  <c r="CZ156" i="27"/>
  <c r="DA156" i="27"/>
  <c r="DB156" i="27"/>
  <c r="DD156" i="27"/>
  <c r="DE156" i="27"/>
  <c r="DF156" i="27"/>
  <c r="DH156" i="27"/>
  <c r="DI156" i="27"/>
  <c r="DJ156" i="27"/>
  <c r="DL156" i="27"/>
  <c r="DM156" i="27"/>
  <c r="DN156" i="27"/>
  <c r="DP156" i="27"/>
  <c r="DQ156" i="27"/>
  <c r="DR156" i="27"/>
  <c r="DT156" i="27"/>
  <c r="DU156" i="27"/>
  <c r="DV156" i="27"/>
  <c r="DX156" i="27"/>
  <c r="DY156" i="27"/>
  <c r="DZ156" i="27"/>
  <c r="EB156" i="27"/>
  <c r="EC156" i="27"/>
  <c r="ED156" i="27"/>
  <c r="EF156" i="27"/>
  <c r="EG156" i="27"/>
  <c r="EH156" i="27"/>
  <c r="EJ156" i="27"/>
  <c r="EK156" i="27"/>
  <c r="EL156" i="27"/>
  <c r="EN156" i="27"/>
  <c r="EO156" i="27"/>
  <c r="EP156" i="27"/>
  <c r="ER156" i="27"/>
  <c r="ES156" i="27"/>
  <c r="ET156" i="27"/>
  <c r="EV156" i="27"/>
  <c r="EW156" i="27"/>
  <c r="EX156" i="27"/>
  <c r="FG156" i="27" s="1"/>
  <c r="CD157" i="27"/>
  <c r="CF157" i="27"/>
  <c r="CG157" i="27"/>
  <c r="CH157" i="27"/>
  <c r="CJ157" i="27"/>
  <c r="CK157" i="27"/>
  <c r="CL157" i="27"/>
  <c r="CN157" i="27"/>
  <c r="CO157" i="27"/>
  <c r="CP157" i="27"/>
  <c r="CR157" i="27"/>
  <c r="CS157" i="27"/>
  <c r="CT157" i="27"/>
  <c r="CV157" i="27"/>
  <c r="CW157" i="27"/>
  <c r="CX157" i="27"/>
  <c r="CZ157" i="27"/>
  <c r="DA157" i="27"/>
  <c r="DB157" i="27"/>
  <c r="DD157" i="27"/>
  <c r="DE157" i="27"/>
  <c r="DF157" i="27"/>
  <c r="DH157" i="27"/>
  <c r="DI157" i="27"/>
  <c r="DJ157" i="27"/>
  <c r="DL157" i="27"/>
  <c r="DM157" i="27"/>
  <c r="DN157" i="27"/>
  <c r="DP157" i="27"/>
  <c r="DQ157" i="27"/>
  <c r="DR157" i="27"/>
  <c r="DT157" i="27"/>
  <c r="DU157" i="27"/>
  <c r="DV157" i="27"/>
  <c r="DX157" i="27"/>
  <c r="DY157" i="27"/>
  <c r="DZ157" i="27"/>
  <c r="EB157" i="27"/>
  <c r="EC157" i="27"/>
  <c r="ED157" i="27"/>
  <c r="EF157" i="27"/>
  <c r="EG157" i="27"/>
  <c r="EH157" i="27"/>
  <c r="EJ157" i="27"/>
  <c r="EK157" i="27"/>
  <c r="EL157" i="27"/>
  <c r="EN157" i="27"/>
  <c r="EO157" i="27"/>
  <c r="EP157" i="27"/>
  <c r="ER157" i="27"/>
  <c r="ES157" i="27"/>
  <c r="ET157" i="27"/>
  <c r="EV157" i="27"/>
  <c r="EW157" i="27"/>
  <c r="EX157" i="27"/>
  <c r="FG157" i="27" s="1"/>
  <c r="CD158" i="27"/>
  <c r="CF158" i="27"/>
  <c r="CG158" i="27"/>
  <c r="CH158" i="27"/>
  <c r="CJ158" i="27"/>
  <c r="CK158" i="27"/>
  <c r="CL158" i="27"/>
  <c r="CN158" i="27"/>
  <c r="CO158" i="27"/>
  <c r="CP158" i="27"/>
  <c r="CR158" i="27"/>
  <c r="CS158" i="27"/>
  <c r="CT158" i="27"/>
  <c r="CV158" i="27"/>
  <c r="CW158" i="27"/>
  <c r="CX158" i="27"/>
  <c r="CZ158" i="27"/>
  <c r="DA158" i="27"/>
  <c r="DB158" i="27"/>
  <c r="DD158" i="27"/>
  <c r="DE158" i="27"/>
  <c r="DF158" i="27"/>
  <c r="DH158" i="27"/>
  <c r="DI158" i="27"/>
  <c r="DJ158" i="27"/>
  <c r="DL158" i="27"/>
  <c r="DM158" i="27"/>
  <c r="DN158" i="27"/>
  <c r="DP158" i="27"/>
  <c r="DQ158" i="27"/>
  <c r="DR158" i="27"/>
  <c r="DT158" i="27"/>
  <c r="DU158" i="27"/>
  <c r="DV158" i="27"/>
  <c r="DX158" i="27"/>
  <c r="DY158" i="27"/>
  <c r="DZ158" i="27"/>
  <c r="EB158" i="27"/>
  <c r="EC158" i="27"/>
  <c r="ED158" i="27"/>
  <c r="EF158" i="27"/>
  <c r="EG158" i="27"/>
  <c r="EH158" i="27"/>
  <c r="EJ158" i="27"/>
  <c r="EK158" i="27"/>
  <c r="EL158" i="27"/>
  <c r="EN158" i="27"/>
  <c r="EO158" i="27"/>
  <c r="EP158" i="27"/>
  <c r="ER158" i="27"/>
  <c r="ES158" i="27"/>
  <c r="ET158" i="27"/>
  <c r="EV158" i="27"/>
  <c r="EW158" i="27"/>
  <c r="EX158" i="27"/>
  <c r="FG158" i="27" s="1"/>
  <c r="CD159" i="27"/>
  <c r="CF159" i="27"/>
  <c r="CG159" i="27"/>
  <c r="CH159" i="27"/>
  <c r="CJ159" i="27"/>
  <c r="CK159" i="27"/>
  <c r="CL159" i="27"/>
  <c r="CN159" i="27"/>
  <c r="CO159" i="27"/>
  <c r="CP159" i="27"/>
  <c r="CR159" i="27"/>
  <c r="CS159" i="27"/>
  <c r="CT159" i="27"/>
  <c r="CV159" i="27"/>
  <c r="CW159" i="27"/>
  <c r="CX159" i="27"/>
  <c r="CZ159" i="27"/>
  <c r="DA159" i="27"/>
  <c r="DB159" i="27"/>
  <c r="DD159" i="27"/>
  <c r="DE159" i="27"/>
  <c r="DF159" i="27"/>
  <c r="DH159" i="27"/>
  <c r="DI159" i="27"/>
  <c r="DJ159" i="27"/>
  <c r="DL159" i="27"/>
  <c r="DM159" i="27"/>
  <c r="DN159" i="27"/>
  <c r="DP159" i="27"/>
  <c r="DQ159" i="27"/>
  <c r="DR159" i="27"/>
  <c r="DT159" i="27"/>
  <c r="DU159" i="27"/>
  <c r="DV159" i="27"/>
  <c r="DX159" i="27"/>
  <c r="DY159" i="27"/>
  <c r="DZ159" i="27"/>
  <c r="EB159" i="27"/>
  <c r="EC159" i="27"/>
  <c r="ED159" i="27"/>
  <c r="EF159" i="27"/>
  <c r="EG159" i="27"/>
  <c r="EH159" i="27"/>
  <c r="EJ159" i="27"/>
  <c r="EK159" i="27"/>
  <c r="EL159" i="27"/>
  <c r="EN159" i="27"/>
  <c r="EO159" i="27"/>
  <c r="EP159" i="27"/>
  <c r="ER159" i="27"/>
  <c r="ES159" i="27"/>
  <c r="ET159" i="27"/>
  <c r="EV159" i="27"/>
  <c r="EW159" i="27"/>
  <c r="EX159" i="27"/>
  <c r="FG159" i="27" s="1"/>
  <c r="CD160" i="27"/>
  <c r="CF160" i="27"/>
  <c r="CG160" i="27"/>
  <c r="CH160" i="27"/>
  <c r="CJ160" i="27"/>
  <c r="CK160" i="27"/>
  <c r="CL160" i="27"/>
  <c r="CN160" i="27"/>
  <c r="CO160" i="27"/>
  <c r="CP160" i="27"/>
  <c r="CR160" i="27"/>
  <c r="CS160" i="27"/>
  <c r="CT160" i="27"/>
  <c r="CV160" i="27"/>
  <c r="CW160" i="27"/>
  <c r="CX160" i="27"/>
  <c r="CZ160" i="27"/>
  <c r="DA160" i="27"/>
  <c r="DB160" i="27"/>
  <c r="DD160" i="27"/>
  <c r="DE160" i="27"/>
  <c r="DF160" i="27"/>
  <c r="DH160" i="27"/>
  <c r="DI160" i="27"/>
  <c r="DJ160" i="27"/>
  <c r="DL160" i="27"/>
  <c r="DM160" i="27"/>
  <c r="DN160" i="27"/>
  <c r="DP160" i="27"/>
  <c r="DQ160" i="27"/>
  <c r="DR160" i="27"/>
  <c r="DT160" i="27"/>
  <c r="DU160" i="27"/>
  <c r="DV160" i="27"/>
  <c r="DX160" i="27"/>
  <c r="DY160" i="27"/>
  <c r="DZ160" i="27"/>
  <c r="EB160" i="27"/>
  <c r="EC160" i="27"/>
  <c r="ED160" i="27"/>
  <c r="EF160" i="27"/>
  <c r="EG160" i="27"/>
  <c r="EH160" i="27"/>
  <c r="EJ160" i="27"/>
  <c r="EK160" i="27"/>
  <c r="EL160" i="27"/>
  <c r="EN160" i="27"/>
  <c r="EO160" i="27"/>
  <c r="EP160" i="27"/>
  <c r="ER160" i="27"/>
  <c r="ES160" i="27"/>
  <c r="ET160" i="27"/>
  <c r="EV160" i="27"/>
  <c r="EW160" i="27"/>
  <c r="EX160" i="27"/>
  <c r="FG160" i="27" s="1"/>
  <c r="CD161" i="27"/>
  <c r="CF161" i="27"/>
  <c r="CG161" i="27"/>
  <c r="CH161" i="27"/>
  <c r="CJ161" i="27"/>
  <c r="CK161" i="27"/>
  <c r="CL161" i="27"/>
  <c r="CN161" i="27"/>
  <c r="CO161" i="27"/>
  <c r="CP161" i="27"/>
  <c r="CR161" i="27"/>
  <c r="CS161" i="27"/>
  <c r="CT161" i="27"/>
  <c r="CV161" i="27"/>
  <c r="CW161" i="27"/>
  <c r="CX161" i="27"/>
  <c r="CZ161" i="27"/>
  <c r="DA161" i="27"/>
  <c r="DB161" i="27"/>
  <c r="DD161" i="27"/>
  <c r="DE161" i="27"/>
  <c r="DF161" i="27"/>
  <c r="DH161" i="27"/>
  <c r="DI161" i="27"/>
  <c r="DJ161" i="27"/>
  <c r="DL161" i="27"/>
  <c r="DM161" i="27"/>
  <c r="DN161" i="27"/>
  <c r="DP161" i="27"/>
  <c r="DQ161" i="27"/>
  <c r="DR161" i="27"/>
  <c r="DT161" i="27"/>
  <c r="DU161" i="27"/>
  <c r="DV161" i="27"/>
  <c r="DX161" i="27"/>
  <c r="DY161" i="27"/>
  <c r="DZ161" i="27"/>
  <c r="EB161" i="27"/>
  <c r="EC161" i="27"/>
  <c r="ED161" i="27"/>
  <c r="EF161" i="27"/>
  <c r="EG161" i="27"/>
  <c r="EH161" i="27"/>
  <c r="EJ161" i="27"/>
  <c r="EK161" i="27"/>
  <c r="EL161" i="27"/>
  <c r="EN161" i="27"/>
  <c r="EO161" i="27"/>
  <c r="EP161" i="27"/>
  <c r="ER161" i="27"/>
  <c r="ES161" i="27"/>
  <c r="ET161" i="27"/>
  <c r="EV161" i="27"/>
  <c r="EW161" i="27"/>
  <c r="EX161" i="27"/>
  <c r="FG161" i="27" s="1"/>
  <c r="CD162" i="27"/>
  <c r="CF162" i="27"/>
  <c r="CG162" i="27"/>
  <c r="CH162" i="27"/>
  <c r="CJ162" i="27"/>
  <c r="CK162" i="27"/>
  <c r="CL162" i="27"/>
  <c r="CN162" i="27"/>
  <c r="CO162" i="27"/>
  <c r="CP162" i="27"/>
  <c r="CR162" i="27"/>
  <c r="CS162" i="27"/>
  <c r="CT162" i="27"/>
  <c r="CV162" i="27"/>
  <c r="CW162" i="27"/>
  <c r="CX162" i="27"/>
  <c r="CZ162" i="27"/>
  <c r="DA162" i="27"/>
  <c r="DB162" i="27"/>
  <c r="DD162" i="27"/>
  <c r="DE162" i="27"/>
  <c r="DF162" i="27"/>
  <c r="DH162" i="27"/>
  <c r="DI162" i="27"/>
  <c r="DJ162" i="27"/>
  <c r="DL162" i="27"/>
  <c r="DM162" i="27"/>
  <c r="DN162" i="27"/>
  <c r="DP162" i="27"/>
  <c r="DQ162" i="27"/>
  <c r="DR162" i="27"/>
  <c r="DT162" i="27"/>
  <c r="DU162" i="27"/>
  <c r="DV162" i="27"/>
  <c r="DX162" i="27"/>
  <c r="DY162" i="27"/>
  <c r="DZ162" i="27"/>
  <c r="EB162" i="27"/>
  <c r="EC162" i="27"/>
  <c r="ED162" i="27"/>
  <c r="EF162" i="27"/>
  <c r="EG162" i="27"/>
  <c r="EH162" i="27"/>
  <c r="EJ162" i="27"/>
  <c r="EK162" i="27"/>
  <c r="EL162" i="27"/>
  <c r="EN162" i="27"/>
  <c r="EO162" i="27"/>
  <c r="EP162" i="27"/>
  <c r="ER162" i="27"/>
  <c r="ES162" i="27"/>
  <c r="ET162" i="27"/>
  <c r="EV162" i="27"/>
  <c r="EW162" i="27"/>
  <c r="EX162" i="27"/>
  <c r="FG162" i="27" s="1"/>
  <c r="CD163" i="27"/>
  <c r="CF163" i="27"/>
  <c r="CG163" i="27"/>
  <c r="CH163" i="27"/>
  <c r="CJ163" i="27"/>
  <c r="CK163" i="27"/>
  <c r="CL163" i="27"/>
  <c r="CN163" i="27"/>
  <c r="CO163" i="27"/>
  <c r="CP163" i="27"/>
  <c r="CR163" i="27"/>
  <c r="CS163" i="27"/>
  <c r="CT163" i="27"/>
  <c r="CV163" i="27"/>
  <c r="CW163" i="27"/>
  <c r="CX163" i="27"/>
  <c r="CZ163" i="27"/>
  <c r="DA163" i="27"/>
  <c r="DB163" i="27"/>
  <c r="DD163" i="27"/>
  <c r="DE163" i="27"/>
  <c r="DF163" i="27"/>
  <c r="DH163" i="27"/>
  <c r="DI163" i="27"/>
  <c r="DJ163" i="27"/>
  <c r="DL163" i="27"/>
  <c r="DM163" i="27"/>
  <c r="DN163" i="27"/>
  <c r="DP163" i="27"/>
  <c r="DQ163" i="27"/>
  <c r="DR163" i="27"/>
  <c r="DT163" i="27"/>
  <c r="DU163" i="27"/>
  <c r="DV163" i="27"/>
  <c r="DX163" i="27"/>
  <c r="DY163" i="27"/>
  <c r="DZ163" i="27"/>
  <c r="EB163" i="27"/>
  <c r="EC163" i="27"/>
  <c r="ED163" i="27"/>
  <c r="EF163" i="27"/>
  <c r="EG163" i="27"/>
  <c r="EH163" i="27"/>
  <c r="EJ163" i="27"/>
  <c r="EK163" i="27"/>
  <c r="EL163" i="27"/>
  <c r="EN163" i="27"/>
  <c r="EO163" i="27"/>
  <c r="EP163" i="27"/>
  <c r="ER163" i="27"/>
  <c r="ES163" i="27"/>
  <c r="ET163" i="27"/>
  <c r="EV163" i="27"/>
  <c r="EW163" i="27"/>
  <c r="EX163" i="27"/>
  <c r="FG163" i="27" s="1"/>
  <c r="CD164" i="27"/>
  <c r="CF164" i="27"/>
  <c r="CG164" i="27"/>
  <c r="CH164" i="27"/>
  <c r="CJ164" i="27"/>
  <c r="CK164" i="27"/>
  <c r="CL164" i="27"/>
  <c r="CN164" i="27"/>
  <c r="CO164" i="27"/>
  <c r="CP164" i="27"/>
  <c r="CR164" i="27"/>
  <c r="CS164" i="27"/>
  <c r="CT164" i="27"/>
  <c r="CV164" i="27"/>
  <c r="CW164" i="27"/>
  <c r="CX164" i="27"/>
  <c r="CZ164" i="27"/>
  <c r="DA164" i="27"/>
  <c r="DB164" i="27"/>
  <c r="DD164" i="27"/>
  <c r="DE164" i="27"/>
  <c r="DF164" i="27"/>
  <c r="DH164" i="27"/>
  <c r="DI164" i="27"/>
  <c r="DJ164" i="27"/>
  <c r="DL164" i="27"/>
  <c r="DM164" i="27"/>
  <c r="DN164" i="27"/>
  <c r="DP164" i="27"/>
  <c r="DQ164" i="27"/>
  <c r="DR164" i="27"/>
  <c r="DT164" i="27"/>
  <c r="DU164" i="27"/>
  <c r="DV164" i="27"/>
  <c r="DX164" i="27"/>
  <c r="DY164" i="27"/>
  <c r="DZ164" i="27"/>
  <c r="EB164" i="27"/>
  <c r="EC164" i="27"/>
  <c r="ED164" i="27"/>
  <c r="EF164" i="27"/>
  <c r="EG164" i="27"/>
  <c r="EH164" i="27"/>
  <c r="EJ164" i="27"/>
  <c r="EK164" i="27"/>
  <c r="EL164" i="27"/>
  <c r="EN164" i="27"/>
  <c r="EO164" i="27"/>
  <c r="EP164" i="27"/>
  <c r="ER164" i="27"/>
  <c r="ES164" i="27"/>
  <c r="ET164" i="27"/>
  <c r="EV164" i="27"/>
  <c r="EW164" i="27"/>
  <c r="EX164" i="27"/>
  <c r="FG164" i="27" s="1"/>
  <c r="CD165" i="27"/>
  <c r="CF165" i="27"/>
  <c r="CG165" i="27"/>
  <c r="CH165" i="27"/>
  <c r="CJ165" i="27"/>
  <c r="CK165" i="27"/>
  <c r="CL165" i="27"/>
  <c r="CN165" i="27"/>
  <c r="CO165" i="27"/>
  <c r="CP165" i="27"/>
  <c r="CR165" i="27"/>
  <c r="CS165" i="27"/>
  <c r="CT165" i="27"/>
  <c r="CV165" i="27"/>
  <c r="CW165" i="27"/>
  <c r="CX165" i="27"/>
  <c r="CZ165" i="27"/>
  <c r="DA165" i="27"/>
  <c r="DB165" i="27"/>
  <c r="DD165" i="27"/>
  <c r="DE165" i="27"/>
  <c r="DF165" i="27"/>
  <c r="DH165" i="27"/>
  <c r="DI165" i="27"/>
  <c r="DJ165" i="27"/>
  <c r="DL165" i="27"/>
  <c r="DM165" i="27"/>
  <c r="DN165" i="27"/>
  <c r="DP165" i="27"/>
  <c r="DQ165" i="27"/>
  <c r="DR165" i="27"/>
  <c r="DT165" i="27"/>
  <c r="DU165" i="27"/>
  <c r="DV165" i="27"/>
  <c r="DX165" i="27"/>
  <c r="DY165" i="27"/>
  <c r="DZ165" i="27"/>
  <c r="EB165" i="27"/>
  <c r="EC165" i="27"/>
  <c r="ED165" i="27"/>
  <c r="EF165" i="27"/>
  <c r="EG165" i="27"/>
  <c r="EH165" i="27"/>
  <c r="EJ165" i="27"/>
  <c r="EK165" i="27"/>
  <c r="EL165" i="27"/>
  <c r="EN165" i="27"/>
  <c r="EO165" i="27"/>
  <c r="EP165" i="27"/>
  <c r="ER165" i="27"/>
  <c r="ES165" i="27"/>
  <c r="ET165" i="27"/>
  <c r="EV165" i="27"/>
  <c r="EW165" i="27"/>
  <c r="EX165" i="27"/>
  <c r="FG165" i="27" s="1"/>
  <c r="CD166" i="27"/>
  <c r="CF166" i="27"/>
  <c r="CG166" i="27"/>
  <c r="CH166" i="27"/>
  <c r="CJ166" i="27"/>
  <c r="CK166" i="27"/>
  <c r="CL166" i="27"/>
  <c r="CN166" i="27"/>
  <c r="CO166" i="27"/>
  <c r="CP166" i="27"/>
  <c r="CR166" i="27"/>
  <c r="CS166" i="27"/>
  <c r="CT166" i="27"/>
  <c r="CV166" i="27"/>
  <c r="CW166" i="27"/>
  <c r="CX166" i="27"/>
  <c r="CZ166" i="27"/>
  <c r="DA166" i="27"/>
  <c r="DB166" i="27"/>
  <c r="DD166" i="27"/>
  <c r="DE166" i="27"/>
  <c r="DF166" i="27"/>
  <c r="DH166" i="27"/>
  <c r="DI166" i="27"/>
  <c r="DJ166" i="27"/>
  <c r="DL166" i="27"/>
  <c r="DM166" i="27"/>
  <c r="DN166" i="27"/>
  <c r="DP166" i="27"/>
  <c r="DQ166" i="27"/>
  <c r="DR166" i="27"/>
  <c r="DT166" i="27"/>
  <c r="DU166" i="27"/>
  <c r="DV166" i="27"/>
  <c r="DX166" i="27"/>
  <c r="DY166" i="27"/>
  <c r="DZ166" i="27"/>
  <c r="EB166" i="27"/>
  <c r="EC166" i="27"/>
  <c r="ED166" i="27"/>
  <c r="EF166" i="27"/>
  <c r="EG166" i="27"/>
  <c r="EH166" i="27"/>
  <c r="EJ166" i="27"/>
  <c r="EK166" i="27"/>
  <c r="EL166" i="27"/>
  <c r="EN166" i="27"/>
  <c r="EO166" i="27"/>
  <c r="EP166" i="27"/>
  <c r="ER166" i="27"/>
  <c r="ES166" i="27"/>
  <c r="ET166" i="27"/>
  <c r="EV166" i="27"/>
  <c r="EW166" i="27"/>
  <c r="EX166" i="27"/>
  <c r="FG166" i="27" s="1"/>
  <c r="CD167" i="27"/>
  <c r="CF167" i="27"/>
  <c r="CG167" i="27"/>
  <c r="CH167" i="27"/>
  <c r="CJ167" i="27"/>
  <c r="CK167" i="27"/>
  <c r="CL167" i="27"/>
  <c r="CN167" i="27"/>
  <c r="CO167" i="27"/>
  <c r="CP167" i="27"/>
  <c r="CR167" i="27"/>
  <c r="CS167" i="27"/>
  <c r="CT167" i="27"/>
  <c r="CV167" i="27"/>
  <c r="CW167" i="27"/>
  <c r="CX167" i="27"/>
  <c r="CZ167" i="27"/>
  <c r="DA167" i="27"/>
  <c r="DB167" i="27"/>
  <c r="DD167" i="27"/>
  <c r="DE167" i="27"/>
  <c r="DF167" i="27"/>
  <c r="DH167" i="27"/>
  <c r="DI167" i="27"/>
  <c r="DJ167" i="27"/>
  <c r="DL167" i="27"/>
  <c r="DM167" i="27"/>
  <c r="DN167" i="27"/>
  <c r="DP167" i="27"/>
  <c r="DQ167" i="27"/>
  <c r="DR167" i="27"/>
  <c r="DT167" i="27"/>
  <c r="DU167" i="27"/>
  <c r="DV167" i="27"/>
  <c r="DX167" i="27"/>
  <c r="DY167" i="27"/>
  <c r="DZ167" i="27"/>
  <c r="EB167" i="27"/>
  <c r="EC167" i="27"/>
  <c r="ED167" i="27"/>
  <c r="EF167" i="27"/>
  <c r="EG167" i="27"/>
  <c r="EH167" i="27"/>
  <c r="EJ167" i="27"/>
  <c r="EK167" i="27"/>
  <c r="EL167" i="27"/>
  <c r="EN167" i="27"/>
  <c r="EO167" i="27"/>
  <c r="EP167" i="27"/>
  <c r="ER167" i="27"/>
  <c r="ES167" i="27"/>
  <c r="ET167" i="27"/>
  <c r="EV167" i="27"/>
  <c r="EW167" i="27"/>
  <c r="EX167" i="27"/>
  <c r="FG167" i="27" s="1"/>
  <c r="CD168" i="27"/>
  <c r="CF168" i="27"/>
  <c r="CG168" i="27"/>
  <c r="CH168" i="27"/>
  <c r="CJ168" i="27"/>
  <c r="CK168" i="27"/>
  <c r="CL168" i="27"/>
  <c r="CN168" i="27"/>
  <c r="CO168" i="27"/>
  <c r="CP168" i="27"/>
  <c r="CR168" i="27"/>
  <c r="CS168" i="27"/>
  <c r="CT168" i="27"/>
  <c r="CV168" i="27"/>
  <c r="CW168" i="27"/>
  <c r="CX168" i="27"/>
  <c r="CZ168" i="27"/>
  <c r="DA168" i="27"/>
  <c r="DB168" i="27"/>
  <c r="DD168" i="27"/>
  <c r="DE168" i="27"/>
  <c r="DF168" i="27"/>
  <c r="DH168" i="27"/>
  <c r="DI168" i="27"/>
  <c r="DJ168" i="27"/>
  <c r="DL168" i="27"/>
  <c r="DM168" i="27"/>
  <c r="DN168" i="27"/>
  <c r="DP168" i="27"/>
  <c r="DQ168" i="27"/>
  <c r="DR168" i="27"/>
  <c r="DT168" i="27"/>
  <c r="DU168" i="27"/>
  <c r="DV168" i="27"/>
  <c r="DX168" i="27"/>
  <c r="DY168" i="27"/>
  <c r="DZ168" i="27"/>
  <c r="EB168" i="27"/>
  <c r="EC168" i="27"/>
  <c r="ED168" i="27"/>
  <c r="EF168" i="27"/>
  <c r="EG168" i="27"/>
  <c r="EH168" i="27"/>
  <c r="EJ168" i="27"/>
  <c r="EK168" i="27"/>
  <c r="EL168" i="27"/>
  <c r="EN168" i="27"/>
  <c r="EO168" i="27"/>
  <c r="EP168" i="27"/>
  <c r="ER168" i="27"/>
  <c r="ES168" i="27"/>
  <c r="ET168" i="27"/>
  <c r="EV168" i="27"/>
  <c r="EW168" i="27"/>
  <c r="EX168" i="27"/>
  <c r="FG168" i="27" s="1"/>
  <c r="T50" i="145" l="1"/>
  <c r="U50" i="145" s="1"/>
  <c r="V50" i="145" s="1"/>
  <c r="EM121" i="27"/>
  <c r="CM130" i="27"/>
  <c r="CU153" i="27"/>
  <c r="EA121" i="27"/>
  <c r="DW121" i="27"/>
  <c r="CQ121" i="27"/>
  <c r="EQ121" i="27"/>
  <c r="DK121" i="27"/>
  <c r="CE121" i="27"/>
  <c r="CU121" i="27"/>
  <c r="CQ146" i="27"/>
  <c r="EU129" i="27"/>
  <c r="DO129" i="27"/>
  <c r="EI122" i="27"/>
  <c r="DC122" i="27"/>
  <c r="U57" i="145"/>
  <c r="U73" i="145"/>
  <c r="U84" i="145"/>
  <c r="U70" i="145"/>
  <c r="U94" i="145"/>
  <c r="U96" i="145"/>
  <c r="U97" i="145"/>
  <c r="U98" i="145"/>
  <c r="U87" i="145"/>
  <c r="U64" i="145"/>
  <c r="U89" i="145"/>
  <c r="U77" i="145"/>
  <c r="U83" i="145"/>
  <c r="U79" i="145"/>
  <c r="U58" i="145"/>
  <c r="U66" i="145"/>
  <c r="U103" i="145"/>
  <c r="U100" i="145"/>
  <c r="U93" i="145"/>
  <c r="U62" i="145"/>
  <c r="U90" i="145"/>
  <c r="U60" i="145"/>
  <c r="U80" i="145"/>
  <c r="U65" i="145"/>
  <c r="U99" i="145"/>
  <c r="U76" i="145"/>
  <c r="U82" i="145"/>
  <c r="U81" i="145"/>
  <c r="U61" i="145"/>
  <c r="U69" i="145"/>
  <c r="U75" i="145"/>
  <c r="U78" i="145"/>
  <c r="U63" i="145"/>
  <c r="U92" i="145"/>
  <c r="U102" i="145"/>
  <c r="U104" i="145"/>
  <c r="U105" i="145"/>
  <c r="U88" i="145"/>
  <c r="U72" i="145"/>
  <c r="U85" i="145"/>
  <c r="U91" i="145"/>
  <c r="U95" i="145"/>
  <c r="U68" i="145"/>
  <c r="U74" i="145"/>
  <c r="U59" i="145"/>
  <c r="U106" i="145"/>
  <c r="U67" i="145"/>
  <c r="U101" i="145"/>
  <c r="U86" i="145"/>
  <c r="U71" i="145"/>
  <c r="EU126" i="27"/>
  <c r="EU162" i="27"/>
  <c r="DO162" i="27"/>
  <c r="CI162" i="27"/>
  <c r="DS132" i="27"/>
  <c r="CM132" i="27"/>
  <c r="CU122" i="27"/>
  <c r="DK122" i="27"/>
  <c r="DK145" i="27"/>
  <c r="EA161" i="27"/>
  <c r="CY152" i="27"/>
  <c r="CQ152" i="27"/>
  <c r="EI129" i="27"/>
  <c r="CI126" i="27"/>
  <c r="CU137" i="27"/>
  <c r="EI136" i="27"/>
  <c r="DC136" i="27"/>
  <c r="DO133" i="27"/>
  <c r="CI133" i="27"/>
  <c r="EA132" i="27"/>
  <c r="DK130" i="27"/>
  <c r="CI137" i="27"/>
  <c r="DS130" i="27"/>
  <c r="EQ129" i="27"/>
  <c r="CE128" i="27"/>
  <c r="DK131" i="27"/>
  <c r="DK129" i="27"/>
  <c r="EI151" i="27"/>
  <c r="EU125" i="27"/>
  <c r="CI127" i="27"/>
  <c r="EQ168" i="27"/>
  <c r="DG150" i="27"/>
  <c r="DS144" i="27"/>
  <c r="EQ133" i="27"/>
  <c r="CE133" i="27"/>
  <c r="EM126" i="27"/>
  <c r="CI161" i="27"/>
  <c r="DW129" i="27"/>
  <c r="EU146" i="27"/>
  <c r="EM152" i="27"/>
  <c r="DC128" i="27"/>
  <c r="EI124" i="27"/>
  <c r="DW142" i="27"/>
  <c r="CU130" i="27"/>
  <c r="EE121" i="27"/>
  <c r="CY121" i="27"/>
  <c r="CM139" i="27"/>
  <c r="DG121" i="27"/>
  <c r="EM155" i="27"/>
  <c r="DG155" i="27"/>
  <c r="EE131" i="27"/>
  <c r="CY131" i="27"/>
  <c r="DK168" i="27"/>
  <c r="EE129" i="27"/>
  <c r="CY129" i="27"/>
  <c r="CI129" i="27"/>
  <c r="DW132" i="27"/>
  <c r="DC129" i="27"/>
  <c r="EU144" i="27"/>
  <c r="EE161" i="27"/>
  <c r="EU161" i="27"/>
  <c r="CQ132" i="27"/>
  <c r="EI165" i="27"/>
  <c r="DC149" i="27"/>
  <c r="EA144" i="27"/>
  <c r="EI143" i="27"/>
  <c r="DC143" i="27"/>
  <c r="EU142" i="27"/>
  <c r="EA136" i="27"/>
  <c r="EI156" i="27"/>
  <c r="DC165" i="27"/>
  <c r="EU123" i="27"/>
  <c r="EI155" i="27"/>
  <c r="CM165" i="27"/>
  <c r="DS165" i="27"/>
  <c r="CM146" i="27"/>
  <c r="EI127" i="27"/>
  <c r="DC124" i="27"/>
  <c r="EA168" i="27"/>
  <c r="DC152" i="27"/>
  <c r="CY163" i="27"/>
  <c r="DC155" i="27"/>
  <c r="EE145" i="27"/>
  <c r="DC139" i="27"/>
  <c r="DO138" i="27"/>
  <c r="EU137" i="27"/>
  <c r="DG143" i="27"/>
  <c r="CM122" i="27"/>
  <c r="DS121" i="27"/>
  <c r="CM121" i="27"/>
  <c r="CI163" i="27"/>
  <c r="EQ148" i="27"/>
  <c r="CQ166" i="27"/>
  <c r="DO144" i="27"/>
  <c r="DC142" i="27"/>
  <c r="EI123" i="27"/>
  <c r="CQ142" i="27"/>
  <c r="DG161" i="27"/>
  <c r="CM159" i="27"/>
  <c r="DK154" i="27"/>
  <c r="CY142" i="27"/>
  <c r="EE141" i="27"/>
  <c r="EU131" i="27"/>
  <c r="DO131" i="27"/>
  <c r="CI131" i="27"/>
  <c r="CY126" i="27"/>
  <c r="DS157" i="27"/>
  <c r="CM157" i="27"/>
  <c r="CM156" i="27"/>
  <c r="DK152" i="27"/>
  <c r="CE152" i="27"/>
  <c r="DO149" i="27"/>
  <c r="CI149" i="27"/>
  <c r="CI148" i="27"/>
  <c r="EM144" i="27"/>
  <c r="DG144" i="27"/>
  <c r="CE135" i="27"/>
  <c r="CE151" i="27"/>
  <c r="DO147" i="27"/>
  <c r="EM142" i="27"/>
  <c r="EM141" i="27"/>
  <c r="EA124" i="27"/>
  <c r="EA123" i="27"/>
  <c r="CQ129" i="27"/>
  <c r="DO141" i="27"/>
  <c r="DO123" i="27"/>
  <c r="DO152" i="27"/>
  <c r="DS149" i="27"/>
  <c r="CE127" i="27"/>
  <c r="EY165" i="27"/>
  <c r="CY162" i="27"/>
  <c r="CY161" i="27"/>
  <c r="CM161" i="27"/>
  <c r="CQ155" i="27"/>
  <c r="CU150" i="27"/>
  <c r="EQ141" i="27"/>
  <c r="DW141" i="27"/>
  <c r="EE127" i="27"/>
  <c r="CY127" i="27"/>
  <c r="EQ125" i="27"/>
  <c r="DK125" i="27"/>
  <c r="CE125" i="27"/>
  <c r="DW123" i="27"/>
  <c r="DK153" i="27"/>
  <c r="EE140" i="27"/>
  <c r="CQ168" i="27"/>
  <c r="CI144" i="27"/>
  <c r="DS135" i="27"/>
  <c r="DC127" i="27"/>
  <c r="DK162" i="27"/>
  <c r="EQ161" i="27"/>
  <c r="CI154" i="27"/>
  <c r="DS151" i="27"/>
  <c r="CM151" i="27"/>
  <c r="CE148" i="27"/>
  <c r="EQ165" i="27"/>
  <c r="EA151" i="27"/>
  <c r="EI126" i="27"/>
  <c r="DW157" i="27"/>
  <c r="EI153" i="27"/>
  <c r="DK141" i="27"/>
  <c r="DS164" i="27"/>
  <c r="CM164" i="27"/>
  <c r="DS163" i="27"/>
  <c r="DG149" i="27"/>
  <c r="CM144" i="27"/>
  <c r="DW122" i="27"/>
  <c r="EA165" i="27"/>
  <c r="EA164" i="27"/>
  <c r="EA148" i="27"/>
  <c r="CY141" i="27"/>
  <c r="CE138" i="27"/>
  <c r="EE125" i="27"/>
  <c r="EQ122" i="27"/>
  <c r="CU144" i="27"/>
  <c r="EA127" i="27"/>
  <c r="EU160" i="27"/>
  <c r="DO160" i="27"/>
  <c r="CI160" i="27"/>
  <c r="DO158" i="27"/>
  <c r="CI158" i="27"/>
  <c r="EA157" i="27"/>
  <c r="EM153" i="27"/>
  <c r="DW131" i="27"/>
  <c r="DG126" i="27"/>
  <c r="DW163" i="27"/>
  <c r="CQ149" i="27"/>
  <c r="EU143" i="27"/>
  <c r="DS150" i="27"/>
  <c r="EU140" i="27"/>
  <c r="CQ157" i="27"/>
  <c r="EQ127" i="27"/>
  <c r="CQ126" i="27"/>
  <c r="CM163" i="27"/>
  <c r="EM131" i="27"/>
  <c r="DG131" i="27"/>
  <c r="EQ153" i="27"/>
  <c r="EQ139" i="27"/>
  <c r="CU132" i="27"/>
  <c r="CQ122" i="27"/>
  <c r="EE166" i="27"/>
  <c r="CQ163" i="27"/>
  <c r="CQ161" i="27"/>
  <c r="CE149" i="27"/>
  <c r="DW148" i="27"/>
  <c r="CQ148" i="27"/>
  <c r="DS134" i="27"/>
  <c r="CM134" i="27"/>
  <c r="CU127" i="27"/>
  <c r="CY125" i="27"/>
  <c r="DK165" i="27"/>
  <c r="CE165" i="27"/>
  <c r="CE162" i="27"/>
  <c r="DO154" i="27"/>
  <c r="DW145" i="27"/>
  <c r="DO140" i="27"/>
  <c r="EM135" i="27"/>
  <c r="DG135" i="27"/>
  <c r="DS133" i="27"/>
  <c r="CM133" i="27"/>
  <c r="EE132" i="27"/>
  <c r="CY132" i="27"/>
  <c r="CI128" i="27"/>
  <c r="DS124" i="27"/>
  <c r="CY165" i="27"/>
  <c r="EE163" i="27"/>
  <c r="CQ156" i="27"/>
  <c r="DW154" i="27"/>
  <c r="DC153" i="27"/>
  <c r="CM149" i="27"/>
  <c r="DO135" i="27"/>
  <c r="EE130" i="27"/>
  <c r="EA125" i="27"/>
  <c r="EE158" i="27"/>
  <c r="CY158" i="27"/>
  <c r="CE156" i="27"/>
  <c r="CQ141" i="27"/>
  <c r="CQ140" i="27"/>
  <c r="EU135" i="27"/>
  <c r="EA133" i="27"/>
  <c r="DO126" i="27"/>
  <c r="CU123" i="27"/>
  <c r="EM163" i="27"/>
  <c r="EA131" i="27"/>
  <c r="DK127" i="27"/>
  <c r="EI125" i="27"/>
  <c r="DO125" i="27"/>
  <c r="DC125" i="27"/>
  <c r="CU162" i="27"/>
  <c r="EQ151" i="27"/>
  <c r="CU148" i="27"/>
  <c r="CY140" i="27"/>
  <c r="DW135" i="27"/>
  <c r="CQ135" i="27"/>
  <c r="DC126" i="27"/>
  <c r="DC123" i="27"/>
  <c r="EA159" i="27"/>
  <c r="DG154" i="27"/>
  <c r="EQ135" i="27"/>
  <c r="EQ134" i="27"/>
  <c r="DK134" i="27"/>
  <c r="CE134" i="27"/>
  <c r="EU130" i="27"/>
  <c r="DW126" i="27"/>
  <c r="DW124" i="27"/>
  <c r="CQ124" i="27"/>
  <c r="DK167" i="27"/>
  <c r="EA156" i="27"/>
  <c r="CI156" i="27"/>
  <c r="DG152" i="27"/>
  <c r="CM152" i="27"/>
  <c r="EE151" i="27"/>
  <c r="DW150" i="27"/>
  <c r="DC147" i="27"/>
  <c r="EE136" i="27"/>
  <c r="EE135" i="27"/>
  <c r="CY135" i="27"/>
  <c r="EA128" i="27"/>
  <c r="CQ123" i="27"/>
  <c r="DO165" i="27"/>
  <c r="CU165" i="27"/>
  <c r="DS162" i="27"/>
  <c r="DW159" i="27"/>
  <c r="DK159" i="27"/>
  <c r="EU156" i="27"/>
  <c r="DO156" i="27"/>
  <c r="EU154" i="27"/>
  <c r="EU148" i="27"/>
  <c r="DO148" i="27"/>
  <c r="CQ137" i="27"/>
  <c r="CU135" i="27"/>
  <c r="CQ131" i="27"/>
  <c r="EI130" i="27"/>
  <c r="DC130" i="27"/>
  <c r="DS128" i="27"/>
  <c r="CY122" i="27"/>
  <c r="CY168" i="27"/>
  <c r="CE167" i="27"/>
  <c r="CU164" i="27"/>
  <c r="EA163" i="27"/>
  <c r="EQ159" i="27"/>
  <c r="DW156" i="27"/>
  <c r="CQ150" i="27"/>
  <c r="DW149" i="27"/>
  <c r="EU145" i="27"/>
  <c r="EI145" i="27"/>
  <c r="DC145" i="27"/>
  <c r="DS139" i="27"/>
  <c r="EE138" i="27"/>
  <c r="EE137" i="27"/>
  <c r="CU128" i="27"/>
  <c r="DS127" i="27"/>
  <c r="CU124" i="27"/>
  <c r="EM122" i="27"/>
  <c r="DS122" i="27"/>
  <c r="CM168" i="27"/>
  <c r="CM167" i="27"/>
  <c r="CY166" i="27"/>
  <c r="CI165" i="27"/>
  <c r="EU163" i="27"/>
  <c r="EM161" i="27"/>
  <c r="CU152" i="27"/>
  <c r="EQ150" i="27"/>
  <c r="DW146" i="27"/>
  <c r="DO143" i="27"/>
  <c r="CI143" i="27"/>
  <c r="EU141" i="27"/>
  <c r="EY135" i="27"/>
  <c r="EQ130" i="27"/>
  <c r="EM127" i="27"/>
  <c r="DG127" i="27"/>
  <c r="CI124" i="27"/>
  <c r="DS158" i="27"/>
  <c r="DK156" i="27"/>
  <c r="EI152" i="27"/>
  <c r="DK148" i="27"/>
  <c r="CQ145" i="27"/>
  <c r="CU139" i="27"/>
  <c r="DS137" i="27"/>
  <c r="CM137" i="27"/>
  <c r="CM136" i="27"/>
  <c r="CU133" i="27"/>
  <c r="DK126" i="27"/>
  <c r="EU122" i="27"/>
  <c r="EA122" i="27"/>
  <c r="EE165" i="27"/>
  <c r="DC163" i="27"/>
  <c r="DG159" i="27"/>
  <c r="CM150" i="27"/>
  <c r="CE147" i="27"/>
  <c r="DK146" i="27"/>
  <c r="EM137" i="27"/>
  <c r="CY130" i="27"/>
  <c r="EE126" i="27"/>
  <c r="CI168" i="27"/>
  <c r="EM156" i="27"/>
  <c r="CY154" i="27"/>
  <c r="EE153" i="27"/>
  <c r="EQ152" i="27"/>
  <c r="EE146" i="27"/>
  <c r="DC133" i="27"/>
  <c r="EI168" i="27"/>
  <c r="DC168" i="27"/>
  <c r="CI167" i="27"/>
  <c r="DO166" i="27"/>
  <c r="EI138" i="27"/>
  <c r="EA130" i="27"/>
  <c r="EQ128" i="27"/>
  <c r="DK128" i="27"/>
  <c r="DC159" i="27"/>
  <c r="EI158" i="27"/>
  <c r="CU156" i="27"/>
  <c r="EM154" i="27"/>
  <c r="DG153" i="27"/>
  <c r="EI150" i="27"/>
  <c r="DC150" i="27"/>
  <c r="EM147" i="27"/>
  <c r="EA145" i="27"/>
  <c r="CE139" i="27"/>
  <c r="EY125" i="27"/>
  <c r="CM124" i="27"/>
  <c r="CE122" i="27"/>
  <c r="EE168" i="27"/>
  <c r="EM165" i="27"/>
  <c r="CY156" i="27"/>
  <c r="EI147" i="27"/>
  <c r="CI141" i="27"/>
  <c r="CM131" i="27"/>
  <c r="DG130" i="27"/>
  <c r="CI125" i="27"/>
  <c r="EU124" i="27"/>
  <c r="DO124" i="27"/>
  <c r="EM123" i="27"/>
  <c r="DG123" i="27"/>
  <c r="EU165" i="27"/>
  <c r="DG163" i="27"/>
  <c r="EE162" i="27"/>
  <c r="DO161" i="27"/>
  <c r="EE159" i="27"/>
  <c r="CQ159" i="27"/>
  <c r="DC158" i="27"/>
  <c r="CU157" i="27"/>
  <c r="DS156" i="27"/>
  <c r="EQ155" i="27"/>
  <c r="DK155" i="27"/>
  <c r="CE155" i="27"/>
  <c r="DC154" i="27"/>
  <c r="DO153" i="27"/>
  <c r="EA152" i="27"/>
  <c r="CQ151" i="27"/>
  <c r="EU150" i="27"/>
  <c r="CY149" i="27"/>
  <c r="EQ147" i="27"/>
  <c r="DO146" i="27"/>
  <c r="DG145" i="27"/>
  <c r="DS143" i="27"/>
  <c r="CM143" i="27"/>
  <c r="DK142" i="27"/>
  <c r="CI140" i="27"/>
  <c r="DG139" i="27"/>
  <c r="DC138" i="27"/>
  <c r="DG137" i="27"/>
  <c r="CM135" i="27"/>
  <c r="EM132" i="27"/>
  <c r="DG132" i="27"/>
  <c r="CU131" i="27"/>
  <c r="DO130" i="27"/>
  <c r="EI128" i="27"/>
  <c r="EQ126" i="27"/>
  <c r="CE126" i="27"/>
  <c r="EY124" i="27"/>
  <c r="EE122" i="27"/>
  <c r="DK166" i="27"/>
  <c r="CQ165" i="27"/>
  <c r="EY161" i="27"/>
  <c r="EM160" i="27"/>
  <c r="CE159" i="27"/>
  <c r="DW158" i="27"/>
  <c r="DG156" i="27"/>
  <c r="DK151" i="27"/>
  <c r="EM143" i="27"/>
  <c r="EE142" i="27"/>
  <c r="EA139" i="27"/>
  <c r="DC131" i="27"/>
  <c r="DW130" i="27"/>
  <c r="EU127" i="27"/>
  <c r="DO127" i="27"/>
  <c r="CM126" i="27"/>
  <c r="DW125" i="27"/>
  <c r="CQ125" i="27"/>
  <c r="DC164" i="27"/>
  <c r="EM162" i="27"/>
  <c r="DC161" i="27"/>
  <c r="DS159" i="27"/>
  <c r="CQ154" i="27"/>
  <c r="DW152" i="27"/>
  <c r="EU149" i="27"/>
  <c r="CM147" i="27"/>
  <c r="DO145" i="27"/>
  <c r="CI145" i="27"/>
  <c r="EI137" i="27"/>
  <c r="DO137" i="27"/>
  <c r="EU136" i="27"/>
  <c r="DC135" i="27"/>
  <c r="EE133" i="27"/>
  <c r="DK133" i="27"/>
  <c r="EY127" i="27"/>
  <c r="CU126" i="27"/>
  <c r="EQ124" i="27"/>
  <c r="DK124" i="27"/>
  <c r="CE124" i="27"/>
  <c r="CI122" i="27"/>
  <c r="DG165" i="27"/>
  <c r="DO163" i="27"/>
  <c r="EA162" i="27"/>
  <c r="DG162" i="27"/>
  <c r="CM162" i="27"/>
  <c r="DW161" i="27"/>
  <c r="EM158" i="27"/>
  <c r="CE157" i="27"/>
  <c r="CI152" i="27"/>
  <c r="CY146" i="27"/>
  <c r="CE146" i="27"/>
  <c r="CU142" i="27"/>
  <c r="DS141" i="27"/>
  <c r="EI139" i="27"/>
  <c r="EM138" i="27"/>
  <c r="DS138" i="27"/>
  <c r="EQ137" i="27"/>
  <c r="DK135" i="27"/>
  <c r="CI135" i="27"/>
  <c r="DS131" i="27"/>
  <c r="EM130" i="27"/>
  <c r="CM128" i="27"/>
  <c r="DW127" i="27"/>
  <c r="CQ127" i="27"/>
  <c r="DS125" i="27"/>
  <c r="CM125" i="27"/>
  <c r="EE124" i="27"/>
  <c r="CY124" i="27"/>
  <c r="EQ123" i="27"/>
  <c r="DK123" i="27"/>
  <c r="CE123" i="27"/>
  <c r="EU121" i="27"/>
  <c r="DO121" i="27"/>
  <c r="CI121" i="27"/>
  <c r="EY121" i="27"/>
  <c r="DO167" i="27"/>
  <c r="CU167" i="27"/>
  <c r="CU166" i="27"/>
  <c r="DW165" i="27"/>
  <c r="EI162" i="27"/>
  <c r="DS161" i="27"/>
  <c r="EI159" i="27"/>
  <c r="CU159" i="27"/>
  <c r="DG158" i="27"/>
  <c r="EE157" i="27"/>
  <c r="CY157" i="27"/>
  <c r="EQ156" i="27"/>
  <c r="DC156" i="27"/>
  <c r="EA154" i="27"/>
  <c r="DS153" i="27"/>
  <c r="EU151" i="27"/>
  <c r="EE150" i="27"/>
  <c r="EQ149" i="27"/>
  <c r="DK149" i="27"/>
  <c r="EI148" i="27"/>
  <c r="DC148" i="27"/>
  <c r="EU147" i="27"/>
  <c r="EM146" i="27"/>
  <c r="DS146" i="27"/>
  <c r="DG146" i="27"/>
  <c r="EY145" i="27"/>
  <c r="DO142" i="27"/>
  <c r="DG141" i="27"/>
  <c r="DS140" i="27"/>
  <c r="CM140" i="27"/>
  <c r="DK139" i="27"/>
  <c r="CQ139" i="27"/>
  <c r="DG138" i="27"/>
  <c r="DK137" i="27"/>
  <c r="CE137" i="27"/>
  <c r="EQ136" i="27"/>
  <c r="DK136" i="27"/>
  <c r="EA135" i="27"/>
  <c r="EI131" i="27"/>
  <c r="CQ130" i="27"/>
  <c r="DS126" i="27"/>
  <c r="EY126" i="27"/>
  <c r="EM125" i="27"/>
  <c r="DG125" i="27"/>
  <c r="CU125" i="27"/>
  <c r="EM124" i="27"/>
  <c r="DG124" i="27"/>
  <c r="EE123" i="27"/>
  <c r="DS123" i="27"/>
  <c r="CY123" i="27"/>
  <c r="CM123" i="27"/>
  <c r="DG122" i="27"/>
  <c r="EI121" i="27"/>
  <c r="DC121" i="27"/>
  <c r="EI167" i="27"/>
  <c r="EU158" i="27"/>
  <c r="EE156" i="27"/>
  <c r="EA153" i="27"/>
  <c r="DS152" i="27"/>
  <c r="DC151" i="27"/>
  <c r="EE149" i="27"/>
  <c r="EA146" i="27"/>
  <c r="EM145" i="27"/>
  <c r="CY145" i="27"/>
  <c r="EI141" i="27"/>
  <c r="CU141" i="27"/>
  <c r="EE139" i="27"/>
  <c r="CY137" i="27"/>
  <c r="DS136" i="27"/>
  <c r="EI135" i="27"/>
  <c r="EI133" i="27"/>
  <c r="EQ131" i="27"/>
  <c r="EU128" i="27"/>
  <c r="CM127" i="27"/>
  <c r="EA126" i="27"/>
  <c r="EY122" i="27"/>
  <c r="DO122" i="27"/>
  <c r="EU168" i="27"/>
  <c r="DO168" i="27"/>
  <c r="CU168" i="27"/>
  <c r="EQ167" i="27"/>
  <c r="DW167" i="27"/>
  <c r="DC167" i="27"/>
  <c r="EM166" i="27"/>
  <c r="DS166" i="27"/>
  <c r="EM164" i="27"/>
  <c r="DG164" i="27"/>
  <c r="CU163" i="27"/>
  <c r="CQ162" i="27"/>
  <c r="DK161" i="27"/>
  <c r="EE160" i="27"/>
  <c r="CY160" i="27"/>
  <c r="CY159" i="27"/>
  <c r="EA158" i="27"/>
  <c r="CM158" i="27"/>
  <c r="EQ157" i="27"/>
  <c r="DK157" i="27"/>
  <c r="DW153" i="27"/>
  <c r="CQ153" i="27"/>
  <c r="EU152" i="27"/>
  <c r="EE147" i="27"/>
  <c r="DS147" i="27"/>
  <c r="CY147" i="27"/>
  <c r="CM145" i="27"/>
  <c r="EQ144" i="27"/>
  <c r="DW144" i="27"/>
  <c r="DK144" i="27"/>
  <c r="CQ144" i="27"/>
  <c r="DW143" i="27"/>
  <c r="CQ143" i="27"/>
  <c r="CQ133" i="27"/>
  <c r="EY133" i="27"/>
  <c r="DW168" i="27"/>
  <c r="EE167" i="27"/>
  <c r="CQ167" i="27"/>
  <c r="EU166" i="27"/>
  <c r="EA166" i="27"/>
  <c r="DG166" i="27"/>
  <c r="CM166" i="27"/>
  <c r="EY164" i="27"/>
  <c r="DK163" i="27"/>
  <c r="DG160" i="27"/>
  <c r="DO159" i="27"/>
  <c r="EQ158" i="27"/>
  <c r="CU158" i="27"/>
  <c r="DO150" i="27"/>
  <c r="CU145" i="27"/>
  <c r="CI130" i="27"/>
  <c r="EY130" i="27"/>
  <c r="CE150" i="27"/>
  <c r="EY150" i="27"/>
  <c r="EM167" i="27"/>
  <c r="DS167" i="27"/>
  <c r="CY167" i="27"/>
  <c r="EI164" i="27"/>
  <c r="EI161" i="27"/>
  <c r="EY156" i="27"/>
  <c r="EI154" i="27"/>
  <c r="CM154" i="27"/>
  <c r="CY151" i="27"/>
  <c r="EY149" i="27"/>
  <c r="DG128" i="27"/>
  <c r="EY128" i="27"/>
  <c r="CI123" i="27"/>
  <c r="EY123" i="27"/>
  <c r="EY152" i="27"/>
  <c r="EY141" i="27"/>
  <c r="CE131" i="27"/>
  <c r="EY131" i="27"/>
  <c r="DS168" i="27"/>
  <c r="EU167" i="27"/>
  <c r="EA167" i="27"/>
  <c r="DG167" i="27"/>
  <c r="EQ166" i="27"/>
  <c r="DW166" i="27"/>
  <c r="DC166" i="27"/>
  <c r="CI166" i="27"/>
  <c r="EQ164" i="27"/>
  <c r="DK164" i="27"/>
  <c r="CE164" i="27"/>
  <c r="EI163" i="27"/>
  <c r="EI160" i="27"/>
  <c r="DC160" i="27"/>
  <c r="EM159" i="27"/>
  <c r="DK158" i="27"/>
  <c r="CQ158" i="27"/>
  <c r="EU157" i="27"/>
  <c r="DO157" i="27"/>
  <c r="EY157" i="27"/>
  <c r="EQ154" i="27"/>
  <c r="DG151" i="27"/>
  <c r="DK150" i="27"/>
  <c r="EE148" i="27"/>
  <c r="DS142" i="27"/>
  <c r="CM142" i="27"/>
  <c r="EM168" i="27"/>
  <c r="DG168" i="27"/>
  <c r="EY167" i="27"/>
  <c r="EQ163" i="27"/>
  <c r="EQ162" i="27"/>
  <c r="DW162" i="27"/>
  <c r="DC162" i="27"/>
  <c r="CU161" i="27"/>
  <c r="DW160" i="27"/>
  <c r="CQ160" i="27"/>
  <c r="EU159" i="27"/>
  <c r="CE158" i="27"/>
  <c r="EI157" i="27"/>
  <c r="DC157" i="27"/>
  <c r="DS155" i="27"/>
  <c r="CM155" i="27"/>
  <c r="EE154" i="27"/>
  <c r="CI153" i="27"/>
  <c r="EE152" i="27"/>
  <c r="EI149" i="27"/>
  <c r="CU149" i="27"/>
  <c r="EM140" i="27"/>
  <c r="DG140" i="27"/>
  <c r="DO139" i="27"/>
  <c r="CU138" i="27"/>
  <c r="DC137" i="27"/>
  <c r="EM136" i="27"/>
  <c r="CY136" i="27"/>
  <c r="CE136" i="27"/>
  <c r="CY133" i="27"/>
  <c r="EU132" i="27"/>
  <c r="DO132" i="27"/>
  <c r="CI132" i="27"/>
  <c r="EA129" i="27"/>
  <c r="CU129" i="27"/>
  <c r="DO128" i="27"/>
  <c r="EA141" i="27"/>
  <c r="CU140" i="27"/>
  <c r="DW139" i="27"/>
  <c r="EQ138" i="27"/>
  <c r="DW138" i="27"/>
  <c r="CI138" i="27"/>
  <c r="DW137" i="27"/>
  <c r="EA134" i="27"/>
  <c r="CU134" i="27"/>
  <c r="DG133" i="27"/>
  <c r="EI132" i="27"/>
  <c r="DC132" i="27"/>
  <c r="DW128" i="27"/>
  <c r="CY148" i="27"/>
  <c r="EI146" i="27"/>
  <c r="EE144" i="27"/>
  <c r="CY144" i="27"/>
  <c r="EQ143" i="27"/>
  <c r="DK143" i="27"/>
  <c r="CE143" i="27"/>
  <c r="EA142" i="27"/>
  <c r="EE128" i="27"/>
  <c r="EA155" i="27"/>
  <c r="CU155" i="27"/>
  <c r="CU154" i="27"/>
  <c r="CY153" i="27"/>
  <c r="CE153" i="27"/>
  <c r="DO151" i="27"/>
  <c r="CU151" i="27"/>
  <c r="CI150" i="27"/>
  <c r="DS148" i="27"/>
  <c r="CM148" i="27"/>
  <c r="EA147" i="27"/>
  <c r="EQ146" i="27"/>
  <c r="DS145" i="27"/>
  <c r="EE143" i="27"/>
  <c r="CY143" i="27"/>
  <c r="EI142" i="27"/>
  <c r="EI140" i="27"/>
  <c r="DC140" i="27"/>
  <c r="EM139" i="27"/>
  <c r="DK138" i="27"/>
  <c r="CQ138" i="27"/>
  <c r="CU136" i="27"/>
  <c r="EI134" i="27"/>
  <c r="DC134" i="27"/>
  <c r="DW133" i="27"/>
  <c r="EQ132" i="27"/>
  <c r="DK132" i="27"/>
  <c r="EM128" i="27"/>
  <c r="DW151" i="27"/>
  <c r="CI151" i="27"/>
  <c r="EM148" i="27"/>
  <c r="DG148" i="27"/>
  <c r="EQ142" i="27"/>
  <c r="CM141" i="27"/>
  <c r="DW140" i="27"/>
  <c r="EU139" i="27"/>
  <c r="DO136" i="27"/>
  <c r="CY150" i="27"/>
  <c r="EM149" i="27"/>
  <c r="CU146" i="27"/>
  <c r="CI142" i="27"/>
  <c r="CY138" i="27"/>
  <c r="EM133" i="27"/>
  <c r="CQ128" i="27"/>
  <c r="DW155" i="27"/>
  <c r="DS154" i="27"/>
  <c r="EU153" i="27"/>
  <c r="EM151" i="27"/>
  <c r="EM150" i="27"/>
  <c r="EA150" i="27"/>
  <c r="EA149" i="27"/>
  <c r="DK147" i="27"/>
  <c r="DC146" i="27"/>
  <c r="EQ145" i="27"/>
  <c r="EI144" i="27"/>
  <c r="DC144" i="27"/>
  <c r="EA143" i="27"/>
  <c r="CU143" i="27"/>
  <c r="DC141" i="27"/>
  <c r="CY139" i="27"/>
  <c r="EU138" i="27"/>
  <c r="EA138" i="27"/>
  <c r="CM138" i="27"/>
  <c r="EA137" i="27"/>
  <c r="EU133" i="27"/>
  <c r="EM129" i="27"/>
  <c r="DS129" i="27"/>
  <c r="DG129" i="27"/>
  <c r="CM129" i="27"/>
  <c r="CY128" i="27"/>
  <c r="CE168" i="27"/>
  <c r="EY168" i="27"/>
  <c r="EY162" i="27"/>
  <c r="CM153" i="27"/>
  <c r="EY153" i="27"/>
  <c r="EI166" i="27"/>
  <c r="EU164" i="27"/>
  <c r="CI164" i="27"/>
  <c r="CE163" i="27"/>
  <c r="EY163" i="27"/>
  <c r="EQ160" i="27"/>
  <c r="DK160" i="27"/>
  <c r="CE160" i="27"/>
  <c r="CI159" i="27"/>
  <c r="EY159" i="27"/>
  <c r="CE166" i="27"/>
  <c r="EY166" i="27"/>
  <c r="DW164" i="27"/>
  <c r="CQ164" i="27"/>
  <c r="DS160" i="27"/>
  <c r="CM160" i="27"/>
  <c r="EM157" i="27"/>
  <c r="DG157" i="27"/>
  <c r="EE164" i="27"/>
  <c r="CY164" i="27"/>
  <c r="CE161" i="27"/>
  <c r="EA160" i="27"/>
  <c r="CU160" i="27"/>
  <c r="DO164" i="27"/>
  <c r="EY160" i="27"/>
  <c r="CI157" i="27"/>
  <c r="EU155" i="27"/>
  <c r="DO155" i="27"/>
  <c r="CI155" i="27"/>
  <c r="CE154" i="27"/>
  <c r="EY154" i="27"/>
  <c r="EY158" i="27"/>
  <c r="CE142" i="27"/>
  <c r="EY142" i="27"/>
  <c r="EE155" i="27"/>
  <c r="CY155" i="27"/>
  <c r="CU147" i="27"/>
  <c r="EY147" i="27"/>
  <c r="EY151" i="27"/>
  <c r="CI146" i="27"/>
  <c r="EY146" i="27"/>
  <c r="EY155" i="27"/>
  <c r="CI147" i="27"/>
  <c r="EY148" i="27"/>
  <c r="CQ147" i="27"/>
  <c r="CE144" i="27"/>
  <c r="DG147" i="27"/>
  <c r="DW147" i="27"/>
  <c r="CE145" i="27"/>
  <c r="EY144" i="27"/>
  <c r="EQ140" i="27"/>
  <c r="DK140" i="27"/>
  <c r="CE140" i="27"/>
  <c r="CI139" i="27"/>
  <c r="EY139" i="27"/>
  <c r="EY143" i="27"/>
  <c r="CI136" i="27"/>
  <c r="EY136" i="27"/>
  <c r="CE141" i="27"/>
  <c r="EA140" i="27"/>
  <c r="DG142" i="27"/>
  <c r="EM134" i="27"/>
  <c r="DG134" i="27"/>
  <c r="CE132" i="27"/>
  <c r="EY132" i="27"/>
  <c r="EY140" i="27"/>
  <c r="CQ136" i="27"/>
  <c r="EU134" i="27"/>
  <c r="DO134" i="27"/>
  <c r="CI134" i="27"/>
  <c r="EY138" i="27"/>
  <c r="DG136" i="27"/>
  <c r="DW134" i="27"/>
  <c r="CQ134" i="27"/>
  <c r="CE129" i="27"/>
  <c r="EY129" i="27"/>
  <c r="EY137" i="27"/>
  <c r="DW136" i="27"/>
  <c r="EE134" i="27"/>
  <c r="CY134" i="27"/>
  <c r="CE130" i="27"/>
  <c r="EY134" i="27"/>
  <c r="W50" i="145" l="1"/>
  <c r="X50" i="145" s="1"/>
  <c r="Y50" i="145"/>
  <c r="V72" i="145"/>
  <c r="V88" i="145"/>
  <c r="V105" i="145"/>
  <c r="V61" i="145"/>
  <c r="V82" i="145"/>
  <c r="V76" i="145"/>
  <c r="V90" i="145"/>
  <c r="V93" i="145"/>
  <c r="V83" i="145"/>
  <c r="V64" i="145"/>
  <c r="V97" i="145"/>
  <c r="V96" i="145"/>
  <c r="V94" i="145"/>
  <c r="V84" i="145"/>
  <c r="V102" i="145"/>
  <c r="V74" i="145"/>
  <c r="V80" i="145"/>
  <c r="V75" i="145"/>
  <c r="V78" i="145"/>
  <c r="V81" i="145"/>
  <c r="V60" i="145"/>
  <c r="V66" i="145"/>
  <c r="V79" i="145"/>
  <c r="V87" i="145"/>
  <c r="V101" i="145"/>
  <c r="V91" i="145"/>
  <c r="V77" i="145"/>
  <c r="V70" i="145"/>
  <c r="V67" i="145"/>
  <c r="V95" i="145"/>
  <c r="V99" i="145"/>
  <c r="V73" i="145"/>
  <c r="V57" i="145"/>
  <c r="V106" i="145"/>
  <c r="V104" i="145"/>
  <c r="V69" i="145"/>
  <c r="V62" i="145"/>
  <c r="V58" i="145"/>
  <c r="V89" i="145"/>
  <c r="V98" i="145"/>
  <c r="V65" i="145"/>
  <c r="V100" i="145"/>
  <c r="V85" i="145"/>
  <c r="V71" i="145"/>
  <c r="V59" i="145"/>
  <c r="V92" i="145"/>
  <c r="V63" i="145"/>
  <c r="V103" i="145"/>
  <c r="V68" i="145"/>
  <c r="V86" i="145"/>
  <c r="Z50" i="145" l="1"/>
  <c r="AA50" i="145" s="1"/>
  <c r="AB50" i="145"/>
  <c r="N74" i="190"/>
  <c r="O74" i="190" s="1"/>
  <c r="J73" i="190"/>
  <c r="K73" i="190" s="1"/>
  <c r="E71" i="190"/>
  <c r="O71" i="190" s="1"/>
  <c r="E70" i="190"/>
  <c r="K70" i="190" s="1"/>
  <c r="E69" i="190"/>
  <c r="E68" i="190"/>
  <c r="J68" i="190" s="1"/>
  <c r="K68" i="190" s="1"/>
  <c r="J26" i="190"/>
  <c r="J28" i="190"/>
  <c r="M31" i="190"/>
  <c r="J30" i="190"/>
  <c r="J33" i="190"/>
  <c r="J41" i="190"/>
  <c r="J32" i="190"/>
  <c r="M41" i="190"/>
  <c r="M33" i="190"/>
  <c r="M32" i="190"/>
  <c r="AC50" i="145" l="1"/>
  <c r="AD50" i="145" s="1"/>
  <c r="N69" i="190"/>
  <c r="O69" i="190" s="1"/>
  <c r="N70" i="190"/>
  <c r="O70" i="190" s="1"/>
  <c r="J71" i="190"/>
  <c r="K71" i="190" s="1"/>
  <c r="AE50" i="145" l="1"/>
  <c r="AF50" i="145" s="1"/>
  <c r="C57" i="108"/>
  <c r="D57" i="108" s="1"/>
  <c r="E57" i="108" s="1"/>
  <c r="F57" i="108" s="1"/>
  <c r="G57" i="108" s="1"/>
  <c r="H57" i="108" s="1"/>
  <c r="I57" i="108" s="1"/>
  <c r="J57" i="108" s="1"/>
  <c r="K57" i="108" s="1"/>
  <c r="L57" i="108" s="1"/>
  <c r="M57" i="108" s="1"/>
  <c r="N57" i="108" s="1"/>
  <c r="J59" i="108"/>
  <c r="K59" i="108"/>
  <c r="L59" i="108"/>
  <c r="J60" i="108"/>
  <c r="K60" i="108"/>
  <c r="L60" i="108"/>
  <c r="J61" i="108"/>
  <c r="K61" i="108"/>
  <c r="L61" i="108"/>
  <c r="J62" i="108"/>
  <c r="K62" i="108"/>
  <c r="L62" i="108"/>
  <c r="A60" i="108"/>
  <c r="A61" i="108"/>
  <c r="A62" i="108" s="1"/>
  <c r="B102" i="27" l="1"/>
  <c r="B134" i="27"/>
  <c r="FM134" i="27" s="1"/>
  <c r="B117" i="27"/>
  <c r="B157" i="27"/>
  <c r="FM157" i="27" s="1"/>
  <c r="B108" i="27"/>
  <c r="C140" i="27"/>
  <c r="B140" i="27"/>
  <c r="FM140" i="27" s="1"/>
  <c r="B131" i="27"/>
  <c r="FM131" i="27" s="1"/>
  <c r="B123" i="27"/>
  <c r="FM123" i="27" s="1"/>
  <c r="B115" i="27"/>
  <c r="B107" i="27"/>
  <c r="B99" i="27"/>
  <c r="C163" i="27"/>
  <c r="B163" i="27"/>
  <c r="FM163" i="27" s="1"/>
  <c r="C155" i="27"/>
  <c r="B155" i="27"/>
  <c r="FM155" i="27" s="1"/>
  <c r="C147" i="27"/>
  <c r="B147" i="27"/>
  <c r="FM147" i="27" s="1"/>
  <c r="C139" i="27"/>
  <c r="B139" i="27"/>
  <c r="FM139" i="27" s="1"/>
  <c r="B110" i="27"/>
  <c r="B150" i="27"/>
  <c r="FM150" i="27" s="1"/>
  <c r="B101" i="27"/>
  <c r="B149" i="27"/>
  <c r="FM149" i="27" s="1"/>
  <c r="C164" i="27"/>
  <c r="B164" i="27"/>
  <c r="FM164" i="27" s="1"/>
  <c r="B130" i="27"/>
  <c r="FM130" i="27" s="1"/>
  <c r="B122" i="27"/>
  <c r="FM122" i="27" s="1"/>
  <c r="B114" i="27"/>
  <c r="B106" i="27"/>
  <c r="B162" i="27"/>
  <c r="FM162" i="27" s="1"/>
  <c r="B154" i="27"/>
  <c r="FM154" i="27" s="1"/>
  <c r="B146" i="27"/>
  <c r="FM146" i="27" s="1"/>
  <c r="B138" i="27"/>
  <c r="FM138" i="27" s="1"/>
  <c r="B118" i="27"/>
  <c r="B158" i="27"/>
  <c r="FM158" i="27" s="1"/>
  <c r="B125" i="27"/>
  <c r="FM125" i="27" s="1"/>
  <c r="B133" i="27"/>
  <c r="FM133" i="27" s="1"/>
  <c r="B116" i="27"/>
  <c r="C148" i="27"/>
  <c r="B148" i="27"/>
  <c r="FM148" i="27" s="1"/>
  <c r="B129" i="27"/>
  <c r="FM129" i="27" s="1"/>
  <c r="B121" i="27"/>
  <c r="FM121" i="27" s="1"/>
  <c r="B113" i="27"/>
  <c r="B105" i="27"/>
  <c r="B161" i="27"/>
  <c r="FM161" i="27" s="1"/>
  <c r="B153" i="27"/>
  <c r="FM153" i="27" s="1"/>
  <c r="B145" i="27"/>
  <c r="FM145" i="27" s="1"/>
  <c r="B137" i="27"/>
  <c r="FM137" i="27" s="1"/>
  <c r="B165" i="27"/>
  <c r="FM165" i="27" s="1"/>
  <c r="B124" i="27"/>
  <c r="FM124" i="27" s="1"/>
  <c r="C156" i="27"/>
  <c r="B156" i="27"/>
  <c r="FM156" i="27" s="1"/>
  <c r="B128" i="27"/>
  <c r="FM128" i="27" s="1"/>
  <c r="B120" i="27"/>
  <c r="B112" i="27"/>
  <c r="B104" i="27"/>
  <c r="B168" i="27"/>
  <c r="FM168" i="27" s="1"/>
  <c r="C160" i="27"/>
  <c r="B160" i="27"/>
  <c r="FM160" i="27" s="1"/>
  <c r="C152" i="27"/>
  <c r="B152" i="27"/>
  <c r="FM152" i="27" s="1"/>
  <c r="C144" i="27"/>
  <c r="B144" i="27"/>
  <c r="FM144" i="27" s="1"/>
  <c r="C136" i="27"/>
  <c r="B136" i="27"/>
  <c r="FM136" i="27" s="1"/>
  <c r="B126" i="27"/>
  <c r="FM126" i="27" s="1"/>
  <c r="B166" i="27"/>
  <c r="FM166" i="27" s="1"/>
  <c r="B142" i="27"/>
  <c r="FM142" i="27" s="1"/>
  <c r="B109" i="27"/>
  <c r="B141" i="27"/>
  <c r="FM141" i="27" s="1"/>
  <c r="B100" i="27"/>
  <c r="C132" i="27"/>
  <c r="B132" i="27"/>
  <c r="FM132" i="27" s="1"/>
  <c r="B127" i="27"/>
  <c r="FM127" i="27" s="1"/>
  <c r="B119" i="27"/>
  <c r="B111" i="27"/>
  <c r="B103" i="27"/>
  <c r="C167" i="27"/>
  <c r="B167" i="27"/>
  <c r="FM167" i="27" s="1"/>
  <c r="C159" i="27"/>
  <c r="B159" i="27"/>
  <c r="FM159" i="27" s="1"/>
  <c r="C151" i="27"/>
  <c r="B151" i="27"/>
  <c r="FM151" i="27" s="1"/>
  <c r="B143" i="27"/>
  <c r="FM143" i="27" s="1"/>
  <c r="C135" i="27"/>
  <c r="B135" i="27"/>
  <c r="FM135" i="27" s="1"/>
  <c r="C154" i="27"/>
  <c r="C168" i="27"/>
  <c r="C146" i="27"/>
  <c r="C166" i="27"/>
  <c r="C158" i="27"/>
  <c r="C150" i="27"/>
  <c r="C162" i="27"/>
  <c r="C143" i="27"/>
  <c r="C142" i="27"/>
  <c r="C138" i="27"/>
  <c r="C134" i="27"/>
  <c r="C165" i="27"/>
  <c r="C161" i="27"/>
  <c r="C157" i="27"/>
  <c r="C153" i="27"/>
  <c r="C149" i="27"/>
  <c r="C145" i="27"/>
  <c r="C141" i="27"/>
  <c r="C137" i="27"/>
  <c r="C133" i="27"/>
  <c r="C123" i="27"/>
  <c r="C115" i="27"/>
  <c r="C126" i="27"/>
  <c r="C106" i="27"/>
  <c r="C118" i="27"/>
  <c r="C131" i="27"/>
  <c r="C127" i="27"/>
  <c r="C119" i="27"/>
  <c r="C110" i="27"/>
  <c r="C130" i="27"/>
  <c r="C122" i="27"/>
  <c r="C114" i="27"/>
  <c r="C102" i="27"/>
  <c r="C129" i="27"/>
  <c r="C125" i="27"/>
  <c r="C121" i="27"/>
  <c r="C117" i="27"/>
  <c r="C113" i="27"/>
  <c r="C109" i="27"/>
  <c r="C105" i="27"/>
  <c r="C101" i="27"/>
  <c r="C128" i="27"/>
  <c r="C124" i="27"/>
  <c r="C120" i="27"/>
  <c r="C116" i="27"/>
  <c r="C112" i="27"/>
  <c r="C108" i="27"/>
  <c r="C104" i="27"/>
  <c r="C100" i="27"/>
  <c r="C111" i="27"/>
  <c r="C107" i="27"/>
  <c r="C103" i="27"/>
  <c r="C99" i="27"/>
  <c r="B1" i="85" l="1"/>
  <c r="C1" i="85" s="1"/>
  <c r="D1" i="85" s="1"/>
  <c r="E1" i="85" s="1"/>
  <c r="F1" i="85" s="1"/>
  <c r="G1" i="85" s="1"/>
  <c r="H1" i="85" s="1"/>
  <c r="I1" i="85" s="1"/>
  <c r="J1" i="85" s="1"/>
  <c r="K1" i="85" s="1"/>
  <c r="L1" i="85" s="1"/>
  <c r="M1" i="85" s="1"/>
  <c r="N1" i="85" s="1"/>
  <c r="O1" i="85" s="1"/>
  <c r="W1" i="85" s="1"/>
  <c r="B74" i="27"/>
  <c r="C57" i="85"/>
  <c r="A2" i="189"/>
  <c r="A3" i="189" s="1"/>
  <c r="A4" i="189" s="1"/>
  <c r="A5" i="189" s="1"/>
  <c r="A6" i="189" s="1"/>
  <c r="A7" i="189" s="1"/>
  <c r="A8" i="189" s="1"/>
  <c r="A9" i="189" s="1"/>
  <c r="A10" i="189" s="1"/>
  <c r="A11" i="189" s="1"/>
  <c r="A12" i="189" s="1"/>
  <c r="A13" i="189" s="1"/>
  <c r="A14" i="189" s="1"/>
  <c r="A15" i="189" s="1"/>
  <c r="A16" i="189" s="1"/>
  <c r="A17" i="189" s="1"/>
  <c r="A18" i="189" s="1"/>
  <c r="A19" i="189" s="1"/>
  <c r="A20" i="189" s="1"/>
  <c r="A21" i="189" s="1"/>
  <c r="A22" i="189" s="1"/>
  <c r="A23" i="189" s="1"/>
  <c r="A24" i="189" s="1"/>
  <c r="A25" i="189" s="1"/>
  <c r="A26" i="189" s="1"/>
  <c r="A27" i="189" s="1"/>
  <c r="A28" i="189" s="1"/>
  <c r="A29" i="189" s="1"/>
  <c r="A30" i="189" s="1"/>
  <c r="A31" i="189" s="1"/>
  <c r="A32" i="189" s="1"/>
  <c r="A33" i="189" s="1"/>
  <c r="A34" i="189" s="1"/>
  <c r="A35" i="189" s="1"/>
  <c r="A36" i="189" s="1"/>
  <c r="A37" i="189" s="1"/>
  <c r="A38" i="189" s="1"/>
  <c r="A39" i="189" s="1"/>
  <c r="A40" i="189" s="1"/>
  <c r="A41" i="189" s="1"/>
  <c r="A42" i="189" s="1"/>
  <c r="A43" i="189" s="1"/>
  <c r="A44" i="189" s="1"/>
  <c r="A45" i="189" s="1"/>
  <c r="A46" i="189" s="1"/>
  <c r="A47" i="189" s="1"/>
  <c r="A48" i="189" s="1"/>
  <c r="A49" i="189" s="1"/>
  <c r="A50" i="189" s="1"/>
  <c r="A51" i="189" s="1"/>
  <c r="A52" i="189" s="1"/>
  <c r="A53" i="189" s="1"/>
  <c r="A54" i="189" s="1"/>
  <c r="A55" i="189" s="1"/>
  <c r="A56" i="189" s="1"/>
  <c r="A57" i="189" s="1"/>
  <c r="A58" i="189" s="1"/>
  <c r="A59" i="189" s="1"/>
  <c r="A60" i="189" s="1"/>
  <c r="A61" i="189" s="1"/>
  <c r="A62" i="189" s="1"/>
  <c r="A63" i="189" s="1"/>
  <c r="A64" i="189" s="1"/>
  <c r="A65" i="189" s="1"/>
  <c r="A66" i="189" s="1"/>
  <c r="A67" i="189" s="1"/>
  <c r="A68" i="189" s="1"/>
  <c r="A69" i="189" s="1"/>
  <c r="A70" i="189" s="1"/>
  <c r="A71" i="189" s="1"/>
  <c r="A72" i="189" s="1"/>
  <c r="A73" i="189" s="1"/>
  <c r="A74" i="189" s="1"/>
  <c r="A75" i="189" s="1"/>
  <c r="A76" i="189" s="1"/>
  <c r="A77" i="189" s="1"/>
  <c r="A78" i="189" s="1"/>
  <c r="A79" i="189" s="1"/>
  <c r="A80" i="189" s="1"/>
  <c r="A81" i="189" s="1"/>
  <c r="A82" i="189" s="1"/>
  <c r="A83" i="189" s="1"/>
  <c r="A84" i="189" s="1"/>
  <c r="A85" i="189" s="1"/>
  <c r="A86" i="189" s="1"/>
  <c r="A87" i="189" s="1"/>
  <c r="A88" i="189" s="1"/>
  <c r="A89" i="189" s="1"/>
  <c r="A90" i="189" s="1"/>
  <c r="A91" i="189" s="1"/>
  <c r="A92" i="189" s="1"/>
  <c r="A93" i="189" s="1"/>
  <c r="A94" i="189" s="1"/>
  <c r="A95" i="189" s="1"/>
  <c r="A96" i="189" s="1"/>
  <c r="A97" i="189" s="1"/>
  <c r="A98" i="189" s="1"/>
  <c r="A99" i="189" s="1"/>
  <c r="A100" i="189" s="1"/>
  <c r="A101" i="189" s="1"/>
  <c r="A102" i="189" s="1"/>
  <c r="A103" i="189" s="1"/>
  <c r="A104" i="189" s="1"/>
  <c r="A105" i="189" s="1"/>
  <c r="A106" i="189" s="1"/>
  <c r="A107" i="189" s="1"/>
  <c r="A108" i="189" s="1"/>
  <c r="A109" i="189" s="1"/>
  <c r="A110" i="189" s="1"/>
  <c r="A111" i="189" s="1"/>
  <c r="A112" i="189" s="1"/>
  <c r="A113" i="189" s="1"/>
  <c r="A114" i="189" s="1"/>
  <c r="A115" i="189" s="1"/>
  <c r="A116" i="189" s="1"/>
  <c r="A117" i="189" s="1"/>
  <c r="A118" i="189" s="1"/>
  <c r="A119" i="189" s="1"/>
  <c r="A120" i="189" s="1"/>
  <c r="A121" i="189" s="1"/>
  <c r="A122" i="189" s="1"/>
  <c r="A123" i="189" s="1"/>
  <c r="A124" i="189" s="1"/>
  <c r="A125" i="189" s="1"/>
  <c r="A126" i="189" s="1"/>
  <c r="A127" i="189" s="1"/>
  <c r="A128" i="189" s="1"/>
  <c r="A129" i="189" s="1"/>
  <c r="A130" i="189" s="1"/>
  <c r="A131" i="189" s="1"/>
  <c r="A132" i="189" s="1"/>
  <c r="A133" i="189" s="1"/>
  <c r="A134" i="189" s="1"/>
  <c r="A135" i="189" s="1"/>
  <c r="A136" i="189" s="1"/>
  <c r="A137" i="189" s="1"/>
  <c r="A138" i="189" s="1"/>
  <c r="A139" i="189" s="1"/>
  <c r="A140" i="189" s="1"/>
  <c r="A141" i="189" s="1"/>
  <c r="A142" i="189" s="1"/>
  <c r="A143" i="189" s="1"/>
  <c r="A144" i="189" s="1"/>
  <c r="A145" i="189" s="1"/>
  <c r="A146" i="189" s="1"/>
  <c r="A147" i="189" s="1"/>
  <c r="A148" i="189" s="1"/>
  <c r="A149" i="189" s="1"/>
  <c r="A150" i="189" s="1"/>
  <c r="A151" i="189" s="1"/>
  <c r="A152" i="189" s="1"/>
  <c r="A153" i="189" s="1"/>
  <c r="A154" i="189" s="1"/>
  <c r="A155" i="189" s="1"/>
  <c r="A156" i="189" s="1"/>
  <c r="A157" i="189" s="1"/>
  <c r="A158" i="189" s="1"/>
  <c r="A159" i="189" s="1"/>
  <c r="A160" i="189" s="1"/>
  <c r="A161" i="189" s="1"/>
  <c r="A162" i="189" s="1"/>
  <c r="A163" i="189" s="1"/>
  <c r="A164" i="189" s="1"/>
  <c r="A165" i="189" s="1"/>
  <c r="A166" i="189" s="1"/>
  <c r="A167" i="189" s="1"/>
  <c r="A168" i="189" s="1"/>
  <c r="A169" i="189" s="1"/>
  <c r="A170" i="189" s="1"/>
  <c r="A171" i="189" s="1"/>
  <c r="A172" i="189" s="1"/>
  <c r="A173" i="189" s="1"/>
  <c r="A174" i="189" s="1"/>
  <c r="A175" i="189" s="1"/>
  <c r="A176" i="189" s="1"/>
  <c r="A177" i="189" s="1"/>
  <c r="A178" i="189" s="1"/>
  <c r="A179" i="189" s="1"/>
  <c r="A180" i="189" s="1"/>
  <c r="A181" i="189" s="1"/>
  <c r="A182" i="189" s="1"/>
  <c r="A183" i="189" s="1"/>
  <c r="A184" i="189" s="1"/>
  <c r="A185" i="189" s="1"/>
  <c r="A186" i="189" s="1"/>
  <c r="A187" i="189" s="1"/>
  <c r="A188" i="189" s="1"/>
  <c r="A189" i="189" s="1"/>
  <c r="A190" i="189" s="1"/>
  <c r="A191" i="189" s="1"/>
  <c r="A192" i="189" s="1"/>
  <c r="A193" i="189" s="1"/>
  <c r="A194" i="189" s="1"/>
  <c r="A195" i="189" s="1"/>
  <c r="A196" i="189" s="1"/>
  <c r="A197" i="189" s="1"/>
  <c r="A198" i="189" s="1"/>
  <c r="A199" i="189" s="1"/>
  <c r="A200" i="189" s="1"/>
  <c r="A201" i="189" s="1"/>
  <c r="A202" i="189" s="1"/>
  <c r="A203" i="189" s="1"/>
  <c r="A204" i="189" s="1"/>
  <c r="A205" i="189" s="1"/>
  <c r="A206" i="189" s="1"/>
  <c r="A207" i="189" s="1"/>
  <c r="A208" i="189" s="1"/>
  <c r="A209" i="189" s="1"/>
  <c r="A210" i="189" s="1"/>
  <c r="A211" i="189" s="1"/>
  <c r="A212" i="189" s="1"/>
  <c r="A213" i="189" s="1"/>
  <c r="A214" i="189" s="1"/>
  <c r="A215" i="189" s="1"/>
  <c r="D1" i="189"/>
  <c r="H51" i="85" s="1"/>
  <c r="H288" i="85" l="1"/>
  <c r="H290" i="85"/>
  <c r="H291" i="85"/>
  <c r="H292" i="85"/>
  <c r="H293" i="85"/>
  <c r="H310" i="85"/>
  <c r="H311" i="85"/>
  <c r="H312" i="85"/>
  <c r="H313" i="85"/>
  <c r="H314" i="85"/>
  <c r="H315" i="85"/>
  <c r="H316" i="85"/>
  <c r="H317" i="85"/>
  <c r="H289" i="85"/>
  <c r="H267" i="85"/>
  <c r="H309" i="85"/>
  <c r="H268" i="85"/>
  <c r="H269" i="85"/>
  <c r="H270" i="85"/>
  <c r="H274" i="85"/>
  <c r="H282" i="85"/>
  <c r="H271" i="85"/>
  <c r="H272" i="85"/>
  <c r="H273" i="85"/>
  <c r="H275" i="85"/>
  <c r="H278" i="85"/>
  <c r="H279" i="85"/>
  <c r="H280" i="85"/>
  <c r="H281" i="85"/>
  <c r="H283" i="85"/>
  <c r="H284" i="85"/>
  <c r="H285" i="85"/>
  <c r="H286" i="85"/>
  <c r="H287" i="85"/>
  <c r="H294" i="85"/>
  <c r="H295" i="85"/>
  <c r="H296" i="85"/>
  <c r="H297" i="85"/>
  <c r="H298" i="85"/>
  <c r="H299" i="85"/>
  <c r="H300" i="85"/>
  <c r="H301" i="85"/>
  <c r="H302" i="85"/>
  <c r="H303" i="85"/>
  <c r="H304" i="85"/>
  <c r="H306" i="85"/>
  <c r="H305" i="85"/>
  <c r="H277" i="85"/>
  <c r="H307" i="85"/>
  <c r="H308" i="85"/>
  <c r="H276" i="85"/>
  <c r="H105" i="85"/>
  <c r="H101" i="85"/>
  <c r="F57" i="85"/>
  <c r="AJ57" i="85" s="1" a="1"/>
  <c r="E57" i="85"/>
  <c r="B59" i="108"/>
  <c r="E1" i="189"/>
  <c r="I51" i="85" s="1"/>
  <c r="H51" i="145"/>
  <c r="B59" i="27"/>
  <c r="B98" i="27"/>
  <c r="B90" i="27"/>
  <c r="B82" i="27"/>
  <c r="B66" i="27"/>
  <c r="B58" i="27"/>
  <c r="B50" i="27"/>
  <c r="B42" i="27"/>
  <c r="B34" i="27"/>
  <c r="B26" i="27"/>
  <c r="B18" i="27"/>
  <c r="B91" i="27"/>
  <c r="B35" i="27"/>
  <c r="B89" i="27"/>
  <c r="B67" i="27"/>
  <c r="B19" i="27"/>
  <c r="B57" i="27"/>
  <c r="B96" i="27"/>
  <c r="B88" i="27"/>
  <c r="B80" i="27"/>
  <c r="B72" i="27"/>
  <c r="B64" i="27"/>
  <c r="B56" i="27"/>
  <c r="B48" i="27"/>
  <c r="B40" i="27"/>
  <c r="B32" i="27"/>
  <c r="B24" i="27"/>
  <c r="B83" i="27"/>
  <c r="B27" i="27"/>
  <c r="B81" i="27"/>
  <c r="B49" i="27"/>
  <c r="B33" i="27"/>
  <c r="B63" i="27"/>
  <c r="B23" i="27"/>
  <c r="B75" i="27"/>
  <c r="B97" i="27"/>
  <c r="B41" i="27"/>
  <c r="B95" i="27"/>
  <c r="B71" i="27"/>
  <c r="B39" i="27"/>
  <c r="B62" i="108"/>
  <c r="B94" i="27"/>
  <c r="B86" i="27"/>
  <c r="B78" i="27"/>
  <c r="B70" i="27"/>
  <c r="B54" i="27"/>
  <c r="B46" i="27"/>
  <c r="B38" i="27"/>
  <c r="B30" i="27"/>
  <c r="B22" i="27"/>
  <c r="B61" i="108"/>
  <c r="B51" i="27"/>
  <c r="B65" i="27"/>
  <c r="B25" i="27"/>
  <c r="B79" i="27"/>
  <c r="B55" i="27"/>
  <c r="B31" i="27"/>
  <c r="B85" i="27"/>
  <c r="B77" i="27"/>
  <c r="B69" i="27"/>
  <c r="B61" i="27"/>
  <c r="B53" i="27"/>
  <c r="B45" i="27"/>
  <c r="B37" i="27"/>
  <c r="B29" i="27"/>
  <c r="B21" i="27"/>
  <c r="B60" i="108"/>
  <c r="B43" i="27"/>
  <c r="B73" i="27"/>
  <c r="B87" i="27"/>
  <c r="B47" i="27"/>
  <c r="B93" i="27"/>
  <c r="B92" i="27"/>
  <c r="B84" i="27"/>
  <c r="B76" i="27"/>
  <c r="B68" i="27"/>
  <c r="B60" i="27"/>
  <c r="B52" i="27"/>
  <c r="B44" i="27"/>
  <c r="B36" i="27"/>
  <c r="B28" i="27"/>
  <c r="B20" i="27"/>
  <c r="D57" i="85"/>
  <c r="B57" i="85"/>
  <c r="C75" i="27"/>
  <c r="C43" i="27"/>
  <c r="C90" i="27"/>
  <c r="C50" i="27"/>
  <c r="C97" i="27"/>
  <c r="C89" i="27"/>
  <c r="C81" i="27"/>
  <c r="C73" i="27"/>
  <c r="C65" i="27"/>
  <c r="C57" i="27"/>
  <c r="C49" i="27"/>
  <c r="C41" i="27"/>
  <c r="C33" i="27"/>
  <c r="C25" i="27"/>
  <c r="C17" i="27"/>
  <c r="C91" i="27"/>
  <c r="C51" i="27"/>
  <c r="C27" i="27"/>
  <c r="C98" i="27"/>
  <c r="C74" i="27"/>
  <c r="C34" i="27"/>
  <c r="C18" i="27"/>
  <c r="C72" i="27"/>
  <c r="C48" i="27"/>
  <c r="C87" i="27"/>
  <c r="C63" i="27"/>
  <c r="C55" i="27"/>
  <c r="C47" i="27"/>
  <c r="C39" i="27"/>
  <c r="C31" i="27"/>
  <c r="C23" i="27"/>
  <c r="C15" i="27"/>
  <c r="B60" i="85"/>
  <c r="C35" i="27"/>
  <c r="C66" i="27"/>
  <c r="C26" i="27"/>
  <c r="C80" i="27"/>
  <c r="C56" i="27"/>
  <c r="C24" i="27"/>
  <c r="C16" i="27"/>
  <c r="C79" i="27"/>
  <c r="C78" i="27"/>
  <c r="C54" i="27"/>
  <c r="C46" i="27"/>
  <c r="C38" i="27"/>
  <c r="C30" i="27"/>
  <c r="C22" i="27"/>
  <c r="C14" i="27"/>
  <c r="B59" i="85"/>
  <c r="C67" i="27"/>
  <c r="C82" i="27"/>
  <c r="C42" i="27"/>
  <c r="C96" i="27"/>
  <c r="C64" i="27"/>
  <c r="C32" i="27"/>
  <c r="C95" i="27"/>
  <c r="C71" i="27"/>
  <c r="C94" i="27"/>
  <c r="C86" i="27"/>
  <c r="C70" i="27"/>
  <c r="C93" i="27"/>
  <c r="C85" i="27"/>
  <c r="C77" i="27"/>
  <c r="C69" i="27"/>
  <c r="C61" i="27"/>
  <c r="C53" i="27"/>
  <c r="C45" i="27"/>
  <c r="C37" i="27"/>
  <c r="C29" i="27"/>
  <c r="C21" i="27"/>
  <c r="C13" i="27"/>
  <c r="B58" i="85"/>
  <c r="C83" i="27"/>
  <c r="C59" i="27"/>
  <c r="C19" i="27"/>
  <c r="C58" i="27"/>
  <c r="C88" i="27"/>
  <c r="C40" i="27"/>
  <c r="C92" i="27"/>
  <c r="C84" i="27"/>
  <c r="C76" i="27"/>
  <c r="C68" i="27"/>
  <c r="C60" i="27"/>
  <c r="C52" i="27"/>
  <c r="C44" i="27"/>
  <c r="C36" i="27"/>
  <c r="C28" i="27"/>
  <c r="C20" i="27"/>
  <c r="G57" i="85"/>
  <c r="X1" i="85"/>
  <c r="Y1" i="85" s="1"/>
  <c r="Z1" i="85" s="1"/>
  <c r="AA1" i="85" s="1"/>
  <c r="AB1" i="85" s="1"/>
  <c r="AC1" i="85" s="1"/>
  <c r="AD1" i="85" s="1"/>
  <c r="AE1" i="85" s="1"/>
  <c r="AF1" i="85" s="1"/>
  <c r="AG1" i="85" s="1"/>
  <c r="AH1" i="85" s="1"/>
  <c r="AI1" i="85" s="1"/>
  <c r="AJ1" i="85" s="1"/>
  <c r="AK1" i="85" s="1"/>
  <c r="AL1" i="85" s="1"/>
  <c r="AM1" i="85" s="1"/>
  <c r="AN1" i="85" s="1"/>
  <c r="B50" i="85"/>
  <c r="C50" i="85" s="1"/>
  <c r="I291" i="85" l="1"/>
  <c r="AM291" i="85" s="1"/>
  <c r="I292" i="85"/>
  <c r="AM292" i="85" s="1"/>
  <c r="I293" i="85"/>
  <c r="AM293" i="85" s="1"/>
  <c r="I310" i="85"/>
  <c r="AM310" i="85" s="1"/>
  <c r="I311" i="85"/>
  <c r="AM311" i="85" s="1"/>
  <c r="I312" i="85"/>
  <c r="AM312" i="85" s="1"/>
  <c r="I313" i="85"/>
  <c r="AM313" i="85" s="1"/>
  <c r="I314" i="85"/>
  <c r="AM314" i="85" s="1"/>
  <c r="I315" i="85"/>
  <c r="AM315" i="85" s="1"/>
  <c r="I316" i="85"/>
  <c r="AM316" i="85" s="1"/>
  <c r="I289" i="85"/>
  <c r="AM289" i="85" s="1"/>
  <c r="I290" i="85"/>
  <c r="AM290" i="85" s="1"/>
  <c r="I317" i="85"/>
  <c r="AM317" i="85" s="1"/>
  <c r="I288" i="85"/>
  <c r="AM288" i="85" s="1"/>
  <c r="I309" i="85"/>
  <c r="AM309" i="85" s="1"/>
  <c r="I268" i="85"/>
  <c r="AM268" i="85" s="1"/>
  <c r="I269" i="85"/>
  <c r="AM269" i="85" s="1"/>
  <c r="I274" i="85"/>
  <c r="AM274" i="85" s="1"/>
  <c r="I275" i="85"/>
  <c r="AM275" i="85" s="1"/>
  <c r="I277" i="85"/>
  <c r="AM277" i="85" s="1"/>
  <c r="I278" i="85"/>
  <c r="AM278" i="85" s="1"/>
  <c r="I270" i="85"/>
  <c r="AM270" i="85" s="1"/>
  <c r="I271" i="85"/>
  <c r="AM271" i="85" s="1"/>
  <c r="I272" i="85"/>
  <c r="AM272" i="85" s="1"/>
  <c r="I273" i="85"/>
  <c r="AM273" i="85" s="1"/>
  <c r="I283" i="85"/>
  <c r="AM283" i="85" s="1"/>
  <c r="I284" i="85"/>
  <c r="AM284" i="85" s="1"/>
  <c r="I285" i="85"/>
  <c r="AM285" i="85" s="1"/>
  <c r="I297" i="85"/>
  <c r="AM297" i="85" s="1"/>
  <c r="I282" i="85"/>
  <c r="AM282" i="85" s="1"/>
  <c r="I286" i="85"/>
  <c r="AM286" i="85" s="1"/>
  <c r="I287" i="85"/>
  <c r="AM287" i="85" s="1"/>
  <c r="I294" i="85"/>
  <c r="AM294" i="85" s="1"/>
  <c r="I295" i="85"/>
  <c r="AM295" i="85" s="1"/>
  <c r="I296" i="85"/>
  <c r="AM296" i="85" s="1"/>
  <c r="I298" i="85"/>
  <c r="AM298" i="85" s="1"/>
  <c r="I299" i="85"/>
  <c r="AM299" i="85" s="1"/>
  <c r="I300" i="85"/>
  <c r="AM300" i="85" s="1"/>
  <c r="I301" i="85"/>
  <c r="AM301" i="85" s="1"/>
  <c r="I302" i="85"/>
  <c r="AM302" i="85" s="1"/>
  <c r="I303" i="85"/>
  <c r="AM303" i="85" s="1"/>
  <c r="I305" i="85"/>
  <c r="AM305" i="85" s="1"/>
  <c r="I304" i="85"/>
  <c r="AM304" i="85" s="1"/>
  <c r="I306" i="85"/>
  <c r="AM306" i="85" s="1"/>
  <c r="I279" i="85"/>
  <c r="AM279" i="85" s="1"/>
  <c r="I281" i="85"/>
  <c r="AM281" i="85" s="1"/>
  <c r="I307" i="85"/>
  <c r="AM307" i="85" s="1"/>
  <c r="I308" i="85"/>
  <c r="AM308" i="85" s="1"/>
  <c r="I267" i="85"/>
  <c r="AM267" i="85" s="1"/>
  <c r="I276" i="85"/>
  <c r="AM276" i="85" s="1"/>
  <c r="I280" i="85"/>
  <c r="AM280" i="85" s="1"/>
  <c r="AI57" i="85"/>
  <c r="U57" i="85"/>
  <c r="V57" i="85"/>
  <c r="W57" i="85"/>
  <c r="X57" i="85"/>
  <c r="Y57" i="85"/>
  <c r="Z57" i="85"/>
  <c r="AB57" i="85"/>
  <c r="AA57" i="85"/>
  <c r="AC57" i="85"/>
  <c r="AD57" i="85"/>
  <c r="AE57" i="85"/>
  <c r="AF57" i="85"/>
  <c r="AG57" i="85"/>
  <c r="AH57" i="85"/>
  <c r="AI60" i="85"/>
  <c r="AH60" i="85"/>
  <c r="AG60" i="85"/>
  <c r="AF60" i="85"/>
  <c r="AE60" i="85"/>
  <c r="AD60" i="85"/>
  <c r="AC60" i="85"/>
  <c r="AA60" i="85"/>
  <c r="Z60" i="85"/>
  <c r="Y60" i="85"/>
  <c r="X60" i="85"/>
  <c r="W60" i="85"/>
  <c r="V60" i="85"/>
  <c r="U60" i="85"/>
  <c r="AB60" i="85"/>
  <c r="AI59" i="85"/>
  <c r="U59" i="85"/>
  <c r="V59" i="85"/>
  <c r="W59" i="85"/>
  <c r="X59" i="85"/>
  <c r="Y59" i="85"/>
  <c r="Z59" i="85"/>
  <c r="AA59" i="85"/>
  <c r="AB59" i="85"/>
  <c r="AC59" i="85"/>
  <c r="AD59" i="85"/>
  <c r="AE59" i="85"/>
  <c r="AF59" i="85"/>
  <c r="AG59" i="85"/>
  <c r="AH59" i="85"/>
  <c r="AH58" i="85"/>
  <c r="AG58" i="85"/>
  <c r="AF58" i="85"/>
  <c r="AE58" i="85"/>
  <c r="AD58" i="85"/>
  <c r="AC58" i="85"/>
  <c r="AB58" i="85"/>
  <c r="AA58" i="85"/>
  <c r="Z58" i="85"/>
  <c r="Y58" i="85"/>
  <c r="X58" i="85"/>
  <c r="W58" i="85"/>
  <c r="V58" i="85"/>
  <c r="U58" i="85"/>
  <c r="AI58" i="85"/>
  <c r="I105" i="85"/>
  <c r="AM105" i="85" s="1"/>
  <c r="I101" i="85"/>
  <c r="AM101" i="85" s="1"/>
  <c r="H203" i="145"/>
  <c r="H220" i="145"/>
  <c r="H259" i="145"/>
  <c r="H236" i="145"/>
  <c r="H224" i="145"/>
  <c r="H205" i="145"/>
  <c r="H234" i="145"/>
  <c r="H262" i="145"/>
  <c r="H210" i="145"/>
  <c r="H263" i="145"/>
  <c r="H250" i="145"/>
  <c r="H237" i="145"/>
  <c r="H235" i="145"/>
  <c r="H209" i="145"/>
  <c r="H216" i="145"/>
  <c r="H249" i="145"/>
  <c r="H248" i="145"/>
  <c r="H208" i="145"/>
  <c r="H229" i="145"/>
  <c r="H228" i="145"/>
  <c r="H204" i="145"/>
  <c r="H218" i="145"/>
  <c r="H217" i="145"/>
  <c r="H247" i="145"/>
  <c r="H258" i="145"/>
  <c r="H257" i="145"/>
  <c r="H266" i="145"/>
  <c r="H260" i="145"/>
  <c r="H225" i="145"/>
  <c r="H207" i="145"/>
  <c r="H246" i="145"/>
  <c r="H227" i="145"/>
  <c r="H242" i="145"/>
  <c r="H244" i="145"/>
  <c r="H240" i="145"/>
  <c r="H245" i="145"/>
  <c r="H232" i="145"/>
  <c r="H253" i="145"/>
  <c r="H256" i="145"/>
  <c r="H230" i="145"/>
  <c r="H241" i="145"/>
  <c r="H214" i="145"/>
  <c r="H222" i="145"/>
  <c r="H223" i="145"/>
  <c r="H265" i="145"/>
  <c r="H213" i="145"/>
  <c r="H264" i="145"/>
  <c r="H231" i="145"/>
  <c r="H226" i="145"/>
  <c r="H221" i="145"/>
  <c r="H233" i="145"/>
  <c r="H255" i="145"/>
  <c r="H238" i="145"/>
  <c r="H254" i="145"/>
  <c r="H206" i="145"/>
  <c r="H251" i="145"/>
  <c r="H252" i="145"/>
  <c r="H243" i="145"/>
  <c r="H211" i="145"/>
  <c r="H239" i="145"/>
  <c r="H212" i="145"/>
  <c r="H215" i="145"/>
  <c r="H261" i="145"/>
  <c r="H219" i="145"/>
  <c r="H251" i="85"/>
  <c r="H252" i="85"/>
  <c r="H259" i="85"/>
  <c r="H246" i="85"/>
  <c r="H256" i="85"/>
  <c r="H214" i="85"/>
  <c r="H250" i="85"/>
  <c r="H245" i="85"/>
  <c r="H241" i="85"/>
  <c r="H221" i="85"/>
  <c r="H226" i="85"/>
  <c r="H220" i="85"/>
  <c r="H263" i="85"/>
  <c r="H258" i="85"/>
  <c r="H254" i="85"/>
  <c r="H239" i="85"/>
  <c r="H225" i="85"/>
  <c r="H218" i="85"/>
  <c r="H222" i="85"/>
  <c r="H237" i="85"/>
  <c r="H236" i="85"/>
  <c r="H255" i="85"/>
  <c r="H253" i="85"/>
  <c r="H234" i="85"/>
  <c r="H230" i="85"/>
  <c r="H217" i="85"/>
  <c r="H215" i="85"/>
  <c r="H223" i="85"/>
  <c r="H219" i="85"/>
  <c r="H227" i="85"/>
  <c r="H238" i="85"/>
  <c r="H229" i="85"/>
  <c r="H249" i="85"/>
  <c r="H264" i="85"/>
  <c r="H235" i="85"/>
  <c r="H262" i="85"/>
  <c r="H266" i="85"/>
  <c r="H244" i="85"/>
  <c r="H233" i="85"/>
  <c r="H228" i="85"/>
  <c r="H224" i="85"/>
  <c r="H265" i="85"/>
  <c r="H240" i="85"/>
  <c r="H243" i="85"/>
  <c r="H232" i="85"/>
  <c r="H248" i="85"/>
  <c r="H247" i="85"/>
  <c r="H216" i="85"/>
  <c r="H260" i="85"/>
  <c r="H231" i="85"/>
  <c r="H242" i="85"/>
  <c r="H261" i="85"/>
  <c r="H257" i="85"/>
  <c r="C12" i="27"/>
  <c r="H186" i="145"/>
  <c r="H184" i="145"/>
  <c r="H165" i="145"/>
  <c r="H173" i="145"/>
  <c r="H166" i="145"/>
  <c r="H193" i="145"/>
  <c r="H168" i="145"/>
  <c r="H195" i="145"/>
  <c r="H175" i="145"/>
  <c r="H167" i="145"/>
  <c r="H176" i="145"/>
  <c r="H197" i="145"/>
  <c r="H178" i="145"/>
  <c r="H160" i="145"/>
  <c r="H170" i="145"/>
  <c r="H162" i="145"/>
  <c r="H199" i="145"/>
  <c r="H192" i="145"/>
  <c r="H179" i="145"/>
  <c r="H177" i="145"/>
  <c r="H188" i="145"/>
  <c r="H180" i="145"/>
  <c r="H161" i="145"/>
  <c r="H163" i="145"/>
  <c r="H164" i="145"/>
  <c r="H202" i="145"/>
  <c r="H174" i="145"/>
  <c r="H169" i="145"/>
  <c r="H183" i="145"/>
  <c r="H201" i="145"/>
  <c r="H187" i="145"/>
  <c r="H190" i="145"/>
  <c r="H194" i="145"/>
  <c r="H200" i="145"/>
  <c r="H189" i="145"/>
  <c r="H196" i="145"/>
  <c r="H172" i="145"/>
  <c r="H198" i="145"/>
  <c r="H191" i="145"/>
  <c r="H182" i="145"/>
  <c r="H185" i="145"/>
  <c r="H181" i="145"/>
  <c r="H171" i="145"/>
  <c r="D50" i="85"/>
  <c r="E50" i="85" s="1"/>
  <c r="I10" i="207"/>
  <c r="L10" i="207"/>
  <c r="K10" i="207"/>
  <c r="J10" i="207"/>
  <c r="H76" i="145"/>
  <c r="H57" i="145"/>
  <c r="H73" i="145"/>
  <c r="H97" i="145"/>
  <c r="H89" i="145"/>
  <c r="H79" i="145"/>
  <c r="H87" i="145"/>
  <c r="H77" i="145"/>
  <c r="H100" i="145"/>
  <c r="H83" i="145"/>
  <c r="H58" i="145"/>
  <c r="H92" i="145"/>
  <c r="H70" i="145"/>
  <c r="H96" i="145"/>
  <c r="H98" i="145"/>
  <c r="H94" i="145"/>
  <c r="H64" i="145"/>
  <c r="H65" i="145"/>
  <c r="H69" i="145"/>
  <c r="H62" i="145"/>
  <c r="H68" i="145"/>
  <c r="H60" i="145"/>
  <c r="H66" i="145"/>
  <c r="H103" i="145"/>
  <c r="H80" i="145"/>
  <c r="H63" i="145"/>
  <c r="H90" i="145"/>
  <c r="H81" i="145"/>
  <c r="H106" i="145"/>
  <c r="H75" i="145"/>
  <c r="H102" i="145"/>
  <c r="H72" i="145"/>
  <c r="H99" i="145"/>
  <c r="H78" i="145"/>
  <c r="H59" i="145"/>
  <c r="H71" i="145"/>
  <c r="H61" i="145"/>
  <c r="H104" i="145"/>
  <c r="H101" i="145"/>
  <c r="H74" i="145"/>
  <c r="H85" i="145"/>
  <c r="H82" i="145"/>
  <c r="H105" i="145"/>
  <c r="H91" i="145"/>
  <c r="H84" i="145"/>
  <c r="H93" i="145"/>
  <c r="H88" i="145"/>
  <c r="H95" i="145"/>
  <c r="H67" i="145"/>
  <c r="H86" i="145"/>
  <c r="F1" i="189"/>
  <c r="J51" i="85" s="1"/>
  <c r="I51" i="145"/>
  <c r="H82" i="85"/>
  <c r="H75" i="85"/>
  <c r="H69" i="85"/>
  <c r="H78" i="85"/>
  <c r="H87" i="85"/>
  <c r="H68" i="85"/>
  <c r="H100" i="85"/>
  <c r="H92" i="85"/>
  <c r="H58" i="85"/>
  <c r="H90" i="85"/>
  <c r="H77" i="85"/>
  <c r="H83" i="85"/>
  <c r="H80" i="85"/>
  <c r="H86" i="85"/>
  <c r="H95" i="85"/>
  <c r="H104" i="85"/>
  <c r="H89" i="85"/>
  <c r="H65" i="85"/>
  <c r="H97" i="85"/>
  <c r="H103" i="85"/>
  <c r="H76" i="85"/>
  <c r="H63" i="85"/>
  <c r="H72" i="85"/>
  <c r="H93" i="85"/>
  <c r="H98" i="85"/>
  <c r="H59" i="85"/>
  <c r="H91" i="85"/>
  <c r="H62" i="85"/>
  <c r="H94" i="85"/>
  <c r="H85" i="85"/>
  <c r="H66" i="85"/>
  <c r="H73" i="85"/>
  <c r="H64" i="85"/>
  <c r="H84" i="85"/>
  <c r="H79" i="85"/>
  <c r="H96" i="85"/>
  <c r="H81" i="85"/>
  <c r="H60" i="85"/>
  <c r="H74" i="85"/>
  <c r="H106" i="85"/>
  <c r="H67" i="85"/>
  <c r="H99" i="85"/>
  <c r="H61" i="85"/>
  <c r="H71" i="85"/>
  <c r="H70" i="85"/>
  <c r="H102" i="85"/>
  <c r="H88" i="85"/>
  <c r="H57" i="85"/>
  <c r="C59" i="108" s="1"/>
  <c r="J291" i="85" l="1"/>
  <c r="J292" i="85"/>
  <c r="J293" i="85"/>
  <c r="J310" i="85"/>
  <c r="J311" i="85"/>
  <c r="J312" i="85"/>
  <c r="J313" i="85"/>
  <c r="J314" i="85"/>
  <c r="J315" i="85"/>
  <c r="J316" i="85"/>
  <c r="J288" i="85"/>
  <c r="J317" i="85"/>
  <c r="J309" i="85"/>
  <c r="J289" i="85"/>
  <c r="J290" i="85"/>
  <c r="J267" i="85"/>
  <c r="J268" i="85"/>
  <c r="J269" i="85"/>
  <c r="J270" i="85"/>
  <c r="J274" i="85"/>
  <c r="J276" i="85"/>
  <c r="J282" i="85"/>
  <c r="J271" i="85"/>
  <c r="J272" i="85"/>
  <c r="J273" i="85"/>
  <c r="J275" i="85"/>
  <c r="J283" i="85"/>
  <c r="J284" i="85"/>
  <c r="J285" i="85"/>
  <c r="J297" i="85"/>
  <c r="J298" i="85"/>
  <c r="J301" i="85"/>
  <c r="J286" i="85"/>
  <c r="J287" i="85"/>
  <c r="J294" i="85"/>
  <c r="J295" i="85"/>
  <c r="J296" i="85"/>
  <c r="J299" i="85"/>
  <c r="J300" i="85"/>
  <c r="J302" i="85"/>
  <c r="J303" i="85"/>
  <c r="J304" i="85"/>
  <c r="J305" i="85"/>
  <c r="J306" i="85"/>
  <c r="J277" i="85"/>
  <c r="J279" i="85"/>
  <c r="J280" i="85"/>
  <c r="J307" i="85"/>
  <c r="J308" i="85"/>
  <c r="J278" i="85"/>
  <c r="J281" i="85"/>
  <c r="J105" i="85"/>
  <c r="J101" i="85"/>
  <c r="I257" i="145"/>
  <c r="I229" i="145"/>
  <c r="I228" i="145"/>
  <c r="I204" i="145"/>
  <c r="I208" i="145"/>
  <c r="I217" i="145"/>
  <c r="I258" i="145"/>
  <c r="I209" i="145"/>
  <c r="I218" i="145"/>
  <c r="I262" i="145"/>
  <c r="I247" i="145"/>
  <c r="I248" i="145"/>
  <c r="I205" i="145"/>
  <c r="I216" i="145"/>
  <c r="I210" i="145"/>
  <c r="I249" i="145"/>
  <c r="I250" i="145"/>
  <c r="I224" i="145"/>
  <c r="I235" i="145"/>
  <c r="I263" i="145"/>
  <c r="I236" i="145"/>
  <c r="I234" i="145"/>
  <c r="I203" i="145"/>
  <c r="I237" i="145"/>
  <c r="I259" i="145"/>
  <c r="I220" i="145"/>
  <c r="I264" i="145"/>
  <c r="I243" i="145"/>
  <c r="I227" i="145"/>
  <c r="I223" i="145"/>
  <c r="I251" i="145"/>
  <c r="I213" i="145"/>
  <c r="I256" i="145"/>
  <c r="I255" i="145"/>
  <c r="I231" i="145"/>
  <c r="I239" i="145"/>
  <c r="I225" i="145"/>
  <c r="I211" i="145"/>
  <c r="I245" i="145"/>
  <c r="I252" i="145"/>
  <c r="I253" i="145"/>
  <c r="I261" i="145"/>
  <c r="I215" i="145"/>
  <c r="I242" i="145"/>
  <c r="I214" i="145"/>
  <c r="I221" i="145"/>
  <c r="I244" i="145"/>
  <c r="I219" i="145"/>
  <c r="I240" i="145"/>
  <c r="I260" i="145"/>
  <c r="I266" i="145"/>
  <c r="I265" i="145"/>
  <c r="I232" i="145"/>
  <c r="I206" i="145"/>
  <c r="I207" i="145"/>
  <c r="I241" i="145"/>
  <c r="I246" i="145"/>
  <c r="I226" i="145"/>
  <c r="I222" i="145"/>
  <c r="I212" i="145"/>
  <c r="I230" i="145"/>
  <c r="I254" i="145"/>
  <c r="I233" i="145"/>
  <c r="I238" i="145"/>
  <c r="I104" i="85"/>
  <c r="AM104" i="85" s="1"/>
  <c r="I218" i="85"/>
  <c r="I234" i="85"/>
  <c r="I258" i="85"/>
  <c r="I222" i="85"/>
  <c r="I217" i="85"/>
  <c r="I255" i="85"/>
  <c r="I236" i="85"/>
  <c r="I239" i="85"/>
  <c r="I237" i="85"/>
  <c r="I221" i="85"/>
  <c r="I250" i="85"/>
  <c r="I252" i="85"/>
  <c r="I241" i="85"/>
  <c r="I220" i="85"/>
  <c r="I225" i="85"/>
  <c r="I266" i="85"/>
  <c r="I245" i="85"/>
  <c r="I246" i="85"/>
  <c r="I254" i="85"/>
  <c r="I263" i="85"/>
  <c r="I251" i="85"/>
  <c r="I226" i="85"/>
  <c r="I256" i="85"/>
  <c r="I248" i="85"/>
  <c r="I216" i="85"/>
  <c r="I242" i="85"/>
  <c r="I227" i="85"/>
  <c r="I253" i="85"/>
  <c r="I215" i="85"/>
  <c r="I223" i="85"/>
  <c r="I231" i="85"/>
  <c r="I219" i="85"/>
  <c r="I240" i="85"/>
  <c r="I260" i="85"/>
  <c r="I229" i="85"/>
  <c r="I257" i="85"/>
  <c r="I249" i="85"/>
  <c r="I259" i="85"/>
  <c r="I230" i="85"/>
  <c r="I228" i="85"/>
  <c r="I264" i="85"/>
  <c r="I247" i="85"/>
  <c r="I235" i="85"/>
  <c r="I262" i="85"/>
  <c r="I261" i="85"/>
  <c r="I244" i="85"/>
  <c r="I243" i="85"/>
  <c r="I214" i="85"/>
  <c r="I233" i="85"/>
  <c r="I232" i="85"/>
  <c r="I238" i="85"/>
  <c r="I224" i="85"/>
  <c r="I265" i="85"/>
  <c r="I177" i="145"/>
  <c r="I160" i="145"/>
  <c r="I184" i="145"/>
  <c r="I193" i="145"/>
  <c r="I170" i="145"/>
  <c r="I168" i="145"/>
  <c r="I166" i="145"/>
  <c r="I178" i="145"/>
  <c r="I186" i="145"/>
  <c r="I192" i="145"/>
  <c r="I180" i="145"/>
  <c r="I173" i="145"/>
  <c r="I195" i="145"/>
  <c r="I188" i="145"/>
  <c r="I200" i="145"/>
  <c r="I179" i="145"/>
  <c r="I199" i="145"/>
  <c r="I176" i="145"/>
  <c r="I165" i="145"/>
  <c r="I197" i="145"/>
  <c r="I175" i="145"/>
  <c r="I167" i="145"/>
  <c r="I162" i="145"/>
  <c r="I174" i="145"/>
  <c r="I185" i="145"/>
  <c r="I190" i="145"/>
  <c r="I182" i="145"/>
  <c r="I172" i="145"/>
  <c r="I171" i="145"/>
  <c r="I202" i="145"/>
  <c r="I187" i="145"/>
  <c r="I198" i="145"/>
  <c r="I161" i="145"/>
  <c r="I189" i="145"/>
  <c r="I164" i="145"/>
  <c r="I194" i="145"/>
  <c r="I201" i="145"/>
  <c r="I181" i="145"/>
  <c r="I191" i="145"/>
  <c r="I163" i="145"/>
  <c r="I169" i="145"/>
  <c r="I183" i="145"/>
  <c r="I196" i="145"/>
  <c r="F50" i="85"/>
  <c r="G50" i="85" s="1"/>
  <c r="AH101" i="207"/>
  <c r="AJ101" i="207" s="1"/>
  <c r="AM101" i="207" s="1"/>
  <c r="AO101" i="207" s="1"/>
  <c r="AR101" i="207" s="1"/>
  <c r="AH45" i="207"/>
  <c r="AJ45" i="207" s="1"/>
  <c r="AM45" i="207" s="1"/>
  <c r="AO45" i="207" s="1"/>
  <c r="AR45" i="207" s="1"/>
  <c r="AH91" i="207"/>
  <c r="AJ91" i="207" s="1"/>
  <c r="AM91" i="207" s="1"/>
  <c r="AO91" i="207" s="1"/>
  <c r="AR91" i="207" s="1"/>
  <c r="AH89" i="207"/>
  <c r="AH74" i="207"/>
  <c r="AJ74" i="207" s="1"/>
  <c r="AM74" i="207" s="1"/>
  <c r="AO74" i="207" s="1"/>
  <c r="AR74" i="207" s="1"/>
  <c r="AH61" i="207"/>
  <c r="AH32" i="207"/>
  <c r="I81" i="85"/>
  <c r="D36" i="27" s="1"/>
  <c r="I97" i="85"/>
  <c r="I76" i="85"/>
  <c r="D31" i="27" s="1"/>
  <c r="I102" i="85"/>
  <c r="AM102" i="85" s="1"/>
  <c r="I92" i="85"/>
  <c r="AM92" i="85" s="1"/>
  <c r="I57" i="85"/>
  <c r="D12" i="27" s="1"/>
  <c r="I84" i="85"/>
  <c r="D39" i="27" s="1"/>
  <c r="I95" i="85"/>
  <c r="AM95" i="85" s="1"/>
  <c r="I99" i="85"/>
  <c r="I93" i="85"/>
  <c r="AM93" i="85" s="1"/>
  <c r="I69" i="85"/>
  <c r="AM69" i="85" s="1"/>
  <c r="I100" i="85"/>
  <c r="I70" i="85"/>
  <c r="AM70" i="85" s="1"/>
  <c r="I106" i="85"/>
  <c r="I73" i="85"/>
  <c r="AM73" i="85" s="1"/>
  <c r="I72" i="85"/>
  <c r="AM72" i="85" s="1"/>
  <c r="I65" i="85"/>
  <c r="AM65" i="85" s="1"/>
  <c r="I68" i="85"/>
  <c r="AM68" i="85" s="1"/>
  <c r="I88" i="85"/>
  <c r="AM88" i="85" s="1"/>
  <c r="I71" i="85"/>
  <c r="AM71" i="85" s="1"/>
  <c r="I74" i="85"/>
  <c r="AM74" i="85" s="1"/>
  <c r="I79" i="85"/>
  <c r="D34" i="27" s="1"/>
  <c r="I64" i="85"/>
  <c r="D19" i="27" s="1"/>
  <c r="I66" i="85"/>
  <c r="AM66" i="85" s="1"/>
  <c r="I94" i="85"/>
  <c r="D49" i="27" s="1"/>
  <c r="I91" i="85"/>
  <c r="AM91" i="85" s="1"/>
  <c r="I103" i="85"/>
  <c r="AM103" i="85" s="1"/>
  <c r="I89" i="85"/>
  <c r="D44" i="27" s="1"/>
  <c r="I86" i="85"/>
  <c r="AM86" i="85" s="1"/>
  <c r="I83" i="85"/>
  <c r="AM83" i="85" s="1"/>
  <c r="I90" i="85"/>
  <c r="D45" i="27" s="1"/>
  <c r="I87" i="85"/>
  <c r="AM87" i="85" s="1"/>
  <c r="I78" i="85"/>
  <c r="D33" i="27" s="1"/>
  <c r="I75" i="85"/>
  <c r="AM75" i="85" s="1"/>
  <c r="I82" i="85"/>
  <c r="AM82" i="85" s="1"/>
  <c r="I96" i="85"/>
  <c r="AM96" i="85" s="1"/>
  <c r="I63" i="85"/>
  <c r="AM63" i="85" s="1"/>
  <c r="I61" i="85"/>
  <c r="AM61" i="85" s="1"/>
  <c r="I60" i="85"/>
  <c r="D62" i="108" s="1"/>
  <c r="I85" i="85"/>
  <c r="D40" i="27" s="1"/>
  <c r="I62" i="85"/>
  <c r="AM62" i="85" s="1"/>
  <c r="I98" i="85"/>
  <c r="I80" i="85"/>
  <c r="D35" i="27" s="1"/>
  <c r="I77" i="85"/>
  <c r="AM77" i="85" s="1"/>
  <c r="I58" i="85"/>
  <c r="AM58" i="85" s="1"/>
  <c r="I67" i="85"/>
  <c r="D22" i="27" s="1"/>
  <c r="I59" i="85"/>
  <c r="AM59" i="85" s="1"/>
  <c r="I94" i="145"/>
  <c r="I57" i="145"/>
  <c r="I73" i="145"/>
  <c r="I97" i="145"/>
  <c r="I76" i="145"/>
  <c r="I68" i="145"/>
  <c r="I92" i="145"/>
  <c r="I77" i="145"/>
  <c r="I84" i="145"/>
  <c r="I61" i="145"/>
  <c r="I64" i="145"/>
  <c r="I87" i="145"/>
  <c r="I62" i="145"/>
  <c r="I70" i="145"/>
  <c r="I96" i="145"/>
  <c r="I60" i="145"/>
  <c r="I65" i="145"/>
  <c r="I75" i="145"/>
  <c r="I89" i="145"/>
  <c r="I79" i="145"/>
  <c r="I104" i="145"/>
  <c r="I86" i="145"/>
  <c r="I66" i="145"/>
  <c r="I90" i="145"/>
  <c r="I99" i="145"/>
  <c r="I81" i="145"/>
  <c r="I98" i="145"/>
  <c r="I72" i="145"/>
  <c r="I78" i="145"/>
  <c r="I67" i="145"/>
  <c r="I100" i="145"/>
  <c r="I59" i="145"/>
  <c r="I93" i="145"/>
  <c r="I82" i="145"/>
  <c r="I63" i="145"/>
  <c r="I85" i="145"/>
  <c r="I91" i="145"/>
  <c r="I95" i="145"/>
  <c r="I74" i="145"/>
  <c r="I80" i="145"/>
  <c r="I102" i="145"/>
  <c r="I71" i="145"/>
  <c r="I69" i="145"/>
  <c r="I106" i="145"/>
  <c r="I83" i="145"/>
  <c r="I105" i="145"/>
  <c r="I88" i="145"/>
  <c r="I103" i="145"/>
  <c r="I58" i="145"/>
  <c r="I101" i="145"/>
  <c r="G1" i="189"/>
  <c r="K51" i="85" s="1"/>
  <c r="O51" i="145"/>
  <c r="J51" i="145"/>
  <c r="C62" i="108"/>
  <c r="C61" i="108"/>
  <c r="C60" i="108"/>
  <c r="K289" i="85" l="1"/>
  <c r="AN289" i="85" s="1"/>
  <c r="K292" i="85"/>
  <c r="AN292" i="85" s="1"/>
  <c r="K293" i="85"/>
  <c r="AN293" i="85" s="1"/>
  <c r="K311" i="85"/>
  <c r="AN311" i="85" s="1"/>
  <c r="K312" i="85"/>
  <c r="AN312" i="85" s="1"/>
  <c r="K313" i="85"/>
  <c r="AN313" i="85" s="1"/>
  <c r="K314" i="85"/>
  <c r="AN314" i="85" s="1"/>
  <c r="K315" i="85"/>
  <c r="AN315" i="85" s="1"/>
  <c r="K316" i="85"/>
  <c r="AN316" i="85" s="1"/>
  <c r="K291" i="85"/>
  <c r="AN291" i="85" s="1"/>
  <c r="K309" i="85"/>
  <c r="AN309" i="85" s="1"/>
  <c r="K317" i="85"/>
  <c r="AN317" i="85" s="1"/>
  <c r="K267" i="85"/>
  <c r="AN267" i="85" s="1"/>
  <c r="K310" i="85"/>
  <c r="AN310" i="85" s="1"/>
  <c r="K288" i="85"/>
  <c r="AN288" i="85" s="1"/>
  <c r="K290" i="85"/>
  <c r="AN290" i="85" s="1"/>
  <c r="K268" i="85"/>
  <c r="AN268" i="85" s="1"/>
  <c r="K269" i="85"/>
  <c r="AN269" i="85" s="1"/>
  <c r="K270" i="85"/>
  <c r="AN270" i="85" s="1"/>
  <c r="K274" i="85"/>
  <c r="AN274" i="85" s="1"/>
  <c r="K275" i="85"/>
  <c r="AN275" i="85" s="1"/>
  <c r="K271" i="85"/>
  <c r="AN271" i="85" s="1"/>
  <c r="K272" i="85"/>
  <c r="AN272" i="85" s="1"/>
  <c r="K273" i="85"/>
  <c r="AN273" i="85" s="1"/>
  <c r="K276" i="85"/>
  <c r="AN276" i="85" s="1"/>
  <c r="K278" i="85"/>
  <c r="AN278" i="85" s="1"/>
  <c r="K281" i="85"/>
  <c r="AN281" i="85" s="1"/>
  <c r="K283" i="85"/>
  <c r="AN283" i="85" s="1"/>
  <c r="K284" i="85"/>
  <c r="AN284" i="85" s="1"/>
  <c r="K285" i="85"/>
  <c r="AN285" i="85" s="1"/>
  <c r="K297" i="85"/>
  <c r="AN297" i="85" s="1"/>
  <c r="K286" i="85"/>
  <c r="AN286" i="85" s="1"/>
  <c r="K287" i="85"/>
  <c r="AN287" i="85" s="1"/>
  <c r="K294" i="85"/>
  <c r="AN294" i="85" s="1"/>
  <c r="K295" i="85"/>
  <c r="AN295" i="85" s="1"/>
  <c r="K296" i="85"/>
  <c r="AN296" i="85" s="1"/>
  <c r="K298" i="85"/>
  <c r="AN298" i="85" s="1"/>
  <c r="K299" i="85"/>
  <c r="AN299" i="85" s="1"/>
  <c r="K300" i="85"/>
  <c r="AN300" i="85" s="1"/>
  <c r="K301" i="85"/>
  <c r="AN301" i="85" s="1"/>
  <c r="K302" i="85"/>
  <c r="AN302" i="85" s="1"/>
  <c r="K303" i="85"/>
  <c r="AN303" i="85" s="1"/>
  <c r="K304" i="85"/>
  <c r="AN304" i="85" s="1"/>
  <c r="K282" i="85"/>
  <c r="AN282" i="85" s="1"/>
  <c r="K305" i="85"/>
  <c r="AN305" i="85" s="1"/>
  <c r="K306" i="85"/>
  <c r="AN306" i="85" s="1"/>
  <c r="K279" i="85"/>
  <c r="AN279" i="85" s="1"/>
  <c r="K307" i="85"/>
  <c r="AN307" i="85" s="1"/>
  <c r="K308" i="85"/>
  <c r="AN308" i="85" s="1"/>
  <c r="K277" i="85"/>
  <c r="AN277" i="85" s="1"/>
  <c r="K280" i="85"/>
  <c r="AN280" i="85" s="1"/>
  <c r="H50" i="85"/>
  <c r="I50" i="85" s="1"/>
  <c r="K105" i="85"/>
  <c r="AN105" i="85" s="1"/>
  <c r="K101" i="85"/>
  <c r="AN101" i="85" s="1"/>
  <c r="D59" i="27"/>
  <c r="AM243" i="85"/>
  <c r="D198" i="27"/>
  <c r="AM230" i="85"/>
  <c r="D185" i="27"/>
  <c r="AM231" i="85"/>
  <c r="D186" i="27"/>
  <c r="AM256" i="85"/>
  <c r="D211" i="27"/>
  <c r="AM225" i="85"/>
  <c r="D180" i="27"/>
  <c r="AM236" i="85"/>
  <c r="D191" i="27"/>
  <c r="AM259" i="85"/>
  <c r="D214" i="27"/>
  <c r="AM220" i="85"/>
  <c r="D175" i="27"/>
  <c r="AM265" i="85"/>
  <c r="D220" i="27"/>
  <c r="AM261" i="85"/>
  <c r="D216" i="27"/>
  <c r="AM249" i="85"/>
  <c r="D204" i="27"/>
  <c r="AM215" i="85"/>
  <c r="D170" i="27"/>
  <c r="AM251" i="85"/>
  <c r="D206" i="27"/>
  <c r="AM241" i="85"/>
  <c r="D196" i="27"/>
  <c r="AM217" i="85"/>
  <c r="D172" i="27"/>
  <c r="AM255" i="85"/>
  <c r="D210" i="27"/>
  <c r="AM224" i="85"/>
  <c r="D179" i="27"/>
  <c r="AM262" i="85"/>
  <c r="D217" i="27"/>
  <c r="AM257" i="85"/>
  <c r="D212" i="27"/>
  <c r="AM253" i="85"/>
  <c r="D208" i="27"/>
  <c r="AM263" i="85"/>
  <c r="D218" i="27"/>
  <c r="AM252" i="85"/>
  <c r="D207" i="27"/>
  <c r="AM222" i="85"/>
  <c r="D177" i="27"/>
  <c r="AM244" i="85"/>
  <c r="D199" i="27"/>
  <c r="AM238" i="85"/>
  <c r="D193" i="27"/>
  <c r="AM235" i="85"/>
  <c r="D190" i="27"/>
  <c r="AM229" i="85"/>
  <c r="D184" i="27"/>
  <c r="AM227" i="85"/>
  <c r="D182" i="27"/>
  <c r="AM254" i="85"/>
  <c r="D209" i="27"/>
  <c r="AM250" i="85"/>
  <c r="D205" i="27"/>
  <c r="AM258" i="85"/>
  <c r="D213" i="27"/>
  <c r="AM223" i="85"/>
  <c r="D178" i="27"/>
  <c r="AM232" i="85"/>
  <c r="D187" i="27"/>
  <c r="AM247" i="85"/>
  <c r="D202" i="27"/>
  <c r="AM260" i="85"/>
  <c r="D215" i="27"/>
  <c r="AM242" i="85"/>
  <c r="D197" i="27"/>
  <c r="AM246" i="85"/>
  <c r="D201" i="27"/>
  <c r="AM221" i="85"/>
  <c r="D176" i="27"/>
  <c r="AM234" i="85"/>
  <c r="D189" i="27"/>
  <c r="AM226" i="85"/>
  <c r="D181" i="27"/>
  <c r="AM233" i="85"/>
  <c r="D188" i="27"/>
  <c r="AM264" i="85"/>
  <c r="D219" i="27"/>
  <c r="AM240" i="85"/>
  <c r="D195" i="27"/>
  <c r="AM216" i="85"/>
  <c r="D171" i="27"/>
  <c r="AM245" i="85"/>
  <c r="D200" i="27"/>
  <c r="AM237" i="85"/>
  <c r="D192" i="27"/>
  <c r="AM218" i="85"/>
  <c r="D173" i="27"/>
  <c r="AM214" i="85"/>
  <c r="D169" i="27"/>
  <c r="AM228" i="85"/>
  <c r="D183" i="27"/>
  <c r="AM219" i="85"/>
  <c r="D174" i="27"/>
  <c r="AM248" i="85"/>
  <c r="D203" i="27"/>
  <c r="AM266" i="85"/>
  <c r="D221" i="27"/>
  <c r="AM239" i="85"/>
  <c r="D194" i="27"/>
  <c r="J217" i="145"/>
  <c r="J218" i="145"/>
  <c r="J259" i="145"/>
  <c r="J229" i="145"/>
  <c r="J220" i="145"/>
  <c r="J203" i="145"/>
  <c r="J250" i="145"/>
  <c r="J210" i="145"/>
  <c r="J258" i="145"/>
  <c r="J247" i="145"/>
  <c r="J204" i="145"/>
  <c r="J263" i="145"/>
  <c r="J208" i="145"/>
  <c r="J237" i="145"/>
  <c r="J257" i="145"/>
  <c r="J262" i="145"/>
  <c r="J224" i="145"/>
  <c r="J209" i="145"/>
  <c r="J243" i="145"/>
  <c r="J249" i="145"/>
  <c r="J234" i="145"/>
  <c r="J205" i="145"/>
  <c r="J248" i="145"/>
  <c r="J236" i="145"/>
  <c r="J235" i="145"/>
  <c r="J228" i="145"/>
  <c r="J215" i="145"/>
  <c r="J211" i="145"/>
  <c r="J260" i="145"/>
  <c r="J252" i="145"/>
  <c r="J255" i="145"/>
  <c r="J256" i="145"/>
  <c r="J242" i="145"/>
  <c r="J222" i="145"/>
  <c r="J251" i="145"/>
  <c r="J212" i="145"/>
  <c r="J240" i="145"/>
  <c r="J207" i="145"/>
  <c r="J265" i="145"/>
  <c r="J206" i="145"/>
  <c r="J231" i="145"/>
  <c r="J261" i="145"/>
  <c r="J233" i="145"/>
  <c r="J239" i="145"/>
  <c r="J216" i="145"/>
  <c r="J227" i="145"/>
  <c r="J221" i="145"/>
  <c r="J241" i="145"/>
  <c r="J246" i="145"/>
  <c r="J230" i="145"/>
  <c r="J254" i="145"/>
  <c r="J232" i="145"/>
  <c r="J264" i="145"/>
  <c r="J223" i="145"/>
  <c r="J244" i="145"/>
  <c r="J213" i="145"/>
  <c r="J225" i="145"/>
  <c r="J214" i="145"/>
  <c r="J219" i="145"/>
  <c r="J266" i="145"/>
  <c r="J253" i="145"/>
  <c r="J245" i="145"/>
  <c r="J238" i="145"/>
  <c r="J226" i="145"/>
  <c r="O224" i="145"/>
  <c r="O234" i="145"/>
  <c r="O250" i="145"/>
  <c r="O218" i="145"/>
  <c r="O217" i="145"/>
  <c r="O259" i="145"/>
  <c r="O237" i="145"/>
  <c r="O236" i="145"/>
  <c r="O205" i="145"/>
  <c r="O256" i="145"/>
  <c r="O208" i="145"/>
  <c r="O229" i="145"/>
  <c r="O243" i="145"/>
  <c r="O203" i="145"/>
  <c r="O249" i="145"/>
  <c r="O258" i="145"/>
  <c r="O220" i="145"/>
  <c r="O204" i="145"/>
  <c r="O247" i="145"/>
  <c r="O210" i="145"/>
  <c r="O248" i="145"/>
  <c r="O257" i="145"/>
  <c r="O262" i="145"/>
  <c r="O209" i="145"/>
  <c r="O228" i="145"/>
  <c r="O235" i="145"/>
  <c r="O263" i="145"/>
  <c r="O207" i="145"/>
  <c r="O231" i="145"/>
  <c r="O246" i="145"/>
  <c r="O222" i="145"/>
  <c r="O245" i="145"/>
  <c r="O265" i="145"/>
  <c r="O239" i="145"/>
  <c r="O255" i="145"/>
  <c r="O214" i="145"/>
  <c r="O206" i="145"/>
  <c r="O221" i="145"/>
  <c r="O252" i="145"/>
  <c r="O253" i="145"/>
  <c r="O238" i="145"/>
  <c r="O230" i="145"/>
  <c r="O254" i="145"/>
  <c r="O244" i="145"/>
  <c r="O219" i="145"/>
  <c r="O260" i="145"/>
  <c r="O233" i="145"/>
  <c r="O232" i="145"/>
  <c r="O213" i="145"/>
  <c r="O241" i="145"/>
  <c r="O226" i="145"/>
  <c r="O261" i="145"/>
  <c r="O212" i="145"/>
  <c r="O225" i="145"/>
  <c r="O216" i="145"/>
  <c r="O211" i="145"/>
  <c r="O227" i="145"/>
  <c r="O240" i="145"/>
  <c r="O242" i="145"/>
  <c r="O266" i="145"/>
  <c r="O223" i="145"/>
  <c r="O251" i="145"/>
  <c r="O264" i="145"/>
  <c r="O215" i="145"/>
  <c r="J218" i="85"/>
  <c r="G173" i="27" s="1"/>
  <c r="FN173" i="27" s="1"/>
  <c r="J236" i="85"/>
  <c r="G191" i="27" s="1"/>
  <c r="FN191" i="27" s="1"/>
  <c r="J226" i="85"/>
  <c r="G181" i="27" s="1"/>
  <c r="FN181" i="27" s="1"/>
  <c r="J237" i="85"/>
  <c r="G192" i="27" s="1"/>
  <c r="FN192" i="27" s="1"/>
  <c r="J217" i="85"/>
  <c r="G172" i="27" s="1"/>
  <c r="FN172" i="27" s="1"/>
  <c r="J251" i="85"/>
  <c r="G206" i="27" s="1"/>
  <c r="FN206" i="27" s="1"/>
  <c r="J250" i="85"/>
  <c r="G205" i="27" s="1"/>
  <c r="FN205" i="27" s="1"/>
  <c r="J255" i="85"/>
  <c r="G210" i="27" s="1"/>
  <c r="FN210" i="27" s="1"/>
  <c r="J252" i="85"/>
  <c r="G207" i="27" s="1"/>
  <c r="FN207" i="27" s="1"/>
  <c r="J234" i="85"/>
  <c r="G189" i="27" s="1"/>
  <c r="FN189" i="27" s="1"/>
  <c r="J220" i="85"/>
  <c r="G175" i="27" s="1"/>
  <c r="FN175" i="27" s="1"/>
  <c r="J246" i="85"/>
  <c r="G201" i="27" s="1"/>
  <c r="FN201" i="27" s="1"/>
  <c r="J222" i="85"/>
  <c r="G177" i="27" s="1"/>
  <c r="FN177" i="27" s="1"/>
  <c r="J245" i="85"/>
  <c r="G200" i="27" s="1"/>
  <c r="FN200" i="27" s="1"/>
  <c r="J254" i="85"/>
  <c r="G209" i="27" s="1"/>
  <c r="FN209" i="27" s="1"/>
  <c r="J239" i="85"/>
  <c r="G194" i="27" s="1"/>
  <c r="FN194" i="27" s="1"/>
  <c r="J256" i="85"/>
  <c r="G211" i="27" s="1"/>
  <c r="FN211" i="27" s="1"/>
  <c r="J221" i="85"/>
  <c r="G176" i="27" s="1"/>
  <c r="FN176" i="27" s="1"/>
  <c r="J266" i="85"/>
  <c r="G221" i="27" s="1"/>
  <c r="FN221" i="27" s="1"/>
  <c r="J258" i="85"/>
  <c r="G213" i="27" s="1"/>
  <c r="FN213" i="27" s="1"/>
  <c r="J263" i="85"/>
  <c r="G218" i="27" s="1"/>
  <c r="FN218" i="27" s="1"/>
  <c r="J253" i="85"/>
  <c r="G208" i="27" s="1"/>
  <c r="FN208" i="27" s="1"/>
  <c r="J230" i="85"/>
  <c r="G185" i="27" s="1"/>
  <c r="FN185" i="27" s="1"/>
  <c r="J241" i="85"/>
  <c r="G196" i="27" s="1"/>
  <c r="FN196" i="27" s="1"/>
  <c r="J225" i="85"/>
  <c r="G180" i="27" s="1"/>
  <c r="FN180" i="27" s="1"/>
  <c r="J228" i="85"/>
  <c r="G183" i="27" s="1"/>
  <c r="FN183" i="27" s="1"/>
  <c r="J235" i="85"/>
  <c r="G190" i="27" s="1"/>
  <c r="FN190" i="27" s="1"/>
  <c r="J262" i="85"/>
  <c r="G217" i="27" s="1"/>
  <c r="FN217" i="27" s="1"/>
  <c r="J265" i="85"/>
  <c r="G220" i="27" s="1"/>
  <c r="FN220" i="27" s="1"/>
  <c r="J243" i="85"/>
  <c r="G198" i="27" s="1"/>
  <c r="FN198" i="27" s="1"/>
  <c r="J215" i="85"/>
  <c r="G170" i="27" s="1"/>
  <c r="FN170" i="27" s="1"/>
  <c r="J232" i="85"/>
  <c r="G187" i="27" s="1"/>
  <c r="FN187" i="27" s="1"/>
  <c r="J216" i="85"/>
  <c r="G171" i="27" s="1"/>
  <c r="FN171" i="27" s="1"/>
  <c r="J261" i="85"/>
  <c r="G216" i="27" s="1"/>
  <c r="FN216" i="27" s="1"/>
  <c r="J224" i="85"/>
  <c r="G179" i="27" s="1"/>
  <c r="FN179" i="27" s="1"/>
  <c r="J257" i="85"/>
  <c r="G212" i="27" s="1"/>
  <c r="FN212" i="27" s="1"/>
  <c r="J214" i="85"/>
  <c r="G169" i="27" s="1"/>
  <c r="FN169" i="27" s="1"/>
  <c r="J240" i="85"/>
  <c r="G195" i="27" s="1"/>
  <c r="FN195" i="27" s="1"/>
  <c r="J249" i="85"/>
  <c r="G204" i="27" s="1"/>
  <c r="FN204" i="27" s="1"/>
  <c r="J229" i="85"/>
  <c r="G184" i="27" s="1"/>
  <c r="FN184" i="27" s="1"/>
  <c r="J219" i="85"/>
  <c r="G174" i="27" s="1"/>
  <c r="FN174" i="27" s="1"/>
  <c r="J259" i="85"/>
  <c r="G214" i="27" s="1"/>
  <c r="FN214" i="27" s="1"/>
  <c r="J264" i="85"/>
  <c r="G219" i="27" s="1"/>
  <c r="FN219" i="27" s="1"/>
  <c r="J223" i="85"/>
  <c r="G178" i="27" s="1"/>
  <c r="FN178" i="27" s="1"/>
  <c r="J238" i="85"/>
  <c r="G193" i="27" s="1"/>
  <c r="FN193" i="27" s="1"/>
  <c r="J231" i="85"/>
  <c r="G186" i="27" s="1"/>
  <c r="FN186" i="27" s="1"/>
  <c r="J247" i="85"/>
  <c r="G202" i="27" s="1"/>
  <c r="FN202" i="27" s="1"/>
  <c r="J244" i="85"/>
  <c r="G199" i="27" s="1"/>
  <c r="FN199" i="27" s="1"/>
  <c r="J233" i="85"/>
  <c r="G188" i="27" s="1"/>
  <c r="FN188" i="27" s="1"/>
  <c r="J260" i="85"/>
  <c r="G215" i="27" s="1"/>
  <c r="FN215" i="27" s="1"/>
  <c r="J248" i="85"/>
  <c r="G203" i="27" s="1"/>
  <c r="FN203" i="27" s="1"/>
  <c r="J242" i="85"/>
  <c r="G197" i="27" s="1"/>
  <c r="FN197" i="27" s="1"/>
  <c r="J227" i="85"/>
  <c r="G182" i="27" s="1"/>
  <c r="FN182" i="27" s="1"/>
  <c r="J166" i="145"/>
  <c r="J176" i="145"/>
  <c r="J178" i="145"/>
  <c r="J180" i="145"/>
  <c r="J167" i="145"/>
  <c r="J199" i="145"/>
  <c r="J188" i="145"/>
  <c r="J186" i="145"/>
  <c r="J192" i="145"/>
  <c r="J170" i="145"/>
  <c r="J165" i="145"/>
  <c r="J173" i="145"/>
  <c r="J175" i="145"/>
  <c r="J162" i="145"/>
  <c r="J193" i="145"/>
  <c r="J195" i="145"/>
  <c r="J179" i="145"/>
  <c r="J168" i="145"/>
  <c r="J198" i="145"/>
  <c r="J184" i="145"/>
  <c r="J197" i="145"/>
  <c r="J177" i="145"/>
  <c r="J174" i="145"/>
  <c r="J171" i="145"/>
  <c r="J181" i="145"/>
  <c r="J169" i="145"/>
  <c r="J201" i="145"/>
  <c r="J202" i="145"/>
  <c r="J160" i="145"/>
  <c r="J185" i="145"/>
  <c r="J172" i="145"/>
  <c r="J161" i="145"/>
  <c r="J183" i="145"/>
  <c r="J164" i="145"/>
  <c r="J200" i="145"/>
  <c r="J194" i="145"/>
  <c r="J191" i="145"/>
  <c r="J189" i="145"/>
  <c r="J182" i="145"/>
  <c r="J163" i="145"/>
  <c r="J196" i="145"/>
  <c r="J187" i="145"/>
  <c r="J190" i="145"/>
  <c r="O193" i="145"/>
  <c r="O195" i="145"/>
  <c r="O170" i="145"/>
  <c r="O168" i="145"/>
  <c r="O178" i="145"/>
  <c r="O179" i="145"/>
  <c r="O186" i="145"/>
  <c r="O184" i="145"/>
  <c r="O180" i="145"/>
  <c r="O160" i="145"/>
  <c r="O200" i="145"/>
  <c r="O166" i="145"/>
  <c r="O192" i="145"/>
  <c r="O188" i="145"/>
  <c r="O165" i="145"/>
  <c r="O173" i="145"/>
  <c r="O162" i="145"/>
  <c r="O176" i="145"/>
  <c r="O197" i="145"/>
  <c r="O199" i="145"/>
  <c r="O167" i="145"/>
  <c r="O177" i="145"/>
  <c r="O175" i="145"/>
  <c r="O198" i="145"/>
  <c r="O169" i="145"/>
  <c r="O189" i="145"/>
  <c r="O202" i="145"/>
  <c r="O190" i="145"/>
  <c r="O182" i="145"/>
  <c r="O174" i="145"/>
  <c r="O191" i="145"/>
  <c r="O181" i="145"/>
  <c r="O187" i="145"/>
  <c r="O164" i="145"/>
  <c r="O185" i="145"/>
  <c r="O201" i="145"/>
  <c r="O172" i="145"/>
  <c r="O171" i="145"/>
  <c r="O194" i="145"/>
  <c r="O196" i="145"/>
  <c r="O161" i="145"/>
  <c r="O183" i="145"/>
  <c r="O163" i="145"/>
  <c r="L9" i="207"/>
  <c r="K9" i="207"/>
  <c r="J50" i="85"/>
  <c r="K50" i="85" s="1"/>
  <c r="L50" i="85" s="1"/>
  <c r="L9" i="205"/>
  <c r="K9" i="205"/>
  <c r="D61" i="27"/>
  <c r="AM100" i="85"/>
  <c r="AM99" i="85"/>
  <c r="AM98" i="85"/>
  <c r="AM97" i="85"/>
  <c r="AM81" i="85"/>
  <c r="D48" i="27"/>
  <c r="D57" i="27"/>
  <c r="D59" i="108"/>
  <c r="AM84" i="85"/>
  <c r="D60" i="27"/>
  <c r="D47" i="27"/>
  <c r="D24" i="27"/>
  <c r="D52" i="27"/>
  <c r="D56" i="27"/>
  <c r="AM64" i="85"/>
  <c r="AM76" i="85"/>
  <c r="AM57" i="85"/>
  <c r="D50" i="27"/>
  <c r="D54" i="27"/>
  <c r="D37" i="27"/>
  <c r="D25" i="27"/>
  <c r="AM80" i="85"/>
  <c r="AM79" i="85"/>
  <c r="D27" i="27"/>
  <c r="D29" i="27"/>
  <c r="D30" i="27"/>
  <c r="D41" i="27"/>
  <c r="AM90" i="85"/>
  <c r="D55" i="27"/>
  <c r="D23" i="27"/>
  <c r="AM89" i="85"/>
  <c r="D28" i="27"/>
  <c r="D43" i="27"/>
  <c r="AM85" i="85"/>
  <c r="D51" i="27"/>
  <c r="D18" i="27"/>
  <c r="AM106" i="85"/>
  <c r="D32" i="27"/>
  <c r="AM67" i="85"/>
  <c r="AM60" i="85"/>
  <c r="D38" i="27"/>
  <c r="D20" i="27"/>
  <c r="D21" i="27"/>
  <c r="AM94" i="85"/>
  <c r="D42" i="27"/>
  <c r="D46" i="27"/>
  <c r="D61" i="108"/>
  <c r="D60" i="108"/>
  <c r="D26" i="27"/>
  <c r="D58" i="27"/>
  <c r="AM78" i="85"/>
  <c r="D53" i="27"/>
  <c r="J104" i="85"/>
  <c r="G59" i="27" s="1"/>
  <c r="J68" i="85"/>
  <c r="G23" i="27" s="1"/>
  <c r="J77" i="85"/>
  <c r="G32" i="27" s="1"/>
  <c r="J95" i="85"/>
  <c r="G50" i="27" s="1"/>
  <c r="J69" i="85"/>
  <c r="G24" i="27" s="1"/>
  <c r="J78" i="85"/>
  <c r="G33" i="27" s="1"/>
  <c r="G56" i="27"/>
  <c r="J97" i="85"/>
  <c r="G52" i="27" s="1"/>
  <c r="J103" i="85"/>
  <c r="G58" i="27" s="1"/>
  <c r="J75" i="85"/>
  <c r="G30" i="27" s="1"/>
  <c r="J100" i="85"/>
  <c r="G55" i="27" s="1"/>
  <c r="J83" i="85"/>
  <c r="G38" i="27" s="1"/>
  <c r="J76" i="85"/>
  <c r="G31" i="27" s="1"/>
  <c r="J80" i="85"/>
  <c r="G35" i="27" s="1"/>
  <c r="J58" i="85"/>
  <c r="E60" i="108" s="1"/>
  <c r="J90" i="85"/>
  <c r="G45" i="27" s="1"/>
  <c r="J63" i="85"/>
  <c r="G18" i="27" s="1"/>
  <c r="J86" i="85"/>
  <c r="G41" i="27" s="1"/>
  <c r="J89" i="85"/>
  <c r="G44" i="27" s="1"/>
  <c r="J82" i="85"/>
  <c r="G37" i="27" s="1"/>
  <c r="J98" i="85"/>
  <c r="G53" i="27" s="1"/>
  <c r="J85" i="85"/>
  <c r="G40" i="27" s="1"/>
  <c r="J61" i="85"/>
  <c r="J94" i="85"/>
  <c r="G49" i="27" s="1"/>
  <c r="G60" i="27"/>
  <c r="J96" i="85"/>
  <c r="G51" i="27" s="1"/>
  <c r="J106" i="85"/>
  <c r="G61" i="27" s="1"/>
  <c r="J67" i="85"/>
  <c r="G22" i="27" s="1"/>
  <c r="J92" i="85"/>
  <c r="G47" i="27" s="1"/>
  <c r="J91" i="85"/>
  <c r="G46" i="27" s="1"/>
  <c r="J73" i="85"/>
  <c r="G28" i="27" s="1"/>
  <c r="J84" i="85"/>
  <c r="G39" i="27" s="1"/>
  <c r="J79" i="85"/>
  <c r="G34" i="27" s="1"/>
  <c r="J72" i="85"/>
  <c r="G27" i="27" s="1"/>
  <c r="J64" i="85"/>
  <c r="G19" i="27" s="1"/>
  <c r="J70" i="85"/>
  <c r="G25" i="27" s="1"/>
  <c r="J87" i="85"/>
  <c r="G42" i="27" s="1"/>
  <c r="J62" i="85"/>
  <c r="J66" i="85"/>
  <c r="G21" i="27" s="1"/>
  <c r="J88" i="85"/>
  <c r="G43" i="27" s="1"/>
  <c r="J93" i="85"/>
  <c r="G48" i="27" s="1"/>
  <c r="J59" i="85"/>
  <c r="E61" i="108" s="1"/>
  <c r="J65" i="85"/>
  <c r="G20" i="27" s="1"/>
  <c r="J81" i="85"/>
  <c r="G36" i="27" s="1"/>
  <c r="J99" i="85"/>
  <c r="G54" i="27" s="1"/>
  <c r="J71" i="85"/>
  <c r="G26" i="27" s="1"/>
  <c r="J60" i="85"/>
  <c r="E62" i="108" s="1"/>
  <c r="J74" i="85"/>
  <c r="G29" i="27" s="1"/>
  <c r="J102" i="85"/>
  <c r="G57" i="27" s="1"/>
  <c r="J57" i="85"/>
  <c r="E59" i="108" s="1"/>
  <c r="J64" i="145"/>
  <c r="J84" i="145"/>
  <c r="J94" i="145"/>
  <c r="J89" i="145"/>
  <c r="J79" i="145"/>
  <c r="J97" i="145"/>
  <c r="J73" i="145"/>
  <c r="J98" i="145"/>
  <c r="J77" i="145"/>
  <c r="J83" i="145"/>
  <c r="J90" i="145"/>
  <c r="J78" i="145"/>
  <c r="J93" i="145"/>
  <c r="J57" i="145"/>
  <c r="J96" i="145"/>
  <c r="J82" i="145"/>
  <c r="J70" i="145"/>
  <c r="J87" i="145"/>
  <c r="J61" i="145"/>
  <c r="J63" i="145"/>
  <c r="J85" i="145"/>
  <c r="J95" i="145"/>
  <c r="J74" i="145"/>
  <c r="J101" i="145"/>
  <c r="J100" i="145"/>
  <c r="J62" i="145"/>
  <c r="J60" i="145"/>
  <c r="J65" i="145"/>
  <c r="J104" i="145"/>
  <c r="J91" i="145"/>
  <c r="J106" i="145"/>
  <c r="J66" i="145"/>
  <c r="J81" i="145"/>
  <c r="J99" i="145"/>
  <c r="J92" i="145"/>
  <c r="J67" i="145"/>
  <c r="J103" i="145"/>
  <c r="J69" i="145"/>
  <c r="J105" i="145"/>
  <c r="J88" i="145"/>
  <c r="J68" i="145"/>
  <c r="J86" i="145"/>
  <c r="J58" i="145"/>
  <c r="J76" i="145"/>
  <c r="J80" i="145"/>
  <c r="J102" i="145"/>
  <c r="J59" i="145"/>
  <c r="J71" i="145"/>
  <c r="J75" i="145"/>
  <c r="J72" i="145"/>
  <c r="O92" i="145"/>
  <c r="O81" i="145"/>
  <c r="O93" i="145"/>
  <c r="O80" i="145"/>
  <c r="O104" i="145"/>
  <c r="O72" i="145"/>
  <c r="O76" i="145"/>
  <c r="O106" i="145"/>
  <c r="O64" i="145"/>
  <c r="O62" i="145"/>
  <c r="O82" i="145"/>
  <c r="O94" i="145"/>
  <c r="O66" i="145"/>
  <c r="O73" i="145"/>
  <c r="O89" i="145"/>
  <c r="O71" i="145"/>
  <c r="O67" i="145"/>
  <c r="O63" i="145"/>
  <c r="O101" i="145"/>
  <c r="O96" i="145"/>
  <c r="O97" i="145"/>
  <c r="O90" i="145"/>
  <c r="O83" i="145"/>
  <c r="O103" i="145"/>
  <c r="O78" i="145"/>
  <c r="O105" i="145"/>
  <c r="O102" i="145"/>
  <c r="O74" i="145"/>
  <c r="O65" i="145"/>
  <c r="O61" i="145"/>
  <c r="O70" i="145"/>
  <c r="O91" i="145"/>
  <c r="O98" i="145"/>
  <c r="O100" i="145"/>
  <c r="O88" i="145"/>
  <c r="O60" i="145"/>
  <c r="O77" i="145"/>
  <c r="O59" i="145"/>
  <c r="O75" i="145"/>
  <c r="O69" i="145"/>
  <c r="O58" i="145"/>
  <c r="O87" i="145"/>
  <c r="O79" i="145"/>
  <c r="O99" i="145"/>
  <c r="O95" i="145"/>
  <c r="O57" i="145"/>
  <c r="O86" i="145"/>
  <c r="O68" i="145"/>
  <c r="O84" i="145"/>
  <c r="O85" i="145"/>
  <c r="H1" i="189"/>
  <c r="L51" i="85" s="1"/>
  <c r="K51" i="145"/>
  <c r="L288" i="85" l="1"/>
  <c r="L292" i="85"/>
  <c r="L293" i="85"/>
  <c r="L311" i="85"/>
  <c r="L312" i="85"/>
  <c r="L313" i="85"/>
  <c r="L314" i="85"/>
  <c r="L315" i="85"/>
  <c r="L316" i="85"/>
  <c r="L317" i="85"/>
  <c r="L290" i="85"/>
  <c r="L310" i="85"/>
  <c r="L289" i="85"/>
  <c r="L267" i="85"/>
  <c r="L291" i="85"/>
  <c r="L309" i="85"/>
  <c r="L268" i="85"/>
  <c r="L269" i="85"/>
  <c r="L270" i="85"/>
  <c r="L280" i="85"/>
  <c r="L271" i="85"/>
  <c r="L272" i="85"/>
  <c r="L273" i="85"/>
  <c r="L274" i="85"/>
  <c r="L275" i="85"/>
  <c r="L279" i="85"/>
  <c r="L283" i="85"/>
  <c r="L284" i="85"/>
  <c r="L285" i="85"/>
  <c r="L286" i="85"/>
  <c r="L287" i="85"/>
  <c r="L294" i="85"/>
  <c r="L295" i="85"/>
  <c r="L296" i="85"/>
  <c r="L297" i="85"/>
  <c r="L298" i="85"/>
  <c r="L299" i="85"/>
  <c r="L300" i="85"/>
  <c r="L301" i="85"/>
  <c r="L302" i="85"/>
  <c r="L303" i="85"/>
  <c r="L304" i="85"/>
  <c r="L306" i="85"/>
  <c r="L278" i="85"/>
  <c r="L305" i="85"/>
  <c r="L307" i="85"/>
  <c r="L281" i="85"/>
  <c r="L282" i="85"/>
  <c r="L308" i="85"/>
  <c r="L276" i="85"/>
  <c r="L277" i="85"/>
  <c r="L105" i="85"/>
  <c r="L101" i="85"/>
  <c r="K259" i="145"/>
  <c r="K249" i="145"/>
  <c r="K250" i="145"/>
  <c r="K224" i="145"/>
  <c r="K209" i="145"/>
  <c r="K217" i="145"/>
  <c r="K203" i="145"/>
  <c r="K237" i="145"/>
  <c r="K229" i="145"/>
  <c r="K220" i="145"/>
  <c r="K235" i="145"/>
  <c r="K210" i="145"/>
  <c r="K247" i="145"/>
  <c r="K204" i="145"/>
  <c r="K258" i="145"/>
  <c r="K257" i="145"/>
  <c r="K218" i="145"/>
  <c r="K263" i="145"/>
  <c r="K262" i="145"/>
  <c r="K216" i="145"/>
  <c r="K248" i="145"/>
  <c r="K236" i="145"/>
  <c r="K234" i="145"/>
  <c r="K228" i="145"/>
  <c r="K205" i="145"/>
  <c r="K208" i="145"/>
  <c r="K254" i="145"/>
  <c r="K261" i="145"/>
  <c r="K219" i="145"/>
  <c r="K212" i="145"/>
  <c r="K231" i="145"/>
  <c r="K233" i="145"/>
  <c r="K207" i="145"/>
  <c r="K213" i="145"/>
  <c r="K222" i="145"/>
  <c r="K221" i="145"/>
  <c r="K256" i="145"/>
  <c r="K238" i="145"/>
  <c r="K240" i="145"/>
  <c r="K223" i="145"/>
  <c r="K251" i="145"/>
  <c r="K265" i="145"/>
  <c r="K211" i="145"/>
  <c r="K227" i="145"/>
  <c r="K244" i="145"/>
  <c r="K245" i="145"/>
  <c r="K239" i="145"/>
  <c r="K243" i="145"/>
  <c r="K206" i="145"/>
  <c r="K215" i="145"/>
  <c r="K226" i="145"/>
  <c r="K242" i="145"/>
  <c r="K214" i="145"/>
  <c r="K230" i="145"/>
  <c r="K260" i="145"/>
  <c r="K266" i="145"/>
  <c r="K232" i="145"/>
  <c r="K253" i="145"/>
  <c r="K246" i="145"/>
  <c r="K264" i="145"/>
  <c r="K225" i="145"/>
  <c r="K241" i="145"/>
  <c r="K252" i="145"/>
  <c r="K255" i="145"/>
  <c r="K236" i="85"/>
  <c r="AN236" i="85" s="1"/>
  <c r="K263" i="85"/>
  <c r="AN263" i="85" s="1"/>
  <c r="K251" i="85"/>
  <c r="AN251" i="85" s="1"/>
  <c r="K254" i="85"/>
  <c r="AN254" i="85" s="1"/>
  <c r="K234" i="85"/>
  <c r="AN234" i="85" s="1"/>
  <c r="K266" i="85"/>
  <c r="AN266" i="85" s="1"/>
  <c r="K246" i="85"/>
  <c r="AN246" i="85" s="1"/>
  <c r="K237" i="85"/>
  <c r="AN237" i="85" s="1"/>
  <c r="K225" i="85"/>
  <c r="AN225" i="85" s="1"/>
  <c r="K253" i="85"/>
  <c r="AN253" i="85" s="1"/>
  <c r="K255" i="85"/>
  <c r="AN255" i="85" s="1"/>
  <c r="K259" i="85"/>
  <c r="AN259" i="85" s="1"/>
  <c r="K220" i="85"/>
  <c r="AN220" i="85" s="1"/>
  <c r="K230" i="85"/>
  <c r="AN230" i="85" s="1"/>
  <c r="K258" i="85"/>
  <c r="AN258" i="85" s="1"/>
  <c r="K217" i="85"/>
  <c r="AN217" i="85" s="1"/>
  <c r="K252" i="85"/>
  <c r="AN252" i="85" s="1"/>
  <c r="K239" i="85"/>
  <c r="AN239" i="85" s="1"/>
  <c r="K250" i="85"/>
  <c r="AN250" i="85" s="1"/>
  <c r="K218" i="85"/>
  <c r="AN218" i="85" s="1"/>
  <c r="K222" i="85"/>
  <c r="AN222" i="85" s="1"/>
  <c r="K245" i="85"/>
  <c r="AN245" i="85" s="1"/>
  <c r="K241" i="85"/>
  <c r="AN241" i="85" s="1"/>
  <c r="K221" i="85"/>
  <c r="AN221" i="85" s="1"/>
  <c r="K226" i="85"/>
  <c r="AN226" i="85" s="1"/>
  <c r="K256" i="85"/>
  <c r="AN256" i="85" s="1"/>
  <c r="K260" i="85"/>
  <c r="AN260" i="85" s="1"/>
  <c r="K228" i="85"/>
  <c r="AN228" i="85" s="1"/>
  <c r="K248" i="85"/>
  <c r="AN248" i="85" s="1"/>
  <c r="K265" i="85"/>
  <c r="AN265" i="85" s="1"/>
  <c r="K242" i="85"/>
  <c r="AN242" i="85" s="1"/>
  <c r="K214" i="85"/>
  <c r="AN214" i="85" s="1"/>
  <c r="K262" i="85"/>
  <c r="AN262" i="85" s="1"/>
  <c r="K223" i="85"/>
  <c r="AN223" i="85" s="1"/>
  <c r="K219" i="85"/>
  <c r="AN219" i="85" s="1"/>
  <c r="K235" i="85"/>
  <c r="AN235" i="85" s="1"/>
  <c r="K238" i="85"/>
  <c r="AN238" i="85" s="1"/>
  <c r="K229" i="85"/>
  <c r="AN229" i="85" s="1"/>
  <c r="K227" i="85"/>
  <c r="AN227" i="85" s="1"/>
  <c r="K224" i="85"/>
  <c r="AN224" i="85" s="1"/>
  <c r="K215" i="85"/>
  <c r="AN215" i="85" s="1"/>
  <c r="K232" i="85"/>
  <c r="AN232" i="85" s="1"/>
  <c r="K244" i="85"/>
  <c r="AN244" i="85" s="1"/>
  <c r="K231" i="85"/>
  <c r="AN231" i="85" s="1"/>
  <c r="K257" i="85"/>
  <c r="AN257" i="85" s="1"/>
  <c r="K249" i="85"/>
  <c r="AN249" i="85" s="1"/>
  <c r="K243" i="85"/>
  <c r="AN243" i="85" s="1"/>
  <c r="K264" i="85"/>
  <c r="AN264" i="85" s="1"/>
  <c r="K216" i="85"/>
  <c r="AN216" i="85" s="1"/>
  <c r="K261" i="85"/>
  <c r="AN261" i="85" s="1"/>
  <c r="K240" i="85"/>
  <c r="AN240" i="85" s="1"/>
  <c r="K233" i="85"/>
  <c r="AN233" i="85" s="1"/>
  <c r="K247" i="85"/>
  <c r="AN247" i="85" s="1"/>
  <c r="K195" i="145"/>
  <c r="K197" i="145"/>
  <c r="K175" i="145"/>
  <c r="K177" i="145"/>
  <c r="K162" i="145"/>
  <c r="K179" i="145"/>
  <c r="K178" i="145"/>
  <c r="K176" i="145"/>
  <c r="K173" i="145"/>
  <c r="K199" i="145"/>
  <c r="K188" i="145"/>
  <c r="K167" i="145"/>
  <c r="K168" i="145"/>
  <c r="K160" i="145"/>
  <c r="K193" i="145"/>
  <c r="K192" i="145"/>
  <c r="K180" i="145"/>
  <c r="K186" i="145"/>
  <c r="K184" i="145"/>
  <c r="K170" i="145"/>
  <c r="K165" i="145"/>
  <c r="K166" i="145"/>
  <c r="K191" i="145"/>
  <c r="K182" i="145"/>
  <c r="K181" i="145"/>
  <c r="K187" i="145"/>
  <c r="K202" i="145"/>
  <c r="K163" i="145"/>
  <c r="K200" i="145"/>
  <c r="K185" i="145"/>
  <c r="K190" i="145"/>
  <c r="K196" i="145"/>
  <c r="K171" i="145"/>
  <c r="K183" i="145"/>
  <c r="K201" i="145"/>
  <c r="K198" i="145"/>
  <c r="K174" i="145"/>
  <c r="K161" i="145"/>
  <c r="K169" i="145"/>
  <c r="K189" i="145"/>
  <c r="K164" i="145"/>
  <c r="K172" i="145"/>
  <c r="K194" i="145"/>
  <c r="L10" i="205"/>
  <c r="K10" i="205"/>
  <c r="J10" i="205"/>
  <c r="M50" i="85"/>
  <c r="K70" i="145"/>
  <c r="K96" i="145"/>
  <c r="K98" i="145"/>
  <c r="K64" i="145"/>
  <c r="K57" i="145"/>
  <c r="K73" i="145"/>
  <c r="K84" i="145"/>
  <c r="K94" i="145"/>
  <c r="K89" i="145"/>
  <c r="K79" i="145"/>
  <c r="K93" i="145"/>
  <c r="K99" i="145"/>
  <c r="K81" i="145"/>
  <c r="K77" i="145"/>
  <c r="K83" i="145"/>
  <c r="K100" i="145"/>
  <c r="K90" i="145"/>
  <c r="K76" i="145"/>
  <c r="K58" i="145"/>
  <c r="K97" i="145"/>
  <c r="K82" i="145"/>
  <c r="K105" i="145"/>
  <c r="K91" i="145"/>
  <c r="K61" i="145"/>
  <c r="K63" i="145"/>
  <c r="K92" i="145"/>
  <c r="K88" i="145"/>
  <c r="K85" i="145"/>
  <c r="K95" i="145"/>
  <c r="K74" i="145"/>
  <c r="K101" i="145"/>
  <c r="K86" i="145"/>
  <c r="K62" i="145"/>
  <c r="K60" i="145"/>
  <c r="K65" i="145"/>
  <c r="K66" i="145"/>
  <c r="K68" i="145"/>
  <c r="K106" i="145"/>
  <c r="K87" i="145"/>
  <c r="K69" i="145"/>
  <c r="K78" i="145"/>
  <c r="K80" i="145"/>
  <c r="K75" i="145"/>
  <c r="K102" i="145"/>
  <c r="K72" i="145"/>
  <c r="K104" i="145"/>
  <c r="K59" i="145"/>
  <c r="K71" i="145"/>
  <c r="K67" i="145"/>
  <c r="K103" i="145"/>
  <c r="K82" i="85"/>
  <c r="AN82" i="85" s="1"/>
  <c r="K95" i="85"/>
  <c r="AN95" i="85" s="1"/>
  <c r="K65" i="85"/>
  <c r="AN65" i="85" s="1"/>
  <c r="K58" i="85"/>
  <c r="K80" i="85"/>
  <c r="AN80" i="85" s="1"/>
  <c r="K104" i="85"/>
  <c r="AN104" i="85" s="1"/>
  <c r="K76" i="85"/>
  <c r="AN76" i="85" s="1"/>
  <c r="K75" i="85"/>
  <c r="AN75" i="85" s="1"/>
  <c r="K78" i="85"/>
  <c r="AN78" i="85" s="1"/>
  <c r="K92" i="85"/>
  <c r="AN92" i="85" s="1"/>
  <c r="K77" i="85"/>
  <c r="AN77" i="85" s="1"/>
  <c r="K69" i="85"/>
  <c r="AN69" i="85" s="1"/>
  <c r="K100" i="85"/>
  <c r="AN100" i="85" s="1"/>
  <c r="K83" i="85"/>
  <c r="AN83" i="85" s="1"/>
  <c r="K68" i="85"/>
  <c r="AN68" i="85" s="1"/>
  <c r="K90" i="85"/>
  <c r="AN90" i="85" s="1"/>
  <c r="K89" i="85"/>
  <c r="AN89" i="85" s="1"/>
  <c r="K63" i="85"/>
  <c r="AN63" i="85" s="1"/>
  <c r="K72" i="85"/>
  <c r="AN72" i="85" s="1"/>
  <c r="K79" i="85"/>
  <c r="AN79" i="85" s="1"/>
  <c r="K60" i="85"/>
  <c r="K71" i="85"/>
  <c r="AN71" i="85" s="1"/>
  <c r="K59" i="85"/>
  <c r="K62" i="85"/>
  <c r="AN62" i="85" s="1"/>
  <c r="K81" i="85"/>
  <c r="AN81" i="85" s="1"/>
  <c r="K102" i="85"/>
  <c r="AN102" i="85" s="1"/>
  <c r="K103" i="85"/>
  <c r="AN103" i="85" s="1"/>
  <c r="K98" i="85"/>
  <c r="AN98" i="85" s="1"/>
  <c r="K94" i="85"/>
  <c r="AN94" i="85" s="1"/>
  <c r="K85" i="85"/>
  <c r="AN85" i="85" s="1"/>
  <c r="K66" i="85"/>
  <c r="AN66" i="85" s="1"/>
  <c r="K97" i="85"/>
  <c r="AN97" i="85" s="1"/>
  <c r="K84" i="85"/>
  <c r="AN84" i="85" s="1"/>
  <c r="K96" i="85"/>
  <c r="AN96" i="85" s="1"/>
  <c r="K106" i="85"/>
  <c r="AN106" i="85" s="1"/>
  <c r="K67" i="85"/>
  <c r="AN67" i="85" s="1"/>
  <c r="K93" i="85"/>
  <c r="AN93" i="85" s="1"/>
  <c r="K91" i="85"/>
  <c r="AN91" i="85" s="1"/>
  <c r="K73" i="85"/>
  <c r="AN73" i="85" s="1"/>
  <c r="K99" i="85"/>
  <c r="AN99" i="85" s="1"/>
  <c r="K70" i="85"/>
  <c r="AN70" i="85" s="1"/>
  <c r="K64" i="85"/>
  <c r="AN64" i="85" s="1"/>
  <c r="K87" i="85"/>
  <c r="AN87" i="85" s="1"/>
  <c r="K86" i="85"/>
  <c r="AN86" i="85" s="1"/>
  <c r="K61" i="85"/>
  <c r="AN61" i="85" s="1"/>
  <c r="K88" i="85"/>
  <c r="AN88" i="85" s="1"/>
  <c r="K74" i="85"/>
  <c r="AN74" i="85" s="1"/>
  <c r="K57" i="85"/>
  <c r="I1" i="189"/>
  <c r="M51" i="85" s="1"/>
  <c r="L51" i="145"/>
  <c r="M90" i="105"/>
  <c r="H92" i="105"/>
  <c r="H91" i="105"/>
  <c r="H88" i="105"/>
  <c r="H89" i="105"/>
  <c r="H90" i="105"/>
  <c r="H86" i="105"/>
  <c r="H87" i="105"/>
  <c r="G92" i="105"/>
  <c r="M54" i="85" l="1"/>
  <c r="AO54" i="85" s="1"/>
  <c r="H21" i="85" s="1"/>
  <c r="M292" i="85"/>
  <c r="M293" i="85"/>
  <c r="M311" i="85"/>
  <c r="M312" i="85"/>
  <c r="M313" i="85"/>
  <c r="M314" i="85"/>
  <c r="M315" i="85"/>
  <c r="M316" i="85"/>
  <c r="M309" i="85"/>
  <c r="M317" i="85"/>
  <c r="M291" i="85"/>
  <c r="M267" i="85"/>
  <c r="M289" i="85"/>
  <c r="M290" i="85"/>
  <c r="M288" i="85"/>
  <c r="M310" i="85"/>
  <c r="M268" i="85"/>
  <c r="M269" i="85"/>
  <c r="M270" i="85"/>
  <c r="M275" i="85"/>
  <c r="M277" i="85"/>
  <c r="M278" i="85"/>
  <c r="M281" i="85"/>
  <c r="M271" i="85"/>
  <c r="M272" i="85"/>
  <c r="M273" i="85"/>
  <c r="M274" i="85"/>
  <c r="M282" i="85"/>
  <c r="M283" i="85"/>
  <c r="M284" i="85"/>
  <c r="M285" i="85"/>
  <c r="M297" i="85"/>
  <c r="M286" i="85"/>
  <c r="M287" i="85"/>
  <c r="M294" i="85"/>
  <c r="M295" i="85"/>
  <c r="M296" i="85"/>
  <c r="M298" i="85"/>
  <c r="M299" i="85"/>
  <c r="M300" i="85"/>
  <c r="M301" i="85"/>
  <c r="M302" i="85"/>
  <c r="M303" i="85"/>
  <c r="M304" i="85"/>
  <c r="M305" i="85"/>
  <c r="M279" i="85"/>
  <c r="M306" i="85"/>
  <c r="M307" i="85"/>
  <c r="M308" i="85"/>
  <c r="M276" i="85"/>
  <c r="M280" i="85"/>
  <c r="M105" i="85"/>
  <c r="M101" i="85"/>
  <c r="L224" i="145"/>
  <c r="L237" i="145"/>
  <c r="L236" i="145"/>
  <c r="L204" i="145"/>
  <c r="L228" i="145"/>
  <c r="L235" i="145"/>
  <c r="L205" i="145"/>
  <c r="L203" i="145"/>
  <c r="L210" i="145"/>
  <c r="L258" i="145"/>
  <c r="L229" i="145"/>
  <c r="L218" i="145"/>
  <c r="L217" i="145"/>
  <c r="L243" i="145"/>
  <c r="L220" i="145"/>
  <c r="L208" i="145"/>
  <c r="L263" i="145"/>
  <c r="L209" i="145"/>
  <c r="L225" i="145"/>
  <c r="L248" i="145"/>
  <c r="L257" i="145"/>
  <c r="L262" i="145"/>
  <c r="L247" i="145"/>
  <c r="L234" i="145"/>
  <c r="L250" i="145"/>
  <c r="L249" i="145"/>
  <c r="L259" i="145"/>
  <c r="L241" i="145"/>
  <c r="L226" i="145"/>
  <c r="L242" i="145"/>
  <c r="L230" i="145"/>
  <c r="L221" i="145"/>
  <c r="L253" i="145"/>
  <c r="L266" i="145"/>
  <c r="L232" i="145"/>
  <c r="L233" i="145"/>
  <c r="L256" i="145"/>
  <c r="L211" i="145"/>
  <c r="L219" i="145"/>
  <c r="L213" i="145"/>
  <c r="L222" i="145"/>
  <c r="L245" i="145"/>
  <c r="L207" i="145"/>
  <c r="L261" i="145"/>
  <c r="L260" i="145"/>
  <c r="L255" i="145"/>
  <c r="L238" i="145"/>
  <c r="L223" i="145"/>
  <c r="L252" i="145"/>
  <c r="L206" i="145"/>
  <c r="L244" i="145"/>
  <c r="L264" i="145"/>
  <c r="L214" i="145"/>
  <c r="L254" i="145"/>
  <c r="L216" i="145"/>
  <c r="L240" i="145"/>
  <c r="L215" i="145"/>
  <c r="L231" i="145"/>
  <c r="L246" i="145"/>
  <c r="L227" i="145"/>
  <c r="L265" i="145"/>
  <c r="L251" i="145"/>
  <c r="L239" i="145"/>
  <c r="L212" i="145"/>
  <c r="N50" i="85"/>
  <c r="L258" i="85"/>
  <c r="L225" i="85"/>
  <c r="L218" i="85"/>
  <c r="L226" i="85"/>
  <c r="L222" i="85"/>
  <c r="L245" i="85"/>
  <c r="L241" i="85"/>
  <c r="L251" i="85"/>
  <c r="L236" i="85"/>
  <c r="L255" i="85"/>
  <c r="L237" i="85"/>
  <c r="L250" i="85"/>
  <c r="L221" i="85"/>
  <c r="L234" i="85"/>
  <c r="L214" i="85"/>
  <c r="L230" i="85"/>
  <c r="L263" i="85"/>
  <c r="L246" i="85"/>
  <c r="L239" i="85"/>
  <c r="L217" i="85"/>
  <c r="L254" i="85"/>
  <c r="L220" i="85"/>
  <c r="L256" i="85"/>
  <c r="L260" i="85"/>
  <c r="L243" i="85"/>
  <c r="L232" i="85"/>
  <c r="L244" i="85"/>
  <c r="L224" i="85"/>
  <c r="L253" i="85"/>
  <c r="L233" i="85"/>
  <c r="L248" i="85"/>
  <c r="L219" i="85"/>
  <c r="L235" i="85"/>
  <c r="L238" i="85"/>
  <c r="L265" i="85"/>
  <c r="L216" i="85"/>
  <c r="L242" i="85"/>
  <c r="L266" i="85"/>
  <c r="L252" i="85"/>
  <c r="L249" i="85"/>
  <c r="L215" i="85"/>
  <c r="L223" i="85"/>
  <c r="L229" i="85"/>
  <c r="L259" i="85"/>
  <c r="L228" i="85"/>
  <c r="L264" i="85"/>
  <c r="L262" i="85"/>
  <c r="L231" i="85"/>
  <c r="L240" i="85"/>
  <c r="L247" i="85"/>
  <c r="L261" i="85"/>
  <c r="L227" i="85"/>
  <c r="L257" i="85"/>
  <c r="L166" i="145"/>
  <c r="L178" i="145"/>
  <c r="L193" i="145"/>
  <c r="L160" i="145"/>
  <c r="L184" i="145"/>
  <c r="L162" i="145"/>
  <c r="L177" i="145"/>
  <c r="L180" i="145"/>
  <c r="L176" i="145"/>
  <c r="L195" i="145"/>
  <c r="L186" i="145"/>
  <c r="L199" i="145"/>
  <c r="L167" i="145"/>
  <c r="L173" i="145"/>
  <c r="L197" i="145"/>
  <c r="L188" i="145"/>
  <c r="L192" i="145"/>
  <c r="L165" i="145"/>
  <c r="L179" i="145"/>
  <c r="L175" i="145"/>
  <c r="L168" i="145"/>
  <c r="L170" i="145"/>
  <c r="L198" i="145"/>
  <c r="L172" i="145"/>
  <c r="L169" i="145"/>
  <c r="L189" i="145"/>
  <c r="L202" i="145"/>
  <c r="L196" i="145"/>
  <c r="L174" i="145"/>
  <c r="L191" i="145"/>
  <c r="L181" i="145"/>
  <c r="L190" i="145"/>
  <c r="L187" i="145"/>
  <c r="L171" i="145"/>
  <c r="L182" i="145"/>
  <c r="L164" i="145"/>
  <c r="L201" i="145"/>
  <c r="L163" i="145"/>
  <c r="L194" i="145"/>
  <c r="L161" i="145"/>
  <c r="L200" i="145"/>
  <c r="L183" i="145"/>
  <c r="L185" i="145"/>
  <c r="L98" i="145"/>
  <c r="L87" i="145"/>
  <c r="L77" i="145"/>
  <c r="L70" i="145"/>
  <c r="L96" i="145"/>
  <c r="L83" i="145"/>
  <c r="L68" i="145"/>
  <c r="L92" i="145"/>
  <c r="L64" i="145"/>
  <c r="L66" i="145"/>
  <c r="L103" i="145"/>
  <c r="L62" i="145"/>
  <c r="L80" i="145"/>
  <c r="L75" i="145"/>
  <c r="L76" i="145"/>
  <c r="L63" i="145"/>
  <c r="L73" i="145"/>
  <c r="L93" i="145"/>
  <c r="L90" i="145"/>
  <c r="L58" i="145"/>
  <c r="L99" i="145"/>
  <c r="L100" i="145"/>
  <c r="L57" i="145"/>
  <c r="L97" i="145"/>
  <c r="L89" i="145"/>
  <c r="L79" i="145"/>
  <c r="L102" i="145"/>
  <c r="L88" i="145"/>
  <c r="L72" i="145"/>
  <c r="L67" i="145"/>
  <c r="L71" i="145"/>
  <c r="L105" i="145"/>
  <c r="L84" i="145"/>
  <c r="L85" i="145"/>
  <c r="L91" i="145"/>
  <c r="L95" i="145"/>
  <c r="L60" i="145"/>
  <c r="L65" i="145"/>
  <c r="L81" i="145"/>
  <c r="L106" i="145"/>
  <c r="L59" i="145"/>
  <c r="L82" i="145"/>
  <c r="L94" i="145"/>
  <c r="L104" i="145"/>
  <c r="L86" i="145"/>
  <c r="L61" i="145"/>
  <c r="L78" i="145"/>
  <c r="L101" i="145"/>
  <c r="L69" i="145"/>
  <c r="L74" i="145"/>
  <c r="F61" i="108"/>
  <c r="AN59" i="85"/>
  <c r="F59" i="108"/>
  <c r="AN57" i="85"/>
  <c r="J1" i="189"/>
  <c r="N51" i="85" s="1"/>
  <c r="F60" i="108"/>
  <c r="AN58" i="85"/>
  <c r="N60" i="108" s="1"/>
  <c r="L87" i="85"/>
  <c r="L92" i="85"/>
  <c r="L77" i="85"/>
  <c r="L103" i="85"/>
  <c r="L95" i="85"/>
  <c r="L68" i="85"/>
  <c r="L65" i="85"/>
  <c r="L58" i="85"/>
  <c r="G60" i="108" s="1"/>
  <c r="L75" i="85"/>
  <c r="L83" i="85"/>
  <c r="L76" i="85"/>
  <c r="L80" i="85"/>
  <c r="L97" i="85"/>
  <c r="L78" i="85"/>
  <c r="L90" i="85"/>
  <c r="L89" i="85"/>
  <c r="L63" i="85"/>
  <c r="L104" i="85"/>
  <c r="L59" i="85"/>
  <c r="G61" i="108" s="1"/>
  <c r="L62" i="85"/>
  <c r="L70" i="85"/>
  <c r="L102" i="85"/>
  <c r="L69" i="85"/>
  <c r="L100" i="85"/>
  <c r="L86" i="85"/>
  <c r="L98" i="85"/>
  <c r="L91" i="85"/>
  <c r="L85" i="85"/>
  <c r="L66" i="85"/>
  <c r="L84" i="85"/>
  <c r="L79" i="85"/>
  <c r="L81" i="85"/>
  <c r="L61" i="85"/>
  <c r="L82" i="85"/>
  <c r="L72" i="85"/>
  <c r="L93" i="85"/>
  <c r="L94" i="85"/>
  <c r="L64" i="85"/>
  <c r="L67" i="85"/>
  <c r="L106" i="85"/>
  <c r="L74" i="85"/>
  <c r="L88" i="85"/>
  <c r="L73" i="85"/>
  <c r="L71" i="85"/>
  <c r="L57" i="85"/>
  <c r="L60" i="85"/>
  <c r="G62" i="108" s="1"/>
  <c r="L96" i="85"/>
  <c r="L99" i="85"/>
  <c r="F62" i="108"/>
  <c r="AN60" i="85"/>
  <c r="AV16" i="105"/>
  <c r="C27" i="202" s="1"/>
  <c r="N54" i="85" l="1"/>
  <c r="AP54" i="85" s="1"/>
  <c r="K21" i="85" s="1"/>
  <c r="N288" i="85"/>
  <c r="N289" i="85"/>
  <c r="N292" i="85"/>
  <c r="N293" i="85"/>
  <c r="N311" i="85"/>
  <c r="N312" i="85"/>
  <c r="N313" i="85"/>
  <c r="N314" i="85"/>
  <c r="N315" i="85"/>
  <c r="N316" i="85"/>
  <c r="N290" i="85"/>
  <c r="N291" i="85"/>
  <c r="N317" i="85"/>
  <c r="N309" i="85"/>
  <c r="N310" i="85"/>
  <c r="N267" i="85"/>
  <c r="N268" i="85"/>
  <c r="N269" i="85"/>
  <c r="N270" i="85"/>
  <c r="N274" i="85"/>
  <c r="N275" i="85"/>
  <c r="N281" i="85"/>
  <c r="N271" i="85"/>
  <c r="N272" i="85"/>
  <c r="N273" i="85"/>
  <c r="N276" i="85"/>
  <c r="N278" i="85"/>
  <c r="N283" i="85"/>
  <c r="N284" i="85"/>
  <c r="N285" i="85"/>
  <c r="N297" i="85"/>
  <c r="N286" i="85"/>
  <c r="N287" i="85"/>
  <c r="N294" i="85"/>
  <c r="N295" i="85"/>
  <c r="N296" i="85"/>
  <c r="N298" i="85"/>
  <c r="N299" i="85"/>
  <c r="N300" i="85"/>
  <c r="N301" i="85"/>
  <c r="N302" i="85"/>
  <c r="N303" i="85"/>
  <c r="N304" i="85"/>
  <c r="N305" i="85"/>
  <c r="N306" i="85"/>
  <c r="N307" i="85"/>
  <c r="N280" i="85"/>
  <c r="N282" i="85"/>
  <c r="N308" i="85"/>
  <c r="N277" i="85"/>
  <c r="N279" i="85"/>
  <c r="N105" i="85"/>
  <c r="N101" i="85"/>
  <c r="N59" i="108"/>
  <c r="N61" i="108"/>
  <c r="M250" i="85"/>
  <c r="M241" i="85"/>
  <c r="M237" i="85"/>
  <c r="M234" i="85"/>
  <c r="M239" i="85"/>
  <c r="M214" i="85"/>
  <c r="M246" i="85"/>
  <c r="M251" i="85"/>
  <c r="M254" i="85"/>
  <c r="M222" i="85"/>
  <c r="M221" i="85"/>
  <c r="M225" i="85"/>
  <c r="M255" i="85"/>
  <c r="M263" i="85"/>
  <c r="M266" i="85"/>
  <c r="M252" i="85"/>
  <c r="M245" i="85"/>
  <c r="M220" i="85"/>
  <c r="M236" i="85"/>
  <c r="M217" i="85"/>
  <c r="M218" i="85"/>
  <c r="M253" i="85"/>
  <c r="M264" i="85"/>
  <c r="M261" i="85"/>
  <c r="M219" i="85"/>
  <c r="M247" i="85"/>
  <c r="M223" i="85"/>
  <c r="M259" i="85"/>
  <c r="M244" i="85"/>
  <c r="M228" i="85"/>
  <c r="M238" i="85"/>
  <c r="M265" i="85"/>
  <c r="M258" i="85"/>
  <c r="M226" i="85"/>
  <c r="M240" i="85"/>
  <c r="M233" i="85"/>
  <c r="M243" i="85"/>
  <c r="M262" i="85"/>
  <c r="M257" i="85"/>
  <c r="M256" i="85"/>
  <c r="M215" i="85"/>
  <c r="M248" i="85"/>
  <c r="M242" i="85"/>
  <c r="M230" i="85"/>
  <c r="M224" i="85"/>
  <c r="M260" i="85"/>
  <c r="M235" i="85"/>
  <c r="M249" i="85"/>
  <c r="M229" i="85"/>
  <c r="M227" i="85"/>
  <c r="M232" i="85"/>
  <c r="M216" i="85"/>
  <c r="M231" i="85"/>
  <c r="O50" i="85"/>
  <c r="N62" i="108"/>
  <c r="G59" i="108"/>
  <c r="M87" i="85"/>
  <c r="M80" i="85"/>
  <c r="M86" i="85"/>
  <c r="M89" i="85"/>
  <c r="M65" i="85"/>
  <c r="M97" i="85"/>
  <c r="M82" i="85"/>
  <c r="M100" i="85"/>
  <c r="M95" i="85"/>
  <c r="M77" i="85"/>
  <c r="M103" i="85"/>
  <c r="M75" i="85"/>
  <c r="M92" i="85"/>
  <c r="M69" i="85"/>
  <c r="M68" i="85"/>
  <c r="M78" i="85"/>
  <c r="M58" i="85"/>
  <c r="M83" i="85"/>
  <c r="M104" i="85"/>
  <c r="M76" i="85"/>
  <c r="M73" i="85"/>
  <c r="M99" i="85"/>
  <c r="M71" i="85"/>
  <c r="M102" i="85"/>
  <c r="M98" i="85"/>
  <c r="M64" i="85"/>
  <c r="M79" i="85"/>
  <c r="M67" i="85"/>
  <c r="M61" i="85"/>
  <c r="M90" i="85"/>
  <c r="M63" i="85"/>
  <c r="M94" i="85"/>
  <c r="M88" i="85"/>
  <c r="M60" i="85"/>
  <c r="M59" i="85"/>
  <c r="M91" i="85"/>
  <c r="M62" i="85"/>
  <c r="M85" i="85"/>
  <c r="M72" i="85"/>
  <c r="M84" i="85"/>
  <c r="M96" i="85"/>
  <c r="M74" i="85"/>
  <c r="M57" i="85"/>
  <c r="M66" i="85"/>
  <c r="M70" i="85"/>
  <c r="M93" i="85"/>
  <c r="M81" i="85"/>
  <c r="M106" i="85"/>
  <c r="K1" i="189"/>
  <c r="F205" i="27" l="1"/>
  <c r="FC205" i="27" s="1"/>
  <c r="F196" i="27"/>
  <c r="F192" i="27"/>
  <c r="FC192" i="27" s="1"/>
  <c r="F189" i="27"/>
  <c r="F194" i="27"/>
  <c r="F169" i="27"/>
  <c r="FC169" i="27" s="1"/>
  <c r="F201" i="27"/>
  <c r="F206" i="27"/>
  <c r="F209" i="27"/>
  <c r="FC209" i="27" s="1"/>
  <c r="F177" i="27"/>
  <c r="FB177" i="27" s="1"/>
  <c r="F176" i="27"/>
  <c r="F180" i="27"/>
  <c r="F210" i="27"/>
  <c r="FB210" i="27" s="1"/>
  <c r="F218" i="27"/>
  <c r="F221" i="27"/>
  <c r="F207" i="27"/>
  <c r="F200" i="27"/>
  <c r="FC200" i="27" s="1"/>
  <c r="F175" i="27"/>
  <c r="F191" i="27"/>
  <c r="F172" i="27"/>
  <c r="F173" i="27"/>
  <c r="F208" i="27"/>
  <c r="FC208" i="27" s="1"/>
  <c r="F219" i="27"/>
  <c r="F216" i="27"/>
  <c r="F174" i="27"/>
  <c r="FC174" i="27" s="1"/>
  <c r="F202" i="27"/>
  <c r="F178" i="27"/>
  <c r="F214" i="27"/>
  <c r="FB214" i="27" s="1"/>
  <c r="F199" i="27"/>
  <c r="F183" i="27"/>
  <c r="F193" i="27"/>
  <c r="FC193" i="27" s="1"/>
  <c r="F220" i="27"/>
  <c r="F213" i="27"/>
  <c r="F181" i="27"/>
  <c r="FH181" i="27" s="1"/>
  <c r="F195" i="27"/>
  <c r="F188" i="27"/>
  <c r="F198" i="27"/>
  <c r="F217" i="27"/>
  <c r="F212" i="27"/>
  <c r="F211" i="27"/>
  <c r="F170" i="27"/>
  <c r="F203" i="27"/>
  <c r="F197" i="27"/>
  <c r="EZ197" i="27" s="1"/>
  <c r="F185" i="27"/>
  <c r="F179" i="27"/>
  <c r="F215" i="27"/>
  <c r="F190" i="27"/>
  <c r="F204" i="27"/>
  <c r="F184" i="27"/>
  <c r="F182" i="27"/>
  <c r="F187" i="27"/>
  <c r="FB187" i="27" s="1"/>
  <c r="F171" i="27"/>
  <c r="F186" i="27"/>
  <c r="P51" i="145"/>
  <c r="P226" i="145" s="1"/>
  <c r="AL51" i="85"/>
  <c r="P50" i="85"/>
  <c r="P262" i="145"/>
  <c r="P171" i="145"/>
  <c r="P77" i="145"/>
  <c r="Q50" i="85"/>
  <c r="R50" i="85" s="1"/>
  <c r="N236" i="85"/>
  <c r="N259" i="85"/>
  <c r="N246" i="85"/>
  <c r="N234" i="85"/>
  <c r="N217" i="85"/>
  <c r="N250" i="85"/>
  <c r="N254" i="85"/>
  <c r="N222" i="85"/>
  <c r="N221" i="85"/>
  <c r="N251" i="85"/>
  <c r="N258" i="85"/>
  <c r="N263" i="85"/>
  <c r="N245" i="85"/>
  <c r="N239" i="85"/>
  <c r="N225" i="85"/>
  <c r="N220" i="85"/>
  <c r="N218" i="85"/>
  <c r="N255" i="85"/>
  <c r="N214" i="85"/>
  <c r="N241" i="85"/>
  <c r="N252" i="85"/>
  <c r="N224" i="85"/>
  <c r="N232" i="85"/>
  <c r="N247" i="85"/>
  <c r="N216" i="85"/>
  <c r="N227" i="85"/>
  <c r="N253" i="85"/>
  <c r="N244" i="85"/>
  <c r="N233" i="85"/>
  <c r="N260" i="85"/>
  <c r="N257" i="85"/>
  <c r="N256" i="85"/>
  <c r="N219" i="85"/>
  <c r="N228" i="85"/>
  <c r="N248" i="85"/>
  <c r="N223" i="85"/>
  <c r="N261" i="85"/>
  <c r="N237" i="85"/>
  <c r="N226" i="85"/>
  <c r="N243" i="85"/>
  <c r="N262" i="85"/>
  <c r="N238" i="85"/>
  <c r="N231" i="85"/>
  <c r="N266" i="85"/>
  <c r="N230" i="85"/>
  <c r="N240" i="85"/>
  <c r="N215" i="85"/>
  <c r="N242" i="85"/>
  <c r="N229" i="85"/>
  <c r="N249" i="85"/>
  <c r="N264" i="85"/>
  <c r="N235" i="85"/>
  <c r="N265" i="85"/>
  <c r="F26" i="27"/>
  <c r="F61" i="27"/>
  <c r="F21" i="27"/>
  <c r="F40" i="27"/>
  <c r="F57" i="27"/>
  <c r="F59" i="27"/>
  <c r="F56" i="27"/>
  <c r="F17" i="27"/>
  <c r="F55" i="27"/>
  <c r="F29" i="27"/>
  <c r="F46" i="27"/>
  <c r="F22" i="27"/>
  <c r="F54" i="27"/>
  <c r="F38" i="27"/>
  <c r="F23" i="27"/>
  <c r="F37" i="27"/>
  <c r="F42" i="27"/>
  <c r="H59" i="108"/>
  <c r="F12" i="27"/>
  <c r="F58" i="27"/>
  <c r="F51" i="27"/>
  <c r="H61" i="108"/>
  <c r="F14" i="27"/>
  <c r="F28" i="27"/>
  <c r="H60" i="108"/>
  <c r="F13" i="27"/>
  <c r="F52" i="27"/>
  <c r="F16" i="27"/>
  <c r="F39" i="27"/>
  <c r="F49" i="27"/>
  <c r="F34" i="27"/>
  <c r="F24" i="27"/>
  <c r="F20" i="27"/>
  <c r="N82" i="85"/>
  <c r="N78" i="85"/>
  <c r="N90" i="85"/>
  <c r="N86" i="85"/>
  <c r="N65" i="85"/>
  <c r="N97" i="85"/>
  <c r="N100" i="85"/>
  <c r="N87" i="85"/>
  <c r="N80" i="85"/>
  <c r="N95" i="85"/>
  <c r="N89" i="85"/>
  <c r="N76" i="85"/>
  <c r="N92" i="85"/>
  <c r="N69" i="85"/>
  <c r="N77" i="85"/>
  <c r="N94" i="85"/>
  <c r="N96" i="85"/>
  <c r="N74" i="85"/>
  <c r="N72" i="85"/>
  <c r="N99" i="85"/>
  <c r="N102" i="85"/>
  <c r="N68" i="85"/>
  <c r="N98" i="85"/>
  <c r="N64" i="85"/>
  <c r="N75" i="85"/>
  <c r="N103" i="85"/>
  <c r="N106" i="85"/>
  <c r="N104" i="85"/>
  <c r="N63" i="85"/>
  <c r="N93" i="85"/>
  <c r="N84" i="85"/>
  <c r="N81" i="85"/>
  <c r="N71" i="85"/>
  <c r="N88" i="85"/>
  <c r="N58" i="85"/>
  <c r="N85" i="85"/>
  <c r="N73" i="85"/>
  <c r="N79" i="85"/>
  <c r="N60" i="85"/>
  <c r="N83" i="85"/>
  <c r="N67" i="85"/>
  <c r="N57" i="85"/>
  <c r="N62" i="85"/>
  <c r="N66" i="85"/>
  <c r="N70" i="85"/>
  <c r="N59" i="85"/>
  <c r="N61" i="85"/>
  <c r="N91" i="85"/>
  <c r="F60" i="27"/>
  <c r="F18" i="27"/>
  <c r="F19" i="27"/>
  <c r="F47" i="27"/>
  <c r="F32" i="27"/>
  <c r="F44" i="27"/>
  <c r="F36" i="27"/>
  <c r="L1" i="189"/>
  <c r="F48" i="27"/>
  <c r="F27" i="27"/>
  <c r="F15" i="27"/>
  <c r="H62" i="108"/>
  <c r="F41" i="27"/>
  <c r="F43" i="27"/>
  <c r="F25" i="27"/>
  <c r="F45" i="27"/>
  <c r="F53" i="27"/>
  <c r="F31" i="27"/>
  <c r="F33" i="27"/>
  <c r="F30" i="27"/>
  <c r="F50" i="27"/>
  <c r="F35" i="27"/>
  <c r="P96" i="145" l="1"/>
  <c r="P224" i="145"/>
  <c r="P229" i="145"/>
  <c r="P93" i="145"/>
  <c r="P218" i="145"/>
  <c r="P106" i="145"/>
  <c r="P67" i="145"/>
  <c r="P69" i="145"/>
  <c r="P57" i="145"/>
  <c r="P81" i="145"/>
  <c r="P98" i="145"/>
  <c r="P167" i="145"/>
  <c r="P248" i="145"/>
  <c r="P234" i="145"/>
  <c r="P259" i="145"/>
  <c r="P255" i="145"/>
  <c r="P184" i="145"/>
  <c r="P207" i="145"/>
  <c r="P256" i="145"/>
  <c r="P71" i="145"/>
  <c r="P242" i="145"/>
  <c r="P87" i="145"/>
  <c r="P265" i="145"/>
  <c r="P103" i="145"/>
  <c r="P210" i="145"/>
  <c r="P97" i="145"/>
  <c r="P233" i="145"/>
  <c r="P95" i="145"/>
  <c r="P261" i="145"/>
  <c r="P80" i="145"/>
  <c r="P192" i="145"/>
  <c r="P231" i="145"/>
  <c r="P76" i="145"/>
  <c r="P217" i="145"/>
  <c r="P100" i="145"/>
  <c r="P199" i="145"/>
  <c r="P258" i="145"/>
  <c r="P91" i="145"/>
  <c r="P254" i="145"/>
  <c r="P190" i="145"/>
  <c r="P206" i="145"/>
  <c r="P84" i="145"/>
  <c r="P253" i="145"/>
  <c r="P165" i="145"/>
  <c r="P60" i="145"/>
  <c r="P211" i="145"/>
  <c r="P228" i="145"/>
  <c r="P58" i="145"/>
  <c r="P252" i="145"/>
  <c r="P205" i="145"/>
  <c r="P88" i="145"/>
  <c r="P227" i="145"/>
  <c r="P177" i="145"/>
  <c r="P264" i="145"/>
  <c r="P85" i="145"/>
  <c r="P212" i="145"/>
  <c r="P188" i="145"/>
  <c r="P260" i="145"/>
  <c r="P104" i="145"/>
  <c r="P241" i="145"/>
  <c r="P170" i="145"/>
  <c r="P216" i="145"/>
  <c r="P68" i="145"/>
  <c r="P223" i="145"/>
  <c r="P72" i="145"/>
  <c r="P64" i="145"/>
  <c r="P203" i="145"/>
  <c r="P246" i="145"/>
  <c r="P247" i="145"/>
  <c r="P101" i="145"/>
  <c r="P90" i="145"/>
  <c r="P208" i="145"/>
  <c r="P214" i="145"/>
  <c r="P169" i="145"/>
  <c r="P62" i="145"/>
  <c r="P232" i="145"/>
  <c r="P89" i="145"/>
  <c r="P79" i="145"/>
  <c r="P237" i="145"/>
  <c r="P222" i="145"/>
  <c r="P235" i="145"/>
  <c r="P70" i="145"/>
  <c r="P82" i="145"/>
  <c r="P266" i="145"/>
  <c r="P257" i="145"/>
  <c r="P191" i="145"/>
  <c r="P213" i="145"/>
  <c r="P209" i="145"/>
  <c r="P220" i="145"/>
  <c r="P162" i="145"/>
  <c r="P174" i="145"/>
  <c r="P239" i="145"/>
  <c r="P240" i="145"/>
  <c r="P180" i="145"/>
  <c r="P244" i="145"/>
  <c r="P183" i="145"/>
  <c r="P86" i="145"/>
  <c r="P66" i="145"/>
  <c r="P74" i="145"/>
  <c r="P187" i="145"/>
  <c r="P249" i="145"/>
  <c r="P215" i="145"/>
  <c r="P178" i="145"/>
  <c r="P172" i="145"/>
  <c r="P250" i="145"/>
  <c r="P194" i="145"/>
  <c r="P196" i="145"/>
  <c r="P160" i="145"/>
  <c r="P63" i="145"/>
  <c r="P75" i="145"/>
  <c r="P189" i="145"/>
  <c r="P263" i="145"/>
  <c r="P230" i="145"/>
  <c r="P161" i="145"/>
  <c r="P168" i="145"/>
  <c r="P83" i="145"/>
  <c r="P59" i="145"/>
  <c r="P65" i="145"/>
  <c r="P185" i="145"/>
  <c r="P202" i="145"/>
  <c r="P201" i="145"/>
  <c r="P166" i="145"/>
  <c r="P176" i="145"/>
  <c r="P94" i="145"/>
  <c r="P78" i="145"/>
  <c r="P99" i="145"/>
  <c r="P198" i="145"/>
  <c r="P204" i="145"/>
  <c r="P182" i="145"/>
  <c r="P195" i="145"/>
  <c r="P219" i="145"/>
  <c r="P105" i="145"/>
  <c r="P221" i="145"/>
  <c r="P175" i="145"/>
  <c r="P173" i="145"/>
  <c r="P163" i="145"/>
  <c r="P186" i="145"/>
  <c r="P251" i="145"/>
  <c r="P102" i="145"/>
  <c r="P61" i="145"/>
  <c r="P236" i="145"/>
  <c r="P197" i="145"/>
  <c r="P181" i="145"/>
  <c r="P179" i="145"/>
  <c r="P245" i="145"/>
  <c r="P243" i="145"/>
  <c r="P92" i="145"/>
  <c r="P73" i="145"/>
  <c r="P200" i="145"/>
  <c r="P238" i="145"/>
  <c r="P164" i="145"/>
  <c r="P193" i="145"/>
  <c r="P225" i="145"/>
  <c r="FH196" i="27"/>
  <c r="EZ196" i="27"/>
  <c r="AC241" i="145" s="1"/>
  <c r="FC196" i="27"/>
  <c r="FF196" i="27" s="1"/>
  <c r="FB196" i="27"/>
  <c r="FE196" i="27" s="1"/>
  <c r="FB189" i="27"/>
  <c r="FE189" i="27" s="1"/>
  <c r="FC189" i="27"/>
  <c r="FF189" i="27" s="1"/>
  <c r="FB173" i="27"/>
  <c r="FE173" i="27" s="1"/>
  <c r="FC173" i="27"/>
  <c r="FF173" i="27" s="1"/>
  <c r="FH170" i="27"/>
  <c r="FC170" i="27"/>
  <c r="FF170" i="27" s="1"/>
  <c r="FB170" i="27"/>
  <c r="FE170" i="27" s="1"/>
  <c r="FB192" i="27"/>
  <c r="FE192" i="27" s="1"/>
  <c r="FH205" i="27"/>
  <c r="EZ205" i="27"/>
  <c r="AC250" i="145" s="1"/>
  <c r="FB205" i="27"/>
  <c r="FE205" i="27" s="1"/>
  <c r="EZ170" i="27"/>
  <c r="EZ169" i="27"/>
  <c r="FH169" i="27"/>
  <c r="FB169" i="27"/>
  <c r="FE169" i="27" s="1"/>
  <c r="FH187" i="27"/>
  <c r="EZ174" i="27"/>
  <c r="FD174" i="27" s="1"/>
  <c r="FH174" i="27"/>
  <c r="FB174" i="27"/>
  <c r="FE174" i="27" s="1"/>
  <c r="FB200" i="27"/>
  <c r="FE200" i="27" s="1"/>
  <c r="EZ200" i="27"/>
  <c r="FD200" i="27" s="1"/>
  <c r="FH200" i="27"/>
  <c r="EZ187" i="27"/>
  <c r="AC232" i="145" s="1"/>
  <c r="FH189" i="27"/>
  <c r="EZ189" i="27"/>
  <c r="FC187" i="27"/>
  <c r="FF187" i="27" s="1"/>
  <c r="FH209" i="27"/>
  <c r="FC177" i="27"/>
  <c r="FF177" i="27" s="1"/>
  <c r="EZ209" i="27"/>
  <c r="FD209" i="27" s="1"/>
  <c r="FB209" i="27"/>
  <c r="FE209" i="27" s="1"/>
  <c r="EZ173" i="27"/>
  <c r="FH173" i="27"/>
  <c r="FH192" i="27"/>
  <c r="EZ192" i="27"/>
  <c r="FH210" i="27"/>
  <c r="FC210" i="27"/>
  <c r="EZ210" i="27"/>
  <c r="FC221" i="27"/>
  <c r="FF221" i="27" s="1"/>
  <c r="FH221" i="27"/>
  <c r="FC172" i="27"/>
  <c r="FB172" i="27"/>
  <c r="FE172" i="27" s="1"/>
  <c r="FC214" i="27"/>
  <c r="FH214" i="27"/>
  <c r="EZ214" i="27"/>
  <c r="FC180" i="27"/>
  <c r="FB180" i="27"/>
  <c r="FE180" i="27" s="1"/>
  <c r="FH180" i="27"/>
  <c r="EZ180" i="27"/>
  <c r="FH172" i="27"/>
  <c r="EZ172" i="27"/>
  <c r="FC178" i="27"/>
  <c r="FF178" i="27" s="1"/>
  <c r="FB178" i="27"/>
  <c r="FE178" i="27" s="1"/>
  <c r="FB219" i="27"/>
  <c r="FE219" i="27" s="1"/>
  <c r="FC219" i="27"/>
  <c r="FH219" i="27"/>
  <c r="EZ219" i="27"/>
  <c r="FB206" i="27"/>
  <c r="FE206" i="27" s="1"/>
  <c r="FC206" i="27"/>
  <c r="FF206" i="27" s="1"/>
  <c r="FC212" i="27"/>
  <c r="FB212" i="27"/>
  <c r="FE212" i="27" s="1"/>
  <c r="FH212" i="27"/>
  <c r="EZ212" i="27"/>
  <c r="FB179" i="27"/>
  <c r="FE179" i="27" s="1"/>
  <c r="FC179" i="27"/>
  <c r="EZ179" i="27"/>
  <c r="FH179" i="27"/>
  <c r="EZ215" i="27"/>
  <c r="AC260" i="145" s="1"/>
  <c r="FC215" i="27"/>
  <c r="FB215" i="27"/>
  <c r="FH215" i="27"/>
  <c r="FC190" i="27"/>
  <c r="FB190" i="27"/>
  <c r="FE190" i="27" s="1"/>
  <c r="FH190" i="27"/>
  <c r="EZ190" i="27"/>
  <c r="FC184" i="27"/>
  <c r="FF184" i="27" s="1"/>
  <c r="FB184" i="27"/>
  <c r="FE184" i="27" s="1"/>
  <c r="FH184" i="27"/>
  <c r="EZ184" i="27"/>
  <c r="FC182" i="27"/>
  <c r="FB182" i="27"/>
  <c r="FE182" i="27" s="1"/>
  <c r="FH182" i="27"/>
  <c r="EZ182" i="27"/>
  <c r="EZ177" i="27"/>
  <c r="FH177" i="27"/>
  <c r="FH202" i="27"/>
  <c r="EZ202" i="27"/>
  <c r="AC247" i="145" s="1"/>
  <c r="FC183" i="27"/>
  <c r="FF183" i="27" s="1"/>
  <c r="FB183" i="27"/>
  <c r="FE183" i="27" s="1"/>
  <c r="FC176" i="27"/>
  <c r="FB176" i="27"/>
  <c r="FE176" i="27" s="1"/>
  <c r="EZ176" i="27"/>
  <c r="FH176" i="27"/>
  <c r="FB191" i="27"/>
  <c r="FE191" i="27" s="1"/>
  <c r="EZ191" i="27"/>
  <c r="FB202" i="27"/>
  <c r="FC202" i="27"/>
  <c r="FC213" i="27"/>
  <c r="FB213" i="27"/>
  <c r="FE213" i="27" s="1"/>
  <c r="EZ213" i="27"/>
  <c r="FH213" i="27"/>
  <c r="FH206" i="27"/>
  <c r="EZ206" i="27"/>
  <c r="EZ199" i="27"/>
  <c r="FH199" i="27"/>
  <c r="FH183" i="27"/>
  <c r="EZ183" i="27"/>
  <c r="FH218" i="27"/>
  <c r="FC218" i="27"/>
  <c r="FB218" i="27"/>
  <c r="FE218" i="27" s="1"/>
  <c r="EZ218" i="27"/>
  <c r="FH178" i="27"/>
  <c r="EZ178" i="27"/>
  <c r="FC199" i="27"/>
  <c r="FB199" i="27"/>
  <c r="FE199" i="27" s="1"/>
  <c r="FC181" i="27"/>
  <c r="FB181" i="27"/>
  <c r="FE181" i="27" s="1"/>
  <c r="EZ181" i="27"/>
  <c r="AC226" i="145" s="1"/>
  <c r="FC198" i="27"/>
  <c r="FB198" i="27"/>
  <c r="FE198" i="27" s="1"/>
  <c r="FH198" i="27"/>
  <c r="EZ198" i="27"/>
  <c r="FB194" i="27"/>
  <c r="FE194" i="27" s="1"/>
  <c r="FC194" i="27"/>
  <c r="FH194" i="27"/>
  <c r="EZ194" i="27"/>
  <c r="FB201" i="27"/>
  <c r="FE201" i="27" s="1"/>
  <c r="FC201" i="27"/>
  <c r="EZ201" i="27"/>
  <c r="FH201" i="27"/>
  <c r="FB221" i="27"/>
  <c r="FE221" i="27" s="1"/>
  <c r="EZ221" i="27"/>
  <c r="FH207" i="27"/>
  <c r="EZ207" i="27"/>
  <c r="FB207" i="27"/>
  <c r="FE207" i="27" s="1"/>
  <c r="FC207" i="27"/>
  <c r="FB175" i="27"/>
  <c r="FE175" i="27" s="1"/>
  <c r="FC175" i="27"/>
  <c r="FF175" i="27" s="1"/>
  <c r="EZ216" i="27"/>
  <c r="FH216" i="27"/>
  <c r="FB216" i="27"/>
  <c r="FE216" i="27" s="1"/>
  <c r="FC216" i="27"/>
  <c r="FC220" i="27"/>
  <c r="FF220" i="27" s="1"/>
  <c r="FB220" i="27"/>
  <c r="FE220" i="27" s="1"/>
  <c r="FH220" i="27"/>
  <c r="EZ220" i="27"/>
  <c r="AC265" i="145" s="1"/>
  <c r="FC195" i="27"/>
  <c r="FB195" i="27"/>
  <c r="FE195" i="27" s="1"/>
  <c r="FH195" i="27"/>
  <c r="EZ195" i="27"/>
  <c r="FH188" i="27"/>
  <c r="FC188" i="27"/>
  <c r="FB188" i="27"/>
  <c r="FE188" i="27" s="1"/>
  <c r="EZ188" i="27"/>
  <c r="FB217" i="27"/>
  <c r="FE217" i="27" s="1"/>
  <c r="EZ217" i="27"/>
  <c r="FH217" i="27"/>
  <c r="FC217" i="27"/>
  <c r="EZ185" i="27"/>
  <c r="FH185" i="27"/>
  <c r="FB185" i="27"/>
  <c r="FE185" i="27" s="1"/>
  <c r="FC185" i="27"/>
  <c r="FB171" i="27"/>
  <c r="FE171" i="27" s="1"/>
  <c r="EZ171" i="27"/>
  <c r="FH171" i="27"/>
  <c r="FC171" i="27"/>
  <c r="FH191" i="27"/>
  <c r="FC191" i="27"/>
  <c r="FC211" i="27"/>
  <c r="FB211" i="27"/>
  <c r="FE211" i="27" s="1"/>
  <c r="EZ211" i="27"/>
  <c r="FH211" i="27"/>
  <c r="FB208" i="27"/>
  <c r="FE208" i="27" s="1"/>
  <c r="FH208" i="27"/>
  <c r="EZ208" i="27"/>
  <c r="FC197" i="27"/>
  <c r="FB197" i="27"/>
  <c r="FH197" i="27"/>
  <c r="FC186" i="27"/>
  <c r="FB186" i="27"/>
  <c r="FE186" i="27" s="1"/>
  <c r="FH186" i="27"/>
  <c r="EZ186" i="27"/>
  <c r="AL292" i="85"/>
  <c r="AL293" i="85"/>
  <c r="AL310" i="85"/>
  <c r="AL311" i="85"/>
  <c r="AL312" i="85"/>
  <c r="AL313" i="85"/>
  <c r="AL314" i="85"/>
  <c r="AL315" i="85"/>
  <c r="AL316" i="85"/>
  <c r="AL317" i="85"/>
  <c r="AL288" i="85"/>
  <c r="AL309" i="85"/>
  <c r="AL267" i="85"/>
  <c r="AL291" i="85"/>
  <c r="AL289" i="85"/>
  <c r="AL290" i="85"/>
  <c r="AL268" i="85"/>
  <c r="AL269" i="85"/>
  <c r="AL270" i="85"/>
  <c r="AL280" i="85"/>
  <c r="AL271" i="85"/>
  <c r="AL272" i="85"/>
  <c r="AL273" i="85"/>
  <c r="AL274" i="85"/>
  <c r="AL275" i="85"/>
  <c r="AL276" i="85"/>
  <c r="AL277" i="85"/>
  <c r="AL283" i="85"/>
  <c r="AL284" i="85"/>
  <c r="AL285" i="85"/>
  <c r="AL297" i="85"/>
  <c r="AL286" i="85"/>
  <c r="AL287" i="85"/>
  <c r="AL294" i="85"/>
  <c r="AL295" i="85"/>
  <c r="AL296" i="85"/>
  <c r="AL298" i="85"/>
  <c r="AL299" i="85"/>
  <c r="AL300" i="85"/>
  <c r="AL301" i="85"/>
  <c r="AL282" i="85"/>
  <c r="AL302" i="85"/>
  <c r="AL303" i="85"/>
  <c r="AL304" i="85"/>
  <c r="AL279" i="85"/>
  <c r="AL305" i="85"/>
  <c r="AL306" i="85"/>
  <c r="AL307" i="85"/>
  <c r="AL308" i="85"/>
  <c r="AL278" i="85"/>
  <c r="AL281" i="85"/>
  <c r="FH175" i="27"/>
  <c r="EZ175" i="27"/>
  <c r="FB193" i="27"/>
  <c r="FE193" i="27" s="1"/>
  <c r="FH193" i="27"/>
  <c r="EZ193" i="27"/>
  <c r="FC203" i="27"/>
  <c r="FB203" i="27"/>
  <c r="FE203" i="27" s="1"/>
  <c r="FH203" i="27"/>
  <c r="EZ203" i="27"/>
  <c r="FC204" i="27"/>
  <c r="FB204" i="27"/>
  <c r="FE204" i="27" s="1"/>
  <c r="EZ204" i="27"/>
  <c r="FH204" i="27"/>
  <c r="AL105" i="85"/>
  <c r="AL101" i="85"/>
  <c r="FE187" i="27"/>
  <c r="FE177" i="27"/>
  <c r="FE214" i="27"/>
  <c r="FE210" i="27"/>
  <c r="FF209" i="27"/>
  <c r="FF169" i="27"/>
  <c r="FF193" i="27"/>
  <c r="FF192" i="27"/>
  <c r="FF174" i="27"/>
  <c r="AC242" i="145"/>
  <c r="FF208" i="27"/>
  <c r="FF205" i="27"/>
  <c r="FF200" i="27"/>
  <c r="AL255" i="85"/>
  <c r="AL250" i="85"/>
  <c r="AL239" i="85"/>
  <c r="AL236" i="85"/>
  <c r="AL214" i="85"/>
  <c r="AL220" i="85"/>
  <c r="AL258" i="85"/>
  <c r="AL253" i="85"/>
  <c r="AL237" i="85"/>
  <c r="AL254" i="85"/>
  <c r="AL246" i="85"/>
  <c r="AL221" i="85"/>
  <c r="AL241" i="85"/>
  <c r="AL225" i="85"/>
  <c r="AL251" i="85"/>
  <c r="AL234" i="85"/>
  <c r="AL217" i="85"/>
  <c r="AL222" i="85"/>
  <c r="AL263" i="85"/>
  <c r="AL252" i="85"/>
  <c r="AL226" i="85"/>
  <c r="AL245" i="85"/>
  <c r="AL218" i="85"/>
  <c r="AL262" i="85"/>
  <c r="AL265" i="85"/>
  <c r="AL257" i="85"/>
  <c r="AL259" i="85"/>
  <c r="AL264" i="85"/>
  <c r="AL235" i="85"/>
  <c r="AL216" i="85"/>
  <c r="AL219" i="85"/>
  <c r="AL243" i="85"/>
  <c r="AL247" i="85"/>
  <c r="AL223" i="85"/>
  <c r="AL229" i="85"/>
  <c r="AL230" i="85"/>
  <c r="AL232" i="85"/>
  <c r="AL238" i="85"/>
  <c r="AL244" i="85"/>
  <c r="AL233" i="85"/>
  <c r="AL231" i="85"/>
  <c r="AL240" i="85"/>
  <c r="AL228" i="85"/>
  <c r="AL215" i="85"/>
  <c r="AL248" i="85"/>
  <c r="AL242" i="85"/>
  <c r="AL261" i="85"/>
  <c r="AL256" i="85"/>
  <c r="AL260" i="85"/>
  <c r="AL266" i="85"/>
  <c r="AL224" i="85"/>
  <c r="AL249" i="85"/>
  <c r="AL227" i="85"/>
  <c r="AL66" i="85"/>
  <c r="AL89" i="85"/>
  <c r="AL80" i="85"/>
  <c r="AL92" i="85"/>
  <c r="AL79" i="85"/>
  <c r="AL88" i="85"/>
  <c r="AL63" i="85"/>
  <c r="AL90" i="85"/>
  <c r="AL99" i="85"/>
  <c r="AL75" i="85"/>
  <c r="AL64" i="85"/>
  <c r="AL85" i="85"/>
  <c r="AL78" i="85"/>
  <c r="AL95" i="85"/>
  <c r="AL91" i="85"/>
  <c r="AL76" i="85"/>
  <c r="AL77" i="85"/>
  <c r="AL62" i="85"/>
  <c r="AL67" i="85"/>
  <c r="AL104" i="85"/>
  <c r="AL81" i="85"/>
  <c r="AL87" i="85"/>
  <c r="AL94" i="85"/>
  <c r="AL61" i="85"/>
  <c r="AL60" i="85"/>
  <c r="AL65" i="85"/>
  <c r="AL97" i="85"/>
  <c r="AL68" i="85"/>
  <c r="AL93" i="85"/>
  <c r="AL103" i="85"/>
  <c r="AL83" i="85"/>
  <c r="AL84" i="85"/>
  <c r="AL71" i="85"/>
  <c r="AL58" i="85"/>
  <c r="AL72" i="85"/>
  <c r="AL74" i="85"/>
  <c r="AL82" i="85"/>
  <c r="AL57" i="85"/>
  <c r="AL73" i="85"/>
  <c r="AL96" i="85"/>
  <c r="AL102" i="85"/>
  <c r="AL106" i="85"/>
  <c r="AL59" i="85"/>
  <c r="AL98" i="85"/>
  <c r="AL69" i="85"/>
  <c r="AL86" i="85"/>
  <c r="AL100" i="85"/>
  <c r="AL70" i="85"/>
  <c r="M1" i="189"/>
  <c r="N1" i="189" s="1"/>
  <c r="O1" i="189" s="1"/>
  <c r="S50" i="85"/>
  <c r="FD196" i="27" l="1"/>
  <c r="FA196" i="27"/>
  <c r="FA189" i="27"/>
  <c r="FA173" i="27"/>
  <c r="FD170" i="27"/>
  <c r="FA170" i="27"/>
  <c r="AC215" i="145"/>
  <c r="AC214" i="145"/>
  <c r="FD169" i="27"/>
  <c r="FD205" i="27"/>
  <c r="FA205" i="27"/>
  <c r="FA169" i="27"/>
  <c r="AC219" i="145"/>
  <c r="FA209" i="27"/>
  <c r="AC254" i="145"/>
  <c r="FA174" i="27"/>
  <c r="FA200" i="27"/>
  <c r="FA187" i="27"/>
  <c r="FD189" i="27"/>
  <c r="AC245" i="145"/>
  <c r="AC234" i="145"/>
  <c r="FD187" i="27"/>
  <c r="AC218" i="145"/>
  <c r="FD173" i="27"/>
  <c r="FD192" i="27"/>
  <c r="FA192" i="27"/>
  <c r="AC237" i="145"/>
  <c r="FF210" i="27"/>
  <c r="FD210" i="27"/>
  <c r="FA210" i="27"/>
  <c r="AC255" i="145"/>
  <c r="FF172" i="27"/>
  <c r="FD172" i="27"/>
  <c r="FF214" i="27"/>
  <c r="FD214" i="27"/>
  <c r="FA214" i="27"/>
  <c r="AC259" i="145"/>
  <c r="FF180" i="27"/>
  <c r="FD180" i="27"/>
  <c r="FA180" i="27"/>
  <c r="AC225" i="145"/>
  <c r="FA172" i="27"/>
  <c r="AC217" i="145"/>
  <c r="FF219" i="27"/>
  <c r="FD219" i="27"/>
  <c r="FA219" i="27"/>
  <c r="AC264" i="145"/>
  <c r="FF212" i="27"/>
  <c r="FD212" i="27"/>
  <c r="FF179" i="27"/>
  <c r="FD179" i="27"/>
  <c r="FA179" i="27"/>
  <c r="AC224" i="145"/>
  <c r="FD215" i="27"/>
  <c r="FF215" i="27"/>
  <c r="FA215" i="27"/>
  <c r="FE215" i="27"/>
  <c r="FF182" i="27"/>
  <c r="FD182" i="27"/>
  <c r="FA212" i="27"/>
  <c r="AC257" i="145"/>
  <c r="FF190" i="27"/>
  <c r="FD190" i="27"/>
  <c r="FA190" i="27"/>
  <c r="AC235" i="145"/>
  <c r="AC229" i="145"/>
  <c r="FA184" i="27"/>
  <c r="FD184" i="27"/>
  <c r="AC227" i="145"/>
  <c r="FA182" i="27"/>
  <c r="FA177" i="27"/>
  <c r="AC222" i="145"/>
  <c r="FD177" i="27"/>
  <c r="FA191" i="27"/>
  <c r="AC236" i="145"/>
  <c r="FE202" i="27"/>
  <c r="FA202" i="27"/>
  <c r="FD176" i="27"/>
  <c r="FF176" i="27"/>
  <c r="FA176" i="27"/>
  <c r="AC221" i="145"/>
  <c r="FF202" i="27"/>
  <c r="FD202" i="27"/>
  <c r="FF213" i="27"/>
  <c r="FD213" i="27"/>
  <c r="FA213" i="27"/>
  <c r="AC258" i="145"/>
  <c r="FA218" i="27"/>
  <c r="AC263" i="145"/>
  <c r="FA220" i="27"/>
  <c r="FA181" i="27"/>
  <c r="FA206" i="27"/>
  <c r="AC251" i="145"/>
  <c r="FD206" i="27"/>
  <c r="FA199" i="27"/>
  <c r="AC244" i="145"/>
  <c r="FA183" i="27"/>
  <c r="AC228" i="145"/>
  <c r="FD183" i="27"/>
  <c r="FD218" i="27"/>
  <c r="FF218" i="27"/>
  <c r="FD178" i="27"/>
  <c r="AC223" i="145"/>
  <c r="FA178" i="27"/>
  <c r="FD199" i="27"/>
  <c r="FF199" i="27"/>
  <c r="FF181" i="27"/>
  <c r="FD181" i="27"/>
  <c r="FD220" i="27"/>
  <c r="FF198" i="27"/>
  <c r="FD198" i="27"/>
  <c r="FA198" i="27"/>
  <c r="AC243" i="145"/>
  <c r="FF194" i="27"/>
  <c r="FD194" i="27"/>
  <c r="AC239" i="145"/>
  <c r="FA194" i="27"/>
  <c r="AC246" i="145"/>
  <c r="FA201" i="27"/>
  <c r="FD221" i="27"/>
  <c r="FA221" i="27"/>
  <c r="AC266" i="145"/>
  <c r="FD207" i="27"/>
  <c r="FF207" i="27"/>
  <c r="FA171" i="27"/>
  <c r="AC216" i="145"/>
  <c r="FF171" i="27"/>
  <c r="FD171" i="27"/>
  <c r="FF211" i="27"/>
  <c r="FD211" i="27"/>
  <c r="BF292" i="85"/>
  <c r="BK292" i="85"/>
  <c r="BD292" i="85"/>
  <c r="BH292" i="85"/>
  <c r="BJ292" i="85"/>
  <c r="BE292" i="85"/>
  <c r="AW292" i="85"/>
  <c r="AZ292" i="85"/>
  <c r="BB292" i="85"/>
  <c r="BG292" i="85"/>
  <c r="BC292" i="85"/>
  <c r="BI292" i="85"/>
  <c r="BA292" i="85"/>
  <c r="AX292" i="85"/>
  <c r="AY292" i="85"/>
  <c r="BA293" i="85"/>
  <c r="AZ293" i="85"/>
  <c r="BE293" i="85"/>
  <c r="BH293" i="85"/>
  <c r="BI293" i="85"/>
  <c r="AW293" i="85"/>
  <c r="AX293" i="85"/>
  <c r="BB293" i="85"/>
  <c r="AY293" i="85"/>
  <c r="BG293" i="85"/>
  <c r="BD293" i="85"/>
  <c r="BF293" i="85"/>
  <c r="BJ293" i="85"/>
  <c r="BC293" i="85"/>
  <c r="BK293" i="85"/>
  <c r="BJ310" i="85"/>
  <c r="BA310" i="85"/>
  <c r="AX310" i="85"/>
  <c r="AW310" i="85"/>
  <c r="BG310" i="85"/>
  <c r="AZ310" i="85"/>
  <c r="AY310" i="85"/>
  <c r="BE310" i="85"/>
  <c r="BB310" i="85"/>
  <c r="BH310" i="85"/>
  <c r="BI310" i="85"/>
  <c r="BF310" i="85"/>
  <c r="BC310" i="85"/>
  <c r="BD310" i="85"/>
  <c r="BK310" i="85"/>
  <c r="BH311" i="85"/>
  <c r="BJ311" i="85"/>
  <c r="BI311" i="85"/>
  <c r="AX311" i="85"/>
  <c r="AZ311" i="85"/>
  <c r="BD311" i="85"/>
  <c r="AW311" i="85"/>
  <c r="BC311" i="85"/>
  <c r="AY311" i="85"/>
  <c r="BF311" i="85"/>
  <c r="BA311" i="85"/>
  <c r="BE311" i="85"/>
  <c r="BB311" i="85"/>
  <c r="BG311" i="85"/>
  <c r="BK311" i="85"/>
  <c r="BA312" i="85"/>
  <c r="BI312" i="85"/>
  <c r="BH312" i="85"/>
  <c r="AW312" i="85"/>
  <c r="BK312" i="85"/>
  <c r="BB312" i="85"/>
  <c r="AY312" i="85"/>
  <c r="AX312" i="85"/>
  <c r="BD312" i="85"/>
  <c r="BF312" i="85"/>
  <c r="BJ312" i="85"/>
  <c r="BE312" i="85"/>
  <c r="BC312" i="85"/>
  <c r="BG312" i="85"/>
  <c r="AZ312" i="85"/>
  <c r="BI313" i="85"/>
  <c r="AY313" i="85"/>
  <c r="BG313" i="85"/>
  <c r="BH313" i="85"/>
  <c r="AX313" i="85"/>
  <c r="BD313" i="85"/>
  <c r="BK313" i="85"/>
  <c r="BE313" i="85"/>
  <c r="BF313" i="85"/>
  <c r="BA313" i="85"/>
  <c r="BB313" i="85"/>
  <c r="BJ313" i="85"/>
  <c r="BC313" i="85"/>
  <c r="AW313" i="85"/>
  <c r="AZ313" i="85"/>
  <c r="BK314" i="85"/>
  <c r="BI314" i="85"/>
  <c r="AX314" i="85"/>
  <c r="AY314" i="85"/>
  <c r="AW314" i="85"/>
  <c r="AZ314" i="85"/>
  <c r="BG314" i="85"/>
  <c r="BB314" i="85"/>
  <c r="BH314" i="85"/>
  <c r="BC314" i="85"/>
  <c r="BD314" i="85"/>
  <c r="BJ314" i="85"/>
  <c r="BE314" i="85"/>
  <c r="BF314" i="85"/>
  <c r="BA314" i="85"/>
  <c r="BD315" i="85"/>
  <c r="BC315" i="85"/>
  <c r="BB315" i="85"/>
  <c r="BH315" i="85"/>
  <c r="BI315" i="85"/>
  <c r="AY315" i="85"/>
  <c r="AW315" i="85"/>
  <c r="AZ315" i="85"/>
  <c r="BJ315" i="85"/>
  <c r="BA315" i="85"/>
  <c r="BK315" i="85"/>
  <c r="BG315" i="85"/>
  <c r="BE315" i="85"/>
  <c r="BF315" i="85"/>
  <c r="AX315" i="85"/>
  <c r="BJ316" i="85"/>
  <c r="BI316" i="85"/>
  <c r="BG316" i="85"/>
  <c r="AX316" i="85"/>
  <c r="AW316" i="85"/>
  <c r="BE316" i="85"/>
  <c r="BC316" i="85"/>
  <c r="BD316" i="85"/>
  <c r="BB316" i="85"/>
  <c r="AY316" i="85"/>
  <c r="AZ316" i="85"/>
  <c r="BH316" i="85"/>
  <c r="BK316" i="85"/>
  <c r="BA316" i="85"/>
  <c r="BF316" i="85"/>
  <c r="BE317" i="85"/>
  <c r="BF317" i="85"/>
  <c r="BH317" i="85"/>
  <c r="BI317" i="85"/>
  <c r="BA317" i="85"/>
  <c r="BG317" i="85"/>
  <c r="BJ317" i="85"/>
  <c r="AY317" i="85"/>
  <c r="BK317" i="85"/>
  <c r="BC317" i="85"/>
  <c r="BD317" i="85"/>
  <c r="AZ317" i="85"/>
  <c r="AX317" i="85"/>
  <c r="BB317" i="85"/>
  <c r="AW317" i="85"/>
  <c r="AW288" i="85"/>
  <c r="BE288" i="85"/>
  <c r="BA288" i="85"/>
  <c r="BC288" i="85"/>
  <c r="BB288" i="85"/>
  <c r="AY288" i="85"/>
  <c r="BJ288" i="85"/>
  <c r="BI288" i="85"/>
  <c r="BF288" i="85"/>
  <c r="BH288" i="85"/>
  <c r="BK288" i="85"/>
  <c r="BG288" i="85"/>
  <c r="BD288" i="85"/>
  <c r="AZ288" i="85"/>
  <c r="AX288" i="85"/>
  <c r="BA309" i="85"/>
  <c r="BG309" i="85"/>
  <c r="BK309" i="85"/>
  <c r="BF309" i="85"/>
  <c r="BB309" i="85"/>
  <c r="AW309" i="85"/>
  <c r="BH309" i="85"/>
  <c r="BC309" i="85"/>
  <c r="AX309" i="85"/>
  <c r="BD309" i="85"/>
  <c r="BE309" i="85"/>
  <c r="BI309" i="85"/>
  <c r="BJ309" i="85"/>
  <c r="AY309" i="85"/>
  <c r="AZ309" i="85"/>
  <c r="AX267" i="85"/>
  <c r="BF267" i="85"/>
  <c r="BA267" i="85"/>
  <c r="AW267" i="85"/>
  <c r="BG267" i="85"/>
  <c r="BC267" i="85"/>
  <c r="AZ267" i="85"/>
  <c r="BD267" i="85"/>
  <c r="AY267" i="85"/>
  <c r="BE267" i="85"/>
  <c r="BJ267" i="85"/>
  <c r="BI267" i="85"/>
  <c r="BH267" i="85"/>
  <c r="BB267" i="85"/>
  <c r="BK267" i="85"/>
  <c r="BK291" i="85"/>
  <c r="AX291" i="85"/>
  <c r="BG291" i="85"/>
  <c r="AW291" i="85"/>
  <c r="BF291" i="85"/>
  <c r="BD291" i="85"/>
  <c r="BH291" i="85"/>
  <c r="BA291" i="85"/>
  <c r="BC291" i="85"/>
  <c r="AZ291" i="85"/>
  <c r="AY291" i="85"/>
  <c r="BB291" i="85"/>
  <c r="BE291" i="85"/>
  <c r="BI291" i="85"/>
  <c r="BJ291" i="85"/>
  <c r="BF289" i="85"/>
  <c r="BK289" i="85"/>
  <c r="BA289" i="85"/>
  <c r="BC289" i="85"/>
  <c r="BE289" i="85"/>
  <c r="AX289" i="85"/>
  <c r="AY289" i="85"/>
  <c r="BB289" i="85"/>
  <c r="AW289" i="85"/>
  <c r="BJ289" i="85"/>
  <c r="AZ289" i="85"/>
  <c r="BI289" i="85"/>
  <c r="BD289" i="85"/>
  <c r="BH289" i="85"/>
  <c r="BG289" i="85"/>
  <c r="AX290" i="85"/>
  <c r="BB290" i="85"/>
  <c r="BK290" i="85"/>
  <c r="BJ290" i="85"/>
  <c r="BG290" i="85"/>
  <c r="BC290" i="85"/>
  <c r="BE290" i="85"/>
  <c r="BI290" i="85"/>
  <c r="BH290" i="85"/>
  <c r="AY290" i="85"/>
  <c r="BA290" i="85"/>
  <c r="AZ290" i="85"/>
  <c r="BF290" i="85"/>
  <c r="BD290" i="85"/>
  <c r="AW290" i="85"/>
  <c r="BI268" i="85"/>
  <c r="BA268" i="85"/>
  <c r="BE268" i="85"/>
  <c r="BF268" i="85"/>
  <c r="AY268" i="85"/>
  <c r="BJ268" i="85"/>
  <c r="BK268" i="85"/>
  <c r="BG268" i="85"/>
  <c r="BC268" i="85"/>
  <c r="BD268" i="85"/>
  <c r="BB268" i="85"/>
  <c r="AZ268" i="85"/>
  <c r="BH268" i="85"/>
  <c r="AW268" i="85"/>
  <c r="AX268" i="85"/>
  <c r="BJ269" i="85"/>
  <c r="AX269" i="85"/>
  <c r="BH269" i="85"/>
  <c r="BG269" i="85"/>
  <c r="BE269" i="85"/>
  <c r="BF269" i="85"/>
  <c r="BB269" i="85"/>
  <c r="AW269" i="85"/>
  <c r="BI269" i="85"/>
  <c r="BA269" i="85"/>
  <c r="BD269" i="85"/>
  <c r="AZ269" i="85"/>
  <c r="BC269" i="85"/>
  <c r="AY269" i="85"/>
  <c r="BK269" i="85"/>
  <c r="AX270" i="85"/>
  <c r="BH270" i="85"/>
  <c r="BK270" i="85"/>
  <c r="BB270" i="85"/>
  <c r="AZ270" i="85"/>
  <c r="BE270" i="85"/>
  <c r="BA270" i="85"/>
  <c r="BI270" i="85"/>
  <c r="AW270" i="85"/>
  <c r="BF270" i="85"/>
  <c r="AY270" i="85"/>
  <c r="BD270" i="85"/>
  <c r="BJ270" i="85"/>
  <c r="BG270" i="85"/>
  <c r="BC270" i="85"/>
  <c r="AW280" i="85"/>
  <c r="AX280" i="85"/>
  <c r="BH280" i="85"/>
  <c r="BJ280" i="85"/>
  <c r="BK280" i="85"/>
  <c r="BE280" i="85"/>
  <c r="BA280" i="85"/>
  <c r="BF280" i="85"/>
  <c r="BD280" i="85"/>
  <c r="BI280" i="85"/>
  <c r="AZ280" i="85"/>
  <c r="BG280" i="85"/>
  <c r="BB280" i="85"/>
  <c r="BC280" i="85"/>
  <c r="AY280" i="85"/>
  <c r="BF271" i="85"/>
  <c r="BB271" i="85"/>
  <c r="AW271" i="85"/>
  <c r="BE271" i="85"/>
  <c r="BI271" i="85"/>
  <c r="BH271" i="85"/>
  <c r="BC271" i="85"/>
  <c r="AX271" i="85"/>
  <c r="AY271" i="85"/>
  <c r="BA271" i="85"/>
  <c r="BK271" i="85"/>
  <c r="BG271" i="85"/>
  <c r="BD271" i="85"/>
  <c r="BJ271" i="85"/>
  <c r="AZ271" i="85"/>
  <c r="BI272" i="85"/>
  <c r="BG272" i="85"/>
  <c r="AW272" i="85"/>
  <c r="BJ272" i="85"/>
  <c r="BE272" i="85"/>
  <c r="BK272" i="85"/>
  <c r="AY272" i="85"/>
  <c r="BD272" i="85"/>
  <c r="BC272" i="85"/>
  <c r="BB272" i="85"/>
  <c r="AZ272" i="85"/>
  <c r="BH272" i="85"/>
  <c r="BF272" i="85"/>
  <c r="BA272" i="85"/>
  <c r="AX272" i="85"/>
  <c r="BE273" i="85"/>
  <c r="BI273" i="85"/>
  <c r="BH273" i="85"/>
  <c r="BD273" i="85"/>
  <c r="BJ273" i="85"/>
  <c r="BB273" i="85"/>
  <c r="BK273" i="85"/>
  <c r="AZ273" i="85"/>
  <c r="AW273" i="85"/>
  <c r="BA273" i="85"/>
  <c r="AX273" i="85"/>
  <c r="AY273" i="85"/>
  <c r="BF273" i="85"/>
  <c r="BG273" i="85"/>
  <c r="BC273" i="85"/>
  <c r="BI274" i="85"/>
  <c r="AW274" i="85"/>
  <c r="AX274" i="85"/>
  <c r="BH274" i="85"/>
  <c r="BB274" i="85"/>
  <c r="BA274" i="85"/>
  <c r="BC274" i="85"/>
  <c r="BJ274" i="85"/>
  <c r="BD274" i="85"/>
  <c r="BF274" i="85"/>
  <c r="BE274" i="85"/>
  <c r="AZ274" i="85"/>
  <c r="AY274" i="85"/>
  <c r="BG274" i="85"/>
  <c r="BK274" i="85"/>
  <c r="BF275" i="85"/>
  <c r="BI275" i="85"/>
  <c r="AW275" i="85"/>
  <c r="BB275" i="85"/>
  <c r="BA275" i="85"/>
  <c r="BE275" i="85"/>
  <c r="BJ275" i="85"/>
  <c r="BK275" i="85"/>
  <c r="BH275" i="85"/>
  <c r="BC275" i="85"/>
  <c r="AY275" i="85"/>
  <c r="BG275" i="85"/>
  <c r="AZ275" i="85"/>
  <c r="AX275" i="85"/>
  <c r="BD275" i="85"/>
  <c r="BK276" i="85"/>
  <c r="BG276" i="85"/>
  <c r="BC276" i="85"/>
  <c r="BA276" i="85"/>
  <c r="AW276" i="85"/>
  <c r="BI276" i="85"/>
  <c r="BE276" i="85"/>
  <c r="AY276" i="85"/>
  <c r="BB276" i="85"/>
  <c r="BJ276" i="85"/>
  <c r="BF276" i="85"/>
  <c r="BD276" i="85"/>
  <c r="AX276" i="85"/>
  <c r="BH276" i="85"/>
  <c r="AZ276" i="85"/>
  <c r="BC277" i="85"/>
  <c r="BE277" i="85"/>
  <c r="BF277" i="85"/>
  <c r="BD277" i="85"/>
  <c r="BB277" i="85"/>
  <c r="AZ277" i="85"/>
  <c r="BK277" i="85"/>
  <c r="BA277" i="85"/>
  <c r="BI277" i="85"/>
  <c r="BJ277" i="85"/>
  <c r="BG277" i="85"/>
  <c r="AX277" i="85"/>
  <c r="AW277" i="85"/>
  <c r="BH277" i="85"/>
  <c r="AY277" i="85"/>
  <c r="BH283" i="85"/>
  <c r="AY283" i="85"/>
  <c r="BD283" i="85"/>
  <c r="AZ283" i="85"/>
  <c r="AW283" i="85"/>
  <c r="BA283" i="85"/>
  <c r="BI283" i="85"/>
  <c r="BK283" i="85"/>
  <c r="BC283" i="85"/>
  <c r="BB283" i="85"/>
  <c r="BG283" i="85"/>
  <c r="AX283" i="85"/>
  <c r="BJ283" i="85"/>
  <c r="BF283" i="85"/>
  <c r="BE283" i="85"/>
  <c r="BA284" i="85"/>
  <c r="AX284" i="85"/>
  <c r="BE284" i="85"/>
  <c r="BJ284" i="85"/>
  <c r="AW284" i="85"/>
  <c r="BC284" i="85"/>
  <c r="BH284" i="85"/>
  <c r="AY284" i="85"/>
  <c r="BI284" i="85"/>
  <c r="BB284" i="85"/>
  <c r="BG284" i="85"/>
  <c r="BF284" i="85"/>
  <c r="BD284" i="85"/>
  <c r="BK284" i="85"/>
  <c r="AZ284" i="85"/>
  <c r="AY285" i="85"/>
  <c r="BC285" i="85"/>
  <c r="BF285" i="85"/>
  <c r="BA285" i="85"/>
  <c r="AZ285" i="85"/>
  <c r="BB285" i="85"/>
  <c r="BE285" i="85"/>
  <c r="BD285" i="85"/>
  <c r="BG285" i="85"/>
  <c r="BI285" i="85"/>
  <c r="BH285" i="85"/>
  <c r="AX285" i="85"/>
  <c r="BJ285" i="85"/>
  <c r="BK285" i="85"/>
  <c r="AW285" i="85"/>
  <c r="BH297" i="85"/>
  <c r="BK297" i="85"/>
  <c r="BC297" i="85"/>
  <c r="AY297" i="85"/>
  <c r="BI297" i="85"/>
  <c r="BF297" i="85"/>
  <c r="BG297" i="85"/>
  <c r="AZ297" i="85"/>
  <c r="BA297" i="85"/>
  <c r="BJ297" i="85"/>
  <c r="BD297" i="85"/>
  <c r="BB297" i="85"/>
  <c r="AX297" i="85"/>
  <c r="AW297" i="85"/>
  <c r="BE297" i="85"/>
  <c r="BJ286" i="85"/>
  <c r="BD286" i="85"/>
  <c r="BA286" i="85"/>
  <c r="BK286" i="85"/>
  <c r="BF286" i="85"/>
  <c r="BE286" i="85"/>
  <c r="BH286" i="85"/>
  <c r="AX286" i="85"/>
  <c r="AY286" i="85"/>
  <c r="BG286" i="85"/>
  <c r="BI286" i="85"/>
  <c r="AZ286" i="85"/>
  <c r="BB286" i="85"/>
  <c r="AW286" i="85"/>
  <c r="BC286" i="85"/>
  <c r="AZ287" i="85"/>
  <c r="BD287" i="85"/>
  <c r="BK287" i="85"/>
  <c r="BI287" i="85"/>
  <c r="BH287" i="85"/>
  <c r="AY287" i="85"/>
  <c r="BJ287" i="85"/>
  <c r="BC287" i="85"/>
  <c r="BA287" i="85"/>
  <c r="BE287" i="85"/>
  <c r="BG287" i="85"/>
  <c r="BF287" i="85"/>
  <c r="AW287" i="85"/>
  <c r="BB287" i="85"/>
  <c r="AX287" i="85"/>
  <c r="BB294" i="85"/>
  <c r="BE294" i="85"/>
  <c r="BK294" i="85"/>
  <c r="BH294" i="85"/>
  <c r="AW294" i="85"/>
  <c r="BA294" i="85"/>
  <c r="BJ294" i="85"/>
  <c r="BC294" i="85"/>
  <c r="BD294" i="85"/>
  <c r="BI294" i="85"/>
  <c r="BG294" i="85"/>
  <c r="AZ294" i="85"/>
  <c r="AX294" i="85"/>
  <c r="AY294" i="85"/>
  <c r="BF294" i="85"/>
  <c r="BD295" i="85"/>
  <c r="BE295" i="85"/>
  <c r="BH295" i="85"/>
  <c r="AW295" i="85"/>
  <c r="BG295" i="85"/>
  <c r="BC295" i="85"/>
  <c r="BK295" i="85"/>
  <c r="BJ295" i="85"/>
  <c r="AY295" i="85"/>
  <c r="AZ295" i="85"/>
  <c r="AX295" i="85"/>
  <c r="BF295" i="85"/>
  <c r="BA295" i="85"/>
  <c r="BI295" i="85"/>
  <c r="BB295" i="85"/>
  <c r="AX296" i="85"/>
  <c r="BK296" i="85"/>
  <c r="AZ296" i="85"/>
  <c r="BA296" i="85"/>
  <c r="BB296" i="85"/>
  <c r="BC296" i="85"/>
  <c r="BD296" i="85"/>
  <c r="BE296" i="85"/>
  <c r="AW296" i="85"/>
  <c r="BF296" i="85"/>
  <c r="BG296" i="85"/>
  <c r="BH296" i="85"/>
  <c r="BJ296" i="85"/>
  <c r="AY296" i="85"/>
  <c r="BI296" i="85"/>
  <c r="AZ298" i="85"/>
  <c r="BB298" i="85"/>
  <c r="BA298" i="85"/>
  <c r="BI298" i="85"/>
  <c r="BF298" i="85"/>
  <c r="BG298" i="85"/>
  <c r="BC298" i="85"/>
  <c r="BD298" i="85"/>
  <c r="BJ298" i="85"/>
  <c r="BK298" i="85"/>
  <c r="AX298" i="85"/>
  <c r="AW298" i="85"/>
  <c r="BE298" i="85"/>
  <c r="BH298" i="85"/>
  <c r="AY298" i="85"/>
  <c r="BA299" i="85"/>
  <c r="BB299" i="85"/>
  <c r="BC299" i="85"/>
  <c r="BD299" i="85"/>
  <c r="BH299" i="85"/>
  <c r="AZ299" i="85"/>
  <c r="BG299" i="85"/>
  <c r="AW299" i="85"/>
  <c r="BK299" i="85"/>
  <c r="BF299" i="85"/>
  <c r="AY299" i="85"/>
  <c r="AX299" i="85"/>
  <c r="BJ299" i="85"/>
  <c r="BI299" i="85"/>
  <c r="BE299" i="85"/>
  <c r="AY300" i="85"/>
  <c r="AZ300" i="85"/>
  <c r="BH300" i="85"/>
  <c r="BC300" i="85"/>
  <c r="BK300" i="85"/>
  <c r="BD300" i="85"/>
  <c r="BG300" i="85"/>
  <c r="BF300" i="85"/>
  <c r="BA300" i="85"/>
  <c r="BJ300" i="85"/>
  <c r="BE300" i="85"/>
  <c r="BI300" i="85"/>
  <c r="AW300" i="85"/>
  <c r="AX300" i="85"/>
  <c r="BB300" i="85"/>
  <c r="AY301" i="85"/>
  <c r="AZ301" i="85"/>
  <c r="BD301" i="85"/>
  <c r="BE301" i="85"/>
  <c r="AW301" i="85"/>
  <c r="BA301" i="85"/>
  <c r="BH301" i="85"/>
  <c r="AX301" i="85"/>
  <c r="BB301" i="85"/>
  <c r="BK301" i="85"/>
  <c r="BI301" i="85"/>
  <c r="BC301" i="85"/>
  <c r="BF301" i="85"/>
  <c r="BG301" i="85"/>
  <c r="BJ301" i="85"/>
  <c r="BE282" i="85"/>
  <c r="BC282" i="85"/>
  <c r="AZ282" i="85"/>
  <c r="AX282" i="85"/>
  <c r="BK282" i="85"/>
  <c r="AW282" i="85"/>
  <c r="BF282" i="85"/>
  <c r="BJ282" i="85"/>
  <c r="BB282" i="85"/>
  <c r="BA282" i="85"/>
  <c r="BD282" i="85"/>
  <c r="AY282" i="85"/>
  <c r="BG282" i="85"/>
  <c r="BI282" i="85"/>
  <c r="BH282" i="85"/>
  <c r="BH302" i="85"/>
  <c r="BE302" i="85"/>
  <c r="BI302" i="85"/>
  <c r="AX302" i="85"/>
  <c r="AW302" i="85"/>
  <c r="BK302" i="85"/>
  <c r="BD302" i="85"/>
  <c r="BA302" i="85"/>
  <c r="AY302" i="85"/>
  <c r="BC302" i="85"/>
  <c r="AZ302" i="85"/>
  <c r="BB302" i="85"/>
  <c r="BF302" i="85"/>
  <c r="BG302" i="85"/>
  <c r="BJ302" i="85"/>
  <c r="BH303" i="85"/>
  <c r="AX303" i="85"/>
  <c r="AW303" i="85"/>
  <c r="BI303" i="85"/>
  <c r="BD303" i="85"/>
  <c r="BF303" i="85"/>
  <c r="BC303" i="85"/>
  <c r="BA303" i="85"/>
  <c r="AY303" i="85"/>
  <c r="BG303" i="85"/>
  <c r="BB303" i="85"/>
  <c r="BJ303" i="85"/>
  <c r="BE303" i="85"/>
  <c r="BK303" i="85"/>
  <c r="AZ303" i="85"/>
  <c r="BK304" i="85"/>
  <c r="BA304" i="85"/>
  <c r="BH304" i="85"/>
  <c r="BE304" i="85"/>
  <c r="BI304" i="85"/>
  <c r="BD304" i="85"/>
  <c r="BG304" i="85"/>
  <c r="BB304" i="85"/>
  <c r="AZ304" i="85"/>
  <c r="BF304" i="85"/>
  <c r="BJ304" i="85"/>
  <c r="BC304" i="85"/>
  <c r="AY304" i="85"/>
  <c r="AW304" i="85"/>
  <c r="AX304" i="85"/>
  <c r="AX279" i="85"/>
  <c r="BJ279" i="85"/>
  <c r="BC279" i="85"/>
  <c r="AW279" i="85"/>
  <c r="BB279" i="85"/>
  <c r="BI279" i="85"/>
  <c r="BF279" i="85"/>
  <c r="BE279" i="85"/>
  <c r="AZ279" i="85"/>
  <c r="BA279" i="85"/>
  <c r="BD279" i="85"/>
  <c r="AY279" i="85"/>
  <c r="BG279" i="85"/>
  <c r="BH279" i="85"/>
  <c r="BK279" i="85"/>
  <c r="BI305" i="85"/>
  <c r="BH305" i="85"/>
  <c r="AX305" i="85"/>
  <c r="BD305" i="85"/>
  <c r="BG305" i="85"/>
  <c r="AW305" i="85"/>
  <c r="BE305" i="85"/>
  <c r="BK305" i="85"/>
  <c r="BA305" i="85"/>
  <c r="AY305" i="85"/>
  <c r="BC305" i="85"/>
  <c r="AZ305" i="85"/>
  <c r="BJ305" i="85"/>
  <c r="BB305" i="85"/>
  <c r="BF305" i="85"/>
  <c r="BE306" i="85"/>
  <c r="BI306" i="85"/>
  <c r="AX306" i="85"/>
  <c r="BA306" i="85"/>
  <c r="BC306" i="85"/>
  <c r="AW306" i="85"/>
  <c r="BD306" i="85"/>
  <c r="AZ306" i="85"/>
  <c r="BJ306" i="85"/>
  <c r="BF306" i="85"/>
  <c r="BK306" i="85"/>
  <c r="BG306" i="85"/>
  <c r="BH306" i="85"/>
  <c r="AY306" i="85"/>
  <c r="BB306" i="85"/>
  <c r="BK307" i="85"/>
  <c r="BG307" i="85"/>
  <c r="BF307" i="85"/>
  <c r="BA307" i="85"/>
  <c r="AZ307" i="85"/>
  <c r="BJ307" i="85"/>
  <c r="AY307" i="85"/>
  <c r="AX307" i="85"/>
  <c r="AW307" i="85"/>
  <c r="BH307" i="85"/>
  <c r="BE307" i="85"/>
  <c r="BI307" i="85"/>
  <c r="BD307" i="85"/>
  <c r="BC307" i="85"/>
  <c r="BB307" i="85"/>
  <c r="BK308" i="85"/>
  <c r="AZ308" i="85"/>
  <c r="BD308" i="85"/>
  <c r="AY308" i="85"/>
  <c r="BA308" i="85"/>
  <c r="BJ308" i="85"/>
  <c r="BE308" i="85"/>
  <c r="BB308" i="85"/>
  <c r="BC308" i="85"/>
  <c r="BF308" i="85"/>
  <c r="BG308" i="85"/>
  <c r="BI308" i="85"/>
  <c r="BH308" i="85"/>
  <c r="AW308" i="85"/>
  <c r="AX308" i="85"/>
  <c r="BG278" i="85"/>
  <c r="BJ278" i="85"/>
  <c r="BB278" i="85"/>
  <c r="BC278" i="85"/>
  <c r="BF278" i="85"/>
  <c r="AX278" i="85"/>
  <c r="BK278" i="85"/>
  <c r="BI278" i="85"/>
  <c r="BA278" i="85"/>
  <c r="BD278" i="85"/>
  <c r="AW278" i="85"/>
  <c r="AZ278" i="85"/>
  <c r="BE278" i="85"/>
  <c r="BH278" i="85"/>
  <c r="AY278" i="85"/>
  <c r="BD281" i="85"/>
  <c r="BE281" i="85"/>
  <c r="BK281" i="85"/>
  <c r="BG281" i="85"/>
  <c r="AY281" i="85"/>
  <c r="BA281" i="85"/>
  <c r="AW281" i="85"/>
  <c r="AX281" i="85"/>
  <c r="AZ281" i="85"/>
  <c r="BH281" i="85"/>
  <c r="BJ281" i="85"/>
  <c r="BC281" i="85"/>
  <c r="BF281" i="85"/>
  <c r="BB281" i="85"/>
  <c r="BI281" i="85"/>
  <c r="BB105" i="85"/>
  <c r="BI105" i="85"/>
  <c r="AY105" i="85"/>
  <c r="BK105" i="85"/>
  <c r="BE105" i="85"/>
  <c r="AZ105" i="85"/>
  <c r="BC105" i="85"/>
  <c r="BJ105" i="85"/>
  <c r="BA105" i="85"/>
  <c r="AX105" i="85"/>
  <c r="BH105" i="85"/>
  <c r="BD105" i="85"/>
  <c r="AW105" i="85"/>
  <c r="BG105" i="85"/>
  <c r="BF105" i="85"/>
  <c r="BK101" i="85"/>
  <c r="AZ101" i="85"/>
  <c r="BF101" i="85"/>
  <c r="BG101" i="85"/>
  <c r="BH101" i="85"/>
  <c r="BE101" i="85"/>
  <c r="BC101" i="85"/>
  <c r="AY101" i="85"/>
  <c r="BI101" i="85"/>
  <c r="BD101" i="85"/>
  <c r="AW101" i="85"/>
  <c r="BA101" i="85"/>
  <c r="BJ101" i="85"/>
  <c r="BB101" i="85"/>
  <c r="AX101" i="85"/>
  <c r="BJ255" i="85"/>
  <c r="BI255" i="85"/>
  <c r="BF255" i="85"/>
  <c r="AX255" i="85"/>
  <c r="BE255" i="85"/>
  <c r="AY255" i="85"/>
  <c r="BC255" i="85"/>
  <c r="BD255" i="85"/>
  <c r="BB255" i="85"/>
  <c r="BH255" i="85"/>
  <c r="BA255" i="85"/>
  <c r="BG255" i="85"/>
  <c r="BK255" i="85"/>
  <c r="AW255" i="85"/>
  <c r="AZ255" i="85"/>
  <c r="BA250" i="85"/>
  <c r="BE250" i="85"/>
  <c r="BB250" i="85"/>
  <c r="BI250" i="85"/>
  <c r="AX250" i="85"/>
  <c r="AW250" i="85"/>
  <c r="AZ250" i="85"/>
  <c r="BK250" i="85"/>
  <c r="BF250" i="85"/>
  <c r="AY250" i="85"/>
  <c r="BC250" i="85"/>
  <c r="BJ250" i="85"/>
  <c r="BH250" i="85"/>
  <c r="BD250" i="85"/>
  <c r="BG250" i="85"/>
  <c r="AY239" i="85"/>
  <c r="AZ239" i="85"/>
  <c r="BK239" i="85"/>
  <c r="BB239" i="85"/>
  <c r="BF239" i="85"/>
  <c r="BA239" i="85"/>
  <c r="BG239" i="85"/>
  <c r="AX239" i="85"/>
  <c r="BJ239" i="85"/>
  <c r="BI239" i="85"/>
  <c r="BH239" i="85"/>
  <c r="BC239" i="85"/>
  <c r="BD239" i="85"/>
  <c r="BE239" i="85"/>
  <c r="AW239" i="85"/>
  <c r="BA236" i="85"/>
  <c r="BI236" i="85"/>
  <c r="BJ236" i="85"/>
  <c r="AW236" i="85"/>
  <c r="AX236" i="85"/>
  <c r="BE236" i="85"/>
  <c r="BH236" i="85"/>
  <c r="AY236" i="85"/>
  <c r="BC236" i="85"/>
  <c r="BG236" i="85"/>
  <c r="BD236" i="85"/>
  <c r="BK236" i="85"/>
  <c r="BB236" i="85"/>
  <c r="AZ236" i="85"/>
  <c r="BF236" i="85"/>
  <c r="AZ214" i="85"/>
  <c r="BJ214" i="85"/>
  <c r="AX214" i="85"/>
  <c r="BB214" i="85"/>
  <c r="AW214" i="85"/>
  <c r="BC214" i="85"/>
  <c r="BI214" i="85"/>
  <c r="AY214" i="85"/>
  <c r="BD214" i="85"/>
  <c r="BH214" i="85"/>
  <c r="BA214" i="85"/>
  <c r="BF214" i="85"/>
  <c r="BK214" i="85"/>
  <c r="BE214" i="85"/>
  <c r="BG214" i="85"/>
  <c r="BH220" i="85"/>
  <c r="AX220" i="85"/>
  <c r="BC220" i="85"/>
  <c r="BK220" i="85"/>
  <c r="BE220" i="85"/>
  <c r="AZ220" i="85"/>
  <c r="AW220" i="85"/>
  <c r="AY220" i="85"/>
  <c r="BA220" i="85"/>
  <c r="BD220" i="85"/>
  <c r="BB220" i="85"/>
  <c r="BG220" i="85"/>
  <c r="BI220" i="85"/>
  <c r="BF220" i="85"/>
  <c r="BJ220" i="85"/>
  <c r="BE258" i="85"/>
  <c r="BF258" i="85"/>
  <c r="BC258" i="85"/>
  <c r="AX258" i="85"/>
  <c r="BG258" i="85"/>
  <c r="BI258" i="85"/>
  <c r="BA258" i="85"/>
  <c r="AW258" i="85"/>
  <c r="AY258" i="85"/>
  <c r="BJ258" i="85"/>
  <c r="AZ258" i="85"/>
  <c r="BK258" i="85"/>
  <c r="BH258" i="85"/>
  <c r="BB258" i="85"/>
  <c r="BD258" i="85"/>
  <c r="BG253" i="85"/>
  <c r="BD253" i="85"/>
  <c r="AW253" i="85"/>
  <c r="BH253" i="85"/>
  <c r="AY253" i="85"/>
  <c r="BC253" i="85"/>
  <c r="AZ253" i="85"/>
  <c r="BJ253" i="85"/>
  <c r="AX253" i="85"/>
  <c r="BK253" i="85"/>
  <c r="BB253" i="85"/>
  <c r="BA253" i="85"/>
  <c r="BF253" i="85"/>
  <c r="BI253" i="85"/>
  <c r="BE253" i="85"/>
  <c r="BJ237" i="85"/>
  <c r="AW237" i="85"/>
  <c r="BE237" i="85"/>
  <c r="BF237" i="85"/>
  <c r="BC237" i="85"/>
  <c r="AZ237" i="85"/>
  <c r="BD237" i="85"/>
  <c r="BH237" i="85"/>
  <c r="BI237" i="85"/>
  <c r="BG237" i="85"/>
  <c r="AX237" i="85"/>
  <c r="BA237" i="85"/>
  <c r="BK237" i="85"/>
  <c r="BB237" i="85"/>
  <c r="AY237" i="85"/>
  <c r="AY254" i="85"/>
  <c r="BJ254" i="85"/>
  <c r="BE254" i="85"/>
  <c r="AW254" i="85"/>
  <c r="BH254" i="85"/>
  <c r="BC254" i="85"/>
  <c r="BI254" i="85"/>
  <c r="BD254" i="85"/>
  <c r="AX254" i="85"/>
  <c r="AZ254" i="85"/>
  <c r="BA254" i="85"/>
  <c r="BG254" i="85"/>
  <c r="BK254" i="85"/>
  <c r="BF254" i="85"/>
  <c r="BB254" i="85"/>
  <c r="BD246" i="85"/>
  <c r="AZ246" i="85"/>
  <c r="BG246" i="85"/>
  <c r="BE246" i="85"/>
  <c r="AW246" i="85"/>
  <c r="BH246" i="85"/>
  <c r="AX246" i="85"/>
  <c r="BB246" i="85"/>
  <c r="BK246" i="85"/>
  <c r="BA246" i="85"/>
  <c r="BF246" i="85"/>
  <c r="BI246" i="85"/>
  <c r="AY246" i="85"/>
  <c r="BC246" i="85"/>
  <c r="BJ246" i="85"/>
  <c r="BG221" i="85"/>
  <c r="BF221" i="85"/>
  <c r="BK221" i="85"/>
  <c r="BH221" i="85"/>
  <c r="BJ221" i="85"/>
  <c r="BD221" i="85"/>
  <c r="AY221" i="85"/>
  <c r="BC221" i="85"/>
  <c r="AW221" i="85"/>
  <c r="AX221" i="85"/>
  <c r="BI221" i="85"/>
  <c r="AZ221" i="85"/>
  <c r="BB221" i="85"/>
  <c r="BA221" i="85"/>
  <c r="BE221" i="85"/>
  <c r="BH241" i="85"/>
  <c r="BG241" i="85"/>
  <c r="BI241" i="85"/>
  <c r="BJ241" i="85"/>
  <c r="AZ241" i="85"/>
  <c r="BK241" i="85"/>
  <c r="BB241" i="85"/>
  <c r="BD241" i="85"/>
  <c r="AY241" i="85"/>
  <c r="BC241" i="85"/>
  <c r="AX241" i="85"/>
  <c r="BA241" i="85"/>
  <c r="BF241" i="85"/>
  <c r="BE241" i="85"/>
  <c r="AW241" i="85"/>
  <c r="BG225" i="85"/>
  <c r="BE225" i="85"/>
  <c r="AY225" i="85"/>
  <c r="AX225" i="85"/>
  <c r="BJ225" i="85"/>
  <c r="AZ225" i="85"/>
  <c r="BF225" i="85"/>
  <c r="BB225" i="85"/>
  <c r="BC225" i="85"/>
  <c r="AW225" i="85"/>
  <c r="BH225" i="85"/>
  <c r="BA225" i="85"/>
  <c r="BI225" i="85"/>
  <c r="BK225" i="85"/>
  <c r="BD225" i="85"/>
  <c r="BC251" i="85"/>
  <c r="AX251" i="85"/>
  <c r="BB251" i="85"/>
  <c r="BJ251" i="85"/>
  <c r="BA251" i="85"/>
  <c r="AW251" i="85"/>
  <c r="BK251" i="85"/>
  <c r="AY251" i="85"/>
  <c r="BH251" i="85"/>
  <c r="AZ251" i="85"/>
  <c r="BF251" i="85"/>
  <c r="BD251" i="85"/>
  <c r="BG251" i="85"/>
  <c r="BE251" i="85"/>
  <c r="BI251" i="85"/>
  <c r="BI234" i="85"/>
  <c r="BB234" i="85"/>
  <c r="BE234" i="85"/>
  <c r="BC234" i="85"/>
  <c r="BD234" i="85"/>
  <c r="BA234" i="85"/>
  <c r="AY234" i="85"/>
  <c r="BK234" i="85"/>
  <c r="BJ234" i="85"/>
  <c r="AW234" i="85"/>
  <c r="BH234" i="85"/>
  <c r="BF234" i="85"/>
  <c r="AZ234" i="85"/>
  <c r="AX234" i="85"/>
  <c r="BG234" i="85"/>
  <c r="AZ217" i="85"/>
  <c r="BG217" i="85"/>
  <c r="AY217" i="85"/>
  <c r="BC217" i="85"/>
  <c r="BJ217" i="85"/>
  <c r="BA217" i="85"/>
  <c r="BH217" i="85"/>
  <c r="BK217" i="85"/>
  <c r="BE217" i="85"/>
  <c r="BB217" i="85"/>
  <c r="BD217" i="85"/>
  <c r="BI217" i="85"/>
  <c r="AW217" i="85"/>
  <c r="BF217" i="85"/>
  <c r="AX217" i="85"/>
  <c r="BC222" i="85"/>
  <c r="BB222" i="85"/>
  <c r="AW222" i="85"/>
  <c r="BJ222" i="85"/>
  <c r="BE222" i="85"/>
  <c r="AZ222" i="85"/>
  <c r="AX222" i="85"/>
  <c r="BF222" i="85"/>
  <c r="BG222" i="85"/>
  <c r="BA222" i="85"/>
  <c r="AY222" i="85"/>
  <c r="BD222" i="85"/>
  <c r="BK222" i="85"/>
  <c r="BH222" i="85"/>
  <c r="BI222" i="85"/>
  <c r="AW263" i="85"/>
  <c r="BI263" i="85"/>
  <c r="AZ263" i="85"/>
  <c r="AX263" i="85"/>
  <c r="BE263" i="85"/>
  <c r="BC263" i="85"/>
  <c r="AY263" i="85"/>
  <c r="BF263" i="85"/>
  <c r="BJ263" i="85"/>
  <c r="BG263" i="85"/>
  <c r="BH263" i="85"/>
  <c r="BA263" i="85"/>
  <c r="BB263" i="85"/>
  <c r="BD263" i="85"/>
  <c r="BK263" i="85"/>
  <c r="BE252" i="85"/>
  <c r="BB252" i="85"/>
  <c r="BA252" i="85"/>
  <c r="AX252" i="85"/>
  <c r="BK252" i="85"/>
  <c r="BC252" i="85"/>
  <c r="AZ252" i="85"/>
  <c r="BJ252" i="85"/>
  <c r="BG252" i="85"/>
  <c r="AY252" i="85"/>
  <c r="BH252" i="85"/>
  <c r="BD252" i="85"/>
  <c r="AW252" i="85"/>
  <c r="BF252" i="85"/>
  <c r="BI252" i="85"/>
  <c r="AZ226" i="85"/>
  <c r="AY226" i="85"/>
  <c r="AW226" i="85"/>
  <c r="BF226" i="85"/>
  <c r="BK226" i="85"/>
  <c r="BG226" i="85"/>
  <c r="BB226" i="85"/>
  <c r="BD226" i="85"/>
  <c r="BH226" i="85"/>
  <c r="BE226" i="85"/>
  <c r="BJ226" i="85"/>
  <c r="BI226" i="85"/>
  <c r="BA226" i="85"/>
  <c r="BC226" i="85"/>
  <c r="AX226" i="85"/>
  <c r="BD245" i="85"/>
  <c r="BC245" i="85"/>
  <c r="AY245" i="85"/>
  <c r="BI245" i="85"/>
  <c r="BK245" i="85"/>
  <c r="AX245" i="85"/>
  <c r="AZ245" i="85"/>
  <c r="BJ245" i="85"/>
  <c r="AW245" i="85"/>
  <c r="BH245" i="85"/>
  <c r="BA245" i="85"/>
  <c r="BG245" i="85"/>
  <c r="BB245" i="85"/>
  <c r="BE245" i="85"/>
  <c r="BF245" i="85"/>
  <c r="BK218" i="85"/>
  <c r="BJ218" i="85"/>
  <c r="BH218" i="85"/>
  <c r="BG218" i="85"/>
  <c r="AY218" i="85"/>
  <c r="BC218" i="85"/>
  <c r="BA218" i="85"/>
  <c r="BD218" i="85"/>
  <c r="BF218" i="85"/>
  <c r="AW218" i="85"/>
  <c r="AZ218" i="85"/>
  <c r="BB218" i="85"/>
  <c r="BE218" i="85"/>
  <c r="AX218" i="85"/>
  <c r="BI218" i="85"/>
  <c r="BG262" i="85"/>
  <c r="AY262" i="85"/>
  <c r="BK262" i="85"/>
  <c r="BI262" i="85"/>
  <c r="BF262" i="85"/>
  <c r="BD262" i="85"/>
  <c r="BH262" i="85"/>
  <c r="AW262" i="85"/>
  <c r="AZ262" i="85"/>
  <c r="BE262" i="85"/>
  <c r="BA262" i="85"/>
  <c r="BJ262" i="85"/>
  <c r="BB262" i="85"/>
  <c r="AX262" i="85"/>
  <c r="BC262" i="85"/>
  <c r="BI265" i="85"/>
  <c r="BK265" i="85"/>
  <c r="AW265" i="85"/>
  <c r="AX265" i="85"/>
  <c r="AZ265" i="85"/>
  <c r="BA265" i="85"/>
  <c r="BB265" i="85"/>
  <c r="AY265" i="85"/>
  <c r="BJ265" i="85"/>
  <c r="BG265" i="85"/>
  <c r="BH265" i="85"/>
  <c r="BC265" i="85"/>
  <c r="BD265" i="85"/>
  <c r="BE265" i="85"/>
  <c r="BF265" i="85"/>
  <c r="BJ257" i="85"/>
  <c r="BK257" i="85"/>
  <c r="BF257" i="85"/>
  <c r="BE257" i="85"/>
  <c r="BG257" i="85"/>
  <c r="AZ257" i="85"/>
  <c r="BC257" i="85"/>
  <c r="AW257" i="85"/>
  <c r="AX257" i="85"/>
  <c r="BB257" i="85"/>
  <c r="BD257" i="85"/>
  <c r="AY257" i="85"/>
  <c r="BI257" i="85"/>
  <c r="BA257" i="85"/>
  <c r="BH257" i="85"/>
  <c r="AY259" i="85"/>
  <c r="BC259" i="85"/>
  <c r="BK259" i="85"/>
  <c r="BA259" i="85"/>
  <c r="AW259" i="85"/>
  <c r="BD259" i="85"/>
  <c r="AX259" i="85"/>
  <c r="BF259" i="85"/>
  <c r="AZ259" i="85"/>
  <c r="BH259" i="85"/>
  <c r="BG259" i="85"/>
  <c r="BB259" i="85"/>
  <c r="BE259" i="85"/>
  <c r="BJ259" i="85"/>
  <c r="BI259" i="85"/>
  <c r="BA264" i="85"/>
  <c r="AX264" i="85"/>
  <c r="AY264" i="85"/>
  <c r="BB264" i="85"/>
  <c r="BC264" i="85"/>
  <c r="BD264" i="85"/>
  <c r="BE264" i="85"/>
  <c r="AZ264" i="85"/>
  <c r="AW264" i="85"/>
  <c r="BK264" i="85"/>
  <c r="BJ264" i="85"/>
  <c r="BI264" i="85"/>
  <c r="BH264" i="85"/>
  <c r="BG264" i="85"/>
  <c r="BF264" i="85"/>
  <c r="BA235" i="85"/>
  <c r="BH235" i="85"/>
  <c r="BG235" i="85"/>
  <c r="BC235" i="85"/>
  <c r="AZ235" i="85"/>
  <c r="BF235" i="85"/>
  <c r="BD235" i="85"/>
  <c r="AX235" i="85"/>
  <c r="BJ235" i="85"/>
  <c r="BI235" i="85"/>
  <c r="AW235" i="85"/>
  <c r="AY235" i="85"/>
  <c r="BB235" i="85"/>
  <c r="BE235" i="85"/>
  <c r="BK235" i="85"/>
  <c r="BD216" i="85"/>
  <c r="BB216" i="85"/>
  <c r="BI216" i="85"/>
  <c r="BH216" i="85"/>
  <c r="AW216" i="85"/>
  <c r="AX216" i="85"/>
  <c r="BJ216" i="85"/>
  <c r="BF216" i="85"/>
  <c r="BA216" i="85"/>
  <c r="AZ216" i="85"/>
  <c r="BK216" i="85"/>
  <c r="BC216" i="85"/>
  <c r="AY216" i="85"/>
  <c r="BE216" i="85"/>
  <c r="BG216" i="85"/>
  <c r="BD219" i="85"/>
  <c r="AY219" i="85"/>
  <c r="BC219" i="85"/>
  <c r="AW219" i="85"/>
  <c r="AX219" i="85"/>
  <c r="BG219" i="85"/>
  <c r="BE219" i="85"/>
  <c r="BK219" i="85"/>
  <c r="BB219" i="85"/>
  <c r="BF219" i="85"/>
  <c r="AZ219" i="85"/>
  <c r="BI219" i="85"/>
  <c r="BJ219" i="85"/>
  <c r="BH219" i="85"/>
  <c r="BA219" i="85"/>
  <c r="BC243" i="85"/>
  <c r="BA243" i="85"/>
  <c r="BD243" i="85"/>
  <c r="BB243" i="85"/>
  <c r="BG243" i="85"/>
  <c r="AZ243" i="85"/>
  <c r="AX243" i="85"/>
  <c r="BK243" i="85"/>
  <c r="BF243" i="85"/>
  <c r="AY243" i="85"/>
  <c r="BE243" i="85"/>
  <c r="AW243" i="85"/>
  <c r="BH243" i="85"/>
  <c r="BJ243" i="85"/>
  <c r="BI243" i="85"/>
  <c r="BA247" i="85"/>
  <c r="AW247" i="85"/>
  <c r="BB247" i="85"/>
  <c r="BK247" i="85"/>
  <c r="BG247" i="85"/>
  <c r="BI247" i="85"/>
  <c r="BH247" i="85"/>
  <c r="AX247" i="85"/>
  <c r="BC247" i="85"/>
  <c r="AZ247" i="85"/>
  <c r="BF247" i="85"/>
  <c r="BJ247" i="85"/>
  <c r="AY247" i="85"/>
  <c r="BE247" i="85"/>
  <c r="BD247" i="85"/>
  <c r="AZ223" i="85"/>
  <c r="AY223" i="85"/>
  <c r="BH223" i="85"/>
  <c r="BC223" i="85"/>
  <c r="AX223" i="85"/>
  <c r="BG223" i="85"/>
  <c r="BF223" i="85"/>
  <c r="BD223" i="85"/>
  <c r="BK223" i="85"/>
  <c r="BA223" i="85"/>
  <c r="BE223" i="85"/>
  <c r="BI223" i="85"/>
  <c r="BJ223" i="85"/>
  <c r="AW223" i="85"/>
  <c r="BB223" i="85"/>
  <c r="BF229" i="85"/>
  <c r="BJ229" i="85"/>
  <c r="BD229" i="85"/>
  <c r="BH229" i="85"/>
  <c r="AY229" i="85"/>
  <c r="BB229" i="85"/>
  <c r="AZ229" i="85"/>
  <c r="BG229" i="85"/>
  <c r="BA229" i="85"/>
  <c r="AX229" i="85"/>
  <c r="AW229" i="85"/>
  <c r="BK229" i="85"/>
  <c r="BC229" i="85"/>
  <c r="BI229" i="85"/>
  <c r="BE229" i="85"/>
  <c r="AY230" i="85"/>
  <c r="AW230" i="85"/>
  <c r="BD230" i="85"/>
  <c r="BB230" i="85"/>
  <c r="BE230" i="85"/>
  <c r="BF230" i="85"/>
  <c r="AX230" i="85"/>
  <c r="BH230" i="85"/>
  <c r="BA230" i="85"/>
  <c r="BG230" i="85"/>
  <c r="BI230" i="85"/>
  <c r="BK230" i="85"/>
  <c r="BJ230" i="85"/>
  <c r="BC230" i="85"/>
  <c r="AZ230" i="85"/>
  <c r="AY232" i="85"/>
  <c r="AX232" i="85"/>
  <c r="BG232" i="85"/>
  <c r="AW232" i="85"/>
  <c r="BJ232" i="85"/>
  <c r="BH232" i="85"/>
  <c r="BK232" i="85"/>
  <c r="BI232" i="85"/>
  <c r="BE232" i="85"/>
  <c r="BB232" i="85"/>
  <c r="AZ232" i="85"/>
  <c r="BA232" i="85"/>
  <c r="BD232" i="85"/>
  <c r="BF232" i="85"/>
  <c r="BC232" i="85"/>
  <c r="BK238" i="85"/>
  <c r="BJ238" i="85"/>
  <c r="BE238" i="85"/>
  <c r="BG238" i="85"/>
  <c r="BH238" i="85"/>
  <c r="BA238" i="85"/>
  <c r="AZ238" i="85"/>
  <c r="BD238" i="85"/>
  <c r="BI238" i="85"/>
  <c r="AW238" i="85"/>
  <c r="BF238" i="85"/>
  <c r="AY238" i="85"/>
  <c r="BC238" i="85"/>
  <c r="BB238" i="85"/>
  <c r="AX238" i="85"/>
  <c r="BF244" i="85"/>
  <c r="BK244" i="85"/>
  <c r="AY244" i="85"/>
  <c r="BJ244" i="85"/>
  <c r="BB244" i="85"/>
  <c r="BG244" i="85"/>
  <c r="AZ244" i="85"/>
  <c r="BI244" i="85"/>
  <c r="BA244" i="85"/>
  <c r="BC244" i="85"/>
  <c r="BD244" i="85"/>
  <c r="BH244" i="85"/>
  <c r="AW244" i="85"/>
  <c r="BE244" i="85"/>
  <c r="AX244" i="85"/>
  <c r="BE233" i="85"/>
  <c r="BA233" i="85"/>
  <c r="BD233" i="85"/>
  <c r="BG233" i="85"/>
  <c r="AX233" i="85"/>
  <c r="BJ233" i="85"/>
  <c r="AW233" i="85"/>
  <c r="BF233" i="85"/>
  <c r="BI233" i="85"/>
  <c r="BC233" i="85"/>
  <c r="AY233" i="85"/>
  <c r="BH233" i="85"/>
  <c r="AZ233" i="85"/>
  <c r="BB233" i="85"/>
  <c r="BK233" i="85"/>
  <c r="BC231" i="85"/>
  <c r="AX231" i="85"/>
  <c r="AW231" i="85"/>
  <c r="BJ231" i="85"/>
  <c r="AZ231" i="85"/>
  <c r="BG231" i="85"/>
  <c r="BA231" i="85"/>
  <c r="BE231" i="85"/>
  <c r="BD231" i="85"/>
  <c r="BH231" i="85"/>
  <c r="AY231" i="85"/>
  <c r="BI231" i="85"/>
  <c r="BK231" i="85"/>
  <c r="BF231" i="85"/>
  <c r="BB231" i="85"/>
  <c r="BJ240" i="85"/>
  <c r="AZ240" i="85"/>
  <c r="BF240" i="85"/>
  <c r="BD240" i="85"/>
  <c r="BG240" i="85"/>
  <c r="BK240" i="85"/>
  <c r="BC240" i="85"/>
  <c r="BB240" i="85"/>
  <c r="AW240" i="85"/>
  <c r="BI240" i="85"/>
  <c r="BH240" i="85"/>
  <c r="BE240" i="85"/>
  <c r="AY240" i="85"/>
  <c r="AX240" i="85"/>
  <c r="BA240" i="85"/>
  <c r="AY228" i="85"/>
  <c r="BC228" i="85"/>
  <c r="BG228" i="85"/>
  <c r="AW228" i="85"/>
  <c r="BD228" i="85"/>
  <c r="BH228" i="85"/>
  <c r="BI228" i="85"/>
  <c r="BA228" i="85"/>
  <c r="AZ228" i="85"/>
  <c r="BB228" i="85"/>
  <c r="BK228" i="85"/>
  <c r="BJ228" i="85"/>
  <c r="BE228" i="85"/>
  <c r="BF228" i="85"/>
  <c r="AX228" i="85"/>
  <c r="BK215" i="85"/>
  <c r="BB215" i="85"/>
  <c r="BC215" i="85"/>
  <c r="BE215" i="85"/>
  <c r="AX215" i="85"/>
  <c r="AZ215" i="85"/>
  <c r="BG215" i="85"/>
  <c r="BD215" i="85"/>
  <c r="BA215" i="85"/>
  <c r="BJ215" i="85"/>
  <c r="AY215" i="85"/>
  <c r="AW215" i="85"/>
  <c r="BI215" i="85"/>
  <c r="BH215" i="85"/>
  <c r="BF215" i="85"/>
  <c r="BD248" i="85"/>
  <c r="AZ248" i="85"/>
  <c r="AW248" i="85"/>
  <c r="BE248" i="85"/>
  <c r="BG248" i="85"/>
  <c r="BJ248" i="85"/>
  <c r="BI248" i="85"/>
  <c r="AY248" i="85"/>
  <c r="BC248" i="85"/>
  <c r="BF248" i="85"/>
  <c r="BK248" i="85"/>
  <c r="BB248" i="85"/>
  <c r="BH248" i="85"/>
  <c r="AX248" i="85"/>
  <c r="BA248" i="85"/>
  <c r="BJ242" i="85"/>
  <c r="AZ242" i="85"/>
  <c r="BD242" i="85"/>
  <c r="BB242" i="85"/>
  <c r="AY242" i="85"/>
  <c r="AW242" i="85"/>
  <c r="BE242" i="85"/>
  <c r="BI242" i="85"/>
  <c r="BG242" i="85"/>
  <c r="BK242" i="85"/>
  <c r="BC242" i="85"/>
  <c r="BF242" i="85"/>
  <c r="AX242" i="85"/>
  <c r="BH242" i="85"/>
  <c r="BA242" i="85"/>
  <c r="AW261" i="85"/>
  <c r="BA261" i="85"/>
  <c r="BE261" i="85"/>
  <c r="BI261" i="85"/>
  <c r="BF261" i="85"/>
  <c r="BG261" i="85"/>
  <c r="BH261" i="85"/>
  <c r="BB261" i="85"/>
  <c r="BJ261" i="85"/>
  <c r="BK261" i="85"/>
  <c r="AX261" i="85"/>
  <c r="AZ261" i="85"/>
  <c r="BD261" i="85"/>
  <c r="BC261" i="85"/>
  <c r="AY261" i="85"/>
  <c r="BA256" i="85"/>
  <c r="BE256" i="85"/>
  <c r="BI256" i="85"/>
  <c r="AY256" i="85"/>
  <c r="BD256" i="85"/>
  <c r="AX256" i="85"/>
  <c r="BH256" i="85"/>
  <c r="BJ256" i="85"/>
  <c r="BF256" i="85"/>
  <c r="BC256" i="85"/>
  <c r="BK256" i="85"/>
  <c r="BB256" i="85"/>
  <c r="AZ256" i="85"/>
  <c r="AW256" i="85"/>
  <c r="BG256" i="85"/>
  <c r="BC260" i="85"/>
  <c r="AZ260" i="85"/>
  <c r="BG260" i="85"/>
  <c r="AW260" i="85"/>
  <c r="BE260" i="85"/>
  <c r="BI260" i="85"/>
  <c r="AY260" i="85"/>
  <c r="AX260" i="85"/>
  <c r="BJ260" i="85"/>
  <c r="BA260" i="85"/>
  <c r="BK260" i="85"/>
  <c r="BF260" i="85"/>
  <c r="BB260" i="85"/>
  <c r="BH260" i="85"/>
  <c r="BD260" i="85"/>
  <c r="BF266" i="85"/>
  <c r="BH266" i="85"/>
  <c r="BE266" i="85"/>
  <c r="BD266" i="85"/>
  <c r="BG266" i="85"/>
  <c r="BJ266" i="85"/>
  <c r="BB266" i="85"/>
  <c r="AW266" i="85"/>
  <c r="AX266" i="85"/>
  <c r="BA266" i="85"/>
  <c r="AY266" i="85"/>
  <c r="BI266" i="85"/>
  <c r="BC266" i="85"/>
  <c r="AZ266" i="85"/>
  <c r="BK266" i="85"/>
  <c r="BH224" i="85"/>
  <c r="BJ224" i="85"/>
  <c r="BA224" i="85"/>
  <c r="BG224" i="85"/>
  <c r="AW224" i="85"/>
  <c r="BI224" i="85"/>
  <c r="BC224" i="85"/>
  <c r="AX224" i="85"/>
  <c r="BF224" i="85"/>
  <c r="BK224" i="85"/>
  <c r="AZ224" i="85"/>
  <c r="BD224" i="85"/>
  <c r="AY224" i="85"/>
  <c r="BB224" i="85"/>
  <c r="BE224" i="85"/>
  <c r="BI249" i="85"/>
  <c r="BE249" i="85"/>
  <c r="BJ249" i="85"/>
  <c r="AY249" i="85"/>
  <c r="BK249" i="85"/>
  <c r="AX249" i="85"/>
  <c r="BB249" i="85"/>
  <c r="BC249" i="85"/>
  <c r="BF249" i="85"/>
  <c r="BA249" i="85"/>
  <c r="BG249" i="85"/>
  <c r="BD249" i="85"/>
  <c r="BH249" i="85"/>
  <c r="AZ249" i="85"/>
  <c r="AW249" i="85"/>
  <c r="BB227" i="85"/>
  <c r="BF227" i="85"/>
  <c r="BH227" i="85"/>
  <c r="AZ227" i="85"/>
  <c r="BD227" i="85"/>
  <c r="BA227" i="85"/>
  <c r="BJ227" i="85"/>
  <c r="AX227" i="85"/>
  <c r="BE227" i="85"/>
  <c r="AY227" i="85"/>
  <c r="BI227" i="85"/>
  <c r="BG227" i="85"/>
  <c r="BC227" i="85"/>
  <c r="BK227" i="85"/>
  <c r="AW227" i="85"/>
  <c r="BJ66" i="85"/>
  <c r="AX66" i="85"/>
  <c r="BI66" i="85"/>
  <c r="AW66" i="85"/>
  <c r="AZ66" i="85"/>
  <c r="BB66" i="85"/>
  <c r="BA66" i="85"/>
  <c r="BC66" i="85"/>
  <c r="BE66" i="85"/>
  <c r="BF66" i="85"/>
  <c r="BG66" i="85"/>
  <c r="AY66" i="85"/>
  <c r="BH66" i="85"/>
  <c r="BD66" i="85"/>
  <c r="BK66" i="85"/>
  <c r="AX89" i="85"/>
  <c r="BI89" i="85"/>
  <c r="BD89" i="85"/>
  <c r="AY89" i="85"/>
  <c r="BG89" i="85"/>
  <c r="BK89" i="85"/>
  <c r="BA89" i="85"/>
  <c r="AW89" i="85"/>
  <c r="AZ89" i="85"/>
  <c r="BF89" i="85"/>
  <c r="BJ89" i="85"/>
  <c r="BB89" i="85"/>
  <c r="BC89" i="85"/>
  <c r="BE89" i="85"/>
  <c r="BH89" i="85"/>
  <c r="BD80" i="85"/>
  <c r="BC80" i="85"/>
  <c r="BA80" i="85"/>
  <c r="BG80" i="85"/>
  <c r="AX80" i="85"/>
  <c r="BI80" i="85"/>
  <c r="AY80" i="85"/>
  <c r="BE80" i="85"/>
  <c r="BF80" i="85"/>
  <c r="BK80" i="85"/>
  <c r="AZ80" i="85"/>
  <c r="BJ80" i="85"/>
  <c r="AW80" i="85"/>
  <c r="BB80" i="85"/>
  <c r="BH80" i="85"/>
  <c r="AX92" i="85"/>
  <c r="BB92" i="85"/>
  <c r="BE92" i="85"/>
  <c r="BK92" i="85"/>
  <c r="BG92" i="85"/>
  <c r="BD92" i="85"/>
  <c r="AZ92" i="85"/>
  <c r="BI92" i="85"/>
  <c r="BH92" i="85"/>
  <c r="AY92" i="85"/>
  <c r="BC92" i="85"/>
  <c r="AW92" i="85"/>
  <c r="BJ92" i="85"/>
  <c r="BF92" i="85"/>
  <c r="BA92" i="85"/>
  <c r="BH79" i="85"/>
  <c r="BF79" i="85"/>
  <c r="BG79" i="85"/>
  <c r="BI79" i="85"/>
  <c r="BK79" i="85"/>
  <c r="BA79" i="85"/>
  <c r="AZ79" i="85"/>
  <c r="BC79" i="85"/>
  <c r="BJ79" i="85"/>
  <c r="AY79" i="85"/>
  <c r="AW79" i="85"/>
  <c r="BB79" i="85"/>
  <c r="BE79" i="85"/>
  <c r="BD79" i="85"/>
  <c r="AX79" i="85"/>
  <c r="BC88" i="85"/>
  <c r="BA88" i="85"/>
  <c r="BJ88" i="85"/>
  <c r="AW88" i="85"/>
  <c r="BG88" i="85"/>
  <c r="BE88" i="85"/>
  <c r="AY88" i="85"/>
  <c r="BH88" i="85"/>
  <c r="BF88" i="85"/>
  <c r="BB88" i="85"/>
  <c r="BD88" i="85"/>
  <c r="BK88" i="85"/>
  <c r="AX88" i="85"/>
  <c r="BI88" i="85"/>
  <c r="AZ88" i="85"/>
  <c r="BE63" i="85"/>
  <c r="AW63" i="85"/>
  <c r="AX63" i="85"/>
  <c r="AY63" i="85"/>
  <c r="AZ63" i="85"/>
  <c r="BA63" i="85"/>
  <c r="BB63" i="85"/>
  <c r="BC63" i="85"/>
  <c r="BD63" i="85"/>
  <c r="BF63" i="85"/>
  <c r="BG63" i="85"/>
  <c r="BH63" i="85"/>
  <c r="BI63" i="85"/>
  <c r="BJ63" i="85"/>
  <c r="BK63" i="85"/>
  <c r="BA90" i="85"/>
  <c r="AW90" i="85"/>
  <c r="BD90" i="85"/>
  <c r="BI90" i="85"/>
  <c r="AY90" i="85"/>
  <c r="AX90" i="85"/>
  <c r="BC90" i="85"/>
  <c r="BJ90" i="85"/>
  <c r="BF90" i="85"/>
  <c r="BG90" i="85"/>
  <c r="BB90" i="85"/>
  <c r="BH90" i="85"/>
  <c r="BE90" i="85"/>
  <c r="AZ90" i="85"/>
  <c r="BK90" i="85"/>
  <c r="BG99" i="85"/>
  <c r="BE99" i="85"/>
  <c r="BD99" i="85"/>
  <c r="AZ99" i="85"/>
  <c r="BI99" i="85"/>
  <c r="BH99" i="85"/>
  <c r="BC99" i="85"/>
  <c r="BB99" i="85"/>
  <c r="BF99" i="85"/>
  <c r="BK99" i="85"/>
  <c r="AW99" i="85"/>
  <c r="BA99" i="85"/>
  <c r="AY99" i="85"/>
  <c r="BJ99" i="85"/>
  <c r="AX99" i="85"/>
  <c r="BF75" i="85"/>
  <c r="BI75" i="85"/>
  <c r="AW75" i="85"/>
  <c r="BH75" i="85"/>
  <c r="BB75" i="85"/>
  <c r="BC75" i="85"/>
  <c r="AZ75" i="85"/>
  <c r="AX75" i="85"/>
  <c r="BE75" i="85"/>
  <c r="BD75" i="85"/>
  <c r="AY75" i="85"/>
  <c r="BK75" i="85"/>
  <c r="BJ75" i="85"/>
  <c r="BA75" i="85"/>
  <c r="BG75" i="85"/>
  <c r="AZ64" i="85"/>
  <c r="BA64" i="85"/>
  <c r="BB64" i="85"/>
  <c r="BC64" i="85"/>
  <c r="BF64" i="85"/>
  <c r="BJ64" i="85"/>
  <c r="BI64" i="85"/>
  <c r="BH64" i="85"/>
  <c r="BG64" i="85"/>
  <c r="BK64" i="85"/>
  <c r="BE64" i="85"/>
  <c r="BD64" i="85"/>
  <c r="AW64" i="85"/>
  <c r="AX64" i="85"/>
  <c r="AY64" i="85"/>
  <c r="AW85" i="85"/>
  <c r="BC85" i="85"/>
  <c r="BF85" i="85"/>
  <c r="AX85" i="85"/>
  <c r="BB85" i="85"/>
  <c r="BD85" i="85"/>
  <c r="BH85" i="85"/>
  <c r="BA85" i="85"/>
  <c r="BI85" i="85"/>
  <c r="BE85" i="85"/>
  <c r="AZ85" i="85"/>
  <c r="BG85" i="85"/>
  <c r="BK85" i="85"/>
  <c r="BJ85" i="85"/>
  <c r="AY85" i="85"/>
  <c r="BH78" i="85"/>
  <c r="BA78" i="85"/>
  <c r="BK78" i="85"/>
  <c r="AW78" i="85"/>
  <c r="BF78" i="85"/>
  <c r="BI78" i="85"/>
  <c r="AZ78" i="85"/>
  <c r="AX78" i="85"/>
  <c r="BB78" i="85"/>
  <c r="BD78" i="85"/>
  <c r="BC78" i="85"/>
  <c r="BG78" i="85"/>
  <c r="BE78" i="85"/>
  <c r="AY78" i="85"/>
  <c r="BJ78" i="85"/>
  <c r="BB95" i="85"/>
  <c r="AW95" i="85"/>
  <c r="AZ95" i="85"/>
  <c r="BC95" i="85"/>
  <c r="BA95" i="85"/>
  <c r="BK95" i="85"/>
  <c r="AY95" i="85"/>
  <c r="BD95" i="85"/>
  <c r="BH95" i="85"/>
  <c r="BG95" i="85"/>
  <c r="BE95" i="85"/>
  <c r="BJ95" i="85"/>
  <c r="BF95" i="85"/>
  <c r="BI95" i="85"/>
  <c r="AX95" i="85"/>
  <c r="AY91" i="85"/>
  <c r="BA91" i="85"/>
  <c r="BK91" i="85"/>
  <c r="BJ91" i="85"/>
  <c r="BG91" i="85"/>
  <c r="BD91" i="85"/>
  <c r="AX91" i="85"/>
  <c r="AW91" i="85"/>
  <c r="BC91" i="85"/>
  <c r="BE91" i="85"/>
  <c r="BI91" i="85"/>
  <c r="AZ91" i="85"/>
  <c r="BB91" i="85"/>
  <c r="BH91" i="85"/>
  <c r="BF91" i="85"/>
  <c r="BF76" i="85"/>
  <c r="AW76" i="85"/>
  <c r="BB76" i="85"/>
  <c r="BC76" i="85"/>
  <c r="AZ76" i="85"/>
  <c r="BA76" i="85"/>
  <c r="BE76" i="85"/>
  <c r="BD76" i="85"/>
  <c r="BK76" i="85"/>
  <c r="AY76" i="85"/>
  <c r="BI76" i="85"/>
  <c r="BH76" i="85"/>
  <c r="AX76" i="85"/>
  <c r="BG76" i="85"/>
  <c r="BJ76" i="85"/>
  <c r="BI77" i="85"/>
  <c r="BH77" i="85"/>
  <c r="BG77" i="85"/>
  <c r="BF77" i="85"/>
  <c r="BE77" i="85"/>
  <c r="BD77" i="85"/>
  <c r="BC77" i="85"/>
  <c r="BB77" i="85"/>
  <c r="BA77" i="85"/>
  <c r="AZ77" i="85"/>
  <c r="AY77" i="85"/>
  <c r="AX77" i="85"/>
  <c r="AW77" i="85"/>
  <c r="BK77" i="85"/>
  <c r="BJ77" i="85"/>
  <c r="AW62" i="85"/>
  <c r="AZ62" i="85"/>
  <c r="AY62" i="85"/>
  <c r="AX62" i="85"/>
  <c r="BK62" i="85"/>
  <c r="BJ62" i="85"/>
  <c r="BA62" i="85"/>
  <c r="BB62" i="85"/>
  <c r="BG62" i="85"/>
  <c r="BF62" i="85"/>
  <c r="BE62" i="85"/>
  <c r="BC62" i="85"/>
  <c r="BD62" i="85"/>
  <c r="BI62" i="85"/>
  <c r="BH62" i="85"/>
  <c r="BH67" i="85"/>
  <c r="BI67" i="85"/>
  <c r="BF67" i="85"/>
  <c r="BA67" i="85"/>
  <c r="BB67" i="85"/>
  <c r="BD67" i="85"/>
  <c r="AW67" i="85"/>
  <c r="AX67" i="85"/>
  <c r="BE67" i="85"/>
  <c r="BG67" i="85"/>
  <c r="BJ67" i="85"/>
  <c r="AZ67" i="85"/>
  <c r="AY67" i="85"/>
  <c r="BK67" i="85"/>
  <c r="BC67" i="85"/>
  <c r="BI104" i="85"/>
  <c r="BC104" i="85"/>
  <c r="AW104" i="85"/>
  <c r="BG104" i="85"/>
  <c r="BK104" i="85"/>
  <c r="AZ104" i="85"/>
  <c r="AX104" i="85"/>
  <c r="BA104" i="85"/>
  <c r="BJ104" i="85"/>
  <c r="AY104" i="85"/>
  <c r="BD104" i="85"/>
  <c r="BH104" i="85"/>
  <c r="BF104" i="85"/>
  <c r="BE104" i="85"/>
  <c r="BB104" i="85"/>
  <c r="BG81" i="85"/>
  <c r="BK81" i="85"/>
  <c r="AZ81" i="85"/>
  <c r="AY81" i="85"/>
  <c r="BJ81" i="85"/>
  <c r="BC81" i="85"/>
  <c r="AX81" i="85"/>
  <c r="BA81" i="85"/>
  <c r="BB81" i="85"/>
  <c r="BI81" i="85"/>
  <c r="BH81" i="85"/>
  <c r="BF81" i="85"/>
  <c r="BE81" i="85"/>
  <c r="AW81" i="85"/>
  <c r="BD81" i="85"/>
  <c r="BB87" i="85"/>
  <c r="AW87" i="85"/>
  <c r="BK87" i="85"/>
  <c r="BD87" i="85"/>
  <c r="BE87" i="85"/>
  <c r="AY87" i="85"/>
  <c r="BJ87" i="85"/>
  <c r="BF87" i="85"/>
  <c r="BA87" i="85"/>
  <c r="BH87" i="85"/>
  <c r="BI87" i="85"/>
  <c r="BC87" i="85"/>
  <c r="BG87" i="85"/>
  <c r="AZ87" i="85"/>
  <c r="AX87" i="85"/>
  <c r="BA94" i="85"/>
  <c r="AX94" i="85"/>
  <c r="BC94" i="85"/>
  <c r="BI94" i="85"/>
  <c r="BK94" i="85"/>
  <c r="AY94" i="85"/>
  <c r="BG94" i="85"/>
  <c r="BJ94" i="85"/>
  <c r="AW94" i="85"/>
  <c r="BD94" i="85"/>
  <c r="BF94" i="85"/>
  <c r="BH94" i="85"/>
  <c r="AZ94" i="85"/>
  <c r="BE94" i="85"/>
  <c r="BB94" i="85"/>
  <c r="BD61" i="85"/>
  <c r="BB61" i="85"/>
  <c r="BC61" i="85"/>
  <c r="BE61" i="85"/>
  <c r="BF61" i="85"/>
  <c r="BG61" i="85"/>
  <c r="BI61" i="85"/>
  <c r="AZ61" i="85"/>
  <c r="AY61" i="85"/>
  <c r="BH61" i="85"/>
  <c r="AX61" i="85"/>
  <c r="BJ61" i="85"/>
  <c r="AW61" i="85"/>
  <c r="BA61" i="85"/>
  <c r="BK61" i="85"/>
  <c r="BA60" i="85"/>
  <c r="AW60" i="85"/>
  <c r="BJ60" i="85"/>
  <c r="BG60" i="85"/>
  <c r="BB60" i="85"/>
  <c r="AZ60" i="85"/>
  <c r="BH60" i="85"/>
  <c r="BC60" i="85"/>
  <c r="AX60" i="85"/>
  <c r="BI60" i="85"/>
  <c r="BE60" i="85"/>
  <c r="AY60" i="85"/>
  <c r="BD60" i="85"/>
  <c r="BK60" i="85"/>
  <c r="BF60" i="85"/>
  <c r="AZ65" i="85"/>
  <c r="BA65" i="85"/>
  <c r="BB65" i="85"/>
  <c r="BF65" i="85"/>
  <c r="BE65" i="85"/>
  <c r="BG65" i="85"/>
  <c r="BI65" i="85"/>
  <c r="BH65" i="85"/>
  <c r="BJ65" i="85"/>
  <c r="BK65" i="85"/>
  <c r="AY65" i="85"/>
  <c r="BC65" i="85"/>
  <c r="BD65" i="85"/>
  <c r="AW65" i="85"/>
  <c r="AX65" i="85"/>
  <c r="AZ97" i="85"/>
  <c r="BF97" i="85"/>
  <c r="BK97" i="85"/>
  <c r="BH97" i="85"/>
  <c r="BG97" i="85"/>
  <c r="AY97" i="85"/>
  <c r="BB97" i="85"/>
  <c r="AX97" i="85"/>
  <c r="BC97" i="85"/>
  <c r="BI97" i="85"/>
  <c r="AW97" i="85"/>
  <c r="BD97" i="85"/>
  <c r="BJ97" i="85"/>
  <c r="BA97" i="85"/>
  <c r="BE97" i="85"/>
  <c r="AZ68" i="85"/>
  <c r="AY68" i="85"/>
  <c r="AW68" i="85"/>
  <c r="BD68" i="85"/>
  <c r="BC68" i="85"/>
  <c r="AX68" i="85"/>
  <c r="BE68" i="85"/>
  <c r="BF68" i="85"/>
  <c r="BG68" i="85"/>
  <c r="BH68" i="85"/>
  <c r="BK68" i="85"/>
  <c r="BA68" i="85"/>
  <c r="BI68" i="85"/>
  <c r="BB68" i="85"/>
  <c r="BJ68" i="85"/>
  <c r="BE93" i="85"/>
  <c r="BJ93" i="85"/>
  <c r="BB93" i="85"/>
  <c r="BF93" i="85"/>
  <c r="BH93" i="85"/>
  <c r="AW93" i="85"/>
  <c r="BA93" i="85"/>
  <c r="BI93" i="85"/>
  <c r="BD93" i="85"/>
  <c r="BC93" i="85"/>
  <c r="AX93" i="85"/>
  <c r="BK93" i="85"/>
  <c r="BG93" i="85"/>
  <c r="AZ93" i="85"/>
  <c r="AY93" i="85"/>
  <c r="BC103" i="85"/>
  <c r="AW103" i="85"/>
  <c r="AY103" i="85"/>
  <c r="BD103" i="85"/>
  <c r="AX103" i="85"/>
  <c r="BH103" i="85"/>
  <c r="BF103" i="85"/>
  <c r="BG103" i="85"/>
  <c r="BA103" i="85"/>
  <c r="AZ103" i="85"/>
  <c r="BB103" i="85"/>
  <c r="BK103" i="85"/>
  <c r="BE103" i="85"/>
  <c r="BJ103" i="85"/>
  <c r="BI103" i="85"/>
  <c r="BE83" i="85"/>
  <c r="AZ83" i="85"/>
  <c r="BJ83" i="85"/>
  <c r="AY83" i="85"/>
  <c r="AX83" i="85"/>
  <c r="BK83" i="85"/>
  <c r="BD83" i="85"/>
  <c r="BF83" i="85"/>
  <c r="BA83" i="85"/>
  <c r="BH83" i="85"/>
  <c r="BI83" i="85"/>
  <c r="BC83" i="85"/>
  <c r="BB83" i="85"/>
  <c r="BG83" i="85"/>
  <c r="AW83" i="85"/>
  <c r="BB84" i="85"/>
  <c r="BA84" i="85"/>
  <c r="BC84" i="85"/>
  <c r="BJ84" i="85"/>
  <c r="BF84" i="85"/>
  <c r="BK84" i="85"/>
  <c r="AY84" i="85"/>
  <c r="BH84" i="85"/>
  <c r="BD84" i="85"/>
  <c r="BG84" i="85"/>
  <c r="AX84" i="85"/>
  <c r="BI84" i="85"/>
  <c r="AW84" i="85"/>
  <c r="AZ84" i="85"/>
  <c r="BE84" i="85"/>
  <c r="BB71" i="85"/>
  <c r="BE71" i="85"/>
  <c r="AW71" i="85"/>
  <c r="AZ71" i="85"/>
  <c r="AY71" i="85"/>
  <c r="BK71" i="85"/>
  <c r="AX71" i="85"/>
  <c r="BH71" i="85"/>
  <c r="BA71" i="85"/>
  <c r="BJ71" i="85"/>
  <c r="BI71" i="85"/>
  <c r="BG71" i="85"/>
  <c r="BF71" i="85"/>
  <c r="BD71" i="85"/>
  <c r="BC71" i="85"/>
  <c r="AW58" i="85"/>
  <c r="BH58" i="85"/>
  <c r="BI58" i="85"/>
  <c r="BF58" i="85"/>
  <c r="BE58" i="85"/>
  <c r="BD58" i="85"/>
  <c r="BC58" i="85"/>
  <c r="AX58" i="85"/>
  <c r="BB58" i="85"/>
  <c r="BJ58" i="85"/>
  <c r="BG58" i="85"/>
  <c r="BA58" i="85"/>
  <c r="AZ58" i="85"/>
  <c r="AY58" i="85"/>
  <c r="BK58" i="85"/>
  <c r="BI72" i="85"/>
  <c r="BC72" i="85"/>
  <c r="BG72" i="85"/>
  <c r="BH72" i="85"/>
  <c r="AW72" i="85"/>
  <c r="BD72" i="85"/>
  <c r="BA72" i="85"/>
  <c r="BK72" i="85"/>
  <c r="BE72" i="85"/>
  <c r="BB72" i="85"/>
  <c r="BJ72" i="85"/>
  <c r="AZ72" i="85"/>
  <c r="AY72" i="85"/>
  <c r="AX72" i="85"/>
  <c r="BF72" i="85"/>
  <c r="BJ74" i="85"/>
  <c r="BE74" i="85"/>
  <c r="BF74" i="85"/>
  <c r="BK74" i="85"/>
  <c r="BD74" i="85"/>
  <c r="BC74" i="85"/>
  <c r="AW74" i="85"/>
  <c r="BG74" i="85"/>
  <c r="BI74" i="85"/>
  <c r="BB74" i="85"/>
  <c r="AZ74" i="85"/>
  <c r="AY74" i="85"/>
  <c r="BA74" i="85"/>
  <c r="BH74" i="85"/>
  <c r="AX74" i="85"/>
  <c r="BA82" i="85"/>
  <c r="AW82" i="85"/>
  <c r="BH82" i="85"/>
  <c r="BE82" i="85"/>
  <c r="BG82" i="85"/>
  <c r="AY82" i="85"/>
  <c r="BD82" i="85"/>
  <c r="BI82" i="85"/>
  <c r="AZ82" i="85"/>
  <c r="BK82" i="85"/>
  <c r="BJ82" i="85"/>
  <c r="BB82" i="85"/>
  <c r="BF82" i="85"/>
  <c r="BC82" i="85"/>
  <c r="AX82" i="85"/>
  <c r="BC57" i="85"/>
  <c r="BF57" i="85"/>
  <c r="BJ57" i="85"/>
  <c r="AW57" i="85"/>
  <c r="BD57" i="85"/>
  <c r="BG57" i="85"/>
  <c r="BI57" i="85"/>
  <c r="BK57" i="85"/>
  <c r="BE57" i="85"/>
  <c r="BH57" i="85"/>
  <c r="AZ57" i="85"/>
  <c r="AX57" i="85"/>
  <c r="AY57" i="85"/>
  <c r="BA57" i="85"/>
  <c r="BB57" i="85"/>
  <c r="BA73" i="85"/>
  <c r="BK73" i="85"/>
  <c r="AY73" i="85"/>
  <c r="AX73" i="85"/>
  <c r="BH73" i="85"/>
  <c r="BJ73" i="85"/>
  <c r="BI73" i="85"/>
  <c r="AZ73" i="85"/>
  <c r="BG73" i="85"/>
  <c r="BC73" i="85"/>
  <c r="BF73" i="85"/>
  <c r="BE73" i="85"/>
  <c r="AW73" i="85"/>
  <c r="BB73" i="85"/>
  <c r="BD73" i="85"/>
  <c r="BF96" i="85"/>
  <c r="BI96" i="85"/>
  <c r="BD96" i="85"/>
  <c r="AZ96" i="85"/>
  <c r="BB96" i="85"/>
  <c r="AW96" i="85"/>
  <c r="BC96" i="85"/>
  <c r="BH96" i="85"/>
  <c r="BG96" i="85"/>
  <c r="BJ96" i="85"/>
  <c r="AX96" i="85"/>
  <c r="BA96" i="85"/>
  <c r="AY96" i="85"/>
  <c r="BK96" i="85"/>
  <c r="BE96" i="85"/>
  <c r="AW102" i="85"/>
  <c r="AY102" i="85"/>
  <c r="BA102" i="85"/>
  <c r="BI102" i="85"/>
  <c r="BB102" i="85"/>
  <c r="BG102" i="85"/>
  <c r="BJ102" i="85"/>
  <c r="BH102" i="85"/>
  <c r="BC102" i="85"/>
  <c r="BD102" i="85"/>
  <c r="BF102" i="85"/>
  <c r="AX102" i="85"/>
  <c r="BE102" i="85"/>
  <c r="AZ102" i="85"/>
  <c r="BK102" i="85"/>
  <c r="AW106" i="85"/>
  <c r="BK106" i="85"/>
  <c r="BD106" i="85"/>
  <c r="BF106" i="85"/>
  <c r="BG106" i="85"/>
  <c r="BC106" i="85"/>
  <c r="BE106" i="85"/>
  <c r="BA106" i="85"/>
  <c r="BH106" i="85"/>
  <c r="AX106" i="85"/>
  <c r="BI106" i="85"/>
  <c r="AY106" i="85"/>
  <c r="BJ106" i="85"/>
  <c r="AZ106" i="85"/>
  <c r="BB106" i="85"/>
  <c r="BJ59" i="85"/>
  <c r="AY59" i="85"/>
  <c r="BB59" i="85"/>
  <c r="BG59" i="85"/>
  <c r="BF59" i="85"/>
  <c r="BK59" i="85"/>
  <c r="BC59" i="85"/>
  <c r="BH59" i="85"/>
  <c r="AZ59" i="85"/>
  <c r="BD59" i="85"/>
  <c r="AW59" i="85"/>
  <c r="AX59" i="85"/>
  <c r="BA59" i="85"/>
  <c r="BE59" i="85"/>
  <c r="BI59" i="85"/>
  <c r="BB98" i="85"/>
  <c r="BK98" i="85"/>
  <c r="BJ98" i="85"/>
  <c r="AZ98" i="85"/>
  <c r="AY98" i="85"/>
  <c r="BH98" i="85"/>
  <c r="BF98" i="85"/>
  <c r="BC98" i="85"/>
  <c r="BA98" i="85"/>
  <c r="BG98" i="85"/>
  <c r="AW98" i="85"/>
  <c r="BE98" i="85"/>
  <c r="BI98" i="85"/>
  <c r="BD98" i="85"/>
  <c r="AX98" i="85"/>
  <c r="AW69" i="85"/>
  <c r="BD69" i="85"/>
  <c r="BJ69" i="85"/>
  <c r="BE69" i="85"/>
  <c r="AY69" i="85"/>
  <c r="BK69" i="85"/>
  <c r="AX69" i="85"/>
  <c r="BG69" i="85"/>
  <c r="BA69" i="85"/>
  <c r="BC69" i="85"/>
  <c r="BH69" i="85"/>
  <c r="BI69" i="85"/>
  <c r="BB69" i="85"/>
  <c r="BF69" i="85"/>
  <c r="AZ69" i="85"/>
  <c r="BI86" i="85"/>
  <c r="BD86" i="85"/>
  <c r="BJ86" i="85"/>
  <c r="BH86" i="85"/>
  <c r="AZ86" i="85"/>
  <c r="AY86" i="85"/>
  <c r="BF86" i="85"/>
  <c r="BC86" i="85"/>
  <c r="BE86" i="85"/>
  <c r="BK86" i="85"/>
  <c r="BB86" i="85"/>
  <c r="AX86" i="85"/>
  <c r="AW86" i="85"/>
  <c r="BG86" i="85"/>
  <c r="BA86" i="85"/>
  <c r="BC100" i="85"/>
  <c r="BH100" i="85"/>
  <c r="BE100" i="85"/>
  <c r="AX100" i="85"/>
  <c r="BG100" i="85"/>
  <c r="BA100" i="85"/>
  <c r="AY100" i="85"/>
  <c r="BD100" i="85"/>
  <c r="BJ100" i="85"/>
  <c r="BI100" i="85"/>
  <c r="AZ100" i="85"/>
  <c r="BF100" i="85"/>
  <c r="AW100" i="85"/>
  <c r="BK100" i="85"/>
  <c r="BB100" i="85"/>
  <c r="BK70" i="85"/>
  <c r="AZ70" i="85"/>
  <c r="BJ70" i="85"/>
  <c r="BF70" i="85"/>
  <c r="BG70" i="85"/>
  <c r="BB70" i="85"/>
  <c r="AY70" i="85"/>
  <c r="AX70" i="85"/>
  <c r="BI70" i="85"/>
  <c r="BA70" i="85"/>
  <c r="BE70" i="85"/>
  <c r="BD70" i="85"/>
  <c r="AW70" i="85"/>
  <c r="BC70" i="85"/>
  <c r="BH70" i="85"/>
  <c r="FF201" i="27"/>
  <c r="FD201" i="27"/>
  <c r="FA207" i="27"/>
  <c r="AC252" i="145"/>
  <c r="FA216" i="27"/>
  <c r="AC261" i="145"/>
  <c r="FF216" i="27"/>
  <c r="FD216" i="27"/>
  <c r="FF195" i="27"/>
  <c r="FD195" i="27"/>
  <c r="FA195" i="27"/>
  <c r="AC240" i="145"/>
  <c r="FF188" i="27"/>
  <c r="FD188" i="27"/>
  <c r="FA188" i="27"/>
  <c r="AC233" i="145"/>
  <c r="FA217" i="27"/>
  <c r="AC262" i="145"/>
  <c r="FD217" i="27"/>
  <c r="FF217" i="27"/>
  <c r="AC230" i="145"/>
  <c r="FA185" i="27"/>
  <c r="FD185" i="27"/>
  <c r="FF185" i="27"/>
  <c r="FD191" i="27"/>
  <c r="FF191" i="27"/>
  <c r="FA211" i="27"/>
  <c r="AC256" i="145"/>
  <c r="AP292" i="85"/>
  <c r="AO292" i="85"/>
  <c r="AQ292" i="85"/>
  <c r="AR292" i="85"/>
  <c r="AS292" i="85"/>
  <c r="AT292" i="85"/>
  <c r="AU292" i="85"/>
  <c r="AV292" i="85"/>
  <c r="AP293" i="85"/>
  <c r="AO293" i="85"/>
  <c r="AR293" i="85"/>
  <c r="AT293" i="85"/>
  <c r="AQ293" i="85"/>
  <c r="AU293" i="85"/>
  <c r="AS293" i="85"/>
  <c r="AV293" i="85"/>
  <c r="AP310" i="85"/>
  <c r="AO310" i="85"/>
  <c r="AQ310" i="85"/>
  <c r="AR310" i="85"/>
  <c r="AT310" i="85"/>
  <c r="AS310" i="85"/>
  <c r="AU310" i="85"/>
  <c r="AV310" i="85"/>
  <c r="AP311" i="85"/>
  <c r="AO311" i="85"/>
  <c r="AQ311" i="85"/>
  <c r="AR311" i="85"/>
  <c r="AS311" i="85"/>
  <c r="AT311" i="85"/>
  <c r="AU311" i="85"/>
  <c r="AV311" i="85"/>
  <c r="AP312" i="85"/>
  <c r="AO312" i="85"/>
  <c r="AQ312" i="85"/>
  <c r="AR312" i="85"/>
  <c r="AS312" i="85"/>
  <c r="AT312" i="85"/>
  <c r="AU312" i="85"/>
  <c r="AV312" i="85"/>
  <c r="AP313" i="85"/>
  <c r="AO313" i="85"/>
  <c r="AQ313" i="85"/>
  <c r="AR313" i="85"/>
  <c r="AS313" i="85"/>
  <c r="AT313" i="85"/>
  <c r="AU313" i="85"/>
  <c r="AV313" i="85"/>
  <c r="AP314" i="85"/>
  <c r="AO314" i="85"/>
  <c r="AQ314" i="85"/>
  <c r="AR314" i="85"/>
  <c r="AS314" i="85"/>
  <c r="AT314" i="85"/>
  <c r="AU314" i="85"/>
  <c r="AV314" i="85"/>
  <c r="AP315" i="85"/>
  <c r="AO315" i="85"/>
  <c r="AQ315" i="85"/>
  <c r="AR315" i="85"/>
  <c r="AS315" i="85"/>
  <c r="AT315" i="85"/>
  <c r="AU315" i="85"/>
  <c r="AV315" i="85"/>
  <c r="AP316" i="85"/>
  <c r="AO316" i="85"/>
  <c r="AQ316" i="85"/>
  <c r="AR316" i="85"/>
  <c r="AS316" i="85"/>
  <c r="AT316" i="85"/>
  <c r="AU316" i="85"/>
  <c r="AV316" i="85"/>
  <c r="AP317" i="85"/>
  <c r="AO317" i="85"/>
  <c r="AQ317" i="85"/>
  <c r="AR317" i="85"/>
  <c r="AS317" i="85"/>
  <c r="AT317" i="85"/>
  <c r="AU317" i="85"/>
  <c r="AV317" i="85"/>
  <c r="AP288" i="85"/>
  <c r="AO288" i="85"/>
  <c r="AU288" i="85"/>
  <c r="AV288" i="85"/>
  <c r="AT288" i="85"/>
  <c r="AS288" i="85"/>
  <c r="AR288" i="85"/>
  <c r="AQ288" i="85"/>
  <c r="AP309" i="85"/>
  <c r="AO309" i="85"/>
  <c r="AQ309" i="85"/>
  <c r="AT309" i="85"/>
  <c r="AU309" i="85"/>
  <c r="AS309" i="85"/>
  <c r="AR309" i="85"/>
  <c r="AV309" i="85"/>
  <c r="AP267" i="85"/>
  <c r="AO267" i="85"/>
  <c r="AT267" i="85"/>
  <c r="AS267" i="85"/>
  <c r="AU267" i="85"/>
  <c r="AR267" i="85"/>
  <c r="AQ267" i="85"/>
  <c r="AV267" i="85"/>
  <c r="AP291" i="85"/>
  <c r="AO291" i="85"/>
  <c r="AR291" i="85"/>
  <c r="AV291" i="85"/>
  <c r="AQ291" i="85"/>
  <c r="AS291" i="85"/>
  <c r="AU291" i="85"/>
  <c r="AT291" i="85"/>
  <c r="AP289" i="85"/>
  <c r="AO289" i="85"/>
  <c r="AV289" i="85"/>
  <c r="AU289" i="85"/>
  <c r="AT289" i="85"/>
  <c r="AS289" i="85"/>
  <c r="AR289" i="85"/>
  <c r="AQ289" i="85"/>
  <c r="AP290" i="85"/>
  <c r="AO290" i="85"/>
  <c r="AV290" i="85"/>
  <c r="AS290" i="85"/>
  <c r="AQ290" i="85"/>
  <c r="AU290" i="85"/>
  <c r="AR290" i="85"/>
  <c r="AT290" i="85"/>
  <c r="AP268" i="85"/>
  <c r="AO268" i="85"/>
  <c r="AR268" i="85"/>
  <c r="AS268" i="85"/>
  <c r="AV268" i="85"/>
  <c r="AT268" i="85"/>
  <c r="AQ268" i="85"/>
  <c r="AU268" i="85"/>
  <c r="AP269" i="85"/>
  <c r="AO269" i="85"/>
  <c r="AV269" i="85"/>
  <c r="AR269" i="85"/>
  <c r="AS269" i="85"/>
  <c r="AQ269" i="85"/>
  <c r="AT269" i="85"/>
  <c r="AU269" i="85"/>
  <c r="AP270" i="85"/>
  <c r="AO270" i="85"/>
  <c r="AT270" i="85"/>
  <c r="AS270" i="85"/>
  <c r="AQ270" i="85"/>
  <c r="AU270" i="85"/>
  <c r="AR270" i="85"/>
  <c r="AV270" i="85"/>
  <c r="AP280" i="85"/>
  <c r="AO280" i="85"/>
  <c r="AQ280" i="85"/>
  <c r="AR280" i="85"/>
  <c r="AU280" i="85"/>
  <c r="AS280" i="85"/>
  <c r="AT280" i="85"/>
  <c r="AV280" i="85"/>
  <c r="AP271" i="85"/>
  <c r="AO271" i="85"/>
  <c r="AV271" i="85"/>
  <c r="AR271" i="85"/>
  <c r="AS271" i="85"/>
  <c r="AT271" i="85"/>
  <c r="AU271" i="85"/>
  <c r="AQ271" i="85"/>
  <c r="AP272" i="85"/>
  <c r="AO272" i="85"/>
  <c r="AT272" i="85"/>
  <c r="AV272" i="85"/>
  <c r="AQ272" i="85"/>
  <c r="AR272" i="85"/>
  <c r="AS272" i="85"/>
  <c r="AU272" i="85"/>
  <c r="AP273" i="85"/>
  <c r="AO273" i="85"/>
  <c r="AQ273" i="85"/>
  <c r="AR273" i="85"/>
  <c r="AV273" i="85"/>
  <c r="AT273" i="85"/>
  <c r="AS273" i="85"/>
  <c r="AU273" i="85"/>
  <c r="AP274" i="85"/>
  <c r="AO274" i="85"/>
  <c r="AV274" i="85"/>
  <c r="AU274" i="85"/>
  <c r="AS274" i="85"/>
  <c r="AR274" i="85"/>
  <c r="AT274" i="85"/>
  <c r="AQ274" i="85"/>
  <c r="AP275" i="85"/>
  <c r="AO275" i="85"/>
  <c r="AR275" i="85"/>
  <c r="AU275" i="85"/>
  <c r="AV275" i="85"/>
  <c r="AS275" i="85"/>
  <c r="AT275" i="85"/>
  <c r="AQ275" i="85"/>
  <c r="AP276" i="85"/>
  <c r="AO276" i="85"/>
  <c r="AS276" i="85"/>
  <c r="AR276" i="85"/>
  <c r="AT276" i="85"/>
  <c r="AU276" i="85"/>
  <c r="AQ276" i="85"/>
  <c r="AV276" i="85"/>
  <c r="AP277" i="85"/>
  <c r="AO277" i="85"/>
  <c r="AQ277" i="85"/>
  <c r="AU277" i="85"/>
  <c r="AV277" i="85"/>
  <c r="AS277" i="85"/>
  <c r="AR277" i="85"/>
  <c r="AT277" i="85"/>
  <c r="AP283" i="85"/>
  <c r="AO283" i="85"/>
  <c r="AS283" i="85"/>
  <c r="AT283" i="85"/>
  <c r="AQ283" i="85"/>
  <c r="AR283" i="85"/>
  <c r="AV283" i="85"/>
  <c r="AU283" i="85"/>
  <c r="AP284" i="85"/>
  <c r="AO284" i="85"/>
  <c r="AT284" i="85"/>
  <c r="AR284" i="85"/>
  <c r="AS284" i="85"/>
  <c r="AQ284" i="85"/>
  <c r="AU284" i="85"/>
  <c r="AV284" i="85"/>
  <c r="AP285" i="85"/>
  <c r="AO285" i="85"/>
  <c r="AR285" i="85"/>
  <c r="AQ285" i="85"/>
  <c r="AT285" i="85"/>
  <c r="AU285" i="85"/>
  <c r="AS285" i="85"/>
  <c r="AV285" i="85"/>
  <c r="AP297" i="85"/>
  <c r="AO297" i="85"/>
  <c r="AU297" i="85"/>
  <c r="AT297" i="85"/>
  <c r="AQ297" i="85"/>
  <c r="AR297" i="85"/>
  <c r="AV297" i="85"/>
  <c r="AS297" i="85"/>
  <c r="AP286" i="85"/>
  <c r="AO286" i="85"/>
  <c r="AU286" i="85"/>
  <c r="AT286" i="85"/>
  <c r="AQ286" i="85"/>
  <c r="AS286" i="85"/>
  <c r="AR286" i="85"/>
  <c r="AV286" i="85"/>
  <c r="AP287" i="85"/>
  <c r="AO287" i="85"/>
  <c r="AU287" i="85"/>
  <c r="AR287" i="85"/>
  <c r="AV287" i="85"/>
  <c r="AT287" i="85"/>
  <c r="AQ287" i="85"/>
  <c r="AS287" i="85"/>
  <c r="AP294" i="85"/>
  <c r="AO294" i="85"/>
  <c r="AT294" i="85"/>
  <c r="AS294" i="85"/>
  <c r="AR294" i="85"/>
  <c r="AU294" i="85"/>
  <c r="AQ294" i="85"/>
  <c r="AV294" i="85"/>
  <c r="AP295" i="85"/>
  <c r="AO295" i="85"/>
  <c r="AU295" i="85"/>
  <c r="AQ295" i="85"/>
  <c r="AT295" i="85"/>
  <c r="AR295" i="85"/>
  <c r="AS295" i="85"/>
  <c r="AV295" i="85"/>
  <c r="AP296" i="85"/>
  <c r="AO296" i="85"/>
  <c r="AQ296" i="85"/>
  <c r="AR296" i="85"/>
  <c r="AU296" i="85"/>
  <c r="AT296" i="85"/>
  <c r="AV296" i="85"/>
  <c r="AS296" i="85"/>
  <c r="AP298" i="85"/>
  <c r="AO298" i="85"/>
  <c r="AR298" i="85"/>
  <c r="AU298" i="85"/>
  <c r="AQ298" i="85"/>
  <c r="AT298" i="85"/>
  <c r="AS298" i="85"/>
  <c r="AV298" i="85"/>
  <c r="AP299" i="85"/>
  <c r="AO299" i="85"/>
  <c r="AT299" i="85"/>
  <c r="AU299" i="85"/>
  <c r="AS299" i="85"/>
  <c r="AV299" i="85"/>
  <c r="AR299" i="85"/>
  <c r="AQ299" i="85"/>
  <c r="AP300" i="85"/>
  <c r="AO300" i="85"/>
  <c r="AU300" i="85"/>
  <c r="AQ300" i="85"/>
  <c r="AS300" i="85"/>
  <c r="AV300" i="85"/>
  <c r="AR300" i="85"/>
  <c r="AT300" i="85"/>
  <c r="AP301" i="85"/>
  <c r="AO301" i="85"/>
  <c r="AQ301" i="85"/>
  <c r="AV301" i="85"/>
  <c r="AT301" i="85"/>
  <c r="AU301" i="85"/>
  <c r="AS301" i="85"/>
  <c r="AR301" i="85"/>
  <c r="AP282" i="85"/>
  <c r="AO282" i="85"/>
  <c r="AV282" i="85"/>
  <c r="AR282" i="85"/>
  <c r="AT282" i="85"/>
  <c r="AS282" i="85"/>
  <c r="AQ282" i="85"/>
  <c r="AU282" i="85"/>
  <c r="AP302" i="85"/>
  <c r="AO302" i="85"/>
  <c r="AS302" i="85"/>
  <c r="AR302" i="85"/>
  <c r="AT302" i="85"/>
  <c r="AV302" i="85"/>
  <c r="AQ302" i="85"/>
  <c r="AU302" i="85"/>
  <c r="AP303" i="85"/>
  <c r="AO303" i="85"/>
  <c r="AU303" i="85"/>
  <c r="AS303" i="85"/>
  <c r="AR303" i="85"/>
  <c r="AQ303" i="85"/>
  <c r="AV303" i="85"/>
  <c r="AT303" i="85"/>
  <c r="AP304" i="85"/>
  <c r="AO304" i="85"/>
  <c r="AT304" i="85"/>
  <c r="AR304" i="85"/>
  <c r="AQ304" i="85"/>
  <c r="AU304" i="85"/>
  <c r="AV304" i="85"/>
  <c r="AS304" i="85"/>
  <c r="AP279" i="85"/>
  <c r="AO279" i="85"/>
  <c r="AU279" i="85"/>
  <c r="AQ279" i="85"/>
  <c r="AS279" i="85"/>
  <c r="AR279" i="85"/>
  <c r="AT279" i="85"/>
  <c r="AV279" i="85"/>
  <c r="AP305" i="85"/>
  <c r="AO305" i="85"/>
  <c r="AV305" i="85"/>
  <c r="AU305" i="85"/>
  <c r="AQ305" i="85"/>
  <c r="AT305" i="85"/>
  <c r="AS305" i="85"/>
  <c r="AR305" i="85"/>
  <c r="AP306" i="85"/>
  <c r="AO306" i="85"/>
  <c r="AR306" i="85"/>
  <c r="AV306" i="85"/>
  <c r="AQ306" i="85"/>
  <c r="AU306" i="85"/>
  <c r="AS306" i="85"/>
  <c r="AT306" i="85"/>
  <c r="AP307" i="85"/>
  <c r="AO307" i="85"/>
  <c r="AS307" i="85"/>
  <c r="AU307" i="85"/>
  <c r="AT307" i="85"/>
  <c r="AQ307" i="85"/>
  <c r="AR307" i="85"/>
  <c r="AV307" i="85"/>
  <c r="AP308" i="85"/>
  <c r="AO308" i="85"/>
  <c r="AU308" i="85"/>
  <c r="AQ308" i="85"/>
  <c r="AS308" i="85"/>
  <c r="AV308" i="85"/>
  <c r="AT308" i="85"/>
  <c r="AR308" i="85"/>
  <c r="AP278" i="85"/>
  <c r="AO278" i="85"/>
  <c r="AT278" i="85"/>
  <c r="AR278" i="85"/>
  <c r="AQ278" i="85"/>
  <c r="AU278" i="85"/>
  <c r="AV278" i="85"/>
  <c r="AS278" i="85"/>
  <c r="AP281" i="85"/>
  <c r="AO281" i="85"/>
  <c r="AS281" i="85"/>
  <c r="AU281" i="85"/>
  <c r="AQ281" i="85"/>
  <c r="AR281" i="85"/>
  <c r="AT281" i="85"/>
  <c r="AV281" i="85"/>
  <c r="FA208" i="27"/>
  <c r="AC253" i="145"/>
  <c r="FD208" i="27"/>
  <c r="FF197" i="27"/>
  <c r="FD197" i="27"/>
  <c r="FE197" i="27"/>
  <c r="FA197" i="27"/>
  <c r="FF186" i="27"/>
  <c r="FD186" i="27"/>
  <c r="FA186" i="27"/>
  <c r="AC231" i="145"/>
  <c r="FD175" i="27"/>
  <c r="AC220" i="145"/>
  <c r="FA175" i="27"/>
  <c r="FF203" i="27"/>
  <c r="FD203" i="27"/>
  <c r="FA203" i="27"/>
  <c r="AC248" i="145"/>
  <c r="FA193" i="27"/>
  <c r="AC238" i="145"/>
  <c r="FD193" i="27"/>
  <c r="FF204" i="27"/>
  <c r="FD204" i="27"/>
  <c r="AC249" i="145"/>
  <c r="FA204" i="27"/>
  <c r="AO105" i="85"/>
  <c r="AP105" i="85"/>
  <c r="AO101" i="85"/>
  <c r="AP101" i="85"/>
  <c r="AO255" i="85"/>
  <c r="AP255" i="85"/>
  <c r="AO250" i="85"/>
  <c r="AP250" i="85"/>
  <c r="AP239" i="85"/>
  <c r="AO239" i="85"/>
  <c r="AP236" i="85"/>
  <c r="AO236" i="85"/>
  <c r="AO214" i="85"/>
  <c r="AP214" i="85"/>
  <c r="AP220" i="85"/>
  <c r="AO220" i="85"/>
  <c r="AO258" i="85"/>
  <c r="AP258" i="85"/>
  <c r="AP253" i="85"/>
  <c r="AO253" i="85"/>
  <c r="AP237" i="85"/>
  <c r="AO237" i="85"/>
  <c r="AO254" i="85"/>
  <c r="AP254" i="85"/>
  <c r="AP246" i="85"/>
  <c r="AO246" i="85"/>
  <c r="AP221" i="85"/>
  <c r="AO221" i="85"/>
  <c r="AP241" i="85"/>
  <c r="AO241" i="85"/>
  <c r="AO225" i="85"/>
  <c r="AP225" i="85"/>
  <c r="AP251" i="85"/>
  <c r="AO251" i="85"/>
  <c r="AP234" i="85"/>
  <c r="AO234" i="85"/>
  <c r="AO217" i="85"/>
  <c r="AP217" i="85"/>
  <c r="AP222" i="85"/>
  <c r="AO222" i="85"/>
  <c r="AO263" i="85"/>
  <c r="AP263" i="85"/>
  <c r="AP252" i="85"/>
  <c r="AO252" i="85"/>
  <c r="AP226" i="85"/>
  <c r="AO226" i="85"/>
  <c r="AO245" i="85"/>
  <c r="AP245" i="85"/>
  <c r="AO218" i="85"/>
  <c r="AP218" i="85"/>
  <c r="AP262" i="85"/>
  <c r="AO262" i="85"/>
  <c r="AO265" i="85"/>
  <c r="AP265" i="85"/>
  <c r="AP257" i="85"/>
  <c r="AO257" i="85"/>
  <c r="AP259" i="85"/>
  <c r="AO259" i="85"/>
  <c r="AO264" i="85"/>
  <c r="AP264" i="85"/>
  <c r="AO235" i="85"/>
  <c r="AP235" i="85"/>
  <c r="AP216" i="85"/>
  <c r="AO216" i="85"/>
  <c r="AO219" i="85"/>
  <c r="AP219" i="85"/>
  <c r="AO243" i="85"/>
  <c r="AP243" i="85"/>
  <c r="AO247" i="85"/>
  <c r="AP247" i="85"/>
  <c r="AO223" i="85"/>
  <c r="AP223" i="85"/>
  <c r="AP229" i="85"/>
  <c r="AO229" i="85"/>
  <c r="AO230" i="85"/>
  <c r="AP230" i="85"/>
  <c r="AP232" i="85"/>
  <c r="AO232" i="85"/>
  <c r="AO238" i="85"/>
  <c r="AP238" i="85"/>
  <c r="AO244" i="85"/>
  <c r="AP244" i="85"/>
  <c r="AP233" i="85"/>
  <c r="AO233" i="85"/>
  <c r="AO231" i="85"/>
  <c r="AP231" i="85"/>
  <c r="AO240" i="85"/>
  <c r="AP240" i="85"/>
  <c r="AP228" i="85"/>
  <c r="AO228" i="85"/>
  <c r="AP215" i="85"/>
  <c r="AO215" i="85"/>
  <c r="AP248" i="85"/>
  <c r="AO248" i="85"/>
  <c r="AO242" i="85"/>
  <c r="AP242" i="85"/>
  <c r="AP261" i="85"/>
  <c r="AO261" i="85"/>
  <c r="AO256" i="85"/>
  <c r="AP256" i="85"/>
  <c r="AO260" i="85"/>
  <c r="AP260" i="85"/>
  <c r="AP266" i="85"/>
  <c r="AO266" i="85"/>
  <c r="AO224" i="85"/>
  <c r="AP224" i="85"/>
  <c r="AO249" i="85"/>
  <c r="AP249" i="85"/>
  <c r="AO227" i="85"/>
  <c r="AP227" i="85"/>
  <c r="AP66" i="85"/>
  <c r="AO66" i="85"/>
  <c r="AO89" i="85"/>
  <c r="AP89" i="85"/>
  <c r="AO80" i="85"/>
  <c r="AP80" i="85"/>
  <c r="AP92" i="85"/>
  <c r="AO92" i="85"/>
  <c r="AO79" i="85"/>
  <c r="AP79" i="85"/>
  <c r="AP88" i="85"/>
  <c r="AO88" i="85"/>
  <c r="AP63" i="85"/>
  <c r="AO63" i="85"/>
  <c r="AP90" i="85"/>
  <c r="AO90" i="85"/>
  <c r="AP99" i="85"/>
  <c r="AO99" i="85"/>
  <c r="AO75" i="85"/>
  <c r="AP75" i="85"/>
  <c r="AO64" i="85"/>
  <c r="AP64" i="85"/>
  <c r="AO85" i="85"/>
  <c r="AP85" i="85"/>
  <c r="AO78" i="85"/>
  <c r="AP78" i="85"/>
  <c r="AO95" i="85"/>
  <c r="AP95" i="85"/>
  <c r="AO91" i="85"/>
  <c r="AP91" i="85"/>
  <c r="AO76" i="85"/>
  <c r="AP76" i="85"/>
  <c r="AP77" i="85"/>
  <c r="AO77" i="85"/>
  <c r="AO62" i="85"/>
  <c r="AP62" i="85"/>
  <c r="AO67" i="85"/>
  <c r="AP67" i="85"/>
  <c r="AO104" i="85"/>
  <c r="AP104" i="85"/>
  <c r="AO81" i="85"/>
  <c r="AP81" i="85"/>
  <c r="AP87" i="85"/>
  <c r="AO87" i="85"/>
  <c r="AP94" i="85"/>
  <c r="AO94" i="85"/>
  <c r="AO61" i="85"/>
  <c r="AP61" i="85"/>
  <c r="AO60" i="85"/>
  <c r="AP60" i="85"/>
  <c r="AO65" i="85"/>
  <c r="AP65" i="85"/>
  <c r="AP97" i="85"/>
  <c r="AO97" i="85"/>
  <c r="AP68" i="85"/>
  <c r="AO68" i="85"/>
  <c r="AP93" i="85"/>
  <c r="AO93" i="85"/>
  <c r="AP103" i="85"/>
  <c r="AO103" i="85"/>
  <c r="AO83" i="85"/>
  <c r="AP83" i="85"/>
  <c r="AO84" i="85"/>
  <c r="AP84" i="85"/>
  <c r="AP71" i="85"/>
  <c r="AO71" i="85"/>
  <c r="AO58" i="85"/>
  <c r="AP58" i="85"/>
  <c r="AP72" i="85"/>
  <c r="AO72" i="85"/>
  <c r="AO74" i="85"/>
  <c r="AP74" i="85"/>
  <c r="AO82" i="85"/>
  <c r="AP82" i="85"/>
  <c r="AO57" i="85"/>
  <c r="AP57" i="85"/>
  <c r="AO73" i="85"/>
  <c r="AP73" i="85"/>
  <c r="AO96" i="85"/>
  <c r="AP96" i="85"/>
  <c r="AO102" i="85"/>
  <c r="AP102" i="85"/>
  <c r="AO106" i="85"/>
  <c r="AP106" i="85"/>
  <c r="AP59" i="85"/>
  <c r="AO59" i="85"/>
  <c r="AO98" i="85"/>
  <c r="AP98" i="85"/>
  <c r="AO69" i="85"/>
  <c r="AP69" i="85"/>
  <c r="AO86" i="85"/>
  <c r="AP86" i="85"/>
  <c r="AO100" i="85"/>
  <c r="AP100" i="85"/>
  <c r="AP70" i="85"/>
  <c r="AO70" i="85"/>
  <c r="T50" i="85"/>
  <c r="M59" i="108"/>
  <c r="M60" i="108"/>
  <c r="M62" i="108"/>
  <c r="P1" i="189"/>
  <c r="AA51" i="145"/>
  <c r="M61" i="108"/>
  <c r="U50" i="85" l="1"/>
  <c r="V50" i="85" s="1"/>
  <c r="W50" i="85" s="1"/>
  <c r="X50" i="85" s="1"/>
  <c r="Y50" i="85" s="1"/>
  <c r="Z50" i="85" s="1"/>
  <c r="AA50" i="85" s="1"/>
  <c r="AB50" i="85" s="1"/>
  <c r="AC50" i="85" s="1"/>
  <c r="AD50" i="85" s="1"/>
  <c r="AE50" i="85" s="1"/>
  <c r="AF50" i="85" s="1"/>
  <c r="AG50" i="85" s="1"/>
  <c r="AH50" i="85" s="1"/>
  <c r="AI50" i="85" s="1"/>
  <c r="AJ50" i="85" s="1"/>
  <c r="AK50" i="85" s="1"/>
  <c r="AL50" i="85" s="1"/>
  <c r="AA259" i="145"/>
  <c r="AB259" i="145" s="1"/>
  <c r="AA249" i="145"/>
  <c r="AA248" i="145"/>
  <c r="AA204" i="145"/>
  <c r="AB204" i="145" s="1"/>
  <c r="AA217" i="145"/>
  <c r="AA205" i="145"/>
  <c r="AB205" i="145" s="1"/>
  <c r="AA247" i="145"/>
  <c r="AA235" i="145"/>
  <c r="AA234" i="145"/>
  <c r="AB234" i="145" s="1"/>
  <c r="AA257" i="145"/>
  <c r="AA258" i="145"/>
  <c r="AA218" i="145"/>
  <c r="AA208" i="145"/>
  <c r="AB208" i="145" s="1"/>
  <c r="AA236" i="145"/>
  <c r="AB236" i="145" s="1"/>
  <c r="AA210" i="145"/>
  <c r="AB210" i="145" s="1"/>
  <c r="AA243" i="145"/>
  <c r="AA238" i="145"/>
  <c r="AA229" i="145"/>
  <c r="AA220" i="145"/>
  <c r="AB220" i="145" s="1"/>
  <c r="AA251" i="145"/>
  <c r="AB251" i="145" s="1"/>
  <c r="AA253" i="145"/>
  <c r="AB253" i="145" s="1"/>
  <c r="AA206" i="145"/>
  <c r="AB206" i="145" s="1"/>
  <c r="AA215" i="145"/>
  <c r="AA221" i="145"/>
  <c r="AA219" i="145"/>
  <c r="AA255" i="145"/>
  <c r="AB255" i="145" s="1"/>
  <c r="AA239" i="145"/>
  <c r="AB239" i="145" s="1"/>
  <c r="AA246" i="145"/>
  <c r="AB246" i="145" s="1"/>
  <c r="AA237" i="145"/>
  <c r="AB237" i="145" s="1"/>
  <c r="AA256" i="145"/>
  <c r="AB256" i="145" s="1"/>
  <c r="AA203" i="145"/>
  <c r="AB203" i="145" s="1"/>
  <c r="AA241" i="145"/>
  <c r="AA225" i="145"/>
  <c r="AA207" i="145"/>
  <c r="AB207" i="145" s="1"/>
  <c r="AA244" i="145"/>
  <c r="AA223" i="145"/>
  <c r="AA222" i="145"/>
  <c r="AA250" i="145"/>
  <c r="AA209" i="145"/>
  <c r="AB209" i="145" s="1"/>
  <c r="AA232" i="145"/>
  <c r="AA245" i="145"/>
  <c r="AB245" i="145" s="1"/>
  <c r="AA252" i="145"/>
  <c r="AA240" i="145"/>
  <c r="AA227" i="145"/>
  <c r="AA213" i="145"/>
  <c r="AB213" i="145" s="1"/>
  <c r="AA211" i="145"/>
  <c r="AB211" i="145" s="1"/>
  <c r="AA261" i="145"/>
  <c r="AA254" i="145"/>
  <c r="AA260" i="145"/>
  <c r="AA265" i="145"/>
  <c r="AA231" i="145"/>
  <c r="AA212" i="145"/>
  <c r="AB212" i="145" s="1"/>
  <c r="AA262" i="145"/>
  <c r="AA266" i="145"/>
  <c r="AA230" i="145"/>
  <c r="AA242" i="145"/>
  <c r="AA224" i="145"/>
  <c r="AA226" i="145"/>
  <c r="AB226" i="145" s="1"/>
  <c r="AA263" i="145"/>
  <c r="AA233" i="145"/>
  <c r="AA214" i="145"/>
  <c r="AB214" i="145" s="1"/>
  <c r="AA264" i="145"/>
  <c r="AA216" i="145"/>
  <c r="AA228" i="145"/>
  <c r="AA175" i="145"/>
  <c r="AB175" i="145" s="1"/>
  <c r="AA176" i="145"/>
  <c r="AB176" i="145" s="1"/>
  <c r="AA166" i="145"/>
  <c r="AB166" i="145" s="1"/>
  <c r="AA197" i="145"/>
  <c r="AB197" i="145" s="1"/>
  <c r="AA199" i="145"/>
  <c r="AB199" i="145" s="1"/>
  <c r="AA167" i="145"/>
  <c r="AB167" i="145" s="1"/>
  <c r="AA192" i="145"/>
  <c r="AB192" i="145" s="1"/>
  <c r="AA168" i="145"/>
  <c r="AB168" i="145" s="1"/>
  <c r="AA178" i="145"/>
  <c r="AB178" i="145" s="1"/>
  <c r="AA193" i="145"/>
  <c r="AB193" i="145" s="1"/>
  <c r="AA170" i="145"/>
  <c r="AB170" i="145" s="1"/>
  <c r="AA195" i="145"/>
  <c r="AB195" i="145" s="1"/>
  <c r="AA200" i="145"/>
  <c r="AB200" i="145" s="1"/>
  <c r="AA183" i="145"/>
  <c r="AB183" i="145" s="1"/>
  <c r="AA163" i="145"/>
  <c r="AB163" i="145" s="1"/>
  <c r="AA173" i="145"/>
  <c r="AB173" i="145" s="1"/>
  <c r="AA198" i="145"/>
  <c r="AB198" i="145" s="1"/>
  <c r="AA174" i="145"/>
  <c r="AB174" i="145" s="1"/>
  <c r="AA179" i="145"/>
  <c r="AB179" i="145" s="1"/>
  <c r="AA190" i="145"/>
  <c r="AB190" i="145" s="1"/>
  <c r="AA172" i="145"/>
  <c r="AB172" i="145" s="1"/>
  <c r="AA171" i="145"/>
  <c r="AB171" i="145" s="1"/>
  <c r="AA169" i="145"/>
  <c r="AB169" i="145" s="1"/>
  <c r="AA180" i="145"/>
  <c r="AB180" i="145" s="1"/>
  <c r="AA162" i="145"/>
  <c r="AB162" i="145" s="1"/>
  <c r="AA181" i="145"/>
  <c r="AB181" i="145" s="1"/>
  <c r="AA202" i="145"/>
  <c r="AB202" i="145" s="1"/>
  <c r="AA161" i="145"/>
  <c r="AB161" i="145" s="1"/>
  <c r="AA189" i="145"/>
  <c r="AB189" i="145" s="1"/>
  <c r="AA164" i="145"/>
  <c r="AB164" i="145" s="1"/>
  <c r="AA194" i="145"/>
  <c r="AB194" i="145" s="1"/>
  <c r="AA184" i="145"/>
  <c r="AB184" i="145" s="1"/>
  <c r="AA201" i="145"/>
  <c r="AB201" i="145" s="1"/>
  <c r="AA187" i="145"/>
  <c r="AB187" i="145" s="1"/>
  <c r="AA182" i="145"/>
  <c r="AB182" i="145" s="1"/>
  <c r="AA196" i="145"/>
  <c r="AB196" i="145" s="1"/>
  <c r="AA185" i="145"/>
  <c r="AB185" i="145" s="1"/>
  <c r="AA191" i="145"/>
  <c r="AB191" i="145" s="1"/>
  <c r="AA160" i="145"/>
  <c r="AB160" i="145" s="1"/>
  <c r="AA186" i="145"/>
  <c r="AB186" i="145" s="1"/>
  <c r="AA177" i="145"/>
  <c r="AB177" i="145" s="1"/>
  <c r="AA188" i="145"/>
  <c r="AB188" i="145" s="1"/>
  <c r="AA165" i="145"/>
  <c r="AB165" i="145" s="1"/>
  <c r="AA95" i="145"/>
  <c r="AA106" i="145"/>
  <c r="AA58" i="145"/>
  <c r="AA98" i="145"/>
  <c r="AA82" i="145"/>
  <c r="AA78" i="145"/>
  <c r="AA87" i="145"/>
  <c r="AA91" i="145"/>
  <c r="AA100" i="145"/>
  <c r="AA102" i="145"/>
  <c r="AA63" i="145"/>
  <c r="AA74" i="145"/>
  <c r="AA59" i="145"/>
  <c r="AA57" i="145"/>
  <c r="AA64" i="145"/>
  <c r="AA88" i="145"/>
  <c r="AA73" i="145"/>
  <c r="AA85" i="145"/>
  <c r="AA104" i="145"/>
  <c r="AA72" i="145"/>
  <c r="AA79" i="145"/>
  <c r="AA86" i="145"/>
  <c r="AA81" i="145"/>
  <c r="AA90" i="145"/>
  <c r="AA67" i="145"/>
  <c r="AA99" i="145"/>
  <c r="AA97" i="145"/>
  <c r="AA70" i="145"/>
  <c r="AA103" i="145"/>
  <c r="AA92" i="145"/>
  <c r="AA80" i="145"/>
  <c r="AA84" i="145"/>
  <c r="AA65" i="145"/>
  <c r="AA96" i="145"/>
  <c r="AA93" i="145"/>
  <c r="AA60" i="145"/>
  <c r="AA105" i="145"/>
  <c r="AA77" i="145"/>
  <c r="AA101" i="145"/>
  <c r="AA89" i="145"/>
  <c r="AA75" i="145"/>
  <c r="AA69" i="145"/>
  <c r="AA76" i="145"/>
  <c r="AA61" i="145"/>
  <c r="AA66" i="145"/>
  <c r="AA68" i="145"/>
  <c r="AA62" i="145"/>
  <c r="AA83" i="145"/>
  <c r="AA94" i="145"/>
  <c r="AA71" i="145"/>
  <c r="X51" i="145"/>
  <c r="Q1" i="189"/>
  <c r="R1" i="189" s="1"/>
  <c r="S1" i="189" s="1"/>
  <c r="T1" i="189" s="1"/>
  <c r="AM50" i="85" l="1"/>
  <c r="AN50" i="85" s="1"/>
  <c r="AO50" i="85" s="1"/>
  <c r="I11" i="207"/>
  <c r="AB240" i="145"/>
  <c r="AB248" i="145"/>
  <c r="AB233" i="145"/>
  <c r="AB227" i="145"/>
  <c r="AB223" i="145"/>
  <c r="AB218" i="145"/>
  <c r="AB252" i="145"/>
  <c r="AB257" i="145"/>
  <c r="AB249" i="145"/>
  <c r="AB224" i="145"/>
  <c r="AB260" i="145"/>
  <c r="AB225" i="145"/>
  <c r="AB219" i="145"/>
  <c r="AB238" i="145"/>
  <c r="AB263" i="145"/>
  <c r="AB244" i="145"/>
  <c r="AB229" i="145"/>
  <c r="AB228" i="145"/>
  <c r="AB242" i="145"/>
  <c r="AB254" i="145"/>
  <c r="AB232" i="145"/>
  <c r="AB241" i="145"/>
  <c r="AB221" i="145"/>
  <c r="AB243" i="145"/>
  <c r="AB235" i="145"/>
  <c r="AB216" i="145"/>
  <c r="AB230" i="145"/>
  <c r="AB261" i="145"/>
  <c r="AB215" i="145"/>
  <c r="AB247" i="145"/>
  <c r="X235" i="145"/>
  <c r="X216" i="145"/>
  <c r="X258" i="145"/>
  <c r="X208" i="145"/>
  <c r="Y208" i="145" s="1"/>
  <c r="X236" i="145"/>
  <c r="X224" i="145"/>
  <c r="X249" i="145"/>
  <c r="X218" i="145"/>
  <c r="X248" i="145"/>
  <c r="X228" i="145"/>
  <c r="X210" i="145"/>
  <c r="Y210" i="145" s="1"/>
  <c r="X256" i="145"/>
  <c r="X259" i="145"/>
  <c r="X217" i="145"/>
  <c r="X264" i="145"/>
  <c r="X225" i="145"/>
  <c r="X211" i="145"/>
  <c r="Y211" i="145" s="1"/>
  <c r="X262" i="145"/>
  <c r="X205" i="145"/>
  <c r="Y205" i="145" s="1"/>
  <c r="X229" i="145"/>
  <c r="X244" i="145"/>
  <c r="X255" i="145"/>
  <c r="X253" i="145"/>
  <c r="X207" i="145"/>
  <c r="Y207" i="145" s="1"/>
  <c r="X222" i="145"/>
  <c r="X260" i="145"/>
  <c r="X251" i="145"/>
  <c r="X209" i="145"/>
  <c r="Y209" i="145" s="1"/>
  <c r="X232" i="145"/>
  <c r="X263" i="145"/>
  <c r="X223" i="145"/>
  <c r="X221" i="145"/>
  <c r="X239" i="145"/>
  <c r="X215" i="145"/>
  <c r="X204" i="145"/>
  <c r="Y204" i="145" s="1"/>
  <c r="X250" i="145"/>
  <c r="X219" i="145"/>
  <c r="X243" i="145"/>
  <c r="X252" i="145"/>
  <c r="X240" i="145"/>
  <c r="X226" i="145"/>
  <c r="X233" i="145"/>
  <c r="X230" i="145"/>
  <c r="X245" i="145"/>
  <c r="X266" i="145"/>
  <c r="X242" i="145"/>
  <c r="X254" i="145"/>
  <c r="X213" i="145"/>
  <c r="Y213" i="145" s="1"/>
  <c r="X214" i="145"/>
  <c r="X212" i="145"/>
  <c r="Y212" i="145" s="1"/>
  <c r="X265" i="145"/>
  <c r="X227" i="145"/>
  <c r="X237" i="145"/>
  <c r="X257" i="145"/>
  <c r="X220" i="145"/>
  <c r="X247" i="145"/>
  <c r="X246" i="145"/>
  <c r="X203" i="145"/>
  <c r="Y203" i="145" s="1"/>
  <c r="X241" i="145"/>
  <c r="X206" i="145"/>
  <c r="Y206" i="145" s="1"/>
  <c r="X231" i="145"/>
  <c r="X261" i="145"/>
  <c r="X238" i="145"/>
  <c r="X234" i="145"/>
  <c r="AB264" i="145"/>
  <c r="AB266" i="145"/>
  <c r="AB250" i="145"/>
  <c r="AB231" i="145"/>
  <c r="AB258" i="145"/>
  <c r="AB265" i="145"/>
  <c r="AB262" i="145"/>
  <c r="AB222" i="145"/>
  <c r="AB217" i="145"/>
  <c r="X188" i="145"/>
  <c r="Y188" i="145" s="1"/>
  <c r="X197" i="145"/>
  <c r="Y197" i="145" s="1"/>
  <c r="X186" i="145"/>
  <c r="Y186" i="145" s="1"/>
  <c r="X195" i="145"/>
  <c r="Y195" i="145" s="1"/>
  <c r="X200" i="145"/>
  <c r="Y200" i="145" s="1"/>
  <c r="X173" i="145"/>
  <c r="Y173" i="145" s="1"/>
  <c r="X178" i="145"/>
  <c r="Y178" i="145" s="1"/>
  <c r="X165" i="145"/>
  <c r="Y165" i="145" s="1"/>
  <c r="X193" i="145"/>
  <c r="Y193" i="145" s="1"/>
  <c r="X176" i="145"/>
  <c r="Y176" i="145" s="1"/>
  <c r="X175" i="145"/>
  <c r="Y175" i="145" s="1"/>
  <c r="X167" i="145"/>
  <c r="Y167" i="145" s="1"/>
  <c r="X160" i="145"/>
  <c r="Y160" i="145" s="1"/>
  <c r="X172" i="145"/>
  <c r="Y172" i="145" s="1"/>
  <c r="X198" i="145"/>
  <c r="Y198" i="145" s="1"/>
  <c r="X184" i="145"/>
  <c r="Y184" i="145" s="1"/>
  <c r="X202" i="145"/>
  <c r="Y202" i="145" s="1"/>
  <c r="X181" i="145"/>
  <c r="Y181" i="145" s="1"/>
  <c r="X163" i="145"/>
  <c r="Y163" i="145" s="1"/>
  <c r="X190" i="145"/>
  <c r="Y190" i="145" s="1"/>
  <c r="X174" i="145"/>
  <c r="Y174" i="145" s="1"/>
  <c r="X169" i="145"/>
  <c r="Y169" i="145" s="1"/>
  <c r="X177" i="145"/>
  <c r="Y177" i="145" s="1"/>
  <c r="X189" i="145"/>
  <c r="Y189" i="145" s="1"/>
  <c r="X179" i="145"/>
  <c r="Y179" i="145" s="1"/>
  <c r="X166" i="145"/>
  <c r="Y166" i="145" s="1"/>
  <c r="X196" i="145"/>
  <c r="Y196" i="145" s="1"/>
  <c r="X191" i="145"/>
  <c r="Y191" i="145" s="1"/>
  <c r="X185" i="145"/>
  <c r="Y185" i="145" s="1"/>
  <c r="X201" i="145"/>
  <c r="Y201" i="145" s="1"/>
  <c r="X161" i="145"/>
  <c r="Y161" i="145" s="1"/>
  <c r="X180" i="145"/>
  <c r="Y180" i="145" s="1"/>
  <c r="X182" i="145"/>
  <c r="Y182" i="145" s="1"/>
  <c r="X194" i="145"/>
  <c r="Y194" i="145" s="1"/>
  <c r="X164" i="145"/>
  <c r="Y164" i="145" s="1"/>
  <c r="X162" i="145"/>
  <c r="Y162" i="145" s="1"/>
  <c r="X171" i="145"/>
  <c r="Y171" i="145" s="1"/>
  <c r="X192" i="145"/>
  <c r="Y192" i="145" s="1"/>
  <c r="X170" i="145"/>
  <c r="Y170" i="145" s="1"/>
  <c r="X183" i="145"/>
  <c r="Y183" i="145" s="1"/>
  <c r="X187" i="145"/>
  <c r="Y187" i="145" s="1"/>
  <c r="X199" i="145"/>
  <c r="Y199" i="145" s="1"/>
  <c r="X168" i="145"/>
  <c r="Y168" i="145" s="1"/>
  <c r="L11" i="207"/>
  <c r="K11" i="207"/>
  <c r="J11" i="207"/>
  <c r="V37" i="207"/>
  <c r="X67" i="145"/>
  <c r="X69" i="145"/>
  <c r="X94" i="145"/>
  <c r="X64" i="145"/>
  <c r="X66" i="145"/>
  <c r="X74" i="145"/>
  <c r="X98" i="145"/>
  <c r="X101" i="145"/>
  <c r="X71" i="145"/>
  <c r="X84" i="145"/>
  <c r="X95" i="145"/>
  <c r="X72" i="145"/>
  <c r="X90" i="145"/>
  <c r="X77" i="145"/>
  <c r="X59" i="145"/>
  <c r="X87" i="145"/>
  <c r="X103" i="145"/>
  <c r="X92" i="145"/>
  <c r="X91" i="145"/>
  <c r="X65" i="145"/>
  <c r="X62" i="145"/>
  <c r="X63" i="145"/>
  <c r="X85" i="145"/>
  <c r="X104" i="145"/>
  <c r="X58" i="145"/>
  <c r="X57" i="145"/>
  <c r="X68" i="145"/>
  <c r="X86" i="145"/>
  <c r="X88" i="145"/>
  <c r="X81" i="145"/>
  <c r="X70" i="145"/>
  <c r="X102" i="145"/>
  <c r="X83" i="145"/>
  <c r="X96" i="145"/>
  <c r="X105" i="145"/>
  <c r="X82" i="145"/>
  <c r="X80" i="145"/>
  <c r="X61" i="145"/>
  <c r="X79" i="145"/>
  <c r="X97" i="145"/>
  <c r="X106" i="145"/>
  <c r="X99" i="145"/>
  <c r="X60" i="145"/>
  <c r="X75" i="145"/>
  <c r="X76" i="145"/>
  <c r="X89" i="145"/>
  <c r="X78" i="145"/>
  <c r="X93" i="145"/>
  <c r="X100" i="145"/>
  <c r="X73" i="145"/>
  <c r="M51" i="145"/>
  <c r="K11" i="205"/>
  <c r="L11" i="205"/>
  <c r="J11" i="205"/>
  <c r="R51" i="145"/>
  <c r="U1" i="189"/>
  <c r="O54" i="85" s="1"/>
  <c r="AQ54" i="85" s="1"/>
  <c r="AB106" i="145"/>
  <c r="AB72" i="145"/>
  <c r="AB65" i="145"/>
  <c r="AB95" i="145"/>
  <c r="AB104" i="145"/>
  <c r="AB69" i="145"/>
  <c r="AB78" i="145"/>
  <c r="AB90" i="145"/>
  <c r="AB62" i="145"/>
  <c r="AB80" i="145"/>
  <c r="AB96" i="145"/>
  <c r="AB86" i="145"/>
  <c r="AB61" i="145"/>
  <c r="AB85" i="145"/>
  <c r="AB93" i="145"/>
  <c r="AB100" i="145"/>
  <c r="AB71" i="145"/>
  <c r="AB88" i="145"/>
  <c r="AB67" i="145"/>
  <c r="AB75" i="145"/>
  <c r="AB66" i="145"/>
  <c r="AB89" i="145"/>
  <c r="AB101" i="145"/>
  <c r="AK101" i="145" s="1"/>
  <c r="AB57" i="145"/>
  <c r="AB94" i="145"/>
  <c r="AB59" i="145"/>
  <c r="AB81" i="145"/>
  <c r="AB58" i="145"/>
  <c r="AB103" i="145"/>
  <c r="AB60" i="145"/>
  <c r="AB64" i="145"/>
  <c r="AB68" i="145"/>
  <c r="AB102" i="145"/>
  <c r="AB79" i="145"/>
  <c r="AB87" i="145"/>
  <c r="AB98" i="145"/>
  <c r="AB73" i="145"/>
  <c r="AB91" i="145"/>
  <c r="AB74" i="145"/>
  <c r="AB105" i="145"/>
  <c r="AB76" i="145"/>
  <c r="AB84" i="145"/>
  <c r="AB70" i="145"/>
  <c r="AB97" i="145"/>
  <c r="AB63" i="145"/>
  <c r="AB92" i="145"/>
  <c r="AB77" i="145"/>
  <c r="AB99" i="145"/>
  <c r="AB82" i="145"/>
  <c r="AB83" i="145"/>
  <c r="AP50" i="85"/>
  <c r="J9" i="85"/>
  <c r="I10" i="85"/>
  <c r="I9" i="85"/>
  <c r="J10" i="85"/>
  <c r="M90" i="145" l="1"/>
  <c r="Z90" i="145" s="1"/>
  <c r="M86" i="145"/>
  <c r="T86" i="145" s="1"/>
  <c r="M87" i="145"/>
  <c r="T87" i="145" s="1"/>
  <c r="M85" i="145"/>
  <c r="Z85" i="145" s="1"/>
  <c r="M59" i="145"/>
  <c r="M63" i="145"/>
  <c r="T63" i="145" s="1"/>
  <c r="M84" i="145"/>
  <c r="T84" i="145" s="1"/>
  <c r="M64" i="145"/>
  <c r="M65" i="145"/>
  <c r="M88" i="145"/>
  <c r="T88" i="145" s="1"/>
  <c r="M62" i="145"/>
  <c r="M89" i="145"/>
  <c r="T89" i="145" s="1"/>
  <c r="M66" i="145"/>
  <c r="T66" i="145" s="1"/>
  <c r="M69" i="145"/>
  <c r="O105" i="85"/>
  <c r="AQ105" i="85" s="1"/>
  <c r="O101" i="85"/>
  <c r="AQ101" i="85" s="1"/>
  <c r="M96" i="145"/>
  <c r="Z96" i="145" s="1"/>
  <c r="M102" i="145"/>
  <c r="T102" i="145" s="1"/>
  <c r="M98" i="145"/>
  <c r="T98" i="145" s="1"/>
  <c r="M57" i="145"/>
  <c r="M74" i="145"/>
  <c r="T74" i="145" s="1"/>
  <c r="M67" i="145"/>
  <c r="M61" i="145"/>
  <c r="M72" i="145"/>
  <c r="T72" i="145" s="1"/>
  <c r="M93" i="145"/>
  <c r="Z93" i="145" s="1"/>
  <c r="M97" i="145"/>
  <c r="Z97" i="145" s="1"/>
  <c r="M91" i="145"/>
  <c r="Z91" i="145" s="1"/>
  <c r="M71" i="145"/>
  <c r="T71" i="145" s="1"/>
  <c r="M94" i="145"/>
  <c r="Z94" i="145" s="1"/>
  <c r="Y227" i="145"/>
  <c r="Y245" i="145"/>
  <c r="Y250" i="145"/>
  <c r="Y229" i="145"/>
  <c r="Y256" i="145"/>
  <c r="Y230" i="145"/>
  <c r="R210" i="145"/>
  <c r="S210" i="145" s="1"/>
  <c r="R262" i="145"/>
  <c r="R249" i="145"/>
  <c r="R218" i="145"/>
  <c r="R216" i="145"/>
  <c r="R203" i="145"/>
  <c r="S203" i="145" s="1"/>
  <c r="R248" i="145"/>
  <c r="R228" i="145"/>
  <c r="R214" i="145"/>
  <c r="R219" i="145"/>
  <c r="R215" i="145"/>
  <c r="R234" i="145"/>
  <c r="R238" i="145"/>
  <c r="R247" i="145"/>
  <c r="R226" i="145"/>
  <c r="R220" i="145"/>
  <c r="R266" i="145"/>
  <c r="R233" i="145"/>
  <c r="R225" i="145"/>
  <c r="R250" i="145"/>
  <c r="R237" i="145"/>
  <c r="R263" i="145"/>
  <c r="R223" i="145"/>
  <c r="R206" i="145"/>
  <c r="S206" i="145" s="1"/>
  <c r="R264" i="145"/>
  <c r="R241" i="145"/>
  <c r="R224" i="145"/>
  <c r="R257" i="145"/>
  <c r="R232" i="145"/>
  <c r="R207" i="145"/>
  <c r="S207" i="145" s="1"/>
  <c r="R221" i="145"/>
  <c r="R255" i="145"/>
  <c r="R244" i="145"/>
  <c r="R231" i="145"/>
  <c r="R230" i="145"/>
  <c r="R213" i="145"/>
  <c r="S213" i="145" s="1"/>
  <c r="R254" i="145"/>
  <c r="R252" i="145"/>
  <c r="R260" i="145"/>
  <c r="R261" i="145"/>
  <c r="R265" i="145"/>
  <c r="R212" i="145"/>
  <c r="S212" i="145" s="1"/>
  <c r="R240" i="145"/>
  <c r="R242" i="145"/>
  <c r="R246" i="145"/>
  <c r="R259" i="145"/>
  <c r="R209" i="145"/>
  <c r="S209" i="145" s="1"/>
  <c r="R258" i="145"/>
  <c r="R205" i="145"/>
  <c r="S205" i="145" s="1"/>
  <c r="R222" i="145"/>
  <c r="R229" i="145"/>
  <c r="R245" i="145"/>
  <c r="R253" i="145"/>
  <c r="R243" i="145"/>
  <c r="R239" i="145"/>
  <c r="R227" i="145"/>
  <c r="R256" i="145"/>
  <c r="R235" i="145"/>
  <c r="R211" i="145"/>
  <c r="S211" i="145" s="1"/>
  <c r="R208" i="145"/>
  <c r="S208" i="145" s="1"/>
  <c r="R251" i="145"/>
  <c r="R217" i="145"/>
  <c r="R204" i="145"/>
  <c r="S204" i="145" s="1"/>
  <c r="R236" i="145"/>
  <c r="Y233" i="145"/>
  <c r="Y215" i="145"/>
  <c r="Y260" i="145"/>
  <c r="Y262" i="145"/>
  <c r="Y228" i="145"/>
  <c r="Y216" i="145"/>
  <c r="Y246" i="145"/>
  <c r="Y214" i="145"/>
  <c r="Y226" i="145"/>
  <c r="Y239" i="145"/>
  <c r="Y222" i="145"/>
  <c r="Y248" i="145"/>
  <c r="Y235" i="145"/>
  <c r="Y265" i="145"/>
  <c r="Y258" i="145"/>
  <c r="Y234" i="145"/>
  <c r="Y247" i="145"/>
  <c r="Y240" i="145"/>
  <c r="Y221" i="145"/>
  <c r="Y225" i="145"/>
  <c r="Y218" i="145"/>
  <c r="Y251" i="145"/>
  <c r="Y238" i="145"/>
  <c r="Y220" i="145"/>
  <c r="Y254" i="145"/>
  <c r="Y252" i="145"/>
  <c r="Y223" i="145"/>
  <c r="Y253" i="145"/>
  <c r="Y264" i="145"/>
  <c r="Y249" i="145"/>
  <c r="M68" i="145"/>
  <c r="Z68" i="145" s="1"/>
  <c r="M258" i="145"/>
  <c r="AD258" i="145" s="1"/>
  <c r="M250" i="145"/>
  <c r="AD250" i="145" s="1"/>
  <c r="M217" i="145"/>
  <c r="AD217" i="145" s="1"/>
  <c r="M218" i="145"/>
  <c r="AD218" i="145" s="1"/>
  <c r="M227" i="145"/>
  <c r="AD227" i="145" s="1"/>
  <c r="M249" i="145"/>
  <c r="AD249" i="145" s="1"/>
  <c r="M224" i="145"/>
  <c r="AD224" i="145" s="1"/>
  <c r="M266" i="145"/>
  <c r="AD266" i="145" s="1"/>
  <c r="M221" i="145"/>
  <c r="AD221" i="145" s="1"/>
  <c r="M248" i="145"/>
  <c r="AD248" i="145" s="1"/>
  <c r="M215" i="145"/>
  <c r="AD215" i="145" s="1"/>
  <c r="M228" i="145"/>
  <c r="AD228" i="145" s="1"/>
  <c r="M240" i="145"/>
  <c r="AD240" i="145" s="1"/>
  <c r="M225" i="145"/>
  <c r="AD225" i="145" s="1"/>
  <c r="M261" i="145"/>
  <c r="AD261" i="145" s="1"/>
  <c r="M242" i="145"/>
  <c r="AD242" i="145" s="1"/>
  <c r="M232" i="145"/>
  <c r="AD232" i="145" s="1"/>
  <c r="M230" i="145"/>
  <c r="AD230" i="145" s="1"/>
  <c r="M229" i="145"/>
  <c r="AD229" i="145" s="1"/>
  <c r="M223" i="145"/>
  <c r="AD223" i="145" s="1"/>
  <c r="M260" i="145"/>
  <c r="AD260" i="145" s="1"/>
  <c r="M244" i="145"/>
  <c r="AD244" i="145" s="1"/>
  <c r="M238" i="145"/>
  <c r="AD238" i="145" s="1"/>
  <c r="M235" i="145"/>
  <c r="AD235" i="145" s="1"/>
  <c r="M264" i="145"/>
  <c r="AD264" i="145" s="1"/>
  <c r="M257" i="145"/>
  <c r="AD257" i="145" s="1"/>
  <c r="M231" i="145"/>
  <c r="AD231" i="145" s="1"/>
  <c r="M233" i="145"/>
  <c r="AD233" i="145" s="1"/>
  <c r="M265" i="145"/>
  <c r="AD265" i="145" s="1"/>
  <c r="M219" i="145"/>
  <c r="AD219" i="145" s="1"/>
  <c r="M216" i="145"/>
  <c r="AD216" i="145" s="1"/>
  <c r="M241" i="145"/>
  <c r="AD241" i="145" s="1"/>
  <c r="M252" i="145"/>
  <c r="AD252" i="145" s="1"/>
  <c r="M263" i="145"/>
  <c r="AD263" i="145" s="1"/>
  <c r="M222" i="145"/>
  <c r="AD222" i="145" s="1"/>
  <c r="M247" i="145"/>
  <c r="AD247" i="145" s="1"/>
  <c r="M243" i="145"/>
  <c r="AD243" i="145" s="1"/>
  <c r="M254" i="145"/>
  <c r="AD254" i="145" s="1"/>
  <c r="M262" i="145"/>
  <c r="AD262" i="145" s="1"/>
  <c r="M245" i="145"/>
  <c r="AD245" i="145" s="1"/>
  <c r="M226" i="145"/>
  <c r="AD226" i="145" s="1"/>
  <c r="M234" i="145"/>
  <c r="AD234" i="145" s="1"/>
  <c r="M237" i="145"/>
  <c r="AD237" i="145" s="1"/>
  <c r="M236" i="145"/>
  <c r="AD236" i="145" s="1"/>
  <c r="M256" i="145"/>
  <c r="AD256" i="145" s="1"/>
  <c r="M214" i="145"/>
  <c r="AD214" i="145" s="1"/>
  <c r="M259" i="145"/>
  <c r="AD259" i="145" s="1"/>
  <c r="M246" i="145"/>
  <c r="AD246" i="145" s="1"/>
  <c r="M251" i="145"/>
  <c r="AD251" i="145" s="1"/>
  <c r="M253" i="145"/>
  <c r="AD253" i="145" s="1"/>
  <c r="M255" i="145"/>
  <c r="AD255" i="145" s="1"/>
  <c r="M239" i="145"/>
  <c r="AD239" i="145" s="1"/>
  <c r="M220" i="145"/>
  <c r="AD220" i="145" s="1"/>
  <c r="Y261" i="145"/>
  <c r="Y257" i="145"/>
  <c r="Y242" i="145"/>
  <c r="Y243" i="145"/>
  <c r="Y263" i="145"/>
  <c r="Y255" i="145"/>
  <c r="Y217" i="145"/>
  <c r="Y224" i="145"/>
  <c r="Y241" i="145"/>
  <c r="Y231" i="145"/>
  <c r="Y237" i="145"/>
  <c r="Y266" i="145"/>
  <c r="Y219" i="145"/>
  <c r="Y232" i="145"/>
  <c r="Y244" i="145"/>
  <c r="Y259" i="145"/>
  <c r="Y236" i="145"/>
  <c r="R168" i="145"/>
  <c r="S168" i="145" s="1"/>
  <c r="R192" i="145"/>
  <c r="S192" i="145" s="1"/>
  <c r="R167" i="145"/>
  <c r="S167" i="145" s="1"/>
  <c r="R176" i="145"/>
  <c r="S176" i="145" s="1"/>
  <c r="R197" i="145"/>
  <c r="S197" i="145" s="1"/>
  <c r="R170" i="145"/>
  <c r="S170" i="145" s="1"/>
  <c r="R165" i="145"/>
  <c r="S165" i="145" s="1"/>
  <c r="R199" i="145"/>
  <c r="S199" i="145" s="1"/>
  <c r="R195" i="145"/>
  <c r="S195" i="145" s="1"/>
  <c r="R186" i="145"/>
  <c r="S186" i="145" s="1"/>
  <c r="R180" i="145"/>
  <c r="S180" i="145" s="1"/>
  <c r="R194" i="145"/>
  <c r="S194" i="145" s="1"/>
  <c r="R162" i="145"/>
  <c r="S162" i="145" s="1"/>
  <c r="R179" i="145"/>
  <c r="S179" i="145" s="1"/>
  <c r="R188" i="145"/>
  <c r="S188" i="145" s="1"/>
  <c r="R169" i="145"/>
  <c r="S169" i="145" s="1"/>
  <c r="R189" i="145"/>
  <c r="S189" i="145" s="1"/>
  <c r="R160" i="145"/>
  <c r="S160" i="145" s="1"/>
  <c r="R172" i="145"/>
  <c r="S172" i="145" s="1"/>
  <c r="R202" i="145"/>
  <c r="S202" i="145" s="1"/>
  <c r="R163" i="145"/>
  <c r="S163" i="145" s="1"/>
  <c r="R200" i="145"/>
  <c r="S200" i="145" s="1"/>
  <c r="R177" i="145"/>
  <c r="S177" i="145" s="1"/>
  <c r="R187" i="145"/>
  <c r="S187" i="145" s="1"/>
  <c r="R201" i="145"/>
  <c r="S201" i="145" s="1"/>
  <c r="R182" i="145"/>
  <c r="S182" i="145" s="1"/>
  <c r="R161" i="145"/>
  <c r="S161" i="145" s="1"/>
  <c r="R185" i="145"/>
  <c r="S185" i="145" s="1"/>
  <c r="R164" i="145"/>
  <c r="S164" i="145" s="1"/>
  <c r="R183" i="145"/>
  <c r="S183" i="145" s="1"/>
  <c r="R171" i="145"/>
  <c r="S171" i="145" s="1"/>
  <c r="R191" i="145"/>
  <c r="S191" i="145" s="1"/>
  <c r="R190" i="145"/>
  <c r="S190" i="145" s="1"/>
  <c r="R181" i="145"/>
  <c r="S181" i="145" s="1"/>
  <c r="R166" i="145"/>
  <c r="S166" i="145" s="1"/>
  <c r="R193" i="145"/>
  <c r="S193" i="145" s="1"/>
  <c r="R173" i="145"/>
  <c r="S173" i="145" s="1"/>
  <c r="R184" i="145"/>
  <c r="S184" i="145" s="1"/>
  <c r="R198" i="145"/>
  <c r="S198" i="145" s="1"/>
  <c r="R178" i="145"/>
  <c r="S178" i="145" s="1"/>
  <c r="R174" i="145"/>
  <c r="S174" i="145" s="1"/>
  <c r="R175" i="145"/>
  <c r="S175" i="145" s="1"/>
  <c r="R196" i="145"/>
  <c r="S196" i="145" s="1"/>
  <c r="M73" i="145"/>
  <c r="M79" i="145"/>
  <c r="Z79" i="145" s="1"/>
  <c r="M92" i="145"/>
  <c r="T92" i="145" s="1"/>
  <c r="M104" i="145"/>
  <c r="T104" i="145" s="1"/>
  <c r="M99" i="145"/>
  <c r="T99" i="145" s="1"/>
  <c r="M103" i="145"/>
  <c r="T103" i="145" s="1"/>
  <c r="M70" i="145"/>
  <c r="T70" i="145" s="1"/>
  <c r="M77" i="145"/>
  <c r="T77" i="145" s="1"/>
  <c r="M83" i="145"/>
  <c r="T83" i="145" s="1"/>
  <c r="M80" i="145"/>
  <c r="W80" i="145" s="1"/>
  <c r="M58" i="145"/>
  <c r="M75" i="145"/>
  <c r="T75" i="145" s="1"/>
  <c r="M101" i="145"/>
  <c r="T101" i="145" s="1"/>
  <c r="M82" i="145"/>
  <c r="T82" i="145" s="1"/>
  <c r="M81" i="145"/>
  <c r="T81" i="145" s="1"/>
  <c r="M76" i="145"/>
  <c r="T76" i="145" s="1"/>
  <c r="M95" i="145"/>
  <c r="Z95" i="145" s="1"/>
  <c r="M78" i="145"/>
  <c r="T78" i="145" s="1"/>
  <c r="N51" i="145"/>
  <c r="N92" i="145" s="1"/>
  <c r="R62" i="145"/>
  <c r="R70" i="145"/>
  <c r="R91" i="145"/>
  <c r="R104" i="145"/>
  <c r="R73" i="145"/>
  <c r="R57" i="145"/>
  <c r="R65" i="145"/>
  <c r="R83" i="145"/>
  <c r="R86" i="145"/>
  <c r="R84" i="145"/>
  <c r="R66" i="145"/>
  <c r="R103" i="145"/>
  <c r="R99" i="145"/>
  <c r="R94" i="145"/>
  <c r="R96" i="145"/>
  <c r="R60" i="145"/>
  <c r="R77" i="145"/>
  <c r="R90" i="145"/>
  <c r="R81" i="145"/>
  <c r="R105" i="145"/>
  <c r="R93" i="145"/>
  <c r="R58" i="145"/>
  <c r="R63" i="145"/>
  <c r="R79" i="145"/>
  <c r="R97" i="145"/>
  <c r="R72" i="145"/>
  <c r="R92" i="145"/>
  <c r="R106" i="145"/>
  <c r="R59" i="145"/>
  <c r="R82" i="145"/>
  <c r="R95" i="145"/>
  <c r="R64" i="145"/>
  <c r="R102" i="145"/>
  <c r="R80" i="145"/>
  <c r="R67" i="145"/>
  <c r="R78" i="145"/>
  <c r="R69" i="145"/>
  <c r="R74" i="145"/>
  <c r="R101" i="145"/>
  <c r="R76" i="145"/>
  <c r="R88" i="145"/>
  <c r="R68" i="145"/>
  <c r="R71" i="145"/>
  <c r="R98" i="145"/>
  <c r="R89" i="145"/>
  <c r="R100" i="145"/>
  <c r="R85" i="145"/>
  <c r="R61" i="145"/>
  <c r="R87" i="145"/>
  <c r="R75" i="145"/>
  <c r="J8" i="85"/>
  <c r="I8" i="85"/>
  <c r="M60" i="145"/>
  <c r="M100" i="145"/>
  <c r="W100" i="145" s="1"/>
  <c r="Y67" i="145"/>
  <c r="Y101" i="145"/>
  <c r="Y59" i="145"/>
  <c r="Y80" i="145"/>
  <c r="Y60" i="145"/>
  <c r="Y75" i="145"/>
  <c r="Y72" i="145"/>
  <c r="Y106" i="145"/>
  <c r="Y95" i="145"/>
  <c r="Y104" i="145"/>
  <c r="Y102" i="145"/>
  <c r="Y100" i="145"/>
  <c r="Y96" i="145"/>
  <c r="Y94" i="145"/>
  <c r="Y68" i="145"/>
  <c r="Y85" i="145"/>
  <c r="Y71" i="145"/>
  <c r="Y92" i="145"/>
  <c r="Y66" i="145"/>
  <c r="Y57" i="145"/>
  <c r="Y70" i="145"/>
  <c r="Y73" i="145"/>
  <c r="Y88" i="145"/>
  <c r="Y62" i="145"/>
  <c r="Y86" i="145"/>
  <c r="Y69" i="145"/>
  <c r="Y93" i="145"/>
  <c r="Y91" i="145"/>
  <c r="Y81" i="145"/>
  <c r="Y61" i="145"/>
  <c r="Y89" i="145"/>
  <c r="Y79" i="145"/>
  <c r="Y74" i="145"/>
  <c r="Y105" i="145"/>
  <c r="Y98" i="145"/>
  <c r="Y78" i="145"/>
  <c r="Y99" i="145"/>
  <c r="Y76" i="145"/>
  <c r="Y84" i="145"/>
  <c r="Y103" i="145"/>
  <c r="Y58" i="145"/>
  <c r="Y77" i="145"/>
  <c r="V1" i="189"/>
  <c r="P54" i="85" s="1"/>
  <c r="AR54" i="85" s="1"/>
  <c r="Y63" i="145"/>
  <c r="Y64" i="145"/>
  <c r="Y90" i="145"/>
  <c r="Y65" i="145"/>
  <c r="Y82" i="145"/>
  <c r="Y97" i="145"/>
  <c r="Y83" i="145"/>
  <c r="Y87" i="145"/>
  <c r="J5" i="85"/>
  <c r="J12" i="85"/>
  <c r="I7" i="85"/>
  <c r="I12" i="85"/>
  <c r="J11" i="85"/>
  <c r="I5" i="85"/>
  <c r="I6" i="85"/>
  <c r="J6" i="85"/>
  <c r="I11" i="85"/>
  <c r="J7" i="85"/>
  <c r="H6" i="85"/>
  <c r="AQ50" i="85"/>
  <c r="F115" i="188"/>
  <c r="E115" i="188"/>
  <c r="D115" i="188"/>
  <c r="C115" i="188"/>
  <c r="B115" i="188"/>
  <c r="K112" i="188"/>
  <c r="J112" i="188"/>
  <c r="I112" i="188"/>
  <c r="H112" i="188"/>
  <c r="K111" i="188"/>
  <c r="J111" i="188"/>
  <c r="I111" i="188"/>
  <c r="H111" i="188"/>
  <c r="K110" i="188"/>
  <c r="J110" i="188"/>
  <c r="I110" i="188"/>
  <c r="H110" i="188"/>
  <c r="K109" i="188"/>
  <c r="K115" i="188" s="1"/>
  <c r="K116" i="188" s="1"/>
  <c r="F116" i="188" s="1"/>
  <c r="J109" i="188"/>
  <c r="J115" i="188" s="1"/>
  <c r="I109" i="188"/>
  <c r="I115" i="188" s="1"/>
  <c r="I116" i="188" s="1"/>
  <c r="H109" i="188"/>
  <c r="H115" i="188" s="1"/>
  <c r="K108" i="188"/>
  <c r="J108" i="188"/>
  <c r="I108" i="188"/>
  <c r="H108" i="188"/>
  <c r="K107" i="188"/>
  <c r="J107" i="188"/>
  <c r="I107" i="188"/>
  <c r="H107" i="188"/>
  <c r="AW72" i="188"/>
  <c r="AV72" i="188"/>
  <c r="AU72" i="188"/>
  <c r="AT72" i="188"/>
  <c r="AS72" i="188"/>
  <c r="AR72" i="188"/>
  <c r="AQ72" i="188"/>
  <c r="AP72" i="188"/>
  <c r="AO72" i="188"/>
  <c r="AN72" i="188"/>
  <c r="AM72" i="188"/>
  <c r="AL72" i="188"/>
  <c r="AK72" i="188"/>
  <c r="AJ72" i="188"/>
  <c r="AI72" i="188"/>
  <c r="AH72" i="188"/>
  <c r="AG72" i="188"/>
  <c r="AF72" i="188"/>
  <c r="AE72" i="188"/>
  <c r="AD72" i="188"/>
  <c r="AC72" i="188"/>
  <c r="AB72" i="188"/>
  <c r="AW71" i="188"/>
  <c r="AV71" i="188"/>
  <c r="AU71" i="188"/>
  <c r="AT71" i="188"/>
  <c r="AS71" i="188"/>
  <c r="AR71" i="188"/>
  <c r="AQ71" i="188"/>
  <c r="AP71" i="188"/>
  <c r="AO71" i="188"/>
  <c r="AN71" i="188"/>
  <c r="AM71" i="188"/>
  <c r="AL71" i="188"/>
  <c r="AK71" i="188"/>
  <c r="AJ71" i="188"/>
  <c r="AI71" i="188"/>
  <c r="AH71" i="188"/>
  <c r="AG71" i="188"/>
  <c r="AF71" i="188"/>
  <c r="AE71" i="188"/>
  <c r="AD71" i="188"/>
  <c r="AC71" i="188"/>
  <c r="AB71" i="188"/>
  <c r="C71" i="188"/>
  <c r="AW70" i="188"/>
  <c r="AV70" i="188"/>
  <c r="AU70" i="188"/>
  <c r="AT70" i="188"/>
  <c r="AS70" i="188"/>
  <c r="AR70" i="188"/>
  <c r="AQ70" i="188"/>
  <c r="AP70" i="188"/>
  <c r="AO70" i="188"/>
  <c r="AN70" i="188"/>
  <c r="AM70" i="188"/>
  <c r="AL70" i="188"/>
  <c r="AK70" i="188"/>
  <c r="AJ70" i="188"/>
  <c r="AI70" i="188"/>
  <c r="AH70" i="188"/>
  <c r="AG70" i="188"/>
  <c r="AF70" i="188"/>
  <c r="AE70" i="188"/>
  <c r="AD70" i="188"/>
  <c r="AC70" i="188"/>
  <c r="AB70" i="188"/>
  <c r="C70" i="188"/>
  <c r="AW69" i="188"/>
  <c r="AV69" i="188"/>
  <c r="AU69" i="188"/>
  <c r="AT69" i="188"/>
  <c r="AS69" i="188"/>
  <c r="AR69" i="188"/>
  <c r="AQ69" i="188"/>
  <c r="AP69" i="188"/>
  <c r="AO69" i="188"/>
  <c r="AN69" i="188"/>
  <c r="AM69" i="188"/>
  <c r="AL69" i="188"/>
  <c r="AK69" i="188"/>
  <c r="AJ69" i="188"/>
  <c r="AI69" i="188"/>
  <c r="AH69" i="188"/>
  <c r="AG69" i="188"/>
  <c r="AF69" i="188"/>
  <c r="AE69" i="188"/>
  <c r="AD69" i="188"/>
  <c r="AC69" i="188"/>
  <c r="AB69" i="188"/>
  <c r="C69" i="188"/>
  <c r="AW68" i="188"/>
  <c r="AV68" i="188"/>
  <c r="AU68" i="188"/>
  <c r="AT68" i="188"/>
  <c r="AS68" i="188"/>
  <c r="AR68" i="188"/>
  <c r="AQ68" i="188"/>
  <c r="AP68" i="188"/>
  <c r="AO68" i="188"/>
  <c r="AN68" i="188"/>
  <c r="AM68" i="188"/>
  <c r="AL68" i="188"/>
  <c r="AK68" i="188"/>
  <c r="AJ68" i="188"/>
  <c r="AI68" i="188"/>
  <c r="AH68" i="188"/>
  <c r="AG68" i="188"/>
  <c r="AF68" i="188"/>
  <c r="AE68" i="188"/>
  <c r="AD68" i="188"/>
  <c r="AC68" i="188"/>
  <c r="AB68" i="188"/>
  <c r="C68" i="188"/>
  <c r="AW67" i="188"/>
  <c r="AV67" i="188"/>
  <c r="AU67" i="188"/>
  <c r="AT67" i="188"/>
  <c r="AS67" i="188"/>
  <c r="AR67" i="188"/>
  <c r="AQ67" i="188"/>
  <c r="AP67" i="188"/>
  <c r="AO67" i="188"/>
  <c r="AN67" i="188"/>
  <c r="AM67" i="188"/>
  <c r="AL67" i="188"/>
  <c r="AK67" i="188"/>
  <c r="AJ67" i="188"/>
  <c r="AI67" i="188"/>
  <c r="AH67" i="188"/>
  <c r="AG67" i="188"/>
  <c r="AF67" i="188"/>
  <c r="AE67" i="188"/>
  <c r="AD67" i="188"/>
  <c r="AC67" i="188"/>
  <c r="AB67" i="188"/>
  <c r="C67" i="188"/>
  <c r="AW66" i="188"/>
  <c r="AV66" i="188"/>
  <c r="AU66" i="188"/>
  <c r="AT66" i="188"/>
  <c r="AS66" i="188"/>
  <c r="AR66" i="188"/>
  <c r="AQ66" i="188"/>
  <c r="AP66" i="188"/>
  <c r="AO66" i="188"/>
  <c r="AN66" i="188"/>
  <c r="AM66" i="188"/>
  <c r="AL66" i="188"/>
  <c r="AK66" i="188"/>
  <c r="AJ66" i="188"/>
  <c r="AI66" i="188"/>
  <c r="AH66" i="188"/>
  <c r="AG66" i="188"/>
  <c r="AF66" i="188"/>
  <c r="AE66" i="188"/>
  <c r="AD66" i="188"/>
  <c r="AC66" i="188"/>
  <c r="AB66" i="188"/>
  <c r="C66" i="188"/>
  <c r="AW65" i="188"/>
  <c r="AV65" i="188"/>
  <c r="AU65" i="188"/>
  <c r="AT65" i="188"/>
  <c r="AS65" i="188"/>
  <c r="AR65" i="188"/>
  <c r="AQ65" i="188"/>
  <c r="AP65" i="188"/>
  <c r="AO65" i="188"/>
  <c r="AN65" i="188"/>
  <c r="AM65" i="188"/>
  <c r="AL65" i="188"/>
  <c r="AK65" i="188"/>
  <c r="AJ65" i="188"/>
  <c r="AI65" i="188"/>
  <c r="AH65" i="188"/>
  <c r="AG65" i="188"/>
  <c r="AF65" i="188"/>
  <c r="AE65" i="188"/>
  <c r="AD65" i="188"/>
  <c r="AC65" i="188"/>
  <c r="AB65" i="188"/>
  <c r="C65" i="188"/>
  <c r="AW64" i="188"/>
  <c r="AV64" i="188"/>
  <c r="AU64" i="188"/>
  <c r="AT64" i="188"/>
  <c r="AS64" i="188"/>
  <c r="AR64" i="188"/>
  <c r="AQ64" i="188"/>
  <c r="AP64" i="188"/>
  <c r="AO64" i="188"/>
  <c r="AN64" i="188"/>
  <c r="AM64" i="188"/>
  <c r="AL64" i="188"/>
  <c r="AK64" i="188"/>
  <c r="AJ64" i="188"/>
  <c r="AI64" i="188"/>
  <c r="AH64" i="188"/>
  <c r="AG64" i="188"/>
  <c r="AF64" i="188"/>
  <c r="AE64" i="188"/>
  <c r="AD64" i="188"/>
  <c r="AC64" i="188"/>
  <c r="AB64" i="188"/>
  <c r="C64" i="188"/>
  <c r="AW63" i="188"/>
  <c r="AV63" i="188"/>
  <c r="AU63" i="188"/>
  <c r="AT63" i="188"/>
  <c r="AS63" i="188"/>
  <c r="AR63" i="188"/>
  <c r="AQ63" i="188"/>
  <c r="AP63" i="188"/>
  <c r="AO63" i="188"/>
  <c r="AN63" i="188"/>
  <c r="AM63" i="188"/>
  <c r="AL63" i="188"/>
  <c r="AK63" i="188"/>
  <c r="AJ63" i="188"/>
  <c r="AI63" i="188"/>
  <c r="AH63" i="188"/>
  <c r="AG63" i="188"/>
  <c r="AF63" i="188"/>
  <c r="AE63" i="188"/>
  <c r="AD63" i="188"/>
  <c r="AC63" i="188"/>
  <c r="AB63" i="188"/>
  <c r="C63" i="188"/>
  <c r="AW62" i="188"/>
  <c r="AV62" i="188"/>
  <c r="AU62" i="188"/>
  <c r="AT62" i="188"/>
  <c r="AS62" i="188"/>
  <c r="AR62" i="188"/>
  <c r="AQ62" i="188"/>
  <c r="AP62" i="188"/>
  <c r="AO62" i="188"/>
  <c r="AN62" i="188"/>
  <c r="AM62" i="188"/>
  <c r="AL62" i="188"/>
  <c r="AK62" i="188"/>
  <c r="AJ62" i="188"/>
  <c r="AI62" i="188"/>
  <c r="AH62" i="188"/>
  <c r="AG62" i="188"/>
  <c r="AF62" i="188"/>
  <c r="AE62" i="188"/>
  <c r="AD62" i="188"/>
  <c r="AC62" i="188"/>
  <c r="AB62" i="188"/>
  <c r="C62" i="188"/>
  <c r="AW61" i="188"/>
  <c r="AV61" i="188"/>
  <c r="AU61" i="188"/>
  <c r="AT61" i="188"/>
  <c r="AS61" i="188"/>
  <c r="AR61" i="188"/>
  <c r="AQ61" i="188"/>
  <c r="AP61" i="188"/>
  <c r="AO61" i="188"/>
  <c r="AN61" i="188"/>
  <c r="AM61" i="188"/>
  <c r="AL61" i="188"/>
  <c r="AK61" i="188"/>
  <c r="AJ61" i="188"/>
  <c r="AI61" i="188"/>
  <c r="AH61" i="188"/>
  <c r="AG61" i="188"/>
  <c r="AF61" i="188"/>
  <c r="AE61" i="188"/>
  <c r="AD61" i="188"/>
  <c r="AC61" i="188"/>
  <c r="AB61" i="188"/>
  <c r="C61" i="188"/>
  <c r="AW60" i="188"/>
  <c r="AV60" i="188"/>
  <c r="AU60" i="188"/>
  <c r="AT60" i="188"/>
  <c r="AS60" i="188"/>
  <c r="AR60" i="188"/>
  <c r="AQ60" i="188"/>
  <c r="AP60" i="188"/>
  <c r="AO60" i="188"/>
  <c r="AN60" i="188"/>
  <c r="AM60" i="188"/>
  <c r="AL60" i="188"/>
  <c r="AK60" i="188"/>
  <c r="AJ60" i="188"/>
  <c r="AI60" i="188"/>
  <c r="AH60" i="188"/>
  <c r="AG60" i="188"/>
  <c r="AF60" i="188"/>
  <c r="AE60" i="188"/>
  <c r="AD60" i="188"/>
  <c r="AC60" i="188"/>
  <c r="AB60" i="188"/>
  <c r="C60" i="188"/>
  <c r="AW59" i="188"/>
  <c r="AV59" i="188"/>
  <c r="AU59" i="188"/>
  <c r="AT59" i="188"/>
  <c r="AS59" i="188"/>
  <c r="AR59" i="188"/>
  <c r="AQ59" i="188"/>
  <c r="AP59" i="188"/>
  <c r="AO59" i="188"/>
  <c r="AN59" i="188"/>
  <c r="AM59" i="188"/>
  <c r="AL59" i="188"/>
  <c r="AK59" i="188"/>
  <c r="AJ59" i="188"/>
  <c r="AI59" i="188"/>
  <c r="AH59" i="188"/>
  <c r="AG59" i="188"/>
  <c r="AF59" i="188"/>
  <c r="AE59" i="188"/>
  <c r="AD59" i="188"/>
  <c r="AC59" i="188"/>
  <c r="AB59" i="188"/>
  <c r="C59" i="188"/>
  <c r="AW58" i="188"/>
  <c r="AV58" i="188"/>
  <c r="AU58" i="188"/>
  <c r="AT58" i="188"/>
  <c r="AS58" i="188"/>
  <c r="AR58" i="188"/>
  <c r="AQ58" i="188"/>
  <c r="AP58" i="188"/>
  <c r="AO58" i="188"/>
  <c r="AN58" i="188"/>
  <c r="AM58" i="188"/>
  <c r="AL58" i="188"/>
  <c r="AK58" i="188"/>
  <c r="AJ58" i="188"/>
  <c r="AI58" i="188"/>
  <c r="AH58" i="188"/>
  <c r="AG58" i="188"/>
  <c r="AF58" i="188"/>
  <c r="AE58" i="188"/>
  <c r="AD58" i="188"/>
  <c r="AC58" i="188"/>
  <c r="AB58" i="188"/>
  <c r="C58" i="188"/>
  <c r="AW57" i="188"/>
  <c r="AV57" i="188"/>
  <c r="AU57" i="188"/>
  <c r="AT57" i="188"/>
  <c r="AS57" i="188"/>
  <c r="AR57" i="188"/>
  <c r="AQ57" i="188"/>
  <c r="AP57" i="188"/>
  <c r="AO57" i="188"/>
  <c r="AN57" i="188"/>
  <c r="AM57" i="188"/>
  <c r="AL57" i="188"/>
  <c r="AK57" i="188"/>
  <c r="AJ57" i="188"/>
  <c r="AI57" i="188"/>
  <c r="AH57" i="188"/>
  <c r="AG57" i="188"/>
  <c r="AF57" i="188"/>
  <c r="AE57" i="188"/>
  <c r="AD57" i="188"/>
  <c r="AC57" i="188"/>
  <c r="AB57" i="188"/>
  <c r="C57" i="188"/>
  <c r="AW56" i="188"/>
  <c r="AV56" i="188"/>
  <c r="AU56" i="188"/>
  <c r="AT56" i="188"/>
  <c r="AS56" i="188"/>
  <c r="AR56" i="188"/>
  <c r="AQ56" i="188"/>
  <c r="AP56" i="188"/>
  <c r="AO56" i="188"/>
  <c r="AN56" i="188"/>
  <c r="AM56" i="188"/>
  <c r="AL56" i="188"/>
  <c r="AK56" i="188"/>
  <c r="AJ56" i="188"/>
  <c r="AI56" i="188"/>
  <c r="AH56" i="188"/>
  <c r="AG56" i="188"/>
  <c r="AF56" i="188"/>
  <c r="AE56" i="188"/>
  <c r="AD56" i="188"/>
  <c r="AC56" i="188"/>
  <c r="AB56" i="188"/>
  <c r="C56" i="188"/>
  <c r="AW55" i="188"/>
  <c r="AV55" i="188"/>
  <c r="AU55" i="188"/>
  <c r="AT55" i="188"/>
  <c r="AS55" i="188"/>
  <c r="AR55" i="188"/>
  <c r="AQ55" i="188"/>
  <c r="AP55" i="188"/>
  <c r="AO55" i="188"/>
  <c r="AN55" i="188"/>
  <c r="AM55" i="188"/>
  <c r="AL55" i="188"/>
  <c r="AK55" i="188"/>
  <c r="AJ55" i="188"/>
  <c r="AI55" i="188"/>
  <c r="AH55" i="188"/>
  <c r="AG55" i="188"/>
  <c r="AF55" i="188"/>
  <c r="AE55" i="188"/>
  <c r="AD55" i="188"/>
  <c r="AC55" i="188"/>
  <c r="AB55" i="188"/>
  <c r="C55" i="188"/>
  <c r="AW54" i="188"/>
  <c r="AV54" i="188"/>
  <c r="AU54" i="188"/>
  <c r="AT54" i="188"/>
  <c r="AS54" i="188"/>
  <c r="AR54" i="188"/>
  <c r="AQ54" i="188"/>
  <c r="AP54" i="188"/>
  <c r="AO54" i="188"/>
  <c r="AN54" i="188"/>
  <c r="AM54" i="188"/>
  <c r="AL54" i="188"/>
  <c r="AK54" i="188"/>
  <c r="AJ54" i="188"/>
  <c r="AI54" i="188"/>
  <c r="AH54" i="188"/>
  <c r="AG54" i="188"/>
  <c r="AF54" i="188"/>
  <c r="AE54" i="188"/>
  <c r="AD54" i="188"/>
  <c r="AC54" i="188"/>
  <c r="AB54" i="188"/>
  <c r="C54" i="188"/>
  <c r="AW53" i="188"/>
  <c r="AV53" i="188"/>
  <c r="AU53" i="188"/>
  <c r="AT53" i="188"/>
  <c r="AS53" i="188"/>
  <c r="AR53" i="188"/>
  <c r="AQ53" i="188"/>
  <c r="AP53" i="188"/>
  <c r="AO53" i="188"/>
  <c r="AN53" i="188"/>
  <c r="AM53" i="188"/>
  <c r="AL53" i="188"/>
  <c r="AK53" i="188"/>
  <c r="AJ53" i="188"/>
  <c r="AI53" i="188"/>
  <c r="AH53" i="188"/>
  <c r="AG53" i="188"/>
  <c r="AF53" i="188"/>
  <c r="AE53" i="188"/>
  <c r="AD53" i="188"/>
  <c r="AC53" i="188"/>
  <c r="AB53" i="188"/>
  <c r="C53" i="188"/>
  <c r="AW52" i="188"/>
  <c r="AV52" i="188"/>
  <c r="AU52" i="188"/>
  <c r="AT52" i="188"/>
  <c r="AS52" i="188"/>
  <c r="AR52" i="188"/>
  <c r="AQ52" i="188"/>
  <c r="AP52" i="188"/>
  <c r="AO52" i="188"/>
  <c r="AN52" i="188"/>
  <c r="AM52" i="188"/>
  <c r="AL52" i="188"/>
  <c r="AK52" i="188"/>
  <c r="AJ52" i="188"/>
  <c r="AI52" i="188"/>
  <c r="AH52" i="188"/>
  <c r="AG52" i="188"/>
  <c r="AF52" i="188"/>
  <c r="AE52" i="188"/>
  <c r="AD52" i="188"/>
  <c r="AC52" i="188"/>
  <c r="AB52" i="188"/>
  <c r="C52" i="188"/>
  <c r="AW51" i="188"/>
  <c r="AV51" i="188"/>
  <c r="AU51" i="188"/>
  <c r="AT51" i="188"/>
  <c r="AS51" i="188"/>
  <c r="AR51" i="188"/>
  <c r="AQ51" i="188"/>
  <c r="AP51" i="188"/>
  <c r="AO51" i="188"/>
  <c r="AN51" i="188"/>
  <c r="AM51" i="188"/>
  <c r="AL51" i="188"/>
  <c r="AK51" i="188"/>
  <c r="AJ51" i="188"/>
  <c r="AI51" i="188"/>
  <c r="AH51" i="188"/>
  <c r="AG51" i="188"/>
  <c r="AF51" i="188"/>
  <c r="AE51" i="188"/>
  <c r="AD51" i="188"/>
  <c r="AC51" i="188"/>
  <c r="AB51" i="188"/>
  <c r="C51" i="188"/>
  <c r="AW50" i="188"/>
  <c r="AV50" i="188"/>
  <c r="AU50" i="188"/>
  <c r="AT50" i="188"/>
  <c r="AS50" i="188"/>
  <c r="AR50" i="188"/>
  <c r="AQ50" i="188"/>
  <c r="AP50" i="188"/>
  <c r="AO50" i="188"/>
  <c r="AN50" i="188"/>
  <c r="AM50" i="188"/>
  <c r="AL50" i="188"/>
  <c r="AK50" i="188"/>
  <c r="AJ50" i="188"/>
  <c r="AI50" i="188"/>
  <c r="AH50" i="188"/>
  <c r="AG50" i="188"/>
  <c r="AF50" i="188"/>
  <c r="AE50" i="188"/>
  <c r="AD50" i="188"/>
  <c r="AC50" i="188"/>
  <c r="AB50" i="188"/>
  <c r="C50" i="188"/>
  <c r="AW49" i="188"/>
  <c r="AV49" i="188"/>
  <c r="AU49" i="188"/>
  <c r="AT49" i="188"/>
  <c r="AS49" i="188"/>
  <c r="AR49" i="188"/>
  <c r="AQ49" i="188"/>
  <c r="AP49" i="188"/>
  <c r="AO49" i="188"/>
  <c r="AN49" i="188"/>
  <c r="AM49" i="188"/>
  <c r="AL49" i="188"/>
  <c r="AK49" i="188"/>
  <c r="AJ49" i="188"/>
  <c r="AI49" i="188"/>
  <c r="AH49" i="188"/>
  <c r="AG49" i="188"/>
  <c r="AF49" i="188"/>
  <c r="AE49" i="188"/>
  <c r="AD49" i="188"/>
  <c r="AC49" i="188"/>
  <c r="AB49" i="188"/>
  <c r="C49" i="188"/>
  <c r="AW48" i="188"/>
  <c r="AV48" i="188"/>
  <c r="AU48" i="188"/>
  <c r="AT48" i="188"/>
  <c r="AS48" i="188"/>
  <c r="AR48" i="188"/>
  <c r="AQ48" i="188"/>
  <c r="AP48" i="188"/>
  <c r="AO48" i="188"/>
  <c r="AN48" i="188"/>
  <c r="AM48" i="188"/>
  <c r="AL48" i="188"/>
  <c r="AK48" i="188"/>
  <c r="AJ48" i="188"/>
  <c r="AI48" i="188"/>
  <c r="AH48" i="188"/>
  <c r="AG48" i="188"/>
  <c r="AF48" i="188"/>
  <c r="AE48" i="188"/>
  <c r="AD48" i="188"/>
  <c r="AC48" i="188"/>
  <c r="AB48" i="188"/>
  <c r="C48" i="188"/>
  <c r="AW47" i="188"/>
  <c r="AV47" i="188"/>
  <c r="AU47" i="188"/>
  <c r="AT47" i="188"/>
  <c r="AS47" i="188"/>
  <c r="AR47" i="188"/>
  <c r="AQ47" i="188"/>
  <c r="AP47" i="188"/>
  <c r="AO47" i="188"/>
  <c r="AN47" i="188"/>
  <c r="AM47" i="188"/>
  <c r="AL47" i="188"/>
  <c r="AK47" i="188"/>
  <c r="AJ47" i="188"/>
  <c r="AI47" i="188"/>
  <c r="AH47" i="188"/>
  <c r="AG47" i="188"/>
  <c r="AF47" i="188"/>
  <c r="AE47" i="188"/>
  <c r="AD47" i="188"/>
  <c r="AC47" i="188"/>
  <c r="AB47" i="188"/>
  <c r="C47" i="188"/>
  <c r="AW46" i="188"/>
  <c r="AV46" i="188"/>
  <c r="AU46" i="188"/>
  <c r="AT46" i="188"/>
  <c r="AS46" i="188"/>
  <c r="AR46" i="188"/>
  <c r="AQ46" i="188"/>
  <c r="AP46" i="188"/>
  <c r="AO46" i="188"/>
  <c r="AN46" i="188"/>
  <c r="AM46" i="188"/>
  <c r="AL46" i="188"/>
  <c r="AK46" i="188"/>
  <c r="AJ46" i="188"/>
  <c r="AI46" i="188"/>
  <c r="AH46" i="188"/>
  <c r="AG46" i="188"/>
  <c r="AF46" i="188"/>
  <c r="AE46" i="188"/>
  <c r="AD46" i="188"/>
  <c r="AC46" i="188"/>
  <c r="AB46" i="188"/>
  <c r="C46" i="188"/>
  <c r="AW45" i="188"/>
  <c r="AV45" i="188"/>
  <c r="AU45" i="188"/>
  <c r="AT45" i="188"/>
  <c r="AS45" i="188"/>
  <c r="AR45" i="188"/>
  <c r="AQ45" i="188"/>
  <c r="AP45" i="188"/>
  <c r="AO45" i="188"/>
  <c r="AN45" i="188"/>
  <c r="AM45" i="188"/>
  <c r="AL45" i="188"/>
  <c r="AK45" i="188"/>
  <c r="AJ45" i="188"/>
  <c r="AI45" i="188"/>
  <c r="AH45" i="188"/>
  <c r="AG45" i="188"/>
  <c r="AF45" i="188"/>
  <c r="AE45" i="188"/>
  <c r="AD45" i="188"/>
  <c r="AC45" i="188"/>
  <c r="AB45" i="188"/>
  <c r="C45" i="188"/>
  <c r="AW44" i="188"/>
  <c r="AV44" i="188"/>
  <c r="AU44" i="188"/>
  <c r="AT44" i="188"/>
  <c r="AS44" i="188"/>
  <c r="AR44" i="188"/>
  <c r="AQ44" i="188"/>
  <c r="AP44" i="188"/>
  <c r="AO44" i="188"/>
  <c r="AN44" i="188"/>
  <c r="AM44" i="188"/>
  <c r="AL44" i="188"/>
  <c r="AK44" i="188"/>
  <c r="AJ44" i="188"/>
  <c r="AI44" i="188"/>
  <c r="AH44" i="188"/>
  <c r="AG44" i="188"/>
  <c r="AF44" i="188"/>
  <c r="AE44" i="188"/>
  <c r="AD44" i="188"/>
  <c r="AC44" i="188"/>
  <c r="AB44" i="188"/>
  <c r="C44" i="188"/>
  <c r="AW43" i="188"/>
  <c r="AV43" i="188"/>
  <c r="AU43" i="188"/>
  <c r="AT43" i="188"/>
  <c r="AS43" i="188"/>
  <c r="AR43" i="188"/>
  <c r="AQ43" i="188"/>
  <c r="AP43" i="188"/>
  <c r="AO43" i="188"/>
  <c r="AN43" i="188"/>
  <c r="AM43" i="188"/>
  <c r="AL43" i="188"/>
  <c r="AK43" i="188"/>
  <c r="AJ43" i="188"/>
  <c r="AI43" i="188"/>
  <c r="AH43" i="188"/>
  <c r="AG43" i="188"/>
  <c r="AF43" i="188"/>
  <c r="AE43" i="188"/>
  <c r="AD43" i="188"/>
  <c r="AC43" i="188"/>
  <c r="AB43" i="188"/>
  <c r="C43" i="188"/>
  <c r="AW42" i="188"/>
  <c r="AV42" i="188"/>
  <c r="AU42" i="188"/>
  <c r="AT42" i="188"/>
  <c r="AS42" i="188"/>
  <c r="AR42" i="188"/>
  <c r="AQ42" i="188"/>
  <c r="AP42" i="188"/>
  <c r="AO42" i="188"/>
  <c r="AN42" i="188"/>
  <c r="AM42" i="188"/>
  <c r="AL42" i="188"/>
  <c r="AK42" i="188"/>
  <c r="AJ42" i="188"/>
  <c r="AI42" i="188"/>
  <c r="AH42" i="188"/>
  <c r="AG42" i="188"/>
  <c r="AF42" i="188"/>
  <c r="AE42" i="188"/>
  <c r="AD42" i="188"/>
  <c r="AC42" i="188"/>
  <c r="AB42" i="188"/>
  <c r="C42" i="188"/>
  <c r="AW41" i="188"/>
  <c r="AV41" i="188"/>
  <c r="AU41" i="188"/>
  <c r="AT41" i="188"/>
  <c r="AS41" i="188"/>
  <c r="AR41" i="188"/>
  <c r="AQ41" i="188"/>
  <c r="AP41" i="188"/>
  <c r="AO41" i="188"/>
  <c r="AN41" i="188"/>
  <c r="AM41" i="188"/>
  <c r="AL41" i="188"/>
  <c r="AK41" i="188"/>
  <c r="AJ41" i="188"/>
  <c r="AI41" i="188"/>
  <c r="AH41" i="188"/>
  <c r="AG41" i="188"/>
  <c r="AF41" i="188"/>
  <c r="AE41" i="188"/>
  <c r="AD41" i="188"/>
  <c r="AC41" i="188"/>
  <c r="AB41" i="188"/>
  <c r="C41" i="188"/>
  <c r="AW40" i="188"/>
  <c r="AV40" i="188"/>
  <c r="AU40" i="188"/>
  <c r="AT40" i="188"/>
  <c r="AS40" i="188"/>
  <c r="AR40" i="188"/>
  <c r="AQ40" i="188"/>
  <c r="AP40" i="188"/>
  <c r="AO40" i="188"/>
  <c r="AN40" i="188"/>
  <c r="AM40" i="188"/>
  <c r="AL40" i="188"/>
  <c r="AK40" i="188"/>
  <c r="AJ40" i="188"/>
  <c r="AI40" i="188"/>
  <c r="AH40" i="188"/>
  <c r="AG40" i="188"/>
  <c r="AF40" i="188"/>
  <c r="AE40" i="188"/>
  <c r="AD40" i="188"/>
  <c r="AC40" i="188"/>
  <c r="AB40" i="188"/>
  <c r="C40" i="188"/>
  <c r="AW39" i="188"/>
  <c r="AV39" i="188"/>
  <c r="AU39" i="188"/>
  <c r="AT39" i="188"/>
  <c r="AS39" i="188"/>
  <c r="AR39" i="188"/>
  <c r="AQ39" i="188"/>
  <c r="AP39" i="188"/>
  <c r="AO39" i="188"/>
  <c r="AN39" i="188"/>
  <c r="AM39" i="188"/>
  <c r="AL39" i="188"/>
  <c r="AK39" i="188"/>
  <c r="AJ39" i="188"/>
  <c r="AI39" i="188"/>
  <c r="AH39" i="188"/>
  <c r="AG39" i="188"/>
  <c r="AF39" i="188"/>
  <c r="AE39" i="188"/>
  <c r="AD39" i="188"/>
  <c r="AC39" i="188"/>
  <c r="AB39" i="188"/>
  <c r="C39" i="188"/>
  <c r="AW38" i="188"/>
  <c r="AV38" i="188"/>
  <c r="AU38" i="188"/>
  <c r="AT38" i="188"/>
  <c r="AS38" i="188"/>
  <c r="AR38" i="188"/>
  <c r="AQ38" i="188"/>
  <c r="AP38" i="188"/>
  <c r="AO38" i="188"/>
  <c r="AN38" i="188"/>
  <c r="AM38" i="188"/>
  <c r="AL38" i="188"/>
  <c r="AK38" i="188"/>
  <c r="AJ38" i="188"/>
  <c r="AI38" i="188"/>
  <c r="AH38" i="188"/>
  <c r="AG38" i="188"/>
  <c r="AF38" i="188"/>
  <c r="AE38" i="188"/>
  <c r="AD38" i="188"/>
  <c r="AC38" i="188"/>
  <c r="AB38" i="188"/>
  <c r="C38" i="188"/>
  <c r="AW37" i="188"/>
  <c r="AV37" i="188"/>
  <c r="AU37" i="188"/>
  <c r="AT37" i="188"/>
  <c r="AS37" i="188"/>
  <c r="AR37" i="188"/>
  <c r="AQ37" i="188"/>
  <c r="AP37" i="188"/>
  <c r="AO37" i="188"/>
  <c r="AN37" i="188"/>
  <c r="AM37" i="188"/>
  <c r="AL37" i="188"/>
  <c r="AK37" i="188"/>
  <c r="AJ37" i="188"/>
  <c r="AI37" i="188"/>
  <c r="AH37" i="188"/>
  <c r="AG37" i="188"/>
  <c r="AF37" i="188"/>
  <c r="AE37" i="188"/>
  <c r="AD37" i="188"/>
  <c r="AC37" i="188"/>
  <c r="AB37" i="188"/>
  <c r="C37" i="188"/>
  <c r="AW36" i="188"/>
  <c r="AV36" i="188"/>
  <c r="AU36" i="188"/>
  <c r="AT36" i="188"/>
  <c r="AS36" i="188"/>
  <c r="AR36" i="188"/>
  <c r="AQ36" i="188"/>
  <c r="AP36" i="188"/>
  <c r="AO36" i="188"/>
  <c r="AN36" i="188"/>
  <c r="AM36" i="188"/>
  <c r="AL36" i="188"/>
  <c r="AK36" i="188"/>
  <c r="AJ36" i="188"/>
  <c r="AI36" i="188"/>
  <c r="AH36" i="188"/>
  <c r="AG36" i="188"/>
  <c r="AF36" i="188"/>
  <c r="AE36" i="188"/>
  <c r="AD36" i="188"/>
  <c r="AC36" i="188"/>
  <c r="AB36" i="188"/>
  <c r="C36" i="188"/>
  <c r="AW35" i="188"/>
  <c r="AV35" i="188"/>
  <c r="AU35" i="188"/>
  <c r="AT35" i="188"/>
  <c r="AS35" i="188"/>
  <c r="AR35" i="188"/>
  <c r="AQ35" i="188"/>
  <c r="AP35" i="188"/>
  <c r="AO35" i="188"/>
  <c r="AN35" i="188"/>
  <c r="AM35" i="188"/>
  <c r="AL35" i="188"/>
  <c r="AK35" i="188"/>
  <c r="AJ35" i="188"/>
  <c r="AI35" i="188"/>
  <c r="AH35" i="188"/>
  <c r="AG35" i="188"/>
  <c r="AF35" i="188"/>
  <c r="AE35" i="188"/>
  <c r="AD35" i="188"/>
  <c r="AC35" i="188"/>
  <c r="AB35" i="188"/>
  <c r="C35" i="188"/>
  <c r="AW34" i="188"/>
  <c r="AV34" i="188"/>
  <c r="AU34" i="188"/>
  <c r="AT34" i="188"/>
  <c r="AS34" i="188"/>
  <c r="AR34" i="188"/>
  <c r="AQ34" i="188"/>
  <c r="AP34" i="188"/>
  <c r="AO34" i="188"/>
  <c r="AN34" i="188"/>
  <c r="AM34" i="188"/>
  <c r="AL34" i="188"/>
  <c r="AK34" i="188"/>
  <c r="AJ34" i="188"/>
  <c r="AI34" i="188"/>
  <c r="AH34" i="188"/>
  <c r="AG34" i="188"/>
  <c r="AF34" i="188"/>
  <c r="AE34" i="188"/>
  <c r="AD34" i="188"/>
  <c r="AC34" i="188"/>
  <c r="AB34" i="188"/>
  <c r="C34" i="188"/>
  <c r="AW33" i="188"/>
  <c r="AV33" i="188"/>
  <c r="AU33" i="188"/>
  <c r="AT33" i="188"/>
  <c r="AS33" i="188"/>
  <c r="AR33" i="188"/>
  <c r="AQ33" i="188"/>
  <c r="AP33" i="188"/>
  <c r="AO33" i="188"/>
  <c r="AN33" i="188"/>
  <c r="AM33" i="188"/>
  <c r="AL33" i="188"/>
  <c r="AK33" i="188"/>
  <c r="AJ33" i="188"/>
  <c r="AI33" i="188"/>
  <c r="AH33" i="188"/>
  <c r="AG33" i="188"/>
  <c r="AF33" i="188"/>
  <c r="AE33" i="188"/>
  <c r="AD33" i="188"/>
  <c r="AC33" i="188"/>
  <c r="AB33" i="188"/>
  <c r="C33" i="188"/>
  <c r="AW32" i="188"/>
  <c r="AV32" i="188"/>
  <c r="AU32" i="188"/>
  <c r="AT32" i="188"/>
  <c r="AS32" i="188"/>
  <c r="AR32" i="188"/>
  <c r="AQ32" i="188"/>
  <c r="AP32" i="188"/>
  <c r="AO32" i="188"/>
  <c r="AN32" i="188"/>
  <c r="AM32" i="188"/>
  <c r="AL32" i="188"/>
  <c r="AK32" i="188"/>
  <c r="AJ32" i="188"/>
  <c r="AI32" i="188"/>
  <c r="AH32" i="188"/>
  <c r="AG32" i="188"/>
  <c r="AF32" i="188"/>
  <c r="AE32" i="188"/>
  <c r="AD32" i="188"/>
  <c r="AC32" i="188"/>
  <c r="AB32" i="188"/>
  <c r="C32" i="188"/>
  <c r="AW31" i="188"/>
  <c r="AV31" i="188"/>
  <c r="AU31" i="188"/>
  <c r="AT31" i="188"/>
  <c r="AS31" i="188"/>
  <c r="AR31" i="188"/>
  <c r="AQ31" i="188"/>
  <c r="AP31" i="188"/>
  <c r="AO31" i="188"/>
  <c r="AN31" i="188"/>
  <c r="AM31" i="188"/>
  <c r="AL31" i="188"/>
  <c r="AK31" i="188"/>
  <c r="AJ31" i="188"/>
  <c r="AI31" i="188"/>
  <c r="AH31" i="188"/>
  <c r="AG31" i="188"/>
  <c r="AF31" i="188"/>
  <c r="AE31" i="188"/>
  <c r="AD31" i="188"/>
  <c r="AC31" i="188"/>
  <c r="AB31" i="188"/>
  <c r="C31" i="188"/>
  <c r="AW30" i="188"/>
  <c r="AV30" i="188"/>
  <c r="AU30" i="188"/>
  <c r="AT30" i="188"/>
  <c r="AS30" i="188"/>
  <c r="AR30" i="188"/>
  <c r="AQ30" i="188"/>
  <c r="AP30" i="188"/>
  <c r="AO30" i="188"/>
  <c r="AN30" i="188"/>
  <c r="AM30" i="188"/>
  <c r="AL30" i="188"/>
  <c r="AK30" i="188"/>
  <c r="AJ30" i="188"/>
  <c r="AI30" i="188"/>
  <c r="AH30" i="188"/>
  <c r="AG30" i="188"/>
  <c r="AF30" i="188"/>
  <c r="AE30" i="188"/>
  <c r="AD30" i="188"/>
  <c r="AC30" i="188"/>
  <c r="AB30" i="188"/>
  <c r="C30" i="188"/>
  <c r="AW29" i="188"/>
  <c r="AV29" i="188"/>
  <c r="AU29" i="188"/>
  <c r="AT29" i="188"/>
  <c r="AS29" i="188"/>
  <c r="AR29" i="188"/>
  <c r="AQ29" i="188"/>
  <c r="AP29" i="188"/>
  <c r="AO29" i="188"/>
  <c r="AN29" i="188"/>
  <c r="AM29" i="188"/>
  <c r="AL29" i="188"/>
  <c r="AK29" i="188"/>
  <c r="AJ29" i="188"/>
  <c r="AI29" i="188"/>
  <c r="AH29" i="188"/>
  <c r="AG29" i="188"/>
  <c r="AF29" i="188"/>
  <c r="AE29" i="188"/>
  <c r="AD29" i="188"/>
  <c r="AC29" i="188"/>
  <c r="AB29" i="188"/>
  <c r="C29" i="188"/>
  <c r="AW28" i="188"/>
  <c r="AV28" i="188"/>
  <c r="AU28" i="188"/>
  <c r="AT28" i="188"/>
  <c r="AS28" i="188"/>
  <c r="AR28" i="188"/>
  <c r="AQ28" i="188"/>
  <c r="AP28" i="188"/>
  <c r="AO28" i="188"/>
  <c r="AN28" i="188"/>
  <c r="AM28" i="188"/>
  <c r="AL28" i="188"/>
  <c r="AK28" i="188"/>
  <c r="AJ28" i="188"/>
  <c r="AI28" i="188"/>
  <c r="AH28" i="188"/>
  <c r="AG28" i="188"/>
  <c r="AF28" i="188"/>
  <c r="AE28" i="188"/>
  <c r="AD28" i="188"/>
  <c r="AC28" i="188"/>
  <c r="AB28" i="188"/>
  <c r="C28" i="188"/>
  <c r="AW27" i="188"/>
  <c r="AV27" i="188"/>
  <c r="AU27" i="188"/>
  <c r="AT27" i="188"/>
  <c r="AS27" i="188"/>
  <c r="AR27" i="188"/>
  <c r="AQ27" i="188"/>
  <c r="AP27" i="188"/>
  <c r="AO27" i="188"/>
  <c r="AN27" i="188"/>
  <c r="AM27" i="188"/>
  <c r="AL27" i="188"/>
  <c r="AK27" i="188"/>
  <c r="AJ27" i="188"/>
  <c r="AI27" i="188"/>
  <c r="AH27" i="188"/>
  <c r="AG27" i="188"/>
  <c r="AF27" i="188"/>
  <c r="AE27" i="188"/>
  <c r="AD27" i="188"/>
  <c r="AC27" i="188"/>
  <c r="AB27" i="188"/>
  <c r="C27" i="188"/>
  <c r="AW26" i="188"/>
  <c r="AV26" i="188"/>
  <c r="AU26" i="188"/>
  <c r="AT26" i="188"/>
  <c r="AS26" i="188"/>
  <c r="AR26" i="188"/>
  <c r="AQ26" i="188"/>
  <c r="AP26" i="188"/>
  <c r="AO26" i="188"/>
  <c r="AN26" i="188"/>
  <c r="AM26" i="188"/>
  <c r="AL26" i="188"/>
  <c r="AK26" i="188"/>
  <c r="AJ26" i="188"/>
  <c r="AI26" i="188"/>
  <c r="AH26" i="188"/>
  <c r="AG26" i="188"/>
  <c r="AF26" i="188"/>
  <c r="AE26" i="188"/>
  <c r="AD26" i="188"/>
  <c r="AC26" i="188"/>
  <c r="AB26" i="188"/>
  <c r="C26" i="188"/>
  <c r="AW25" i="188"/>
  <c r="AV25" i="188"/>
  <c r="AU25" i="188"/>
  <c r="AT25" i="188"/>
  <c r="AS25" i="188"/>
  <c r="AR25" i="188"/>
  <c r="AQ25" i="188"/>
  <c r="AP25" i="188"/>
  <c r="AO25" i="188"/>
  <c r="AN25" i="188"/>
  <c r="AM25" i="188"/>
  <c r="AL25" i="188"/>
  <c r="AK25" i="188"/>
  <c r="AJ25" i="188"/>
  <c r="AI25" i="188"/>
  <c r="AH25" i="188"/>
  <c r="AG25" i="188"/>
  <c r="AF25" i="188"/>
  <c r="AE25" i="188"/>
  <c r="AD25" i="188"/>
  <c r="AC25" i="188"/>
  <c r="AB25" i="188"/>
  <c r="C25" i="188"/>
  <c r="AW24" i="188"/>
  <c r="AV24" i="188"/>
  <c r="AU24" i="188"/>
  <c r="AT24" i="188"/>
  <c r="AS24" i="188"/>
  <c r="AR24" i="188"/>
  <c r="AQ24" i="188"/>
  <c r="AP24" i="188"/>
  <c r="AO24" i="188"/>
  <c r="AN24" i="188"/>
  <c r="AM24" i="188"/>
  <c r="AL24" i="188"/>
  <c r="AK24" i="188"/>
  <c r="AJ24" i="188"/>
  <c r="AI24" i="188"/>
  <c r="AH24" i="188"/>
  <c r="AG24" i="188"/>
  <c r="AF24" i="188"/>
  <c r="AE24" i="188"/>
  <c r="AD24" i="188"/>
  <c r="AC24" i="188"/>
  <c r="AB24" i="188"/>
  <c r="C24" i="188"/>
  <c r="AW23" i="188"/>
  <c r="AV23" i="188"/>
  <c r="AU23" i="188"/>
  <c r="AT23" i="188"/>
  <c r="AS23" i="188"/>
  <c r="AR23" i="188"/>
  <c r="AQ23" i="188"/>
  <c r="AP23" i="188"/>
  <c r="AO23" i="188"/>
  <c r="AN23" i="188"/>
  <c r="AM23" i="188"/>
  <c r="AL23" i="188"/>
  <c r="AK23" i="188"/>
  <c r="AJ23" i="188"/>
  <c r="AI23" i="188"/>
  <c r="AH23" i="188"/>
  <c r="AG23" i="188"/>
  <c r="AF23" i="188"/>
  <c r="AE23" i="188"/>
  <c r="C23" i="188"/>
  <c r="AW22" i="188"/>
  <c r="AV22" i="188"/>
  <c r="AU22" i="188"/>
  <c r="AT22" i="188"/>
  <c r="AS22" i="188"/>
  <c r="AR22" i="188"/>
  <c r="AQ22" i="188"/>
  <c r="AP22" i="188"/>
  <c r="AO22" i="188"/>
  <c r="AN22" i="188"/>
  <c r="AM22" i="188"/>
  <c r="AL22" i="188"/>
  <c r="AK22" i="188"/>
  <c r="AJ22" i="188"/>
  <c r="AI22" i="188"/>
  <c r="AH22" i="188"/>
  <c r="AG22" i="188"/>
  <c r="AF22" i="188"/>
  <c r="AE22" i="188"/>
  <c r="C22" i="188"/>
  <c r="AW21" i="188"/>
  <c r="AV21" i="188"/>
  <c r="AU21" i="188"/>
  <c r="AT21" i="188"/>
  <c r="AS21" i="188"/>
  <c r="AR21" i="188"/>
  <c r="AQ21" i="188"/>
  <c r="AP21" i="188"/>
  <c r="AO21" i="188"/>
  <c r="AN21" i="188"/>
  <c r="AM21" i="188"/>
  <c r="AL21" i="188"/>
  <c r="AK21" i="188"/>
  <c r="AJ21" i="188"/>
  <c r="AI21" i="188"/>
  <c r="AH21" i="188"/>
  <c r="AW20" i="188"/>
  <c r="AV20" i="188"/>
  <c r="AU20" i="188"/>
  <c r="AT20" i="188"/>
  <c r="AS20" i="188"/>
  <c r="AR20" i="188"/>
  <c r="AQ20" i="188"/>
  <c r="AP20" i="188"/>
  <c r="AO20" i="188"/>
  <c r="AN20" i="188"/>
  <c r="AM20" i="188"/>
  <c r="AL20" i="188"/>
  <c r="AK20" i="188"/>
  <c r="AJ20" i="188"/>
  <c r="AI20" i="188"/>
  <c r="AH20" i="188"/>
  <c r="AG20" i="188"/>
  <c r="AF20" i="188"/>
  <c r="AE20" i="188"/>
  <c r="AW19" i="188"/>
  <c r="AV19" i="188"/>
  <c r="AU19" i="188"/>
  <c r="AT19" i="188"/>
  <c r="AS19" i="188"/>
  <c r="AR19" i="188"/>
  <c r="AQ19" i="188"/>
  <c r="AP19" i="188"/>
  <c r="AO19" i="188"/>
  <c r="AN19" i="188"/>
  <c r="AM19" i="188"/>
  <c r="AL19" i="188"/>
  <c r="AK19" i="188"/>
  <c r="AJ19" i="188"/>
  <c r="AI19" i="188"/>
  <c r="AH19" i="188"/>
  <c r="AG19" i="188"/>
  <c r="AF19" i="188"/>
  <c r="AE19" i="188"/>
  <c r="AW18" i="188"/>
  <c r="AV18" i="188"/>
  <c r="AU18" i="188"/>
  <c r="AT18" i="188"/>
  <c r="AS18" i="188"/>
  <c r="AR18" i="188"/>
  <c r="AQ18" i="188"/>
  <c r="AP18" i="188"/>
  <c r="AO18" i="188"/>
  <c r="AN18" i="188"/>
  <c r="AM18" i="188"/>
  <c r="AL18" i="188"/>
  <c r="AK18" i="188"/>
  <c r="AJ18" i="188"/>
  <c r="AI18" i="188"/>
  <c r="AH18" i="188"/>
  <c r="AG18" i="188"/>
  <c r="AF18" i="188"/>
  <c r="AE18" i="188"/>
  <c r="AW17" i="188"/>
  <c r="AV17" i="188"/>
  <c r="AU17" i="188"/>
  <c r="AT17" i="188"/>
  <c r="AS17" i="188"/>
  <c r="AR17" i="188"/>
  <c r="AQ17" i="188"/>
  <c r="AP17" i="188"/>
  <c r="AO17" i="188"/>
  <c r="AN17" i="188"/>
  <c r="AM17" i="188"/>
  <c r="AL17" i="188"/>
  <c r="AK17" i="188"/>
  <c r="AJ17" i="188"/>
  <c r="AI17" i="188"/>
  <c r="AH17" i="188"/>
  <c r="AG17" i="188"/>
  <c r="AF17" i="188"/>
  <c r="AE17" i="188"/>
  <c r="AW16" i="188"/>
  <c r="AV16" i="188"/>
  <c r="AU16" i="188"/>
  <c r="AT16" i="188"/>
  <c r="AS16" i="188"/>
  <c r="AR16" i="188"/>
  <c r="AQ16" i="188"/>
  <c r="AP16" i="188"/>
  <c r="AO16" i="188"/>
  <c r="AN16" i="188"/>
  <c r="AM16" i="188"/>
  <c r="AL16" i="188"/>
  <c r="AK16" i="188"/>
  <c r="AJ16" i="188"/>
  <c r="AI16" i="188"/>
  <c r="AH16" i="188"/>
  <c r="AG16" i="188"/>
  <c r="AF16" i="188"/>
  <c r="AE16" i="188"/>
  <c r="AW15" i="188"/>
  <c r="AV15" i="188"/>
  <c r="AU15" i="188"/>
  <c r="AT15" i="188"/>
  <c r="AS15" i="188"/>
  <c r="AR15" i="188"/>
  <c r="AQ15" i="188"/>
  <c r="AP15" i="188"/>
  <c r="AO15" i="188"/>
  <c r="AN15" i="188"/>
  <c r="AM15" i="188"/>
  <c r="AL15" i="188"/>
  <c r="AK15" i="188"/>
  <c r="AJ15" i="188"/>
  <c r="AI15" i="188"/>
  <c r="AH15" i="188"/>
  <c r="AG15" i="188"/>
  <c r="AF15" i="188"/>
  <c r="AE15" i="188"/>
  <c r="AW14" i="188"/>
  <c r="AV14" i="188"/>
  <c r="AU14" i="188"/>
  <c r="AT14" i="188"/>
  <c r="AS14" i="188"/>
  <c r="AR14" i="188"/>
  <c r="AQ14" i="188"/>
  <c r="AP14" i="188"/>
  <c r="AO14" i="188"/>
  <c r="AN14" i="188"/>
  <c r="AM14" i="188"/>
  <c r="AL14" i="188"/>
  <c r="AK14" i="188"/>
  <c r="AJ14" i="188"/>
  <c r="AI14" i="188"/>
  <c r="AH14" i="188"/>
  <c r="AG14" i="188"/>
  <c r="AF14" i="188"/>
  <c r="AE14" i="188"/>
  <c r="AD12" i="188"/>
  <c r="AC12" i="188"/>
  <c r="AB12" i="188"/>
  <c r="W12" i="188"/>
  <c r="T12" i="188"/>
  <c r="Q12" i="188"/>
  <c r="N12" i="188"/>
  <c r="K12" i="188"/>
  <c r="H12" i="188"/>
  <c r="E12" i="188"/>
  <c r="AG11" i="188"/>
  <c r="AG12" i="188" s="1"/>
  <c r="AF11" i="188"/>
  <c r="AI11" i="188" s="1"/>
  <c r="AE11" i="188"/>
  <c r="AE12" i="188" s="1"/>
  <c r="X11" i="188"/>
  <c r="U11" i="188"/>
  <c r="U12" i="188" s="1"/>
  <c r="R11" i="188"/>
  <c r="R12" i="188" s="1"/>
  <c r="O11" i="188"/>
  <c r="P11" i="188" s="1"/>
  <c r="P12" i="188" s="1"/>
  <c r="L11" i="188"/>
  <c r="M11" i="188" s="1"/>
  <c r="M12" i="188" s="1"/>
  <c r="I11" i="188"/>
  <c r="J11" i="188" s="1"/>
  <c r="J12" i="188" s="1"/>
  <c r="F11" i="188"/>
  <c r="F12" i="188" s="1"/>
  <c r="T59" i="145" l="1"/>
  <c r="T65" i="145"/>
  <c r="T62" i="145"/>
  <c r="T69" i="145"/>
  <c r="T57" i="145"/>
  <c r="W67" i="145"/>
  <c r="T61" i="145"/>
  <c r="T73" i="145"/>
  <c r="Z58" i="145"/>
  <c r="W60" i="145"/>
  <c r="T64" i="145"/>
  <c r="Z87" i="145"/>
  <c r="T90" i="145"/>
  <c r="W87" i="145"/>
  <c r="Z86" i="145"/>
  <c r="Z84" i="145"/>
  <c r="W86" i="145"/>
  <c r="W90" i="145"/>
  <c r="W84" i="145"/>
  <c r="T85" i="145"/>
  <c r="W85" i="145"/>
  <c r="Z69" i="145"/>
  <c r="Z63" i="145"/>
  <c r="W69" i="145"/>
  <c r="W63" i="145"/>
  <c r="Z65" i="145"/>
  <c r="W59" i="145"/>
  <c r="W66" i="145"/>
  <c r="Z66" i="145"/>
  <c r="Z59" i="145"/>
  <c r="W65" i="145"/>
  <c r="Z62" i="145"/>
  <c r="Z89" i="145"/>
  <c r="W88" i="145"/>
  <c r="Z88" i="145"/>
  <c r="W64" i="145"/>
  <c r="W62" i="145"/>
  <c r="Z64" i="145"/>
  <c r="W89" i="145"/>
  <c r="P105" i="85"/>
  <c r="AR105" i="85" s="1"/>
  <c r="P101" i="85"/>
  <c r="AR101" i="85" s="1"/>
  <c r="U42" i="207"/>
  <c r="U50" i="207"/>
  <c r="U55" i="207"/>
  <c r="U43" i="207"/>
  <c r="U51" i="207"/>
  <c r="U44" i="207"/>
  <c r="U52" i="207"/>
  <c r="U57" i="207"/>
  <c r="U38" i="207"/>
  <c r="U63" i="207"/>
  <c r="U41" i="207"/>
  <c r="U62" i="207"/>
  <c r="U48" i="207"/>
  <c r="U54" i="207"/>
  <c r="W102" i="145"/>
  <c r="Z102" i="145"/>
  <c r="T97" i="145"/>
  <c r="W97" i="145"/>
  <c r="T96" i="145"/>
  <c r="N99" i="145"/>
  <c r="N85" i="145"/>
  <c r="N86" i="145"/>
  <c r="N91" i="145"/>
  <c r="N102" i="145"/>
  <c r="AF214" i="145"/>
  <c r="AE214" i="145"/>
  <c r="AF254" i="145"/>
  <c r="AE254" i="145"/>
  <c r="W219" i="145"/>
  <c r="AF219" i="145"/>
  <c r="AE219" i="145"/>
  <c r="W244" i="145"/>
  <c r="AF244" i="145"/>
  <c r="AE244" i="145"/>
  <c r="AF225" i="145"/>
  <c r="AE225" i="145"/>
  <c r="W249" i="145"/>
  <c r="AF249" i="145"/>
  <c r="AE249" i="145"/>
  <c r="AF220" i="145"/>
  <c r="AE220" i="145"/>
  <c r="AF256" i="145"/>
  <c r="AE256" i="145"/>
  <c r="W243" i="145"/>
  <c r="AF243" i="145"/>
  <c r="AE243" i="145"/>
  <c r="W265" i="145"/>
  <c r="AF265" i="145"/>
  <c r="AE265" i="145"/>
  <c r="AF260" i="145"/>
  <c r="AE260" i="145"/>
  <c r="W240" i="145"/>
  <c r="AF240" i="145"/>
  <c r="AE240" i="145"/>
  <c r="AF227" i="145"/>
  <c r="AE227" i="145"/>
  <c r="W239" i="145"/>
  <c r="AF239" i="145"/>
  <c r="AE239" i="145"/>
  <c r="W236" i="145"/>
  <c r="AF236" i="145"/>
  <c r="AE236" i="145"/>
  <c r="W247" i="145"/>
  <c r="AF247" i="145"/>
  <c r="AE247" i="145"/>
  <c r="W233" i="145"/>
  <c r="AF233" i="145"/>
  <c r="AE233" i="145"/>
  <c r="AF223" i="145"/>
  <c r="AE223" i="145"/>
  <c r="W228" i="145"/>
  <c r="AF228" i="145"/>
  <c r="AE228" i="145"/>
  <c r="W218" i="145"/>
  <c r="AF218" i="145"/>
  <c r="AE218" i="145"/>
  <c r="AF255" i="145"/>
  <c r="AE255" i="145"/>
  <c r="W237" i="145"/>
  <c r="AF237" i="145"/>
  <c r="AE237" i="145"/>
  <c r="AF222" i="145"/>
  <c r="AE222" i="145"/>
  <c r="AF231" i="145"/>
  <c r="AE231" i="145"/>
  <c r="W229" i="145"/>
  <c r="AF229" i="145"/>
  <c r="AE229" i="145"/>
  <c r="W215" i="145"/>
  <c r="AF215" i="145"/>
  <c r="AE215" i="145"/>
  <c r="W217" i="145"/>
  <c r="AF217" i="145"/>
  <c r="AE217" i="145"/>
  <c r="W253" i="145"/>
  <c r="AF253" i="145"/>
  <c r="AE253" i="145"/>
  <c r="W234" i="145"/>
  <c r="AF234" i="145"/>
  <c r="AE234" i="145"/>
  <c r="W263" i="145"/>
  <c r="AF263" i="145"/>
  <c r="AE263" i="145"/>
  <c r="AF257" i="145"/>
  <c r="AE257" i="145"/>
  <c r="W230" i="145"/>
  <c r="AF230" i="145"/>
  <c r="AE230" i="145"/>
  <c r="W248" i="145"/>
  <c r="AF248" i="145"/>
  <c r="AE248" i="145"/>
  <c r="W250" i="145"/>
  <c r="AF250" i="145"/>
  <c r="AE250" i="145"/>
  <c r="W251" i="145"/>
  <c r="AF251" i="145"/>
  <c r="AE251" i="145"/>
  <c r="W226" i="145"/>
  <c r="AF226" i="145"/>
  <c r="AE226" i="145"/>
  <c r="W252" i="145"/>
  <c r="AF252" i="145"/>
  <c r="AE252" i="145"/>
  <c r="W264" i="145"/>
  <c r="AF264" i="145"/>
  <c r="AE264" i="145"/>
  <c r="W232" i="145"/>
  <c r="AF232" i="145"/>
  <c r="AE232" i="145"/>
  <c r="AF221" i="145"/>
  <c r="AE221" i="145"/>
  <c r="AF258" i="145"/>
  <c r="AE258" i="145"/>
  <c r="W246" i="145"/>
  <c r="AF246" i="145"/>
  <c r="AE246" i="145"/>
  <c r="W245" i="145"/>
  <c r="AF245" i="145"/>
  <c r="AE245" i="145"/>
  <c r="W241" i="145"/>
  <c r="AF241" i="145"/>
  <c r="AE241" i="145"/>
  <c r="W235" i="145"/>
  <c r="AF235" i="145"/>
  <c r="AE235" i="145"/>
  <c r="W242" i="145"/>
  <c r="AF242" i="145"/>
  <c r="AE242" i="145"/>
  <c r="W266" i="145"/>
  <c r="AF266" i="145"/>
  <c r="AE266" i="145"/>
  <c r="AF259" i="145"/>
  <c r="AE259" i="145"/>
  <c r="AF262" i="145"/>
  <c r="AE262" i="145"/>
  <c r="AF216" i="145"/>
  <c r="AE216" i="145"/>
  <c r="AF238" i="145"/>
  <c r="AE238" i="145"/>
  <c r="W261" i="145"/>
  <c r="AF261" i="145"/>
  <c r="AE261" i="145"/>
  <c r="W224" i="145"/>
  <c r="AF224" i="145"/>
  <c r="AE224" i="145"/>
  <c r="W98" i="145"/>
  <c r="T91" i="145"/>
  <c r="W91" i="145"/>
  <c r="Z98" i="145"/>
  <c r="T67" i="145"/>
  <c r="W93" i="145"/>
  <c r="T93" i="145"/>
  <c r="W96" i="145"/>
  <c r="Z67" i="145"/>
  <c r="W74" i="145"/>
  <c r="Z74" i="145"/>
  <c r="W61" i="145"/>
  <c r="Z61" i="145"/>
  <c r="Z71" i="145"/>
  <c r="W57" i="145"/>
  <c r="Z57" i="145"/>
  <c r="T94" i="145"/>
  <c r="W94" i="145"/>
  <c r="Z72" i="145"/>
  <c r="W71" i="145"/>
  <c r="W72" i="145"/>
  <c r="T68" i="145"/>
  <c r="W68" i="145"/>
  <c r="T259" i="145"/>
  <c r="Z259" i="145"/>
  <c r="T262" i="145"/>
  <c r="Z262" i="145"/>
  <c r="T216" i="145"/>
  <c r="Z216" i="145"/>
  <c r="T238" i="145"/>
  <c r="Z238" i="145"/>
  <c r="T261" i="145"/>
  <c r="Z261" i="145"/>
  <c r="T224" i="145"/>
  <c r="Z224" i="145"/>
  <c r="W216" i="145"/>
  <c r="S245" i="145"/>
  <c r="Q245" i="145"/>
  <c r="S242" i="145"/>
  <c r="Q242" i="145"/>
  <c r="S257" i="145"/>
  <c r="Q257" i="145"/>
  <c r="S250" i="145"/>
  <c r="Q250" i="145"/>
  <c r="S234" i="145"/>
  <c r="Q234" i="145"/>
  <c r="S218" i="145"/>
  <c r="Q218" i="145"/>
  <c r="N79" i="145"/>
  <c r="N236" i="145"/>
  <c r="N265" i="145"/>
  <c r="N250" i="145"/>
  <c r="N239" i="145"/>
  <c r="N224" i="145"/>
  <c r="N234" i="145"/>
  <c r="N217" i="145"/>
  <c r="N233" i="145"/>
  <c r="N230" i="145"/>
  <c r="N232" i="145"/>
  <c r="N257" i="145"/>
  <c r="N222" i="145"/>
  <c r="N220" i="145"/>
  <c r="N245" i="145"/>
  <c r="N255" i="145"/>
  <c r="N254" i="145"/>
  <c r="N225" i="145"/>
  <c r="N260" i="145"/>
  <c r="N252" i="145"/>
  <c r="N243" i="145"/>
  <c r="N242" i="145"/>
  <c r="N247" i="145"/>
  <c r="N240" i="145"/>
  <c r="N256" i="145"/>
  <c r="N214" i="145"/>
  <c r="N259" i="145"/>
  <c r="N226" i="145"/>
  <c r="N266" i="145"/>
  <c r="N241" i="145"/>
  <c r="N249" i="145"/>
  <c r="N251" i="145"/>
  <c r="N248" i="145"/>
  <c r="N219" i="145"/>
  <c r="N221" i="145"/>
  <c r="N215" i="145"/>
  <c r="N231" i="145"/>
  <c r="N262" i="145"/>
  <c r="N253" i="145"/>
  <c r="N227" i="145"/>
  <c r="N229" i="145"/>
  <c r="N263" i="145"/>
  <c r="N218" i="145"/>
  <c r="N216" i="145"/>
  <c r="N258" i="145"/>
  <c r="N235" i="145"/>
  <c r="N238" i="145"/>
  <c r="N237" i="145"/>
  <c r="N261" i="145"/>
  <c r="N246" i="145"/>
  <c r="N223" i="145"/>
  <c r="N244" i="145"/>
  <c r="N228" i="145"/>
  <c r="N264" i="145"/>
  <c r="Z214" i="145"/>
  <c r="T214" i="145"/>
  <c r="T254" i="145"/>
  <c r="Z254" i="145"/>
  <c r="T219" i="145"/>
  <c r="Z219" i="145"/>
  <c r="T244" i="145"/>
  <c r="Z244" i="145"/>
  <c r="T225" i="145"/>
  <c r="Z225" i="145"/>
  <c r="T249" i="145"/>
  <c r="Z249" i="145"/>
  <c r="S229" i="145"/>
  <c r="Q229" i="145"/>
  <c r="S240" i="145"/>
  <c r="Q240" i="145"/>
  <c r="S230" i="145"/>
  <c r="Q230" i="145"/>
  <c r="S224" i="145"/>
  <c r="Q224" i="145"/>
  <c r="S225" i="145"/>
  <c r="Q225" i="145"/>
  <c r="S215" i="145"/>
  <c r="Q215" i="145"/>
  <c r="S249" i="145"/>
  <c r="Q249" i="145"/>
  <c r="W259" i="145"/>
  <c r="T220" i="145"/>
  <c r="Z220" i="145"/>
  <c r="Z256" i="145"/>
  <c r="T256" i="145"/>
  <c r="T243" i="145"/>
  <c r="Z243" i="145"/>
  <c r="T265" i="145"/>
  <c r="Z265" i="145"/>
  <c r="T260" i="145"/>
  <c r="Z260" i="145"/>
  <c r="T240" i="145"/>
  <c r="Z240" i="145"/>
  <c r="T227" i="145"/>
  <c r="Z227" i="145"/>
  <c r="W254" i="145"/>
  <c r="S235" i="145"/>
  <c r="Q235" i="145"/>
  <c r="S222" i="145"/>
  <c r="Q222" i="145"/>
  <c r="S231" i="145"/>
  <c r="Q231" i="145"/>
  <c r="S241" i="145"/>
  <c r="Q241" i="145"/>
  <c r="S233" i="145"/>
  <c r="Q233" i="145"/>
  <c r="S219" i="145"/>
  <c r="Q219" i="145"/>
  <c r="S262" i="145"/>
  <c r="Q262" i="145"/>
  <c r="T239" i="145"/>
  <c r="Z239" i="145"/>
  <c r="Z236" i="145"/>
  <c r="T236" i="145"/>
  <c r="T247" i="145"/>
  <c r="Z247" i="145"/>
  <c r="T233" i="145"/>
  <c r="Z233" i="145"/>
  <c r="T223" i="145"/>
  <c r="Z223" i="145"/>
  <c r="T228" i="145"/>
  <c r="Z228" i="145"/>
  <c r="T218" i="145"/>
  <c r="Z218" i="145"/>
  <c r="S256" i="145"/>
  <c r="Q256" i="145"/>
  <c r="S265" i="145"/>
  <c r="Q265" i="145"/>
  <c r="S244" i="145"/>
  <c r="Q244" i="145"/>
  <c r="S264" i="145"/>
  <c r="Q264" i="145"/>
  <c r="S266" i="145"/>
  <c r="Q266" i="145"/>
  <c r="S214" i="145"/>
  <c r="Q214" i="145"/>
  <c r="T255" i="145"/>
  <c r="Z255" i="145"/>
  <c r="T237" i="145"/>
  <c r="Z237" i="145"/>
  <c r="T222" i="145"/>
  <c r="Z222" i="145"/>
  <c r="T231" i="145"/>
  <c r="Z231" i="145"/>
  <c r="T229" i="145"/>
  <c r="Z229" i="145"/>
  <c r="T215" i="145"/>
  <c r="Z215" i="145"/>
  <c r="T217" i="145"/>
  <c r="Z217" i="145"/>
  <c r="W220" i="145"/>
  <c r="W225" i="145"/>
  <c r="W214" i="145"/>
  <c r="W262" i="145"/>
  <c r="S236" i="145"/>
  <c r="Q236" i="145"/>
  <c r="S227" i="145"/>
  <c r="Q227" i="145"/>
  <c r="S258" i="145"/>
  <c r="Q258" i="145"/>
  <c r="S261" i="145"/>
  <c r="Q261" i="145"/>
  <c r="S255" i="145"/>
  <c r="Q255" i="145"/>
  <c r="S220" i="145"/>
  <c r="Q220" i="145"/>
  <c r="S228" i="145"/>
  <c r="Q228" i="145"/>
  <c r="Z253" i="145"/>
  <c r="T253" i="145"/>
  <c r="Z234" i="145"/>
  <c r="T234" i="145"/>
  <c r="T263" i="145"/>
  <c r="Z263" i="145"/>
  <c r="T257" i="145"/>
  <c r="Z257" i="145"/>
  <c r="T230" i="145"/>
  <c r="Z230" i="145"/>
  <c r="T248" i="145"/>
  <c r="Z248" i="145"/>
  <c r="T250" i="145"/>
  <c r="Z250" i="145"/>
  <c r="S239" i="145"/>
  <c r="Q239" i="145"/>
  <c r="S260" i="145"/>
  <c r="Q260" i="145"/>
  <c r="S221" i="145"/>
  <c r="Q221" i="145"/>
  <c r="S223" i="145"/>
  <c r="Q223" i="145"/>
  <c r="S226" i="145"/>
  <c r="Q226" i="145"/>
  <c r="S248" i="145"/>
  <c r="Q248" i="145"/>
  <c r="W231" i="145"/>
  <c r="W255" i="145"/>
  <c r="W257" i="145"/>
  <c r="Z251" i="145"/>
  <c r="T251" i="145"/>
  <c r="T226" i="145"/>
  <c r="Z226" i="145"/>
  <c r="T252" i="145"/>
  <c r="Z252" i="145"/>
  <c r="T264" i="145"/>
  <c r="Z264" i="145"/>
  <c r="T232" i="145"/>
  <c r="Z232" i="145"/>
  <c r="T221" i="145"/>
  <c r="Z221" i="145"/>
  <c r="T258" i="145"/>
  <c r="Z258" i="145"/>
  <c r="W223" i="145"/>
  <c r="W238" i="145"/>
  <c r="W221" i="145"/>
  <c r="W258" i="145"/>
  <c r="W222" i="145"/>
  <c r="W260" i="145"/>
  <c r="S217" i="145"/>
  <c r="Q217" i="145"/>
  <c r="S243" i="145"/>
  <c r="Q243" i="145"/>
  <c r="S259" i="145"/>
  <c r="Q259" i="145"/>
  <c r="S252" i="145"/>
  <c r="Q252" i="145"/>
  <c r="S263" i="145"/>
  <c r="Q263" i="145"/>
  <c r="S247" i="145"/>
  <c r="Q247" i="145"/>
  <c r="W256" i="145"/>
  <c r="W227" i="145"/>
  <c r="Z246" i="145"/>
  <c r="T246" i="145"/>
  <c r="T245" i="145"/>
  <c r="Z245" i="145"/>
  <c r="T241" i="145"/>
  <c r="Z241" i="145"/>
  <c r="T235" i="145"/>
  <c r="Z235" i="145"/>
  <c r="T242" i="145"/>
  <c r="Z242" i="145"/>
  <c r="T266" i="145"/>
  <c r="Z266" i="145"/>
  <c r="S251" i="145"/>
  <c r="Q251" i="145"/>
  <c r="S253" i="145"/>
  <c r="Q253" i="145"/>
  <c r="S246" i="145"/>
  <c r="Q246" i="145"/>
  <c r="S254" i="145"/>
  <c r="Q254" i="145"/>
  <c r="S232" i="145"/>
  <c r="Q232" i="145"/>
  <c r="S237" i="145"/>
  <c r="Q237" i="145"/>
  <c r="S238" i="145"/>
  <c r="Q238" i="145"/>
  <c r="S216" i="145"/>
  <c r="Q216" i="145"/>
  <c r="N103" i="145"/>
  <c r="N74" i="145"/>
  <c r="N77" i="145"/>
  <c r="N98" i="145"/>
  <c r="N95" i="145"/>
  <c r="N59" i="145"/>
  <c r="N100" i="145"/>
  <c r="N72" i="145"/>
  <c r="N80" i="145"/>
  <c r="N93" i="145"/>
  <c r="N67" i="145"/>
  <c r="N88" i="145"/>
  <c r="N101" i="145"/>
  <c r="N84" i="145"/>
  <c r="N60" i="145"/>
  <c r="N82" i="145"/>
  <c r="N69" i="145"/>
  <c r="N68" i="145"/>
  <c r="N57" i="145"/>
  <c r="N104" i="145"/>
  <c r="N96" i="145"/>
  <c r="N62" i="145"/>
  <c r="N90" i="145"/>
  <c r="N94" i="145"/>
  <c r="N66" i="145"/>
  <c r="N71" i="145"/>
  <c r="N81" i="145"/>
  <c r="N97" i="145"/>
  <c r="N76" i="145"/>
  <c r="N64" i="145"/>
  <c r="N89" i="145"/>
  <c r="O225" i="85"/>
  <c r="AQ225" i="85" s="1"/>
  <c r="O236" i="85"/>
  <c r="AQ236" i="85" s="1"/>
  <c r="O254" i="85"/>
  <c r="AQ254" i="85" s="1"/>
  <c r="O241" i="85"/>
  <c r="AQ241" i="85" s="1"/>
  <c r="O251" i="85"/>
  <c r="AQ251" i="85" s="1"/>
  <c r="O234" i="85"/>
  <c r="AQ234" i="85" s="1"/>
  <c r="O217" i="85"/>
  <c r="AQ217" i="85" s="1"/>
  <c r="O263" i="85"/>
  <c r="AQ263" i="85" s="1"/>
  <c r="O256" i="85"/>
  <c r="AQ256" i="85" s="1"/>
  <c r="O250" i="85"/>
  <c r="AQ250" i="85" s="1"/>
  <c r="O255" i="85"/>
  <c r="AQ255" i="85" s="1"/>
  <c r="O226" i="85"/>
  <c r="AQ226" i="85" s="1"/>
  <c r="O220" i="85"/>
  <c r="AQ220" i="85" s="1"/>
  <c r="O239" i="85"/>
  <c r="AQ239" i="85" s="1"/>
  <c r="O246" i="85"/>
  <c r="AQ246" i="85" s="1"/>
  <c r="O222" i="85"/>
  <c r="AQ222" i="85" s="1"/>
  <c r="O218" i="85"/>
  <c r="AQ218" i="85" s="1"/>
  <c r="O259" i="85"/>
  <c r="AQ259" i="85" s="1"/>
  <c r="O221" i="85"/>
  <c r="AQ221" i="85" s="1"/>
  <c r="O253" i="85"/>
  <c r="AQ253" i="85" s="1"/>
  <c r="O245" i="85"/>
  <c r="AQ245" i="85" s="1"/>
  <c r="O252" i="85"/>
  <c r="AQ252" i="85" s="1"/>
  <c r="O240" i="85"/>
  <c r="AQ240" i="85" s="1"/>
  <c r="O233" i="85"/>
  <c r="AQ233" i="85" s="1"/>
  <c r="O264" i="85"/>
  <c r="AQ264" i="85" s="1"/>
  <c r="O265" i="85"/>
  <c r="AQ265" i="85" s="1"/>
  <c r="O257" i="85"/>
  <c r="AQ257" i="85" s="1"/>
  <c r="O232" i="85"/>
  <c r="AQ232" i="85" s="1"/>
  <c r="O247" i="85"/>
  <c r="AQ247" i="85" s="1"/>
  <c r="O242" i="85"/>
  <c r="AQ242" i="85" s="1"/>
  <c r="O237" i="85"/>
  <c r="AQ237" i="85" s="1"/>
  <c r="O230" i="85"/>
  <c r="AQ230" i="85" s="1"/>
  <c r="O249" i="85"/>
  <c r="AQ249" i="85" s="1"/>
  <c r="O260" i="85"/>
  <c r="AQ260" i="85" s="1"/>
  <c r="O228" i="85"/>
  <c r="AQ228" i="85" s="1"/>
  <c r="O231" i="85"/>
  <c r="AQ231" i="85" s="1"/>
  <c r="O219" i="85"/>
  <c r="AQ219" i="85" s="1"/>
  <c r="O227" i="85"/>
  <c r="AQ227" i="85" s="1"/>
  <c r="O224" i="85"/>
  <c r="AQ224" i="85" s="1"/>
  <c r="O223" i="85"/>
  <c r="AQ223" i="85" s="1"/>
  <c r="O261" i="85"/>
  <c r="AQ261" i="85" s="1"/>
  <c r="O214" i="85"/>
  <c r="AQ214" i="85" s="1"/>
  <c r="O266" i="85"/>
  <c r="AQ266" i="85" s="1"/>
  <c r="O243" i="85"/>
  <c r="AQ243" i="85" s="1"/>
  <c r="O216" i="85"/>
  <c r="AQ216" i="85" s="1"/>
  <c r="O258" i="85"/>
  <c r="AQ258" i="85" s="1"/>
  <c r="O244" i="85"/>
  <c r="AQ244" i="85" s="1"/>
  <c r="O248" i="85"/>
  <c r="AQ248" i="85" s="1"/>
  <c r="O235" i="85"/>
  <c r="AQ235" i="85" s="1"/>
  <c r="O215" i="85"/>
  <c r="AQ215" i="85" s="1"/>
  <c r="O262" i="85"/>
  <c r="AQ262" i="85" s="1"/>
  <c r="O238" i="85"/>
  <c r="AQ238" i="85" s="1"/>
  <c r="O229" i="85"/>
  <c r="AQ229" i="85" s="1"/>
  <c r="N70" i="145"/>
  <c r="N65" i="145"/>
  <c r="N61" i="145"/>
  <c r="N87" i="145"/>
  <c r="N63" i="145"/>
  <c r="N78" i="145"/>
  <c r="N58" i="145"/>
  <c r="N83" i="145"/>
  <c r="N75" i="145"/>
  <c r="N73" i="145"/>
  <c r="W79" i="145"/>
  <c r="W92" i="145"/>
  <c r="Z80" i="145"/>
  <c r="W78" i="145"/>
  <c r="W83" i="145"/>
  <c r="T95" i="145"/>
  <c r="T79" i="145"/>
  <c r="W58" i="145"/>
  <c r="W77" i="145"/>
  <c r="Z73" i="145"/>
  <c r="W76" i="145"/>
  <c r="W73" i="145"/>
  <c r="Z76" i="145"/>
  <c r="Z77" i="145"/>
  <c r="Z101" i="145"/>
  <c r="AJ101" i="145" s="1"/>
  <c r="T58" i="145"/>
  <c r="W104" i="145"/>
  <c r="W75" i="145"/>
  <c r="T80" i="145"/>
  <c r="Z92" i="145"/>
  <c r="Z78" i="145"/>
  <c r="Z75" i="145"/>
  <c r="W101" i="145"/>
  <c r="Z99" i="145"/>
  <c r="W99" i="145"/>
  <c r="W70" i="145"/>
  <c r="Z81" i="145"/>
  <c r="Z83" i="145"/>
  <c r="Z70" i="145"/>
  <c r="W81" i="145"/>
  <c r="W95" i="145"/>
  <c r="Z104" i="145"/>
  <c r="W103" i="145"/>
  <c r="Z82" i="145"/>
  <c r="W82" i="145"/>
  <c r="Z103" i="145"/>
  <c r="I12" i="188"/>
  <c r="L12" i="188"/>
  <c r="L112" i="188"/>
  <c r="O12" i="188"/>
  <c r="AJ11" i="188"/>
  <c r="AJ12" i="188" s="1"/>
  <c r="L111" i="188"/>
  <c r="Z100" i="145"/>
  <c r="T100" i="145"/>
  <c r="T60" i="145"/>
  <c r="Z60" i="145"/>
  <c r="S68" i="145"/>
  <c r="Q68" i="145"/>
  <c r="S99" i="145"/>
  <c r="Q99" i="145"/>
  <c r="S75" i="145"/>
  <c r="Q75" i="145"/>
  <c r="S70" i="145"/>
  <c r="Q70" i="145"/>
  <c r="S96" i="145"/>
  <c r="Q96" i="145"/>
  <c r="W1" i="189"/>
  <c r="Q54" i="85" s="1"/>
  <c r="AS54" i="85" s="1"/>
  <c r="L107" i="188"/>
  <c r="S59" i="145"/>
  <c r="Q59" i="145"/>
  <c r="S105" i="145"/>
  <c r="S101" i="145"/>
  <c r="Q101" i="145"/>
  <c r="S104" i="145"/>
  <c r="Q104" i="145"/>
  <c r="G11" i="188"/>
  <c r="G12" i="188" s="1"/>
  <c r="V11" i="188"/>
  <c r="V12" i="188" s="1"/>
  <c r="S84" i="145"/>
  <c r="Q84" i="145"/>
  <c r="S79" i="145"/>
  <c r="Q79" i="145"/>
  <c r="S77" i="145"/>
  <c r="Q77" i="145"/>
  <c r="S78" i="145"/>
  <c r="Q78" i="145"/>
  <c r="S63" i="145"/>
  <c r="Q63" i="145"/>
  <c r="S106" i="145"/>
  <c r="S93" i="145"/>
  <c r="Q93" i="145"/>
  <c r="S76" i="145"/>
  <c r="Q76" i="145"/>
  <c r="S60" i="145"/>
  <c r="Q60" i="145"/>
  <c r="S103" i="145"/>
  <c r="Q103" i="145"/>
  <c r="S83" i="145"/>
  <c r="Q83" i="145"/>
  <c r="S67" i="145"/>
  <c r="Q67" i="145"/>
  <c r="S73" i="145"/>
  <c r="Q73" i="145"/>
  <c r="S94" i="145"/>
  <c r="Q94" i="145"/>
  <c r="S80" i="145"/>
  <c r="Q80" i="145"/>
  <c r="S100" i="145"/>
  <c r="Q100" i="145"/>
  <c r="S86" i="145"/>
  <c r="Q86" i="145"/>
  <c r="S88" i="145"/>
  <c r="Q88" i="145"/>
  <c r="S98" i="145"/>
  <c r="Q98" i="145"/>
  <c r="S61" i="145"/>
  <c r="Q61" i="145"/>
  <c r="S71" i="145"/>
  <c r="Q71" i="145"/>
  <c r="S82" i="145"/>
  <c r="Q82" i="145"/>
  <c r="L108" i="188"/>
  <c r="L109" i="188"/>
  <c r="L115" i="188" s="1"/>
  <c r="S87" i="145"/>
  <c r="Q87" i="145"/>
  <c r="S65" i="145"/>
  <c r="Q65" i="145"/>
  <c r="S90" i="145"/>
  <c r="Q90" i="145"/>
  <c r="S62" i="145"/>
  <c r="Q62" i="145"/>
  <c r="AH11" i="188"/>
  <c r="AH12" i="188" s="1"/>
  <c r="L110" i="188"/>
  <c r="S92" i="145"/>
  <c r="Q92" i="145"/>
  <c r="S95" i="145"/>
  <c r="Q95" i="145"/>
  <c r="S58" i="145"/>
  <c r="Q58" i="145"/>
  <c r="S74" i="145"/>
  <c r="Q74" i="145"/>
  <c r="S66" i="145"/>
  <c r="Q66" i="145"/>
  <c r="S64" i="145"/>
  <c r="Q64" i="145"/>
  <c r="S85" i="145"/>
  <c r="Q85" i="145"/>
  <c r="S57" i="145"/>
  <c r="Q57" i="145"/>
  <c r="S69" i="145"/>
  <c r="Q69" i="145"/>
  <c r="S91" i="145"/>
  <c r="Q91" i="145"/>
  <c r="S102" i="145"/>
  <c r="Q102" i="145"/>
  <c r="S97" i="145"/>
  <c r="Q97" i="145"/>
  <c r="S89" i="145"/>
  <c r="Q89" i="145"/>
  <c r="S72" i="145"/>
  <c r="Q72" i="145"/>
  <c r="S81" i="145"/>
  <c r="Q81" i="145"/>
  <c r="O75" i="85"/>
  <c r="AQ75" i="85" s="1"/>
  <c r="O58" i="85"/>
  <c r="AQ58" i="85" s="1"/>
  <c r="O90" i="85"/>
  <c r="AQ90" i="85" s="1"/>
  <c r="O83" i="85"/>
  <c r="AQ83" i="85" s="1"/>
  <c r="O104" i="85"/>
  <c r="AQ104" i="85" s="1"/>
  <c r="O86" i="85"/>
  <c r="AQ86" i="85" s="1"/>
  <c r="O89" i="85"/>
  <c r="AQ89" i="85" s="1"/>
  <c r="O82" i="85"/>
  <c r="AQ82" i="85" s="1"/>
  <c r="O95" i="85"/>
  <c r="AQ95" i="85" s="1"/>
  <c r="O65" i="85"/>
  <c r="AQ65" i="85" s="1"/>
  <c r="O100" i="85"/>
  <c r="AQ100" i="85" s="1"/>
  <c r="O87" i="85"/>
  <c r="AQ87" i="85" s="1"/>
  <c r="O68" i="85"/>
  <c r="AQ68" i="85" s="1"/>
  <c r="O80" i="85"/>
  <c r="AQ80" i="85" s="1"/>
  <c r="O77" i="85"/>
  <c r="AQ77" i="85" s="1"/>
  <c r="O97" i="85"/>
  <c r="AQ97" i="85" s="1"/>
  <c r="O103" i="85"/>
  <c r="AQ103" i="85" s="1"/>
  <c r="O63" i="85"/>
  <c r="AQ63" i="85" s="1"/>
  <c r="O92" i="85"/>
  <c r="AQ92" i="85" s="1"/>
  <c r="O74" i="85"/>
  <c r="AQ74" i="85" s="1"/>
  <c r="O67" i="85"/>
  <c r="AQ67" i="85" s="1"/>
  <c r="O69" i="85"/>
  <c r="AQ69" i="85" s="1"/>
  <c r="O73" i="85"/>
  <c r="AQ73" i="85" s="1"/>
  <c r="O96" i="85"/>
  <c r="AQ96" i="85" s="1"/>
  <c r="O60" i="85"/>
  <c r="AQ60" i="85" s="1"/>
  <c r="O72" i="85"/>
  <c r="AQ72" i="85" s="1"/>
  <c r="O78" i="85"/>
  <c r="AQ78" i="85" s="1"/>
  <c r="O76" i="85"/>
  <c r="AQ76" i="85" s="1"/>
  <c r="O98" i="85"/>
  <c r="AQ98" i="85" s="1"/>
  <c r="O61" i="85"/>
  <c r="AQ61" i="85" s="1"/>
  <c r="O94" i="85"/>
  <c r="AQ94" i="85" s="1"/>
  <c r="O106" i="85"/>
  <c r="AQ106" i="85" s="1"/>
  <c r="O66" i="85"/>
  <c r="AQ66" i="85" s="1"/>
  <c r="O93" i="85"/>
  <c r="AQ93" i="85" s="1"/>
  <c r="O59" i="85"/>
  <c r="AQ59" i="85" s="1"/>
  <c r="O85" i="85"/>
  <c r="AQ85" i="85" s="1"/>
  <c r="O81" i="85"/>
  <c r="AQ81" i="85" s="1"/>
  <c r="O99" i="85"/>
  <c r="AQ99" i="85" s="1"/>
  <c r="O70" i="85"/>
  <c r="AQ70" i="85" s="1"/>
  <c r="O84" i="85"/>
  <c r="AQ84" i="85" s="1"/>
  <c r="O79" i="85"/>
  <c r="AQ79" i="85" s="1"/>
  <c r="O91" i="85"/>
  <c r="AQ91" i="85" s="1"/>
  <c r="O102" i="85"/>
  <c r="AQ102" i="85" s="1"/>
  <c r="O88" i="85"/>
  <c r="AQ88" i="85" s="1"/>
  <c r="O57" i="85"/>
  <c r="O64" i="85"/>
  <c r="AQ64" i="85" s="1"/>
  <c r="O62" i="85"/>
  <c r="AQ62" i="85" s="1"/>
  <c r="O71" i="85"/>
  <c r="AQ71" i="85" s="1"/>
  <c r="AR50" i="85"/>
  <c r="AX24" i="188"/>
  <c r="AY33" i="188"/>
  <c r="AX40" i="188"/>
  <c r="AY41" i="188"/>
  <c r="AX48" i="188"/>
  <c r="AY49" i="188"/>
  <c r="AY57" i="188"/>
  <c r="AZ60" i="188"/>
  <c r="AX39" i="188"/>
  <c r="AX47" i="188"/>
  <c r="AX55" i="188"/>
  <c r="AX63" i="188"/>
  <c r="AX71" i="188"/>
  <c r="AY65" i="188"/>
  <c r="AZ68" i="188"/>
  <c r="AX61" i="188"/>
  <c r="AY24" i="188"/>
  <c r="AY42" i="188"/>
  <c r="AY50" i="188"/>
  <c r="AX30" i="188"/>
  <c r="AZ34" i="188"/>
  <c r="AX38" i="188"/>
  <c r="AY39" i="188"/>
  <c r="AY55" i="188"/>
  <c r="AZ58" i="188"/>
  <c r="AY63" i="188"/>
  <c r="AZ66" i="188"/>
  <c r="AY71" i="188"/>
  <c r="AX69" i="188"/>
  <c r="AZ35" i="188"/>
  <c r="AZ51" i="188"/>
  <c r="AX37" i="188"/>
  <c r="AY29" i="188"/>
  <c r="AY31" i="188"/>
  <c r="AX36" i="188"/>
  <c r="AY37" i="188"/>
  <c r="AX44" i="188"/>
  <c r="AY45" i="188"/>
  <c r="AX52" i="188"/>
  <c r="AY53" i="188"/>
  <c r="AZ56" i="188"/>
  <c r="AY61" i="188"/>
  <c r="AZ64" i="188"/>
  <c r="AY69" i="188"/>
  <c r="AZ43" i="188"/>
  <c r="AX31" i="188"/>
  <c r="AY48" i="188"/>
  <c r="AY30" i="188"/>
  <c r="AX35" i="188"/>
  <c r="AY38" i="188"/>
  <c r="AZ39" i="188"/>
  <c r="AZ47" i="188"/>
  <c r="AX59" i="188"/>
  <c r="AX67" i="188"/>
  <c r="AX50" i="188"/>
  <c r="AX53" i="188"/>
  <c r="AX26" i="188"/>
  <c r="AY35" i="188"/>
  <c r="AZ38" i="188"/>
  <c r="AY43" i="188"/>
  <c r="AZ46" i="188"/>
  <c r="AY51" i="188"/>
  <c r="AZ54" i="188"/>
  <c r="AY59" i="188"/>
  <c r="AZ62" i="188"/>
  <c r="AY67" i="188"/>
  <c r="AZ70" i="188"/>
  <c r="AY40" i="188"/>
  <c r="AX45" i="188"/>
  <c r="AX27" i="188"/>
  <c r="AZ29" i="188"/>
  <c r="AX33" i="188"/>
  <c r="AY36" i="188"/>
  <c r="AX41" i="188"/>
  <c r="AY44" i="188"/>
  <c r="AX49" i="188"/>
  <c r="AY52" i="188"/>
  <c r="AX57" i="188"/>
  <c r="AX65" i="188"/>
  <c r="AZ24" i="188"/>
  <c r="AZ31" i="188"/>
  <c r="AX25" i="188"/>
  <c r="AX28" i="188"/>
  <c r="AY28" i="188"/>
  <c r="AY25" i="188"/>
  <c r="AY32" i="188"/>
  <c r="AZ26" i="188"/>
  <c r="AZ27" i="188"/>
  <c r="S11" i="188"/>
  <c r="S12" i="188" s="1"/>
  <c r="AZ25" i="188"/>
  <c r="AZ30" i="188"/>
  <c r="AX34" i="188"/>
  <c r="AX43" i="188"/>
  <c r="AY46" i="188"/>
  <c r="AY47" i="188"/>
  <c r="AZ50" i="188"/>
  <c r="AZ42" i="188"/>
  <c r="AX46" i="188"/>
  <c r="X12" i="188"/>
  <c r="Y11" i="188"/>
  <c r="Y12" i="188" s="1"/>
  <c r="AY27" i="188"/>
  <c r="AY34" i="188"/>
  <c r="AX42" i="188"/>
  <c r="AI12" i="188"/>
  <c r="AL11" i="188"/>
  <c r="AF12" i="188"/>
  <c r="AX29" i="188"/>
  <c r="AZ28" i="188"/>
  <c r="AX51" i="188"/>
  <c r="AX54" i="188"/>
  <c r="AX56" i="188"/>
  <c r="AX58" i="188"/>
  <c r="AX60" i="188"/>
  <c r="AX62" i="188"/>
  <c r="AX64" i="188"/>
  <c r="AX66" i="188"/>
  <c r="AX68" i="188"/>
  <c r="AX70" i="188"/>
  <c r="AY72" i="188"/>
  <c r="AY26" i="188"/>
  <c r="AX32" i="188"/>
  <c r="AZ33" i="188"/>
  <c r="AZ37" i="188"/>
  <c r="AZ41" i="188"/>
  <c r="AZ45" i="188"/>
  <c r="AZ49" i="188"/>
  <c r="AZ53" i="188"/>
  <c r="AZ55" i="188"/>
  <c r="AZ57" i="188"/>
  <c r="AZ59" i="188"/>
  <c r="AZ61" i="188"/>
  <c r="AZ63" i="188"/>
  <c r="AZ65" i="188"/>
  <c r="AZ67" i="188"/>
  <c r="AZ69" i="188"/>
  <c r="AZ71" i="188"/>
  <c r="AX72" i="188"/>
  <c r="AZ32" i="188"/>
  <c r="AZ36" i="188"/>
  <c r="AZ40" i="188"/>
  <c r="AZ44" i="188"/>
  <c r="AZ48" i="188"/>
  <c r="AZ52" i="188"/>
  <c r="AY54" i="188"/>
  <c r="AY56" i="188"/>
  <c r="AY58" i="188"/>
  <c r="AY60" i="188"/>
  <c r="AY62" i="188"/>
  <c r="AY64" i="188"/>
  <c r="AY66" i="188"/>
  <c r="AY68" i="188"/>
  <c r="AY70" i="188"/>
  <c r="AZ72" i="188"/>
  <c r="L116" i="188"/>
  <c r="E116" i="188"/>
  <c r="AQ57" i="85" l="1"/>
  <c r="AM11" i="188"/>
  <c r="AM12" i="188" s="1"/>
  <c r="Q105" i="85"/>
  <c r="AS105" i="85" s="1"/>
  <c r="Q101" i="85"/>
  <c r="AS101" i="85" s="1"/>
  <c r="P230" i="85"/>
  <c r="AR230" i="85" s="1"/>
  <c r="P251" i="85"/>
  <c r="AR251" i="85" s="1"/>
  <c r="P256" i="85"/>
  <c r="AR256" i="85" s="1"/>
  <c r="P255" i="85"/>
  <c r="AR255" i="85" s="1"/>
  <c r="P250" i="85"/>
  <c r="AR250" i="85" s="1"/>
  <c r="P246" i="85"/>
  <c r="AR246" i="85" s="1"/>
  <c r="P266" i="85"/>
  <c r="AR266" i="85" s="1"/>
  <c r="P245" i="85"/>
  <c r="AR245" i="85" s="1"/>
  <c r="P241" i="85"/>
  <c r="AR241" i="85" s="1"/>
  <c r="P236" i="85"/>
  <c r="AR236" i="85" s="1"/>
  <c r="P226" i="85"/>
  <c r="AR226" i="85" s="1"/>
  <c r="P220" i="85"/>
  <c r="AR220" i="85" s="1"/>
  <c r="P214" i="85"/>
  <c r="AR214" i="85" s="1"/>
  <c r="P254" i="85"/>
  <c r="AR254" i="85" s="1"/>
  <c r="P239" i="85"/>
  <c r="AR239" i="85" s="1"/>
  <c r="P222" i="85"/>
  <c r="AR222" i="85" s="1"/>
  <c r="P252" i="85"/>
  <c r="AR252" i="85" s="1"/>
  <c r="P253" i="85"/>
  <c r="AR253" i="85" s="1"/>
  <c r="P237" i="85"/>
  <c r="AR237" i="85" s="1"/>
  <c r="P217" i="85"/>
  <c r="AR217" i="85" s="1"/>
  <c r="P218" i="85"/>
  <c r="AR218" i="85" s="1"/>
  <c r="P263" i="85"/>
  <c r="AR263" i="85" s="1"/>
  <c r="P225" i="85"/>
  <c r="AR225" i="85" s="1"/>
  <c r="P221" i="85"/>
  <c r="AR221" i="85" s="1"/>
  <c r="P234" i="85"/>
  <c r="AR234" i="85" s="1"/>
  <c r="P249" i="85"/>
  <c r="AR249" i="85" s="1"/>
  <c r="P261" i="85"/>
  <c r="AR261" i="85" s="1"/>
  <c r="P240" i="85"/>
  <c r="AR240" i="85" s="1"/>
  <c r="P233" i="85"/>
  <c r="AR233" i="85" s="1"/>
  <c r="P215" i="85"/>
  <c r="AR215" i="85" s="1"/>
  <c r="P231" i="85"/>
  <c r="AR231" i="85" s="1"/>
  <c r="P258" i="85"/>
  <c r="AR258" i="85" s="1"/>
  <c r="P247" i="85"/>
  <c r="AR247" i="85" s="1"/>
  <c r="P235" i="85"/>
  <c r="AR235" i="85" s="1"/>
  <c r="P264" i="85"/>
  <c r="AR264" i="85" s="1"/>
  <c r="P262" i="85"/>
  <c r="AR262" i="85" s="1"/>
  <c r="P223" i="85"/>
  <c r="AR223" i="85" s="1"/>
  <c r="P265" i="85"/>
  <c r="AR265" i="85" s="1"/>
  <c r="P260" i="85"/>
  <c r="AR260" i="85" s="1"/>
  <c r="P248" i="85"/>
  <c r="AR248" i="85" s="1"/>
  <c r="P229" i="85"/>
  <c r="AR229" i="85" s="1"/>
  <c r="P227" i="85"/>
  <c r="AR227" i="85" s="1"/>
  <c r="P257" i="85"/>
  <c r="AR257" i="85" s="1"/>
  <c r="P242" i="85"/>
  <c r="AR242" i="85" s="1"/>
  <c r="P228" i="85"/>
  <c r="AR228" i="85" s="1"/>
  <c r="P238" i="85"/>
  <c r="AR238" i="85" s="1"/>
  <c r="P219" i="85"/>
  <c r="AR219" i="85" s="1"/>
  <c r="P224" i="85"/>
  <c r="AR224" i="85" s="1"/>
  <c r="P259" i="85"/>
  <c r="AR259" i="85" s="1"/>
  <c r="P244" i="85"/>
  <c r="AR244" i="85" s="1"/>
  <c r="P243" i="85"/>
  <c r="AR243" i="85" s="1"/>
  <c r="P232" i="85"/>
  <c r="AR232" i="85" s="1"/>
  <c r="P216" i="85"/>
  <c r="AR216" i="85" s="1"/>
  <c r="AK11" i="188"/>
  <c r="AP11" i="188"/>
  <c r="AP12" i="188" s="1"/>
  <c r="I60" i="108"/>
  <c r="I62" i="108"/>
  <c r="I61" i="108"/>
  <c r="P77" i="85"/>
  <c r="AR77" i="85" s="1"/>
  <c r="P69" i="85"/>
  <c r="AR69" i="85" s="1"/>
  <c r="P87" i="85"/>
  <c r="AR87" i="85" s="1"/>
  <c r="P58" i="85"/>
  <c r="AR58" i="85" s="1"/>
  <c r="P104" i="85"/>
  <c r="AR104" i="85" s="1"/>
  <c r="P76" i="85"/>
  <c r="AR76" i="85" s="1"/>
  <c r="P82" i="85"/>
  <c r="AR82" i="85" s="1"/>
  <c r="P78" i="85"/>
  <c r="AR78" i="85" s="1"/>
  <c r="P90" i="85"/>
  <c r="AR90" i="85" s="1"/>
  <c r="P80" i="85"/>
  <c r="AR80" i="85" s="1"/>
  <c r="P86" i="85"/>
  <c r="AR86" i="85" s="1"/>
  <c r="P95" i="85"/>
  <c r="AR95" i="85" s="1"/>
  <c r="P75" i="85"/>
  <c r="AR75" i="85" s="1"/>
  <c r="P100" i="85"/>
  <c r="AR100" i="85" s="1"/>
  <c r="P89" i="85"/>
  <c r="AR89" i="85" s="1"/>
  <c r="P68" i="85"/>
  <c r="AR68" i="85" s="1"/>
  <c r="P92" i="85"/>
  <c r="AR92" i="85" s="1"/>
  <c r="P72" i="85"/>
  <c r="AR72" i="85" s="1"/>
  <c r="P64" i="85"/>
  <c r="AR64" i="85" s="1"/>
  <c r="P70" i="85"/>
  <c r="AR70" i="85" s="1"/>
  <c r="P83" i="85"/>
  <c r="AR83" i="85" s="1"/>
  <c r="P97" i="85"/>
  <c r="AR97" i="85" s="1"/>
  <c r="P59" i="85"/>
  <c r="AR59" i="85" s="1"/>
  <c r="P62" i="85"/>
  <c r="AR62" i="85" s="1"/>
  <c r="P66" i="85"/>
  <c r="AR66" i="85" s="1"/>
  <c r="P73" i="85"/>
  <c r="AR73" i="85" s="1"/>
  <c r="P84" i="85"/>
  <c r="AR84" i="85" s="1"/>
  <c r="P71" i="85"/>
  <c r="AR71" i="85" s="1"/>
  <c r="P94" i="85"/>
  <c r="AR94" i="85" s="1"/>
  <c r="P79" i="85"/>
  <c r="AR79" i="85" s="1"/>
  <c r="P96" i="85"/>
  <c r="AR96" i="85" s="1"/>
  <c r="P60" i="85"/>
  <c r="AR60" i="85" s="1"/>
  <c r="P88" i="85"/>
  <c r="AR88" i="85" s="1"/>
  <c r="P65" i="85"/>
  <c r="AR65" i="85" s="1"/>
  <c r="P99" i="85"/>
  <c r="AR99" i="85" s="1"/>
  <c r="P102" i="85"/>
  <c r="AR102" i="85" s="1"/>
  <c r="P103" i="85"/>
  <c r="AR103" i="85" s="1"/>
  <c r="P98" i="85"/>
  <c r="AR98" i="85" s="1"/>
  <c r="P91" i="85"/>
  <c r="AR91" i="85" s="1"/>
  <c r="P63" i="85"/>
  <c r="AR63" i="85" s="1"/>
  <c r="P57" i="85"/>
  <c r="P93" i="85"/>
  <c r="AR93" i="85" s="1"/>
  <c r="P81" i="85"/>
  <c r="AR81" i="85" s="1"/>
  <c r="P106" i="85"/>
  <c r="AR106" i="85" s="1"/>
  <c r="P67" i="85"/>
  <c r="AR67" i="85" s="1"/>
  <c r="P74" i="85"/>
  <c r="AR74" i="85" s="1"/>
  <c r="P85" i="85"/>
  <c r="AR85" i="85" s="1"/>
  <c r="P61" i="85"/>
  <c r="AR61" i="85" s="1"/>
  <c r="X1" i="189"/>
  <c r="R54" i="85" s="1"/>
  <c r="AT54" i="85" s="1"/>
  <c r="I59" i="108"/>
  <c r="AS50" i="85"/>
  <c r="AN11" i="188"/>
  <c r="AK12" i="188"/>
  <c r="AL12" i="188"/>
  <c r="AO11" i="188"/>
  <c r="AR57" i="85" l="1"/>
  <c r="AS11" i="188"/>
  <c r="R105" i="85"/>
  <c r="AT105" i="85" s="1"/>
  <c r="R101" i="85"/>
  <c r="AT101" i="85" s="1"/>
  <c r="AT50" i="85"/>
  <c r="AU50" i="85" s="1"/>
  <c r="AV50" i="85" s="1"/>
  <c r="AW50" i="85" s="1"/>
  <c r="Q218" i="85"/>
  <c r="AS218" i="85" s="1"/>
  <c r="Q259" i="85"/>
  <c r="AS259" i="85" s="1"/>
  <c r="Q226" i="85"/>
  <c r="AS226" i="85" s="1"/>
  <c r="Q217" i="85"/>
  <c r="AS217" i="85" s="1"/>
  <c r="Q234" i="85"/>
  <c r="AS234" i="85" s="1"/>
  <c r="Q258" i="85"/>
  <c r="AS258" i="85" s="1"/>
  <c r="Q239" i="85"/>
  <c r="AS239" i="85" s="1"/>
  <c r="Q222" i="85"/>
  <c r="AS222" i="85" s="1"/>
  <c r="Q237" i="85"/>
  <c r="AS237" i="85" s="1"/>
  <c r="Q230" i="85"/>
  <c r="AS230" i="85" s="1"/>
  <c r="Q255" i="85"/>
  <c r="AS255" i="85" s="1"/>
  <c r="Q221" i="85"/>
  <c r="AS221" i="85" s="1"/>
  <c r="Q241" i="85"/>
  <c r="AS241" i="85" s="1"/>
  <c r="Q250" i="85"/>
  <c r="AS250" i="85" s="1"/>
  <c r="Q251" i="85"/>
  <c r="AS251" i="85" s="1"/>
  <c r="Q246" i="85"/>
  <c r="AS246" i="85" s="1"/>
  <c r="Q263" i="85"/>
  <c r="AS263" i="85" s="1"/>
  <c r="Q266" i="85"/>
  <c r="AS266" i="85" s="1"/>
  <c r="Q236" i="85"/>
  <c r="AS236" i="85" s="1"/>
  <c r="Q220" i="85"/>
  <c r="AS220" i="85" s="1"/>
  <c r="Q225" i="85"/>
  <c r="AS225" i="85" s="1"/>
  <c r="Q245" i="85"/>
  <c r="AS245" i="85" s="1"/>
  <c r="Q254" i="85"/>
  <c r="AS254" i="85" s="1"/>
  <c r="Q252" i="85"/>
  <c r="AS252" i="85" s="1"/>
  <c r="Q253" i="85"/>
  <c r="AS253" i="85" s="1"/>
  <c r="Q224" i="85"/>
  <c r="AS224" i="85" s="1"/>
  <c r="Q231" i="85"/>
  <c r="AS231" i="85" s="1"/>
  <c r="Q256" i="85"/>
  <c r="AS256" i="85" s="1"/>
  <c r="Q216" i="85"/>
  <c r="AS216" i="85" s="1"/>
  <c r="Q233" i="85"/>
  <c r="AS233" i="85" s="1"/>
  <c r="Q242" i="85"/>
  <c r="AS242" i="85" s="1"/>
  <c r="Q261" i="85"/>
  <c r="AS261" i="85" s="1"/>
  <c r="Q257" i="85"/>
  <c r="AS257" i="85" s="1"/>
  <c r="Q240" i="85"/>
  <c r="AS240" i="85" s="1"/>
  <c r="Q264" i="85"/>
  <c r="AS264" i="85" s="1"/>
  <c r="Q247" i="85"/>
  <c r="AS247" i="85" s="1"/>
  <c r="Q235" i="85"/>
  <c r="AS235" i="85" s="1"/>
  <c r="Q265" i="85"/>
  <c r="AS265" i="85" s="1"/>
  <c r="Q229" i="85"/>
  <c r="AS229" i="85" s="1"/>
  <c r="Q227" i="85"/>
  <c r="AS227" i="85" s="1"/>
  <c r="Q249" i="85"/>
  <c r="AS249" i="85" s="1"/>
  <c r="Q219" i="85"/>
  <c r="AS219" i="85" s="1"/>
  <c r="Q260" i="85"/>
  <c r="AS260" i="85" s="1"/>
  <c r="Q232" i="85"/>
  <c r="AS232" i="85" s="1"/>
  <c r="Q248" i="85"/>
  <c r="AS248" i="85" s="1"/>
  <c r="Q262" i="85"/>
  <c r="AS262" i="85" s="1"/>
  <c r="Q244" i="85"/>
  <c r="AS244" i="85" s="1"/>
  <c r="Q228" i="85"/>
  <c r="AS228" i="85" s="1"/>
  <c r="Q215" i="85"/>
  <c r="AS215" i="85" s="1"/>
  <c r="Q223" i="85"/>
  <c r="AS223" i="85" s="1"/>
  <c r="Q214" i="85"/>
  <c r="AS214" i="85" s="1"/>
  <c r="Q243" i="85"/>
  <c r="AS243" i="85" s="1"/>
  <c r="Q238" i="85"/>
  <c r="AS238" i="85" s="1"/>
  <c r="Y1" i="189"/>
  <c r="S54" i="85" s="1"/>
  <c r="AU54" i="85" s="1"/>
  <c r="Q69" i="85"/>
  <c r="AS69" i="85" s="1"/>
  <c r="Q68" i="85"/>
  <c r="AS68" i="85" s="1"/>
  <c r="Q90" i="85"/>
  <c r="AS90" i="85" s="1"/>
  <c r="Q83" i="85"/>
  <c r="AS83" i="85" s="1"/>
  <c r="Q97" i="85"/>
  <c r="AS97" i="85" s="1"/>
  <c r="Q103" i="85"/>
  <c r="AS103" i="85" s="1"/>
  <c r="Q87" i="85"/>
  <c r="AS87" i="85" s="1"/>
  <c r="Q100" i="85"/>
  <c r="AS100" i="85" s="1"/>
  <c r="Q89" i="85"/>
  <c r="AS89" i="85" s="1"/>
  <c r="Q58" i="85"/>
  <c r="AS58" i="85" s="1"/>
  <c r="Q82" i="85"/>
  <c r="AS82" i="85" s="1"/>
  <c r="Q78" i="85"/>
  <c r="AS78" i="85" s="1"/>
  <c r="Q80" i="85"/>
  <c r="AS80" i="85" s="1"/>
  <c r="Q86" i="85"/>
  <c r="AS86" i="85" s="1"/>
  <c r="Q76" i="85"/>
  <c r="AS76" i="85" s="1"/>
  <c r="Q75" i="85"/>
  <c r="AS75" i="85" s="1"/>
  <c r="Q77" i="85"/>
  <c r="AS77" i="85" s="1"/>
  <c r="Q65" i="85"/>
  <c r="AS65" i="85" s="1"/>
  <c r="Q95" i="85"/>
  <c r="AS95" i="85" s="1"/>
  <c r="Q93" i="85"/>
  <c r="AS93" i="85" s="1"/>
  <c r="Q91" i="85"/>
  <c r="AS91" i="85" s="1"/>
  <c r="Q84" i="85"/>
  <c r="AS84" i="85" s="1"/>
  <c r="Q96" i="85"/>
  <c r="AS96" i="85" s="1"/>
  <c r="Q106" i="85"/>
  <c r="AS106" i="85" s="1"/>
  <c r="Q67" i="85"/>
  <c r="AS67" i="85" s="1"/>
  <c r="Q104" i="85"/>
  <c r="AS104" i="85" s="1"/>
  <c r="Q72" i="85"/>
  <c r="AS72" i="85" s="1"/>
  <c r="Q73" i="85"/>
  <c r="AS73" i="85" s="1"/>
  <c r="Q64" i="85"/>
  <c r="AS64" i="85" s="1"/>
  <c r="Q92" i="85"/>
  <c r="AS92" i="85" s="1"/>
  <c r="Q62" i="85"/>
  <c r="AS62" i="85" s="1"/>
  <c r="Q66" i="85"/>
  <c r="AS66" i="85" s="1"/>
  <c r="Q79" i="85"/>
  <c r="AS79" i="85" s="1"/>
  <c r="Q74" i="85"/>
  <c r="AS74" i="85" s="1"/>
  <c r="Q94" i="85"/>
  <c r="AS94" i="85" s="1"/>
  <c r="Q98" i="85"/>
  <c r="AS98" i="85" s="1"/>
  <c r="Q57" i="85"/>
  <c r="Q102" i="85"/>
  <c r="AS102" i="85" s="1"/>
  <c r="Q85" i="85"/>
  <c r="AS85" i="85" s="1"/>
  <c r="Q81" i="85"/>
  <c r="AS81" i="85" s="1"/>
  <c r="Q61" i="85"/>
  <c r="AS61" i="85" s="1"/>
  <c r="Q71" i="85"/>
  <c r="AS71" i="85" s="1"/>
  <c r="Q99" i="85"/>
  <c r="AS99" i="85" s="1"/>
  <c r="Q63" i="85"/>
  <c r="AS63" i="85" s="1"/>
  <c r="Q59" i="85"/>
  <c r="AS59" i="85" s="1"/>
  <c r="Q60" i="85"/>
  <c r="AS60" i="85" s="1"/>
  <c r="Q70" i="85"/>
  <c r="AS70" i="85" s="1"/>
  <c r="Q88" i="85"/>
  <c r="AS88" i="85" s="1"/>
  <c r="AS12" i="188"/>
  <c r="AV11" i="188"/>
  <c r="AV12" i="188" s="1"/>
  <c r="AR11" i="188"/>
  <c r="AO12" i="188"/>
  <c r="AQ11" i="188"/>
  <c r="AN12" i="188"/>
  <c r="AX50" i="85" l="1"/>
  <c r="AS57" i="85"/>
  <c r="S105" i="85"/>
  <c r="AU105" i="85" s="1"/>
  <c r="S101" i="85"/>
  <c r="AU101" i="85" s="1"/>
  <c r="R225" i="85"/>
  <c r="AT225" i="85" s="1"/>
  <c r="R254" i="85"/>
  <c r="AT254" i="85" s="1"/>
  <c r="R218" i="85"/>
  <c r="AT218" i="85" s="1"/>
  <c r="R245" i="85"/>
  <c r="AT245" i="85" s="1"/>
  <c r="R251" i="85"/>
  <c r="AT251" i="85" s="1"/>
  <c r="R217" i="85"/>
  <c r="AT217" i="85" s="1"/>
  <c r="R239" i="85"/>
  <c r="AT239" i="85" s="1"/>
  <c r="R236" i="85"/>
  <c r="AT236" i="85" s="1"/>
  <c r="R226" i="85"/>
  <c r="AT226" i="85" s="1"/>
  <c r="R266" i="85"/>
  <c r="AT266" i="85" s="1"/>
  <c r="R258" i="85"/>
  <c r="AT258" i="85" s="1"/>
  <c r="R253" i="85"/>
  <c r="AT253" i="85" s="1"/>
  <c r="R241" i="85"/>
  <c r="AT241" i="85" s="1"/>
  <c r="R234" i="85"/>
  <c r="AT234" i="85" s="1"/>
  <c r="R250" i="85"/>
  <c r="AT250" i="85" s="1"/>
  <c r="R246" i="85"/>
  <c r="AT246" i="85" s="1"/>
  <c r="R221" i="85"/>
  <c r="AT221" i="85" s="1"/>
  <c r="R220" i="85"/>
  <c r="AT220" i="85" s="1"/>
  <c r="R255" i="85"/>
  <c r="AT255" i="85" s="1"/>
  <c r="R263" i="85"/>
  <c r="AT263" i="85" s="1"/>
  <c r="R222" i="85"/>
  <c r="AT222" i="85" s="1"/>
  <c r="R252" i="85"/>
  <c r="AT252" i="85" s="1"/>
  <c r="R244" i="85"/>
  <c r="AT244" i="85" s="1"/>
  <c r="R233" i="85"/>
  <c r="AT233" i="85" s="1"/>
  <c r="R228" i="85"/>
  <c r="AT228" i="85" s="1"/>
  <c r="R243" i="85"/>
  <c r="AT243" i="85" s="1"/>
  <c r="R242" i="85"/>
  <c r="AT242" i="85" s="1"/>
  <c r="R256" i="85"/>
  <c r="AT256" i="85" s="1"/>
  <c r="R249" i="85"/>
  <c r="AT249" i="85" s="1"/>
  <c r="R264" i="85"/>
  <c r="AT264" i="85" s="1"/>
  <c r="R235" i="85"/>
  <c r="AT235" i="85" s="1"/>
  <c r="R232" i="85"/>
  <c r="AT232" i="85" s="1"/>
  <c r="R265" i="85"/>
  <c r="AT265" i="85" s="1"/>
  <c r="R227" i="85"/>
  <c r="AT227" i="85" s="1"/>
  <c r="R259" i="85"/>
  <c r="AT259" i="85" s="1"/>
  <c r="R237" i="85"/>
  <c r="AT237" i="85" s="1"/>
  <c r="R214" i="85"/>
  <c r="AT214" i="85" s="1"/>
  <c r="R215" i="85"/>
  <c r="AT215" i="85" s="1"/>
  <c r="R247" i="85"/>
  <c r="AT247" i="85" s="1"/>
  <c r="R216" i="85"/>
  <c r="AT216" i="85" s="1"/>
  <c r="R229" i="85"/>
  <c r="AT229" i="85" s="1"/>
  <c r="R257" i="85"/>
  <c r="AT257" i="85" s="1"/>
  <c r="R240" i="85"/>
  <c r="AT240" i="85" s="1"/>
  <c r="R262" i="85"/>
  <c r="AT262" i="85" s="1"/>
  <c r="R219" i="85"/>
  <c r="AT219" i="85" s="1"/>
  <c r="R224" i="85"/>
  <c r="AT224" i="85" s="1"/>
  <c r="R260" i="85"/>
  <c r="AT260" i="85" s="1"/>
  <c r="R223" i="85"/>
  <c r="AT223" i="85" s="1"/>
  <c r="R238" i="85"/>
  <c r="AT238" i="85" s="1"/>
  <c r="R231" i="85"/>
  <c r="AT231" i="85" s="1"/>
  <c r="R261" i="85"/>
  <c r="AT261" i="85" s="1"/>
  <c r="R230" i="85"/>
  <c r="AT230" i="85" s="1"/>
  <c r="R248" i="85"/>
  <c r="AT248" i="85" s="1"/>
  <c r="R78" i="85"/>
  <c r="AT78" i="85" s="1"/>
  <c r="R87" i="85"/>
  <c r="AT87" i="85" s="1"/>
  <c r="R92" i="85"/>
  <c r="AT92" i="85" s="1"/>
  <c r="R65" i="85"/>
  <c r="AT65" i="85" s="1"/>
  <c r="R104" i="85"/>
  <c r="AT104" i="85" s="1"/>
  <c r="R68" i="85"/>
  <c r="AT68" i="85" s="1"/>
  <c r="R90" i="85"/>
  <c r="AT90" i="85" s="1"/>
  <c r="R77" i="85"/>
  <c r="AT77" i="85" s="1"/>
  <c r="R86" i="85"/>
  <c r="AT86" i="85" s="1"/>
  <c r="R82" i="85"/>
  <c r="AT82" i="85" s="1"/>
  <c r="R69" i="85"/>
  <c r="AT69" i="85" s="1"/>
  <c r="R97" i="85"/>
  <c r="AT97" i="85" s="1"/>
  <c r="R103" i="85"/>
  <c r="AT103" i="85" s="1"/>
  <c r="R75" i="85"/>
  <c r="AT75" i="85" s="1"/>
  <c r="R100" i="85"/>
  <c r="AT100" i="85" s="1"/>
  <c r="R83" i="85"/>
  <c r="AT83" i="85" s="1"/>
  <c r="R80" i="85"/>
  <c r="AT80" i="85" s="1"/>
  <c r="R95" i="85"/>
  <c r="AT95" i="85" s="1"/>
  <c r="R58" i="85"/>
  <c r="AT58" i="85" s="1"/>
  <c r="R93" i="85"/>
  <c r="AT93" i="85" s="1"/>
  <c r="R59" i="85"/>
  <c r="AT59" i="85" s="1"/>
  <c r="R81" i="85"/>
  <c r="AT81" i="85" s="1"/>
  <c r="R99" i="85"/>
  <c r="AT99" i="85" s="1"/>
  <c r="R102" i="85"/>
  <c r="AT102" i="85" s="1"/>
  <c r="R98" i="85"/>
  <c r="AT98" i="85" s="1"/>
  <c r="R85" i="85"/>
  <c r="AT85" i="85" s="1"/>
  <c r="R74" i="85"/>
  <c r="AT74" i="85" s="1"/>
  <c r="R61" i="85"/>
  <c r="AT61" i="85" s="1"/>
  <c r="R91" i="85"/>
  <c r="AT91" i="85" s="1"/>
  <c r="R73" i="85"/>
  <c r="AT73" i="85" s="1"/>
  <c r="R84" i="85"/>
  <c r="AT84" i="85" s="1"/>
  <c r="R79" i="85"/>
  <c r="AT79" i="85" s="1"/>
  <c r="R72" i="85"/>
  <c r="AT72" i="85" s="1"/>
  <c r="R64" i="85"/>
  <c r="AT64" i="85" s="1"/>
  <c r="R62" i="85"/>
  <c r="AT62" i="85" s="1"/>
  <c r="R89" i="85"/>
  <c r="AT89" i="85" s="1"/>
  <c r="R63" i="85"/>
  <c r="AT63" i="85" s="1"/>
  <c r="R76" i="85"/>
  <c r="AT76" i="85" s="1"/>
  <c r="R70" i="85"/>
  <c r="AT70" i="85" s="1"/>
  <c r="R88" i="85"/>
  <c r="AT88" i="85" s="1"/>
  <c r="R57" i="85"/>
  <c r="R94" i="85"/>
  <c r="AT94" i="85" s="1"/>
  <c r="R60" i="85"/>
  <c r="AT60" i="85" s="1"/>
  <c r="R96" i="85"/>
  <c r="AT96" i="85" s="1"/>
  <c r="R106" i="85"/>
  <c r="AT106" i="85" s="1"/>
  <c r="R71" i="85"/>
  <c r="AT71" i="85" s="1"/>
  <c r="R66" i="85"/>
  <c r="AT66" i="85" s="1"/>
  <c r="R67" i="85"/>
  <c r="AT67" i="85" s="1"/>
  <c r="Z1" i="189"/>
  <c r="T54" i="85" s="1"/>
  <c r="AV54" i="85" s="1"/>
  <c r="AQ12" i="188"/>
  <c r="AT11" i="188"/>
  <c r="AT12" i="188" s="1"/>
  <c r="AR12" i="188"/>
  <c r="AU11" i="188"/>
  <c r="AU12" i="188" s="1"/>
  <c r="AY50" i="85" l="1"/>
  <c r="AZ50" i="85" s="1"/>
  <c r="BA50" i="85" s="1"/>
  <c r="BB50" i="85" s="1"/>
  <c r="BC50" i="85" s="1"/>
  <c r="BD50" i="85" s="1"/>
  <c r="BE50" i="85" s="1"/>
  <c r="BF50" i="85" s="1"/>
  <c r="BG50" i="85" s="1"/>
  <c r="BH50" i="85" s="1"/>
  <c r="BI50" i="85" s="1"/>
  <c r="BJ50" i="85" s="1"/>
  <c r="BK50" i="85" s="1"/>
  <c r="AT57" i="85"/>
  <c r="T105" i="85"/>
  <c r="AV105" i="85" s="1"/>
  <c r="T101" i="85"/>
  <c r="AV101" i="85" s="1"/>
  <c r="T225" i="85"/>
  <c r="AV225" i="85" s="1"/>
  <c r="T266" i="85"/>
  <c r="AV266" i="85" s="1"/>
  <c r="T220" i="85"/>
  <c r="AV220" i="85" s="1"/>
  <c r="T218" i="85"/>
  <c r="AV218" i="85" s="1"/>
  <c r="T214" i="85"/>
  <c r="AV214" i="85" s="1"/>
  <c r="T252" i="85"/>
  <c r="AV252" i="85" s="1"/>
  <c r="T263" i="85"/>
  <c r="AV263" i="85" s="1"/>
  <c r="T222" i="85"/>
  <c r="AV222" i="85" s="1"/>
  <c r="T245" i="85"/>
  <c r="AV245" i="85" s="1"/>
  <c r="T241" i="85"/>
  <c r="AV241" i="85" s="1"/>
  <c r="T226" i="85"/>
  <c r="AV226" i="85" s="1"/>
  <c r="T250" i="85"/>
  <c r="AV250" i="85" s="1"/>
  <c r="T254" i="85"/>
  <c r="AV254" i="85" s="1"/>
  <c r="T236" i="85"/>
  <c r="AV236" i="85" s="1"/>
  <c r="T237" i="85"/>
  <c r="AV237" i="85" s="1"/>
  <c r="T246" i="85"/>
  <c r="AV246" i="85" s="1"/>
  <c r="T253" i="85"/>
  <c r="AV253" i="85" s="1"/>
  <c r="T234" i="85"/>
  <c r="AV234" i="85" s="1"/>
  <c r="T251" i="85"/>
  <c r="AV251" i="85" s="1"/>
  <c r="T221" i="85"/>
  <c r="AV221" i="85" s="1"/>
  <c r="T230" i="85"/>
  <c r="AV230" i="85" s="1"/>
  <c r="T255" i="85"/>
  <c r="AV255" i="85" s="1"/>
  <c r="T239" i="85"/>
  <c r="AV239" i="85" s="1"/>
  <c r="T217" i="85"/>
  <c r="AV217" i="85" s="1"/>
  <c r="T259" i="85"/>
  <c r="AV259" i="85" s="1"/>
  <c r="T256" i="85"/>
  <c r="AV256" i="85" s="1"/>
  <c r="T244" i="85"/>
  <c r="AV244" i="85" s="1"/>
  <c r="T215" i="85"/>
  <c r="AV215" i="85" s="1"/>
  <c r="T248" i="85"/>
  <c r="AV248" i="85" s="1"/>
  <c r="T235" i="85"/>
  <c r="AV235" i="85" s="1"/>
  <c r="T261" i="85"/>
  <c r="AV261" i="85" s="1"/>
  <c r="T229" i="85"/>
  <c r="AV229" i="85" s="1"/>
  <c r="T243" i="85"/>
  <c r="AV243" i="85" s="1"/>
  <c r="T232" i="85"/>
  <c r="AV232" i="85" s="1"/>
  <c r="T224" i="85"/>
  <c r="AV224" i="85" s="1"/>
  <c r="T240" i="85"/>
  <c r="AV240" i="85" s="1"/>
  <c r="T260" i="85"/>
  <c r="AV260" i="85" s="1"/>
  <c r="T238" i="85"/>
  <c r="AV238" i="85" s="1"/>
  <c r="T231" i="85"/>
  <c r="AV231" i="85" s="1"/>
  <c r="T227" i="85"/>
  <c r="AV227" i="85" s="1"/>
  <c r="T233" i="85"/>
  <c r="AV233" i="85" s="1"/>
  <c r="T258" i="85"/>
  <c r="AV258" i="85" s="1"/>
  <c r="T249" i="85"/>
  <c r="AV249" i="85" s="1"/>
  <c r="T247" i="85"/>
  <c r="AV247" i="85" s="1"/>
  <c r="T216" i="85"/>
  <c r="AV216" i="85" s="1"/>
  <c r="T265" i="85"/>
  <c r="AV265" i="85" s="1"/>
  <c r="T242" i="85"/>
  <c r="AV242" i="85" s="1"/>
  <c r="T257" i="85"/>
  <c r="AV257" i="85" s="1"/>
  <c r="T228" i="85"/>
  <c r="AV228" i="85" s="1"/>
  <c r="T264" i="85"/>
  <c r="AV264" i="85" s="1"/>
  <c r="T262" i="85"/>
  <c r="AV262" i="85" s="1"/>
  <c r="T223" i="85"/>
  <c r="AV223" i="85" s="1"/>
  <c r="T219" i="85"/>
  <c r="AV219" i="85" s="1"/>
  <c r="S222" i="85"/>
  <c r="AU222" i="85" s="1"/>
  <c r="S246" i="85"/>
  <c r="AU246" i="85" s="1"/>
  <c r="S245" i="85"/>
  <c r="AU245" i="85" s="1"/>
  <c r="S241" i="85"/>
  <c r="AU241" i="85" s="1"/>
  <c r="S221" i="85"/>
  <c r="AU221" i="85" s="1"/>
  <c r="S226" i="85"/>
  <c r="AU226" i="85" s="1"/>
  <c r="S214" i="85"/>
  <c r="AU214" i="85" s="1"/>
  <c r="S263" i="85"/>
  <c r="AU263" i="85" s="1"/>
  <c r="S251" i="85"/>
  <c r="AU251" i="85" s="1"/>
  <c r="S266" i="85"/>
  <c r="AU266" i="85" s="1"/>
  <c r="S237" i="85"/>
  <c r="AU237" i="85" s="1"/>
  <c r="S254" i="85"/>
  <c r="AU254" i="85" s="1"/>
  <c r="S234" i="85"/>
  <c r="AU234" i="85" s="1"/>
  <c r="S236" i="85"/>
  <c r="AU236" i="85" s="1"/>
  <c r="S255" i="85"/>
  <c r="AU255" i="85" s="1"/>
  <c r="S259" i="85"/>
  <c r="AU259" i="85" s="1"/>
  <c r="S230" i="85"/>
  <c r="AU230" i="85" s="1"/>
  <c r="S220" i="85"/>
  <c r="AU220" i="85" s="1"/>
  <c r="S217" i="85"/>
  <c r="AU217" i="85" s="1"/>
  <c r="S253" i="85"/>
  <c r="AU253" i="85" s="1"/>
  <c r="S250" i="85"/>
  <c r="AU250" i="85" s="1"/>
  <c r="S239" i="85"/>
  <c r="AU239" i="85" s="1"/>
  <c r="S218" i="85"/>
  <c r="AU218" i="85" s="1"/>
  <c r="S225" i="85"/>
  <c r="AU225" i="85" s="1"/>
  <c r="S260" i="85"/>
  <c r="AU260" i="85" s="1"/>
  <c r="S247" i="85"/>
  <c r="AU247" i="85" s="1"/>
  <c r="S238" i="85"/>
  <c r="AU238" i="85" s="1"/>
  <c r="S231" i="85"/>
  <c r="AU231" i="85" s="1"/>
  <c r="S256" i="85"/>
  <c r="AU256" i="85" s="1"/>
  <c r="S224" i="85"/>
  <c r="AU224" i="85" s="1"/>
  <c r="S243" i="85"/>
  <c r="AU243" i="85" s="1"/>
  <c r="S248" i="85"/>
  <c r="AU248" i="85" s="1"/>
  <c r="S244" i="85"/>
  <c r="AU244" i="85" s="1"/>
  <c r="S264" i="85"/>
  <c r="AU264" i="85" s="1"/>
  <c r="S216" i="85"/>
  <c r="AU216" i="85" s="1"/>
  <c r="S249" i="85"/>
  <c r="AU249" i="85" s="1"/>
  <c r="S232" i="85"/>
  <c r="AU232" i="85" s="1"/>
  <c r="S242" i="85"/>
  <c r="AU242" i="85" s="1"/>
  <c r="S261" i="85"/>
  <c r="AU261" i="85" s="1"/>
  <c r="S240" i="85"/>
  <c r="AU240" i="85" s="1"/>
  <c r="S223" i="85"/>
  <c r="AU223" i="85" s="1"/>
  <c r="S265" i="85"/>
  <c r="AU265" i="85" s="1"/>
  <c r="S257" i="85"/>
  <c r="AU257" i="85" s="1"/>
  <c r="S233" i="85"/>
  <c r="AU233" i="85" s="1"/>
  <c r="S262" i="85"/>
  <c r="AU262" i="85" s="1"/>
  <c r="S219" i="85"/>
  <c r="AU219" i="85" s="1"/>
  <c r="S227" i="85"/>
  <c r="AU227" i="85" s="1"/>
  <c r="S258" i="85"/>
  <c r="AU258" i="85" s="1"/>
  <c r="S252" i="85"/>
  <c r="AU252" i="85" s="1"/>
  <c r="S228" i="85"/>
  <c r="AU228" i="85" s="1"/>
  <c r="S215" i="85"/>
  <c r="AU215" i="85" s="1"/>
  <c r="S235" i="85"/>
  <c r="AU235" i="85" s="1"/>
  <c r="S229" i="85"/>
  <c r="AU229" i="85" s="1"/>
  <c r="T82" i="85"/>
  <c r="AV82" i="85" s="1"/>
  <c r="T78" i="85"/>
  <c r="AV78" i="85" s="1"/>
  <c r="T100" i="85"/>
  <c r="AV100" i="85" s="1"/>
  <c r="T90" i="85"/>
  <c r="AV90" i="85" s="1"/>
  <c r="T86" i="85"/>
  <c r="AV86" i="85" s="1"/>
  <c r="T69" i="85"/>
  <c r="AV69" i="85" s="1"/>
  <c r="T87" i="85"/>
  <c r="AV87" i="85" s="1"/>
  <c r="T92" i="85"/>
  <c r="AV92" i="85" s="1"/>
  <c r="T103" i="85"/>
  <c r="AV103" i="85" s="1"/>
  <c r="T63" i="85"/>
  <c r="AV63" i="85" s="1"/>
  <c r="T68" i="85"/>
  <c r="AV68" i="85" s="1"/>
  <c r="T58" i="85"/>
  <c r="AV58" i="85" s="1"/>
  <c r="T104" i="85"/>
  <c r="AV104" i="85" s="1"/>
  <c r="T75" i="85"/>
  <c r="AV75" i="85" s="1"/>
  <c r="T83" i="85"/>
  <c r="AV83" i="85" s="1"/>
  <c r="T89" i="85"/>
  <c r="AV89" i="85" s="1"/>
  <c r="T85" i="85"/>
  <c r="AV85" i="85" s="1"/>
  <c r="T64" i="85"/>
  <c r="AV64" i="85" s="1"/>
  <c r="T81" i="85"/>
  <c r="AV81" i="85" s="1"/>
  <c r="T80" i="85"/>
  <c r="AV80" i="85" s="1"/>
  <c r="T93" i="85"/>
  <c r="AV93" i="85" s="1"/>
  <c r="T73" i="85"/>
  <c r="AV73" i="85" s="1"/>
  <c r="T60" i="85"/>
  <c r="AV60" i="85" s="1"/>
  <c r="T71" i="85"/>
  <c r="AV71" i="85" s="1"/>
  <c r="T77" i="85"/>
  <c r="AV77" i="85" s="1"/>
  <c r="T97" i="85"/>
  <c r="AV97" i="85" s="1"/>
  <c r="T59" i="85"/>
  <c r="AV59" i="85" s="1"/>
  <c r="T62" i="85"/>
  <c r="AV62" i="85" s="1"/>
  <c r="T70" i="85"/>
  <c r="AV70" i="85" s="1"/>
  <c r="T102" i="85"/>
  <c r="AV102" i="85" s="1"/>
  <c r="T98" i="85"/>
  <c r="AV98" i="85" s="1"/>
  <c r="T91" i="85"/>
  <c r="AV91" i="85" s="1"/>
  <c r="T66" i="85"/>
  <c r="AV66" i="85" s="1"/>
  <c r="T84" i="85"/>
  <c r="AV84" i="85" s="1"/>
  <c r="T79" i="85"/>
  <c r="AV79" i="85" s="1"/>
  <c r="T95" i="85"/>
  <c r="AV95" i="85" s="1"/>
  <c r="T65" i="85"/>
  <c r="AV65" i="85" s="1"/>
  <c r="T76" i="85"/>
  <c r="AV76" i="85" s="1"/>
  <c r="T72" i="85"/>
  <c r="AV72" i="85" s="1"/>
  <c r="T94" i="85"/>
  <c r="AV94" i="85" s="1"/>
  <c r="T67" i="85"/>
  <c r="AV67" i="85" s="1"/>
  <c r="T74" i="85"/>
  <c r="AV74" i="85" s="1"/>
  <c r="T57" i="85"/>
  <c r="T61" i="85"/>
  <c r="AV61" i="85" s="1"/>
  <c r="T88" i="85"/>
  <c r="AV88" i="85" s="1"/>
  <c r="T96" i="85"/>
  <c r="AV96" i="85" s="1"/>
  <c r="T99" i="85"/>
  <c r="AV99" i="85" s="1"/>
  <c r="T106" i="85"/>
  <c r="AV106" i="85" s="1"/>
  <c r="S68" i="85"/>
  <c r="AU68" i="85" s="1"/>
  <c r="S92" i="85"/>
  <c r="AU92" i="85" s="1"/>
  <c r="S103" i="85"/>
  <c r="AU103" i="85" s="1"/>
  <c r="S78" i="85"/>
  <c r="AU78" i="85" s="1"/>
  <c r="S83" i="85"/>
  <c r="AU83" i="85" s="1"/>
  <c r="S65" i="85"/>
  <c r="AU65" i="85" s="1"/>
  <c r="S87" i="85"/>
  <c r="AU87" i="85" s="1"/>
  <c r="S58" i="85"/>
  <c r="AU58" i="85" s="1"/>
  <c r="S90" i="85"/>
  <c r="AU90" i="85" s="1"/>
  <c r="S86" i="85"/>
  <c r="AU86" i="85" s="1"/>
  <c r="S104" i="85"/>
  <c r="AU104" i="85" s="1"/>
  <c r="S89" i="85"/>
  <c r="AU89" i="85" s="1"/>
  <c r="S77" i="85"/>
  <c r="AU77" i="85" s="1"/>
  <c r="S69" i="85"/>
  <c r="AU69" i="85" s="1"/>
  <c r="S95" i="85"/>
  <c r="AU95" i="85" s="1"/>
  <c r="S97" i="85"/>
  <c r="AU97" i="85" s="1"/>
  <c r="S82" i="85"/>
  <c r="AU82" i="85" s="1"/>
  <c r="S100" i="85"/>
  <c r="AU100" i="85" s="1"/>
  <c r="S80" i="85"/>
  <c r="AU80" i="85" s="1"/>
  <c r="S88" i="85"/>
  <c r="AU88" i="85" s="1"/>
  <c r="S76" i="85"/>
  <c r="AU76" i="85" s="1"/>
  <c r="S63" i="85"/>
  <c r="AU63" i="85" s="1"/>
  <c r="S93" i="85"/>
  <c r="AU93" i="85" s="1"/>
  <c r="S91" i="85"/>
  <c r="AU91" i="85" s="1"/>
  <c r="S84" i="85"/>
  <c r="AU84" i="85" s="1"/>
  <c r="S60" i="85"/>
  <c r="AU60" i="85" s="1"/>
  <c r="S71" i="85"/>
  <c r="AU71" i="85" s="1"/>
  <c r="S59" i="85"/>
  <c r="AU59" i="85" s="1"/>
  <c r="S62" i="85"/>
  <c r="AU62" i="85" s="1"/>
  <c r="S72" i="85"/>
  <c r="AU72" i="85" s="1"/>
  <c r="S98" i="85"/>
  <c r="AU98" i="85" s="1"/>
  <c r="S85" i="85"/>
  <c r="AU85" i="85" s="1"/>
  <c r="S66" i="85"/>
  <c r="AU66" i="85" s="1"/>
  <c r="S61" i="85"/>
  <c r="AU61" i="85" s="1"/>
  <c r="S79" i="85"/>
  <c r="AU79" i="85" s="1"/>
  <c r="S96" i="85"/>
  <c r="AU96" i="85" s="1"/>
  <c r="S106" i="85"/>
  <c r="AU106" i="85" s="1"/>
  <c r="S67" i="85"/>
  <c r="AU67" i="85" s="1"/>
  <c r="S73" i="85"/>
  <c r="AU73" i="85" s="1"/>
  <c r="S102" i="85"/>
  <c r="AU102" i="85" s="1"/>
  <c r="S74" i="85"/>
  <c r="AU74" i="85" s="1"/>
  <c r="S57" i="85"/>
  <c r="S70" i="85"/>
  <c r="AU70" i="85" s="1"/>
  <c r="S94" i="85"/>
  <c r="AU94" i="85" s="1"/>
  <c r="S75" i="85"/>
  <c r="AU75" i="85" s="1"/>
  <c r="S81" i="85"/>
  <c r="AU81" i="85" s="1"/>
  <c r="S99" i="85"/>
  <c r="AU99" i="85" s="1"/>
  <c r="S64" i="85"/>
  <c r="AU64" i="85" s="1"/>
  <c r="AV57" i="85" l="1"/>
  <c r="AU57" i="85"/>
  <c r="C43" i="86" l="1"/>
  <c r="C44" i="86" l="1"/>
  <c r="C45" i="86" s="1"/>
  <c r="C46" i="86" s="1"/>
  <c r="C47" i="86" s="1"/>
  <c r="C48" i="86" s="1"/>
  <c r="C49" i="86" s="1"/>
  <c r="C50" i="86" s="1"/>
  <c r="C51" i="86" s="1"/>
  <c r="C52" i="86" s="1"/>
  <c r="C53" i="86" s="1"/>
  <c r="CD117" i="27"/>
  <c r="CF117" i="27"/>
  <c r="CG117" i="27"/>
  <c r="CH117" i="27"/>
  <c r="CJ117" i="27"/>
  <c r="CK117" i="27"/>
  <c r="CL117" i="27"/>
  <c r="CN117" i="27"/>
  <c r="CO117" i="27"/>
  <c r="CP117" i="27"/>
  <c r="CR117" i="27"/>
  <c r="CS117" i="27"/>
  <c r="CT117" i="27"/>
  <c r="CV117" i="27"/>
  <c r="CW117" i="27"/>
  <c r="CX117" i="27"/>
  <c r="CZ117" i="27"/>
  <c r="DA117" i="27"/>
  <c r="DB117" i="27"/>
  <c r="DD117" i="27"/>
  <c r="DE117" i="27"/>
  <c r="DF117" i="27"/>
  <c r="DH117" i="27"/>
  <c r="DI117" i="27"/>
  <c r="DJ117" i="27"/>
  <c r="DL117" i="27"/>
  <c r="DM117" i="27"/>
  <c r="DN117" i="27"/>
  <c r="DP117" i="27"/>
  <c r="DQ117" i="27"/>
  <c r="DR117" i="27"/>
  <c r="DT117" i="27"/>
  <c r="DU117" i="27"/>
  <c r="DV117" i="27"/>
  <c r="DX117" i="27"/>
  <c r="DY117" i="27"/>
  <c r="DZ117" i="27"/>
  <c r="EB117" i="27"/>
  <c r="EC117" i="27"/>
  <c r="ED117" i="27"/>
  <c r="EF117" i="27"/>
  <c r="EG117" i="27"/>
  <c r="EH117" i="27"/>
  <c r="EJ117" i="27"/>
  <c r="EK117" i="27"/>
  <c r="EL117" i="27"/>
  <c r="EN117" i="27"/>
  <c r="EO117" i="27"/>
  <c r="EP117" i="27"/>
  <c r="ER117" i="27"/>
  <c r="ES117" i="27"/>
  <c r="ET117" i="27"/>
  <c r="EV117" i="27"/>
  <c r="EW117" i="27"/>
  <c r="EX117" i="27"/>
  <c r="FG117" i="27" s="1"/>
  <c r="CD118" i="27"/>
  <c r="CF118" i="27"/>
  <c r="CG118" i="27"/>
  <c r="CH118" i="27"/>
  <c r="CJ118" i="27"/>
  <c r="CK118" i="27"/>
  <c r="CL118" i="27"/>
  <c r="CN118" i="27"/>
  <c r="CO118" i="27"/>
  <c r="CP118" i="27"/>
  <c r="CR118" i="27"/>
  <c r="CS118" i="27"/>
  <c r="CT118" i="27"/>
  <c r="CV118" i="27"/>
  <c r="CW118" i="27"/>
  <c r="CX118" i="27"/>
  <c r="CZ118" i="27"/>
  <c r="DA118" i="27"/>
  <c r="DB118" i="27"/>
  <c r="DD118" i="27"/>
  <c r="DE118" i="27"/>
  <c r="DF118" i="27"/>
  <c r="DH118" i="27"/>
  <c r="DI118" i="27"/>
  <c r="DJ118" i="27"/>
  <c r="DL118" i="27"/>
  <c r="DM118" i="27"/>
  <c r="DN118" i="27"/>
  <c r="DP118" i="27"/>
  <c r="DQ118" i="27"/>
  <c r="DR118" i="27"/>
  <c r="DT118" i="27"/>
  <c r="DU118" i="27"/>
  <c r="DV118" i="27"/>
  <c r="DX118" i="27"/>
  <c r="DY118" i="27"/>
  <c r="DZ118" i="27"/>
  <c r="EB118" i="27"/>
  <c r="EC118" i="27"/>
  <c r="ED118" i="27"/>
  <c r="EF118" i="27"/>
  <c r="EG118" i="27"/>
  <c r="EH118" i="27"/>
  <c r="EJ118" i="27"/>
  <c r="EK118" i="27"/>
  <c r="EL118" i="27"/>
  <c r="EN118" i="27"/>
  <c r="EO118" i="27"/>
  <c r="EP118" i="27"/>
  <c r="ER118" i="27"/>
  <c r="ES118" i="27"/>
  <c r="ET118" i="27"/>
  <c r="EV118" i="27"/>
  <c r="EW118" i="27"/>
  <c r="EX118" i="27"/>
  <c r="FG118" i="27" s="1"/>
  <c r="CD119" i="27"/>
  <c r="CF119" i="27"/>
  <c r="CG119" i="27"/>
  <c r="CH119" i="27"/>
  <c r="CJ119" i="27"/>
  <c r="CK119" i="27"/>
  <c r="CL119" i="27"/>
  <c r="CN119" i="27"/>
  <c r="CO119" i="27"/>
  <c r="CP119" i="27"/>
  <c r="CR119" i="27"/>
  <c r="CS119" i="27"/>
  <c r="CT119" i="27"/>
  <c r="CV119" i="27"/>
  <c r="CW119" i="27"/>
  <c r="CX119" i="27"/>
  <c r="CZ119" i="27"/>
  <c r="DA119" i="27"/>
  <c r="DB119" i="27"/>
  <c r="DD119" i="27"/>
  <c r="DE119" i="27"/>
  <c r="DF119" i="27"/>
  <c r="DH119" i="27"/>
  <c r="DI119" i="27"/>
  <c r="DJ119" i="27"/>
  <c r="DL119" i="27"/>
  <c r="DM119" i="27"/>
  <c r="DN119" i="27"/>
  <c r="DP119" i="27"/>
  <c r="DQ119" i="27"/>
  <c r="DR119" i="27"/>
  <c r="DT119" i="27"/>
  <c r="DU119" i="27"/>
  <c r="DV119" i="27"/>
  <c r="DX119" i="27"/>
  <c r="DY119" i="27"/>
  <c r="DZ119" i="27"/>
  <c r="EB119" i="27"/>
  <c r="EC119" i="27"/>
  <c r="ED119" i="27"/>
  <c r="EF119" i="27"/>
  <c r="EG119" i="27"/>
  <c r="EH119" i="27"/>
  <c r="EJ119" i="27"/>
  <c r="EK119" i="27"/>
  <c r="EL119" i="27"/>
  <c r="EN119" i="27"/>
  <c r="EO119" i="27"/>
  <c r="EP119" i="27"/>
  <c r="ER119" i="27"/>
  <c r="ES119" i="27"/>
  <c r="ET119" i="27"/>
  <c r="EV119" i="27"/>
  <c r="EW119" i="27"/>
  <c r="EX119" i="27"/>
  <c r="FG119" i="27" s="1"/>
  <c r="CD120" i="27"/>
  <c r="CF120" i="27"/>
  <c r="CG120" i="27"/>
  <c r="CH120" i="27"/>
  <c r="CJ120" i="27"/>
  <c r="CK120" i="27"/>
  <c r="CL120" i="27"/>
  <c r="CN120" i="27"/>
  <c r="CO120" i="27"/>
  <c r="CP120" i="27"/>
  <c r="CR120" i="27"/>
  <c r="CS120" i="27"/>
  <c r="CT120" i="27"/>
  <c r="CV120" i="27"/>
  <c r="CW120" i="27"/>
  <c r="CX120" i="27"/>
  <c r="CZ120" i="27"/>
  <c r="DA120" i="27"/>
  <c r="DB120" i="27"/>
  <c r="DD120" i="27"/>
  <c r="DE120" i="27"/>
  <c r="DF120" i="27"/>
  <c r="DH120" i="27"/>
  <c r="DI120" i="27"/>
  <c r="DJ120" i="27"/>
  <c r="DL120" i="27"/>
  <c r="DM120" i="27"/>
  <c r="DN120" i="27"/>
  <c r="DP120" i="27"/>
  <c r="DQ120" i="27"/>
  <c r="DR120" i="27"/>
  <c r="DT120" i="27"/>
  <c r="DU120" i="27"/>
  <c r="DV120" i="27"/>
  <c r="DX120" i="27"/>
  <c r="DY120" i="27"/>
  <c r="DZ120" i="27"/>
  <c r="EB120" i="27"/>
  <c r="EC120" i="27"/>
  <c r="ED120" i="27"/>
  <c r="EF120" i="27"/>
  <c r="EG120" i="27"/>
  <c r="EH120" i="27"/>
  <c r="EJ120" i="27"/>
  <c r="EK120" i="27"/>
  <c r="EL120" i="27"/>
  <c r="EN120" i="27"/>
  <c r="EO120" i="27"/>
  <c r="EP120" i="27"/>
  <c r="ER120" i="27"/>
  <c r="ES120" i="27"/>
  <c r="ET120" i="27"/>
  <c r="EV120" i="27"/>
  <c r="EW120" i="27"/>
  <c r="EX120" i="27"/>
  <c r="FG120" i="27" s="1"/>
  <c r="C56" i="86" l="1"/>
  <c r="C57" i="86" s="1"/>
  <c r="C58" i="86" s="1"/>
  <c r="C59" i="86" s="1"/>
  <c r="C60" i="86" s="1"/>
  <c r="C61" i="86" s="1"/>
  <c r="C62" i="86" s="1"/>
  <c r="C63" i="86" s="1"/>
  <c r="C64" i="86" s="1"/>
  <c r="C65" i="86" s="1"/>
  <c r="C66" i="86" s="1"/>
  <c r="C54" i="86"/>
  <c r="DS120" i="27"/>
  <c r="CM120" i="27"/>
  <c r="DS119" i="27"/>
  <c r="EI118" i="27"/>
  <c r="DS118" i="27"/>
  <c r="CM118" i="27"/>
  <c r="EM119" i="27"/>
  <c r="DG119" i="27"/>
  <c r="DO118" i="27"/>
  <c r="CI118" i="27"/>
  <c r="EQ117" i="27"/>
  <c r="DK120" i="27"/>
  <c r="EI120" i="27"/>
  <c r="DC120" i="27"/>
  <c r="DW118" i="27"/>
  <c r="DK118" i="27"/>
  <c r="DS117" i="27"/>
  <c r="EM118" i="27"/>
  <c r="DG118" i="27"/>
  <c r="CU118" i="27"/>
  <c r="CU117" i="27"/>
  <c r="CU120" i="27"/>
  <c r="EQ120" i="27"/>
  <c r="CY118" i="27"/>
  <c r="CM117" i="27"/>
  <c r="DW120" i="27"/>
  <c r="EI119" i="27"/>
  <c r="EY118" i="27"/>
  <c r="CQ120" i="27"/>
  <c r="DK119" i="27"/>
  <c r="CQ118" i="27"/>
  <c r="DC117" i="27"/>
  <c r="EE118" i="27"/>
  <c r="EA120" i="27"/>
  <c r="CM119" i="27"/>
  <c r="DK117" i="27"/>
  <c r="EA119" i="27"/>
  <c r="CU119" i="27"/>
  <c r="EU118" i="27"/>
  <c r="EA118" i="27"/>
  <c r="EM120" i="27"/>
  <c r="EE120" i="27"/>
  <c r="DO119" i="27"/>
  <c r="DC119" i="27"/>
  <c r="DC118" i="27"/>
  <c r="EQ119" i="27"/>
  <c r="DG117" i="27"/>
  <c r="EY117" i="27"/>
  <c r="CY120" i="27"/>
  <c r="EA117" i="27"/>
  <c r="CY117" i="27"/>
  <c r="EU120" i="27"/>
  <c r="DG120" i="27"/>
  <c r="DO120" i="27"/>
  <c r="EQ118" i="27"/>
  <c r="CE118" i="27"/>
  <c r="EI117" i="27"/>
  <c r="CE119" i="27"/>
  <c r="CE120" i="27"/>
  <c r="CE117" i="27"/>
  <c r="CI120" i="27"/>
  <c r="EY120" i="27"/>
  <c r="DO117" i="27"/>
  <c r="DW117" i="27"/>
  <c r="DW119" i="27"/>
  <c r="EY119" i="27"/>
  <c r="EE119" i="27"/>
  <c r="CI119" i="27"/>
  <c r="EM117" i="27"/>
  <c r="EU119" i="27"/>
  <c r="EE117" i="27"/>
  <c r="CQ119" i="27"/>
  <c r="EU117" i="27"/>
  <c r="CI117" i="27"/>
  <c r="CY119" i="27"/>
  <c r="CQ117" i="27"/>
  <c r="CD64" i="27"/>
  <c r="CF64" i="27"/>
  <c r="CG64" i="27"/>
  <c r="CH64" i="27"/>
  <c r="CJ64" i="27"/>
  <c r="CK64" i="27"/>
  <c r="CL64" i="27"/>
  <c r="CN64" i="27"/>
  <c r="CO64" i="27"/>
  <c r="CP64" i="27"/>
  <c r="CR64" i="27"/>
  <c r="CS64" i="27"/>
  <c r="CT64" i="27"/>
  <c r="CV64" i="27"/>
  <c r="CW64" i="27"/>
  <c r="CX64" i="27"/>
  <c r="CZ64" i="27"/>
  <c r="DA64" i="27"/>
  <c r="DB64" i="27"/>
  <c r="DD64" i="27"/>
  <c r="DE64" i="27"/>
  <c r="DF64" i="27"/>
  <c r="DH64" i="27"/>
  <c r="DI64" i="27"/>
  <c r="DJ64" i="27"/>
  <c r="DL64" i="27"/>
  <c r="DM64" i="27"/>
  <c r="DN64" i="27"/>
  <c r="DP64" i="27"/>
  <c r="DQ64" i="27"/>
  <c r="DR64" i="27"/>
  <c r="DT64" i="27"/>
  <c r="DU64" i="27"/>
  <c r="DV64" i="27"/>
  <c r="DX64" i="27"/>
  <c r="DY64" i="27"/>
  <c r="DZ64" i="27"/>
  <c r="EB64" i="27"/>
  <c r="EC64" i="27"/>
  <c r="ED64" i="27"/>
  <c r="EF64" i="27"/>
  <c r="EG64" i="27"/>
  <c r="EH64" i="27"/>
  <c r="EJ64" i="27"/>
  <c r="EK64" i="27"/>
  <c r="EL64" i="27"/>
  <c r="EN64" i="27"/>
  <c r="EO64" i="27"/>
  <c r="EP64" i="27"/>
  <c r="ER64" i="27"/>
  <c r="ES64" i="27"/>
  <c r="ET64" i="27"/>
  <c r="EV64" i="27"/>
  <c r="EW64" i="27"/>
  <c r="EX64" i="27"/>
  <c r="FG64" i="27" s="1"/>
  <c r="CD65" i="27"/>
  <c r="CF65" i="27"/>
  <c r="CG65" i="27"/>
  <c r="CH65" i="27"/>
  <c r="CJ65" i="27"/>
  <c r="CK65" i="27"/>
  <c r="CL65" i="27"/>
  <c r="CN65" i="27"/>
  <c r="CO65" i="27"/>
  <c r="CP65" i="27"/>
  <c r="CR65" i="27"/>
  <c r="CS65" i="27"/>
  <c r="CT65" i="27"/>
  <c r="CV65" i="27"/>
  <c r="CW65" i="27"/>
  <c r="CX65" i="27"/>
  <c r="CZ65" i="27"/>
  <c r="DA65" i="27"/>
  <c r="DB65" i="27"/>
  <c r="DD65" i="27"/>
  <c r="DE65" i="27"/>
  <c r="DF65" i="27"/>
  <c r="DH65" i="27"/>
  <c r="DI65" i="27"/>
  <c r="DJ65" i="27"/>
  <c r="DL65" i="27"/>
  <c r="DM65" i="27"/>
  <c r="DN65" i="27"/>
  <c r="DP65" i="27"/>
  <c r="DQ65" i="27"/>
  <c r="DR65" i="27"/>
  <c r="DT65" i="27"/>
  <c r="DU65" i="27"/>
  <c r="DV65" i="27"/>
  <c r="DX65" i="27"/>
  <c r="DY65" i="27"/>
  <c r="DZ65" i="27"/>
  <c r="EB65" i="27"/>
  <c r="EC65" i="27"/>
  <c r="ED65" i="27"/>
  <c r="EF65" i="27"/>
  <c r="EG65" i="27"/>
  <c r="EH65" i="27"/>
  <c r="EJ65" i="27"/>
  <c r="EK65" i="27"/>
  <c r="EL65" i="27"/>
  <c r="EN65" i="27"/>
  <c r="EO65" i="27"/>
  <c r="EP65" i="27"/>
  <c r="ER65" i="27"/>
  <c r="ES65" i="27"/>
  <c r="ET65" i="27"/>
  <c r="EV65" i="27"/>
  <c r="EW65" i="27"/>
  <c r="EX65" i="27"/>
  <c r="FG65" i="27" s="1"/>
  <c r="CD66" i="27"/>
  <c r="CF66" i="27"/>
  <c r="CG66" i="27"/>
  <c r="CH66" i="27"/>
  <c r="CJ66" i="27"/>
  <c r="CK66" i="27"/>
  <c r="CL66" i="27"/>
  <c r="CN66" i="27"/>
  <c r="CO66" i="27"/>
  <c r="CP66" i="27"/>
  <c r="CR66" i="27"/>
  <c r="CS66" i="27"/>
  <c r="CT66" i="27"/>
  <c r="CV66" i="27"/>
  <c r="CW66" i="27"/>
  <c r="CX66" i="27"/>
  <c r="CZ66" i="27"/>
  <c r="DA66" i="27"/>
  <c r="DB66" i="27"/>
  <c r="DD66" i="27"/>
  <c r="DE66" i="27"/>
  <c r="DF66" i="27"/>
  <c r="DH66" i="27"/>
  <c r="DI66" i="27"/>
  <c r="DJ66" i="27"/>
  <c r="DL66" i="27"/>
  <c r="DM66" i="27"/>
  <c r="DN66" i="27"/>
  <c r="DP66" i="27"/>
  <c r="DQ66" i="27"/>
  <c r="DR66" i="27"/>
  <c r="DT66" i="27"/>
  <c r="DU66" i="27"/>
  <c r="DV66" i="27"/>
  <c r="DX66" i="27"/>
  <c r="DY66" i="27"/>
  <c r="DZ66" i="27"/>
  <c r="EB66" i="27"/>
  <c r="EC66" i="27"/>
  <c r="ED66" i="27"/>
  <c r="EF66" i="27"/>
  <c r="EG66" i="27"/>
  <c r="EH66" i="27"/>
  <c r="EJ66" i="27"/>
  <c r="EK66" i="27"/>
  <c r="EL66" i="27"/>
  <c r="EN66" i="27"/>
  <c r="EO66" i="27"/>
  <c r="EP66" i="27"/>
  <c r="ER66" i="27"/>
  <c r="ES66" i="27"/>
  <c r="ET66" i="27"/>
  <c r="EV66" i="27"/>
  <c r="EW66" i="27"/>
  <c r="EX66" i="27"/>
  <c r="FG66" i="27" s="1"/>
  <c r="CD67" i="27"/>
  <c r="CF67" i="27"/>
  <c r="CG67" i="27"/>
  <c r="CH67" i="27"/>
  <c r="CJ67" i="27"/>
  <c r="CK67" i="27"/>
  <c r="CL67" i="27"/>
  <c r="CN67" i="27"/>
  <c r="CO67" i="27"/>
  <c r="CP67" i="27"/>
  <c r="CR67" i="27"/>
  <c r="CS67" i="27"/>
  <c r="CT67" i="27"/>
  <c r="CV67" i="27"/>
  <c r="CW67" i="27"/>
  <c r="CX67" i="27"/>
  <c r="CZ67" i="27"/>
  <c r="DA67" i="27"/>
  <c r="DB67" i="27"/>
  <c r="DD67" i="27"/>
  <c r="DE67" i="27"/>
  <c r="DF67" i="27"/>
  <c r="DH67" i="27"/>
  <c r="DI67" i="27"/>
  <c r="DJ67" i="27"/>
  <c r="DL67" i="27"/>
  <c r="DM67" i="27"/>
  <c r="DN67" i="27"/>
  <c r="DP67" i="27"/>
  <c r="DQ67" i="27"/>
  <c r="DR67" i="27"/>
  <c r="DT67" i="27"/>
  <c r="DU67" i="27"/>
  <c r="DV67" i="27"/>
  <c r="DX67" i="27"/>
  <c r="DY67" i="27"/>
  <c r="DZ67" i="27"/>
  <c r="EB67" i="27"/>
  <c r="EC67" i="27"/>
  <c r="ED67" i="27"/>
  <c r="EF67" i="27"/>
  <c r="EG67" i="27"/>
  <c r="EH67" i="27"/>
  <c r="EJ67" i="27"/>
  <c r="EK67" i="27"/>
  <c r="EL67" i="27"/>
  <c r="EN67" i="27"/>
  <c r="EO67" i="27"/>
  <c r="EP67" i="27"/>
  <c r="ER67" i="27"/>
  <c r="ES67" i="27"/>
  <c r="ET67" i="27"/>
  <c r="EV67" i="27"/>
  <c r="EW67" i="27"/>
  <c r="EX67" i="27"/>
  <c r="FG67" i="27" s="1"/>
  <c r="CD68" i="27"/>
  <c r="CF68" i="27"/>
  <c r="CG68" i="27"/>
  <c r="CH68" i="27"/>
  <c r="CJ68" i="27"/>
  <c r="CK68" i="27"/>
  <c r="CL68" i="27"/>
  <c r="CN68" i="27"/>
  <c r="CO68" i="27"/>
  <c r="CP68" i="27"/>
  <c r="CR68" i="27"/>
  <c r="CS68" i="27"/>
  <c r="CT68" i="27"/>
  <c r="CV68" i="27"/>
  <c r="CW68" i="27"/>
  <c r="CX68" i="27"/>
  <c r="CZ68" i="27"/>
  <c r="DA68" i="27"/>
  <c r="DB68" i="27"/>
  <c r="DD68" i="27"/>
  <c r="DE68" i="27"/>
  <c r="DF68" i="27"/>
  <c r="DH68" i="27"/>
  <c r="DI68" i="27"/>
  <c r="DJ68" i="27"/>
  <c r="DL68" i="27"/>
  <c r="DM68" i="27"/>
  <c r="DN68" i="27"/>
  <c r="DP68" i="27"/>
  <c r="DQ68" i="27"/>
  <c r="DR68" i="27"/>
  <c r="DT68" i="27"/>
  <c r="DU68" i="27"/>
  <c r="DV68" i="27"/>
  <c r="DX68" i="27"/>
  <c r="DY68" i="27"/>
  <c r="DZ68" i="27"/>
  <c r="EB68" i="27"/>
  <c r="EC68" i="27"/>
  <c r="ED68" i="27"/>
  <c r="EF68" i="27"/>
  <c r="EG68" i="27"/>
  <c r="EH68" i="27"/>
  <c r="EJ68" i="27"/>
  <c r="EK68" i="27"/>
  <c r="EL68" i="27"/>
  <c r="EN68" i="27"/>
  <c r="EO68" i="27"/>
  <c r="EP68" i="27"/>
  <c r="ER68" i="27"/>
  <c r="ES68" i="27"/>
  <c r="ET68" i="27"/>
  <c r="EV68" i="27"/>
  <c r="EW68" i="27"/>
  <c r="EX68" i="27"/>
  <c r="FG68" i="27" s="1"/>
  <c r="CD69" i="27"/>
  <c r="CF69" i="27"/>
  <c r="CG69" i="27"/>
  <c r="CH69" i="27"/>
  <c r="CJ69" i="27"/>
  <c r="CK69" i="27"/>
  <c r="CL69" i="27"/>
  <c r="CN69" i="27"/>
  <c r="CO69" i="27"/>
  <c r="CP69" i="27"/>
  <c r="CR69" i="27"/>
  <c r="CS69" i="27"/>
  <c r="CT69" i="27"/>
  <c r="CV69" i="27"/>
  <c r="CW69" i="27"/>
  <c r="CX69" i="27"/>
  <c r="CZ69" i="27"/>
  <c r="DA69" i="27"/>
  <c r="DB69" i="27"/>
  <c r="DD69" i="27"/>
  <c r="DE69" i="27"/>
  <c r="DF69" i="27"/>
  <c r="DH69" i="27"/>
  <c r="DI69" i="27"/>
  <c r="DJ69" i="27"/>
  <c r="DL69" i="27"/>
  <c r="DM69" i="27"/>
  <c r="DN69" i="27"/>
  <c r="DP69" i="27"/>
  <c r="DQ69" i="27"/>
  <c r="DR69" i="27"/>
  <c r="DT69" i="27"/>
  <c r="DU69" i="27"/>
  <c r="DV69" i="27"/>
  <c r="DX69" i="27"/>
  <c r="DY69" i="27"/>
  <c r="DZ69" i="27"/>
  <c r="EB69" i="27"/>
  <c r="EC69" i="27"/>
  <c r="ED69" i="27"/>
  <c r="EF69" i="27"/>
  <c r="EG69" i="27"/>
  <c r="EH69" i="27"/>
  <c r="EJ69" i="27"/>
  <c r="EK69" i="27"/>
  <c r="EL69" i="27"/>
  <c r="EN69" i="27"/>
  <c r="EO69" i="27"/>
  <c r="EP69" i="27"/>
  <c r="ER69" i="27"/>
  <c r="ES69" i="27"/>
  <c r="ET69" i="27"/>
  <c r="EV69" i="27"/>
  <c r="EW69" i="27"/>
  <c r="EX69" i="27"/>
  <c r="FG69" i="27" s="1"/>
  <c r="CD70" i="27"/>
  <c r="CF70" i="27"/>
  <c r="CG70" i="27"/>
  <c r="CH70" i="27"/>
  <c r="CJ70" i="27"/>
  <c r="CK70" i="27"/>
  <c r="CL70" i="27"/>
  <c r="CN70" i="27"/>
  <c r="CO70" i="27"/>
  <c r="CP70" i="27"/>
  <c r="CR70" i="27"/>
  <c r="CS70" i="27"/>
  <c r="CT70" i="27"/>
  <c r="CV70" i="27"/>
  <c r="CW70" i="27"/>
  <c r="CX70" i="27"/>
  <c r="CZ70" i="27"/>
  <c r="DA70" i="27"/>
  <c r="DB70" i="27"/>
  <c r="DD70" i="27"/>
  <c r="DE70" i="27"/>
  <c r="DF70" i="27"/>
  <c r="DH70" i="27"/>
  <c r="DI70" i="27"/>
  <c r="DJ70" i="27"/>
  <c r="DL70" i="27"/>
  <c r="DM70" i="27"/>
  <c r="DN70" i="27"/>
  <c r="DP70" i="27"/>
  <c r="DQ70" i="27"/>
  <c r="DR70" i="27"/>
  <c r="DT70" i="27"/>
  <c r="DU70" i="27"/>
  <c r="DV70" i="27"/>
  <c r="DX70" i="27"/>
  <c r="DY70" i="27"/>
  <c r="DZ70" i="27"/>
  <c r="EB70" i="27"/>
  <c r="EC70" i="27"/>
  <c r="ED70" i="27"/>
  <c r="EF70" i="27"/>
  <c r="EG70" i="27"/>
  <c r="EH70" i="27"/>
  <c r="EJ70" i="27"/>
  <c r="EK70" i="27"/>
  <c r="EL70" i="27"/>
  <c r="EN70" i="27"/>
  <c r="EO70" i="27"/>
  <c r="EP70" i="27"/>
  <c r="ER70" i="27"/>
  <c r="ES70" i="27"/>
  <c r="ET70" i="27"/>
  <c r="EV70" i="27"/>
  <c r="EW70" i="27"/>
  <c r="EX70" i="27"/>
  <c r="FG70" i="27" s="1"/>
  <c r="CD71" i="27"/>
  <c r="CF71" i="27"/>
  <c r="CG71" i="27"/>
  <c r="CH71" i="27"/>
  <c r="CJ71" i="27"/>
  <c r="CK71" i="27"/>
  <c r="CL71" i="27"/>
  <c r="CN71" i="27"/>
  <c r="CO71" i="27"/>
  <c r="CP71" i="27"/>
  <c r="CR71" i="27"/>
  <c r="CS71" i="27"/>
  <c r="CT71" i="27"/>
  <c r="CV71" i="27"/>
  <c r="CW71" i="27"/>
  <c r="CX71" i="27"/>
  <c r="CZ71" i="27"/>
  <c r="DA71" i="27"/>
  <c r="DB71" i="27"/>
  <c r="DD71" i="27"/>
  <c r="DE71" i="27"/>
  <c r="DF71" i="27"/>
  <c r="DH71" i="27"/>
  <c r="DI71" i="27"/>
  <c r="DJ71" i="27"/>
  <c r="DL71" i="27"/>
  <c r="DM71" i="27"/>
  <c r="DN71" i="27"/>
  <c r="DP71" i="27"/>
  <c r="DQ71" i="27"/>
  <c r="DR71" i="27"/>
  <c r="DT71" i="27"/>
  <c r="DU71" i="27"/>
  <c r="DV71" i="27"/>
  <c r="DX71" i="27"/>
  <c r="DY71" i="27"/>
  <c r="DZ71" i="27"/>
  <c r="EB71" i="27"/>
  <c r="EC71" i="27"/>
  <c r="ED71" i="27"/>
  <c r="EF71" i="27"/>
  <c r="EG71" i="27"/>
  <c r="EH71" i="27"/>
  <c r="EJ71" i="27"/>
  <c r="EK71" i="27"/>
  <c r="EL71" i="27"/>
  <c r="EN71" i="27"/>
  <c r="EO71" i="27"/>
  <c r="EP71" i="27"/>
  <c r="ER71" i="27"/>
  <c r="ES71" i="27"/>
  <c r="ET71" i="27"/>
  <c r="EV71" i="27"/>
  <c r="EW71" i="27"/>
  <c r="EX71" i="27"/>
  <c r="FG71" i="27" s="1"/>
  <c r="CD72" i="27"/>
  <c r="CF72" i="27"/>
  <c r="CG72" i="27"/>
  <c r="CH72" i="27"/>
  <c r="CJ72" i="27"/>
  <c r="CK72" i="27"/>
  <c r="CL72" i="27"/>
  <c r="CN72" i="27"/>
  <c r="CO72" i="27"/>
  <c r="CP72" i="27"/>
  <c r="CR72" i="27"/>
  <c r="CS72" i="27"/>
  <c r="CT72" i="27"/>
  <c r="CV72" i="27"/>
  <c r="CW72" i="27"/>
  <c r="CX72" i="27"/>
  <c r="CZ72" i="27"/>
  <c r="DA72" i="27"/>
  <c r="DB72" i="27"/>
  <c r="DD72" i="27"/>
  <c r="DE72" i="27"/>
  <c r="DF72" i="27"/>
  <c r="DH72" i="27"/>
  <c r="DI72" i="27"/>
  <c r="DJ72" i="27"/>
  <c r="DL72" i="27"/>
  <c r="DM72" i="27"/>
  <c r="DN72" i="27"/>
  <c r="DP72" i="27"/>
  <c r="DQ72" i="27"/>
  <c r="DR72" i="27"/>
  <c r="DT72" i="27"/>
  <c r="DU72" i="27"/>
  <c r="DV72" i="27"/>
  <c r="DX72" i="27"/>
  <c r="DY72" i="27"/>
  <c r="DZ72" i="27"/>
  <c r="EB72" i="27"/>
  <c r="EC72" i="27"/>
  <c r="ED72" i="27"/>
  <c r="EF72" i="27"/>
  <c r="EG72" i="27"/>
  <c r="EH72" i="27"/>
  <c r="EJ72" i="27"/>
  <c r="EK72" i="27"/>
  <c r="EL72" i="27"/>
  <c r="EN72" i="27"/>
  <c r="EO72" i="27"/>
  <c r="EP72" i="27"/>
  <c r="ER72" i="27"/>
  <c r="ES72" i="27"/>
  <c r="ET72" i="27"/>
  <c r="EV72" i="27"/>
  <c r="EW72" i="27"/>
  <c r="EX72" i="27"/>
  <c r="FG72" i="27" s="1"/>
  <c r="CD73" i="27"/>
  <c r="CF73" i="27"/>
  <c r="CG73" i="27"/>
  <c r="CH73" i="27"/>
  <c r="CJ73" i="27"/>
  <c r="CK73" i="27"/>
  <c r="CL73" i="27"/>
  <c r="CN73" i="27"/>
  <c r="CO73" i="27"/>
  <c r="CP73" i="27"/>
  <c r="CR73" i="27"/>
  <c r="CS73" i="27"/>
  <c r="CT73" i="27"/>
  <c r="CV73" i="27"/>
  <c r="CW73" i="27"/>
  <c r="CX73" i="27"/>
  <c r="CZ73" i="27"/>
  <c r="DA73" i="27"/>
  <c r="DB73" i="27"/>
  <c r="DD73" i="27"/>
  <c r="DE73" i="27"/>
  <c r="DF73" i="27"/>
  <c r="DH73" i="27"/>
  <c r="DI73" i="27"/>
  <c r="DJ73" i="27"/>
  <c r="DL73" i="27"/>
  <c r="DM73" i="27"/>
  <c r="DN73" i="27"/>
  <c r="DP73" i="27"/>
  <c r="DQ73" i="27"/>
  <c r="DR73" i="27"/>
  <c r="DT73" i="27"/>
  <c r="DU73" i="27"/>
  <c r="DV73" i="27"/>
  <c r="DX73" i="27"/>
  <c r="DY73" i="27"/>
  <c r="DZ73" i="27"/>
  <c r="EB73" i="27"/>
  <c r="EC73" i="27"/>
  <c r="ED73" i="27"/>
  <c r="EF73" i="27"/>
  <c r="EG73" i="27"/>
  <c r="EH73" i="27"/>
  <c r="EJ73" i="27"/>
  <c r="EK73" i="27"/>
  <c r="EL73" i="27"/>
  <c r="EN73" i="27"/>
  <c r="EO73" i="27"/>
  <c r="EP73" i="27"/>
  <c r="ER73" i="27"/>
  <c r="ES73" i="27"/>
  <c r="ET73" i="27"/>
  <c r="EV73" i="27"/>
  <c r="EW73" i="27"/>
  <c r="EX73" i="27"/>
  <c r="FG73" i="27" s="1"/>
  <c r="CD74" i="27"/>
  <c r="CF74" i="27"/>
  <c r="CG74" i="27"/>
  <c r="CH74" i="27"/>
  <c r="CJ74" i="27"/>
  <c r="CK74" i="27"/>
  <c r="CL74" i="27"/>
  <c r="CN74" i="27"/>
  <c r="CO74" i="27"/>
  <c r="CP74" i="27"/>
  <c r="CR74" i="27"/>
  <c r="CS74" i="27"/>
  <c r="CT74" i="27"/>
  <c r="CV74" i="27"/>
  <c r="CW74" i="27"/>
  <c r="CX74" i="27"/>
  <c r="CZ74" i="27"/>
  <c r="DA74" i="27"/>
  <c r="DB74" i="27"/>
  <c r="DD74" i="27"/>
  <c r="DE74" i="27"/>
  <c r="DF74" i="27"/>
  <c r="DH74" i="27"/>
  <c r="DI74" i="27"/>
  <c r="DJ74" i="27"/>
  <c r="DL74" i="27"/>
  <c r="DM74" i="27"/>
  <c r="DN74" i="27"/>
  <c r="DP74" i="27"/>
  <c r="DQ74" i="27"/>
  <c r="DR74" i="27"/>
  <c r="DT74" i="27"/>
  <c r="DU74" i="27"/>
  <c r="DV74" i="27"/>
  <c r="DX74" i="27"/>
  <c r="DY74" i="27"/>
  <c r="DZ74" i="27"/>
  <c r="EB74" i="27"/>
  <c r="EC74" i="27"/>
  <c r="ED74" i="27"/>
  <c r="EF74" i="27"/>
  <c r="EG74" i="27"/>
  <c r="EH74" i="27"/>
  <c r="EJ74" i="27"/>
  <c r="EK74" i="27"/>
  <c r="EL74" i="27"/>
  <c r="EN74" i="27"/>
  <c r="EO74" i="27"/>
  <c r="EP74" i="27"/>
  <c r="ER74" i="27"/>
  <c r="ES74" i="27"/>
  <c r="ET74" i="27"/>
  <c r="EV74" i="27"/>
  <c r="EW74" i="27"/>
  <c r="EX74" i="27"/>
  <c r="FG74" i="27" s="1"/>
  <c r="CD75" i="27"/>
  <c r="CF75" i="27"/>
  <c r="CG75" i="27"/>
  <c r="CH75" i="27"/>
  <c r="CJ75" i="27"/>
  <c r="CK75" i="27"/>
  <c r="CL75" i="27"/>
  <c r="CN75" i="27"/>
  <c r="CO75" i="27"/>
  <c r="CP75" i="27"/>
  <c r="CR75" i="27"/>
  <c r="CS75" i="27"/>
  <c r="CT75" i="27"/>
  <c r="CV75" i="27"/>
  <c r="CW75" i="27"/>
  <c r="CX75" i="27"/>
  <c r="CZ75" i="27"/>
  <c r="DA75" i="27"/>
  <c r="DB75" i="27"/>
  <c r="DD75" i="27"/>
  <c r="DE75" i="27"/>
  <c r="DF75" i="27"/>
  <c r="DH75" i="27"/>
  <c r="DI75" i="27"/>
  <c r="DJ75" i="27"/>
  <c r="DL75" i="27"/>
  <c r="DM75" i="27"/>
  <c r="DN75" i="27"/>
  <c r="DP75" i="27"/>
  <c r="DQ75" i="27"/>
  <c r="DR75" i="27"/>
  <c r="DT75" i="27"/>
  <c r="DU75" i="27"/>
  <c r="DV75" i="27"/>
  <c r="DX75" i="27"/>
  <c r="DY75" i="27"/>
  <c r="DZ75" i="27"/>
  <c r="EB75" i="27"/>
  <c r="EC75" i="27"/>
  <c r="ED75" i="27"/>
  <c r="EF75" i="27"/>
  <c r="EG75" i="27"/>
  <c r="EH75" i="27"/>
  <c r="EJ75" i="27"/>
  <c r="EK75" i="27"/>
  <c r="EL75" i="27"/>
  <c r="EN75" i="27"/>
  <c r="EO75" i="27"/>
  <c r="EP75" i="27"/>
  <c r="ER75" i="27"/>
  <c r="ES75" i="27"/>
  <c r="ET75" i="27"/>
  <c r="EV75" i="27"/>
  <c r="EW75" i="27"/>
  <c r="EX75" i="27"/>
  <c r="FG75" i="27" s="1"/>
  <c r="CD76" i="27"/>
  <c r="CF76" i="27"/>
  <c r="CG76" i="27"/>
  <c r="CH76" i="27"/>
  <c r="CJ76" i="27"/>
  <c r="CK76" i="27"/>
  <c r="CL76" i="27"/>
  <c r="CN76" i="27"/>
  <c r="CO76" i="27"/>
  <c r="CP76" i="27"/>
  <c r="CR76" i="27"/>
  <c r="CS76" i="27"/>
  <c r="CT76" i="27"/>
  <c r="CV76" i="27"/>
  <c r="CW76" i="27"/>
  <c r="CX76" i="27"/>
  <c r="CZ76" i="27"/>
  <c r="DA76" i="27"/>
  <c r="DB76" i="27"/>
  <c r="DD76" i="27"/>
  <c r="DE76" i="27"/>
  <c r="DF76" i="27"/>
  <c r="DH76" i="27"/>
  <c r="DI76" i="27"/>
  <c r="DJ76" i="27"/>
  <c r="DL76" i="27"/>
  <c r="DM76" i="27"/>
  <c r="DN76" i="27"/>
  <c r="DP76" i="27"/>
  <c r="DQ76" i="27"/>
  <c r="DR76" i="27"/>
  <c r="DT76" i="27"/>
  <c r="DU76" i="27"/>
  <c r="DV76" i="27"/>
  <c r="DX76" i="27"/>
  <c r="DY76" i="27"/>
  <c r="DZ76" i="27"/>
  <c r="EB76" i="27"/>
  <c r="EC76" i="27"/>
  <c r="ED76" i="27"/>
  <c r="EF76" i="27"/>
  <c r="EG76" i="27"/>
  <c r="EH76" i="27"/>
  <c r="EJ76" i="27"/>
  <c r="EK76" i="27"/>
  <c r="EL76" i="27"/>
  <c r="EN76" i="27"/>
  <c r="EO76" i="27"/>
  <c r="EP76" i="27"/>
  <c r="ER76" i="27"/>
  <c r="ES76" i="27"/>
  <c r="ET76" i="27"/>
  <c r="EV76" i="27"/>
  <c r="EW76" i="27"/>
  <c r="EX76" i="27"/>
  <c r="FG76" i="27" s="1"/>
  <c r="CD77" i="27"/>
  <c r="CF77" i="27"/>
  <c r="CG77" i="27"/>
  <c r="CH77" i="27"/>
  <c r="CJ77" i="27"/>
  <c r="CK77" i="27"/>
  <c r="CL77" i="27"/>
  <c r="CN77" i="27"/>
  <c r="CO77" i="27"/>
  <c r="CP77" i="27"/>
  <c r="CR77" i="27"/>
  <c r="CS77" i="27"/>
  <c r="CT77" i="27"/>
  <c r="CV77" i="27"/>
  <c r="CW77" i="27"/>
  <c r="CX77" i="27"/>
  <c r="CZ77" i="27"/>
  <c r="DA77" i="27"/>
  <c r="DB77" i="27"/>
  <c r="DD77" i="27"/>
  <c r="DE77" i="27"/>
  <c r="DF77" i="27"/>
  <c r="DH77" i="27"/>
  <c r="DI77" i="27"/>
  <c r="DJ77" i="27"/>
  <c r="DL77" i="27"/>
  <c r="DM77" i="27"/>
  <c r="DN77" i="27"/>
  <c r="DP77" i="27"/>
  <c r="DQ77" i="27"/>
  <c r="DR77" i="27"/>
  <c r="DT77" i="27"/>
  <c r="DU77" i="27"/>
  <c r="DV77" i="27"/>
  <c r="DX77" i="27"/>
  <c r="DY77" i="27"/>
  <c r="DZ77" i="27"/>
  <c r="EB77" i="27"/>
  <c r="EC77" i="27"/>
  <c r="ED77" i="27"/>
  <c r="EF77" i="27"/>
  <c r="EG77" i="27"/>
  <c r="EH77" i="27"/>
  <c r="EJ77" i="27"/>
  <c r="EK77" i="27"/>
  <c r="EL77" i="27"/>
  <c r="EN77" i="27"/>
  <c r="EO77" i="27"/>
  <c r="EP77" i="27"/>
  <c r="ER77" i="27"/>
  <c r="ES77" i="27"/>
  <c r="ET77" i="27"/>
  <c r="EV77" i="27"/>
  <c r="EW77" i="27"/>
  <c r="EX77" i="27"/>
  <c r="FG77" i="27" s="1"/>
  <c r="CD78" i="27"/>
  <c r="CF78" i="27"/>
  <c r="CG78" i="27"/>
  <c r="CH78" i="27"/>
  <c r="CJ78" i="27"/>
  <c r="CK78" i="27"/>
  <c r="CL78" i="27"/>
  <c r="CN78" i="27"/>
  <c r="CO78" i="27"/>
  <c r="CP78" i="27"/>
  <c r="CR78" i="27"/>
  <c r="CS78" i="27"/>
  <c r="CT78" i="27"/>
  <c r="CV78" i="27"/>
  <c r="CW78" i="27"/>
  <c r="CX78" i="27"/>
  <c r="CZ78" i="27"/>
  <c r="DA78" i="27"/>
  <c r="DB78" i="27"/>
  <c r="DD78" i="27"/>
  <c r="DE78" i="27"/>
  <c r="DF78" i="27"/>
  <c r="DH78" i="27"/>
  <c r="DI78" i="27"/>
  <c r="DJ78" i="27"/>
  <c r="DL78" i="27"/>
  <c r="DM78" i="27"/>
  <c r="DN78" i="27"/>
  <c r="DP78" i="27"/>
  <c r="DQ78" i="27"/>
  <c r="DR78" i="27"/>
  <c r="DT78" i="27"/>
  <c r="DU78" i="27"/>
  <c r="DV78" i="27"/>
  <c r="DX78" i="27"/>
  <c r="DY78" i="27"/>
  <c r="DZ78" i="27"/>
  <c r="EB78" i="27"/>
  <c r="EC78" i="27"/>
  <c r="ED78" i="27"/>
  <c r="EF78" i="27"/>
  <c r="EG78" i="27"/>
  <c r="EH78" i="27"/>
  <c r="EJ78" i="27"/>
  <c r="EK78" i="27"/>
  <c r="EL78" i="27"/>
  <c r="EN78" i="27"/>
  <c r="EO78" i="27"/>
  <c r="EP78" i="27"/>
  <c r="ER78" i="27"/>
  <c r="ES78" i="27"/>
  <c r="ET78" i="27"/>
  <c r="EV78" i="27"/>
  <c r="EW78" i="27"/>
  <c r="EX78" i="27"/>
  <c r="FG78" i="27" s="1"/>
  <c r="CD79" i="27"/>
  <c r="CF79" i="27"/>
  <c r="CG79" i="27"/>
  <c r="CH79" i="27"/>
  <c r="CJ79" i="27"/>
  <c r="CK79" i="27"/>
  <c r="CL79" i="27"/>
  <c r="CN79" i="27"/>
  <c r="CO79" i="27"/>
  <c r="CP79" i="27"/>
  <c r="CR79" i="27"/>
  <c r="CS79" i="27"/>
  <c r="CT79" i="27"/>
  <c r="CV79" i="27"/>
  <c r="CW79" i="27"/>
  <c r="CX79" i="27"/>
  <c r="CZ79" i="27"/>
  <c r="DA79" i="27"/>
  <c r="DB79" i="27"/>
  <c r="DD79" i="27"/>
  <c r="DE79" i="27"/>
  <c r="DF79" i="27"/>
  <c r="DH79" i="27"/>
  <c r="DI79" i="27"/>
  <c r="DJ79" i="27"/>
  <c r="DL79" i="27"/>
  <c r="DM79" i="27"/>
  <c r="DN79" i="27"/>
  <c r="DP79" i="27"/>
  <c r="DQ79" i="27"/>
  <c r="DR79" i="27"/>
  <c r="DT79" i="27"/>
  <c r="DU79" i="27"/>
  <c r="DV79" i="27"/>
  <c r="DX79" i="27"/>
  <c r="DY79" i="27"/>
  <c r="DZ79" i="27"/>
  <c r="EB79" i="27"/>
  <c r="EC79" i="27"/>
  <c r="ED79" i="27"/>
  <c r="EF79" i="27"/>
  <c r="EG79" i="27"/>
  <c r="EH79" i="27"/>
  <c r="EJ79" i="27"/>
  <c r="EK79" i="27"/>
  <c r="EL79" i="27"/>
  <c r="EN79" i="27"/>
  <c r="EO79" i="27"/>
  <c r="EP79" i="27"/>
  <c r="ER79" i="27"/>
  <c r="ES79" i="27"/>
  <c r="ET79" i="27"/>
  <c r="EV79" i="27"/>
  <c r="EW79" i="27"/>
  <c r="EX79" i="27"/>
  <c r="FG79" i="27" s="1"/>
  <c r="CD80" i="27"/>
  <c r="CF80" i="27"/>
  <c r="CG80" i="27"/>
  <c r="CH80" i="27"/>
  <c r="CJ80" i="27"/>
  <c r="CK80" i="27"/>
  <c r="CL80" i="27"/>
  <c r="CN80" i="27"/>
  <c r="CO80" i="27"/>
  <c r="CP80" i="27"/>
  <c r="CR80" i="27"/>
  <c r="CS80" i="27"/>
  <c r="CT80" i="27"/>
  <c r="CV80" i="27"/>
  <c r="CW80" i="27"/>
  <c r="CX80" i="27"/>
  <c r="CZ80" i="27"/>
  <c r="DA80" i="27"/>
  <c r="DB80" i="27"/>
  <c r="DD80" i="27"/>
  <c r="DE80" i="27"/>
  <c r="DF80" i="27"/>
  <c r="DH80" i="27"/>
  <c r="DI80" i="27"/>
  <c r="DJ80" i="27"/>
  <c r="DL80" i="27"/>
  <c r="DM80" i="27"/>
  <c r="DN80" i="27"/>
  <c r="DP80" i="27"/>
  <c r="DQ80" i="27"/>
  <c r="DR80" i="27"/>
  <c r="DT80" i="27"/>
  <c r="DU80" i="27"/>
  <c r="DV80" i="27"/>
  <c r="DX80" i="27"/>
  <c r="DY80" i="27"/>
  <c r="DZ80" i="27"/>
  <c r="EB80" i="27"/>
  <c r="EC80" i="27"/>
  <c r="ED80" i="27"/>
  <c r="EF80" i="27"/>
  <c r="EG80" i="27"/>
  <c r="EH80" i="27"/>
  <c r="EJ80" i="27"/>
  <c r="EK80" i="27"/>
  <c r="EL80" i="27"/>
  <c r="EN80" i="27"/>
  <c r="EO80" i="27"/>
  <c r="EP80" i="27"/>
  <c r="ER80" i="27"/>
  <c r="ES80" i="27"/>
  <c r="ET80" i="27"/>
  <c r="EV80" i="27"/>
  <c r="EW80" i="27"/>
  <c r="EX80" i="27"/>
  <c r="FG80" i="27" s="1"/>
  <c r="CD81" i="27"/>
  <c r="CF81" i="27"/>
  <c r="CG81" i="27"/>
  <c r="CH81" i="27"/>
  <c r="CJ81" i="27"/>
  <c r="CK81" i="27"/>
  <c r="CL81" i="27"/>
  <c r="CN81" i="27"/>
  <c r="CO81" i="27"/>
  <c r="CP81" i="27"/>
  <c r="CR81" i="27"/>
  <c r="CS81" i="27"/>
  <c r="CT81" i="27"/>
  <c r="CV81" i="27"/>
  <c r="CW81" i="27"/>
  <c r="CX81" i="27"/>
  <c r="CZ81" i="27"/>
  <c r="DA81" i="27"/>
  <c r="DB81" i="27"/>
  <c r="DD81" i="27"/>
  <c r="DE81" i="27"/>
  <c r="DF81" i="27"/>
  <c r="DH81" i="27"/>
  <c r="DI81" i="27"/>
  <c r="DJ81" i="27"/>
  <c r="DL81" i="27"/>
  <c r="DM81" i="27"/>
  <c r="DN81" i="27"/>
  <c r="DP81" i="27"/>
  <c r="DQ81" i="27"/>
  <c r="DR81" i="27"/>
  <c r="DT81" i="27"/>
  <c r="DU81" i="27"/>
  <c r="DV81" i="27"/>
  <c r="DX81" i="27"/>
  <c r="DY81" i="27"/>
  <c r="DZ81" i="27"/>
  <c r="EB81" i="27"/>
  <c r="EC81" i="27"/>
  <c r="ED81" i="27"/>
  <c r="EF81" i="27"/>
  <c r="EG81" i="27"/>
  <c r="EH81" i="27"/>
  <c r="EJ81" i="27"/>
  <c r="EK81" i="27"/>
  <c r="EL81" i="27"/>
  <c r="EN81" i="27"/>
  <c r="EO81" i="27"/>
  <c r="EP81" i="27"/>
  <c r="ER81" i="27"/>
  <c r="ES81" i="27"/>
  <c r="ET81" i="27"/>
  <c r="EV81" i="27"/>
  <c r="EW81" i="27"/>
  <c r="EX81" i="27"/>
  <c r="FG81" i="27" s="1"/>
  <c r="CD82" i="27"/>
  <c r="CF82" i="27"/>
  <c r="CG82" i="27"/>
  <c r="CH82" i="27"/>
  <c r="CJ82" i="27"/>
  <c r="CK82" i="27"/>
  <c r="CL82" i="27"/>
  <c r="CN82" i="27"/>
  <c r="CO82" i="27"/>
  <c r="CP82" i="27"/>
  <c r="CR82" i="27"/>
  <c r="CS82" i="27"/>
  <c r="CT82" i="27"/>
  <c r="CV82" i="27"/>
  <c r="CW82" i="27"/>
  <c r="CX82" i="27"/>
  <c r="CZ82" i="27"/>
  <c r="DA82" i="27"/>
  <c r="DB82" i="27"/>
  <c r="DD82" i="27"/>
  <c r="DE82" i="27"/>
  <c r="DF82" i="27"/>
  <c r="DH82" i="27"/>
  <c r="DI82" i="27"/>
  <c r="DJ82" i="27"/>
  <c r="DL82" i="27"/>
  <c r="DM82" i="27"/>
  <c r="DN82" i="27"/>
  <c r="DP82" i="27"/>
  <c r="DQ82" i="27"/>
  <c r="DR82" i="27"/>
  <c r="DT82" i="27"/>
  <c r="DU82" i="27"/>
  <c r="DV82" i="27"/>
  <c r="DX82" i="27"/>
  <c r="DY82" i="27"/>
  <c r="DZ82" i="27"/>
  <c r="EB82" i="27"/>
  <c r="EC82" i="27"/>
  <c r="ED82" i="27"/>
  <c r="EF82" i="27"/>
  <c r="EG82" i="27"/>
  <c r="EH82" i="27"/>
  <c r="EJ82" i="27"/>
  <c r="EK82" i="27"/>
  <c r="EL82" i="27"/>
  <c r="EN82" i="27"/>
  <c r="EO82" i="27"/>
  <c r="EP82" i="27"/>
  <c r="ER82" i="27"/>
  <c r="ES82" i="27"/>
  <c r="ET82" i="27"/>
  <c r="EV82" i="27"/>
  <c r="EW82" i="27"/>
  <c r="EX82" i="27"/>
  <c r="FG82" i="27" s="1"/>
  <c r="CD83" i="27"/>
  <c r="CF83" i="27"/>
  <c r="CG83" i="27"/>
  <c r="CH83" i="27"/>
  <c r="CJ83" i="27"/>
  <c r="CK83" i="27"/>
  <c r="CL83" i="27"/>
  <c r="CN83" i="27"/>
  <c r="CO83" i="27"/>
  <c r="CP83" i="27"/>
  <c r="CR83" i="27"/>
  <c r="CS83" i="27"/>
  <c r="CT83" i="27"/>
  <c r="CV83" i="27"/>
  <c r="CW83" i="27"/>
  <c r="CX83" i="27"/>
  <c r="CZ83" i="27"/>
  <c r="DA83" i="27"/>
  <c r="DB83" i="27"/>
  <c r="DD83" i="27"/>
  <c r="DE83" i="27"/>
  <c r="DF83" i="27"/>
  <c r="DH83" i="27"/>
  <c r="DI83" i="27"/>
  <c r="DJ83" i="27"/>
  <c r="DL83" i="27"/>
  <c r="DM83" i="27"/>
  <c r="DN83" i="27"/>
  <c r="DP83" i="27"/>
  <c r="DQ83" i="27"/>
  <c r="DR83" i="27"/>
  <c r="DT83" i="27"/>
  <c r="DU83" i="27"/>
  <c r="DV83" i="27"/>
  <c r="DX83" i="27"/>
  <c r="DY83" i="27"/>
  <c r="DZ83" i="27"/>
  <c r="EB83" i="27"/>
  <c r="EC83" i="27"/>
  <c r="ED83" i="27"/>
  <c r="EF83" i="27"/>
  <c r="EG83" i="27"/>
  <c r="EH83" i="27"/>
  <c r="EJ83" i="27"/>
  <c r="EK83" i="27"/>
  <c r="EL83" i="27"/>
  <c r="EN83" i="27"/>
  <c r="EO83" i="27"/>
  <c r="EP83" i="27"/>
  <c r="ER83" i="27"/>
  <c r="ES83" i="27"/>
  <c r="ET83" i="27"/>
  <c r="EV83" i="27"/>
  <c r="EW83" i="27"/>
  <c r="EX83" i="27"/>
  <c r="FG83" i="27" s="1"/>
  <c r="CD84" i="27"/>
  <c r="CF84" i="27"/>
  <c r="CG84" i="27"/>
  <c r="CH84" i="27"/>
  <c r="CJ84" i="27"/>
  <c r="CK84" i="27"/>
  <c r="CL84" i="27"/>
  <c r="CN84" i="27"/>
  <c r="CO84" i="27"/>
  <c r="CP84" i="27"/>
  <c r="CR84" i="27"/>
  <c r="CS84" i="27"/>
  <c r="CT84" i="27"/>
  <c r="CV84" i="27"/>
  <c r="CW84" i="27"/>
  <c r="CX84" i="27"/>
  <c r="CZ84" i="27"/>
  <c r="DA84" i="27"/>
  <c r="DB84" i="27"/>
  <c r="DD84" i="27"/>
  <c r="DE84" i="27"/>
  <c r="DF84" i="27"/>
  <c r="DH84" i="27"/>
  <c r="DI84" i="27"/>
  <c r="DJ84" i="27"/>
  <c r="DL84" i="27"/>
  <c r="DM84" i="27"/>
  <c r="DN84" i="27"/>
  <c r="DP84" i="27"/>
  <c r="DQ84" i="27"/>
  <c r="DR84" i="27"/>
  <c r="DT84" i="27"/>
  <c r="DU84" i="27"/>
  <c r="DV84" i="27"/>
  <c r="DX84" i="27"/>
  <c r="DY84" i="27"/>
  <c r="DZ84" i="27"/>
  <c r="EB84" i="27"/>
  <c r="EC84" i="27"/>
  <c r="ED84" i="27"/>
  <c r="EF84" i="27"/>
  <c r="EG84" i="27"/>
  <c r="EH84" i="27"/>
  <c r="EJ84" i="27"/>
  <c r="EK84" i="27"/>
  <c r="EL84" i="27"/>
  <c r="EN84" i="27"/>
  <c r="EO84" i="27"/>
  <c r="EP84" i="27"/>
  <c r="ER84" i="27"/>
  <c r="ES84" i="27"/>
  <c r="ET84" i="27"/>
  <c r="EV84" i="27"/>
  <c r="EW84" i="27"/>
  <c r="EX84" i="27"/>
  <c r="FG84" i="27" s="1"/>
  <c r="CD85" i="27"/>
  <c r="CF85" i="27"/>
  <c r="CG85" i="27"/>
  <c r="CH85" i="27"/>
  <c r="CJ85" i="27"/>
  <c r="CK85" i="27"/>
  <c r="CL85" i="27"/>
  <c r="CN85" i="27"/>
  <c r="CO85" i="27"/>
  <c r="CP85" i="27"/>
  <c r="CR85" i="27"/>
  <c r="CS85" i="27"/>
  <c r="CT85" i="27"/>
  <c r="CV85" i="27"/>
  <c r="CW85" i="27"/>
  <c r="CX85" i="27"/>
  <c r="CZ85" i="27"/>
  <c r="DA85" i="27"/>
  <c r="DB85" i="27"/>
  <c r="DD85" i="27"/>
  <c r="DE85" i="27"/>
  <c r="DF85" i="27"/>
  <c r="DH85" i="27"/>
  <c r="DI85" i="27"/>
  <c r="DJ85" i="27"/>
  <c r="DL85" i="27"/>
  <c r="DM85" i="27"/>
  <c r="DN85" i="27"/>
  <c r="DP85" i="27"/>
  <c r="DQ85" i="27"/>
  <c r="DR85" i="27"/>
  <c r="DT85" i="27"/>
  <c r="DU85" i="27"/>
  <c r="DV85" i="27"/>
  <c r="DX85" i="27"/>
  <c r="DY85" i="27"/>
  <c r="DZ85" i="27"/>
  <c r="EB85" i="27"/>
  <c r="EC85" i="27"/>
  <c r="ED85" i="27"/>
  <c r="EF85" i="27"/>
  <c r="EG85" i="27"/>
  <c r="EH85" i="27"/>
  <c r="EJ85" i="27"/>
  <c r="EK85" i="27"/>
  <c r="EL85" i="27"/>
  <c r="EN85" i="27"/>
  <c r="EO85" i="27"/>
  <c r="EP85" i="27"/>
  <c r="ER85" i="27"/>
  <c r="ES85" i="27"/>
  <c r="ET85" i="27"/>
  <c r="EV85" i="27"/>
  <c r="EW85" i="27"/>
  <c r="EX85" i="27"/>
  <c r="FG85" i="27" s="1"/>
  <c r="CD86" i="27"/>
  <c r="CF86" i="27"/>
  <c r="CG86" i="27"/>
  <c r="CH86" i="27"/>
  <c r="CJ86" i="27"/>
  <c r="CK86" i="27"/>
  <c r="CL86" i="27"/>
  <c r="CN86" i="27"/>
  <c r="CO86" i="27"/>
  <c r="CP86" i="27"/>
  <c r="CR86" i="27"/>
  <c r="CS86" i="27"/>
  <c r="CT86" i="27"/>
  <c r="CV86" i="27"/>
  <c r="CW86" i="27"/>
  <c r="CX86" i="27"/>
  <c r="CZ86" i="27"/>
  <c r="DA86" i="27"/>
  <c r="DB86" i="27"/>
  <c r="DD86" i="27"/>
  <c r="DE86" i="27"/>
  <c r="DF86" i="27"/>
  <c r="DH86" i="27"/>
  <c r="DI86" i="27"/>
  <c r="DJ86" i="27"/>
  <c r="DL86" i="27"/>
  <c r="DM86" i="27"/>
  <c r="DN86" i="27"/>
  <c r="DP86" i="27"/>
  <c r="DQ86" i="27"/>
  <c r="DR86" i="27"/>
  <c r="DT86" i="27"/>
  <c r="DU86" i="27"/>
  <c r="DV86" i="27"/>
  <c r="DX86" i="27"/>
  <c r="DY86" i="27"/>
  <c r="DZ86" i="27"/>
  <c r="EB86" i="27"/>
  <c r="EC86" i="27"/>
  <c r="ED86" i="27"/>
  <c r="EF86" i="27"/>
  <c r="EG86" i="27"/>
  <c r="EH86" i="27"/>
  <c r="EJ86" i="27"/>
  <c r="EK86" i="27"/>
  <c r="EL86" i="27"/>
  <c r="EN86" i="27"/>
  <c r="EO86" i="27"/>
  <c r="EP86" i="27"/>
  <c r="ER86" i="27"/>
  <c r="ES86" i="27"/>
  <c r="ET86" i="27"/>
  <c r="EV86" i="27"/>
  <c r="EW86" i="27"/>
  <c r="EX86" i="27"/>
  <c r="FG86" i="27" s="1"/>
  <c r="CD87" i="27"/>
  <c r="CF87" i="27"/>
  <c r="CG87" i="27"/>
  <c r="CH87" i="27"/>
  <c r="CJ87" i="27"/>
  <c r="CK87" i="27"/>
  <c r="CL87" i="27"/>
  <c r="CN87" i="27"/>
  <c r="CO87" i="27"/>
  <c r="CP87" i="27"/>
  <c r="CR87" i="27"/>
  <c r="CS87" i="27"/>
  <c r="CT87" i="27"/>
  <c r="CV87" i="27"/>
  <c r="CW87" i="27"/>
  <c r="CX87" i="27"/>
  <c r="CZ87" i="27"/>
  <c r="DA87" i="27"/>
  <c r="DB87" i="27"/>
  <c r="DD87" i="27"/>
  <c r="DE87" i="27"/>
  <c r="DF87" i="27"/>
  <c r="DH87" i="27"/>
  <c r="DI87" i="27"/>
  <c r="DJ87" i="27"/>
  <c r="DL87" i="27"/>
  <c r="DM87" i="27"/>
  <c r="DN87" i="27"/>
  <c r="DP87" i="27"/>
  <c r="DQ87" i="27"/>
  <c r="DR87" i="27"/>
  <c r="DT87" i="27"/>
  <c r="DU87" i="27"/>
  <c r="DV87" i="27"/>
  <c r="DX87" i="27"/>
  <c r="DY87" i="27"/>
  <c r="DZ87" i="27"/>
  <c r="EB87" i="27"/>
  <c r="EC87" i="27"/>
  <c r="ED87" i="27"/>
  <c r="EF87" i="27"/>
  <c r="EG87" i="27"/>
  <c r="EH87" i="27"/>
  <c r="EJ87" i="27"/>
  <c r="EK87" i="27"/>
  <c r="EL87" i="27"/>
  <c r="EN87" i="27"/>
  <c r="EO87" i="27"/>
  <c r="EP87" i="27"/>
  <c r="ER87" i="27"/>
  <c r="ES87" i="27"/>
  <c r="ET87" i="27"/>
  <c r="EV87" i="27"/>
  <c r="EW87" i="27"/>
  <c r="EX87" i="27"/>
  <c r="FG87" i="27" s="1"/>
  <c r="CD88" i="27"/>
  <c r="CF88" i="27"/>
  <c r="CG88" i="27"/>
  <c r="CH88" i="27"/>
  <c r="CJ88" i="27"/>
  <c r="CK88" i="27"/>
  <c r="CL88" i="27"/>
  <c r="CN88" i="27"/>
  <c r="CO88" i="27"/>
  <c r="CP88" i="27"/>
  <c r="CR88" i="27"/>
  <c r="CS88" i="27"/>
  <c r="CT88" i="27"/>
  <c r="CV88" i="27"/>
  <c r="CW88" i="27"/>
  <c r="CX88" i="27"/>
  <c r="CZ88" i="27"/>
  <c r="DA88" i="27"/>
  <c r="DB88" i="27"/>
  <c r="DD88" i="27"/>
  <c r="DE88" i="27"/>
  <c r="DF88" i="27"/>
  <c r="DH88" i="27"/>
  <c r="DI88" i="27"/>
  <c r="DJ88" i="27"/>
  <c r="DL88" i="27"/>
  <c r="DM88" i="27"/>
  <c r="DN88" i="27"/>
  <c r="DP88" i="27"/>
  <c r="DQ88" i="27"/>
  <c r="DR88" i="27"/>
  <c r="DT88" i="27"/>
  <c r="DU88" i="27"/>
  <c r="DV88" i="27"/>
  <c r="DX88" i="27"/>
  <c r="DY88" i="27"/>
  <c r="DZ88" i="27"/>
  <c r="EB88" i="27"/>
  <c r="EC88" i="27"/>
  <c r="ED88" i="27"/>
  <c r="EF88" i="27"/>
  <c r="EG88" i="27"/>
  <c r="EH88" i="27"/>
  <c r="EJ88" i="27"/>
  <c r="EK88" i="27"/>
  <c r="EL88" i="27"/>
  <c r="EN88" i="27"/>
  <c r="EO88" i="27"/>
  <c r="EP88" i="27"/>
  <c r="ER88" i="27"/>
  <c r="ES88" i="27"/>
  <c r="ET88" i="27"/>
  <c r="EV88" i="27"/>
  <c r="EW88" i="27"/>
  <c r="EX88" i="27"/>
  <c r="FG88" i="27" s="1"/>
  <c r="CD89" i="27"/>
  <c r="CF89" i="27"/>
  <c r="CG89" i="27"/>
  <c r="CH89" i="27"/>
  <c r="CJ89" i="27"/>
  <c r="CK89" i="27"/>
  <c r="CL89" i="27"/>
  <c r="CN89" i="27"/>
  <c r="CO89" i="27"/>
  <c r="CP89" i="27"/>
  <c r="CR89" i="27"/>
  <c r="CS89" i="27"/>
  <c r="CT89" i="27"/>
  <c r="CV89" i="27"/>
  <c r="CW89" i="27"/>
  <c r="CX89" i="27"/>
  <c r="CZ89" i="27"/>
  <c r="DA89" i="27"/>
  <c r="DB89" i="27"/>
  <c r="DD89" i="27"/>
  <c r="DE89" i="27"/>
  <c r="DF89" i="27"/>
  <c r="DH89" i="27"/>
  <c r="DI89" i="27"/>
  <c r="DJ89" i="27"/>
  <c r="DL89" i="27"/>
  <c r="DM89" i="27"/>
  <c r="DN89" i="27"/>
  <c r="DP89" i="27"/>
  <c r="DQ89" i="27"/>
  <c r="DR89" i="27"/>
  <c r="DT89" i="27"/>
  <c r="DU89" i="27"/>
  <c r="DV89" i="27"/>
  <c r="DX89" i="27"/>
  <c r="DY89" i="27"/>
  <c r="DZ89" i="27"/>
  <c r="EB89" i="27"/>
  <c r="EC89" i="27"/>
  <c r="ED89" i="27"/>
  <c r="EF89" i="27"/>
  <c r="EG89" i="27"/>
  <c r="EH89" i="27"/>
  <c r="EJ89" i="27"/>
  <c r="EK89" i="27"/>
  <c r="EL89" i="27"/>
  <c r="EN89" i="27"/>
  <c r="EO89" i="27"/>
  <c r="EP89" i="27"/>
  <c r="ER89" i="27"/>
  <c r="ES89" i="27"/>
  <c r="ET89" i="27"/>
  <c r="EV89" i="27"/>
  <c r="EW89" i="27"/>
  <c r="EX89" i="27"/>
  <c r="FG89" i="27" s="1"/>
  <c r="CD90" i="27"/>
  <c r="CF90" i="27"/>
  <c r="CG90" i="27"/>
  <c r="CH90" i="27"/>
  <c r="CJ90" i="27"/>
  <c r="CK90" i="27"/>
  <c r="CL90" i="27"/>
  <c r="CN90" i="27"/>
  <c r="CO90" i="27"/>
  <c r="CP90" i="27"/>
  <c r="CR90" i="27"/>
  <c r="CS90" i="27"/>
  <c r="CT90" i="27"/>
  <c r="CV90" i="27"/>
  <c r="CW90" i="27"/>
  <c r="CX90" i="27"/>
  <c r="CZ90" i="27"/>
  <c r="DA90" i="27"/>
  <c r="DB90" i="27"/>
  <c r="DD90" i="27"/>
  <c r="DE90" i="27"/>
  <c r="DF90" i="27"/>
  <c r="DH90" i="27"/>
  <c r="DI90" i="27"/>
  <c r="DJ90" i="27"/>
  <c r="DL90" i="27"/>
  <c r="DM90" i="27"/>
  <c r="DN90" i="27"/>
  <c r="DP90" i="27"/>
  <c r="DQ90" i="27"/>
  <c r="DR90" i="27"/>
  <c r="DT90" i="27"/>
  <c r="DU90" i="27"/>
  <c r="DV90" i="27"/>
  <c r="DX90" i="27"/>
  <c r="DY90" i="27"/>
  <c r="DZ90" i="27"/>
  <c r="EB90" i="27"/>
  <c r="EC90" i="27"/>
  <c r="ED90" i="27"/>
  <c r="EF90" i="27"/>
  <c r="EG90" i="27"/>
  <c r="EH90" i="27"/>
  <c r="EJ90" i="27"/>
  <c r="EK90" i="27"/>
  <c r="EL90" i="27"/>
  <c r="EN90" i="27"/>
  <c r="EO90" i="27"/>
  <c r="EP90" i="27"/>
  <c r="ER90" i="27"/>
  <c r="ES90" i="27"/>
  <c r="ET90" i="27"/>
  <c r="EV90" i="27"/>
  <c r="EW90" i="27"/>
  <c r="EX90" i="27"/>
  <c r="FG90" i="27" s="1"/>
  <c r="CD91" i="27"/>
  <c r="CF91" i="27"/>
  <c r="CG91" i="27"/>
  <c r="CH91" i="27"/>
  <c r="CJ91" i="27"/>
  <c r="CK91" i="27"/>
  <c r="CL91" i="27"/>
  <c r="CN91" i="27"/>
  <c r="CO91" i="27"/>
  <c r="CP91" i="27"/>
  <c r="CR91" i="27"/>
  <c r="CS91" i="27"/>
  <c r="CT91" i="27"/>
  <c r="CV91" i="27"/>
  <c r="CW91" i="27"/>
  <c r="CX91" i="27"/>
  <c r="CZ91" i="27"/>
  <c r="DA91" i="27"/>
  <c r="DB91" i="27"/>
  <c r="DD91" i="27"/>
  <c r="DE91" i="27"/>
  <c r="DF91" i="27"/>
  <c r="DH91" i="27"/>
  <c r="DI91" i="27"/>
  <c r="DJ91" i="27"/>
  <c r="DL91" i="27"/>
  <c r="DM91" i="27"/>
  <c r="DN91" i="27"/>
  <c r="DP91" i="27"/>
  <c r="DQ91" i="27"/>
  <c r="DR91" i="27"/>
  <c r="DT91" i="27"/>
  <c r="DU91" i="27"/>
  <c r="DV91" i="27"/>
  <c r="DX91" i="27"/>
  <c r="DY91" i="27"/>
  <c r="DZ91" i="27"/>
  <c r="EB91" i="27"/>
  <c r="EC91" i="27"/>
  <c r="ED91" i="27"/>
  <c r="EF91" i="27"/>
  <c r="EG91" i="27"/>
  <c r="EH91" i="27"/>
  <c r="EJ91" i="27"/>
  <c r="EK91" i="27"/>
  <c r="EL91" i="27"/>
  <c r="EN91" i="27"/>
  <c r="EO91" i="27"/>
  <c r="EP91" i="27"/>
  <c r="ER91" i="27"/>
  <c r="ES91" i="27"/>
  <c r="ET91" i="27"/>
  <c r="EV91" i="27"/>
  <c r="EW91" i="27"/>
  <c r="EX91" i="27"/>
  <c r="FG91" i="27" s="1"/>
  <c r="CD92" i="27"/>
  <c r="CF92" i="27"/>
  <c r="CG92" i="27"/>
  <c r="CH92" i="27"/>
  <c r="CJ92" i="27"/>
  <c r="CK92" i="27"/>
  <c r="CL92" i="27"/>
  <c r="CN92" i="27"/>
  <c r="CO92" i="27"/>
  <c r="CP92" i="27"/>
  <c r="CR92" i="27"/>
  <c r="CS92" i="27"/>
  <c r="CT92" i="27"/>
  <c r="CV92" i="27"/>
  <c r="CW92" i="27"/>
  <c r="CX92" i="27"/>
  <c r="CZ92" i="27"/>
  <c r="DA92" i="27"/>
  <c r="DB92" i="27"/>
  <c r="DD92" i="27"/>
  <c r="DE92" i="27"/>
  <c r="DF92" i="27"/>
  <c r="DH92" i="27"/>
  <c r="DI92" i="27"/>
  <c r="DJ92" i="27"/>
  <c r="DL92" i="27"/>
  <c r="DM92" i="27"/>
  <c r="DN92" i="27"/>
  <c r="DP92" i="27"/>
  <c r="DQ92" i="27"/>
  <c r="DR92" i="27"/>
  <c r="DT92" i="27"/>
  <c r="DU92" i="27"/>
  <c r="DV92" i="27"/>
  <c r="DX92" i="27"/>
  <c r="DY92" i="27"/>
  <c r="DZ92" i="27"/>
  <c r="EB92" i="27"/>
  <c r="EC92" i="27"/>
  <c r="ED92" i="27"/>
  <c r="EF92" i="27"/>
  <c r="EG92" i="27"/>
  <c r="EH92" i="27"/>
  <c r="EJ92" i="27"/>
  <c r="EK92" i="27"/>
  <c r="EL92" i="27"/>
  <c r="EN92" i="27"/>
  <c r="EO92" i="27"/>
  <c r="EP92" i="27"/>
  <c r="ER92" i="27"/>
  <c r="ES92" i="27"/>
  <c r="ET92" i="27"/>
  <c r="EV92" i="27"/>
  <c r="EW92" i="27"/>
  <c r="EX92" i="27"/>
  <c r="FG92" i="27" s="1"/>
  <c r="CD93" i="27"/>
  <c r="CF93" i="27"/>
  <c r="CG93" i="27"/>
  <c r="CH93" i="27"/>
  <c r="CJ93" i="27"/>
  <c r="CK93" i="27"/>
  <c r="CL93" i="27"/>
  <c r="CN93" i="27"/>
  <c r="CO93" i="27"/>
  <c r="CP93" i="27"/>
  <c r="CR93" i="27"/>
  <c r="CS93" i="27"/>
  <c r="CT93" i="27"/>
  <c r="CV93" i="27"/>
  <c r="CW93" i="27"/>
  <c r="CX93" i="27"/>
  <c r="CZ93" i="27"/>
  <c r="DA93" i="27"/>
  <c r="DB93" i="27"/>
  <c r="DD93" i="27"/>
  <c r="DE93" i="27"/>
  <c r="DF93" i="27"/>
  <c r="DH93" i="27"/>
  <c r="DI93" i="27"/>
  <c r="DJ93" i="27"/>
  <c r="DL93" i="27"/>
  <c r="DM93" i="27"/>
  <c r="DN93" i="27"/>
  <c r="DP93" i="27"/>
  <c r="DQ93" i="27"/>
  <c r="DR93" i="27"/>
  <c r="DT93" i="27"/>
  <c r="DU93" i="27"/>
  <c r="DV93" i="27"/>
  <c r="DX93" i="27"/>
  <c r="DY93" i="27"/>
  <c r="DZ93" i="27"/>
  <c r="EB93" i="27"/>
  <c r="EC93" i="27"/>
  <c r="ED93" i="27"/>
  <c r="EF93" i="27"/>
  <c r="EG93" i="27"/>
  <c r="EH93" i="27"/>
  <c r="EJ93" i="27"/>
  <c r="EK93" i="27"/>
  <c r="EL93" i="27"/>
  <c r="EN93" i="27"/>
  <c r="EO93" i="27"/>
  <c r="EP93" i="27"/>
  <c r="ER93" i="27"/>
  <c r="ES93" i="27"/>
  <c r="ET93" i="27"/>
  <c r="EV93" i="27"/>
  <c r="EW93" i="27"/>
  <c r="EX93" i="27"/>
  <c r="FG93" i="27" s="1"/>
  <c r="CD94" i="27"/>
  <c r="CF94" i="27"/>
  <c r="CG94" i="27"/>
  <c r="CH94" i="27"/>
  <c r="CJ94" i="27"/>
  <c r="CK94" i="27"/>
  <c r="CL94" i="27"/>
  <c r="CN94" i="27"/>
  <c r="CO94" i="27"/>
  <c r="CP94" i="27"/>
  <c r="CR94" i="27"/>
  <c r="CS94" i="27"/>
  <c r="CT94" i="27"/>
  <c r="CV94" i="27"/>
  <c r="CW94" i="27"/>
  <c r="CX94" i="27"/>
  <c r="CZ94" i="27"/>
  <c r="DA94" i="27"/>
  <c r="DB94" i="27"/>
  <c r="DD94" i="27"/>
  <c r="DE94" i="27"/>
  <c r="DF94" i="27"/>
  <c r="DH94" i="27"/>
  <c r="DI94" i="27"/>
  <c r="DJ94" i="27"/>
  <c r="DL94" i="27"/>
  <c r="DM94" i="27"/>
  <c r="DN94" i="27"/>
  <c r="DP94" i="27"/>
  <c r="DQ94" i="27"/>
  <c r="DR94" i="27"/>
  <c r="DT94" i="27"/>
  <c r="DU94" i="27"/>
  <c r="DV94" i="27"/>
  <c r="DX94" i="27"/>
  <c r="DY94" i="27"/>
  <c r="DZ94" i="27"/>
  <c r="EB94" i="27"/>
  <c r="EC94" i="27"/>
  <c r="ED94" i="27"/>
  <c r="EF94" i="27"/>
  <c r="EG94" i="27"/>
  <c r="EH94" i="27"/>
  <c r="EJ94" i="27"/>
  <c r="EK94" i="27"/>
  <c r="EL94" i="27"/>
  <c r="EN94" i="27"/>
  <c r="EO94" i="27"/>
  <c r="EP94" i="27"/>
  <c r="ER94" i="27"/>
  <c r="ES94" i="27"/>
  <c r="ET94" i="27"/>
  <c r="EV94" i="27"/>
  <c r="EW94" i="27"/>
  <c r="EX94" i="27"/>
  <c r="FG94" i="27" s="1"/>
  <c r="CD95" i="27"/>
  <c r="CF95" i="27"/>
  <c r="CG95" i="27"/>
  <c r="CH95" i="27"/>
  <c r="CJ95" i="27"/>
  <c r="CK95" i="27"/>
  <c r="CL95" i="27"/>
  <c r="CN95" i="27"/>
  <c r="CO95" i="27"/>
  <c r="CP95" i="27"/>
  <c r="CR95" i="27"/>
  <c r="CS95" i="27"/>
  <c r="CT95" i="27"/>
  <c r="CV95" i="27"/>
  <c r="CW95" i="27"/>
  <c r="CX95" i="27"/>
  <c r="CZ95" i="27"/>
  <c r="DA95" i="27"/>
  <c r="DB95" i="27"/>
  <c r="DD95" i="27"/>
  <c r="DE95" i="27"/>
  <c r="DF95" i="27"/>
  <c r="DH95" i="27"/>
  <c r="DI95" i="27"/>
  <c r="DJ95" i="27"/>
  <c r="DL95" i="27"/>
  <c r="DM95" i="27"/>
  <c r="DN95" i="27"/>
  <c r="DP95" i="27"/>
  <c r="DQ95" i="27"/>
  <c r="DR95" i="27"/>
  <c r="DT95" i="27"/>
  <c r="DU95" i="27"/>
  <c r="DV95" i="27"/>
  <c r="DX95" i="27"/>
  <c r="DY95" i="27"/>
  <c r="DZ95" i="27"/>
  <c r="EB95" i="27"/>
  <c r="EC95" i="27"/>
  <c r="ED95" i="27"/>
  <c r="EF95" i="27"/>
  <c r="EG95" i="27"/>
  <c r="EH95" i="27"/>
  <c r="EJ95" i="27"/>
  <c r="EK95" i="27"/>
  <c r="EL95" i="27"/>
  <c r="EN95" i="27"/>
  <c r="EO95" i="27"/>
  <c r="EP95" i="27"/>
  <c r="ER95" i="27"/>
  <c r="ES95" i="27"/>
  <c r="ET95" i="27"/>
  <c r="EV95" i="27"/>
  <c r="EW95" i="27"/>
  <c r="EX95" i="27"/>
  <c r="FG95" i="27" s="1"/>
  <c r="CD96" i="27"/>
  <c r="CF96" i="27"/>
  <c r="CG96" i="27"/>
  <c r="CH96" i="27"/>
  <c r="CJ96" i="27"/>
  <c r="CK96" i="27"/>
  <c r="CL96" i="27"/>
  <c r="CN96" i="27"/>
  <c r="CO96" i="27"/>
  <c r="CP96" i="27"/>
  <c r="CR96" i="27"/>
  <c r="CS96" i="27"/>
  <c r="CT96" i="27"/>
  <c r="CV96" i="27"/>
  <c r="CW96" i="27"/>
  <c r="CX96" i="27"/>
  <c r="CZ96" i="27"/>
  <c r="DA96" i="27"/>
  <c r="DB96" i="27"/>
  <c r="DD96" i="27"/>
  <c r="DE96" i="27"/>
  <c r="DF96" i="27"/>
  <c r="DH96" i="27"/>
  <c r="DI96" i="27"/>
  <c r="DJ96" i="27"/>
  <c r="DL96" i="27"/>
  <c r="DM96" i="27"/>
  <c r="DN96" i="27"/>
  <c r="DP96" i="27"/>
  <c r="DQ96" i="27"/>
  <c r="DR96" i="27"/>
  <c r="DT96" i="27"/>
  <c r="DU96" i="27"/>
  <c r="DV96" i="27"/>
  <c r="DX96" i="27"/>
  <c r="DY96" i="27"/>
  <c r="DZ96" i="27"/>
  <c r="EB96" i="27"/>
  <c r="EC96" i="27"/>
  <c r="ED96" i="27"/>
  <c r="EF96" i="27"/>
  <c r="EG96" i="27"/>
  <c r="EH96" i="27"/>
  <c r="EJ96" i="27"/>
  <c r="EK96" i="27"/>
  <c r="EL96" i="27"/>
  <c r="EN96" i="27"/>
  <c r="EO96" i="27"/>
  <c r="EP96" i="27"/>
  <c r="ER96" i="27"/>
  <c r="ES96" i="27"/>
  <c r="ET96" i="27"/>
  <c r="EV96" i="27"/>
  <c r="EW96" i="27"/>
  <c r="EX96" i="27"/>
  <c r="FG96" i="27" s="1"/>
  <c r="CD97" i="27"/>
  <c r="CF97" i="27"/>
  <c r="CG97" i="27"/>
  <c r="CH97" i="27"/>
  <c r="CJ97" i="27"/>
  <c r="CK97" i="27"/>
  <c r="CL97" i="27"/>
  <c r="CN97" i="27"/>
  <c r="CO97" i="27"/>
  <c r="CP97" i="27"/>
  <c r="CR97" i="27"/>
  <c r="CS97" i="27"/>
  <c r="CT97" i="27"/>
  <c r="CV97" i="27"/>
  <c r="CW97" i="27"/>
  <c r="CX97" i="27"/>
  <c r="CZ97" i="27"/>
  <c r="DA97" i="27"/>
  <c r="DB97" i="27"/>
  <c r="DD97" i="27"/>
  <c r="DE97" i="27"/>
  <c r="DF97" i="27"/>
  <c r="DH97" i="27"/>
  <c r="DI97" i="27"/>
  <c r="DJ97" i="27"/>
  <c r="DL97" i="27"/>
  <c r="DM97" i="27"/>
  <c r="DN97" i="27"/>
  <c r="DP97" i="27"/>
  <c r="DQ97" i="27"/>
  <c r="DR97" i="27"/>
  <c r="DT97" i="27"/>
  <c r="DU97" i="27"/>
  <c r="DV97" i="27"/>
  <c r="DX97" i="27"/>
  <c r="DY97" i="27"/>
  <c r="DZ97" i="27"/>
  <c r="EB97" i="27"/>
  <c r="EC97" i="27"/>
  <c r="ED97" i="27"/>
  <c r="EF97" i="27"/>
  <c r="EG97" i="27"/>
  <c r="EH97" i="27"/>
  <c r="EJ97" i="27"/>
  <c r="EK97" i="27"/>
  <c r="EL97" i="27"/>
  <c r="EN97" i="27"/>
  <c r="EO97" i="27"/>
  <c r="EP97" i="27"/>
  <c r="ER97" i="27"/>
  <c r="ES97" i="27"/>
  <c r="ET97" i="27"/>
  <c r="EV97" i="27"/>
  <c r="EW97" i="27"/>
  <c r="EX97" i="27"/>
  <c r="FG97" i="27" s="1"/>
  <c r="CD98" i="27"/>
  <c r="CF98" i="27"/>
  <c r="CG98" i="27"/>
  <c r="CH98" i="27"/>
  <c r="CJ98" i="27"/>
  <c r="CK98" i="27"/>
  <c r="CL98" i="27"/>
  <c r="CN98" i="27"/>
  <c r="CO98" i="27"/>
  <c r="CP98" i="27"/>
  <c r="CR98" i="27"/>
  <c r="CS98" i="27"/>
  <c r="CT98" i="27"/>
  <c r="CV98" i="27"/>
  <c r="CW98" i="27"/>
  <c r="CX98" i="27"/>
  <c r="CZ98" i="27"/>
  <c r="DA98" i="27"/>
  <c r="DB98" i="27"/>
  <c r="DD98" i="27"/>
  <c r="DE98" i="27"/>
  <c r="DF98" i="27"/>
  <c r="DH98" i="27"/>
  <c r="DI98" i="27"/>
  <c r="DJ98" i="27"/>
  <c r="DL98" i="27"/>
  <c r="DM98" i="27"/>
  <c r="DN98" i="27"/>
  <c r="DP98" i="27"/>
  <c r="DQ98" i="27"/>
  <c r="DR98" i="27"/>
  <c r="DT98" i="27"/>
  <c r="DU98" i="27"/>
  <c r="DV98" i="27"/>
  <c r="DX98" i="27"/>
  <c r="DY98" i="27"/>
  <c r="DZ98" i="27"/>
  <c r="EB98" i="27"/>
  <c r="EC98" i="27"/>
  <c r="ED98" i="27"/>
  <c r="EF98" i="27"/>
  <c r="EG98" i="27"/>
  <c r="EH98" i="27"/>
  <c r="EJ98" i="27"/>
  <c r="EK98" i="27"/>
  <c r="EL98" i="27"/>
  <c r="EN98" i="27"/>
  <c r="EO98" i="27"/>
  <c r="EP98" i="27"/>
  <c r="ER98" i="27"/>
  <c r="ES98" i="27"/>
  <c r="ET98" i="27"/>
  <c r="EV98" i="27"/>
  <c r="EW98" i="27"/>
  <c r="EX98" i="27"/>
  <c r="FG98" i="27" s="1"/>
  <c r="CD99" i="27"/>
  <c r="CF99" i="27"/>
  <c r="CG99" i="27"/>
  <c r="CH99" i="27"/>
  <c r="CJ99" i="27"/>
  <c r="CK99" i="27"/>
  <c r="CL99" i="27"/>
  <c r="CN99" i="27"/>
  <c r="CO99" i="27"/>
  <c r="CP99" i="27"/>
  <c r="CR99" i="27"/>
  <c r="CS99" i="27"/>
  <c r="CT99" i="27"/>
  <c r="CV99" i="27"/>
  <c r="CW99" i="27"/>
  <c r="CX99" i="27"/>
  <c r="CZ99" i="27"/>
  <c r="DA99" i="27"/>
  <c r="DB99" i="27"/>
  <c r="DD99" i="27"/>
  <c r="DE99" i="27"/>
  <c r="DF99" i="27"/>
  <c r="DH99" i="27"/>
  <c r="DI99" i="27"/>
  <c r="DJ99" i="27"/>
  <c r="DL99" i="27"/>
  <c r="DM99" i="27"/>
  <c r="DN99" i="27"/>
  <c r="DP99" i="27"/>
  <c r="DQ99" i="27"/>
  <c r="DR99" i="27"/>
  <c r="DT99" i="27"/>
  <c r="DU99" i="27"/>
  <c r="DV99" i="27"/>
  <c r="DX99" i="27"/>
  <c r="DY99" i="27"/>
  <c r="DZ99" i="27"/>
  <c r="EB99" i="27"/>
  <c r="EC99" i="27"/>
  <c r="ED99" i="27"/>
  <c r="EF99" i="27"/>
  <c r="EG99" i="27"/>
  <c r="EH99" i="27"/>
  <c r="EJ99" i="27"/>
  <c r="EK99" i="27"/>
  <c r="EL99" i="27"/>
  <c r="EN99" i="27"/>
  <c r="EO99" i="27"/>
  <c r="EP99" i="27"/>
  <c r="ER99" i="27"/>
  <c r="ES99" i="27"/>
  <c r="ET99" i="27"/>
  <c r="EV99" i="27"/>
  <c r="EW99" i="27"/>
  <c r="EX99" i="27"/>
  <c r="FG99" i="27" s="1"/>
  <c r="CD100" i="27"/>
  <c r="CF100" i="27"/>
  <c r="CG100" i="27"/>
  <c r="CH100" i="27"/>
  <c r="CJ100" i="27"/>
  <c r="CK100" i="27"/>
  <c r="CL100" i="27"/>
  <c r="CN100" i="27"/>
  <c r="CO100" i="27"/>
  <c r="CP100" i="27"/>
  <c r="CR100" i="27"/>
  <c r="CS100" i="27"/>
  <c r="CT100" i="27"/>
  <c r="CV100" i="27"/>
  <c r="CW100" i="27"/>
  <c r="CX100" i="27"/>
  <c r="CZ100" i="27"/>
  <c r="DA100" i="27"/>
  <c r="DB100" i="27"/>
  <c r="DD100" i="27"/>
  <c r="DE100" i="27"/>
  <c r="DF100" i="27"/>
  <c r="DH100" i="27"/>
  <c r="DI100" i="27"/>
  <c r="DJ100" i="27"/>
  <c r="DL100" i="27"/>
  <c r="DM100" i="27"/>
  <c r="DN100" i="27"/>
  <c r="DP100" i="27"/>
  <c r="DQ100" i="27"/>
  <c r="DR100" i="27"/>
  <c r="DT100" i="27"/>
  <c r="DU100" i="27"/>
  <c r="DV100" i="27"/>
  <c r="DX100" i="27"/>
  <c r="DY100" i="27"/>
  <c r="DZ100" i="27"/>
  <c r="EB100" i="27"/>
  <c r="EC100" i="27"/>
  <c r="ED100" i="27"/>
  <c r="EF100" i="27"/>
  <c r="EG100" i="27"/>
  <c r="EH100" i="27"/>
  <c r="EJ100" i="27"/>
  <c r="EK100" i="27"/>
  <c r="EL100" i="27"/>
  <c r="EN100" i="27"/>
  <c r="EO100" i="27"/>
  <c r="EP100" i="27"/>
  <c r="ER100" i="27"/>
  <c r="ES100" i="27"/>
  <c r="ET100" i="27"/>
  <c r="EV100" i="27"/>
  <c r="EW100" i="27"/>
  <c r="EX100" i="27"/>
  <c r="FG100" i="27" s="1"/>
  <c r="CD101" i="27"/>
  <c r="CF101" i="27"/>
  <c r="CG101" i="27"/>
  <c r="CH101" i="27"/>
  <c r="CJ101" i="27"/>
  <c r="CK101" i="27"/>
  <c r="CL101" i="27"/>
  <c r="CN101" i="27"/>
  <c r="CO101" i="27"/>
  <c r="CP101" i="27"/>
  <c r="CR101" i="27"/>
  <c r="CS101" i="27"/>
  <c r="CT101" i="27"/>
  <c r="CV101" i="27"/>
  <c r="CW101" i="27"/>
  <c r="CX101" i="27"/>
  <c r="CZ101" i="27"/>
  <c r="DA101" i="27"/>
  <c r="DB101" i="27"/>
  <c r="DD101" i="27"/>
  <c r="DE101" i="27"/>
  <c r="DF101" i="27"/>
  <c r="DH101" i="27"/>
  <c r="DI101" i="27"/>
  <c r="DJ101" i="27"/>
  <c r="DL101" i="27"/>
  <c r="DM101" i="27"/>
  <c r="DN101" i="27"/>
  <c r="DP101" i="27"/>
  <c r="DQ101" i="27"/>
  <c r="DR101" i="27"/>
  <c r="DT101" i="27"/>
  <c r="DU101" i="27"/>
  <c r="DV101" i="27"/>
  <c r="DX101" i="27"/>
  <c r="DY101" i="27"/>
  <c r="DZ101" i="27"/>
  <c r="EB101" i="27"/>
  <c r="EC101" i="27"/>
  <c r="ED101" i="27"/>
  <c r="EF101" i="27"/>
  <c r="EG101" i="27"/>
  <c r="EH101" i="27"/>
  <c r="EJ101" i="27"/>
  <c r="EK101" i="27"/>
  <c r="EL101" i="27"/>
  <c r="EN101" i="27"/>
  <c r="EO101" i="27"/>
  <c r="EP101" i="27"/>
  <c r="ER101" i="27"/>
  <c r="ES101" i="27"/>
  <c r="ET101" i="27"/>
  <c r="EV101" i="27"/>
  <c r="EW101" i="27"/>
  <c r="EX101" i="27"/>
  <c r="FG101" i="27" s="1"/>
  <c r="CD102" i="27"/>
  <c r="CF102" i="27"/>
  <c r="CG102" i="27"/>
  <c r="CH102" i="27"/>
  <c r="CJ102" i="27"/>
  <c r="CK102" i="27"/>
  <c r="CL102" i="27"/>
  <c r="CN102" i="27"/>
  <c r="CO102" i="27"/>
  <c r="CP102" i="27"/>
  <c r="CR102" i="27"/>
  <c r="CS102" i="27"/>
  <c r="CT102" i="27"/>
  <c r="CV102" i="27"/>
  <c r="CW102" i="27"/>
  <c r="CX102" i="27"/>
  <c r="CZ102" i="27"/>
  <c r="DA102" i="27"/>
  <c r="DB102" i="27"/>
  <c r="DD102" i="27"/>
  <c r="DE102" i="27"/>
  <c r="DF102" i="27"/>
  <c r="DH102" i="27"/>
  <c r="DI102" i="27"/>
  <c r="DJ102" i="27"/>
  <c r="DL102" i="27"/>
  <c r="DM102" i="27"/>
  <c r="DN102" i="27"/>
  <c r="DP102" i="27"/>
  <c r="DQ102" i="27"/>
  <c r="DR102" i="27"/>
  <c r="DT102" i="27"/>
  <c r="DU102" i="27"/>
  <c r="DV102" i="27"/>
  <c r="DX102" i="27"/>
  <c r="DY102" i="27"/>
  <c r="DZ102" i="27"/>
  <c r="EB102" i="27"/>
  <c r="EC102" i="27"/>
  <c r="ED102" i="27"/>
  <c r="EF102" i="27"/>
  <c r="EG102" i="27"/>
  <c r="EH102" i="27"/>
  <c r="EJ102" i="27"/>
  <c r="EK102" i="27"/>
  <c r="EL102" i="27"/>
  <c r="EN102" i="27"/>
  <c r="EO102" i="27"/>
  <c r="EP102" i="27"/>
  <c r="ER102" i="27"/>
  <c r="ES102" i="27"/>
  <c r="ET102" i="27"/>
  <c r="EV102" i="27"/>
  <c r="EW102" i="27"/>
  <c r="EX102" i="27"/>
  <c r="FG102" i="27" s="1"/>
  <c r="CD103" i="27"/>
  <c r="CF103" i="27"/>
  <c r="CG103" i="27"/>
  <c r="CH103" i="27"/>
  <c r="CJ103" i="27"/>
  <c r="CK103" i="27"/>
  <c r="CL103" i="27"/>
  <c r="CN103" i="27"/>
  <c r="CO103" i="27"/>
  <c r="CP103" i="27"/>
  <c r="CR103" i="27"/>
  <c r="CS103" i="27"/>
  <c r="CT103" i="27"/>
  <c r="CV103" i="27"/>
  <c r="CW103" i="27"/>
  <c r="CX103" i="27"/>
  <c r="CZ103" i="27"/>
  <c r="DA103" i="27"/>
  <c r="DB103" i="27"/>
  <c r="DD103" i="27"/>
  <c r="DE103" i="27"/>
  <c r="DF103" i="27"/>
  <c r="DH103" i="27"/>
  <c r="DI103" i="27"/>
  <c r="DJ103" i="27"/>
  <c r="DL103" i="27"/>
  <c r="DM103" i="27"/>
  <c r="DN103" i="27"/>
  <c r="DP103" i="27"/>
  <c r="DQ103" i="27"/>
  <c r="DR103" i="27"/>
  <c r="DT103" i="27"/>
  <c r="DU103" i="27"/>
  <c r="DV103" i="27"/>
  <c r="DX103" i="27"/>
  <c r="DY103" i="27"/>
  <c r="DZ103" i="27"/>
  <c r="EB103" i="27"/>
  <c r="EC103" i="27"/>
  <c r="ED103" i="27"/>
  <c r="EF103" i="27"/>
  <c r="EG103" i="27"/>
  <c r="EH103" i="27"/>
  <c r="EJ103" i="27"/>
  <c r="EK103" i="27"/>
  <c r="EL103" i="27"/>
  <c r="EN103" i="27"/>
  <c r="EO103" i="27"/>
  <c r="EP103" i="27"/>
  <c r="ER103" i="27"/>
  <c r="ES103" i="27"/>
  <c r="ET103" i="27"/>
  <c r="EV103" i="27"/>
  <c r="EW103" i="27"/>
  <c r="EX103" i="27"/>
  <c r="FG103" i="27" s="1"/>
  <c r="CD104" i="27"/>
  <c r="CF104" i="27"/>
  <c r="CG104" i="27"/>
  <c r="CH104" i="27"/>
  <c r="CJ104" i="27"/>
  <c r="CK104" i="27"/>
  <c r="CL104" i="27"/>
  <c r="CN104" i="27"/>
  <c r="CO104" i="27"/>
  <c r="CP104" i="27"/>
  <c r="CR104" i="27"/>
  <c r="CS104" i="27"/>
  <c r="CT104" i="27"/>
  <c r="CV104" i="27"/>
  <c r="CW104" i="27"/>
  <c r="CX104" i="27"/>
  <c r="CZ104" i="27"/>
  <c r="DA104" i="27"/>
  <c r="DB104" i="27"/>
  <c r="DD104" i="27"/>
  <c r="DE104" i="27"/>
  <c r="DF104" i="27"/>
  <c r="DH104" i="27"/>
  <c r="DI104" i="27"/>
  <c r="DJ104" i="27"/>
  <c r="DL104" i="27"/>
  <c r="DM104" i="27"/>
  <c r="DN104" i="27"/>
  <c r="DP104" i="27"/>
  <c r="DQ104" i="27"/>
  <c r="DR104" i="27"/>
  <c r="DT104" i="27"/>
  <c r="DU104" i="27"/>
  <c r="DV104" i="27"/>
  <c r="DX104" i="27"/>
  <c r="DY104" i="27"/>
  <c r="DZ104" i="27"/>
  <c r="EB104" i="27"/>
  <c r="EC104" i="27"/>
  <c r="ED104" i="27"/>
  <c r="EF104" i="27"/>
  <c r="EG104" i="27"/>
  <c r="EH104" i="27"/>
  <c r="EJ104" i="27"/>
  <c r="EK104" i="27"/>
  <c r="EL104" i="27"/>
  <c r="EN104" i="27"/>
  <c r="EO104" i="27"/>
  <c r="EP104" i="27"/>
  <c r="ER104" i="27"/>
  <c r="ES104" i="27"/>
  <c r="ET104" i="27"/>
  <c r="EV104" i="27"/>
  <c r="EW104" i="27"/>
  <c r="EX104" i="27"/>
  <c r="FG104" i="27" s="1"/>
  <c r="CD105" i="27"/>
  <c r="CF105" i="27"/>
  <c r="CG105" i="27"/>
  <c r="CH105" i="27"/>
  <c r="CJ105" i="27"/>
  <c r="CK105" i="27"/>
  <c r="CL105" i="27"/>
  <c r="CN105" i="27"/>
  <c r="CO105" i="27"/>
  <c r="CP105" i="27"/>
  <c r="CR105" i="27"/>
  <c r="CS105" i="27"/>
  <c r="CT105" i="27"/>
  <c r="CV105" i="27"/>
  <c r="CW105" i="27"/>
  <c r="CX105" i="27"/>
  <c r="CZ105" i="27"/>
  <c r="DA105" i="27"/>
  <c r="DB105" i="27"/>
  <c r="DD105" i="27"/>
  <c r="DE105" i="27"/>
  <c r="DF105" i="27"/>
  <c r="DH105" i="27"/>
  <c r="DI105" i="27"/>
  <c r="DJ105" i="27"/>
  <c r="DL105" i="27"/>
  <c r="DM105" i="27"/>
  <c r="DN105" i="27"/>
  <c r="DP105" i="27"/>
  <c r="DQ105" i="27"/>
  <c r="DR105" i="27"/>
  <c r="DT105" i="27"/>
  <c r="DU105" i="27"/>
  <c r="DV105" i="27"/>
  <c r="DX105" i="27"/>
  <c r="DY105" i="27"/>
  <c r="DZ105" i="27"/>
  <c r="EB105" i="27"/>
  <c r="EC105" i="27"/>
  <c r="ED105" i="27"/>
  <c r="EF105" i="27"/>
  <c r="EG105" i="27"/>
  <c r="EH105" i="27"/>
  <c r="EJ105" i="27"/>
  <c r="EK105" i="27"/>
  <c r="EL105" i="27"/>
  <c r="EN105" i="27"/>
  <c r="EO105" i="27"/>
  <c r="EP105" i="27"/>
  <c r="ER105" i="27"/>
  <c r="ES105" i="27"/>
  <c r="ET105" i="27"/>
  <c r="EV105" i="27"/>
  <c r="EW105" i="27"/>
  <c r="EX105" i="27"/>
  <c r="FG105" i="27" s="1"/>
  <c r="CD106" i="27"/>
  <c r="CF106" i="27"/>
  <c r="CG106" i="27"/>
  <c r="CH106" i="27"/>
  <c r="CJ106" i="27"/>
  <c r="CK106" i="27"/>
  <c r="CL106" i="27"/>
  <c r="CN106" i="27"/>
  <c r="CO106" i="27"/>
  <c r="CP106" i="27"/>
  <c r="CR106" i="27"/>
  <c r="CS106" i="27"/>
  <c r="CT106" i="27"/>
  <c r="CV106" i="27"/>
  <c r="CW106" i="27"/>
  <c r="CX106" i="27"/>
  <c r="CZ106" i="27"/>
  <c r="DA106" i="27"/>
  <c r="DB106" i="27"/>
  <c r="DD106" i="27"/>
  <c r="DE106" i="27"/>
  <c r="DF106" i="27"/>
  <c r="DH106" i="27"/>
  <c r="DI106" i="27"/>
  <c r="DJ106" i="27"/>
  <c r="DL106" i="27"/>
  <c r="DM106" i="27"/>
  <c r="DN106" i="27"/>
  <c r="DP106" i="27"/>
  <c r="DQ106" i="27"/>
  <c r="DR106" i="27"/>
  <c r="DT106" i="27"/>
  <c r="DU106" i="27"/>
  <c r="DV106" i="27"/>
  <c r="DX106" i="27"/>
  <c r="DY106" i="27"/>
  <c r="DZ106" i="27"/>
  <c r="EB106" i="27"/>
  <c r="EC106" i="27"/>
  <c r="ED106" i="27"/>
  <c r="EF106" i="27"/>
  <c r="EG106" i="27"/>
  <c r="EH106" i="27"/>
  <c r="EJ106" i="27"/>
  <c r="EK106" i="27"/>
  <c r="EL106" i="27"/>
  <c r="EN106" i="27"/>
  <c r="EO106" i="27"/>
  <c r="EP106" i="27"/>
  <c r="ER106" i="27"/>
  <c r="ES106" i="27"/>
  <c r="ET106" i="27"/>
  <c r="EV106" i="27"/>
  <c r="EW106" i="27"/>
  <c r="EX106" i="27"/>
  <c r="FG106" i="27" s="1"/>
  <c r="CD107" i="27"/>
  <c r="CF107" i="27"/>
  <c r="CG107" i="27"/>
  <c r="CH107" i="27"/>
  <c r="CJ107" i="27"/>
  <c r="CK107" i="27"/>
  <c r="CL107" i="27"/>
  <c r="CN107" i="27"/>
  <c r="CO107" i="27"/>
  <c r="CP107" i="27"/>
  <c r="CR107" i="27"/>
  <c r="CS107" i="27"/>
  <c r="CT107" i="27"/>
  <c r="CV107" i="27"/>
  <c r="CW107" i="27"/>
  <c r="CX107" i="27"/>
  <c r="CZ107" i="27"/>
  <c r="DA107" i="27"/>
  <c r="DB107" i="27"/>
  <c r="DD107" i="27"/>
  <c r="DE107" i="27"/>
  <c r="DF107" i="27"/>
  <c r="DH107" i="27"/>
  <c r="DI107" i="27"/>
  <c r="DJ107" i="27"/>
  <c r="DL107" i="27"/>
  <c r="DM107" i="27"/>
  <c r="DN107" i="27"/>
  <c r="DP107" i="27"/>
  <c r="DQ107" i="27"/>
  <c r="DR107" i="27"/>
  <c r="DT107" i="27"/>
  <c r="DU107" i="27"/>
  <c r="DV107" i="27"/>
  <c r="DX107" i="27"/>
  <c r="DY107" i="27"/>
  <c r="DZ107" i="27"/>
  <c r="EB107" i="27"/>
  <c r="EC107" i="27"/>
  <c r="ED107" i="27"/>
  <c r="EF107" i="27"/>
  <c r="EG107" i="27"/>
  <c r="EH107" i="27"/>
  <c r="EJ107" i="27"/>
  <c r="EK107" i="27"/>
  <c r="EL107" i="27"/>
  <c r="EN107" i="27"/>
  <c r="EO107" i="27"/>
  <c r="EP107" i="27"/>
  <c r="ER107" i="27"/>
  <c r="ES107" i="27"/>
  <c r="ET107" i="27"/>
  <c r="EV107" i="27"/>
  <c r="EW107" i="27"/>
  <c r="EX107" i="27"/>
  <c r="FG107" i="27" s="1"/>
  <c r="CD108" i="27"/>
  <c r="CF108" i="27"/>
  <c r="CG108" i="27"/>
  <c r="CH108" i="27"/>
  <c r="CJ108" i="27"/>
  <c r="CK108" i="27"/>
  <c r="CL108" i="27"/>
  <c r="CN108" i="27"/>
  <c r="CO108" i="27"/>
  <c r="CP108" i="27"/>
  <c r="CR108" i="27"/>
  <c r="CS108" i="27"/>
  <c r="CT108" i="27"/>
  <c r="CV108" i="27"/>
  <c r="CW108" i="27"/>
  <c r="CX108" i="27"/>
  <c r="CZ108" i="27"/>
  <c r="DA108" i="27"/>
  <c r="DB108" i="27"/>
  <c r="DD108" i="27"/>
  <c r="DE108" i="27"/>
  <c r="DF108" i="27"/>
  <c r="DH108" i="27"/>
  <c r="DI108" i="27"/>
  <c r="DJ108" i="27"/>
  <c r="DL108" i="27"/>
  <c r="DM108" i="27"/>
  <c r="DN108" i="27"/>
  <c r="DP108" i="27"/>
  <c r="DQ108" i="27"/>
  <c r="DR108" i="27"/>
  <c r="DT108" i="27"/>
  <c r="DU108" i="27"/>
  <c r="DV108" i="27"/>
  <c r="DX108" i="27"/>
  <c r="DY108" i="27"/>
  <c r="DZ108" i="27"/>
  <c r="EB108" i="27"/>
  <c r="EC108" i="27"/>
  <c r="ED108" i="27"/>
  <c r="EF108" i="27"/>
  <c r="EG108" i="27"/>
  <c r="EH108" i="27"/>
  <c r="EJ108" i="27"/>
  <c r="EK108" i="27"/>
  <c r="EL108" i="27"/>
  <c r="EN108" i="27"/>
  <c r="EO108" i="27"/>
  <c r="EP108" i="27"/>
  <c r="ER108" i="27"/>
  <c r="ES108" i="27"/>
  <c r="ET108" i="27"/>
  <c r="EV108" i="27"/>
  <c r="EW108" i="27"/>
  <c r="EX108" i="27"/>
  <c r="FG108" i="27" s="1"/>
  <c r="CD109" i="27"/>
  <c r="CF109" i="27"/>
  <c r="CG109" i="27"/>
  <c r="CH109" i="27"/>
  <c r="CJ109" i="27"/>
  <c r="CK109" i="27"/>
  <c r="CL109" i="27"/>
  <c r="CN109" i="27"/>
  <c r="CO109" i="27"/>
  <c r="CP109" i="27"/>
  <c r="CR109" i="27"/>
  <c r="CS109" i="27"/>
  <c r="CT109" i="27"/>
  <c r="CV109" i="27"/>
  <c r="CW109" i="27"/>
  <c r="CX109" i="27"/>
  <c r="CZ109" i="27"/>
  <c r="DA109" i="27"/>
  <c r="DB109" i="27"/>
  <c r="DD109" i="27"/>
  <c r="DE109" i="27"/>
  <c r="DF109" i="27"/>
  <c r="DH109" i="27"/>
  <c r="DI109" i="27"/>
  <c r="DJ109" i="27"/>
  <c r="DL109" i="27"/>
  <c r="DM109" i="27"/>
  <c r="DN109" i="27"/>
  <c r="DP109" i="27"/>
  <c r="DQ109" i="27"/>
  <c r="DR109" i="27"/>
  <c r="DT109" i="27"/>
  <c r="DU109" i="27"/>
  <c r="DV109" i="27"/>
  <c r="DX109" i="27"/>
  <c r="DY109" i="27"/>
  <c r="DZ109" i="27"/>
  <c r="EB109" i="27"/>
  <c r="EC109" i="27"/>
  <c r="ED109" i="27"/>
  <c r="EF109" i="27"/>
  <c r="EG109" i="27"/>
  <c r="EH109" i="27"/>
  <c r="EJ109" i="27"/>
  <c r="EK109" i="27"/>
  <c r="EL109" i="27"/>
  <c r="EN109" i="27"/>
  <c r="EO109" i="27"/>
  <c r="EP109" i="27"/>
  <c r="ER109" i="27"/>
  <c r="ES109" i="27"/>
  <c r="ET109" i="27"/>
  <c r="EV109" i="27"/>
  <c r="EW109" i="27"/>
  <c r="EX109" i="27"/>
  <c r="FG109" i="27" s="1"/>
  <c r="CD110" i="27"/>
  <c r="CF110" i="27"/>
  <c r="CG110" i="27"/>
  <c r="CH110" i="27"/>
  <c r="CJ110" i="27"/>
  <c r="CK110" i="27"/>
  <c r="CL110" i="27"/>
  <c r="CN110" i="27"/>
  <c r="CO110" i="27"/>
  <c r="CP110" i="27"/>
  <c r="CR110" i="27"/>
  <c r="CS110" i="27"/>
  <c r="CT110" i="27"/>
  <c r="CV110" i="27"/>
  <c r="CW110" i="27"/>
  <c r="CX110" i="27"/>
  <c r="CZ110" i="27"/>
  <c r="DA110" i="27"/>
  <c r="DB110" i="27"/>
  <c r="DD110" i="27"/>
  <c r="DE110" i="27"/>
  <c r="DF110" i="27"/>
  <c r="DH110" i="27"/>
  <c r="DI110" i="27"/>
  <c r="DJ110" i="27"/>
  <c r="DL110" i="27"/>
  <c r="DM110" i="27"/>
  <c r="DN110" i="27"/>
  <c r="DP110" i="27"/>
  <c r="DQ110" i="27"/>
  <c r="DR110" i="27"/>
  <c r="DT110" i="27"/>
  <c r="DU110" i="27"/>
  <c r="DV110" i="27"/>
  <c r="DX110" i="27"/>
  <c r="DY110" i="27"/>
  <c r="DZ110" i="27"/>
  <c r="EB110" i="27"/>
  <c r="EC110" i="27"/>
  <c r="ED110" i="27"/>
  <c r="EF110" i="27"/>
  <c r="EG110" i="27"/>
  <c r="EH110" i="27"/>
  <c r="EJ110" i="27"/>
  <c r="EK110" i="27"/>
  <c r="EL110" i="27"/>
  <c r="EN110" i="27"/>
  <c r="EO110" i="27"/>
  <c r="EP110" i="27"/>
  <c r="ER110" i="27"/>
  <c r="ES110" i="27"/>
  <c r="ET110" i="27"/>
  <c r="EV110" i="27"/>
  <c r="EW110" i="27"/>
  <c r="EX110" i="27"/>
  <c r="FG110" i="27" s="1"/>
  <c r="CD111" i="27"/>
  <c r="CF111" i="27"/>
  <c r="CG111" i="27"/>
  <c r="CH111" i="27"/>
  <c r="CJ111" i="27"/>
  <c r="CK111" i="27"/>
  <c r="CL111" i="27"/>
  <c r="CN111" i="27"/>
  <c r="CO111" i="27"/>
  <c r="CP111" i="27"/>
  <c r="CR111" i="27"/>
  <c r="CS111" i="27"/>
  <c r="CT111" i="27"/>
  <c r="CV111" i="27"/>
  <c r="CW111" i="27"/>
  <c r="CX111" i="27"/>
  <c r="CZ111" i="27"/>
  <c r="DA111" i="27"/>
  <c r="DB111" i="27"/>
  <c r="DD111" i="27"/>
  <c r="DE111" i="27"/>
  <c r="DF111" i="27"/>
  <c r="DH111" i="27"/>
  <c r="DI111" i="27"/>
  <c r="DJ111" i="27"/>
  <c r="DL111" i="27"/>
  <c r="DM111" i="27"/>
  <c r="DN111" i="27"/>
  <c r="DP111" i="27"/>
  <c r="DQ111" i="27"/>
  <c r="DR111" i="27"/>
  <c r="DT111" i="27"/>
  <c r="DU111" i="27"/>
  <c r="DV111" i="27"/>
  <c r="DX111" i="27"/>
  <c r="DY111" i="27"/>
  <c r="DZ111" i="27"/>
  <c r="EB111" i="27"/>
  <c r="EC111" i="27"/>
  <c r="ED111" i="27"/>
  <c r="EF111" i="27"/>
  <c r="EG111" i="27"/>
  <c r="EH111" i="27"/>
  <c r="EJ111" i="27"/>
  <c r="EK111" i="27"/>
  <c r="EL111" i="27"/>
  <c r="EN111" i="27"/>
  <c r="EO111" i="27"/>
  <c r="EP111" i="27"/>
  <c r="ER111" i="27"/>
  <c r="ES111" i="27"/>
  <c r="ET111" i="27"/>
  <c r="EV111" i="27"/>
  <c r="EW111" i="27"/>
  <c r="EX111" i="27"/>
  <c r="FG111" i="27" s="1"/>
  <c r="CD112" i="27"/>
  <c r="CF112" i="27"/>
  <c r="CG112" i="27"/>
  <c r="CH112" i="27"/>
  <c r="CJ112" i="27"/>
  <c r="CK112" i="27"/>
  <c r="CL112" i="27"/>
  <c r="CN112" i="27"/>
  <c r="CO112" i="27"/>
  <c r="CP112" i="27"/>
  <c r="CR112" i="27"/>
  <c r="CS112" i="27"/>
  <c r="CT112" i="27"/>
  <c r="CV112" i="27"/>
  <c r="CW112" i="27"/>
  <c r="CX112" i="27"/>
  <c r="CZ112" i="27"/>
  <c r="DA112" i="27"/>
  <c r="DB112" i="27"/>
  <c r="DD112" i="27"/>
  <c r="DE112" i="27"/>
  <c r="DF112" i="27"/>
  <c r="DH112" i="27"/>
  <c r="DI112" i="27"/>
  <c r="DJ112" i="27"/>
  <c r="DL112" i="27"/>
  <c r="DM112" i="27"/>
  <c r="DN112" i="27"/>
  <c r="DP112" i="27"/>
  <c r="DQ112" i="27"/>
  <c r="DR112" i="27"/>
  <c r="DT112" i="27"/>
  <c r="DU112" i="27"/>
  <c r="DV112" i="27"/>
  <c r="DX112" i="27"/>
  <c r="DY112" i="27"/>
  <c r="DZ112" i="27"/>
  <c r="EB112" i="27"/>
  <c r="EC112" i="27"/>
  <c r="ED112" i="27"/>
  <c r="EF112" i="27"/>
  <c r="EG112" i="27"/>
  <c r="EH112" i="27"/>
  <c r="EJ112" i="27"/>
  <c r="EK112" i="27"/>
  <c r="EL112" i="27"/>
  <c r="EN112" i="27"/>
  <c r="EO112" i="27"/>
  <c r="EP112" i="27"/>
  <c r="ER112" i="27"/>
  <c r="ES112" i="27"/>
  <c r="ET112" i="27"/>
  <c r="EV112" i="27"/>
  <c r="EW112" i="27"/>
  <c r="EX112" i="27"/>
  <c r="FG112" i="27" s="1"/>
  <c r="CD113" i="27"/>
  <c r="CF113" i="27"/>
  <c r="CG113" i="27"/>
  <c r="CH113" i="27"/>
  <c r="CJ113" i="27"/>
  <c r="CK113" i="27"/>
  <c r="CL113" i="27"/>
  <c r="CN113" i="27"/>
  <c r="CO113" i="27"/>
  <c r="CP113" i="27"/>
  <c r="CR113" i="27"/>
  <c r="CS113" i="27"/>
  <c r="CT113" i="27"/>
  <c r="CV113" i="27"/>
  <c r="CW113" i="27"/>
  <c r="CX113" i="27"/>
  <c r="CZ113" i="27"/>
  <c r="DA113" i="27"/>
  <c r="DB113" i="27"/>
  <c r="DD113" i="27"/>
  <c r="DE113" i="27"/>
  <c r="DF113" i="27"/>
  <c r="DH113" i="27"/>
  <c r="DI113" i="27"/>
  <c r="DJ113" i="27"/>
  <c r="DL113" i="27"/>
  <c r="DM113" i="27"/>
  <c r="DN113" i="27"/>
  <c r="DP113" i="27"/>
  <c r="DQ113" i="27"/>
  <c r="DR113" i="27"/>
  <c r="DT113" i="27"/>
  <c r="DU113" i="27"/>
  <c r="DV113" i="27"/>
  <c r="DX113" i="27"/>
  <c r="DY113" i="27"/>
  <c r="DZ113" i="27"/>
  <c r="EB113" i="27"/>
  <c r="EC113" i="27"/>
  <c r="ED113" i="27"/>
  <c r="EF113" i="27"/>
  <c r="EG113" i="27"/>
  <c r="EH113" i="27"/>
  <c r="EJ113" i="27"/>
  <c r="EK113" i="27"/>
  <c r="EL113" i="27"/>
  <c r="EN113" i="27"/>
  <c r="EO113" i="27"/>
  <c r="EP113" i="27"/>
  <c r="ER113" i="27"/>
  <c r="ES113" i="27"/>
  <c r="ET113" i="27"/>
  <c r="EV113" i="27"/>
  <c r="EW113" i="27"/>
  <c r="EX113" i="27"/>
  <c r="FG113" i="27" s="1"/>
  <c r="CD114" i="27"/>
  <c r="CF114" i="27"/>
  <c r="CG114" i="27"/>
  <c r="CH114" i="27"/>
  <c r="CJ114" i="27"/>
  <c r="CK114" i="27"/>
  <c r="CL114" i="27"/>
  <c r="CN114" i="27"/>
  <c r="CO114" i="27"/>
  <c r="CP114" i="27"/>
  <c r="CR114" i="27"/>
  <c r="CS114" i="27"/>
  <c r="CT114" i="27"/>
  <c r="CV114" i="27"/>
  <c r="CW114" i="27"/>
  <c r="CX114" i="27"/>
  <c r="CZ114" i="27"/>
  <c r="DA114" i="27"/>
  <c r="DB114" i="27"/>
  <c r="DD114" i="27"/>
  <c r="DE114" i="27"/>
  <c r="DF114" i="27"/>
  <c r="DH114" i="27"/>
  <c r="DI114" i="27"/>
  <c r="DJ114" i="27"/>
  <c r="DL114" i="27"/>
  <c r="DM114" i="27"/>
  <c r="DN114" i="27"/>
  <c r="DP114" i="27"/>
  <c r="DQ114" i="27"/>
  <c r="DR114" i="27"/>
  <c r="DT114" i="27"/>
  <c r="DU114" i="27"/>
  <c r="DV114" i="27"/>
  <c r="DX114" i="27"/>
  <c r="DY114" i="27"/>
  <c r="DZ114" i="27"/>
  <c r="EB114" i="27"/>
  <c r="EC114" i="27"/>
  <c r="ED114" i="27"/>
  <c r="EF114" i="27"/>
  <c r="EG114" i="27"/>
  <c r="EH114" i="27"/>
  <c r="EJ114" i="27"/>
  <c r="EK114" i="27"/>
  <c r="EL114" i="27"/>
  <c r="EN114" i="27"/>
  <c r="EO114" i="27"/>
  <c r="EP114" i="27"/>
  <c r="ER114" i="27"/>
  <c r="ES114" i="27"/>
  <c r="ET114" i="27"/>
  <c r="EV114" i="27"/>
  <c r="EW114" i="27"/>
  <c r="EX114" i="27"/>
  <c r="FG114" i="27" s="1"/>
  <c r="CD115" i="27"/>
  <c r="CF115" i="27"/>
  <c r="CG115" i="27"/>
  <c r="CH115" i="27"/>
  <c r="CJ115" i="27"/>
  <c r="CK115" i="27"/>
  <c r="CL115" i="27"/>
  <c r="CN115" i="27"/>
  <c r="CO115" i="27"/>
  <c r="CP115" i="27"/>
  <c r="CR115" i="27"/>
  <c r="CS115" i="27"/>
  <c r="CT115" i="27"/>
  <c r="CV115" i="27"/>
  <c r="CW115" i="27"/>
  <c r="CX115" i="27"/>
  <c r="CZ115" i="27"/>
  <c r="DA115" i="27"/>
  <c r="DB115" i="27"/>
  <c r="DD115" i="27"/>
  <c r="DE115" i="27"/>
  <c r="DF115" i="27"/>
  <c r="DH115" i="27"/>
  <c r="DI115" i="27"/>
  <c r="DJ115" i="27"/>
  <c r="DL115" i="27"/>
  <c r="DM115" i="27"/>
  <c r="DN115" i="27"/>
  <c r="DP115" i="27"/>
  <c r="DQ115" i="27"/>
  <c r="DR115" i="27"/>
  <c r="DT115" i="27"/>
  <c r="DU115" i="27"/>
  <c r="DV115" i="27"/>
  <c r="DX115" i="27"/>
  <c r="DY115" i="27"/>
  <c r="DZ115" i="27"/>
  <c r="EB115" i="27"/>
  <c r="EC115" i="27"/>
  <c r="ED115" i="27"/>
  <c r="EF115" i="27"/>
  <c r="EG115" i="27"/>
  <c r="EH115" i="27"/>
  <c r="EJ115" i="27"/>
  <c r="EK115" i="27"/>
  <c r="EL115" i="27"/>
  <c r="EN115" i="27"/>
  <c r="EO115" i="27"/>
  <c r="EP115" i="27"/>
  <c r="ER115" i="27"/>
  <c r="ES115" i="27"/>
  <c r="ET115" i="27"/>
  <c r="EV115" i="27"/>
  <c r="EW115" i="27"/>
  <c r="EX115" i="27"/>
  <c r="FG115" i="27" s="1"/>
  <c r="CD116" i="27"/>
  <c r="CF116" i="27"/>
  <c r="CG116" i="27"/>
  <c r="CH116" i="27"/>
  <c r="CJ116" i="27"/>
  <c r="CK116" i="27"/>
  <c r="CL116" i="27"/>
  <c r="CN116" i="27"/>
  <c r="CO116" i="27"/>
  <c r="CP116" i="27"/>
  <c r="CR116" i="27"/>
  <c r="CS116" i="27"/>
  <c r="CT116" i="27"/>
  <c r="CV116" i="27"/>
  <c r="CW116" i="27"/>
  <c r="CX116" i="27"/>
  <c r="CZ116" i="27"/>
  <c r="DA116" i="27"/>
  <c r="DB116" i="27"/>
  <c r="DD116" i="27"/>
  <c r="DE116" i="27"/>
  <c r="DF116" i="27"/>
  <c r="DH116" i="27"/>
  <c r="DI116" i="27"/>
  <c r="DJ116" i="27"/>
  <c r="DL116" i="27"/>
  <c r="DM116" i="27"/>
  <c r="DN116" i="27"/>
  <c r="DP116" i="27"/>
  <c r="DQ116" i="27"/>
  <c r="DR116" i="27"/>
  <c r="DT116" i="27"/>
  <c r="DU116" i="27"/>
  <c r="DV116" i="27"/>
  <c r="DX116" i="27"/>
  <c r="DY116" i="27"/>
  <c r="DZ116" i="27"/>
  <c r="EB116" i="27"/>
  <c r="EC116" i="27"/>
  <c r="ED116" i="27"/>
  <c r="EF116" i="27"/>
  <c r="EG116" i="27"/>
  <c r="EH116" i="27"/>
  <c r="EJ116" i="27"/>
  <c r="EK116" i="27"/>
  <c r="EL116" i="27"/>
  <c r="EN116" i="27"/>
  <c r="EO116" i="27"/>
  <c r="EP116" i="27"/>
  <c r="ER116" i="27"/>
  <c r="ES116" i="27"/>
  <c r="ET116" i="27"/>
  <c r="EV116" i="27"/>
  <c r="EW116" i="27"/>
  <c r="EX116" i="27"/>
  <c r="FG116" i="27" s="1"/>
  <c r="DW102" i="27" l="1"/>
  <c r="CQ102" i="27"/>
  <c r="CE101" i="27"/>
  <c r="EQ77" i="27"/>
  <c r="CE77" i="27"/>
  <c r="CE76" i="27"/>
  <c r="EI70" i="27"/>
  <c r="DC70" i="27"/>
  <c r="DW69" i="27"/>
  <c r="CQ69" i="27"/>
  <c r="CY101" i="27"/>
  <c r="EQ105" i="27"/>
  <c r="DK105" i="27"/>
  <c r="CE105" i="27"/>
  <c r="EA101" i="27"/>
  <c r="EU68" i="27"/>
  <c r="EQ65" i="27"/>
  <c r="EM71" i="27"/>
  <c r="CU70" i="27"/>
  <c r="EM101" i="27"/>
  <c r="DG69" i="27"/>
  <c r="EA68" i="27"/>
  <c r="CU103" i="27"/>
  <c r="DO78" i="27"/>
  <c r="CI78" i="27"/>
  <c r="EU114" i="27"/>
  <c r="CQ112" i="27"/>
  <c r="DG108" i="27"/>
  <c r="EI105" i="27"/>
  <c r="DC105" i="27"/>
  <c r="EQ79" i="27"/>
  <c r="CE79" i="27"/>
  <c r="DS76" i="27"/>
  <c r="EE68" i="27"/>
  <c r="CY68" i="27"/>
  <c r="DS67" i="27"/>
  <c r="EE79" i="27"/>
  <c r="DS69" i="27"/>
  <c r="CM69" i="27"/>
  <c r="CI64" i="27"/>
  <c r="EQ90" i="27"/>
  <c r="DK90" i="27"/>
  <c r="EM87" i="27"/>
  <c r="DK108" i="27"/>
  <c r="EE107" i="27"/>
  <c r="EA80" i="27"/>
  <c r="CU80" i="27"/>
  <c r="CM99" i="27"/>
  <c r="CU108" i="27"/>
  <c r="EU98" i="27"/>
  <c r="DW108" i="27"/>
  <c r="CQ108" i="27"/>
  <c r="EI91" i="27"/>
  <c r="DS87" i="27"/>
  <c r="CQ81" i="27"/>
  <c r="CQ110" i="27"/>
  <c r="DS106" i="27"/>
  <c r="EI66" i="27"/>
  <c r="DW64" i="27"/>
  <c r="EE112" i="27"/>
  <c r="CQ93" i="27"/>
  <c r="EM74" i="27"/>
  <c r="EA73" i="27"/>
  <c r="CY71" i="27"/>
  <c r="EA70" i="27"/>
  <c r="EI111" i="27"/>
  <c r="EU110" i="27"/>
  <c r="EA108" i="27"/>
  <c r="DS103" i="27"/>
  <c r="DC101" i="27"/>
  <c r="EE100" i="27"/>
  <c r="DS97" i="27"/>
  <c r="CM97" i="27"/>
  <c r="CM91" i="27"/>
  <c r="DC75" i="27"/>
  <c r="CM73" i="27"/>
  <c r="DS70" i="27"/>
  <c r="DW68" i="27"/>
  <c r="EA91" i="27"/>
  <c r="EQ75" i="27"/>
  <c r="CE75" i="27"/>
  <c r="EE71" i="27"/>
  <c r="EI114" i="27"/>
  <c r="EA112" i="27"/>
  <c r="CU112" i="27"/>
  <c r="CE108" i="27"/>
  <c r="EE105" i="27"/>
  <c r="CY105" i="27"/>
  <c r="EA67" i="27"/>
  <c r="CU67" i="27"/>
  <c r="EU112" i="27"/>
  <c r="CM108" i="27"/>
  <c r="EI101" i="27"/>
  <c r="DO101" i="27"/>
  <c r="CQ97" i="27"/>
  <c r="EA87" i="27"/>
  <c r="EE85" i="27"/>
  <c r="CY85" i="27"/>
  <c r="EM78" i="27"/>
  <c r="DG78" i="27"/>
  <c r="EI77" i="27"/>
  <c r="CE66" i="27"/>
  <c r="DO64" i="27"/>
  <c r="DO68" i="27"/>
  <c r="DW67" i="27"/>
  <c r="EU116" i="27"/>
  <c r="DO116" i="27"/>
  <c r="CI116" i="27"/>
  <c r="CE112" i="27"/>
  <c r="EM111" i="27"/>
  <c r="DS111" i="27"/>
  <c r="CM111" i="27"/>
  <c r="EA110" i="27"/>
  <c r="EI109" i="27"/>
  <c r="DS108" i="27"/>
  <c r="CY108" i="27"/>
  <c r="DS101" i="27"/>
  <c r="DG101" i="27"/>
  <c r="CM101" i="27"/>
  <c r="DG94" i="27"/>
  <c r="DG91" i="27"/>
  <c r="EU90" i="27"/>
  <c r="CU86" i="27"/>
  <c r="DS77" i="27"/>
  <c r="CU66" i="27"/>
  <c r="EY101" i="27"/>
  <c r="DG90" i="27"/>
  <c r="EE73" i="27"/>
  <c r="CU72" i="27"/>
  <c r="EM69" i="27"/>
  <c r="EE114" i="27"/>
  <c r="EQ108" i="27"/>
  <c r="DW81" i="27"/>
  <c r="EU94" i="27"/>
  <c r="EU91" i="27"/>
  <c r="DO114" i="27"/>
  <c r="EM112" i="27"/>
  <c r="DG112" i="27"/>
  <c r="DW110" i="27"/>
  <c r="CY109" i="27"/>
  <c r="EU108" i="27"/>
  <c r="EI107" i="27"/>
  <c r="DC107" i="27"/>
  <c r="CU101" i="27"/>
  <c r="EI97" i="27"/>
  <c r="DG95" i="27"/>
  <c r="EI94" i="27"/>
  <c r="DC94" i="27"/>
  <c r="EE93" i="27"/>
  <c r="EM64" i="27"/>
  <c r="DC108" i="27"/>
  <c r="DK101" i="27"/>
  <c r="DC87" i="27"/>
  <c r="EE86" i="27"/>
  <c r="DO75" i="27"/>
  <c r="EA72" i="27"/>
  <c r="CE70" i="27"/>
  <c r="EA90" i="27"/>
  <c r="CI100" i="27"/>
  <c r="CM112" i="27"/>
  <c r="EU111" i="27"/>
  <c r="DC79" i="27"/>
  <c r="DW114" i="27"/>
  <c r="CY110" i="27"/>
  <c r="EI108" i="27"/>
  <c r="EQ101" i="27"/>
  <c r="DW101" i="27"/>
  <c r="EA95" i="27"/>
  <c r="CI95" i="27"/>
  <c r="DG93" i="27"/>
  <c r="DK91" i="27"/>
  <c r="CM90" i="27"/>
  <c r="EU81" i="27"/>
  <c r="EM72" i="27"/>
  <c r="EQ70" i="27"/>
  <c r="EQ66" i="27"/>
  <c r="DK66" i="27"/>
  <c r="EU64" i="27"/>
  <c r="EM103" i="27"/>
  <c r="EM92" i="27"/>
  <c r="CM79" i="27"/>
  <c r="EE75" i="27"/>
  <c r="EU73" i="27"/>
  <c r="CE72" i="27"/>
  <c r="DC69" i="27"/>
  <c r="EQ68" i="27"/>
  <c r="EQ67" i="27"/>
  <c r="DK67" i="27"/>
  <c r="EY67" i="27"/>
  <c r="DG66" i="27"/>
  <c r="CI65" i="27"/>
  <c r="DC64" i="27"/>
  <c r="DK115" i="27"/>
  <c r="EE97" i="27"/>
  <c r="CE94" i="27"/>
  <c r="EI90" i="27"/>
  <c r="EA79" i="27"/>
  <c r="CM75" i="27"/>
  <c r="CQ116" i="27"/>
  <c r="DG114" i="27"/>
  <c r="DW105" i="27"/>
  <c r="CQ105" i="27"/>
  <c r="DS104" i="27"/>
  <c r="CM104" i="27"/>
  <c r="EU99" i="27"/>
  <c r="CQ95" i="27"/>
  <c r="CU93" i="27"/>
  <c r="EU92" i="27"/>
  <c r="CI92" i="27"/>
  <c r="EQ91" i="27"/>
  <c r="EU86" i="27"/>
  <c r="CY114" i="27"/>
  <c r="EU79" i="27"/>
  <c r="CU79" i="27"/>
  <c r="EE77" i="27"/>
  <c r="DK77" i="27"/>
  <c r="EA71" i="27"/>
  <c r="DK116" i="27"/>
  <c r="CY116" i="27"/>
  <c r="CI114" i="27"/>
  <c r="DK112" i="27"/>
  <c r="EM110" i="27"/>
  <c r="CM110" i="27"/>
  <c r="DO109" i="27"/>
  <c r="DO108" i="27"/>
  <c r="CU106" i="27"/>
  <c r="DC103" i="27"/>
  <c r="CY102" i="27"/>
  <c r="EE101" i="27"/>
  <c r="EM100" i="27"/>
  <c r="DG100" i="27"/>
  <c r="EE98" i="27"/>
  <c r="EA97" i="27"/>
  <c r="CQ96" i="27"/>
  <c r="EU93" i="27"/>
  <c r="DK85" i="27"/>
  <c r="CE85" i="27"/>
  <c r="EM84" i="27"/>
  <c r="DO83" i="27"/>
  <c r="EM81" i="27"/>
  <c r="DG81" i="27"/>
  <c r="EI79" i="27"/>
  <c r="EE78" i="27"/>
  <c r="CQ78" i="27"/>
  <c r="CY77" i="27"/>
  <c r="EU71" i="27"/>
  <c r="DG68" i="27"/>
  <c r="DC66" i="27"/>
  <c r="CY64" i="27"/>
  <c r="CE64" i="27"/>
  <c r="CI108" i="27"/>
  <c r="DO98" i="27"/>
  <c r="DO95" i="27"/>
  <c r="DS93" i="27"/>
  <c r="EQ89" i="27"/>
  <c r="EQ87" i="27"/>
  <c r="EA74" i="27"/>
  <c r="CU74" i="27"/>
  <c r="CI73" i="27"/>
  <c r="DO70" i="27"/>
  <c r="EQ115" i="27"/>
  <c r="EM114" i="27"/>
  <c r="CI113" i="27"/>
  <c r="EM83" i="27"/>
  <c r="DG83" i="27"/>
  <c r="EQ76" i="27"/>
  <c r="DO74" i="27"/>
  <c r="EI73" i="27"/>
  <c r="DK68" i="27"/>
  <c r="DC114" i="27"/>
  <c r="CQ114" i="27"/>
  <c r="EE108" i="27"/>
  <c r="DO104" i="27"/>
  <c r="EM102" i="27"/>
  <c r="DG102" i="27"/>
  <c r="EU101" i="27"/>
  <c r="DO97" i="27"/>
  <c r="EE96" i="27"/>
  <c r="EA94" i="27"/>
  <c r="CU94" i="27"/>
  <c r="DW93" i="27"/>
  <c r="EQ92" i="27"/>
  <c r="EE92" i="27"/>
  <c r="DK86" i="27"/>
  <c r="DS85" i="27"/>
  <c r="DS82" i="27"/>
  <c r="DC80" i="27"/>
  <c r="DS78" i="27"/>
  <c r="EU67" i="27"/>
  <c r="EI67" i="27"/>
  <c r="EU105" i="27"/>
  <c r="DO105" i="27"/>
  <c r="CI98" i="27"/>
  <c r="DK97" i="27"/>
  <c r="DG96" i="27"/>
  <c r="EU95" i="27"/>
  <c r="DG79" i="27"/>
  <c r="CY75" i="27"/>
  <c r="DO73" i="27"/>
  <c r="EQ72" i="27"/>
  <c r="DC116" i="27"/>
  <c r="CM106" i="27"/>
  <c r="DC91" i="27"/>
  <c r="EI82" i="27"/>
  <c r="DC65" i="27"/>
  <c r="EM113" i="27"/>
  <c r="DG113" i="27"/>
  <c r="EM108" i="27"/>
  <c r="EA105" i="27"/>
  <c r="CU105" i="27"/>
  <c r="DW104" i="27"/>
  <c r="CQ104" i="27"/>
  <c r="CQ101" i="27"/>
  <c r="EM85" i="27"/>
  <c r="CU82" i="27"/>
  <c r="EQ80" i="27"/>
  <c r="DK80" i="27"/>
  <c r="CE80" i="27"/>
  <c r="DG70" i="27"/>
  <c r="CM70" i="27"/>
  <c r="CI69" i="27"/>
  <c r="CI68" i="27"/>
  <c r="DS66" i="27"/>
  <c r="CM66" i="27"/>
  <c r="EU115" i="27"/>
  <c r="CI115" i="27"/>
  <c r="EI112" i="27"/>
  <c r="DO112" i="27"/>
  <c r="CU96" i="27"/>
  <c r="EM93" i="27"/>
  <c r="DG75" i="27"/>
  <c r="DC74" i="27"/>
  <c r="DC113" i="27"/>
  <c r="CI112" i="27"/>
  <c r="DK114" i="27"/>
  <c r="CM103" i="27"/>
  <c r="EU100" i="27"/>
  <c r="DO100" i="27"/>
  <c r="DK95" i="27"/>
  <c r="EE91" i="27"/>
  <c r="CE91" i="27"/>
  <c r="CE90" i="27"/>
  <c r="CQ88" i="27"/>
  <c r="CM87" i="27"/>
  <c r="DW85" i="27"/>
  <c r="EA77" i="27"/>
  <c r="DG77" i="27"/>
  <c r="CI66" i="27"/>
  <c r="DW65" i="27"/>
  <c r="DS114" i="27"/>
  <c r="DC109" i="27"/>
  <c r="CY104" i="27"/>
  <c r="EA103" i="27"/>
  <c r="EI102" i="27"/>
  <c r="CI97" i="27"/>
  <c r="CI93" i="27"/>
  <c r="DW92" i="27"/>
  <c r="CY90" i="27"/>
  <c r="CE88" i="27"/>
  <c r="EI86" i="27"/>
  <c r="CM78" i="27"/>
  <c r="CU77" i="27"/>
  <c r="EI71" i="27"/>
  <c r="DC71" i="27"/>
  <c r="DK87" i="27"/>
  <c r="DG86" i="27"/>
  <c r="EI74" i="27"/>
  <c r="CQ99" i="27"/>
  <c r="CI96" i="27"/>
  <c r="DC88" i="27"/>
  <c r="CQ113" i="27"/>
  <c r="CI101" i="27"/>
  <c r="CM115" i="27"/>
  <c r="CE114" i="27"/>
  <c r="DS113" i="27"/>
  <c r="DG111" i="27"/>
  <c r="DO110" i="27"/>
  <c r="DO106" i="27"/>
  <c r="EI103" i="27"/>
  <c r="DG99" i="27"/>
  <c r="EQ93" i="27"/>
  <c r="CU91" i="27"/>
  <c r="CU90" i="27"/>
  <c r="EI89" i="27"/>
  <c r="DC89" i="27"/>
  <c r="DS88" i="27"/>
  <c r="EU84" i="27"/>
  <c r="CI84" i="27"/>
  <c r="EI83" i="27"/>
  <c r="DC83" i="27"/>
  <c r="EI78" i="27"/>
  <c r="DW72" i="27"/>
  <c r="DC72" i="27"/>
  <c r="EQ71" i="27"/>
  <c r="EQ114" i="27"/>
  <c r="DK110" i="27"/>
  <c r="DS109" i="27"/>
  <c r="CM109" i="27"/>
  <c r="CY76" i="27"/>
  <c r="EQ112" i="27"/>
  <c r="EE110" i="27"/>
  <c r="EE67" i="27"/>
  <c r="EQ64" i="27"/>
  <c r="DO102" i="27"/>
  <c r="DS105" i="27"/>
  <c r="CM105" i="27"/>
  <c r="EQ103" i="27"/>
  <c r="DS86" i="27"/>
  <c r="DC73" i="27"/>
  <c r="EY66" i="27"/>
  <c r="CQ71" i="27"/>
  <c r="EU69" i="27"/>
  <c r="CM68" i="27"/>
  <c r="EE64" i="27"/>
  <c r="DK64" i="27"/>
  <c r="CQ64" i="27"/>
  <c r="EM116" i="27"/>
  <c r="DS116" i="27"/>
  <c r="DG116" i="27"/>
  <c r="DG115" i="27"/>
  <c r="EA114" i="27"/>
  <c r="DW112" i="27"/>
  <c r="DC112" i="27"/>
  <c r="DC111" i="27"/>
  <c r="DC110" i="27"/>
  <c r="CI110" i="27"/>
  <c r="EQ109" i="27"/>
  <c r="CE109" i="27"/>
  <c r="EI106" i="27"/>
  <c r="DC106" i="27"/>
  <c r="EM104" i="27"/>
  <c r="DG104" i="27"/>
  <c r="EI100" i="27"/>
  <c r="CQ100" i="27"/>
  <c r="EE99" i="27"/>
  <c r="EM98" i="27"/>
  <c r="DS98" i="27"/>
  <c r="CY98" i="27"/>
  <c r="DW94" i="27"/>
  <c r="CY93" i="27"/>
  <c r="CY92" i="27"/>
  <c r="EU89" i="27"/>
  <c r="EQ88" i="27"/>
  <c r="EI85" i="27"/>
  <c r="DW84" i="27"/>
  <c r="EQ83" i="27"/>
  <c r="DW83" i="27"/>
  <c r="CQ83" i="27"/>
  <c r="CE82" i="27"/>
  <c r="CM81" i="27"/>
  <c r="EM80" i="27"/>
  <c r="CM80" i="27"/>
  <c r="EQ78" i="27"/>
  <c r="DW78" i="27"/>
  <c r="EA76" i="27"/>
  <c r="DG76" i="27"/>
  <c r="CU76" i="27"/>
  <c r="EU75" i="27"/>
  <c r="EA75" i="27"/>
  <c r="CU75" i="27"/>
  <c r="CQ74" i="27"/>
  <c r="EQ73" i="27"/>
  <c r="CE73" i="27"/>
  <c r="DK72" i="27"/>
  <c r="DK71" i="27"/>
  <c r="DW70" i="27"/>
  <c r="DK70" i="27"/>
  <c r="DG67" i="27"/>
  <c r="EU66" i="27"/>
  <c r="EA66" i="27"/>
  <c r="CY66" i="27"/>
  <c r="EE65" i="27"/>
  <c r="EM82" i="27"/>
  <c r="DC78" i="27"/>
  <c r="CI76" i="27"/>
  <c r="DC68" i="27"/>
  <c r="DO67" i="27"/>
  <c r="CI67" i="27"/>
  <c r="EA64" i="27"/>
  <c r="DG64" i="27"/>
  <c r="DC115" i="27"/>
  <c r="CM114" i="27"/>
  <c r="DS112" i="27"/>
  <c r="CY112" i="27"/>
  <c r="CY107" i="27"/>
  <c r="EM105" i="27"/>
  <c r="DG105" i="27"/>
  <c r="EI104" i="27"/>
  <c r="DK103" i="27"/>
  <c r="CQ103" i="27"/>
  <c r="CE103" i="27"/>
  <c r="DS102" i="27"/>
  <c r="CM102" i="27"/>
  <c r="EA99" i="27"/>
  <c r="CU99" i="27"/>
  <c r="EI98" i="27"/>
  <c r="DW97" i="27"/>
  <c r="CY95" i="27"/>
  <c r="CU92" i="27"/>
  <c r="CI90" i="27"/>
  <c r="DW89" i="27"/>
  <c r="CE89" i="27"/>
  <c r="CQ85" i="27"/>
  <c r="CY84" i="27"/>
  <c r="DS83" i="27"/>
  <c r="CM83" i="27"/>
  <c r="EA82" i="27"/>
  <c r="EI80" i="27"/>
  <c r="DS79" i="27"/>
  <c r="DW76" i="27"/>
  <c r="DC76" i="27"/>
  <c r="DS74" i="27"/>
  <c r="CM74" i="27"/>
  <c r="EM68" i="27"/>
  <c r="CQ68" i="27"/>
  <c r="DC67" i="27"/>
  <c r="DO66" i="27"/>
  <c r="EA65" i="27"/>
  <c r="EE83" i="27"/>
  <c r="DC77" i="27"/>
  <c r="CY74" i="27"/>
  <c r="DS72" i="27"/>
  <c r="DS71" i="27"/>
  <c r="CM71" i="27"/>
  <c r="CQ70" i="27"/>
  <c r="CM64" i="27"/>
  <c r="DW115" i="27"/>
  <c r="CQ115" i="27"/>
  <c r="CU114" i="27"/>
  <c r="DG110" i="27"/>
  <c r="DO93" i="27"/>
  <c r="CQ87" i="27"/>
  <c r="DG84" i="27"/>
  <c r="EU78" i="27"/>
  <c r="CY78" i="27"/>
  <c r="DO72" i="27"/>
  <c r="CQ67" i="27"/>
  <c r="DW66" i="27"/>
  <c r="EU65" i="27"/>
  <c r="EQ107" i="27"/>
  <c r="DK107" i="27"/>
  <c r="DW95" i="27"/>
  <c r="CM85" i="27"/>
  <c r="CI75" i="27"/>
  <c r="EY97" i="27"/>
  <c r="DW111" i="27"/>
  <c r="CI109" i="27"/>
  <c r="DC100" i="27"/>
  <c r="CY97" i="27"/>
  <c r="DW109" i="27"/>
  <c r="CI105" i="27"/>
  <c r="EY105" i="27"/>
  <c r="DW100" i="27"/>
  <c r="EM97" i="27"/>
  <c r="EE88" i="27"/>
  <c r="CI102" i="27"/>
  <c r="EI99" i="27"/>
  <c r="DC95" i="27"/>
  <c r="CM84" i="27"/>
  <c r="DK74" i="27"/>
  <c r="EE70" i="27"/>
  <c r="CU111" i="27"/>
  <c r="EI110" i="27"/>
  <c r="CI111" i="27"/>
  <c r="EE113" i="27"/>
  <c r="CY103" i="27"/>
  <c r="DG98" i="27"/>
  <c r="CQ89" i="27"/>
  <c r="DS80" i="27"/>
  <c r="CY80" i="27"/>
  <c r="EY108" i="27"/>
  <c r="DO111" i="27"/>
  <c r="CI104" i="27"/>
  <c r="DK96" i="27"/>
  <c r="DK92" i="27"/>
  <c r="DW75" i="27"/>
  <c r="EA116" i="27"/>
  <c r="DW107" i="27"/>
  <c r="CQ107" i="27"/>
  <c r="DK106" i="27"/>
  <c r="EY87" i="27"/>
  <c r="EE106" i="27"/>
  <c r="DK104" i="27"/>
  <c r="DK102" i="27"/>
  <c r="EQ99" i="27"/>
  <c r="DC99" i="27"/>
  <c r="CI99" i="27"/>
  <c r="CU98" i="27"/>
  <c r="EQ95" i="27"/>
  <c r="EQ94" i="27"/>
  <c r="CQ94" i="27"/>
  <c r="CQ90" i="27"/>
  <c r="CU87" i="27"/>
  <c r="EU85" i="27"/>
  <c r="EA85" i="27"/>
  <c r="DG85" i="27"/>
  <c r="EA84" i="27"/>
  <c r="EU83" i="27"/>
  <c r="CY83" i="27"/>
  <c r="CE78" i="27"/>
  <c r="EY78" i="27"/>
  <c r="CY73" i="27"/>
  <c r="EM67" i="27"/>
  <c r="CY67" i="27"/>
  <c r="EE66" i="27"/>
  <c r="EI116" i="27"/>
  <c r="DW116" i="27"/>
  <c r="CU116" i="27"/>
  <c r="EA115" i="27"/>
  <c r="EU113" i="27"/>
  <c r="DO113" i="27"/>
  <c r="EY112" i="27"/>
  <c r="EE111" i="27"/>
  <c r="DK111" i="27"/>
  <c r="CQ111" i="27"/>
  <c r="EQ110" i="27"/>
  <c r="EM107" i="27"/>
  <c r="DS107" i="27"/>
  <c r="DG107" i="27"/>
  <c r="CM107" i="27"/>
  <c r="CY106" i="27"/>
  <c r="CE106" i="27"/>
  <c r="DK99" i="27"/>
  <c r="EQ98" i="27"/>
  <c r="DW98" i="27"/>
  <c r="EU97" i="27"/>
  <c r="EE95" i="27"/>
  <c r="EE94" i="27"/>
  <c r="DK94" i="27"/>
  <c r="DG92" i="27"/>
  <c r="DS90" i="27"/>
  <c r="EE89" i="27"/>
  <c r="DS89" i="27"/>
  <c r="CY89" i="27"/>
  <c r="EA88" i="27"/>
  <c r="EI87" i="27"/>
  <c r="CI87" i="27"/>
  <c r="DO86" i="27"/>
  <c r="CI86" i="27"/>
  <c r="DO84" i="27"/>
  <c r="EM77" i="27"/>
  <c r="DS73" i="27"/>
  <c r="DG71" i="27"/>
  <c r="EM70" i="27"/>
  <c r="CU68" i="27"/>
  <c r="CM67" i="27"/>
  <c r="CU64" i="27"/>
  <c r="CM116" i="27"/>
  <c r="EM115" i="27"/>
  <c r="DS115" i="27"/>
  <c r="EQ116" i="27"/>
  <c r="EE116" i="27"/>
  <c r="EI115" i="27"/>
  <c r="CU115" i="27"/>
  <c r="EI113" i="27"/>
  <c r="CY111" i="27"/>
  <c r="EU109" i="27"/>
  <c r="EU107" i="27"/>
  <c r="EA107" i="27"/>
  <c r="DO107" i="27"/>
  <c r="CU107" i="27"/>
  <c r="CI107" i="27"/>
  <c r="EU106" i="27"/>
  <c r="EA106" i="27"/>
  <c r="EE103" i="27"/>
  <c r="CM100" i="27"/>
  <c r="EM99" i="27"/>
  <c r="DS99" i="27"/>
  <c r="CY99" i="27"/>
  <c r="EQ97" i="27"/>
  <c r="DC97" i="27"/>
  <c r="EU96" i="27"/>
  <c r="EM94" i="27"/>
  <c r="DS94" i="27"/>
  <c r="EE87" i="27"/>
  <c r="EQ86" i="27"/>
  <c r="DW86" i="27"/>
  <c r="EQ85" i="27"/>
  <c r="CU83" i="27"/>
  <c r="DO82" i="27"/>
  <c r="CU78" i="27"/>
  <c r="EI72" i="27"/>
  <c r="CI72" i="27"/>
  <c r="DO71" i="27"/>
  <c r="DK88" i="27"/>
  <c r="CY87" i="27"/>
  <c r="CE99" i="27"/>
  <c r="DK98" i="27"/>
  <c r="CQ98" i="27"/>
  <c r="DG97" i="27"/>
  <c r="CU97" i="27"/>
  <c r="EM96" i="27"/>
  <c r="DS96" i="27"/>
  <c r="CY96" i="27"/>
  <c r="CI91" i="27"/>
  <c r="EM90" i="27"/>
  <c r="EM89" i="27"/>
  <c r="DG89" i="27"/>
  <c r="CM89" i="27"/>
  <c r="DG88" i="27"/>
  <c r="CM88" i="27"/>
  <c r="EU87" i="27"/>
  <c r="DG87" i="27"/>
  <c r="CE87" i="27"/>
  <c r="CQ86" i="27"/>
  <c r="CE86" i="27"/>
  <c r="DO85" i="27"/>
  <c r="CU85" i="27"/>
  <c r="DK83" i="27"/>
  <c r="EQ82" i="27"/>
  <c r="DW82" i="27"/>
  <c r="DC82" i="27"/>
  <c r="CI82" i="27"/>
  <c r="DG80" i="27"/>
  <c r="CI79" i="27"/>
  <c r="EY79" i="27"/>
  <c r="DK78" i="27"/>
  <c r="CM77" i="27"/>
  <c r="DK75" i="27"/>
  <c r="CQ75" i="27"/>
  <c r="EY74" i="27"/>
  <c r="DK73" i="27"/>
  <c r="EE72" i="27"/>
  <c r="EU70" i="27"/>
  <c r="CI70" i="27"/>
  <c r="DO69" i="27"/>
  <c r="DS68" i="27"/>
  <c r="EM66" i="27"/>
  <c r="EI65" i="27"/>
  <c r="DS64" i="27"/>
  <c r="EY64" i="27"/>
  <c r="EA96" i="27"/>
  <c r="DO96" i="27"/>
  <c r="EM95" i="27"/>
  <c r="DC93" i="27"/>
  <c r="EA92" i="27"/>
  <c r="DS91" i="27"/>
  <c r="DO89" i="27"/>
  <c r="CU89" i="27"/>
  <c r="EI88" i="27"/>
  <c r="DO88" i="27"/>
  <c r="CU88" i="27"/>
  <c r="DO87" i="27"/>
  <c r="EM86" i="27"/>
  <c r="CY86" i="27"/>
  <c r="CM86" i="27"/>
  <c r="DC85" i="27"/>
  <c r="EQ84" i="27"/>
  <c r="EA83" i="27"/>
  <c r="CE83" i="27"/>
  <c r="DK82" i="27"/>
  <c r="CQ82" i="27"/>
  <c r="EE81" i="27"/>
  <c r="DK81" i="27"/>
  <c r="DK79" i="27"/>
  <c r="EA78" i="27"/>
  <c r="DS75" i="27"/>
  <c r="EM73" i="27"/>
  <c r="CY70" i="27"/>
  <c r="EI68" i="27"/>
  <c r="CQ66" i="27"/>
  <c r="DK65" i="27"/>
  <c r="CQ65" i="27"/>
  <c r="CE65" i="27"/>
  <c r="EI64" i="27"/>
  <c r="DW87" i="27"/>
  <c r="EE84" i="27"/>
  <c r="CQ84" i="27"/>
  <c r="CE68" i="27"/>
  <c r="EY68" i="27"/>
  <c r="EI81" i="27"/>
  <c r="DO81" i="27"/>
  <c r="CU81" i="27"/>
  <c r="CI81" i="27"/>
  <c r="EU80" i="27"/>
  <c r="EM79" i="27"/>
  <c r="EE76" i="27"/>
  <c r="DK76" i="27"/>
  <c r="EI75" i="27"/>
  <c r="DG72" i="27"/>
  <c r="CU65" i="27"/>
  <c r="CY81" i="27"/>
  <c r="DW80" i="27"/>
  <c r="DO79" i="27"/>
  <c r="CQ77" i="27"/>
  <c r="EI76" i="27"/>
  <c r="EM75" i="27"/>
  <c r="EU72" i="27"/>
  <c r="CQ72" i="27"/>
  <c r="CU71" i="27"/>
  <c r="CY69" i="27"/>
  <c r="DS65" i="27"/>
  <c r="CY65" i="27"/>
  <c r="CU73" i="27"/>
  <c r="CY72" i="27"/>
  <c r="DW71" i="27"/>
  <c r="DG65" i="27"/>
  <c r="CM65" i="27"/>
  <c r="EQ106" i="27"/>
  <c r="EY106" i="27"/>
  <c r="EE102" i="27"/>
  <c r="CI89" i="27"/>
  <c r="EY89" i="27"/>
  <c r="EA109" i="27"/>
  <c r="EY109" i="27"/>
  <c r="CE97" i="27"/>
  <c r="DG103" i="27"/>
  <c r="DO99" i="27"/>
  <c r="CE95" i="27"/>
  <c r="EY95" i="27"/>
  <c r="EE115" i="27"/>
  <c r="EQ113" i="27"/>
  <c r="DW113" i="27"/>
  <c r="CU109" i="27"/>
  <c r="CY113" i="27"/>
  <c r="CE113" i="27"/>
  <c r="EQ111" i="27"/>
  <c r="CI106" i="27"/>
  <c r="EY111" i="27"/>
  <c r="CE110" i="27"/>
  <c r="EY110" i="27"/>
  <c r="CM113" i="27"/>
  <c r="CE116" i="27"/>
  <c r="EY116" i="27"/>
  <c r="EA111" i="27"/>
  <c r="DO103" i="27"/>
  <c r="DC102" i="27"/>
  <c r="DO115" i="27"/>
  <c r="CE111" i="27"/>
  <c r="DS110" i="27"/>
  <c r="EE109" i="27"/>
  <c r="DK109" i="27"/>
  <c r="CE107" i="27"/>
  <c r="EY107" i="27"/>
  <c r="EU104" i="27"/>
  <c r="EU103" i="27"/>
  <c r="EY103" i="27"/>
  <c r="CI103" i="27"/>
  <c r="CM94" i="27"/>
  <c r="DK89" i="27"/>
  <c r="CY115" i="27"/>
  <c r="CU113" i="27"/>
  <c r="CU110" i="27"/>
  <c r="EM106" i="27"/>
  <c r="CQ106" i="27"/>
  <c r="EE104" i="27"/>
  <c r="DW103" i="27"/>
  <c r="EU102" i="27"/>
  <c r="CU100" i="27"/>
  <c r="CM95" i="27"/>
  <c r="CE92" i="27"/>
  <c r="EY92" i="27"/>
  <c r="EM109" i="27"/>
  <c r="CU104" i="27"/>
  <c r="DW99" i="27"/>
  <c r="EY114" i="27"/>
  <c r="DK113" i="27"/>
  <c r="CQ109" i="27"/>
  <c r="DC104" i="27"/>
  <c r="DK100" i="27"/>
  <c r="EI96" i="27"/>
  <c r="CE96" i="27"/>
  <c r="CE115" i="27"/>
  <c r="EY115" i="27"/>
  <c r="EA113" i="27"/>
  <c r="DG109" i="27"/>
  <c r="DW106" i="27"/>
  <c r="CU102" i="27"/>
  <c r="DS100" i="27"/>
  <c r="CY100" i="27"/>
  <c r="EQ96" i="27"/>
  <c r="DW96" i="27"/>
  <c r="EY90" i="27"/>
  <c r="EY73" i="27"/>
  <c r="CQ73" i="27"/>
  <c r="EY113" i="27"/>
  <c r="DG106" i="27"/>
  <c r="EA104" i="27"/>
  <c r="EA102" i="27"/>
  <c r="EA100" i="27"/>
  <c r="EA98" i="27"/>
  <c r="CM96" i="27"/>
  <c r="CU95" i="27"/>
  <c r="DK93" i="27"/>
  <c r="EI92" i="27"/>
  <c r="DO92" i="27"/>
  <c r="DO91" i="27"/>
  <c r="CE98" i="27"/>
  <c r="EY98" i="27"/>
  <c r="EQ104" i="27"/>
  <c r="CE104" i="27"/>
  <c r="EY104" i="27"/>
  <c r="EQ102" i="27"/>
  <c r="CE102" i="27"/>
  <c r="EQ100" i="27"/>
  <c r="CE100" i="27"/>
  <c r="DC96" i="27"/>
  <c r="EA93" i="27"/>
  <c r="EY102" i="27"/>
  <c r="EY100" i="27"/>
  <c r="EY99" i="27"/>
  <c r="CM98" i="27"/>
  <c r="EY96" i="27"/>
  <c r="DS95" i="27"/>
  <c r="EI93" i="27"/>
  <c r="EY91" i="27"/>
  <c r="DO90" i="27"/>
  <c r="EA86" i="27"/>
  <c r="EY86" i="27"/>
  <c r="CU84" i="27"/>
  <c r="CE93" i="27"/>
  <c r="EY93" i="27"/>
  <c r="CI80" i="27"/>
  <c r="EY80" i="27"/>
  <c r="DG73" i="27"/>
  <c r="DC98" i="27"/>
  <c r="EI95" i="27"/>
  <c r="CI94" i="27"/>
  <c r="EY94" i="27"/>
  <c r="CM93" i="27"/>
  <c r="DW90" i="27"/>
  <c r="EA89" i="27"/>
  <c r="CM82" i="27"/>
  <c r="EY82" i="27"/>
  <c r="CQ79" i="27"/>
  <c r="CY94" i="27"/>
  <c r="DC90" i="27"/>
  <c r="EM76" i="27"/>
  <c r="DO94" i="27"/>
  <c r="CQ92" i="27"/>
  <c r="EM91" i="27"/>
  <c r="CQ91" i="27"/>
  <c r="EY88" i="27"/>
  <c r="DC86" i="27"/>
  <c r="CI85" i="27"/>
  <c r="EY85" i="27"/>
  <c r="EY83" i="27"/>
  <c r="DO80" i="27"/>
  <c r="CM92" i="27"/>
  <c r="CY91" i="27"/>
  <c r="EE90" i="27"/>
  <c r="DW88" i="27"/>
  <c r="DC84" i="27"/>
  <c r="EU82" i="27"/>
  <c r="CY82" i="27"/>
  <c r="DC81" i="27"/>
  <c r="EE80" i="27"/>
  <c r="CY79" i="27"/>
  <c r="DW91" i="27"/>
  <c r="CE84" i="27"/>
  <c r="EY84" i="27"/>
  <c r="CQ80" i="27"/>
  <c r="DW79" i="27"/>
  <c r="EU76" i="27"/>
  <c r="DS92" i="27"/>
  <c r="CY88" i="27"/>
  <c r="EI84" i="27"/>
  <c r="EE82" i="27"/>
  <c r="EY77" i="27"/>
  <c r="DO77" i="27"/>
  <c r="DW73" i="27"/>
  <c r="EM88" i="27"/>
  <c r="DK84" i="27"/>
  <c r="DG82" i="27"/>
  <c r="EE74" i="27"/>
  <c r="DC92" i="27"/>
  <c r="EU88" i="27"/>
  <c r="CI88" i="27"/>
  <c r="DS84" i="27"/>
  <c r="CI83" i="27"/>
  <c r="CM76" i="27"/>
  <c r="EY76" i="27"/>
  <c r="CM72" i="27"/>
  <c r="EY72" i="27"/>
  <c r="EQ81" i="27"/>
  <c r="CE81" i="27"/>
  <c r="EY81" i="27"/>
  <c r="EU77" i="27"/>
  <c r="CI77" i="27"/>
  <c r="DO76" i="27"/>
  <c r="EQ74" i="27"/>
  <c r="DW74" i="27"/>
  <c r="DS81" i="27"/>
  <c r="DW77" i="27"/>
  <c r="CQ76" i="27"/>
  <c r="EY75" i="27"/>
  <c r="CE74" i="27"/>
  <c r="EA81" i="27"/>
  <c r="CE71" i="27"/>
  <c r="EY71" i="27"/>
  <c r="CE67" i="27"/>
  <c r="DG74" i="27"/>
  <c r="CI71" i="27"/>
  <c r="EA69" i="27"/>
  <c r="EU74" i="27"/>
  <c r="CI74" i="27"/>
  <c r="EY70" i="27"/>
  <c r="EE69" i="27"/>
  <c r="DK69" i="27"/>
  <c r="EY69" i="27"/>
  <c r="CU69" i="27"/>
  <c r="EM65" i="27"/>
  <c r="EI69" i="27"/>
  <c r="EY65" i="27"/>
  <c r="DO65" i="27"/>
  <c r="EQ69" i="27"/>
  <c r="CE69" i="27"/>
  <c r="K17" i="105" l="1"/>
  <c r="M92" i="105" s="1"/>
  <c r="M91" i="105"/>
  <c r="AI78" i="105" l="1"/>
  <c r="M87" i="105"/>
  <c r="M89" i="105"/>
  <c r="M86" i="105"/>
  <c r="M88" i="105"/>
  <c r="AG82" i="105" l="1"/>
  <c r="AR16" i="105"/>
  <c r="C23" i="202" s="1"/>
  <c r="AO16" i="105"/>
  <c r="C20" i="202" s="1"/>
  <c r="AN16" i="105"/>
  <c r="C19" i="202" s="1"/>
  <c r="AM16" i="105"/>
  <c r="C18" i="202" s="1"/>
  <c r="AL16" i="105"/>
  <c r="C17" i="202" s="1"/>
  <c r="J77" i="105" l="1"/>
  <c r="C13" i="105" l="1"/>
  <c r="C9" i="145"/>
  <c r="M17" i="105" l="1"/>
  <c r="M33" i="105"/>
  <c r="M19" i="105"/>
  <c r="M18" i="105"/>
  <c r="M29" i="105"/>
  <c r="M32" i="105"/>
  <c r="M34" i="105"/>
  <c r="M26" i="105"/>
  <c r="M25" i="105"/>
  <c r="M24" i="105"/>
  <c r="M22" i="105"/>
  <c r="M21" i="105"/>
  <c r="M30" i="105"/>
  <c r="M23" i="105"/>
  <c r="M20" i="105"/>
  <c r="M28" i="105"/>
  <c r="M36" i="105"/>
  <c r="M35" i="105"/>
  <c r="M31" i="105"/>
  <c r="M27" i="105"/>
  <c r="L17" i="105"/>
  <c r="Q17" i="105"/>
  <c r="N92" i="105" l="1"/>
  <c r="N90" i="105"/>
  <c r="M77" i="105"/>
  <c r="L94" i="75"/>
  <c r="AC63" i="150" l="1"/>
  <c r="AC62" i="150"/>
  <c r="AC60" i="150"/>
  <c r="AC59" i="150"/>
  <c r="AC58" i="150"/>
  <c r="G95" i="75" l="1"/>
  <c r="G94" i="75"/>
  <c r="O70" i="166" l="1"/>
  <c r="N70" i="166"/>
  <c r="M70" i="166"/>
  <c r="L70" i="166"/>
  <c r="O69" i="166"/>
  <c r="N69" i="166"/>
  <c r="M69" i="166"/>
  <c r="L69" i="166"/>
  <c r="G69" i="166"/>
  <c r="O68" i="166"/>
  <c r="N68" i="166"/>
  <c r="M68" i="166"/>
  <c r="L68" i="166"/>
  <c r="G68" i="166"/>
  <c r="O67" i="166"/>
  <c r="N67" i="166"/>
  <c r="G67" i="166"/>
  <c r="G66" i="166"/>
  <c r="O65" i="166"/>
  <c r="N65" i="166"/>
  <c r="G65" i="166"/>
  <c r="O64" i="166"/>
  <c r="N64" i="166"/>
  <c r="G64" i="166"/>
  <c r="F63" i="166"/>
  <c r="P70" i="166" l="1"/>
  <c r="S70" i="166" s="1"/>
  <c r="Q68" i="166"/>
  <c r="R68" i="166" s="1"/>
  <c r="T68" i="166" s="1"/>
  <c r="P69" i="166"/>
  <c r="S69" i="166" s="1"/>
  <c r="P68" i="166"/>
  <c r="S68" i="166" s="1"/>
  <c r="G63" i="166"/>
  <c r="Q69" i="166"/>
  <c r="Y69" i="166" s="1"/>
  <c r="Q70" i="166"/>
  <c r="R70" i="166" s="1"/>
  <c r="T70" i="166" s="1"/>
  <c r="Y68" i="166" l="1"/>
  <c r="Z70" i="166"/>
  <c r="X68" i="166"/>
  <c r="Z69" i="166"/>
  <c r="Z68" i="166"/>
  <c r="R69" i="166"/>
  <c r="T69" i="166" s="1"/>
  <c r="X69" i="166"/>
  <c r="X70" i="166"/>
  <c r="Y70" i="166"/>
  <c r="AC44" i="150" l="1"/>
  <c r="AC45" i="150"/>
  <c r="AC46" i="150"/>
  <c r="AC47" i="150"/>
  <c r="AC48" i="150"/>
  <c r="AC49" i="150"/>
  <c r="AC50" i="150"/>
  <c r="AC51" i="150"/>
  <c r="AC52" i="150"/>
  <c r="AC53" i="150"/>
  <c r="AC54" i="150"/>
  <c r="AC55" i="150"/>
  <c r="AC43" i="150"/>
  <c r="AC37" i="150" l="1"/>
  <c r="AC39" i="150" l="1"/>
  <c r="AC38" i="150"/>
  <c r="N35" i="166" l="1"/>
  <c r="O35" i="166"/>
  <c r="G22" i="166"/>
  <c r="G23" i="166"/>
  <c r="G20" i="166"/>
  <c r="D79" i="75"/>
  <c r="BI11" i="188" s="1"/>
  <c r="E79" i="75"/>
  <c r="F79" i="75"/>
  <c r="G79" i="75"/>
  <c r="H79" i="75"/>
  <c r="BI60" i="188" l="1"/>
  <c r="BI44" i="188"/>
  <c r="BI32" i="188"/>
  <c r="BI59" i="188"/>
  <c r="BI43" i="188"/>
  <c r="BI26" i="188"/>
  <c r="BI36" i="188"/>
  <c r="BI64" i="188"/>
  <c r="BI47" i="188"/>
  <c r="BI58" i="188"/>
  <c r="BI42" i="188"/>
  <c r="BI30" i="188"/>
  <c r="BI57" i="188"/>
  <c r="BI41" i="188"/>
  <c r="BI31" i="188"/>
  <c r="BI54" i="188"/>
  <c r="BI53" i="188"/>
  <c r="BI24" i="188"/>
  <c r="BI51" i="188"/>
  <c r="BI29" i="188"/>
  <c r="BI56" i="188"/>
  <c r="BI40" i="188"/>
  <c r="BI71" i="188"/>
  <c r="BI55" i="188"/>
  <c r="BI39" i="188"/>
  <c r="BI27" i="188"/>
  <c r="BI69" i="188"/>
  <c r="BI52" i="188"/>
  <c r="BI35" i="188"/>
  <c r="BI66" i="188"/>
  <c r="BI34" i="188"/>
  <c r="BI49" i="188"/>
  <c r="BI28" i="188"/>
  <c r="BI70" i="188"/>
  <c r="BI38" i="188"/>
  <c r="BI37" i="188"/>
  <c r="BI63" i="188"/>
  <c r="BI46" i="188"/>
  <c r="BI68" i="188"/>
  <c r="BI67" i="188"/>
  <c r="BI50" i="188"/>
  <c r="BI65" i="188"/>
  <c r="BI33" i="188"/>
  <c r="BI62" i="188"/>
  <c r="BI45" i="188"/>
  <c r="BI25" i="188"/>
  <c r="BI61" i="188"/>
  <c r="BI48" i="188"/>
  <c r="BI72" i="188"/>
  <c r="G88" i="105"/>
  <c r="F12" i="204" s="1"/>
  <c r="G87" i="105"/>
  <c r="D77" i="105"/>
  <c r="W20" i="153" s="1"/>
  <c r="G86" i="105"/>
  <c r="D12" i="204" s="1"/>
  <c r="N89" i="105"/>
  <c r="G77" i="105"/>
  <c r="K77" i="105"/>
  <c r="E6" i="190"/>
  <c r="Q33" i="190" s="1"/>
  <c r="N86" i="105" l="1"/>
  <c r="D93" i="105"/>
  <c r="E9" i="190"/>
  <c r="E8" i="190"/>
  <c r="D12" i="202"/>
  <c r="N87" i="105"/>
  <c r="N91" i="105"/>
  <c r="N88" i="105"/>
  <c r="D10" i="145"/>
  <c r="E10" i="145"/>
  <c r="D9" i="145"/>
  <c r="M105" i="166"/>
  <c r="M106" i="166"/>
  <c r="M107" i="166"/>
  <c r="M108" i="166"/>
  <c r="M109" i="166"/>
  <c r="M110" i="166"/>
  <c r="M111" i="166"/>
  <c r="M112" i="166"/>
  <c r="M113" i="166"/>
  <c r="M114" i="166"/>
  <c r="M115" i="166"/>
  <c r="M116" i="166"/>
  <c r="M104" i="166"/>
  <c r="U123" i="166"/>
  <c r="K97" i="208" l="1"/>
  <c r="M68" i="190"/>
  <c r="N68" i="190" s="1"/>
  <c r="F114" i="190" s="1"/>
  <c r="L10" i="145"/>
  <c r="AI10" i="145"/>
  <c r="E34" i="190"/>
  <c r="Q31" i="190"/>
  <c r="I69" i="190"/>
  <c r="Q30" i="190"/>
  <c r="J31" i="190"/>
  <c r="H81" i="202"/>
  <c r="P67" i="202"/>
  <c r="I29" i="190"/>
  <c r="I27" i="190"/>
  <c r="M73" i="190"/>
  <c r="N73" i="190" s="1"/>
  <c r="I74" i="190"/>
  <c r="J74" i="190" s="1"/>
  <c r="F108" i="190" s="1"/>
  <c r="M59" i="190"/>
  <c r="E35" i="190"/>
  <c r="M35" i="190" s="1"/>
  <c r="L43" i="190"/>
  <c r="E36" i="190"/>
  <c r="M36" i="190" s="1"/>
  <c r="K107" i="190"/>
  <c r="E39" i="190"/>
  <c r="M39" i="190" s="1"/>
  <c r="E38" i="190"/>
  <c r="M38" i="190" s="1"/>
  <c r="I40" i="190"/>
  <c r="J40" i="190" s="1"/>
  <c r="E37" i="190"/>
  <c r="L40" i="190"/>
  <c r="I43" i="190"/>
  <c r="J43" i="190" s="1"/>
  <c r="I101" i="166"/>
  <c r="J29" i="190" l="1"/>
  <c r="L29" i="190"/>
  <c r="M29" i="190" s="1"/>
  <c r="J27" i="190"/>
  <c r="L27" i="190"/>
  <c r="M27" i="190" s="1"/>
  <c r="J34" i="190"/>
  <c r="K101" i="208"/>
  <c r="K100" i="208"/>
  <c r="E25" i="208"/>
  <c r="E30" i="208"/>
  <c r="E26" i="208"/>
  <c r="E28" i="208"/>
  <c r="E27" i="208"/>
  <c r="E29" i="208"/>
  <c r="J69" i="190"/>
  <c r="H76" i="190"/>
  <c r="M40" i="190"/>
  <c r="Q32" i="190"/>
  <c r="M26" i="190"/>
  <c r="Q28" i="190"/>
  <c r="M28" i="190"/>
  <c r="T29" i="190" s="1"/>
  <c r="Q29" i="190"/>
  <c r="O68" i="190"/>
  <c r="K74" i="190"/>
  <c r="E108" i="190" s="1"/>
  <c r="N76" i="190"/>
  <c r="O73" i="190"/>
  <c r="E113" i="190" s="1"/>
  <c r="F113" i="190"/>
  <c r="J35" i="190"/>
  <c r="K111" i="190"/>
  <c r="K110" i="190"/>
  <c r="J39" i="190"/>
  <c r="M43" i="190"/>
  <c r="M34" i="190"/>
  <c r="J36" i="190"/>
  <c r="J38" i="190"/>
  <c r="J37" i="190"/>
  <c r="M37" i="190"/>
  <c r="T28" i="190" l="1"/>
  <c r="J76" i="190"/>
  <c r="K69" i="190"/>
  <c r="F109" i="190"/>
  <c r="M25" i="208"/>
  <c r="J25" i="208"/>
  <c r="M30" i="208"/>
  <c r="J30" i="208"/>
  <c r="M26" i="208"/>
  <c r="J26" i="208"/>
  <c r="M28" i="208"/>
  <c r="J28" i="208"/>
  <c r="J27" i="208"/>
  <c r="M27" i="208"/>
  <c r="M29" i="208"/>
  <c r="J29" i="208"/>
  <c r="O76" i="190"/>
  <c r="E114" i="190"/>
  <c r="K48" i="190"/>
  <c r="K47" i="190"/>
  <c r="E109" i="190" l="1"/>
  <c r="K76" i="190"/>
  <c r="K49" i="190"/>
  <c r="F24" i="150"/>
  <c r="G24" i="150" s="1"/>
  <c r="H24" i="150" s="1"/>
  <c r="I24" i="150" s="1"/>
  <c r="J24" i="150" s="1"/>
  <c r="P24" i="150"/>
  <c r="Q24" i="150" s="1"/>
  <c r="R24" i="150" s="1"/>
  <c r="S24" i="150" s="1"/>
  <c r="T24" i="150" s="1"/>
  <c r="Z24" i="150"/>
  <c r="AA24" i="150" s="1"/>
  <c r="AB24" i="150" s="1"/>
  <c r="AC34" i="150" l="1"/>
  <c r="AC35" i="150"/>
  <c r="AC33" i="150"/>
  <c r="L77" i="105" l="1"/>
  <c r="N93" i="105" l="1"/>
  <c r="D14" i="166" l="1"/>
  <c r="E14" i="166" s="1"/>
  <c r="K88" i="166"/>
  <c r="G41" i="166"/>
  <c r="N41" i="166"/>
  <c r="O41" i="166"/>
  <c r="G42" i="166"/>
  <c r="N42" i="166"/>
  <c r="O42" i="166"/>
  <c r="G40" i="166"/>
  <c r="N40" i="166"/>
  <c r="O40" i="166"/>
  <c r="G39" i="166"/>
  <c r="G38" i="166"/>
  <c r="N28" i="166"/>
  <c r="O28" i="166"/>
  <c r="G28" i="166"/>
  <c r="G29" i="166"/>
  <c r="G33" i="166"/>
  <c r="G34" i="166"/>
  <c r="G32" i="166"/>
  <c r="G27" i="166"/>
  <c r="N22" i="166"/>
  <c r="O22" i="166"/>
  <c r="I95" i="75"/>
  <c r="F14" i="166" l="1"/>
  <c r="G101" i="166"/>
  <c r="G104" i="166" s="1"/>
  <c r="O77" i="166"/>
  <c r="N77" i="166"/>
  <c r="M77" i="166"/>
  <c r="L77" i="166"/>
  <c r="O76" i="166"/>
  <c r="N76" i="166"/>
  <c r="M76" i="166"/>
  <c r="L76" i="166"/>
  <c r="O75" i="166"/>
  <c r="N75" i="166"/>
  <c r="G75" i="166"/>
  <c r="G74" i="166"/>
  <c r="O73" i="166"/>
  <c r="N73" i="166"/>
  <c r="G73" i="166"/>
  <c r="O72" i="166"/>
  <c r="N72" i="166"/>
  <c r="G72" i="166"/>
  <c r="F71" i="166"/>
  <c r="O62" i="166"/>
  <c r="N62" i="166"/>
  <c r="M62" i="166"/>
  <c r="L62" i="166"/>
  <c r="O61" i="166"/>
  <c r="N61" i="166"/>
  <c r="G61" i="166"/>
  <c r="O60" i="166"/>
  <c r="N60" i="166"/>
  <c r="G60" i="166"/>
  <c r="G59" i="166"/>
  <c r="O58" i="166"/>
  <c r="N58" i="166"/>
  <c r="G58" i="166"/>
  <c r="O57" i="166"/>
  <c r="N57" i="166"/>
  <c r="G57" i="166"/>
  <c r="F56" i="166"/>
  <c r="O55" i="166"/>
  <c r="N55" i="166"/>
  <c r="M55" i="166"/>
  <c r="L55" i="166"/>
  <c r="O54" i="166"/>
  <c r="N54" i="166"/>
  <c r="G54" i="166"/>
  <c r="G53" i="166"/>
  <c r="O52" i="166"/>
  <c r="N52" i="166"/>
  <c r="G52" i="166"/>
  <c r="O51" i="166"/>
  <c r="N51" i="166"/>
  <c r="G51" i="166"/>
  <c r="F50" i="166"/>
  <c r="O49" i="166"/>
  <c r="N49" i="166"/>
  <c r="M49" i="166"/>
  <c r="L49" i="166"/>
  <c r="O48" i="166"/>
  <c r="N48" i="166"/>
  <c r="G48" i="166"/>
  <c r="G47" i="166"/>
  <c r="O46" i="166"/>
  <c r="N46" i="166"/>
  <c r="G46" i="166"/>
  <c r="O45" i="166"/>
  <c r="N45" i="166"/>
  <c r="G45" i="166"/>
  <c r="F44" i="166"/>
  <c r="O43" i="166"/>
  <c r="N43" i="166"/>
  <c r="M43" i="166"/>
  <c r="L43" i="166"/>
  <c r="G37" i="166"/>
  <c r="O38" i="166"/>
  <c r="N38" i="166"/>
  <c r="F37" i="166"/>
  <c r="O36" i="166"/>
  <c r="N36" i="166"/>
  <c r="M36" i="166"/>
  <c r="L36" i="166"/>
  <c r="O33" i="166"/>
  <c r="N33" i="166"/>
  <c r="O32" i="166"/>
  <c r="N32" i="166"/>
  <c r="G31" i="166"/>
  <c r="F31" i="166"/>
  <c r="O30" i="166"/>
  <c r="N30" i="166"/>
  <c r="M30" i="166"/>
  <c r="L30" i="166"/>
  <c r="O27" i="166"/>
  <c r="N27" i="166"/>
  <c r="O26" i="166"/>
  <c r="N26" i="166"/>
  <c r="G26" i="166"/>
  <c r="F25" i="166"/>
  <c r="O24" i="166"/>
  <c r="N24" i="166"/>
  <c r="M24" i="166"/>
  <c r="L24" i="166"/>
  <c r="O21" i="166"/>
  <c r="N21" i="166"/>
  <c r="F19" i="166"/>
  <c r="G14" i="166" l="1"/>
  <c r="H14" i="166" s="1"/>
  <c r="I14" i="166" s="1"/>
  <c r="J14" i="166" s="1"/>
  <c r="K14" i="166" s="1"/>
  <c r="L14" i="166" s="1"/>
  <c r="M14" i="166" s="1"/>
  <c r="N14" i="166" s="1"/>
  <c r="O14" i="166" s="1"/>
  <c r="P14" i="166" s="1"/>
  <c r="F101" i="166"/>
  <c r="G44" i="166"/>
  <c r="P76" i="166"/>
  <c r="Z76" i="166" s="1"/>
  <c r="G25" i="166"/>
  <c r="G50" i="166"/>
  <c r="G19" i="166"/>
  <c r="P36" i="166"/>
  <c r="S36" i="166" s="1"/>
  <c r="P55" i="166"/>
  <c r="S55" i="166" s="1"/>
  <c r="Q36" i="166"/>
  <c r="Y36" i="166" s="1"/>
  <c r="Q30" i="166"/>
  <c r="R30" i="166" s="1"/>
  <c r="T30" i="166" s="1"/>
  <c r="P43" i="166"/>
  <c r="S43" i="166" s="1"/>
  <c r="P24" i="166"/>
  <c r="S24" i="166" s="1"/>
  <c r="Q55" i="166"/>
  <c r="Y55" i="166" s="1"/>
  <c r="Q24" i="166"/>
  <c r="R24" i="166" s="1"/>
  <c r="T24" i="166" s="1"/>
  <c r="P30" i="166"/>
  <c r="Z30" i="166" s="1"/>
  <c r="Q76" i="166"/>
  <c r="X76" i="166" s="1"/>
  <c r="Q49" i="166"/>
  <c r="R49" i="166" s="1"/>
  <c r="T49" i="166" s="1"/>
  <c r="Q43" i="166"/>
  <c r="Y43" i="166" s="1"/>
  <c r="P49" i="166"/>
  <c r="S49" i="166" s="1"/>
  <c r="P62" i="166"/>
  <c r="Z62" i="166" s="1"/>
  <c r="P77" i="166"/>
  <c r="Q62" i="166"/>
  <c r="Q77" i="166"/>
  <c r="T77" i="166" s="1"/>
  <c r="X77" i="166" s="1"/>
  <c r="G56" i="166"/>
  <c r="G71" i="166"/>
  <c r="Q14" i="166" l="1"/>
  <c r="R14" i="166" s="1"/>
  <c r="S14" i="166" s="1"/>
  <c r="T14" i="166" s="1"/>
  <c r="L101" i="166"/>
  <c r="S76" i="166"/>
  <c r="Z36" i="166"/>
  <c r="X24" i="166"/>
  <c r="Y24" i="166"/>
  <c r="X55" i="166"/>
  <c r="R55" i="166"/>
  <c r="T55" i="166" s="1"/>
  <c r="R76" i="166"/>
  <c r="T76" i="166" s="1"/>
  <c r="Z24" i="166"/>
  <c r="R43" i="166"/>
  <c r="T43" i="166" s="1"/>
  <c r="X43" i="166"/>
  <c r="Z55" i="166"/>
  <c r="Z77" i="166"/>
  <c r="S62" i="166"/>
  <c r="R36" i="166"/>
  <c r="T36" i="166" s="1"/>
  <c r="Y30" i="166"/>
  <c r="Z49" i="166"/>
  <c r="X36" i="166"/>
  <c r="Y76" i="166"/>
  <c r="Z43" i="166"/>
  <c r="X30" i="166"/>
  <c r="S30" i="166"/>
  <c r="X49" i="166"/>
  <c r="Y49" i="166"/>
  <c r="Y77" i="166"/>
  <c r="X62" i="166"/>
  <c r="Y62" i="166"/>
  <c r="R62" i="166"/>
  <c r="T62" i="166" s="1"/>
  <c r="U14" i="166" l="1"/>
  <c r="K101" i="166"/>
  <c r="V14" i="166" l="1"/>
  <c r="J101" i="166"/>
  <c r="W14" i="166" l="1"/>
  <c r="X14" i="166" s="1"/>
  <c r="Y14" i="166" s="1"/>
  <c r="Z14" i="166" s="1"/>
  <c r="AA14" i="166" s="1"/>
  <c r="N101" i="166"/>
  <c r="EX13" i="27"/>
  <c r="EX14" i="27"/>
  <c r="EX15" i="27"/>
  <c r="EX16" i="27"/>
  <c r="EX17" i="27"/>
  <c r="EX18" i="27"/>
  <c r="EX19" i="27"/>
  <c r="EX20" i="27"/>
  <c r="EX21" i="27"/>
  <c r="EX22" i="27"/>
  <c r="EX23" i="27"/>
  <c r="EX24" i="27"/>
  <c r="EX25" i="27"/>
  <c r="EX26" i="27"/>
  <c r="EX27" i="27"/>
  <c r="EX28" i="27"/>
  <c r="EX29" i="27"/>
  <c r="EX30" i="27"/>
  <c r="EX31" i="27"/>
  <c r="EX32" i="27"/>
  <c r="EX33" i="27"/>
  <c r="EX34" i="27"/>
  <c r="EX35" i="27"/>
  <c r="EX36" i="27"/>
  <c r="EX37" i="27"/>
  <c r="EX38" i="27"/>
  <c r="EX39" i="27"/>
  <c r="EX40" i="27"/>
  <c r="EX41" i="27"/>
  <c r="EX42" i="27"/>
  <c r="EX43" i="27"/>
  <c r="EX44" i="27"/>
  <c r="EX45" i="27"/>
  <c r="EX46" i="27"/>
  <c r="EX47" i="27"/>
  <c r="EX48" i="27"/>
  <c r="FG48" i="27" s="1"/>
  <c r="EX49" i="27"/>
  <c r="FG49" i="27" s="1"/>
  <c r="EX50" i="27"/>
  <c r="FG50" i="27" s="1"/>
  <c r="EX51" i="27"/>
  <c r="FG51" i="27" s="1"/>
  <c r="EX52" i="27"/>
  <c r="FG52" i="27" s="1"/>
  <c r="EX53" i="27"/>
  <c r="FG53" i="27" s="1"/>
  <c r="EX54" i="27"/>
  <c r="FG54" i="27" s="1"/>
  <c r="EX55" i="27"/>
  <c r="FG55" i="27" s="1"/>
  <c r="EX56" i="27"/>
  <c r="FG56" i="27" s="1"/>
  <c r="EX57" i="27"/>
  <c r="FG57" i="27" s="1"/>
  <c r="EX58" i="27"/>
  <c r="FG58" i="27" s="1"/>
  <c r="EX59" i="27"/>
  <c r="FG59" i="27" s="1"/>
  <c r="EX60" i="27"/>
  <c r="FG60" i="27" s="1"/>
  <c r="EX61" i="27"/>
  <c r="FG61" i="27" s="1"/>
  <c r="EX62" i="27"/>
  <c r="FG62" i="27" s="1"/>
  <c r="EX63" i="27"/>
  <c r="FG63" i="27" s="1"/>
  <c r="CD45" i="27"/>
  <c r="CD42" i="27"/>
  <c r="CG45" i="27"/>
  <c r="CF45" i="27"/>
  <c r="CG42" i="27"/>
  <c r="CF42" i="27"/>
  <c r="CE45" i="27" l="1"/>
  <c r="CE42" i="27"/>
  <c r="B9" i="145" l="1"/>
  <c r="C10" i="145"/>
  <c r="C12" i="145"/>
  <c r="B18" i="145"/>
  <c r="B32" i="145"/>
  <c r="B12" i="145" l="1"/>
  <c r="AC31" i="150"/>
  <c r="AC30" i="150"/>
  <c r="AC29" i="150"/>
  <c r="AC28" i="150"/>
  <c r="E12" i="150"/>
  <c r="E6" i="150"/>
  <c r="AC27" i="150"/>
  <c r="AC26" i="150"/>
  <c r="AD63" i="150" l="1"/>
  <c r="AD60" i="150"/>
  <c r="AD27" i="150"/>
  <c r="E7" i="150"/>
  <c r="AD31" i="150"/>
  <c r="AD28" i="150"/>
  <c r="AD29" i="150"/>
  <c r="E11" i="150"/>
  <c r="AD58" i="150" l="1"/>
  <c r="AD47" i="150"/>
  <c r="AD55" i="150"/>
  <c r="AD52" i="150"/>
  <c r="AD48" i="150"/>
  <c r="AD44" i="150"/>
  <c r="AD49" i="150"/>
  <c r="AD53" i="150"/>
  <c r="AD43" i="150"/>
  <c r="AD50" i="150"/>
  <c r="AD54" i="150"/>
  <c r="AD46" i="150"/>
  <c r="AD51" i="150"/>
  <c r="AD45" i="150"/>
  <c r="AD37" i="150"/>
  <c r="AD39" i="150"/>
  <c r="AD38" i="150"/>
  <c r="AF30" i="150"/>
  <c r="AF59" i="150"/>
  <c r="AF62" i="150"/>
  <c r="AD62" i="150"/>
  <c r="AE62" i="150" s="1"/>
  <c r="AD59" i="150"/>
  <c r="AE59" i="150" s="1"/>
  <c r="AF33" i="150"/>
  <c r="AD35" i="150"/>
  <c r="AD34" i="150"/>
  <c r="AD33" i="150"/>
  <c r="AD26" i="150"/>
  <c r="AE26" i="150" s="1"/>
  <c r="AF26" i="150"/>
  <c r="AD30" i="150"/>
  <c r="AE30" i="150" s="1"/>
  <c r="AE33" i="150" l="1"/>
  <c r="F104" i="166" l="1"/>
  <c r="G105" i="166" l="1"/>
  <c r="G106" i="166"/>
  <c r="G107" i="166"/>
  <c r="G109" i="166"/>
  <c r="G108" i="166"/>
  <c r="G110" i="166"/>
  <c r="G111" i="166"/>
  <c r="G112" i="166"/>
  <c r="G113" i="166"/>
  <c r="G114" i="166"/>
  <c r="G115" i="166"/>
  <c r="G116" i="166"/>
  <c r="G124" i="166" l="1"/>
  <c r="F113" i="166"/>
  <c r="F111" i="166"/>
  <c r="F110" i="166"/>
  <c r="F108" i="166"/>
  <c r="F106" i="166"/>
  <c r="F112" i="166"/>
  <c r="F107" i="166"/>
  <c r="F116" i="166"/>
  <c r="F115" i="166"/>
  <c r="F114" i="166"/>
  <c r="F109" i="166"/>
  <c r="F105" i="166"/>
  <c r="F124" i="166" l="1"/>
  <c r="P129" i="166" s="1"/>
  <c r="P128" i="166"/>
  <c r="BH15" i="150" l="1"/>
  <c r="AG8" i="153"/>
  <c r="AG9" i="153"/>
  <c r="AH9" i="153" s="1"/>
  <c r="AI9" i="153" l="1"/>
  <c r="AJ9" i="153" s="1"/>
  <c r="AH8" i="153"/>
  <c r="AK8" i="153"/>
  <c r="AI8" i="153"/>
  <c r="AJ8" i="153" s="1"/>
  <c r="AK9" i="153" l="1"/>
  <c r="AL9" i="153" s="1"/>
  <c r="AI15" i="150"/>
  <c r="AL8" i="153"/>
  <c r="C27" i="153" l="1"/>
  <c r="E25" i="153"/>
  <c r="C23" i="153"/>
  <c r="D32" i="86"/>
  <c r="W21" i="153" s="1"/>
  <c r="J14" i="153"/>
  <c r="H14" i="153"/>
  <c r="J13" i="153"/>
  <c r="H13" i="153"/>
  <c r="J12" i="153"/>
  <c r="H12" i="153"/>
  <c r="J11" i="153"/>
  <c r="H11" i="153"/>
  <c r="J10" i="153"/>
  <c r="H10" i="153"/>
  <c r="J9" i="153"/>
  <c r="H9" i="153"/>
  <c r="J8" i="153"/>
  <c r="H8" i="153"/>
  <c r="F31" i="203" l="1"/>
  <c r="AC23" i="150"/>
  <c r="AD23" i="150" s="1"/>
  <c r="AC21" i="150"/>
  <c r="AD21" i="150" s="1"/>
  <c r="AC20" i="150"/>
  <c r="AD20" i="150" s="1"/>
  <c r="AC24" i="150"/>
  <c r="C26" i="153"/>
  <c r="K8" i="153"/>
  <c r="K9" i="153"/>
  <c r="K10" i="153"/>
  <c r="K11" i="153"/>
  <c r="K12" i="153"/>
  <c r="K13" i="153"/>
  <c r="K14" i="153"/>
  <c r="E17" i="190" l="1"/>
  <c r="F17" i="190"/>
  <c r="AD24" i="150"/>
  <c r="C28" i="153" s="1"/>
  <c r="C29" i="153" s="1"/>
  <c r="C32" i="153" s="1"/>
  <c r="AC22" i="150"/>
  <c r="AD22" i="150" s="1"/>
  <c r="F17" i="150" l="1"/>
  <c r="G17" i="150" s="1"/>
  <c r="H17" i="150" s="1"/>
  <c r="I17" i="150" s="1"/>
  <c r="J17" i="150" s="1"/>
  <c r="F18" i="150"/>
  <c r="G18" i="150" s="1"/>
  <c r="H18" i="150" s="1"/>
  <c r="I18" i="150" s="1"/>
  <c r="J18" i="150" s="1"/>
  <c r="K18" i="150" s="1"/>
  <c r="L18" i="150" s="1"/>
  <c r="F19" i="150"/>
  <c r="G19" i="150" s="1"/>
  <c r="H19" i="150" s="1"/>
  <c r="I19" i="150" s="1"/>
  <c r="J19" i="150" s="1"/>
  <c r="K19" i="150" s="1"/>
  <c r="X19" i="150" l="1"/>
  <c r="Y19" i="150" s="1"/>
  <c r="Z19" i="150" s="1"/>
  <c r="AA19" i="150" s="1"/>
  <c r="AB19" i="150" s="1"/>
  <c r="O19" i="150"/>
  <c r="P19" i="150" s="1"/>
  <c r="Q19" i="150" s="1"/>
  <c r="R19" i="150" s="1"/>
  <c r="S19" i="150" s="1"/>
  <c r="T19" i="150" s="1"/>
  <c r="U19" i="150" s="1"/>
  <c r="M19" i="150"/>
  <c r="Q17" i="150"/>
  <c r="R17" i="150" s="1"/>
  <c r="S17" i="150" s="1"/>
  <c r="T17" i="150" s="1"/>
  <c r="AC16" i="150"/>
  <c r="AC15" i="150"/>
  <c r="AD15" i="150" s="1"/>
  <c r="AD16" i="150" l="1"/>
  <c r="AC17" i="150"/>
  <c r="AD17" i="150" s="1"/>
  <c r="M18" i="150"/>
  <c r="N18" i="150" s="1"/>
  <c r="O18" i="150" s="1"/>
  <c r="P18" i="150" s="1"/>
  <c r="Q18" i="150" s="1"/>
  <c r="R18" i="150" s="1"/>
  <c r="S18" i="150" s="1"/>
  <c r="T18" i="150" s="1"/>
  <c r="U18" i="150" s="1"/>
  <c r="V18" i="150" s="1"/>
  <c r="W18" i="150" s="1"/>
  <c r="X18" i="150" s="1"/>
  <c r="Y18" i="150" s="1"/>
  <c r="Z18" i="150" s="1"/>
  <c r="AA18" i="150" s="1"/>
  <c r="AB18" i="150" s="1"/>
  <c r="J91" i="105"/>
  <c r="J90" i="105"/>
  <c r="AN77" i="105" l="1"/>
  <c r="AO77" i="105"/>
  <c r="AK77" i="105"/>
  <c r="M93" i="105"/>
  <c r="N94" i="105" s="1"/>
  <c r="I91" i="105"/>
  <c r="K91" i="105" s="1"/>
  <c r="L91" i="105" s="1"/>
  <c r="I90" i="105"/>
  <c r="K90" i="105" s="1"/>
  <c r="L90" i="105" s="1"/>
  <c r="J86" i="105"/>
  <c r="AC18" i="150"/>
  <c r="AD18" i="150" s="1"/>
  <c r="AC19" i="150"/>
  <c r="AD19" i="150" s="1"/>
  <c r="FP9" i="27" l="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B168" i="108"/>
  <c r="E168" i="108"/>
  <c r="F168" i="108"/>
  <c r="J168" i="108"/>
  <c r="K168" i="108"/>
  <c r="B169" i="108"/>
  <c r="F169" i="108"/>
  <c r="J169" i="108"/>
  <c r="K169" i="108"/>
  <c r="B170" i="108"/>
  <c r="F170" i="108"/>
  <c r="J170" i="108"/>
  <c r="K170" i="108"/>
  <c r="D170" i="108" l="1"/>
  <c r="D169" i="108"/>
  <c r="D168" i="108"/>
  <c r="E170" i="108"/>
  <c r="E169" i="108"/>
  <c r="GJ11" i="27"/>
  <c r="GK9" i="27"/>
  <c r="GJ10" i="27"/>
  <c r="FM117" i="27"/>
  <c r="FM119" i="27"/>
  <c r="FM118" i="27"/>
  <c r="FM120" i="27"/>
  <c r="FM116" i="27"/>
  <c r="FM115" i="27"/>
  <c r="FM114" i="27"/>
  <c r="FM113" i="27"/>
  <c r="K164" i="108"/>
  <c r="K162" i="108"/>
  <c r="K165" i="108"/>
  <c r="K163" i="108"/>
  <c r="K166" i="108"/>
  <c r="K160" i="108"/>
  <c r="K167" i="108"/>
  <c r="K161" i="108"/>
  <c r="D167" i="108"/>
  <c r="J164" i="108"/>
  <c r="F161" i="108"/>
  <c r="F166" i="108"/>
  <c r="J162" i="108"/>
  <c r="O168" i="108"/>
  <c r="J167" i="108"/>
  <c r="F167" i="108"/>
  <c r="E166" i="108"/>
  <c r="E165" i="108"/>
  <c r="D164" i="108"/>
  <c r="E163" i="108"/>
  <c r="E162" i="108"/>
  <c r="D161" i="108"/>
  <c r="B160" i="108"/>
  <c r="B166" i="108"/>
  <c r="B165" i="108"/>
  <c r="F164" i="108"/>
  <c r="B163" i="108"/>
  <c r="B162" i="108"/>
  <c r="J161" i="108"/>
  <c r="E160" i="108"/>
  <c r="B167" i="108"/>
  <c r="J166" i="108"/>
  <c r="J165" i="108"/>
  <c r="F165" i="108"/>
  <c r="E164" i="108"/>
  <c r="J163" i="108"/>
  <c r="F163" i="108"/>
  <c r="F162" i="108"/>
  <c r="E161" i="108"/>
  <c r="D160" i="108"/>
  <c r="O170" i="108"/>
  <c r="E167" i="108"/>
  <c r="D166" i="108"/>
  <c r="D165" i="108"/>
  <c r="B164" i="108"/>
  <c r="D163" i="108"/>
  <c r="D162" i="108"/>
  <c r="B161" i="108"/>
  <c r="J160" i="108"/>
  <c r="F160" i="108"/>
  <c r="GI11" i="27"/>
  <c r="O169" i="108"/>
  <c r="GJ221" i="27" l="1"/>
  <c r="GJ172" i="27"/>
  <c r="GJ220" i="27"/>
  <c r="GJ138" i="27"/>
  <c r="GJ219" i="27"/>
  <c r="GJ171" i="27"/>
  <c r="GJ218" i="27"/>
  <c r="GJ143" i="27"/>
  <c r="GJ217" i="27"/>
  <c r="GJ170" i="27"/>
  <c r="GJ216" i="27"/>
  <c r="GJ36" i="27"/>
  <c r="GJ215" i="27"/>
  <c r="GJ169" i="27"/>
  <c r="GJ214" i="27"/>
  <c r="GJ28" i="27"/>
  <c r="GJ213" i="27"/>
  <c r="GJ38" i="27"/>
  <c r="GJ212" i="27"/>
  <c r="GJ35" i="27"/>
  <c r="GJ211" i="27"/>
  <c r="GJ27" i="27"/>
  <c r="GJ210" i="27"/>
  <c r="GJ44" i="27"/>
  <c r="GJ209" i="27"/>
  <c r="GJ20" i="27"/>
  <c r="GJ208" i="27"/>
  <c r="GJ19" i="27"/>
  <c r="GJ207" i="27"/>
  <c r="GJ168" i="27"/>
  <c r="GJ206" i="27"/>
  <c r="GJ14" i="27"/>
  <c r="GJ205" i="27"/>
  <c r="GJ167" i="27"/>
  <c r="GJ204" i="27"/>
  <c r="GJ142" i="27"/>
  <c r="GJ166" i="27"/>
  <c r="GJ188" i="27"/>
  <c r="GJ151" i="27"/>
  <c r="GJ42" i="27"/>
  <c r="GJ165" i="27"/>
  <c r="GJ137" i="27"/>
  <c r="GJ25" i="27"/>
  <c r="GJ18" i="27"/>
  <c r="GJ164" i="27"/>
  <c r="GJ203" i="27"/>
  <c r="GJ150" i="27"/>
  <c r="GJ202" i="27"/>
  <c r="GJ163" i="27"/>
  <c r="GJ201" i="27"/>
  <c r="GJ141" i="27"/>
  <c r="GJ200" i="27"/>
  <c r="GJ175" i="27"/>
  <c r="GJ199" i="27"/>
  <c r="GJ162" i="27"/>
  <c r="GJ198" i="27"/>
  <c r="GJ149" i="27"/>
  <c r="GJ197" i="27"/>
  <c r="GJ161" i="27"/>
  <c r="GJ196" i="27"/>
  <c r="GJ117" i="27"/>
  <c r="GJ195" i="27"/>
  <c r="GJ160" i="27"/>
  <c r="GJ194" i="27"/>
  <c r="GJ148" i="27"/>
  <c r="GJ193" i="27"/>
  <c r="GJ159" i="27"/>
  <c r="GJ192" i="27"/>
  <c r="GJ140" i="27"/>
  <c r="GJ191" i="27"/>
  <c r="GJ158" i="27"/>
  <c r="GJ190" i="27"/>
  <c r="GJ147" i="27"/>
  <c r="GJ189" i="27"/>
  <c r="GJ157" i="27"/>
  <c r="GJ187" i="27"/>
  <c r="GJ39" i="27"/>
  <c r="GJ37" i="27"/>
  <c r="GJ136" i="27"/>
  <c r="GJ21" i="27"/>
  <c r="GJ15" i="27"/>
  <c r="GJ12" i="27"/>
  <c r="GJ186" i="27"/>
  <c r="GJ156" i="27"/>
  <c r="GJ185" i="27"/>
  <c r="GJ146" i="27"/>
  <c r="GJ184" i="27"/>
  <c r="GJ155" i="27"/>
  <c r="GJ183" i="27"/>
  <c r="GJ139" i="27"/>
  <c r="GJ182" i="27"/>
  <c r="GJ154" i="27"/>
  <c r="GJ181" i="27"/>
  <c r="GJ145" i="27"/>
  <c r="GJ180" i="27"/>
  <c r="GJ153" i="27"/>
  <c r="GJ179" i="27"/>
  <c r="GJ116" i="27"/>
  <c r="GJ178" i="27"/>
  <c r="GJ152" i="27"/>
  <c r="GJ177" i="27"/>
  <c r="GJ144" i="27"/>
  <c r="GJ176" i="27"/>
  <c r="GJ22" i="27"/>
  <c r="GJ135" i="27"/>
  <c r="GJ134" i="27"/>
  <c r="GJ174" i="27"/>
  <c r="GJ118" i="27"/>
  <c r="GJ173" i="27"/>
  <c r="GJ41" i="27"/>
  <c r="GJ13" i="27"/>
  <c r="GJ133" i="27"/>
  <c r="GJ132" i="27"/>
  <c r="GJ131" i="27"/>
  <c r="GJ130" i="27"/>
  <c r="GJ129" i="27"/>
  <c r="GJ128" i="27"/>
  <c r="GJ127" i="27"/>
  <c r="GJ126" i="27"/>
  <c r="GJ125" i="27"/>
  <c r="GJ124" i="27"/>
  <c r="GJ123" i="27"/>
  <c r="GJ122" i="27"/>
  <c r="GJ121" i="27"/>
  <c r="GJ120" i="27"/>
  <c r="GJ119" i="27"/>
  <c r="GJ40" i="27"/>
  <c r="GJ32" i="27"/>
  <c r="GJ30" i="27"/>
  <c r="GJ115" i="27"/>
  <c r="GJ114" i="27"/>
  <c r="GJ113" i="27"/>
  <c r="GJ112" i="27"/>
  <c r="GJ111" i="27"/>
  <c r="GJ110" i="27"/>
  <c r="GJ109" i="27"/>
  <c r="GJ108" i="27"/>
  <c r="GJ107" i="27"/>
  <c r="GJ106" i="27"/>
  <c r="GJ105" i="27"/>
  <c r="GJ104" i="27"/>
  <c r="GJ103" i="27"/>
  <c r="GJ102" i="27"/>
  <c r="GJ101" i="27"/>
  <c r="GJ100" i="27"/>
  <c r="GJ99" i="27"/>
  <c r="GJ64" i="27"/>
  <c r="GJ63" i="27"/>
  <c r="GJ98" i="27"/>
  <c r="GJ97" i="27"/>
  <c r="GJ96" i="27"/>
  <c r="GJ95" i="27"/>
  <c r="GJ94" i="27"/>
  <c r="GJ93" i="27"/>
  <c r="GJ92" i="27"/>
  <c r="GJ91" i="27"/>
  <c r="GJ90" i="27"/>
  <c r="GJ89" i="27"/>
  <c r="GJ88" i="27"/>
  <c r="GJ16" i="27"/>
  <c r="GJ87" i="27"/>
  <c r="GJ86" i="27"/>
  <c r="GJ85" i="27"/>
  <c r="GJ84" i="27"/>
  <c r="GJ83" i="27"/>
  <c r="GJ82" i="27"/>
  <c r="GJ81" i="27"/>
  <c r="GJ67" i="27"/>
  <c r="GJ34" i="27"/>
  <c r="GJ33" i="27"/>
  <c r="GJ31" i="27"/>
  <c r="GJ29" i="27"/>
  <c r="GJ23" i="27"/>
  <c r="GJ80" i="27"/>
  <c r="GJ79" i="27"/>
  <c r="GJ78" i="27"/>
  <c r="GJ77" i="27"/>
  <c r="GJ76" i="27"/>
  <c r="GJ75" i="27"/>
  <c r="GJ74" i="27"/>
  <c r="GJ73" i="27"/>
  <c r="GJ72" i="27"/>
  <c r="GJ71" i="27"/>
  <c r="GJ70" i="27"/>
  <c r="GJ69" i="27"/>
  <c r="GJ68" i="27"/>
  <c r="GJ66" i="27"/>
  <c r="GJ65" i="27"/>
  <c r="GJ26" i="27"/>
  <c r="GJ24" i="27"/>
  <c r="GJ17" i="27"/>
  <c r="GJ62" i="27"/>
  <c r="GJ61" i="27"/>
  <c r="GJ60" i="27"/>
  <c r="GJ59" i="27"/>
  <c r="GJ58" i="27"/>
  <c r="GJ57" i="27"/>
  <c r="GJ56" i="27"/>
  <c r="GJ55" i="27"/>
  <c r="GJ54" i="27"/>
  <c r="GJ53" i="27"/>
  <c r="GJ52" i="27"/>
  <c r="GJ51" i="27"/>
  <c r="GJ50" i="27"/>
  <c r="GJ49" i="27"/>
  <c r="GJ48" i="27"/>
  <c r="GJ47" i="27"/>
  <c r="GJ46" i="27"/>
  <c r="GJ45" i="27"/>
  <c r="GJ43" i="27"/>
  <c r="GK11" i="27"/>
  <c r="GK10" i="27"/>
  <c r="GL9" i="27"/>
  <c r="O162" i="108"/>
  <c r="O163" i="108"/>
  <c r="C170" i="108"/>
  <c r="O165" i="108"/>
  <c r="O161" i="108"/>
  <c r="O164" i="108"/>
  <c r="O160" i="108"/>
  <c r="C168" i="108"/>
  <c r="O166" i="108"/>
  <c r="O167" i="108"/>
  <c r="C169" i="108"/>
  <c r="GK221" i="27" l="1"/>
  <c r="GK220" i="27"/>
  <c r="GK219" i="27"/>
  <c r="GK218" i="27"/>
  <c r="GK217" i="27"/>
  <c r="GK216" i="27"/>
  <c r="GK215" i="27"/>
  <c r="GK214" i="27"/>
  <c r="GK213" i="27"/>
  <c r="GK212" i="27"/>
  <c r="GK211" i="27"/>
  <c r="GK210" i="27"/>
  <c r="GK209" i="27"/>
  <c r="GK208" i="27"/>
  <c r="GK207" i="27"/>
  <c r="GK206" i="27"/>
  <c r="GK205" i="27"/>
  <c r="GK204" i="27"/>
  <c r="GK187" i="27"/>
  <c r="GK37" i="27"/>
  <c r="GK26" i="27"/>
  <c r="GK203" i="27"/>
  <c r="GK202" i="27"/>
  <c r="GK201" i="27"/>
  <c r="GK200" i="27"/>
  <c r="GK199" i="27"/>
  <c r="GK198" i="27"/>
  <c r="GK197" i="27"/>
  <c r="GK196" i="27"/>
  <c r="GK195" i="27"/>
  <c r="GK194" i="27"/>
  <c r="GK193" i="27"/>
  <c r="GK192" i="27"/>
  <c r="GK191" i="27"/>
  <c r="GK190" i="27"/>
  <c r="GK189" i="27"/>
  <c r="GK188" i="27"/>
  <c r="GK41" i="27"/>
  <c r="GK35" i="27"/>
  <c r="GK32" i="27"/>
  <c r="GK25" i="27"/>
  <c r="GK18" i="27"/>
  <c r="GK186" i="27"/>
  <c r="GK185" i="27"/>
  <c r="GK184" i="27"/>
  <c r="GK183" i="27"/>
  <c r="GK182" i="27"/>
  <c r="GK181" i="27"/>
  <c r="GK180" i="27"/>
  <c r="GK179" i="27"/>
  <c r="GK178" i="27"/>
  <c r="GK177" i="27"/>
  <c r="GK176" i="27"/>
  <c r="GK175" i="27"/>
  <c r="GK174" i="27"/>
  <c r="GK173" i="27"/>
  <c r="GK172" i="27"/>
  <c r="GK171" i="27"/>
  <c r="GK170" i="27"/>
  <c r="GK169" i="27"/>
  <c r="GK43" i="27"/>
  <c r="GK40" i="27"/>
  <c r="GK30" i="27"/>
  <c r="GK28" i="27"/>
  <c r="GK17" i="27"/>
  <c r="GK168" i="27"/>
  <c r="GK167" i="27"/>
  <c r="GK166" i="27"/>
  <c r="GK165" i="27"/>
  <c r="GK164" i="27"/>
  <c r="GK163" i="27"/>
  <c r="GK162" i="27"/>
  <c r="GK161" i="27"/>
  <c r="GK160" i="27"/>
  <c r="GK159" i="27"/>
  <c r="GK158" i="27"/>
  <c r="GK157" i="27"/>
  <c r="GK156" i="27"/>
  <c r="GK155" i="27"/>
  <c r="GK154" i="27"/>
  <c r="GK153" i="27"/>
  <c r="GK152" i="27"/>
  <c r="GK116" i="27"/>
  <c r="GK34" i="27"/>
  <c r="GK23" i="27"/>
  <c r="GK151" i="27"/>
  <c r="GK150" i="27"/>
  <c r="GK149" i="27"/>
  <c r="GK148" i="27"/>
  <c r="GK147" i="27"/>
  <c r="GK146" i="27"/>
  <c r="GK145" i="27"/>
  <c r="GK144" i="27"/>
  <c r="GK143" i="27"/>
  <c r="GK142" i="27"/>
  <c r="GK141" i="27"/>
  <c r="GK140" i="27"/>
  <c r="GK139" i="27"/>
  <c r="GK138" i="27"/>
  <c r="GK137" i="27"/>
  <c r="GK136" i="27"/>
  <c r="GK135" i="27"/>
  <c r="GK134" i="27"/>
  <c r="GK118" i="27"/>
  <c r="GK39" i="27"/>
  <c r="GK36" i="27"/>
  <c r="GK33" i="27"/>
  <c r="GK29" i="27"/>
  <c r="GK27" i="27"/>
  <c r="GK24" i="27"/>
  <c r="GK16" i="27"/>
  <c r="GK12" i="27"/>
  <c r="GK133" i="27"/>
  <c r="GK132" i="27"/>
  <c r="GK131" i="27"/>
  <c r="GK130" i="27"/>
  <c r="GK129" i="27"/>
  <c r="GK128" i="27"/>
  <c r="GK127" i="27"/>
  <c r="GK126" i="27"/>
  <c r="GK125" i="27"/>
  <c r="GK124" i="27"/>
  <c r="GK123" i="27"/>
  <c r="GK122" i="27"/>
  <c r="GK121" i="27"/>
  <c r="GK120" i="27"/>
  <c r="GK119" i="27"/>
  <c r="GK117" i="27"/>
  <c r="GK44" i="27"/>
  <c r="GK38" i="27"/>
  <c r="GK20" i="27"/>
  <c r="GK14" i="27"/>
  <c r="GK115" i="27"/>
  <c r="GK114" i="27"/>
  <c r="GK113" i="27"/>
  <c r="GK112" i="27"/>
  <c r="GK111" i="27"/>
  <c r="GK110" i="27"/>
  <c r="GK109" i="27"/>
  <c r="GK108" i="27"/>
  <c r="GK107" i="27"/>
  <c r="GK106" i="27"/>
  <c r="GK105" i="27"/>
  <c r="GK104" i="27"/>
  <c r="GK103" i="27"/>
  <c r="GK102" i="27"/>
  <c r="GK101" i="27"/>
  <c r="GK100" i="27"/>
  <c r="GK99" i="27"/>
  <c r="GK21" i="27"/>
  <c r="GK98" i="27"/>
  <c r="GK97" i="27"/>
  <c r="GK96" i="27"/>
  <c r="GK95" i="27"/>
  <c r="GK94" i="27"/>
  <c r="GK93" i="27"/>
  <c r="GK92" i="27"/>
  <c r="GK91" i="27"/>
  <c r="GK90" i="27"/>
  <c r="GK89" i="27"/>
  <c r="GK88" i="27"/>
  <c r="GK87" i="27"/>
  <c r="GK86" i="27"/>
  <c r="GK85" i="27"/>
  <c r="GK84" i="27"/>
  <c r="GK83" i="27"/>
  <c r="GK82" i="27"/>
  <c r="GK81" i="27"/>
  <c r="GK66" i="27"/>
  <c r="GK65" i="27"/>
  <c r="GK63" i="27"/>
  <c r="GK22" i="27"/>
  <c r="GK19" i="27"/>
  <c r="GK80" i="27"/>
  <c r="GK79" i="27"/>
  <c r="GK78" i="27"/>
  <c r="GK77" i="27"/>
  <c r="GK76" i="27"/>
  <c r="GK75" i="27"/>
  <c r="GK74" i="27"/>
  <c r="GK73" i="27"/>
  <c r="GK72" i="27"/>
  <c r="GK71" i="27"/>
  <c r="GK70" i="27"/>
  <c r="GK69" i="27"/>
  <c r="GK68" i="27"/>
  <c r="GK67" i="27"/>
  <c r="GK64" i="27"/>
  <c r="GK31" i="27"/>
  <c r="GK15" i="27"/>
  <c r="GK62" i="27"/>
  <c r="GK61" i="27"/>
  <c r="GK60" i="27"/>
  <c r="GK59" i="27"/>
  <c r="GK58" i="27"/>
  <c r="GK57" i="27"/>
  <c r="GK56" i="27"/>
  <c r="GK55" i="27"/>
  <c r="GK54" i="27"/>
  <c r="GK53" i="27"/>
  <c r="GK52" i="27"/>
  <c r="GK51" i="27"/>
  <c r="GK50" i="27"/>
  <c r="GK49" i="27"/>
  <c r="GK48" i="27"/>
  <c r="GK47" i="27"/>
  <c r="GK46" i="27"/>
  <c r="GK45" i="27"/>
  <c r="GK42" i="27"/>
  <c r="GK13" i="27"/>
  <c r="GL10" i="27"/>
  <c r="GM9" i="27"/>
  <c r="GL11" i="27"/>
  <c r="C166" i="108"/>
  <c r="C163" i="108"/>
  <c r="C164" i="108"/>
  <c r="C160" i="108"/>
  <c r="C167" i="108"/>
  <c r="C165" i="108"/>
  <c r="C161" i="108"/>
  <c r="C162" i="108"/>
  <c r="GL221" i="27" l="1"/>
  <c r="GL220" i="27"/>
  <c r="GL219" i="27"/>
  <c r="GL218" i="27"/>
  <c r="GL217" i="27"/>
  <c r="GL216" i="27"/>
  <c r="GL215" i="27"/>
  <c r="GL214" i="27"/>
  <c r="GL213" i="27"/>
  <c r="GL212" i="27"/>
  <c r="GL211" i="27"/>
  <c r="GL210" i="27"/>
  <c r="GL209" i="27"/>
  <c r="GL208" i="27"/>
  <c r="GL207" i="27"/>
  <c r="GL206" i="27"/>
  <c r="GL205" i="27"/>
  <c r="GL204" i="27"/>
  <c r="GL188" i="27"/>
  <c r="GL203" i="27"/>
  <c r="GL202" i="27"/>
  <c r="GL201" i="27"/>
  <c r="GL200" i="27"/>
  <c r="GL199" i="27"/>
  <c r="GL198" i="27"/>
  <c r="GL197" i="27"/>
  <c r="GL196" i="27"/>
  <c r="GL195" i="27"/>
  <c r="GL194" i="27"/>
  <c r="GL193" i="27"/>
  <c r="GL192" i="27"/>
  <c r="GL191" i="27"/>
  <c r="GL190" i="27"/>
  <c r="GL189" i="27"/>
  <c r="GL187" i="27"/>
  <c r="GL29" i="27"/>
  <c r="GL186" i="27"/>
  <c r="GL185" i="27"/>
  <c r="GL184" i="27"/>
  <c r="GL183" i="27"/>
  <c r="GL182" i="27"/>
  <c r="GL181" i="27"/>
  <c r="GL180" i="27"/>
  <c r="GL179" i="27"/>
  <c r="GL178" i="27"/>
  <c r="GL177" i="27"/>
  <c r="GL176" i="27"/>
  <c r="GL175" i="27"/>
  <c r="GL174" i="27"/>
  <c r="GL173" i="27"/>
  <c r="GL172" i="27"/>
  <c r="GL171" i="27"/>
  <c r="GL170" i="27"/>
  <c r="GL169" i="27"/>
  <c r="GL36" i="27"/>
  <c r="GL22" i="27"/>
  <c r="GL19" i="27"/>
  <c r="GL13" i="27"/>
  <c r="GL12" i="27"/>
  <c r="GL168" i="27"/>
  <c r="GL167" i="27"/>
  <c r="GL166" i="27"/>
  <c r="GL165" i="27"/>
  <c r="GL164" i="27"/>
  <c r="GL163" i="27"/>
  <c r="GL162" i="27"/>
  <c r="GL161" i="27"/>
  <c r="GL160" i="27"/>
  <c r="GL159" i="27"/>
  <c r="GL158" i="27"/>
  <c r="GL157" i="27"/>
  <c r="GL156" i="27"/>
  <c r="GL155" i="27"/>
  <c r="GL154" i="27"/>
  <c r="GL153" i="27"/>
  <c r="GL152" i="27"/>
  <c r="GL136" i="27"/>
  <c r="GL135" i="27"/>
  <c r="GL134" i="27"/>
  <c r="GL38" i="27"/>
  <c r="GL31" i="27"/>
  <c r="GL30" i="27"/>
  <c r="GL18" i="27"/>
  <c r="GL17" i="27"/>
  <c r="GL151" i="27"/>
  <c r="GL150" i="27"/>
  <c r="GL149" i="27"/>
  <c r="GL148" i="27"/>
  <c r="GL147" i="27"/>
  <c r="GL146" i="27"/>
  <c r="GL145" i="27"/>
  <c r="GL144" i="27"/>
  <c r="GL143" i="27"/>
  <c r="GL142" i="27"/>
  <c r="GL141" i="27"/>
  <c r="GL140" i="27"/>
  <c r="GL139" i="27"/>
  <c r="GL138" i="27"/>
  <c r="GL137" i="27"/>
  <c r="GL117" i="27"/>
  <c r="GL42" i="27"/>
  <c r="GL41" i="27"/>
  <c r="GL20" i="27"/>
  <c r="GL133" i="27"/>
  <c r="GL132" i="27"/>
  <c r="GL131" i="27"/>
  <c r="GL130" i="27"/>
  <c r="GL129" i="27"/>
  <c r="GL128" i="27"/>
  <c r="GL127" i="27"/>
  <c r="GL126" i="27"/>
  <c r="GL125" i="27"/>
  <c r="GL124" i="27"/>
  <c r="GL123" i="27"/>
  <c r="GL122" i="27"/>
  <c r="GL121" i="27"/>
  <c r="GL120" i="27"/>
  <c r="GL119" i="27"/>
  <c r="GL118" i="27"/>
  <c r="GL116" i="27"/>
  <c r="GL35" i="27"/>
  <c r="GL24" i="27"/>
  <c r="GL115" i="27"/>
  <c r="GL114" i="27"/>
  <c r="GL113" i="27"/>
  <c r="GL112" i="27"/>
  <c r="GL111" i="27"/>
  <c r="GL110" i="27"/>
  <c r="GL109" i="27"/>
  <c r="GL108" i="27"/>
  <c r="GL107" i="27"/>
  <c r="GL106" i="27"/>
  <c r="GL105" i="27"/>
  <c r="GL104" i="27"/>
  <c r="GL103" i="27"/>
  <c r="GL102" i="27"/>
  <c r="GL101" i="27"/>
  <c r="GL100" i="27"/>
  <c r="GL99" i="27"/>
  <c r="GL40" i="27"/>
  <c r="GL32" i="27"/>
  <c r="GL28" i="27"/>
  <c r="GL16" i="27"/>
  <c r="GL98" i="27"/>
  <c r="GL97" i="27"/>
  <c r="GL96" i="27"/>
  <c r="GL95" i="27"/>
  <c r="GL94" i="27"/>
  <c r="GL93" i="27"/>
  <c r="GL92" i="27"/>
  <c r="GL91" i="27"/>
  <c r="GL90" i="27"/>
  <c r="GL89" i="27"/>
  <c r="GL88" i="27"/>
  <c r="GL87" i="27"/>
  <c r="GL86" i="27"/>
  <c r="GL85" i="27"/>
  <c r="GL84" i="27"/>
  <c r="GL83" i="27"/>
  <c r="GL82" i="27"/>
  <c r="GL81" i="27"/>
  <c r="GL67" i="27"/>
  <c r="GL64" i="27"/>
  <c r="GL37" i="27"/>
  <c r="GL26" i="27"/>
  <c r="GL14" i="27"/>
  <c r="GL80" i="27"/>
  <c r="GL79" i="27"/>
  <c r="GL78" i="27"/>
  <c r="GL77" i="27"/>
  <c r="GL76" i="27"/>
  <c r="GL75" i="27"/>
  <c r="GL74" i="27"/>
  <c r="GL73" i="27"/>
  <c r="GL72" i="27"/>
  <c r="GL71" i="27"/>
  <c r="GL70" i="27"/>
  <c r="GL69" i="27"/>
  <c r="GL68" i="27"/>
  <c r="GL66" i="27"/>
  <c r="GL65" i="27"/>
  <c r="GL63" i="27"/>
  <c r="GL44" i="27"/>
  <c r="GL21" i="27"/>
  <c r="GL62" i="27"/>
  <c r="GL61" i="27"/>
  <c r="GL60" i="27"/>
  <c r="GL59" i="27"/>
  <c r="GL58" i="27"/>
  <c r="GL57" i="27"/>
  <c r="GL56" i="27"/>
  <c r="GL55" i="27"/>
  <c r="GL54" i="27"/>
  <c r="GL53" i="27"/>
  <c r="GL52" i="27"/>
  <c r="GL51" i="27"/>
  <c r="GL50" i="27"/>
  <c r="GL49" i="27"/>
  <c r="GL48" i="27"/>
  <c r="GL47" i="27"/>
  <c r="GL46" i="27"/>
  <c r="GL45" i="27"/>
  <c r="GL43" i="27"/>
  <c r="GL39" i="27"/>
  <c r="GL34" i="27"/>
  <c r="GL33" i="27"/>
  <c r="GL27" i="27"/>
  <c r="GL25" i="27"/>
  <c r="GL23" i="27"/>
  <c r="GL15" i="27"/>
  <c r="GM10" i="27"/>
  <c r="GN9" i="27"/>
  <c r="GM11" i="27"/>
  <c r="GM221" i="27" l="1"/>
  <c r="GM220" i="27"/>
  <c r="GM219" i="27"/>
  <c r="GM218" i="27"/>
  <c r="GM217" i="27"/>
  <c r="GM216" i="27"/>
  <c r="GM215" i="27"/>
  <c r="GM214" i="27"/>
  <c r="GM213" i="27"/>
  <c r="GM212" i="27"/>
  <c r="GM211" i="27"/>
  <c r="GM210" i="27"/>
  <c r="GM209" i="27"/>
  <c r="GM208" i="27"/>
  <c r="GM207" i="27"/>
  <c r="GM206" i="27"/>
  <c r="GM205" i="27"/>
  <c r="GM204" i="27"/>
  <c r="GM187" i="27"/>
  <c r="GM16" i="27"/>
  <c r="GM203" i="27"/>
  <c r="GM202" i="27"/>
  <c r="GM201" i="27"/>
  <c r="GM200" i="27"/>
  <c r="GM199" i="27"/>
  <c r="GM198" i="27"/>
  <c r="GM197" i="27"/>
  <c r="GM196" i="27"/>
  <c r="GM195" i="27"/>
  <c r="GM194" i="27"/>
  <c r="GM193" i="27"/>
  <c r="GM192" i="27"/>
  <c r="GM191" i="27"/>
  <c r="GM190" i="27"/>
  <c r="GM189" i="27"/>
  <c r="GM188" i="27"/>
  <c r="GM37" i="27"/>
  <c r="GM33" i="27"/>
  <c r="GM30" i="27"/>
  <c r="GM21" i="27"/>
  <c r="GM14" i="27"/>
  <c r="GM186" i="27"/>
  <c r="GM185" i="27"/>
  <c r="GM184" i="27"/>
  <c r="GM183" i="27"/>
  <c r="GM182" i="27"/>
  <c r="GM181" i="27"/>
  <c r="GM180" i="27"/>
  <c r="GM179" i="27"/>
  <c r="GM178" i="27"/>
  <c r="GM177" i="27"/>
  <c r="GM176" i="27"/>
  <c r="GM175" i="27"/>
  <c r="GM174" i="27"/>
  <c r="GM173" i="27"/>
  <c r="GM172" i="27"/>
  <c r="GM171" i="27"/>
  <c r="GM170" i="27"/>
  <c r="GM169" i="27"/>
  <c r="GM31" i="27"/>
  <c r="GM24" i="27"/>
  <c r="GM18" i="27"/>
  <c r="GM168" i="27"/>
  <c r="GM167" i="27"/>
  <c r="GM166" i="27"/>
  <c r="GM165" i="27"/>
  <c r="GM164" i="27"/>
  <c r="GM163" i="27"/>
  <c r="GM162" i="27"/>
  <c r="GM161" i="27"/>
  <c r="GM160" i="27"/>
  <c r="GM159" i="27"/>
  <c r="GM158" i="27"/>
  <c r="GM157" i="27"/>
  <c r="GM156" i="27"/>
  <c r="GM155" i="27"/>
  <c r="GM154" i="27"/>
  <c r="GM153" i="27"/>
  <c r="GM152" i="27"/>
  <c r="GM117" i="27"/>
  <c r="GM44" i="27"/>
  <c r="GM26" i="27"/>
  <c r="GM22" i="27"/>
  <c r="GM20" i="27"/>
  <c r="GM151" i="27"/>
  <c r="GM150" i="27"/>
  <c r="GM149" i="27"/>
  <c r="GM148" i="27"/>
  <c r="GM147" i="27"/>
  <c r="GM146" i="27"/>
  <c r="GM145" i="27"/>
  <c r="GM144" i="27"/>
  <c r="GM143" i="27"/>
  <c r="GM142" i="27"/>
  <c r="GM141" i="27"/>
  <c r="GM140" i="27"/>
  <c r="GM139" i="27"/>
  <c r="GM138" i="27"/>
  <c r="GM137" i="27"/>
  <c r="GM136" i="27"/>
  <c r="GM135" i="27"/>
  <c r="GM134" i="27"/>
  <c r="GM116" i="27"/>
  <c r="GM43" i="27"/>
  <c r="GM40" i="27"/>
  <c r="GM34" i="27"/>
  <c r="GM29" i="27"/>
  <c r="GM25" i="27"/>
  <c r="GM15" i="27"/>
  <c r="GM133" i="27"/>
  <c r="GM132" i="27"/>
  <c r="GM131" i="27"/>
  <c r="GM130" i="27"/>
  <c r="GM129" i="27"/>
  <c r="GM128" i="27"/>
  <c r="GM127" i="27"/>
  <c r="GM126" i="27"/>
  <c r="GM125" i="27"/>
  <c r="GM124" i="27"/>
  <c r="GM123" i="27"/>
  <c r="GM122" i="27"/>
  <c r="GM121" i="27"/>
  <c r="GM120" i="27"/>
  <c r="GM119" i="27"/>
  <c r="GM118" i="27"/>
  <c r="GM23" i="27"/>
  <c r="GM19" i="27"/>
  <c r="GM13" i="27"/>
  <c r="GM12" i="27"/>
  <c r="GM115" i="27"/>
  <c r="GM114" i="27"/>
  <c r="GM113" i="27"/>
  <c r="GM112" i="27"/>
  <c r="GM111" i="27"/>
  <c r="GM110" i="27"/>
  <c r="GM109" i="27"/>
  <c r="GM108" i="27"/>
  <c r="GM107" i="27"/>
  <c r="GM106" i="27"/>
  <c r="GM105" i="27"/>
  <c r="GM104" i="27"/>
  <c r="GM103" i="27"/>
  <c r="GM102" i="27"/>
  <c r="GM101" i="27"/>
  <c r="GM100" i="27"/>
  <c r="GM99" i="27"/>
  <c r="GM98" i="27"/>
  <c r="GM97" i="27"/>
  <c r="GM96" i="27"/>
  <c r="GM95" i="27"/>
  <c r="GM94" i="27"/>
  <c r="GM93" i="27"/>
  <c r="GM92" i="27"/>
  <c r="GM91" i="27"/>
  <c r="GM90" i="27"/>
  <c r="GM89" i="27"/>
  <c r="GM88" i="27"/>
  <c r="GM87" i="27"/>
  <c r="GM86" i="27"/>
  <c r="GM85" i="27"/>
  <c r="GM84" i="27"/>
  <c r="GM83" i="27"/>
  <c r="GM82" i="27"/>
  <c r="GM81" i="27"/>
  <c r="GM66" i="27"/>
  <c r="GM63" i="27"/>
  <c r="GM39" i="27"/>
  <c r="GM36" i="27"/>
  <c r="GM28" i="27"/>
  <c r="GM27" i="27"/>
  <c r="GM80" i="27"/>
  <c r="GM79" i="27"/>
  <c r="GM78" i="27"/>
  <c r="GM77" i="27"/>
  <c r="GM76" i="27"/>
  <c r="GM75" i="27"/>
  <c r="GM74" i="27"/>
  <c r="GM73" i="27"/>
  <c r="GM72" i="27"/>
  <c r="GM71" i="27"/>
  <c r="GM70" i="27"/>
  <c r="GM69" i="27"/>
  <c r="GM68" i="27"/>
  <c r="GM67" i="27"/>
  <c r="GM65" i="27"/>
  <c r="GM64" i="27"/>
  <c r="GM38" i="27"/>
  <c r="GM35" i="27"/>
  <c r="GM32" i="27"/>
  <c r="GM17" i="27"/>
  <c r="GM62" i="27"/>
  <c r="GM61" i="27"/>
  <c r="GM60" i="27"/>
  <c r="GM59" i="27"/>
  <c r="GM58" i="27"/>
  <c r="GM57" i="27"/>
  <c r="GM56" i="27"/>
  <c r="GM55" i="27"/>
  <c r="GM54" i="27"/>
  <c r="GM53" i="27"/>
  <c r="GM52" i="27"/>
  <c r="GM51" i="27"/>
  <c r="GM50" i="27"/>
  <c r="GM49" i="27"/>
  <c r="GM48" i="27"/>
  <c r="GM47" i="27"/>
  <c r="GM46" i="27"/>
  <c r="GM45" i="27"/>
  <c r="GM42" i="27"/>
  <c r="GM41" i="27"/>
  <c r="GN11" i="27"/>
  <c r="GO9" i="27"/>
  <c r="GN10" i="27"/>
  <c r="GN221" i="27" l="1"/>
  <c r="GN220" i="27"/>
  <c r="GN219" i="27"/>
  <c r="GN218" i="27"/>
  <c r="GN217" i="27"/>
  <c r="GN216" i="27"/>
  <c r="GN215" i="27"/>
  <c r="GN214" i="27"/>
  <c r="GN213" i="27"/>
  <c r="GN212" i="27"/>
  <c r="GN211" i="27"/>
  <c r="GN210" i="27"/>
  <c r="GN209" i="27"/>
  <c r="GN208" i="27"/>
  <c r="GN207" i="27"/>
  <c r="GN206" i="27"/>
  <c r="GN205" i="27"/>
  <c r="GN204" i="27"/>
  <c r="GN188" i="27"/>
  <c r="GN187" i="27"/>
  <c r="GN42" i="27"/>
  <c r="GN32" i="27"/>
  <c r="GN20" i="27"/>
  <c r="GN19" i="27"/>
  <c r="GN14" i="27"/>
  <c r="GN203" i="27"/>
  <c r="GN202" i="27"/>
  <c r="GN201" i="27"/>
  <c r="GN200" i="27"/>
  <c r="GN199" i="27"/>
  <c r="GN198" i="27"/>
  <c r="GN197" i="27"/>
  <c r="GN196" i="27"/>
  <c r="GN195" i="27"/>
  <c r="GN194" i="27"/>
  <c r="GN193" i="27"/>
  <c r="GN192" i="27"/>
  <c r="GN191" i="27"/>
  <c r="GN190" i="27"/>
  <c r="GN189" i="27"/>
  <c r="GN36" i="27"/>
  <c r="GN31" i="27"/>
  <c r="GN22" i="27"/>
  <c r="GN186" i="27"/>
  <c r="GN185" i="27"/>
  <c r="GN184" i="27"/>
  <c r="GN183" i="27"/>
  <c r="GN182" i="27"/>
  <c r="GN181" i="27"/>
  <c r="GN180" i="27"/>
  <c r="GN179" i="27"/>
  <c r="GN178" i="27"/>
  <c r="GN177" i="27"/>
  <c r="GN176" i="27"/>
  <c r="GN175" i="27"/>
  <c r="GN174" i="27"/>
  <c r="GN173" i="27"/>
  <c r="GN172" i="27"/>
  <c r="GN171" i="27"/>
  <c r="GN170" i="27"/>
  <c r="GN169" i="27"/>
  <c r="GN40" i="27"/>
  <c r="GN25" i="27"/>
  <c r="GN21" i="27"/>
  <c r="GN168" i="27"/>
  <c r="GN167" i="27"/>
  <c r="GN166" i="27"/>
  <c r="GN165" i="27"/>
  <c r="GN164" i="27"/>
  <c r="GN163" i="27"/>
  <c r="GN162" i="27"/>
  <c r="GN161" i="27"/>
  <c r="GN160" i="27"/>
  <c r="GN159" i="27"/>
  <c r="GN158" i="27"/>
  <c r="GN157" i="27"/>
  <c r="GN156" i="27"/>
  <c r="GN155" i="27"/>
  <c r="GN154" i="27"/>
  <c r="GN153" i="27"/>
  <c r="GN152" i="27"/>
  <c r="GN135" i="27"/>
  <c r="GN134" i="27"/>
  <c r="GN116" i="27"/>
  <c r="GN43" i="27"/>
  <c r="GN39" i="27"/>
  <c r="GN38" i="27"/>
  <c r="GN24" i="27"/>
  <c r="GN151" i="27"/>
  <c r="GN150" i="27"/>
  <c r="GN149" i="27"/>
  <c r="GN148" i="27"/>
  <c r="GN147" i="27"/>
  <c r="GN146" i="27"/>
  <c r="GN145" i="27"/>
  <c r="GN144" i="27"/>
  <c r="GN143" i="27"/>
  <c r="GN142" i="27"/>
  <c r="GN141" i="27"/>
  <c r="GN140" i="27"/>
  <c r="GN139" i="27"/>
  <c r="GN138" i="27"/>
  <c r="GN137" i="27"/>
  <c r="GN136" i="27"/>
  <c r="GN118" i="27"/>
  <c r="GN35" i="27"/>
  <c r="GN133" i="27"/>
  <c r="GN132" i="27"/>
  <c r="GN131" i="27"/>
  <c r="GN130" i="27"/>
  <c r="GN129" i="27"/>
  <c r="GN128" i="27"/>
  <c r="GN127" i="27"/>
  <c r="GN126" i="27"/>
  <c r="GN125" i="27"/>
  <c r="GN124" i="27"/>
  <c r="GN123" i="27"/>
  <c r="GN122" i="27"/>
  <c r="GN121" i="27"/>
  <c r="GN120" i="27"/>
  <c r="GN119" i="27"/>
  <c r="GN117" i="27"/>
  <c r="GN34" i="27"/>
  <c r="GN33" i="27"/>
  <c r="GN30" i="27"/>
  <c r="GN27" i="27"/>
  <c r="GN18" i="27"/>
  <c r="GN115" i="27"/>
  <c r="GN114" i="27"/>
  <c r="GN113" i="27"/>
  <c r="GN112" i="27"/>
  <c r="GN111" i="27"/>
  <c r="GN110" i="27"/>
  <c r="GN109" i="27"/>
  <c r="GN108" i="27"/>
  <c r="GN107" i="27"/>
  <c r="GN106" i="27"/>
  <c r="GN105" i="27"/>
  <c r="GN104" i="27"/>
  <c r="GN103" i="27"/>
  <c r="GN102" i="27"/>
  <c r="GN101" i="27"/>
  <c r="GN100" i="27"/>
  <c r="GN99" i="27"/>
  <c r="GN63" i="27"/>
  <c r="GN98" i="27"/>
  <c r="GN97" i="27"/>
  <c r="GN96" i="27"/>
  <c r="GN95" i="27"/>
  <c r="GN94" i="27"/>
  <c r="GN93" i="27"/>
  <c r="GN92" i="27"/>
  <c r="GN91" i="27"/>
  <c r="GN90" i="27"/>
  <c r="GN89" i="27"/>
  <c r="GN88" i="27"/>
  <c r="GN87" i="27"/>
  <c r="GN86" i="27"/>
  <c r="GN85" i="27"/>
  <c r="GN84" i="27"/>
  <c r="GN83" i="27"/>
  <c r="GN82" i="27"/>
  <c r="GN81" i="27"/>
  <c r="GN67" i="27"/>
  <c r="GN65" i="27"/>
  <c r="GN64" i="27"/>
  <c r="GN44" i="27"/>
  <c r="GN23" i="27"/>
  <c r="GN16" i="27"/>
  <c r="GN15" i="27"/>
  <c r="GN80" i="27"/>
  <c r="GN79" i="27"/>
  <c r="GN78" i="27"/>
  <c r="GN77" i="27"/>
  <c r="GN76" i="27"/>
  <c r="GN75" i="27"/>
  <c r="GN74" i="27"/>
  <c r="GN73" i="27"/>
  <c r="GN72" i="27"/>
  <c r="GN71" i="27"/>
  <c r="GN70" i="27"/>
  <c r="GN69" i="27"/>
  <c r="GN68" i="27"/>
  <c r="GN66" i="27"/>
  <c r="GN41" i="27"/>
  <c r="GN37" i="27"/>
  <c r="GN62" i="27"/>
  <c r="GN61" i="27"/>
  <c r="GN60" i="27"/>
  <c r="GN59" i="27"/>
  <c r="GN58" i="27"/>
  <c r="GN57" i="27"/>
  <c r="GN56" i="27"/>
  <c r="GN55" i="27"/>
  <c r="GN54" i="27"/>
  <c r="GN53" i="27"/>
  <c r="GN52" i="27"/>
  <c r="GN51" i="27"/>
  <c r="GN50" i="27"/>
  <c r="GN49" i="27"/>
  <c r="GN48" i="27"/>
  <c r="GN47" i="27"/>
  <c r="GN46" i="27"/>
  <c r="GN45" i="27"/>
  <c r="GN29" i="27"/>
  <c r="GN28" i="27"/>
  <c r="GN26" i="27"/>
  <c r="GN17" i="27"/>
  <c r="GN13" i="27"/>
  <c r="GN12" i="27"/>
  <c r="GP9" i="27"/>
  <c r="GO10" i="27"/>
  <c r="GO11" i="27"/>
  <c r="CD50" i="27"/>
  <c r="CF50" i="27"/>
  <c r="CG50" i="27"/>
  <c r="CH50" i="27"/>
  <c r="CJ50" i="27"/>
  <c r="CK50" i="27"/>
  <c r="CL50" i="27"/>
  <c r="CN50" i="27"/>
  <c r="CO50" i="27"/>
  <c r="CP50" i="27"/>
  <c r="CR50" i="27"/>
  <c r="CS50" i="27"/>
  <c r="CT50" i="27"/>
  <c r="CV50" i="27"/>
  <c r="CW50" i="27"/>
  <c r="CX50" i="27"/>
  <c r="CZ50" i="27"/>
  <c r="DA50" i="27"/>
  <c r="DB50" i="27"/>
  <c r="DD50" i="27"/>
  <c r="DE50" i="27"/>
  <c r="DF50" i="27"/>
  <c r="DH50" i="27"/>
  <c r="DI50" i="27"/>
  <c r="DJ50" i="27"/>
  <c r="DL50" i="27"/>
  <c r="DM50" i="27"/>
  <c r="DN50" i="27"/>
  <c r="DP50" i="27"/>
  <c r="DQ50" i="27"/>
  <c r="DR50" i="27"/>
  <c r="DT50" i="27"/>
  <c r="DU50" i="27"/>
  <c r="DV50" i="27"/>
  <c r="DX50" i="27"/>
  <c r="DY50" i="27"/>
  <c r="DZ50" i="27"/>
  <c r="EB50" i="27"/>
  <c r="EC50" i="27"/>
  <c r="ED50" i="27"/>
  <c r="EF50" i="27"/>
  <c r="EG50" i="27"/>
  <c r="EH50" i="27"/>
  <c r="EJ50" i="27"/>
  <c r="EK50" i="27"/>
  <c r="EL50" i="27"/>
  <c r="EN50" i="27"/>
  <c r="EO50" i="27"/>
  <c r="EP50" i="27"/>
  <c r="ER50" i="27"/>
  <c r="ES50" i="27"/>
  <c r="ET50" i="27"/>
  <c r="EV50" i="27"/>
  <c r="EW50" i="27"/>
  <c r="CD51" i="27"/>
  <c r="CF51" i="27"/>
  <c r="CG51" i="27"/>
  <c r="CH51" i="27"/>
  <c r="CJ51" i="27"/>
  <c r="CK51" i="27"/>
  <c r="CL51" i="27"/>
  <c r="CN51" i="27"/>
  <c r="CO51" i="27"/>
  <c r="CP51" i="27"/>
  <c r="CR51" i="27"/>
  <c r="CS51" i="27"/>
  <c r="CT51" i="27"/>
  <c r="CV51" i="27"/>
  <c r="CW51" i="27"/>
  <c r="CX51" i="27"/>
  <c r="CZ51" i="27"/>
  <c r="DA51" i="27"/>
  <c r="DB51" i="27"/>
  <c r="DD51" i="27"/>
  <c r="DE51" i="27"/>
  <c r="DF51" i="27"/>
  <c r="DH51" i="27"/>
  <c r="DI51" i="27"/>
  <c r="DJ51" i="27"/>
  <c r="DL51" i="27"/>
  <c r="DM51" i="27"/>
  <c r="DN51" i="27"/>
  <c r="DP51" i="27"/>
  <c r="DQ51" i="27"/>
  <c r="DR51" i="27"/>
  <c r="DT51" i="27"/>
  <c r="DU51" i="27"/>
  <c r="DV51" i="27"/>
  <c r="DX51" i="27"/>
  <c r="DY51" i="27"/>
  <c r="DZ51" i="27"/>
  <c r="EB51" i="27"/>
  <c r="EC51" i="27"/>
  <c r="ED51" i="27"/>
  <c r="EF51" i="27"/>
  <c r="EG51" i="27"/>
  <c r="EH51" i="27"/>
  <c r="EJ51" i="27"/>
  <c r="EK51" i="27"/>
  <c r="EL51" i="27"/>
  <c r="EN51" i="27"/>
  <c r="EO51" i="27"/>
  <c r="EP51" i="27"/>
  <c r="ER51" i="27"/>
  <c r="ES51" i="27"/>
  <c r="ET51" i="27"/>
  <c r="EV51" i="27"/>
  <c r="EW51" i="27"/>
  <c r="CD52" i="27"/>
  <c r="CF52" i="27"/>
  <c r="CG52" i="27"/>
  <c r="CH52" i="27"/>
  <c r="CJ52" i="27"/>
  <c r="CK52" i="27"/>
  <c r="CL52" i="27"/>
  <c r="CN52" i="27"/>
  <c r="CO52" i="27"/>
  <c r="CP52" i="27"/>
  <c r="CR52" i="27"/>
  <c r="CS52" i="27"/>
  <c r="CT52" i="27"/>
  <c r="CV52" i="27"/>
  <c r="CW52" i="27"/>
  <c r="CX52" i="27"/>
  <c r="CZ52" i="27"/>
  <c r="DA52" i="27"/>
  <c r="DB52" i="27"/>
  <c r="DD52" i="27"/>
  <c r="DE52" i="27"/>
  <c r="DF52" i="27"/>
  <c r="DH52" i="27"/>
  <c r="DI52" i="27"/>
  <c r="DJ52" i="27"/>
  <c r="DL52" i="27"/>
  <c r="DM52" i="27"/>
  <c r="DN52" i="27"/>
  <c r="DP52" i="27"/>
  <c r="DQ52" i="27"/>
  <c r="DR52" i="27"/>
  <c r="DT52" i="27"/>
  <c r="DU52" i="27"/>
  <c r="DV52" i="27"/>
  <c r="DX52" i="27"/>
  <c r="DY52" i="27"/>
  <c r="DZ52" i="27"/>
  <c r="EB52" i="27"/>
  <c r="EC52" i="27"/>
  <c r="ED52" i="27"/>
  <c r="EF52" i="27"/>
  <c r="EG52" i="27"/>
  <c r="EH52" i="27"/>
  <c r="EJ52" i="27"/>
  <c r="EK52" i="27"/>
  <c r="EL52" i="27"/>
  <c r="EN52" i="27"/>
  <c r="EO52" i="27"/>
  <c r="EP52" i="27"/>
  <c r="ER52" i="27"/>
  <c r="ES52" i="27"/>
  <c r="ET52" i="27"/>
  <c r="EV52" i="27"/>
  <c r="EW52" i="27"/>
  <c r="CD53" i="27"/>
  <c r="CF53" i="27"/>
  <c r="CG53" i="27"/>
  <c r="CH53" i="27"/>
  <c r="CJ53" i="27"/>
  <c r="CK53" i="27"/>
  <c r="CL53" i="27"/>
  <c r="CN53" i="27"/>
  <c r="CO53" i="27"/>
  <c r="CP53" i="27"/>
  <c r="CR53" i="27"/>
  <c r="CS53" i="27"/>
  <c r="CT53" i="27"/>
  <c r="CV53" i="27"/>
  <c r="CW53" i="27"/>
  <c r="CX53" i="27"/>
  <c r="CZ53" i="27"/>
  <c r="DA53" i="27"/>
  <c r="DB53" i="27"/>
  <c r="DD53" i="27"/>
  <c r="DE53" i="27"/>
  <c r="DF53" i="27"/>
  <c r="DH53" i="27"/>
  <c r="DI53" i="27"/>
  <c r="DJ53" i="27"/>
  <c r="DL53" i="27"/>
  <c r="DM53" i="27"/>
  <c r="DN53" i="27"/>
  <c r="DP53" i="27"/>
  <c r="DQ53" i="27"/>
  <c r="DR53" i="27"/>
  <c r="DT53" i="27"/>
  <c r="DU53" i="27"/>
  <c r="DV53" i="27"/>
  <c r="DX53" i="27"/>
  <c r="DY53" i="27"/>
  <c r="DZ53" i="27"/>
  <c r="EB53" i="27"/>
  <c r="EC53" i="27"/>
  <c r="ED53" i="27"/>
  <c r="EF53" i="27"/>
  <c r="EG53" i="27"/>
  <c r="EH53" i="27"/>
  <c r="EJ53" i="27"/>
  <c r="EK53" i="27"/>
  <c r="EL53" i="27"/>
  <c r="EN53" i="27"/>
  <c r="EO53" i="27"/>
  <c r="EP53" i="27"/>
  <c r="ER53" i="27"/>
  <c r="ES53" i="27"/>
  <c r="ET53" i="27"/>
  <c r="EV53" i="27"/>
  <c r="EW53" i="27"/>
  <c r="CD54" i="27"/>
  <c r="CF54" i="27"/>
  <c r="CG54" i="27"/>
  <c r="CH54" i="27"/>
  <c r="CJ54" i="27"/>
  <c r="CK54" i="27"/>
  <c r="CL54" i="27"/>
  <c r="CN54" i="27"/>
  <c r="CO54" i="27"/>
  <c r="CP54" i="27"/>
  <c r="CR54" i="27"/>
  <c r="CS54" i="27"/>
  <c r="CT54" i="27"/>
  <c r="CV54" i="27"/>
  <c r="CW54" i="27"/>
  <c r="CX54" i="27"/>
  <c r="CZ54" i="27"/>
  <c r="DA54" i="27"/>
  <c r="DB54" i="27"/>
  <c r="DD54" i="27"/>
  <c r="DE54" i="27"/>
  <c r="DF54" i="27"/>
  <c r="DH54" i="27"/>
  <c r="DI54" i="27"/>
  <c r="DJ54" i="27"/>
  <c r="DL54" i="27"/>
  <c r="DM54" i="27"/>
  <c r="DN54" i="27"/>
  <c r="DP54" i="27"/>
  <c r="DQ54" i="27"/>
  <c r="DR54" i="27"/>
  <c r="DT54" i="27"/>
  <c r="DU54" i="27"/>
  <c r="DV54" i="27"/>
  <c r="DX54" i="27"/>
  <c r="DY54" i="27"/>
  <c r="DZ54" i="27"/>
  <c r="EB54" i="27"/>
  <c r="EC54" i="27"/>
  <c r="ED54" i="27"/>
  <c r="EF54" i="27"/>
  <c r="EG54" i="27"/>
  <c r="EH54" i="27"/>
  <c r="EJ54" i="27"/>
  <c r="EK54" i="27"/>
  <c r="EL54" i="27"/>
  <c r="EN54" i="27"/>
  <c r="EO54" i="27"/>
  <c r="EP54" i="27"/>
  <c r="ER54" i="27"/>
  <c r="ES54" i="27"/>
  <c r="ET54" i="27"/>
  <c r="EV54" i="27"/>
  <c r="EW54" i="27"/>
  <c r="CD55" i="27"/>
  <c r="CF55" i="27"/>
  <c r="CG55" i="27"/>
  <c r="CH55" i="27"/>
  <c r="CJ55" i="27"/>
  <c r="CK55" i="27"/>
  <c r="CL55" i="27"/>
  <c r="CN55" i="27"/>
  <c r="CO55" i="27"/>
  <c r="CP55" i="27"/>
  <c r="CR55" i="27"/>
  <c r="CS55" i="27"/>
  <c r="CT55" i="27"/>
  <c r="CV55" i="27"/>
  <c r="CW55" i="27"/>
  <c r="CX55" i="27"/>
  <c r="CZ55" i="27"/>
  <c r="DA55" i="27"/>
  <c r="DB55" i="27"/>
  <c r="DD55" i="27"/>
  <c r="DE55" i="27"/>
  <c r="DF55" i="27"/>
  <c r="DH55" i="27"/>
  <c r="DI55" i="27"/>
  <c r="DJ55" i="27"/>
  <c r="DL55" i="27"/>
  <c r="DM55" i="27"/>
  <c r="DN55" i="27"/>
  <c r="DP55" i="27"/>
  <c r="DQ55" i="27"/>
  <c r="DR55" i="27"/>
  <c r="DT55" i="27"/>
  <c r="DU55" i="27"/>
  <c r="DV55" i="27"/>
  <c r="DX55" i="27"/>
  <c r="DY55" i="27"/>
  <c r="DZ55" i="27"/>
  <c r="EB55" i="27"/>
  <c r="EC55" i="27"/>
  <c r="ED55" i="27"/>
  <c r="EF55" i="27"/>
  <c r="EG55" i="27"/>
  <c r="EH55" i="27"/>
  <c r="EJ55" i="27"/>
  <c r="EK55" i="27"/>
  <c r="EL55" i="27"/>
  <c r="EN55" i="27"/>
  <c r="EO55" i="27"/>
  <c r="EP55" i="27"/>
  <c r="ER55" i="27"/>
  <c r="ES55" i="27"/>
  <c r="ET55" i="27"/>
  <c r="EV55" i="27"/>
  <c r="EW55" i="27"/>
  <c r="CD56" i="27"/>
  <c r="CF56" i="27"/>
  <c r="CG56" i="27"/>
  <c r="CH56" i="27"/>
  <c r="CJ56" i="27"/>
  <c r="CK56" i="27"/>
  <c r="CL56" i="27"/>
  <c r="CN56" i="27"/>
  <c r="CO56" i="27"/>
  <c r="CP56" i="27"/>
  <c r="CR56" i="27"/>
  <c r="CS56" i="27"/>
  <c r="CT56" i="27"/>
  <c r="CV56" i="27"/>
  <c r="CW56" i="27"/>
  <c r="CX56" i="27"/>
  <c r="CZ56" i="27"/>
  <c r="DA56" i="27"/>
  <c r="DB56" i="27"/>
  <c r="DD56" i="27"/>
  <c r="DE56" i="27"/>
  <c r="DF56" i="27"/>
  <c r="DH56" i="27"/>
  <c r="DI56" i="27"/>
  <c r="DJ56" i="27"/>
  <c r="DL56" i="27"/>
  <c r="DM56" i="27"/>
  <c r="DN56" i="27"/>
  <c r="DP56" i="27"/>
  <c r="DQ56" i="27"/>
  <c r="DR56" i="27"/>
  <c r="DT56" i="27"/>
  <c r="DU56" i="27"/>
  <c r="DV56" i="27"/>
  <c r="DX56" i="27"/>
  <c r="DY56" i="27"/>
  <c r="DZ56" i="27"/>
  <c r="EB56" i="27"/>
  <c r="EC56" i="27"/>
  <c r="ED56" i="27"/>
  <c r="EF56" i="27"/>
  <c r="EG56" i="27"/>
  <c r="EH56" i="27"/>
  <c r="EJ56" i="27"/>
  <c r="EK56" i="27"/>
  <c r="EL56" i="27"/>
  <c r="EN56" i="27"/>
  <c r="EO56" i="27"/>
  <c r="EP56" i="27"/>
  <c r="ER56" i="27"/>
  <c r="ES56" i="27"/>
  <c r="ET56" i="27"/>
  <c r="EV56" i="27"/>
  <c r="EW56" i="27"/>
  <c r="CD57" i="27"/>
  <c r="CF57" i="27"/>
  <c r="CG57" i="27"/>
  <c r="CH57" i="27"/>
  <c r="CJ57" i="27"/>
  <c r="CK57" i="27"/>
  <c r="CL57" i="27"/>
  <c r="CN57" i="27"/>
  <c r="CO57" i="27"/>
  <c r="CP57" i="27"/>
  <c r="CR57" i="27"/>
  <c r="CS57" i="27"/>
  <c r="CT57" i="27"/>
  <c r="CV57" i="27"/>
  <c r="CW57" i="27"/>
  <c r="CX57" i="27"/>
  <c r="CZ57" i="27"/>
  <c r="DA57" i="27"/>
  <c r="DB57" i="27"/>
  <c r="DD57" i="27"/>
  <c r="DE57" i="27"/>
  <c r="DF57" i="27"/>
  <c r="DH57" i="27"/>
  <c r="DI57" i="27"/>
  <c r="DJ57" i="27"/>
  <c r="DL57" i="27"/>
  <c r="DM57" i="27"/>
  <c r="DN57" i="27"/>
  <c r="DP57" i="27"/>
  <c r="DQ57" i="27"/>
  <c r="DR57" i="27"/>
  <c r="DT57" i="27"/>
  <c r="DU57" i="27"/>
  <c r="DV57" i="27"/>
  <c r="DX57" i="27"/>
  <c r="DY57" i="27"/>
  <c r="DZ57" i="27"/>
  <c r="EB57" i="27"/>
  <c r="EC57" i="27"/>
  <c r="ED57" i="27"/>
  <c r="EF57" i="27"/>
  <c r="EG57" i="27"/>
  <c r="EH57" i="27"/>
  <c r="EJ57" i="27"/>
  <c r="EK57" i="27"/>
  <c r="EL57" i="27"/>
  <c r="EN57" i="27"/>
  <c r="EO57" i="27"/>
  <c r="EP57" i="27"/>
  <c r="ER57" i="27"/>
  <c r="ES57" i="27"/>
  <c r="ET57" i="27"/>
  <c r="EV57" i="27"/>
  <c r="EW57" i="27"/>
  <c r="CD58" i="27"/>
  <c r="CF58" i="27"/>
  <c r="CG58" i="27"/>
  <c r="CH58" i="27"/>
  <c r="CJ58" i="27"/>
  <c r="CK58" i="27"/>
  <c r="CL58" i="27"/>
  <c r="CN58" i="27"/>
  <c r="CO58" i="27"/>
  <c r="CP58" i="27"/>
  <c r="CR58" i="27"/>
  <c r="CS58" i="27"/>
  <c r="CT58" i="27"/>
  <c r="CV58" i="27"/>
  <c r="CW58" i="27"/>
  <c r="CX58" i="27"/>
  <c r="CZ58" i="27"/>
  <c r="DA58" i="27"/>
  <c r="DB58" i="27"/>
  <c r="DD58" i="27"/>
  <c r="DE58" i="27"/>
  <c r="DF58" i="27"/>
  <c r="DH58" i="27"/>
  <c r="DI58" i="27"/>
  <c r="DJ58" i="27"/>
  <c r="DL58" i="27"/>
  <c r="DM58" i="27"/>
  <c r="DN58" i="27"/>
  <c r="DP58" i="27"/>
  <c r="DQ58" i="27"/>
  <c r="DR58" i="27"/>
  <c r="DT58" i="27"/>
  <c r="DU58" i="27"/>
  <c r="DV58" i="27"/>
  <c r="DX58" i="27"/>
  <c r="DY58" i="27"/>
  <c r="DZ58" i="27"/>
  <c r="EB58" i="27"/>
  <c r="EC58" i="27"/>
  <c r="ED58" i="27"/>
  <c r="EF58" i="27"/>
  <c r="EG58" i="27"/>
  <c r="EH58" i="27"/>
  <c r="EJ58" i="27"/>
  <c r="EK58" i="27"/>
  <c r="EL58" i="27"/>
  <c r="EN58" i="27"/>
  <c r="EO58" i="27"/>
  <c r="EP58" i="27"/>
  <c r="ER58" i="27"/>
  <c r="ES58" i="27"/>
  <c r="ET58" i="27"/>
  <c r="EV58" i="27"/>
  <c r="EW58" i="27"/>
  <c r="CD59" i="27"/>
  <c r="CF59" i="27"/>
  <c r="CG59" i="27"/>
  <c r="CH59" i="27"/>
  <c r="CJ59" i="27"/>
  <c r="CK59" i="27"/>
  <c r="CL59" i="27"/>
  <c r="CN59" i="27"/>
  <c r="CO59" i="27"/>
  <c r="CP59" i="27"/>
  <c r="CR59" i="27"/>
  <c r="CS59" i="27"/>
  <c r="CT59" i="27"/>
  <c r="CV59" i="27"/>
  <c r="CW59" i="27"/>
  <c r="CX59" i="27"/>
  <c r="CZ59" i="27"/>
  <c r="DA59" i="27"/>
  <c r="DB59" i="27"/>
  <c r="DD59" i="27"/>
  <c r="DE59" i="27"/>
  <c r="DF59" i="27"/>
  <c r="DH59" i="27"/>
  <c r="DI59" i="27"/>
  <c r="DJ59" i="27"/>
  <c r="DL59" i="27"/>
  <c r="DM59" i="27"/>
  <c r="DN59" i="27"/>
  <c r="DP59" i="27"/>
  <c r="DQ59" i="27"/>
  <c r="DR59" i="27"/>
  <c r="DT59" i="27"/>
  <c r="DU59" i="27"/>
  <c r="DV59" i="27"/>
  <c r="DX59" i="27"/>
  <c r="DY59" i="27"/>
  <c r="DZ59" i="27"/>
  <c r="EB59" i="27"/>
  <c r="EC59" i="27"/>
  <c r="ED59" i="27"/>
  <c r="EF59" i="27"/>
  <c r="EG59" i="27"/>
  <c r="EH59" i="27"/>
  <c r="EJ59" i="27"/>
  <c r="EK59" i="27"/>
  <c r="EL59" i="27"/>
  <c r="EN59" i="27"/>
  <c r="EO59" i="27"/>
  <c r="EP59" i="27"/>
  <c r="ER59" i="27"/>
  <c r="ES59" i="27"/>
  <c r="ET59" i="27"/>
  <c r="EV59" i="27"/>
  <c r="EW59" i="27"/>
  <c r="CD60" i="27"/>
  <c r="CF60" i="27"/>
  <c r="CG60" i="27"/>
  <c r="CH60" i="27"/>
  <c r="CJ60" i="27"/>
  <c r="CK60" i="27"/>
  <c r="CL60" i="27"/>
  <c r="CN60" i="27"/>
  <c r="CO60" i="27"/>
  <c r="CP60" i="27"/>
  <c r="CR60" i="27"/>
  <c r="CS60" i="27"/>
  <c r="CT60" i="27"/>
  <c r="CV60" i="27"/>
  <c r="CW60" i="27"/>
  <c r="CX60" i="27"/>
  <c r="CZ60" i="27"/>
  <c r="DA60" i="27"/>
  <c r="DB60" i="27"/>
  <c r="DD60" i="27"/>
  <c r="DE60" i="27"/>
  <c r="DF60" i="27"/>
  <c r="DH60" i="27"/>
  <c r="DI60" i="27"/>
  <c r="DJ60" i="27"/>
  <c r="DL60" i="27"/>
  <c r="DM60" i="27"/>
  <c r="DN60" i="27"/>
  <c r="DP60" i="27"/>
  <c r="DQ60" i="27"/>
  <c r="DR60" i="27"/>
  <c r="DT60" i="27"/>
  <c r="DU60" i="27"/>
  <c r="DV60" i="27"/>
  <c r="DX60" i="27"/>
  <c r="DY60" i="27"/>
  <c r="DZ60" i="27"/>
  <c r="EB60" i="27"/>
  <c r="EC60" i="27"/>
  <c r="ED60" i="27"/>
  <c r="EF60" i="27"/>
  <c r="EG60" i="27"/>
  <c r="EH60" i="27"/>
  <c r="EJ60" i="27"/>
  <c r="EK60" i="27"/>
  <c r="EL60" i="27"/>
  <c r="EN60" i="27"/>
  <c r="EO60" i="27"/>
  <c r="EP60" i="27"/>
  <c r="ER60" i="27"/>
  <c r="ES60" i="27"/>
  <c r="ET60" i="27"/>
  <c r="EV60" i="27"/>
  <c r="EW60" i="27"/>
  <c r="CD61" i="27"/>
  <c r="CF61" i="27"/>
  <c r="CG61" i="27"/>
  <c r="CH61" i="27"/>
  <c r="CJ61" i="27"/>
  <c r="CK61" i="27"/>
  <c r="CL61" i="27"/>
  <c r="CN61" i="27"/>
  <c r="CO61" i="27"/>
  <c r="CP61" i="27"/>
  <c r="CR61" i="27"/>
  <c r="CS61" i="27"/>
  <c r="CT61" i="27"/>
  <c r="CV61" i="27"/>
  <c r="CW61" i="27"/>
  <c r="CX61" i="27"/>
  <c r="CZ61" i="27"/>
  <c r="DA61" i="27"/>
  <c r="DB61" i="27"/>
  <c r="DD61" i="27"/>
  <c r="DE61" i="27"/>
  <c r="DF61" i="27"/>
  <c r="DH61" i="27"/>
  <c r="DI61" i="27"/>
  <c r="DJ61" i="27"/>
  <c r="DL61" i="27"/>
  <c r="DM61" i="27"/>
  <c r="DN61" i="27"/>
  <c r="DP61" i="27"/>
  <c r="DQ61" i="27"/>
  <c r="DR61" i="27"/>
  <c r="DT61" i="27"/>
  <c r="DU61" i="27"/>
  <c r="DV61" i="27"/>
  <c r="DX61" i="27"/>
  <c r="DY61" i="27"/>
  <c r="DZ61" i="27"/>
  <c r="EB61" i="27"/>
  <c r="EC61" i="27"/>
  <c r="ED61" i="27"/>
  <c r="EF61" i="27"/>
  <c r="EG61" i="27"/>
  <c r="EH61" i="27"/>
  <c r="EJ61" i="27"/>
  <c r="EK61" i="27"/>
  <c r="EL61" i="27"/>
  <c r="EN61" i="27"/>
  <c r="EO61" i="27"/>
  <c r="EP61" i="27"/>
  <c r="ER61" i="27"/>
  <c r="ES61" i="27"/>
  <c r="ET61" i="27"/>
  <c r="EV61" i="27"/>
  <c r="EW61" i="27"/>
  <c r="CD62" i="27"/>
  <c r="CF62" i="27"/>
  <c r="CG62" i="27"/>
  <c r="CH62" i="27"/>
  <c r="CJ62" i="27"/>
  <c r="CK62" i="27"/>
  <c r="CL62" i="27"/>
  <c r="CN62" i="27"/>
  <c r="CO62" i="27"/>
  <c r="CP62" i="27"/>
  <c r="CR62" i="27"/>
  <c r="CS62" i="27"/>
  <c r="CT62" i="27"/>
  <c r="CV62" i="27"/>
  <c r="CW62" i="27"/>
  <c r="CX62" i="27"/>
  <c r="CZ62" i="27"/>
  <c r="DA62" i="27"/>
  <c r="DB62" i="27"/>
  <c r="DD62" i="27"/>
  <c r="DE62" i="27"/>
  <c r="DF62" i="27"/>
  <c r="DH62" i="27"/>
  <c r="DI62" i="27"/>
  <c r="DJ62" i="27"/>
  <c r="DL62" i="27"/>
  <c r="DM62" i="27"/>
  <c r="DN62" i="27"/>
  <c r="DP62" i="27"/>
  <c r="DQ62" i="27"/>
  <c r="DR62" i="27"/>
  <c r="DT62" i="27"/>
  <c r="DU62" i="27"/>
  <c r="DV62" i="27"/>
  <c r="DX62" i="27"/>
  <c r="DY62" i="27"/>
  <c r="DZ62" i="27"/>
  <c r="EB62" i="27"/>
  <c r="EC62" i="27"/>
  <c r="ED62" i="27"/>
  <c r="EF62" i="27"/>
  <c r="EG62" i="27"/>
  <c r="EH62" i="27"/>
  <c r="EJ62" i="27"/>
  <c r="EK62" i="27"/>
  <c r="EL62" i="27"/>
  <c r="EN62" i="27"/>
  <c r="EO62" i="27"/>
  <c r="EP62" i="27"/>
  <c r="ER62" i="27"/>
  <c r="ES62" i="27"/>
  <c r="ET62" i="27"/>
  <c r="EV62" i="27"/>
  <c r="EW62" i="27"/>
  <c r="CD63" i="27"/>
  <c r="CF63" i="27"/>
  <c r="CG63" i="27"/>
  <c r="CH63" i="27"/>
  <c r="CJ63" i="27"/>
  <c r="CK63" i="27"/>
  <c r="CL63" i="27"/>
  <c r="CN63" i="27"/>
  <c r="CO63" i="27"/>
  <c r="CP63" i="27"/>
  <c r="CR63" i="27"/>
  <c r="CS63" i="27"/>
  <c r="CT63" i="27"/>
  <c r="CV63" i="27"/>
  <c r="CW63" i="27"/>
  <c r="CX63" i="27"/>
  <c r="CZ63" i="27"/>
  <c r="DA63" i="27"/>
  <c r="DB63" i="27"/>
  <c r="DD63" i="27"/>
  <c r="DE63" i="27"/>
  <c r="DF63" i="27"/>
  <c r="DH63" i="27"/>
  <c r="DI63" i="27"/>
  <c r="DJ63" i="27"/>
  <c r="DL63" i="27"/>
  <c r="DM63" i="27"/>
  <c r="DN63" i="27"/>
  <c r="DP63" i="27"/>
  <c r="DQ63" i="27"/>
  <c r="DR63" i="27"/>
  <c r="DT63" i="27"/>
  <c r="DU63" i="27"/>
  <c r="DV63" i="27"/>
  <c r="DX63" i="27"/>
  <c r="DY63" i="27"/>
  <c r="DZ63" i="27"/>
  <c r="EB63" i="27"/>
  <c r="EC63" i="27"/>
  <c r="ED63" i="27"/>
  <c r="EF63" i="27"/>
  <c r="EG63" i="27"/>
  <c r="EH63" i="27"/>
  <c r="EJ63" i="27"/>
  <c r="EK63" i="27"/>
  <c r="EL63" i="27"/>
  <c r="EN63" i="27"/>
  <c r="EO63" i="27"/>
  <c r="EP63" i="27"/>
  <c r="ER63" i="27"/>
  <c r="ES63" i="27"/>
  <c r="ET63" i="27"/>
  <c r="EV63" i="27"/>
  <c r="EW63" i="27"/>
  <c r="GO221" i="27" l="1"/>
  <c r="GO220" i="27"/>
  <c r="GO219" i="27"/>
  <c r="GO218" i="27"/>
  <c r="GO217" i="27"/>
  <c r="GO216" i="27"/>
  <c r="GO215" i="27"/>
  <c r="GO214" i="27"/>
  <c r="GO213" i="27"/>
  <c r="GO212" i="27"/>
  <c r="GO211" i="27"/>
  <c r="GO210" i="27"/>
  <c r="GO209" i="27"/>
  <c r="GO208" i="27"/>
  <c r="GO207" i="27"/>
  <c r="GO206" i="27"/>
  <c r="GO205" i="27"/>
  <c r="GO204" i="27"/>
  <c r="GO31" i="27"/>
  <c r="GO21" i="27"/>
  <c r="GO203" i="27"/>
  <c r="GO202" i="27"/>
  <c r="GO201" i="27"/>
  <c r="GO200" i="27"/>
  <c r="GO199" i="27"/>
  <c r="GO198" i="27"/>
  <c r="GO197" i="27"/>
  <c r="GO196" i="27"/>
  <c r="GO195" i="27"/>
  <c r="GO194" i="27"/>
  <c r="GO193" i="27"/>
  <c r="GO192" i="27"/>
  <c r="GO191" i="27"/>
  <c r="GO190" i="27"/>
  <c r="GO189" i="27"/>
  <c r="GO188" i="27"/>
  <c r="GO187" i="27"/>
  <c r="GO27" i="27"/>
  <c r="GO16" i="27"/>
  <c r="GO186" i="27"/>
  <c r="GO185" i="27"/>
  <c r="GO184" i="27"/>
  <c r="GO183" i="27"/>
  <c r="GO182" i="27"/>
  <c r="GO181" i="27"/>
  <c r="GO180" i="27"/>
  <c r="GO179" i="27"/>
  <c r="GO178" i="27"/>
  <c r="GO177" i="27"/>
  <c r="GO176" i="27"/>
  <c r="GO175" i="27"/>
  <c r="GO174" i="27"/>
  <c r="GO173" i="27"/>
  <c r="GO172" i="27"/>
  <c r="GO171" i="27"/>
  <c r="GO170" i="27"/>
  <c r="GO169" i="27"/>
  <c r="GO34" i="27"/>
  <c r="GO168" i="27"/>
  <c r="GO167" i="27"/>
  <c r="GO166" i="27"/>
  <c r="GO165" i="27"/>
  <c r="GO164" i="27"/>
  <c r="GO163" i="27"/>
  <c r="GO162" i="27"/>
  <c r="GO161" i="27"/>
  <c r="GO160" i="27"/>
  <c r="GO159" i="27"/>
  <c r="GO158" i="27"/>
  <c r="GO157" i="27"/>
  <c r="GO156" i="27"/>
  <c r="GO155" i="27"/>
  <c r="GO154" i="27"/>
  <c r="GO153" i="27"/>
  <c r="GO152" i="27"/>
  <c r="GO151" i="27"/>
  <c r="GO135" i="27"/>
  <c r="GO134" i="27"/>
  <c r="GO118" i="27"/>
  <c r="GO117" i="27"/>
  <c r="GO33" i="27"/>
  <c r="GO30" i="27"/>
  <c r="GO14" i="27"/>
  <c r="GO12" i="27"/>
  <c r="GO150" i="27"/>
  <c r="GO149" i="27"/>
  <c r="GO148" i="27"/>
  <c r="GO147" i="27"/>
  <c r="GO146" i="27"/>
  <c r="GO145" i="27"/>
  <c r="GO144" i="27"/>
  <c r="GO143" i="27"/>
  <c r="GO142" i="27"/>
  <c r="GO141" i="27"/>
  <c r="GO140" i="27"/>
  <c r="GO139" i="27"/>
  <c r="GO138" i="27"/>
  <c r="GO137" i="27"/>
  <c r="GO136" i="27"/>
  <c r="GO44" i="27"/>
  <c r="GO42" i="27"/>
  <c r="GO41" i="27"/>
  <c r="GO28" i="27"/>
  <c r="GO26" i="27"/>
  <c r="GO23" i="27"/>
  <c r="GO17" i="27"/>
  <c r="GO133" i="27"/>
  <c r="GO132" i="27"/>
  <c r="GO131" i="27"/>
  <c r="GO130" i="27"/>
  <c r="GO129" i="27"/>
  <c r="GO128" i="27"/>
  <c r="GO127" i="27"/>
  <c r="GO126" i="27"/>
  <c r="GO125" i="27"/>
  <c r="GO124" i="27"/>
  <c r="GO123" i="27"/>
  <c r="GO122" i="27"/>
  <c r="GO121" i="27"/>
  <c r="GO120" i="27"/>
  <c r="GO119" i="27"/>
  <c r="GO116" i="27"/>
  <c r="GO43" i="27"/>
  <c r="GO115" i="27"/>
  <c r="GO114" i="27"/>
  <c r="GO113" i="27"/>
  <c r="GO112" i="27"/>
  <c r="GO111" i="27"/>
  <c r="GO110" i="27"/>
  <c r="GO109" i="27"/>
  <c r="GO108" i="27"/>
  <c r="GO107" i="27"/>
  <c r="GO106" i="27"/>
  <c r="GO105" i="27"/>
  <c r="GO104" i="27"/>
  <c r="GO103" i="27"/>
  <c r="GO102" i="27"/>
  <c r="GO101" i="27"/>
  <c r="GO100" i="27"/>
  <c r="GO99" i="27"/>
  <c r="GO64" i="27"/>
  <c r="GO40" i="27"/>
  <c r="GO37" i="27"/>
  <c r="GO32" i="27"/>
  <c r="GO29" i="27"/>
  <c r="GO25" i="27"/>
  <c r="GO19" i="27"/>
  <c r="GO13" i="27"/>
  <c r="GO98" i="27"/>
  <c r="GO97" i="27"/>
  <c r="GO96" i="27"/>
  <c r="GO95" i="27"/>
  <c r="GO94" i="27"/>
  <c r="GO93" i="27"/>
  <c r="GO92" i="27"/>
  <c r="GO91" i="27"/>
  <c r="GO90" i="27"/>
  <c r="GO89" i="27"/>
  <c r="GO88" i="27"/>
  <c r="GO87" i="27"/>
  <c r="GO86" i="27"/>
  <c r="GO85" i="27"/>
  <c r="GO84" i="27"/>
  <c r="GO83" i="27"/>
  <c r="GO82" i="27"/>
  <c r="GO81" i="27"/>
  <c r="GO66" i="27"/>
  <c r="GO24" i="27"/>
  <c r="GO20" i="27"/>
  <c r="GO18" i="27"/>
  <c r="GO80" i="27"/>
  <c r="GO79" i="27"/>
  <c r="GO78" i="27"/>
  <c r="GO77" i="27"/>
  <c r="GO76" i="27"/>
  <c r="GO75" i="27"/>
  <c r="GO74" i="27"/>
  <c r="GO73" i="27"/>
  <c r="GO72" i="27"/>
  <c r="GO71" i="27"/>
  <c r="GO70" i="27"/>
  <c r="GO69" i="27"/>
  <c r="GO68" i="27"/>
  <c r="GO67" i="27"/>
  <c r="GO65" i="27"/>
  <c r="GO63" i="27"/>
  <c r="GO39" i="27"/>
  <c r="GO36" i="27"/>
  <c r="GO22" i="27"/>
  <c r="GO62" i="27"/>
  <c r="GO61" i="27"/>
  <c r="GO60" i="27"/>
  <c r="GO59" i="27"/>
  <c r="GO58" i="27"/>
  <c r="GO57" i="27"/>
  <c r="GO56" i="27"/>
  <c r="GO55" i="27"/>
  <c r="GO54" i="27"/>
  <c r="GO53" i="27"/>
  <c r="GO52" i="27"/>
  <c r="GO51" i="27"/>
  <c r="GO50" i="27"/>
  <c r="GO49" i="27"/>
  <c r="GO48" i="27"/>
  <c r="GO47" i="27"/>
  <c r="GO46" i="27"/>
  <c r="GO45" i="27"/>
  <c r="GO38" i="27"/>
  <c r="GO35" i="27"/>
  <c r="GO15" i="27"/>
  <c r="GQ9" i="27"/>
  <c r="GP10" i="27"/>
  <c r="GP11" i="27"/>
  <c r="L103" i="108"/>
  <c r="L105" i="108"/>
  <c r="FM81" i="27"/>
  <c r="FM73" i="27"/>
  <c r="FM65" i="27"/>
  <c r="FM72" i="27"/>
  <c r="FM64" i="27"/>
  <c r="FM111" i="27"/>
  <c r="FM103" i="27"/>
  <c r="FM95" i="27"/>
  <c r="FM87" i="27"/>
  <c r="FM79" i="27"/>
  <c r="FM71" i="27"/>
  <c r="FM110" i="27"/>
  <c r="FM102" i="27"/>
  <c r="FM94" i="27"/>
  <c r="FM86" i="27"/>
  <c r="FM78" i="27"/>
  <c r="FM70" i="27"/>
  <c r="FM109" i="27"/>
  <c r="FM101" i="27"/>
  <c r="FM93" i="27"/>
  <c r="FM85" i="27"/>
  <c r="FM77" i="27"/>
  <c r="FM69" i="27"/>
  <c r="FM105" i="27"/>
  <c r="FM97" i="27"/>
  <c r="FM89" i="27"/>
  <c r="FM112" i="27"/>
  <c r="FM104" i="27"/>
  <c r="FM96" i="27"/>
  <c r="FM88" i="27"/>
  <c r="FM80" i="27"/>
  <c r="FM108" i="27"/>
  <c r="FM100" i="27"/>
  <c r="FM92" i="27"/>
  <c r="FM84" i="27"/>
  <c r="FM76" i="27"/>
  <c r="FM68" i="27"/>
  <c r="FM107" i="27"/>
  <c r="FM99" i="27"/>
  <c r="FM91" i="27"/>
  <c r="FM83" i="27"/>
  <c r="FM75" i="27"/>
  <c r="FM67" i="27"/>
  <c r="FM106" i="27"/>
  <c r="FM98" i="27"/>
  <c r="FM90" i="27"/>
  <c r="FM82" i="27"/>
  <c r="FM74" i="27"/>
  <c r="FM66" i="27"/>
  <c r="K123" i="108"/>
  <c r="K139" i="108"/>
  <c r="K133" i="108"/>
  <c r="K131" i="108"/>
  <c r="K125" i="108"/>
  <c r="K117" i="108"/>
  <c r="K107" i="108"/>
  <c r="K102" i="108"/>
  <c r="K99" i="108"/>
  <c r="K158" i="108"/>
  <c r="K155" i="108"/>
  <c r="K153" i="108"/>
  <c r="K149" i="108"/>
  <c r="K145" i="108"/>
  <c r="K143" i="108"/>
  <c r="K141" i="108"/>
  <c r="K137" i="108"/>
  <c r="K135" i="108"/>
  <c r="K130" i="108"/>
  <c r="K122" i="108"/>
  <c r="K110" i="108"/>
  <c r="K105" i="108"/>
  <c r="K157" i="108"/>
  <c r="K150" i="108"/>
  <c r="K147" i="108"/>
  <c r="K138" i="108"/>
  <c r="K126" i="108"/>
  <c r="K113" i="108"/>
  <c r="K109" i="108"/>
  <c r="K106" i="108"/>
  <c r="K103" i="108"/>
  <c r="K154" i="108"/>
  <c r="K146" i="108"/>
  <c r="K142" i="108"/>
  <c r="K134" i="108"/>
  <c r="K127" i="108"/>
  <c r="K118" i="108"/>
  <c r="K114" i="108"/>
  <c r="K111" i="108"/>
  <c r="K101" i="108"/>
  <c r="K98" i="108"/>
  <c r="K159" i="108"/>
  <c r="K151" i="108"/>
  <c r="K129" i="108"/>
  <c r="K121" i="108"/>
  <c r="K119" i="108"/>
  <c r="K115" i="108"/>
  <c r="K97" i="108"/>
  <c r="F159" i="108"/>
  <c r="B158" i="108"/>
  <c r="F156" i="108"/>
  <c r="F151" i="108"/>
  <c r="B135" i="108"/>
  <c r="J120" i="108"/>
  <c r="J110" i="108"/>
  <c r="G109" i="108"/>
  <c r="H108" i="108"/>
  <c r="G106" i="108"/>
  <c r="J105" i="108"/>
  <c r="F105" i="108"/>
  <c r="I104" i="108"/>
  <c r="E104" i="108"/>
  <c r="G103" i="108"/>
  <c r="B103" i="108"/>
  <c r="E102" i="108"/>
  <c r="H101" i="108"/>
  <c r="D101" i="108"/>
  <c r="G100" i="108"/>
  <c r="J99" i="108"/>
  <c r="F99" i="108"/>
  <c r="E98" i="108"/>
  <c r="F97" i="108"/>
  <c r="F158" i="108"/>
  <c r="F153" i="108"/>
  <c r="B150" i="108"/>
  <c r="B118" i="108"/>
  <c r="B114" i="108"/>
  <c r="F109" i="108"/>
  <c r="H107" i="108"/>
  <c r="J106" i="108"/>
  <c r="F103" i="108"/>
  <c r="D102" i="108"/>
  <c r="G101" i="108"/>
  <c r="E99" i="108"/>
  <c r="I97" i="108"/>
  <c r="F152" i="108"/>
  <c r="B119" i="108"/>
  <c r="J118" i="108"/>
  <c r="J116" i="108"/>
  <c r="B115" i="108"/>
  <c r="J114" i="108"/>
  <c r="J111" i="108"/>
  <c r="I109" i="108"/>
  <c r="E109" i="108"/>
  <c r="J108" i="108"/>
  <c r="F108" i="108"/>
  <c r="G107" i="108"/>
  <c r="E106" i="108"/>
  <c r="H105" i="108"/>
  <c r="D105" i="108"/>
  <c r="G104" i="108"/>
  <c r="E103" i="108"/>
  <c r="G102" i="108"/>
  <c r="B102" i="108"/>
  <c r="F101" i="108"/>
  <c r="I100" i="108"/>
  <c r="E100" i="108"/>
  <c r="H99" i="108"/>
  <c r="G98" i="108"/>
  <c r="B98" i="108"/>
  <c r="H97" i="108"/>
  <c r="D97" i="108"/>
  <c r="F155" i="108"/>
  <c r="F149" i="108"/>
  <c r="B147" i="108"/>
  <c r="B138" i="108"/>
  <c r="J113" i="108"/>
  <c r="J109" i="108"/>
  <c r="G108" i="108"/>
  <c r="D107" i="108"/>
  <c r="F106" i="108"/>
  <c r="I105" i="108"/>
  <c r="E105" i="108"/>
  <c r="H104" i="108"/>
  <c r="D104" i="108"/>
  <c r="J103" i="108"/>
  <c r="H102" i="108"/>
  <c r="F100" i="108"/>
  <c r="I99" i="108"/>
  <c r="L98" i="108"/>
  <c r="H98" i="108"/>
  <c r="D98" i="108"/>
  <c r="E97" i="108"/>
  <c r="F157" i="108"/>
  <c r="F150" i="108"/>
  <c r="F147" i="108"/>
  <c r="B146" i="108"/>
  <c r="B159" i="108"/>
  <c r="F154" i="108"/>
  <c r="B151" i="108"/>
  <c r="F148" i="108"/>
  <c r="B139" i="108"/>
  <c r="L125" i="108"/>
  <c r="J119" i="108"/>
  <c r="J117" i="108"/>
  <c r="J115" i="108"/>
  <c r="J112" i="108"/>
  <c r="H109" i="108"/>
  <c r="I108" i="108"/>
  <c r="E108" i="108"/>
  <c r="J107" i="108"/>
  <c r="F107" i="108"/>
  <c r="L106" i="108"/>
  <c r="H106" i="108"/>
  <c r="D106" i="108"/>
  <c r="G105" i="108"/>
  <c r="J104" i="108"/>
  <c r="F104" i="108"/>
  <c r="H103" i="108"/>
  <c r="D103" i="108"/>
  <c r="F102" i="108"/>
  <c r="I101" i="108"/>
  <c r="E101" i="108"/>
  <c r="H100" i="108"/>
  <c r="D100" i="108"/>
  <c r="G99" i="108"/>
  <c r="B99" i="108"/>
  <c r="J98" i="108"/>
  <c r="F98" i="108"/>
  <c r="G97" i="108"/>
  <c r="EU54" i="27"/>
  <c r="EQ60" i="27"/>
  <c r="DK60" i="27"/>
  <c r="EE59" i="27"/>
  <c r="CY59" i="27"/>
  <c r="EU55" i="27"/>
  <c r="EE55" i="27"/>
  <c r="DO55" i="27"/>
  <c r="CY55" i="27"/>
  <c r="CI55" i="27"/>
  <c r="EY54" i="27"/>
  <c r="EE62" i="27"/>
  <c r="CY62" i="27"/>
  <c r="CM62" i="27"/>
  <c r="EM56" i="27"/>
  <c r="DG56" i="27"/>
  <c r="EU50" i="27"/>
  <c r="EQ50" i="27"/>
  <c r="EE50" i="27"/>
  <c r="EA50" i="27"/>
  <c r="DO50" i="27"/>
  <c r="DK50" i="27"/>
  <c r="CY50" i="27"/>
  <c r="CU50" i="27"/>
  <c r="CI50" i="27"/>
  <c r="CE50" i="27"/>
  <c r="EM62" i="27"/>
  <c r="DW62" i="27"/>
  <c r="DG62" i="27"/>
  <c r="CQ62" i="27"/>
  <c r="CE62" i="27"/>
  <c r="EM50" i="27"/>
  <c r="EI50" i="27"/>
  <c r="DW50" i="27"/>
  <c r="DS50" i="27"/>
  <c r="DG50" i="27"/>
  <c r="DC50" i="27"/>
  <c r="CQ50" i="27"/>
  <c r="CM50" i="27"/>
  <c r="EE54" i="27"/>
  <c r="DW54" i="27"/>
  <c r="DO54" i="27"/>
  <c r="EQ61" i="27"/>
  <c r="EI58" i="27"/>
  <c r="EA58" i="27"/>
  <c r="DS58" i="27"/>
  <c r="DC58" i="27"/>
  <c r="CU58" i="27"/>
  <c r="CY54" i="27"/>
  <c r="CQ54" i="27"/>
  <c r="CE54" i="27"/>
  <c r="EM52" i="27"/>
  <c r="EE52" i="27"/>
  <c r="DW52" i="27"/>
  <c r="DG52" i="27"/>
  <c r="CY52" i="27"/>
  <c r="CQ52" i="27"/>
  <c r="EQ51" i="27"/>
  <c r="EA51" i="27"/>
  <c r="DK51" i="27"/>
  <c r="CU51" i="27"/>
  <c r="EA61" i="27"/>
  <c r="DK61" i="27"/>
  <c r="CU61" i="27"/>
  <c r="CE61" i="27"/>
  <c r="DG60" i="27"/>
  <c r="EA59" i="27"/>
  <c r="CU59" i="27"/>
  <c r="EE58" i="27"/>
  <c r="CY58" i="27"/>
  <c r="EA55" i="27"/>
  <c r="CU55" i="27"/>
  <c r="EA54" i="27"/>
  <c r="CU54" i="27"/>
  <c r="EU53" i="27"/>
  <c r="DO53" i="27"/>
  <c r="CI53" i="27"/>
  <c r="EI62" i="27"/>
  <c r="DC62" i="27"/>
  <c r="CI62" i="27"/>
  <c r="CM58" i="27"/>
  <c r="EM57" i="27"/>
  <c r="DW57" i="27"/>
  <c r="DG57" i="27"/>
  <c r="CQ57" i="27"/>
  <c r="EQ56" i="27"/>
  <c r="EA56" i="27"/>
  <c r="DK56" i="27"/>
  <c r="CU56" i="27"/>
  <c r="CE51" i="27"/>
  <c r="EA63" i="27"/>
  <c r="CU63" i="27"/>
  <c r="EA62" i="27"/>
  <c r="CU62" i="27"/>
  <c r="DW58" i="27"/>
  <c r="CQ58" i="27"/>
  <c r="EQ57" i="27"/>
  <c r="DK57" i="27"/>
  <c r="FN51" i="27"/>
  <c r="FN52" i="27"/>
  <c r="DS62" i="27"/>
  <c r="EA60" i="27"/>
  <c r="CU60" i="27"/>
  <c r="EU59" i="27"/>
  <c r="DO59" i="27"/>
  <c r="CI59" i="27"/>
  <c r="EU58" i="27"/>
  <c r="DO58" i="27"/>
  <c r="CI58" i="27"/>
  <c r="DW56" i="27"/>
  <c r="CQ56" i="27"/>
  <c r="EQ55" i="27"/>
  <c r="DK55" i="27"/>
  <c r="CE55" i="27"/>
  <c r="EQ54" i="27"/>
  <c r="DK54" i="27"/>
  <c r="EE53" i="27"/>
  <c r="CY53" i="27"/>
  <c r="J128" i="108"/>
  <c r="FN53" i="27"/>
  <c r="EY62" i="27"/>
  <c r="FN54" i="27"/>
  <c r="EQ63" i="27"/>
  <c r="DK63" i="27"/>
  <c r="CE63" i="27"/>
  <c r="EQ62" i="27"/>
  <c r="DK62" i="27"/>
  <c r="EM58" i="27"/>
  <c r="DG58" i="27"/>
  <c r="EA57" i="27"/>
  <c r="CU57" i="27"/>
  <c r="CQ53" i="27"/>
  <c r="EY50" i="27"/>
  <c r="FN55" i="27"/>
  <c r="FN57" i="27"/>
  <c r="EY58" i="27"/>
  <c r="CI54" i="27"/>
  <c r="FN50" i="27"/>
  <c r="EU62" i="27"/>
  <c r="DO62" i="27"/>
  <c r="CQ60" i="27"/>
  <c r="EQ59" i="27"/>
  <c r="DK59" i="27"/>
  <c r="EQ58" i="27"/>
  <c r="DK58" i="27"/>
  <c r="CE58" i="27"/>
  <c r="EM54" i="27"/>
  <c r="DG54" i="27"/>
  <c r="EU52" i="27"/>
  <c r="DO52" i="27"/>
  <c r="CI52" i="27"/>
  <c r="B127" i="108"/>
  <c r="D157" i="108"/>
  <c r="D156" i="108"/>
  <c r="B153" i="108"/>
  <c r="J149" i="108"/>
  <c r="J137" i="108"/>
  <c r="B154" i="108"/>
  <c r="E151" i="108"/>
  <c r="B142" i="108"/>
  <c r="B126" i="108"/>
  <c r="B155" i="108"/>
  <c r="D147" i="108"/>
  <c r="B143" i="108"/>
  <c r="J155" i="108"/>
  <c r="K152" i="108"/>
  <c r="B148" i="108"/>
  <c r="J143" i="108"/>
  <c r="K140" i="108"/>
  <c r="B136" i="108"/>
  <c r="J127" i="108"/>
  <c r="K124" i="108"/>
  <c r="B120" i="108"/>
  <c r="J102" i="108"/>
  <c r="J101" i="108"/>
  <c r="J100" i="108"/>
  <c r="J97" i="108"/>
  <c r="D158" i="108"/>
  <c r="J150" i="108"/>
  <c r="J148" i="108"/>
  <c r="B141" i="108"/>
  <c r="J138" i="108"/>
  <c r="J136" i="108"/>
  <c r="B125" i="108"/>
  <c r="J122" i="108"/>
  <c r="J121" i="108"/>
  <c r="B109" i="108"/>
  <c r="K108" i="108"/>
  <c r="B106" i="108"/>
  <c r="FM59" i="27"/>
  <c r="D159" i="108"/>
  <c r="E158" i="108"/>
  <c r="E157" i="108"/>
  <c r="E156" i="108"/>
  <c r="D154" i="108"/>
  <c r="D153" i="108"/>
  <c r="D152" i="108"/>
  <c r="J151" i="108"/>
  <c r="B149" i="108"/>
  <c r="K148" i="108"/>
  <c r="E147" i="108"/>
  <c r="J139" i="108"/>
  <c r="B137" i="108"/>
  <c r="K136" i="108"/>
  <c r="J134" i="108"/>
  <c r="J133" i="108"/>
  <c r="J132" i="108"/>
  <c r="B132" i="108"/>
  <c r="J123" i="108"/>
  <c r="B123" i="108"/>
  <c r="B122" i="108"/>
  <c r="B121" i="108"/>
  <c r="K120" i="108"/>
  <c r="D109" i="108"/>
  <c r="D108" i="108"/>
  <c r="I107" i="108"/>
  <c r="E107" i="108"/>
  <c r="FN60" i="27"/>
  <c r="B105" i="108"/>
  <c r="FM58" i="27"/>
  <c r="K104" i="108"/>
  <c r="B100" i="108"/>
  <c r="FM53" i="27"/>
  <c r="D99" i="108"/>
  <c r="E154" i="108"/>
  <c r="J159" i="108"/>
  <c r="B157" i="108"/>
  <c r="K156" i="108"/>
  <c r="E155" i="108"/>
  <c r="J154" i="108"/>
  <c r="J153" i="108"/>
  <c r="J152" i="108"/>
  <c r="B152" i="108"/>
  <c r="D151" i="108"/>
  <c r="E150" i="108"/>
  <c r="E149" i="108"/>
  <c r="E148" i="108"/>
  <c r="B145" i="108"/>
  <c r="K144" i="108"/>
  <c r="J142" i="108"/>
  <c r="J141" i="108"/>
  <c r="J140" i="108"/>
  <c r="B140" i="108"/>
  <c r="J131" i="108"/>
  <c r="B131" i="108"/>
  <c r="B130" i="108"/>
  <c r="B129" i="108"/>
  <c r="K128" i="108"/>
  <c r="J126" i="108"/>
  <c r="J125" i="108"/>
  <c r="J124" i="108"/>
  <c r="B124" i="108"/>
  <c r="B116" i="108"/>
  <c r="FM63" i="27"/>
  <c r="B107" i="108"/>
  <c r="FM60" i="27"/>
  <c r="I103" i="108"/>
  <c r="I98" i="108"/>
  <c r="FN56" i="27"/>
  <c r="E159" i="108"/>
  <c r="J158" i="108"/>
  <c r="J157" i="108"/>
  <c r="J156" i="108"/>
  <c r="B156" i="108"/>
  <c r="D155" i="108"/>
  <c r="E153" i="108"/>
  <c r="E152" i="108"/>
  <c r="D150" i="108"/>
  <c r="D149" i="108"/>
  <c r="D148" i="108"/>
  <c r="J147" i="108"/>
  <c r="J146" i="108"/>
  <c r="J145" i="108"/>
  <c r="J144" i="108"/>
  <c r="B144" i="108"/>
  <c r="J135" i="108"/>
  <c r="B134" i="108"/>
  <c r="B133" i="108"/>
  <c r="K132" i="108"/>
  <c r="J130" i="108"/>
  <c r="J129" i="108"/>
  <c r="B128" i="108"/>
  <c r="B111" i="108"/>
  <c r="B104" i="108"/>
  <c r="I102" i="108"/>
  <c r="B113" i="108"/>
  <c r="K112" i="108"/>
  <c r="B108" i="108"/>
  <c r="I106" i="108"/>
  <c r="FM61" i="27"/>
  <c r="B117" i="108"/>
  <c r="K116" i="108"/>
  <c r="B112" i="108"/>
  <c r="B101" i="108"/>
  <c r="K100" i="108"/>
  <c r="B97" i="108"/>
  <c r="FN61" i="27"/>
  <c r="FN59" i="27"/>
  <c r="FN58" i="27"/>
  <c r="FM57" i="27"/>
  <c r="FM56" i="27"/>
  <c r="FM55" i="27"/>
  <c r="FM54" i="27"/>
  <c r="FM52" i="27"/>
  <c r="FM51" i="27"/>
  <c r="FM50" i="27"/>
  <c r="EI54" i="27"/>
  <c r="DS54" i="27"/>
  <c r="DC54" i="27"/>
  <c r="CM54" i="27"/>
  <c r="EU61" i="27"/>
  <c r="EE61" i="27"/>
  <c r="DO61" i="27"/>
  <c r="CY61" i="27"/>
  <c r="CI61" i="27"/>
  <c r="EU60" i="27"/>
  <c r="EE60" i="27"/>
  <c r="DO60" i="27"/>
  <c r="CY60" i="27"/>
  <c r="CI60" i="27"/>
  <c r="EU57" i="27"/>
  <c r="EE57" i="27"/>
  <c r="DO57" i="27"/>
  <c r="CY57" i="27"/>
  <c r="CI57" i="27"/>
  <c r="EU56" i="27"/>
  <c r="EE56" i="27"/>
  <c r="DO56" i="27"/>
  <c r="CY56" i="27"/>
  <c r="CI56" i="27"/>
  <c r="EI53" i="27"/>
  <c r="DS53" i="27"/>
  <c r="DC53" i="27"/>
  <c r="CM53" i="27"/>
  <c r="EI52" i="27"/>
  <c r="DS52" i="27"/>
  <c r="DC52" i="27"/>
  <c r="CM52" i="27"/>
  <c r="EI61" i="27"/>
  <c r="DS61" i="27"/>
  <c r="DC61" i="27"/>
  <c r="CM61" i="27"/>
  <c r="EI60" i="27"/>
  <c r="DS60" i="27"/>
  <c r="DC60" i="27"/>
  <c r="CM60" i="27"/>
  <c r="EI57" i="27"/>
  <c r="DS57" i="27"/>
  <c r="DC57" i="27"/>
  <c r="CM57" i="27"/>
  <c r="EI56" i="27"/>
  <c r="DS56" i="27"/>
  <c r="DC56" i="27"/>
  <c r="CM56" i="27"/>
  <c r="EM53" i="27"/>
  <c r="DW53" i="27"/>
  <c r="DG53" i="27"/>
  <c r="EM61" i="27"/>
  <c r="DW61" i="27"/>
  <c r="DG61" i="27"/>
  <c r="CQ61" i="27"/>
  <c r="EM60" i="27"/>
  <c r="DW60" i="27"/>
  <c r="CE59" i="27"/>
  <c r="EQ53" i="27"/>
  <c r="EA53" i="27"/>
  <c r="DK53" i="27"/>
  <c r="CU53" i="27"/>
  <c r="EQ52" i="27"/>
  <c r="EA52" i="27"/>
  <c r="DK52" i="27"/>
  <c r="CU52" i="27"/>
  <c r="EU51" i="27"/>
  <c r="EE51" i="27"/>
  <c r="DO51" i="27"/>
  <c r="CY51" i="27"/>
  <c r="CI51" i="27"/>
  <c r="CE57" i="27"/>
  <c r="EY57" i="27"/>
  <c r="CE53" i="27"/>
  <c r="EY53" i="27"/>
  <c r="EY61" i="27"/>
  <c r="EU63" i="27"/>
  <c r="EE63" i="27"/>
  <c r="DO63" i="27"/>
  <c r="CY63" i="27"/>
  <c r="CI63" i="27"/>
  <c r="EM63" i="27"/>
  <c r="DW63" i="27"/>
  <c r="DG63" i="27"/>
  <c r="CQ63" i="27"/>
  <c r="EM59" i="27"/>
  <c r="DW59" i="27"/>
  <c r="DG59" i="27"/>
  <c r="CQ59" i="27"/>
  <c r="EM55" i="27"/>
  <c r="DW55" i="27"/>
  <c r="DG55" i="27"/>
  <c r="CQ55" i="27"/>
  <c r="EM51" i="27"/>
  <c r="DW51" i="27"/>
  <c r="DG51" i="27"/>
  <c r="CQ51" i="27"/>
  <c r="CE60" i="27"/>
  <c r="EY60" i="27"/>
  <c r="CE56" i="27"/>
  <c r="EY56" i="27"/>
  <c r="CE52" i="27"/>
  <c r="EY52" i="27"/>
  <c r="EI63" i="27"/>
  <c r="DS63" i="27"/>
  <c r="DC63" i="27"/>
  <c r="CM63" i="27"/>
  <c r="EI59" i="27"/>
  <c r="DS59" i="27"/>
  <c r="DC59" i="27"/>
  <c r="CM59" i="27"/>
  <c r="EI55" i="27"/>
  <c r="DS55" i="27"/>
  <c r="DC55" i="27"/>
  <c r="CM55" i="27"/>
  <c r="EI51" i="27"/>
  <c r="DS51" i="27"/>
  <c r="DC51" i="27"/>
  <c r="CM51" i="27"/>
  <c r="EY63" i="27"/>
  <c r="EY59" i="27"/>
  <c r="EY55" i="27"/>
  <c r="EY51" i="27"/>
  <c r="GP221" i="27" l="1"/>
  <c r="GP220" i="27"/>
  <c r="GP219" i="27"/>
  <c r="GP218" i="27"/>
  <c r="GP217" i="27"/>
  <c r="GP216" i="27"/>
  <c r="GP215" i="27"/>
  <c r="GP214" i="27"/>
  <c r="GP213" i="27"/>
  <c r="GP212" i="27"/>
  <c r="GP211" i="27"/>
  <c r="GP210" i="27"/>
  <c r="GP209" i="27"/>
  <c r="GP208" i="27"/>
  <c r="GP207" i="27"/>
  <c r="GP206" i="27"/>
  <c r="GP205" i="27"/>
  <c r="GP204" i="27"/>
  <c r="GP188" i="27"/>
  <c r="GP13" i="27"/>
  <c r="GP203" i="27"/>
  <c r="GP202" i="27"/>
  <c r="GP201" i="27"/>
  <c r="GP200" i="27"/>
  <c r="GP199" i="27"/>
  <c r="GP198" i="27"/>
  <c r="GP197" i="27"/>
  <c r="GP196" i="27"/>
  <c r="GP195" i="27"/>
  <c r="GP194" i="27"/>
  <c r="GP193" i="27"/>
  <c r="GP192" i="27"/>
  <c r="GP191" i="27"/>
  <c r="GP190" i="27"/>
  <c r="GP189" i="27"/>
  <c r="GP187" i="27"/>
  <c r="GP20" i="27"/>
  <c r="GP17" i="27"/>
  <c r="GP186" i="27"/>
  <c r="GP185" i="27"/>
  <c r="GP184" i="27"/>
  <c r="GP183" i="27"/>
  <c r="GP182" i="27"/>
  <c r="GP181" i="27"/>
  <c r="GP180" i="27"/>
  <c r="GP179" i="27"/>
  <c r="GP178" i="27"/>
  <c r="GP177" i="27"/>
  <c r="GP176" i="27"/>
  <c r="GP175" i="27"/>
  <c r="GP174" i="27"/>
  <c r="GP173" i="27"/>
  <c r="GP172" i="27"/>
  <c r="GP171" i="27"/>
  <c r="GP170" i="27"/>
  <c r="GP169" i="27"/>
  <c r="GP38" i="27"/>
  <c r="GP29" i="27"/>
  <c r="GP23" i="27"/>
  <c r="GP15" i="27"/>
  <c r="GP168" i="27"/>
  <c r="GP167" i="27"/>
  <c r="GP166" i="27"/>
  <c r="GP165" i="27"/>
  <c r="GP164" i="27"/>
  <c r="GP163" i="27"/>
  <c r="GP162" i="27"/>
  <c r="GP161" i="27"/>
  <c r="GP160" i="27"/>
  <c r="GP159" i="27"/>
  <c r="GP158" i="27"/>
  <c r="GP157" i="27"/>
  <c r="GP156" i="27"/>
  <c r="GP155" i="27"/>
  <c r="GP154" i="27"/>
  <c r="GP153" i="27"/>
  <c r="GP152" i="27"/>
  <c r="GP151" i="27"/>
  <c r="GP37" i="27"/>
  <c r="GP28" i="27"/>
  <c r="GP150" i="27"/>
  <c r="GP149" i="27"/>
  <c r="GP148" i="27"/>
  <c r="GP147" i="27"/>
  <c r="GP146" i="27"/>
  <c r="GP145" i="27"/>
  <c r="GP144" i="27"/>
  <c r="GP143" i="27"/>
  <c r="GP142" i="27"/>
  <c r="GP141" i="27"/>
  <c r="GP140" i="27"/>
  <c r="GP139" i="27"/>
  <c r="GP138" i="27"/>
  <c r="GP137" i="27"/>
  <c r="GP136" i="27"/>
  <c r="GP135" i="27"/>
  <c r="GP134" i="27"/>
  <c r="GP117" i="27"/>
  <c r="GP116" i="27"/>
  <c r="GP43" i="27"/>
  <c r="GP39" i="27"/>
  <c r="GP32" i="27"/>
  <c r="GP25" i="27"/>
  <c r="GP21" i="27"/>
  <c r="GP133" i="27"/>
  <c r="GP132" i="27"/>
  <c r="GP131" i="27"/>
  <c r="GP130" i="27"/>
  <c r="GP129" i="27"/>
  <c r="GP128" i="27"/>
  <c r="GP127" i="27"/>
  <c r="GP126" i="27"/>
  <c r="GP125" i="27"/>
  <c r="GP124" i="27"/>
  <c r="GP123" i="27"/>
  <c r="GP122" i="27"/>
  <c r="GP121" i="27"/>
  <c r="GP120" i="27"/>
  <c r="GP119" i="27"/>
  <c r="GP118" i="27"/>
  <c r="GP44" i="27"/>
  <c r="GP24" i="27"/>
  <c r="GP115" i="27"/>
  <c r="GP114" i="27"/>
  <c r="GP113" i="27"/>
  <c r="GP112" i="27"/>
  <c r="GP111" i="27"/>
  <c r="GP110" i="27"/>
  <c r="GP109" i="27"/>
  <c r="GP108" i="27"/>
  <c r="GP107" i="27"/>
  <c r="GP106" i="27"/>
  <c r="GP105" i="27"/>
  <c r="GP104" i="27"/>
  <c r="GP103" i="27"/>
  <c r="GP102" i="27"/>
  <c r="GP101" i="27"/>
  <c r="GP100" i="27"/>
  <c r="GP99" i="27"/>
  <c r="GP35" i="27"/>
  <c r="GP14" i="27"/>
  <c r="GP98" i="27"/>
  <c r="GP97" i="27"/>
  <c r="GP96" i="27"/>
  <c r="GP95" i="27"/>
  <c r="GP94" i="27"/>
  <c r="GP93" i="27"/>
  <c r="GP92" i="27"/>
  <c r="GP91" i="27"/>
  <c r="GP90" i="27"/>
  <c r="GP89" i="27"/>
  <c r="GP88" i="27"/>
  <c r="GP87" i="27"/>
  <c r="GP86" i="27"/>
  <c r="GP85" i="27"/>
  <c r="GP84" i="27"/>
  <c r="GP83" i="27"/>
  <c r="GP82" i="27"/>
  <c r="GP81" i="27"/>
  <c r="GP67" i="27"/>
  <c r="GP65" i="27"/>
  <c r="GP63" i="27"/>
  <c r="GP41" i="27"/>
  <c r="GP40" i="27"/>
  <c r="GP34" i="27"/>
  <c r="GP33" i="27"/>
  <c r="GP26" i="27"/>
  <c r="GP22" i="27"/>
  <c r="GP19" i="27"/>
  <c r="GP80" i="27"/>
  <c r="GP79" i="27"/>
  <c r="GP78" i="27"/>
  <c r="GP77" i="27"/>
  <c r="GP76" i="27"/>
  <c r="GP75" i="27"/>
  <c r="GP74" i="27"/>
  <c r="GP73" i="27"/>
  <c r="GP72" i="27"/>
  <c r="GP71" i="27"/>
  <c r="GP70" i="27"/>
  <c r="GP69" i="27"/>
  <c r="GP68" i="27"/>
  <c r="GP66" i="27"/>
  <c r="GP64" i="27"/>
  <c r="GP42" i="27"/>
  <c r="GP31" i="27"/>
  <c r="GP30" i="27"/>
  <c r="GP27" i="27"/>
  <c r="GP18" i="27"/>
  <c r="GP16" i="27"/>
  <c r="GP12" i="27"/>
  <c r="GP62" i="27"/>
  <c r="GP61" i="27"/>
  <c r="GP60" i="27"/>
  <c r="GP59" i="27"/>
  <c r="GP58" i="27"/>
  <c r="GP57" i="27"/>
  <c r="GP56" i="27"/>
  <c r="GP55" i="27"/>
  <c r="GP54" i="27"/>
  <c r="GP53" i="27"/>
  <c r="GP52" i="27"/>
  <c r="GP51" i="27"/>
  <c r="GP50" i="27"/>
  <c r="GP49" i="27"/>
  <c r="GP48" i="27"/>
  <c r="GP47" i="27"/>
  <c r="GP46" i="27"/>
  <c r="GP45" i="27"/>
  <c r="GP36" i="27"/>
  <c r="FH61" i="27"/>
  <c r="GQ11" i="27"/>
  <c r="GQ10" i="27"/>
  <c r="GR9" i="27"/>
  <c r="M101" i="108"/>
  <c r="M105" i="108"/>
  <c r="M98" i="108"/>
  <c r="L102" i="108"/>
  <c r="M104" i="108"/>
  <c r="L100" i="108"/>
  <c r="L99" i="108"/>
  <c r="M100" i="108"/>
  <c r="L104" i="108"/>
  <c r="L101" i="108"/>
  <c r="L110" i="108"/>
  <c r="L122" i="108"/>
  <c r="L121" i="108"/>
  <c r="L126" i="108"/>
  <c r="L116" i="108"/>
  <c r="L131" i="108"/>
  <c r="L132" i="108"/>
  <c r="L118" i="108"/>
  <c r="L142" i="108"/>
  <c r="L136" i="108"/>
  <c r="L137" i="108"/>
  <c r="L144" i="108"/>
  <c r="L128" i="108"/>
  <c r="L141" i="108"/>
  <c r="L143" i="108"/>
  <c r="L129" i="108"/>
  <c r="L120" i="108"/>
  <c r="L140" i="108"/>
  <c r="L134" i="108"/>
  <c r="L111" i="108"/>
  <c r="L112" i="108"/>
  <c r="FH54" i="27"/>
  <c r="FH57" i="27"/>
  <c r="FH60" i="27"/>
  <c r="FH58" i="27"/>
  <c r="FH51" i="27"/>
  <c r="FH52" i="27"/>
  <c r="FH53" i="27"/>
  <c r="FH55" i="27"/>
  <c r="FH59" i="27"/>
  <c r="FH50" i="27"/>
  <c r="FH56" i="27"/>
  <c r="L114" i="108"/>
  <c r="L145" i="108"/>
  <c r="L113" i="108"/>
  <c r="EZ55" i="27"/>
  <c r="N97" i="108"/>
  <c r="N105" i="108"/>
  <c r="O102" i="108"/>
  <c r="O150" i="108"/>
  <c r="N103" i="108"/>
  <c r="O152" i="108"/>
  <c r="O151" i="108"/>
  <c r="L107" i="108"/>
  <c r="N104" i="108"/>
  <c r="M108" i="108"/>
  <c r="N107" i="108"/>
  <c r="L135" i="108"/>
  <c r="M107" i="108"/>
  <c r="O101" i="108"/>
  <c r="O109" i="108"/>
  <c r="O149" i="108"/>
  <c r="O157" i="108"/>
  <c r="O106" i="108"/>
  <c r="O154" i="108"/>
  <c r="O107" i="108"/>
  <c r="O148" i="108"/>
  <c r="O159" i="108"/>
  <c r="M97" i="108"/>
  <c r="L97" i="108"/>
  <c r="L124" i="108"/>
  <c r="M103" i="108"/>
  <c r="L127" i="108"/>
  <c r="L115" i="108"/>
  <c r="N101" i="108"/>
  <c r="N109" i="108"/>
  <c r="O158" i="108"/>
  <c r="N102" i="108"/>
  <c r="N98" i="108"/>
  <c r="O156" i="108"/>
  <c r="O108" i="108"/>
  <c r="L133" i="108"/>
  <c r="N108" i="108"/>
  <c r="L109" i="108"/>
  <c r="L130" i="108"/>
  <c r="L119" i="108"/>
  <c r="L146" i="108"/>
  <c r="L139" i="108"/>
  <c r="L108" i="108"/>
  <c r="L138" i="108"/>
  <c r="O97" i="108"/>
  <c r="O105" i="108"/>
  <c r="O153" i="108"/>
  <c r="O98" i="108"/>
  <c r="O100" i="108"/>
  <c r="N106" i="108"/>
  <c r="O103" i="108"/>
  <c r="O147" i="108"/>
  <c r="O104" i="108"/>
  <c r="N100" i="108"/>
  <c r="M102" i="108"/>
  <c r="L123" i="108"/>
  <c r="L117" i="108"/>
  <c r="O155" i="108"/>
  <c r="N99" i="108"/>
  <c r="M109" i="108"/>
  <c r="O99" i="108"/>
  <c r="M106" i="108"/>
  <c r="M99" i="108"/>
  <c r="EZ59" i="27"/>
  <c r="AC104" i="145" s="1"/>
  <c r="AD104" i="145" s="1"/>
  <c r="EZ52" i="27"/>
  <c r="AC97" i="145" s="1"/>
  <c r="AD97" i="145" s="1"/>
  <c r="EZ53" i="27"/>
  <c r="AC98" i="145" s="1"/>
  <c r="AD98" i="145" s="1"/>
  <c r="EZ57" i="27"/>
  <c r="AC102" i="145" s="1"/>
  <c r="AD102" i="145" s="1"/>
  <c r="EZ51" i="27"/>
  <c r="AC96" i="145" s="1"/>
  <c r="AD96" i="145" s="1"/>
  <c r="EZ60" i="27"/>
  <c r="AC105" i="145" s="1"/>
  <c r="EZ61" i="27"/>
  <c r="AC106" i="145" s="1"/>
  <c r="FB52" i="27"/>
  <c r="AF97" i="145" s="1"/>
  <c r="FC52" i="27"/>
  <c r="FF52" i="27" s="1"/>
  <c r="FC58" i="27"/>
  <c r="FF58" i="27" s="1"/>
  <c r="FB58" i="27"/>
  <c r="AF103" i="145" s="1"/>
  <c r="FC61" i="27"/>
  <c r="FF61" i="27" s="1"/>
  <c r="FB61" i="27"/>
  <c r="FC51" i="27"/>
  <c r="FF51" i="27" s="1"/>
  <c r="FB51" i="27"/>
  <c r="AF96" i="145" s="1"/>
  <c r="FB56" i="27"/>
  <c r="AF101" i="145" s="1"/>
  <c r="FC56" i="27"/>
  <c r="FF56" i="27" s="1"/>
  <c r="FB60" i="27"/>
  <c r="FC60" i="27"/>
  <c r="FF60" i="27" s="1"/>
  <c r="FB50" i="27"/>
  <c r="AF95" i="145" s="1"/>
  <c r="FC50" i="27"/>
  <c r="FF50" i="27" s="1"/>
  <c r="FC54" i="27"/>
  <c r="FF54" i="27" s="1"/>
  <c r="FB54" i="27"/>
  <c r="AF99" i="145" s="1"/>
  <c r="FB55" i="27"/>
  <c r="AF100" i="145" s="1"/>
  <c r="FC55" i="27"/>
  <c r="FF55" i="27" s="1"/>
  <c r="EZ58" i="27"/>
  <c r="AC103" i="145" s="1"/>
  <c r="AD103" i="145" s="1"/>
  <c r="EZ50" i="27"/>
  <c r="AC95" i="145" s="1"/>
  <c r="AD95" i="145" s="1"/>
  <c r="FC59" i="27"/>
  <c r="FF59" i="27" s="1"/>
  <c r="FB59" i="27"/>
  <c r="AF104" i="145" s="1"/>
  <c r="EZ56" i="27"/>
  <c r="AC101" i="145" s="1"/>
  <c r="AD101" i="145" s="1"/>
  <c r="FC57" i="27"/>
  <c r="FF57" i="27" s="1"/>
  <c r="FB57" i="27"/>
  <c r="AF102" i="145" s="1"/>
  <c r="FC53" i="27"/>
  <c r="FF53" i="27" s="1"/>
  <c r="FB53" i="27"/>
  <c r="AF98" i="145" s="1"/>
  <c r="EZ54" i="27"/>
  <c r="AC99" i="145" s="1"/>
  <c r="AD99" i="145" s="1"/>
  <c r="GQ221" i="27" l="1"/>
  <c r="GQ220" i="27"/>
  <c r="GQ219" i="27"/>
  <c r="GQ218" i="27"/>
  <c r="GQ217" i="27"/>
  <c r="GQ216" i="27"/>
  <c r="GQ215" i="27"/>
  <c r="GQ214" i="27"/>
  <c r="GQ213" i="27"/>
  <c r="GQ212" i="27"/>
  <c r="GQ211" i="27"/>
  <c r="GQ210" i="27"/>
  <c r="GQ209" i="27"/>
  <c r="GQ208" i="27"/>
  <c r="GQ207" i="27"/>
  <c r="GQ206" i="27"/>
  <c r="GQ205" i="27"/>
  <c r="GQ204" i="27"/>
  <c r="GQ187" i="27"/>
  <c r="GQ36" i="27"/>
  <c r="GQ35" i="27"/>
  <c r="GQ203" i="27"/>
  <c r="GQ202" i="27"/>
  <c r="GQ201" i="27"/>
  <c r="GQ200" i="27"/>
  <c r="GQ199" i="27"/>
  <c r="GQ198" i="27"/>
  <c r="GQ197" i="27"/>
  <c r="GQ196" i="27"/>
  <c r="GQ195" i="27"/>
  <c r="GQ194" i="27"/>
  <c r="GQ193" i="27"/>
  <c r="GQ192" i="27"/>
  <c r="GQ191" i="27"/>
  <c r="GQ190" i="27"/>
  <c r="GQ189" i="27"/>
  <c r="GQ188" i="27"/>
  <c r="GQ42" i="27"/>
  <c r="GQ41" i="27"/>
  <c r="GQ28" i="27"/>
  <c r="GQ19" i="27"/>
  <c r="GQ18" i="27"/>
  <c r="GQ12" i="27"/>
  <c r="GQ186" i="27"/>
  <c r="GQ185" i="27"/>
  <c r="GQ184" i="27"/>
  <c r="GQ183" i="27"/>
  <c r="GQ182" i="27"/>
  <c r="GQ181" i="27"/>
  <c r="GQ180" i="27"/>
  <c r="GQ179" i="27"/>
  <c r="GQ178" i="27"/>
  <c r="GQ177" i="27"/>
  <c r="GQ176" i="27"/>
  <c r="GQ175" i="27"/>
  <c r="GQ174" i="27"/>
  <c r="GQ173" i="27"/>
  <c r="GQ172" i="27"/>
  <c r="GQ171" i="27"/>
  <c r="GQ170" i="27"/>
  <c r="GQ169" i="27"/>
  <c r="GQ43" i="27"/>
  <c r="GQ24" i="27"/>
  <c r="GQ168" i="27"/>
  <c r="GQ167" i="27"/>
  <c r="GQ166" i="27"/>
  <c r="GQ165" i="27"/>
  <c r="GQ164" i="27"/>
  <c r="GQ163" i="27"/>
  <c r="GQ162" i="27"/>
  <c r="GQ161" i="27"/>
  <c r="GQ160" i="27"/>
  <c r="GQ159" i="27"/>
  <c r="GQ158" i="27"/>
  <c r="GQ157" i="27"/>
  <c r="GQ156" i="27"/>
  <c r="GQ155" i="27"/>
  <c r="GQ154" i="27"/>
  <c r="GQ153" i="27"/>
  <c r="GQ152" i="27"/>
  <c r="GQ151" i="27"/>
  <c r="GQ135" i="27"/>
  <c r="GQ134" i="27"/>
  <c r="GQ116" i="27"/>
  <c r="GQ40" i="27"/>
  <c r="GQ39" i="27"/>
  <c r="GQ32" i="27"/>
  <c r="GQ29" i="27"/>
  <c r="GQ150" i="27"/>
  <c r="GQ149" i="27"/>
  <c r="GQ148" i="27"/>
  <c r="GQ147" i="27"/>
  <c r="GQ146" i="27"/>
  <c r="GQ145" i="27"/>
  <c r="GQ144" i="27"/>
  <c r="GQ143" i="27"/>
  <c r="GQ142" i="27"/>
  <c r="GQ141" i="27"/>
  <c r="GQ140" i="27"/>
  <c r="GQ139" i="27"/>
  <c r="GQ138" i="27"/>
  <c r="GQ137" i="27"/>
  <c r="GQ136" i="27"/>
  <c r="GQ27" i="27"/>
  <c r="GQ14" i="27"/>
  <c r="GQ133" i="27"/>
  <c r="GQ132" i="27"/>
  <c r="GQ131" i="27"/>
  <c r="GQ130" i="27"/>
  <c r="GQ129" i="27"/>
  <c r="GQ128" i="27"/>
  <c r="GQ127" i="27"/>
  <c r="GQ126" i="27"/>
  <c r="GQ125" i="27"/>
  <c r="GQ124" i="27"/>
  <c r="GQ123" i="27"/>
  <c r="GQ122" i="27"/>
  <c r="GQ121" i="27"/>
  <c r="GQ120" i="27"/>
  <c r="GQ119" i="27"/>
  <c r="GQ118" i="27"/>
  <c r="GQ117" i="27"/>
  <c r="GQ38" i="27"/>
  <c r="GQ33" i="27"/>
  <c r="GQ25" i="27"/>
  <c r="GQ23" i="27"/>
  <c r="GQ20" i="27"/>
  <c r="GQ16" i="27"/>
  <c r="GQ15" i="27"/>
  <c r="GQ115" i="27"/>
  <c r="GQ114" i="27"/>
  <c r="GQ113" i="27"/>
  <c r="GQ112" i="27"/>
  <c r="GQ111" i="27"/>
  <c r="GQ110" i="27"/>
  <c r="GQ109" i="27"/>
  <c r="GQ108" i="27"/>
  <c r="GQ107" i="27"/>
  <c r="GQ106" i="27"/>
  <c r="GQ105" i="27"/>
  <c r="GQ104" i="27"/>
  <c r="GQ103" i="27"/>
  <c r="GQ102" i="27"/>
  <c r="GQ101" i="27"/>
  <c r="GQ100" i="27"/>
  <c r="GQ99" i="27"/>
  <c r="GQ22" i="27"/>
  <c r="GQ21" i="27"/>
  <c r="GQ98" i="27"/>
  <c r="GQ97" i="27"/>
  <c r="GQ96" i="27"/>
  <c r="GQ95" i="27"/>
  <c r="GQ94" i="27"/>
  <c r="GQ93" i="27"/>
  <c r="GQ92" i="27"/>
  <c r="GQ91" i="27"/>
  <c r="GQ90" i="27"/>
  <c r="GQ89" i="27"/>
  <c r="GQ88" i="27"/>
  <c r="GQ87" i="27"/>
  <c r="GQ86" i="27"/>
  <c r="GQ85" i="27"/>
  <c r="GQ84" i="27"/>
  <c r="GQ83" i="27"/>
  <c r="GQ82" i="27"/>
  <c r="GQ81" i="27"/>
  <c r="GQ66" i="27"/>
  <c r="GQ64" i="27"/>
  <c r="GQ80" i="27"/>
  <c r="GQ79" i="27"/>
  <c r="GQ78" i="27"/>
  <c r="GQ77" i="27"/>
  <c r="GQ76" i="27"/>
  <c r="GQ75" i="27"/>
  <c r="GQ74" i="27"/>
  <c r="GQ73" i="27"/>
  <c r="GQ72" i="27"/>
  <c r="GQ71" i="27"/>
  <c r="GQ70" i="27"/>
  <c r="GQ69" i="27"/>
  <c r="GQ68" i="27"/>
  <c r="GQ67" i="27"/>
  <c r="GQ65" i="27"/>
  <c r="GQ63" i="27"/>
  <c r="GQ34" i="27"/>
  <c r="GQ13" i="27"/>
  <c r="GQ62" i="27"/>
  <c r="GQ61" i="27"/>
  <c r="GQ60" i="27"/>
  <c r="GQ59" i="27"/>
  <c r="GQ58" i="27"/>
  <c r="GQ57" i="27"/>
  <c r="GQ56" i="27"/>
  <c r="GQ55" i="27"/>
  <c r="GQ54" i="27"/>
  <c r="GQ53" i="27"/>
  <c r="GQ52" i="27"/>
  <c r="GQ51" i="27"/>
  <c r="GQ50" i="27"/>
  <c r="GQ49" i="27"/>
  <c r="GQ48" i="27"/>
  <c r="GQ47" i="27"/>
  <c r="GQ46" i="27"/>
  <c r="GQ45" i="27"/>
  <c r="GQ44" i="27"/>
  <c r="GQ37" i="27"/>
  <c r="GQ31" i="27"/>
  <c r="GQ30" i="27"/>
  <c r="GQ26" i="27"/>
  <c r="GQ17" i="27"/>
  <c r="FI61" i="27"/>
  <c r="FI58" i="27"/>
  <c r="AC100" i="145"/>
  <c r="AD100" i="145" s="1"/>
  <c r="GP7" i="27"/>
  <c r="GS9" i="27"/>
  <c r="GR10" i="27"/>
  <c r="GR11" i="27"/>
  <c r="C105" i="108"/>
  <c r="C152" i="108"/>
  <c r="C153" i="108"/>
  <c r="FE56" i="27"/>
  <c r="FE60" i="27"/>
  <c r="FE59" i="27"/>
  <c r="FE51" i="27"/>
  <c r="FE58" i="27"/>
  <c r="FE57" i="27"/>
  <c r="FE55" i="27"/>
  <c r="FE50" i="27"/>
  <c r="FE52" i="27"/>
  <c r="FE53" i="27"/>
  <c r="FE61" i="27"/>
  <c r="FE54" i="27"/>
  <c r="FD51" i="27"/>
  <c r="FD53" i="27"/>
  <c r="FD55" i="27"/>
  <c r="C149" i="108"/>
  <c r="FA55" i="27"/>
  <c r="AE100" i="145" s="1"/>
  <c r="C98" i="108"/>
  <c r="C159" i="108"/>
  <c r="C154" i="108"/>
  <c r="C106" i="108"/>
  <c r="C107" i="108"/>
  <c r="C104" i="108"/>
  <c r="C97" i="108"/>
  <c r="C109" i="108"/>
  <c r="C100" i="108"/>
  <c r="C108" i="108"/>
  <c r="C101" i="108"/>
  <c r="C148" i="108"/>
  <c r="C156" i="108"/>
  <c r="C155" i="108"/>
  <c r="C103" i="108"/>
  <c r="C147" i="108"/>
  <c r="C99" i="108"/>
  <c r="C157" i="108"/>
  <c r="FA59" i="27"/>
  <c r="AE104" i="145" s="1"/>
  <c r="FD59" i="27"/>
  <c r="FD52" i="27"/>
  <c r="C158" i="108"/>
  <c r="C102" i="108"/>
  <c r="C151" i="108"/>
  <c r="C150" i="108"/>
  <c r="FA53" i="27"/>
  <c r="AE98" i="145" s="1"/>
  <c r="FD60" i="27"/>
  <c r="FD54" i="27"/>
  <c r="FA52" i="27"/>
  <c r="AE97" i="145" s="1"/>
  <c r="FD56" i="27"/>
  <c r="FA57" i="27"/>
  <c r="AE102" i="145" s="1"/>
  <c r="FD57" i="27"/>
  <c r="FA56" i="27"/>
  <c r="AE101" i="145" s="1"/>
  <c r="FD50" i="27"/>
  <c r="FA61" i="27"/>
  <c r="FA60" i="27"/>
  <c r="FA51" i="27"/>
  <c r="AE96" i="145" s="1"/>
  <c r="FA58" i="27"/>
  <c r="AE103" i="145" s="1"/>
  <c r="FD61" i="27"/>
  <c r="FD58" i="27"/>
  <c r="FA54" i="27"/>
  <c r="AE99" i="145" s="1"/>
  <c r="FA50" i="27"/>
  <c r="AE95" i="145" s="1"/>
  <c r="GR221" i="27" l="1"/>
  <c r="GR220" i="27"/>
  <c r="GR219" i="27"/>
  <c r="GR218" i="27"/>
  <c r="GR217" i="27"/>
  <c r="GR216" i="27"/>
  <c r="GR215" i="27"/>
  <c r="GR214" i="27"/>
  <c r="GR213" i="27"/>
  <c r="GR212" i="27"/>
  <c r="GR211" i="27"/>
  <c r="GR210" i="27"/>
  <c r="GR209" i="27"/>
  <c r="GR208" i="27"/>
  <c r="GR207" i="27"/>
  <c r="GR206" i="27"/>
  <c r="GR205" i="27"/>
  <c r="GR204" i="27"/>
  <c r="GR188" i="27"/>
  <c r="GR203" i="27"/>
  <c r="GR202" i="27"/>
  <c r="GR201" i="27"/>
  <c r="GR200" i="27"/>
  <c r="GR199" i="27"/>
  <c r="GR198" i="27"/>
  <c r="GR197" i="27"/>
  <c r="GR196" i="27"/>
  <c r="GR195" i="27"/>
  <c r="GR194" i="27"/>
  <c r="GR193" i="27"/>
  <c r="GR192" i="27"/>
  <c r="GR191" i="27"/>
  <c r="GR190" i="27"/>
  <c r="GR189" i="27"/>
  <c r="GR187" i="27"/>
  <c r="GR37" i="27"/>
  <c r="GR34" i="27"/>
  <c r="GR31" i="27"/>
  <c r="GR24" i="27"/>
  <c r="GR21" i="27"/>
  <c r="GR186" i="27"/>
  <c r="GR185" i="27"/>
  <c r="GR184" i="27"/>
  <c r="GR183" i="27"/>
  <c r="GR182" i="27"/>
  <c r="GR181" i="27"/>
  <c r="GR180" i="27"/>
  <c r="GR179" i="27"/>
  <c r="GR178" i="27"/>
  <c r="GR177" i="27"/>
  <c r="GR176" i="27"/>
  <c r="GR175" i="27"/>
  <c r="GR174" i="27"/>
  <c r="GR173" i="27"/>
  <c r="GR172" i="27"/>
  <c r="GR171" i="27"/>
  <c r="GR170" i="27"/>
  <c r="GR169" i="27"/>
  <c r="GR35" i="27"/>
  <c r="GR25" i="27"/>
  <c r="GR19" i="27"/>
  <c r="GR18" i="27"/>
  <c r="GR12" i="27"/>
  <c r="GR168" i="27"/>
  <c r="GR167" i="27"/>
  <c r="GR166" i="27"/>
  <c r="GR165" i="27"/>
  <c r="GR164" i="27"/>
  <c r="GR163" i="27"/>
  <c r="GR162" i="27"/>
  <c r="GR161" i="27"/>
  <c r="GR160" i="27"/>
  <c r="GR159" i="27"/>
  <c r="GR158" i="27"/>
  <c r="GR157" i="27"/>
  <c r="GR156" i="27"/>
  <c r="GR155" i="27"/>
  <c r="GR154" i="27"/>
  <c r="GR153" i="27"/>
  <c r="GR152" i="27"/>
  <c r="GR151" i="27"/>
  <c r="GR117" i="27"/>
  <c r="GR30" i="27"/>
  <c r="GR26" i="27"/>
  <c r="GR23" i="27"/>
  <c r="GR13" i="27"/>
  <c r="GR150" i="27"/>
  <c r="GR149" i="27"/>
  <c r="GR148" i="27"/>
  <c r="GR147" i="27"/>
  <c r="GR146" i="27"/>
  <c r="GR145" i="27"/>
  <c r="GR144" i="27"/>
  <c r="GR143" i="27"/>
  <c r="GR142" i="27"/>
  <c r="GR141" i="27"/>
  <c r="GR140" i="27"/>
  <c r="GR139" i="27"/>
  <c r="GR138" i="27"/>
  <c r="GR137" i="27"/>
  <c r="GR136" i="27"/>
  <c r="GR135" i="27"/>
  <c r="GR134" i="27"/>
  <c r="GR44" i="27"/>
  <c r="GR38" i="27"/>
  <c r="GR36" i="27"/>
  <c r="GR28" i="27"/>
  <c r="GR15" i="27"/>
  <c r="GR133" i="27"/>
  <c r="GR132" i="27"/>
  <c r="GR131" i="27"/>
  <c r="GR130" i="27"/>
  <c r="GR129" i="27"/>
  <c r="GR128" i="27"/>
  <c r="GR127" i="27"/>
  <c r="GR126" i="27"/>
  <c r="GR125" i="27"/>
  <c r="GR124" i="27"/>
  <c r="GR123" i="27"/>
  <c r="GR122" i="27"/>
  <c r="GR121" i="27"/>
  <c r="GR120" i="27"/>
  <c r="GR119" i="27"/>
  <c r="GR118" i="27"/>
  <c r="GR116" i="27"/>
  <c r="GR41" i="27"/>
  <c r="GR22" i="27"/>
  <c r="GR115" i="27"/>
  <c r="GR114" i="27"/>
  <c r="GR113" i="27"/>
  <c r="GR112" i="27"/>
  <c r="GR111" i="27"/>
  <c r="GR110" i="27"/>
  <c r="GR109" i="27"/>
  <c r="GR108" i="27"/>
  <c r="GR107" i="27"/>
  <c r="GR106" i="27"/>
  <c r="GR105" i="27"/>
  <c r="GR104" i="27"/>
  <c r="GR103" i="27"/>
  <c r="GR102" i="27"/>
  <c r="GR101" i="27"/>
  <c r="GR100" i="27"/>
  <c r="GR99" i="27"/>
  <c r="GR64" i="27"/>
  <c r="GR63" i="27"/>
  <c r="GR20" i="27"/>
  <c r="GR16" i="27"/>
  <c r="GR98" i="27"/>
  <c r="GR97" i="27"/>
  <c r="GR96" i="27"/>
  <c r="GR95" i="27"/>
  <c r="GR94" i="27"/>
  <c r="GR93" i="27"/>
  <c r="GR92" i="27"/>
  <c r="GR91" i="27"/>
  <c r="GR90" i="27"/>
  <c r="GR89" i="27"/>
  <c r="GR88" i="27"/>
  <c r="GR87" i="27"/>
  <c r="GR86" i="27"/>
  <c r="GR85" i="27"/>
  <c r="GR84" i="27"/>
  <c r="GR83" i="27"/>
  <c r="GR82" i="27"/>
  <c r="GR81" i="27"/>
  <c r="GR67" i="27"/>
  <c r="GR65" i="27"/>
  <c r="GR42" i="27"/>
  <c r="GR39" i="27"/>
  <c r="GR29" i="27"/>
  <c r="GR80" i="27"/>
  <c r="GR79" i="27"/>
  <c r="GR78" i="27"/>
  <c r="GR77" i="27"/>
  <c r="GR76" i="27"/>
  <c r="GR75" i="27"/>
  <c r="GR74" i="27"/>
  <c r="GR73" i="27"/>
  <c r="GR72" i="27"/>
  <c r="GR71" i="27"/>
  <c r="GR70" i="27"/>
  <c r="GR69" i="27"/>
  <c r="GR68" i="27"/>
  <c r="GR66" i="27"/>
  <c r="GR43" i="27"/>
  <c r="GR33" i="27"/>
  <c r="GR17" i="27"/>
  <c r="GR62" i="27"/>
  <c r="GR61" i="27"/>
  <c r="GR60" i="27"/>
  <c r="GR59" i="27"/>
  <c r="GR58" i="27"/>
  <c r="GR57" i="27"/>
  <c r="GR56" i="27"/>
  <c r="GR55" i="27"/>
  <c r="GR54" i="27"/>
  <c r="GR53" i="27"/>
  <c r="GR52" i="27"/>
  <c r="GR51" i="27"/>
  <c r="GR50" i="27"/>
  <c r="GR49" i="27"/>
  <c r="GR48" i="27"/>
  <c r="GR47" i="27"/>
  <c r="GR46" i="27"/>
  <c r="GR45" i="27"/>
  <c r="GR40" i="27"/>
  <c r="GR32" i="27"/>
  <c r="GR27" i="27"/>
  <c r="GR14" i="27"/>
  <c r="FJ61" i="27"/>
  <c r="FK61" i="27" s="1"/>
  <c r="FJ58" i="27"/>
  <c r="FK58" i="27" s="1"/>
  <c r="GQ7" i="27"/>
  <c r="GT9" i="27"/>
  <c r="GS11" i="27"/>
  <c r="GS10" i="27"/>
  <c r="M16" i="108"/>
  <c r="J16" i="108"/>
  <c r="G16" i="108"/>
  <c r="D16" i="108"/>
  <c r="P16" i="108" s="1"/>
  <c r="M15" i="108"/>
  <c r="J15" i="108"/>
  <c r="G15" i="108"/>
  <c r="D15" i="108"/>
  <c r="P15" i="108" s="1"/>
  <c r="M14" i="108"/>
  <c r="J14" i="108"/>
  <c r="G14" i="108"/>
  <c r="D14" i="108"/>
  <c r="P14" i="108" s="1"/>
  <c r="GS221" i="27" l="1"/>
  <c r="GS220" i="27"/>
  <c r="GS219" i="27"/>
  <c r="GS218" i="27"/>
  <c r="GS217" i="27"/>
  <c r="GS216" i="27"/>
  <c r="GS215" i="27"/>
  <c r="GS214" i="27"/>
  <c r="GS213" i="27"/>
  <c r="GS212" i="27"/>
  <c r="GS211" i="27"/>
  <c r="GS210" i="27"/>
  <c r="GS209" i="27"/>
  <c r="GS208" i="27"/>
  <c r="GS207" i="27"/>
  <c r="GS206" i="27"/>
  <c r="GS205" i="27"/>
  <c r="GS204" i="27"/>
  <c r="GS187" i="27"/>
  <c r="GS22" i="27"/>
  <c r="GS20" i="27"/>
  <c r="GS14" i="27"/>
  <c r="GS203" i="27"/>
  <c r="GS202" i="27"/>
  <c r="GS201" i="27"/>
  <c r="GS200" i="27"/>
  <c r="GS199" i="27"/>
  <c r="GS198" i="27"/>
  <c r="GS197" i="27"/>
  <c r="GS196" i="27"/>
  <c r="GS195" i="27"/>
  <c r="GS194" i="27"/>
  <c r="GS193" i="27"/>
  <c r="GS192" i="27"/>
  <c r="GS191" i="27"/>
  <c r="GS190" i="27"/>
  <c r="GS189" i="27"/>
  <c r="GS188" i="27"/>
  <c r="GS26" i="27"/>
  <c r="GS13" i="27"/>
  <c r="GS186" i="27"/>
  <c r="GS185" i="27"/>
  <c r="GS184" i="27"/>
  <c r="GS183" i="27"/>
  <c r="GS182" i="27"/>
  <c r="GS181" i="27"/>
  <c r="GS180" i="27"/>
  <c r="GS179" i="27"/>
  <c r="GS178" i="27"/>
  <c r="GS177" i="27"/>
  <c r="GS176" i="27"/>
  <c r="GS175" i="27"/>
  <c r="GS174" i="27"/>
  <c r="GS173" i="27"/>
  <c r="GS172" i="27"/>
  <c r="GS171" i="27"/>
  <c r="GS170" i="27"/>
  <c r="GS169" i="27"/>
  <c r="GS42" i="27"/>
  <c r="GS33" i="27"/>
  <c r="GS32" i="27"/>
  <c r="GS30" i="27"/>
  <c r="GS23" i="27"/>
  <c r="GS21" i="27"/>
  <c r="GS168" i="27"/>
  <c r="GS167" i="27"/>
  <c r="GS166" i="27"/>
  <c r="GS165" i="27"/>
  <c r="GS164" i="27"/>
  <c r="GS163" i="27"/>
  <c r="GS162" i="27"/>
  <c r="GS161" i="27"/>
  <c r="GS160" i="27"/>
  <c r="GS159" i="27"/>
  <c r="GS158" i="27"/>
  <c r="GS157" i="27"/>
  <c r="GS156" i="27"/>
  <c r="GS155" i="27"/>
  <c r="GS154" i="27"/>
  <c r="GS153" i="27"/>
  <c r="GS152" i="27"/>
  <c r="GS151" i="27"/>
  <c r="GS135" i="27"/>
  <c r="GS134" i="27"/>
  <c r="GS34" i="27"/>
  <c r="GS28" i="27"/>
  <c r="GS19" i="27"/>
  <c r="GS18" i="27"/>
  <c r="GS150" i="27"/>
  <c r="GS149" i="27"/>
  <c r="GS148" i="27"/>
  <c r="GS147" i="27"/>
  <c r="GS146" i="27"/>
  <c r="GS145" i="27"/>
  <c r="GS144" i="27"/>
  <c r="GS143" i="27"/>
  <c r="GS142" i="27"/>
  <c r="GS141" i="27"/>
  <c r="GS140" i="27"/>
  <c r="GS139" i="27"/>
  <c r="GS138" i="27"/>
  <c r="GS137" i="27"/>
  <c r="GS136" i="27"/>
  <c r="GS117" i="27"/>
  <c r="GS116" i="27"/>
  <c r="GS43" i="27"/>
  <c r="GS133" i="27"/>
  <c r="GS132" i="27"/>
  <c r="GS131" i="27"/>
  <c r="GS130" i="27"/>
  <c r="GS129" i="27"/>
  <c r="GS128" i="27"/>
  <c r="GS127" i="27"/>
  <c r="GS126" i="27"/>
  <c r="GS125" i="27"/>
  <c r="GS124" i="27"/>
  <c r="GS123" i="27"/>
  <c r="GS122" i="27"/>
  <c r="GS121" i="27"/>
  <c r="GS120" i="27"/>
  <c r="GS119" i="27"/>
  <c r="GS118" i="27"/>
  <c r="GS39" i="27"/>
  <c r="GS35" i="27"/>
  <c r="GS29" i="27"/>
  <c r="GS12" i="27"/>
  <c r="GS115" i="27"/>
  <c r="GS114" i="27"/>
  <c r="GS113" i="27"/>
  <c r="GS112" i="27"/>
  <c r="GS111" i="27"/>
  <c r="GS110" i="27"/>
  <c r="GS109" i="27"/>
  <c r="GS108" i="27"/>
  <c r="GS107" i="27"/>
  <c r="GS106" i="27"/>
  <c r="GS105" i="27"/>
  <c r="GS104" i="27"/>
  <c r="GS103" i="27"/>
  <c r="GS102" i="27"/>
  <c r="GS101" i="27"/>
  <c r="GS100" i="27"/>
  <c r="GS99" i="27"/>
  <c r="GS63" i="27"/>
  <c r="GS44" i="27"/>
  <c r="GS40" i="27"/>
  <c r="GS36" i="27"/>
  <c r="GS31" i="27"/>
  <c r="GS98" i="27"/>
  <c r="GS97" i="27"/>
  <c r="GS96" i="27"/>
  <c r="GS95" i="27"/>
  <c r="GS94" i="27"/>
  <c r="GS93" i="27"/>
  <c r="GS92" i="27"/>
  <c r="GS91" i="27"/>
  <c r="GS90" i="27"/>
  <c r="GS89" i="27"/>
  <c r="GS88" i="27"/>
  <c r="GS87" i="27"/>
  <c r="GS86" i="27"/>
  <c r="GS85" i="27"/>
  <c r="GS84" i="27"/>
  <c r="GS83" i="27"/>
  <c r="GS82" i="27"/>
  <c r="GS81" i="27"/>
  <c r="GS66" i="27"/>
  <c r="GS25" i="27"/>
  <c r="GS17" i="27"/>
  <c r="GS16" i="27"/>
  <c r="GS15" i="27"/>
  <c r="GS80" i="27"/>
  <c r="GS79" i="27"/>
  <c r="GS78" i="27"/>
  <c r="GS77" i="27"/>
  <c r="GS76" i="27"/>
  <c r="GS75" i="27"/>
  <c r="GS74" i="27"/>
  <c r="GS73" i="27"/>
  <c r="GS72" i="27"/>
  <c r="GS71" i="27"/>
  <c r="GS70" i="27"/>
  <c r="GS69" i="27"/>
  <c r="GS68" i="27"/>
  <c r="GS67" i="27"/>
  <c r="GS65" i="27"/>
  <c r="GS64" i="27"/>
  <c r="GS37" i="27"/>
  <c r="GS27" i="27"/>
  <c r="GS62" i="27"/>
  <c r="GS61" i="27"/>
  <c r="GS60" i="27"/>
  <c r="GS59" i="27"/>
  <c r="GS58" i="27"/>
  <c r="GS57" i="27"/>
  <c r="GS56" i="27"/>
  <c r="GS55" i="27"/>
  <c r="GS54" i="27"/>
  <c r="GS53" i="27"/>
  <c r="GS52" i="27"/>
  <c r="GS51" i="27"/>
  <c r="GS50" i="27"/>
  <c r="GS49" i="27"/>
  <c r="GS48" i="27"/>
  <c r="GS47" i="27"/>
  <c r="GS46" i="27"/>
  <c r="GS45" i="27"/>
  <c r="GS41" i="27"/>
  <c r="GS38" i="27"/>
  <c r="GS24" i="27"/>
  <c r="GR7" i="27"/>
  <c r="GT10" i="27"/>
  <c r="GU9" i="27"/>
  <c r="GT11" i="27"/>
  <c r="Q16" i="108"/>
  <c r="S16" i="108" s="1"/>
  <c r="Q15" i="108"/>
  <c r="S15" i="108" s="1"/>
  <c r="Q14" i="108"/>
  <c r="S14" i="108" s="1"/>
  <c r="GT221" i="27" l="1"/>
  <c r="GT220" i="27"/>
  <c r="GT219" i="27"/>
  <c r="GT218" i="27"/>
  <c r="GT217" i="27"/>
  <c r="GT216" i="27"/>
  <c r="GT215" i="27"/>
  <c r="GT214" i="27"/>
  <c r="GT213" i="27"/>
  <c r="GT212" i="27"/>
  <c r="GT211" i="27"/>
  <c r="GT210" i="27"/>
  <c r="GT209" i="27"/>
  <c r="GT208" i="27"/>
  <c r="GT207" i="27"/>
  <c r="GT206" i="27"/>
  <c r="GT205" i="27"/>
  <c r="GT204" i="27"/>
  <c r="GT188" i="27"/>
  <c r="GT39" i="27"/>
  <c r="GT13" i="27"/>
  <c r="GT203" i="27"/>
  <c r="GT202" i="27"/>
  <c r="GT201" i="27"/>
  <c r="GT200" i="27"/>
  <c r="GT199" i="27"/>
  <c r="GT198" i="27"/>
  <c r="GT197" i="27"/>
  <c r="GT196" i="27"/>
  <c r="GT195" i="27"/>
  <c r="GT194" i="27"/>
  <c r="GT193" i="27"/>
  <c r="GT192" i="27"/>
  <c r="GT191" i="27"/>
  <c r="GT190" i="27"/>
  <c r="GT189" i="27"/>
  <c r="GT187" i="27"/>
  <c r="GT30" i="27"/>
  <c r="GT27" i="27"/>
  <c r="GT186" i="27"/>
  <c r="GT185" i="27"/>
  <c r="GT184" i="27"/>
  <c r="GT183" i="27"/>
  <c r="GT182" i="27"/>
  <c r="GT181" i="27"/>
  <c r="GT180" i="27"/>
  <c r="GT179" i="27"/>
  <c r="GT178" i="27"/>
  <c r="GT177" i="27"/>
  <c r="GT176" i="27"/>
  <c r="GT175" i="27"/>
  <c r="GT174" i="27"/>
  <c r="GT173" i="27"/>
  <c r="GT172" i="27"/>
  <c r="GT171" i="27"/>
  <c r="GT170" i="27"/>
  <c r="GT169" i="27"/>
  <c r="GT36" i="27"/>
  <c r="GT16" i="27"/>
  <c r="GT168" i="27"/>
  <c r="GT167" i="27"/>
  <c r="GT166" i="27"/>
  <c r="GT165" i="27"/>
  <c r="GT164" i="27"/>
  <c r="GT163" i="27"/>
  <c r="GT162" i="27"/>
  <c r="GT161" i="27"/>
  <c r="GT160" i="27"/>
  <c r="GT159" i="27"/>
  <c r="GT158" i="27"/>
  <c r="GT157" i="27"/>
  <c r="GT156" i="27"/>
  <c r="GT155" i="27"/>
  <c r="GT154" i="27"/>
  <c r="GT153" i="27"/>
  <c r="GT152" i="27"/>
  <c r="GT151" i="27"/>
  <c r="GT116" i="27"/>
  <c r="GT22" i="27"/>
  <c r="GT17" i="27"/>
  <c r="GT150" i="27"/>
  <c r="GT149" i="27"/>
  <c r="GT148" i="27"/>
  <c r="GT147" i="27"/>
  <c r="GT146" i="27"/>
  <c r="GT145" i="27"/>
  <c r="GT144" i="27"/>
  <c r="GT143" i="27"/>
  <c r="GT142" i="27"/>
  <c r="GT141" i="27"/>
  <c r="GT140" i="27"/>
  <c r="GT139" i="27"/>
  <c r="GT138" i="27"/>
  <c r="GT137" i="27"/>
  <c r="GT136" i="27"/>
  <c r="GT135" i="27"/>
  <c r="GT134" i="27"/>
  <c r="GT42" i="27"/>
  <c r="GT41" i="27"/>
  <c r="GT40" i="27"/>
  <c r="GT37" i="27"/>
  <c r="GT33" i="27"/>
  <c r="GT31" i="27"/>
  <c r="GT24" i="27"/>
  <c r="GT14" i="27"/>
  <c r="GT133" i="27"/>
  <c r="GT132" i="27"/>
  <c r="GT131" i="27"/>
  <c r="GT130" i="27"/>
  <c r="GT129" i="27"/>
  <c r="GT128" i="27"/>
  <c r="GT127" i="27"/>
  <c r="GT126" i="27"/>
  <c r="GT125" i="27"/>
  <c r="GT124" i="27"/>
  <c r="GT123" i="27"/>
  <c r="GT122" i="27"/>
  <c r="GT121" i="27"/>
  <c r="GT120" i="27"/>
  <c r="GT119" i="27"/>
  <c r="GT118" i="27"/>
  <c r="GT117" i="27"/>
  <c r="GT34" i="27"/>
  <c r="GT23" i="27"/>
  <c r="GT18" i="27"/>
  <c r="GT115" i="27"/>
  <c r="GT114" i="27"/>
  <c r="GT113" i="27"/>
  <c r="GT112" i="27"/>
  <c r="GT111" i="27"/>
  <c r="GT110" i="27"/>
  <c r="GT109" i="27"/>
  <c r="GT108" i="27"/>
  <c r="GT107" i="27"/>
  <c r="GT106" i="27"/>
  <c r="GT105" i="27"/>
  <c r="GT104" i="27"/>
  <c r="GT103" i="27"/>
  <c r="GT102" i="27"/>
  <c r="GT101" i="27"/>
  <c r="GT100" i="27"/>
  <c r="GT99" i="27"/>
  <c r="GT98" i="27"/>
  <c r="GT32" i="27"/>
  <c r="GT19" i="27"/>
  <c r="GT12" i="27"/>
  <c r="GT97" i="27"/>
  <c r="GT96" i="27"/>
  <c r="GT95" i="27"/>
  <c r="GT94" i="27"/>
  <c r="GT93" i="27"/>
  <c r="GT92" i="27"/>
  <c r="GT91" i="27"/>
  <c r="GT90" i="27"/>
  <c r="GT89" i="27"/>
  <c r="GT88" i="27"/>
  <c r="GT87" i="27"/>
  <c r="GT86" i="27"/>
  <c r="GT85" i="27"/>
  <c r="GT84" i="27"/>
  <c r="GT83" i="27"/>
  <c r="GT82" i="27"/>
  <c r="GT81" i="27"/>
  <c r="GT67" i="27"/>
  <c r="GT65" i="27"/>
  <c r="GT64" i="27"/>
  <c r="GT38" i="27"/>
  <c r="GT35" i="27"/>
  <c r="GT26" i="27"/>
  <c r="GT80" i="27"/>
  <c r="GT79" i="27"/>
  <c r="GT78" i="27"/>
  <c r="GT77" i="27"/>
  <c r="GT76" i="27"/>
  <c r="GT75" i="27"/>
  <c r="GT74" i="27"/>
  <c r="GT73" i="27"/>
  <c r="GT72" i="27"/>
  <c r="GT71" i="27"/>
  <c r="GT70" i="27"/>
  <c r="GT69" i="27"/>
  <c r="GT68" i="27"/>
  <c r="GT66" i="27"/>
  <c r="GT63" i="27"/>
  <c r="GT44" i="27"/>
  <c r="GT20" i="27"/>
  <c r="GT62" i="27"/>
  <c r="GT61" i="27"/>
  <c r="GT60" i="27"/>
  <c r="GT59" i="27"/>
  <c r="GT58" i="27"/>
  <c r="GT57" i="27"/>
  <c r="GT56" i="27"/>
  <c r="GT55" i="27"/>
  <c r="GT54" i="27"/>
  <c r="GT53" i="27"/>
  <c r="GT52" i="27"/>
  <c r="GT51" i="27"/>
  <c r="GT50" i="27"/>
  <c r="GT49" i="27"/>
  <c r="GT48" i="27"/>
  <c r="GT47" i="27"/>
  <c r="GT46" i="27"/>
  <c r="GT45" i="27"/>
  <c r="GT43" i="27"/>
  <c r="GT29" i="27"/>
  <c r="GT28" i="27"/>
  <c r="GT25" i="27"/>
  <c r="GT21" i="27"/>
  <c r="GT15" i="27"/>
  <c r="GS7" i="27"/>
  <c r="GU10" i="27"/>
  <c r="GV9" i="27"/>
  <c r="GU11" i="27"/>
  <c r="T15" i="108"/>
  <c r="T16" i="108"/>
  <c r="GU221" i="27" l="1"/>
  <c r="GU220" i="27"/>
  <c r="GU219" i="27"/>
  <c r="GU218" i="27"/>
  <c r="GU217" i="27"/>
  <c r="GU216" i="27"/>
  <c r="GU215" i="27"/>
  <c r="GU214" i="27"/>
  <c r="GU213" i="27"/>
  <c r="GU212" i="27"/>
  <c r="GU211" i="27"/>
  <c r="GU210" i="27"/>
  <c r="GU209" i="27"/>
  <c r="GU208" i="27"/>
  <c r="GU207" i="27"/>
  <c r="GU206" i="27"/>
  <c r="GU205" i="27"/>
  <c r="GU204" i="27"/>
  <c r="GU187" i="27"/>
  <c r="GU40" i="27"/>
  <c r="GU38" i="27"/>
  <c r="GU203" i="27"/>
  <c r="GU202" i="27"/>
  <c r="GU201" i="27"/>
  <c r="GU200" i="27"/>
  <c r="GU199" i="27"/>
  <c r="GU198" i="27"/>
  <c r="GU197" i="27"/>
  <c r="GU196" i="27"/>
  <c r="GU195" i="27"/>
  <c r="GU194" i="27"/>
  <c r="GU193" i="27"/>
  <c r="GU192" i="27"/>
  <c r="GU191" i="27"/>
  <c r="GU190" i="27"/>
  <c r="GU189" i="27"/>
  <c r="GU188" i="27"/>
  <c r="GU29" i="27"/>
  <c r="GU28" i="27"/>
  <c r="GU20" i="27"/>
  <c r="GU186" i="27"/>
  <c r="GU185" i="27"/>
  <c r="GU184" i="27"/>
  <c r="GU183" i="27"/>
  <c r="GU182" i="27"/>
  <c r="GU181" i="27"/>
  <c r="GU180" i="27"/>
  <c r="GU179" i="27"/>
  <c r="GU178" i="27"/>
  <c r="GU177" i="27"/>
  <c r="GU176" i="27"/>
  <c r="GU175" i="27"/>
  <c r="GU174" i="27"/>
  <c r="GU173" i="27"/>
  <c r="GU172" i="27"/>
  <c r="GU171" i="27"/>
  <c r="GU170" i="27"/>
  <c r="GU169" i="27"/>
  <c r="GU37" i="27"/>
  <c r="GU168" i="27"/>
  <c r="GU167" i="27"/>
  <c r="GU166" i="27"/>
  <c r="GU165" i="27"/>
  <c r="GU164" i="27"/>
  <c r="GU163" i="27"/>
  <c r="GU162" i="27"/>
  <c r="GU161" i="27"/>
  <c r="GU160" i="27"/>
  <c r="GU159" i="27"/>
  <c r="GU158" i="27"/>
  <c r="GU157" i="27"/>
  <c r="GU156" i="27"/>
  <c r="GU155" i="27"/>
  <c r="GU154" i="27"/>
  <c r="GU153" i="27"/>
  <c r="GU152" i="27"/>
  <c r="GU151" i="27"/>
  <c r="GU135" i="27"/>
  <c r="GU134" i="27"/>
  <c r="GU117" i="27"/>
  <c r="GU43" i="27"/>
  <c r="GU35" i="27"/>
  <c r="GU31" i="27"/>
  <c r="GU25" i="27"/>
  <c r="GU14" i="27"/>
  <c r="GU150" i="27"/>
  <c r="GU149" i="27"/>
  <c r="GU148" i="27"/>
  <c r="GU147" i="27"/>
  <c r="GU146" i="27"/>
  <c r="GU145" i="27"/>
  <c r="GU144" i="27"/>
  <c r="GU143" i="27"/>
  <c r="GU142" i="27"/>
  <c r="GU141" i="27"/>
  <c r="GU140" i="27"/>
  <c r="GU139" i="27"/>
  <c r="GU138" i="27"/>
  <c r="GU137" i="27"/>
  <c r="GU136" i="27"/>
  <c r="GU44" i="27"/>
  <c r="GU34" i="27"/>
  <c r="GU22" i="27"/>
  <c r="GU18" i="27"/>
  <c r="GU133" i="27"/>
  <c r="GU132" i="27"/>
  <c r="GU131" i="27"/>
  <c r="GU130" i="27"/>
  <c r="GU129" i="27"/>
  <c r="GU128" i="27"/>
  <c r="GU127" i="27"/>
  <c r="GU126" i="27"/>
  <c r="GU125" i="27"/>
  <c r="GU124" i="27"/>
  <c r="GU123" i="27"/>
  <c r="GU122" i="27"/>
  <c r="GU121" i="27"/>
  <c r="GU120" i="27"/>
  <c r="GU119" i="27"/>
  <c r="GU118" i="27"/>
  <c r="GU116" i="27"/>
  <c r="GU21" i="27"/>
  <c r="GU19" i="27"/>
  <c r="GU15" i="27"/>
  <c r="GU115" i="27"/>
  <c r="GU114" i="27"/>
  <c r="GU113" i="27"/>
  <c r="GU112" i="27"/>
  <c r="GU111" i="27"/>
  <c r="GU110" i="27"/>
  <c r="GU109" i="27"/>
  <c r="GU108" i="27"/>
  <c r="GU107" i="27"/>
  <c r="GU106" i="27"/>
  <c r="GU105" i="27"/>
  <c r="GU104" i="27"/>
  <c r="GU103" i="27"/>
  <c r="GU102" i="27"/>
  <c r="GU101" i="27"/>
  <c r="GU100" i="27"/>
  <c r="GU99" i="27"/>
  <c r="GU98" i="27"/>
  <c r="GU42" i="27"/>
  <c r="GU17" i="27"/>
  <c r="GU97" i="27"/>
  <c r="GU96" i="27"/>
  <c r="GU95" i="27"/>
  <c r="GU94" i="27"/>
  <c r="GU93" i="27"/>
  <c r="GU92" i="27"/>
  <c r="GU91" i="27"/>
  <c r="GU90" i="27"/>
  <c r="GU89" i="27"/>
  <c r="GU88" i="27"/>
  <c r="GU87" i="27"/>
  <c r="GU86" i="27"/>
  <c r="GU85" i="27"/>
  <c r="GU84" i="27"/>
  <c r="GU83" i="27"/>
  <c r="GU82" i="27"/>
  <c r="GU81" i="27"/>
  <c r="GU66" i="27"/>
  <c r="GU63" i="27"/>
  <c r="GU41" i="27"/>
  <c r="GU36" i="27"/>
  <c r="GU24" i="27"/>
  <c r="GU23" i="27"/>
  <c r="GU80" i="27"/>
  <c r="GU79" i="27"/>
  <c r="GU78" i="27"/>
  <c r="GU77" i="27"/>
  <c r="GU76" i="27"/>
  <c r="GU75" i="27"/>
  <c r="GU74" i="27"/>
  <c r="GU73" i="27"/>
  <c r="GU72" i="27"/>
  <c r="GU71" i="27"/>
  <c r="GU70" i="27"/>
  <c r="GU69" i="27"/>
  <c r="GU68" i="27"/>
  <c r="GU67" i="27"/>
  <c r="GU65" i="27"/>
  <c r="GU64" i="27"/>
  <c r="GU30" i="27"/>
  <c r="GU26" i="27"/>
  <c r="GU13" i="27"/>
  <c r="GU12" i="27"/>
  <c r="GU62" i="27"/>
  <c r="GU61" i="27"/>
  <c r="GU60" i="27"/>
  <c r="GU59" i="27"/>
  <c r="GU58" i="27"/>
  <c r="GU57" i="27"/>
  <c r="GU56" i="27"/>
  <c r="GU55" i="27"/>
  <c r="GU54" i="27"/>
  <c r="GU53" i="27"/>
  <c r="GU52" i="27"/>
  <c r="GU51" i="27"/>
  <c r="GU50" i="27"/>
  <c r="GU49" i="27"/>
  <c r="GU48" i="27"/>
  <c r="GU47" i="27"/>
  <c r="GU46" i="27"/>
  <c r="GU45" i="27"/>
  <c r="GU39" i="27"/>
  <c r="GU33" i="27"/>
  <c r="GU32" i="27"/>
  <c r="GU27" i="27"/>
  <c r="GU16" i="27"/>
  <c r="GT7" i="27"/>
  <c r="GV11" i="27"/>
  <c r="GW9" i="27"/>
  <c r="GV10" i="27"/>
  <c r="GV221" i="27" l="1"/>
  <c r="GV220" i="27"/>
  <c r="GV219" i="27"/>
  <c r="GV218" i="27"/>
  <c r="GV217" i="27"/>
  <c r="GV216" i="27"/>
  <c r="GV215" i="27"/>
  <c r="GV214" i="27"/>
  <c r="GV213" i="27"/>
  <c r="GV212" i="27"/>
  <c r="GV211" i="27"/>
  <c r="GV210" i="27"/>
  <c r="GV209" i="27"/>
  <c r="GV208" i="27"/>
  <c r="GV207" i="27"/>
  <c r="GV206" i="27"/>
  <c r="GV205" i="27"/>
  <c r="GV204" i="27"/>
  <c r="GV188" i="27"/>
  <c r="GV42" i="27"/>
  <c r="GV21" i="27"/>
  <c r="GV12" i="27"/>
  <c r="GV203" i="27"/>
  <c r="GV202" i="27"/>
  <c r="GV201" i="27"/>
  <c r="GV200" i="27"/>
  <c r="GV199" i="27"/>
  <c r="GV198" i="27"/>
  <c r="GV197" i="27"/>
  <c r="GV196" i="27"/>
  <c r="GV195" i="27"/>
  <c r="GV194" i="27"/>
  <c r="GV193" i="27"/>
  <c r="GV192" i="27"/>
  <c r="GV191" i="27"/>
  <c r="GV190" i="27"/>
  <c r="GV189" i="27"/>
  <c r="GV187" i="27"/>
  <c r="GV33" i="27"/>
  <c r="GV186" i="27"/>
  <c r="GV185" i="27"/>
  <c r="GV184" i="27"/>
  <c r="GV183" i="27"/>
  <c r="GV182" i="27"/>
  <c r="GV181" i="27"/>
  <c r="GV180" i="27"/>
  <c r="GV179" i="27"/>
  <c r="GV178" i="27"/>
  <c r="GV177" i="27"/>
  <c r="GV176" i="27"/>
  <c r="GV175" i="27"/>
  <c r="GV174" i="27"/>
  <c r="GV173" i="27"/>
  <c r="GV172" i="27"/>
  <c r="GV171" i="27"/>
  <c r="GV170" i="27"/>
  <c r="GV169" i="27"/>
  <c r="GV41" i="27"/>
  <c r="GV27" i="27"/>
  <c r="GV15" i="27"/>
  <c r="GV168" i="27"/>
  <c r="GV167" i="27"/>
  <c r="GV166" i="27"/>
  <c r="GV165" i="27"/>
  <c r="GV164" i="27"/>
  <c r="GV163" i="27"/>
  <c r="GV162" i="27"/>
  <c r="GV161" i="27"/>
  <c r="GV160" i="27"/>
  <c r="GV159" i="27"/>
  <c r="GV158" i="27"/>
  <c r="GV157" i="27"/>
  <c r="GV156" i="27"/>
  <c r="GV155" i="27"/>
  <c r="GV154" i="27"/>
  <c r="GV153" i="27"/>
  <c r="GV152" i="27"/>
  <c r="GV151" i="27"/>
  <c r="GV40" i="27"/>
  <c r="GV39" i="27"/>
  <c r="GV29" i="27"/>
  <c r="GV28" i="27"/>
  <c r="GV16" i="27"/>
  <c r="GV150" i="27"/>
  <c r="GV149" i="27"/>
  <c r="GV148" i="27"/>
  <c r="GV147" i="27"/>
  <c r="GV146" i="27"/>
  <c r="GV145" i="27"/>
  <c r="GV144" i="27"/>
  <c r="GV143" i="27"/>
  <c r="GV142" i="27"/>
  <c r="GV141" i="27"/>
  <c r="GV140" i="27"/>
  <c r="GV139" i="27"/>
  <c r="GV138" i="27"/>
  <c r="GV137" i="27"/>
  <c r="GV136" i="27"/>
  <c r="GV135" i="27"/>
  <c r="GV134" i="27"/>
  <c r="GV117" i="27"/>
  <c r="GV116" i="27"/>
  <c r="GV38" i="27"/>
  <c r="GV23" i="27"/>
  <c r="GV133" i="27"/>
  <c r="GV132" i="27"/>
  <c r="GV131" i="27"/>
  <c r="GV130" i="27"/>
  <c r="GV129" i="27"/>
  <c r="GV128" i="27"/>
  <c r="GV127" i="27"/>
  <c r="GV126" i="27"/>
  <c r="GV125" i="27"/>
  <c r="GV124" i="27"/>
  <c r="GV123" i="27"/>
  <c r="GV122" i="27"/>
  <c r="GV121" i="27"/>
  <c r="GV120" i="27"/>
  <c r="GV119" i="27"/>
  <c r="GV118" i="27"/>
  <c r="GV37" i="27"/>
  <c r="GV30" i="27"/>
  <c r="GV26" i="27"/>
  <c r="GV25" i="27"/>
  <c r="GV17" i="27"/>
  <c r="GV115" i="27"/>
  <c r="GV114" i="27"/>
  <c r="GV113" i="27"/>
  <c r="GV112" i="27"/>
  <c r="GV111" i="27"/>
  <c r="GV110" i="27"/>
  <c r="GV109" i="27"/>
  <c r="GV108" i="27"/>
  <c r="GV107" i="27"/>
  <c r="GV106" i="27"/>
  <c r="GV105" i="27"/>
  <c r="GV104" i="27"/>
  <c r="GV103" i="27"/>
  <c r="GV102" i="27"/>
  <c r="GV101" i="27"/>
  <c r="GV100" i="27"/>
  <c r="GV99" i="27"/>
  <c r="GV98" i="27"/>
  <c r="GV64" i="27"/>
  <c r="GV63" i="27"/>
  <c r="GV35" i="27"/>
  <c r="GV20" i="27"/>
  <c r="GV13" i="27"/>
  <c r="GV97" i="27"/>
  <c r="GV96" i="27"/>
  <c r="GV95" i="27"/>
  <c r="GV94" i="27"/>
  <c r="GV93" i="27"/>
  <c r="GV92" i="27"/>
  <c r="GV91" i="27"/>
  <c r="GV90" i="27"/>
  <c r="GV89" i="27"/>
  <c r="GV88" i="27"/>
  <c r="GV87" i="27"/>
  <c r="GV86" i="27"/>
  <c r="GV85" i="27"/>
  <c r="GV84" i="27"/>
  <c r="GV83" i="27"/>
  <c r="GV82" i="27"/>
  <c r="GV81" i="27"/>
  <c r="GV67" i="27"/>
  <c r="GV65" i="27"/>
  <c r="GV44" i="27"/>
  <c r="GV32" i="27"/>
  <c r="GV80" i="27"/>
  <c r="GV79" i="27"/>
  <c r="GV78" i="27"/>
  <c r="GV77" i="27"/>
  <c r="GV76" i="27"/>
  <c r="GV75" i="27"/>
  <c r="GV74" i="27"/>
  <c r="GV73" i="27"/>
  <c r="GV72" i="27"/>
  <c r="GV71" i="27"/>
  <c r="GV70" i="27"/>
  <c r="GV69" i="27"/>
  <c r="GV68" i="27"/>
  <c r="GV66" i="27"/>
  <c r="GV43" i="27"/>
  <c r="GV31" i="27"/>
  <c r="GV62" i="27"/>
  <c r="GV61" i="27"/>
  <c r="GV60" i="27"/>
  <c r="GV59" i="27"/>
  <c r="GV58" i="27"/>
  <c r="GV57" i="27"/>
  <c r="GV56" i="27"/>
  <c r="GV55" i="27"/>
  <c r="GV54" i="27"/>
  <c r="GV53" i="27"/>
  <c r="GV52" i="27"/>
  <c r="GV51" i="27"/>
  <c r="GV50" i="27"/>
  <c r="GV49" i="27"/>
  <c r="GV48" i="27"/>
  <c r="GV47" i="27"/>
  <c r="GV46" i="27"/>
  <c r="GV45" i="27"/>
  <c r="GV36" i="27"/>
  <c r="GV34" i="27"/>
  <c r="GV24" i="27"/>
  <c r="GV22" i="27"/>
  <c r="GV19" i="27"/>
  <c r="GV18" i="27"/>
  <c r="GV14" i="27"/>
  <c r="GX9" i="27"/>
  <c r="GW11" i="27"/>
  <c r="GW10" i="27"/>
  <c r="GW221" i="27" l="1"/>
  <c r="GW220" i="27"/>
  <c r="GW219" i="27"/>
  <c r="GW218" i="27"/>
  <c r="GW217" i="27"/>
  <c r="GW216" i="27"/>
  <c r="GW215" i="27"/>
  <c r="GW214" i="27"/>
  <c r="GW213" i="27"/>
  <c r="GW212" i="27"/>
  <c r="GW211" i="27"/>
  <c r="GW210" i="27"/>
  <c r="GW209" i="27"/>
  <c r="GW208" i="27"/>
  <c r="GW207" i="27"/>
  <c r="GW206" i="27"/>
  <c r="GW205" i="27"/>
  <c r="GW204" i="27"/>
  <c r="GW187" i="27"/>
  <c r="GW35" i="27"/>
  <c r="GW17" i="27"/>
  <c r="GW15" i="27"/>
  <c r="GW203" i="27"/>
  <c r="GW202" i="27"/>
  <c r="GW201" i="27"/>
  <c r="GW200" i="27"/>
  <c r="GW199" i="27"/>
  <c r="GW198" i="27"/>
  <c r="GW197" i="27"/>
  <c r="GW196" i="27"/>
  <c r="GW195" i="27"/>
  <c r="GW194" i="27"/>
  <c r="GW193" i="27"/>
  <c r="GW192" i="27"/>
  <c r="GW191" i="27"/>
  <c r="GW190" i="27"/>
  <c r="GW189" i="27"/>
  <c r="GW188" i="27"/>
  <c r="GW41" i="27"/>
  <c r="GW24" i="27"/>
  <c r="GW14" i="27"/>
  <c r="GW12" i="27"/>
  <c r="GW186" i="27"/>
  <c r="GW185" i="27"/>
  <c r="GW184" i="27"/>
  <c r="GW183" i="27"/>
  <c r="GW182" i="27"/>
  <c r="GW181" i="27"/>
  <c r="GW180" i="27"/>
  <c r="GW179" i="27"/>
  <c r="GW178" i="27"/>
  <c r="GW177" i="27"/>
  <c r="GW176" i="27"/>
  <c r="GW175" i="27"/>
  <c r="GW174" i="27"/>
  <c r="GW173" i="27"/>
  <c r="GW172" i="27"/>
  <c r="GW171" i="27"/>
  <c r="GW170" i="27"/>
  <c r="GW169" i="27"/>
  <c r="GW39" i="27"/>
  <c r="GW34" i="27"/>
  <c r="GW25" i="27"/>
  <c r="GW20" i="27"/>
  <c r="GW168" i="27"/>
  <c r="GW167" i="27"/>
  <c r="GW166" i="27"/>
  <c r="GW165" i="27"/>
  <c r="GW164" i="27"/>
  <c r="GW163" i="27"/>
  <c r="GW162" i="27"/>
  <c r="GW161" i="27"/>
  <c r="GW160" i="27"/>
  <c r="GW159" i="27"/>
  <c r="GW158" i="27"/>
  <c r="GW157" i="27"/>
  <c r="GW156" i="27"/>
  <c r="GW155" i="27"/>
  <c r="GW154" i="27"/>
  <c r="GW153" i="27"/>
  <c r="GW152" i="27"/>
  <c r="GW151" i="27"/>
  <c r="GW135" i="27"/>
  <c r="GW134" i="27"/>
  <c r="GW117" i="27"/>
  <c r="GW116" i="27"/>
  <c r="GW32" i="27"/>
  <c r="GW30" i="27"/>
  <c r="GW26" i="27"/>
  <c r="GW21" i="27"/>
  <c r="GW19" i="27"/>
  <c r="GW150" i="27"/>
  <c r="GW149" i="27"/>
  <c r="GW148" i="27"/>
  <c r="GW147" i="27"/>
  <c r="GW146" i="27"/>
  <c r="GW145" i="27"/>
  <c r="GW144" i="27"/>
  <c r="GW143" i="27"/>
  <c r="GW142" i="27"/>
  <c r="GW141" i="27"/>
  <c r="GW140" i="27"/>
  <c r="GW139" i="27"/>
  <c r="GW138" i="27"/>
  <c r="GW137" i="27"/>
  <c r="GW136" i="27"/>
  <c r="GW43" i="27"/>
  <c r="GW37" i="27"/>
  <c r="GW36" i="27"/>
  <c r="GW133" i="27"/>
  <c r="GW132" i="27"/>
  <c r="GW131" i="27"/>
  <c r="GW130" i="27"/>
  <c r="GW129" i="27"/>
  <c r="GW128" i="27"/>
  <c r="GW127" i="27"/>
  <c r="GW126" i="27"/>
  <c r="GW125" i="27"/>
  <c r="GW124" i="27"/>
  <c r="GW123" i="27"/>
  <c r="GW122" i="27"/>
  <c r="GW121" i="27"/>
  <c r="GW120" i="27"/>
  <c r="GW119" i="27"/>
  <c r="GW118" i="27"/>
  <c r="GW40" i="27"/>
  <c r="GW31" i="27"/>
  <c r="GW27" i="27"/>
  <c r="GW18" i="27"/>
  <c r="GW115" i="27"/>
  <c r="GW114" i="27"/>
  <c r="GW113" i="27"/>
  <c r="GW112" i="27"/>
  <c r="GW111" i="27"/>
  <c r="GW110" i="27"/>
  <c r="GW109" i="27"/>
  <c r="GW108" i="27"/>
  <c r="GW107" i="27"/>
  <c r="GW106" i="27"/>
  <c r="GW105" i="27"/>
  <c r="GW104" i="27"/>
  <c r="GW103" i="27"/>
  <c r="GW102" i="27"/>
  <c r="GW101" i="27"/>
  <c r="GW100" i="27"/>
  <c r="GW99" i="27"/>
  <c r="GW98" i="27"/>
  <c r="GW44" i="27"/>
  <c r="GW38" i="27"/>
  <c r="GW16" i="27"/>
  <c r="GW97" i="27"/>
  <c r="GW96" i="27"/>
  <c r="GW95" i="27"/>
  <c r="GW94" i="27"/>
  <c r="GW93" i="27"/>
  <c r="GW92" i="27"/>
  <c r="GW91" i="27"/>
  <c r="GW90" i="27"/>
  <c r="GW89" i="27"/>
  <c r="GW88" i="27"/>
  <c r="GW87" i="27"/>
  <c r="GW86" i="27"/>
  <c r="GW85" i="27"/>
  <c r="GW84" i="27"/>
  <c r="GW83" i="27"/>
  <c r="GW82" i="27"/>
  <c r="GW81" i="27"/>
  <c r="GW64" i="27"/>
  <c r="GW33" i="27"/>
  <c r="GW29" i="27"/>
  <c r="GW28" i="27"/>
  <c r="GW22" i="27"/>
  <c r="GW80" i="27"/>
  <c r="GW79" i="27"/>
  <c r="GW78" i="27"/>
  <c r="GW77" i="27"/>
  <c r="GW76" i="27"/>
  <c r="GW75" i="27"/>
  <c r="GW74" i="27"/>
  <c r="GW73" i="27"/>
  <c r="GW72" i="27"/>
  <c r="GW71" i="27"/>
  <c r="GW70" i="27"/>
  <c r="GW69" i="27"/>
  <c r="GW68" i="27"/>
  <c r="GW67" i="27"/>
  <c r="GW66" i="27"/>
  <c r="GW65" i="27"/>
  <c r="GW63" i="27"/>
  <c r="GW62" i="27"/>
  <c r="GW61" i="27"/>
  <c r="GW60" i="27"/>
  <c r="GW59" i="27"/>
  <c r="GW58" i="27"/>
  <c r="GW57" i="27"/>
  <c r="GW56" i="27"/>
  <c r="GW55" i="27"/>
  <c r="GW54" i="27"/>
  <c r="GW53" i="27"/>
  <c r="GW52" i="27"/>
  <c r="GW51" i="27"/>
  <c r="GW50" i="27"/>
  <c r="GW49" i="27"/>
  <c r="GW48" i="27"/>
  <c r="GW47" i="27"/>
  <c r="GW46" i="27"/>
  <c r="GW45" i="27"/>
  <c r="GW42" i="27"/>
  <c r="GW23" i="27"/>
  <c r="GW13" i="27"/>
  <c r="GV7" i="27"/>
  <c r="GX10" i="27"/>
  <c r="GY9" i="27"/>
  <c r="GX11" i="27"/>
  <c r="GX221" i="27" l="1"/>
  <c r="GX220" i="27"/>
  <c r="GX219" i="27"/>
  <c r="GX218" i="27"/>
  <c r="GX217" i="27"/>
  <c r="GX216" i="27"/>
  <c r="GX215" i="27"/>
  <c r="GX214" i="27"/>
  <c r="GX213" i="27"/>
  <c r="GX212" i="27"/>
  <c r="GX211" i="27"/>
  <c r="GX210" i="27"/>
  <c r="GX209" i="27"/>
  <c r="GX208" i="27"/>
  <c r="GX207" i="27"/>
  <c r="GX206" i="27"/>
  <c r="GX205" i="27"/>
  <c r="GX204" i="27"/>
  <c r="GX188" i="27"/>
  <c r="GX19" i="27"/>
  <c r="GX16" i="27"/>
  <c r="GX203" i="27"/>
  <c r="GX202" i="27"/>
  <c r="GX201" i="27"/>
  <c r="GX200" i="27"/>
  <c r="GX199" i="27"/>
  <c r="GX198" i="27"/>
  <c r="GX197" i="27"/>
  <c r="GX196" i="27"/>
  <c r="GX195" i="27"/>
  <c r="GX194" i="27"/>
  <c r="GX193" i="27"/>
  <c r="GX192" i="27"/>
  <c r="GX191" i="27"/>
  <c r="GX190" i="27"/>
  <c r="GX189" i="27"/>
  <c r="GX187" i="27"/>
  <c r="GX37" i="27"/>
  <c r="GX35" i="27"/>
  <c r="GX26" i="27"/>
  <c r="GX186" i="27"/>
  <c r="GX185" i="27"/>
  <c r="GX184" i="27"/>
  <c r="GX183" i="27"/>
  <c r="GX182" i="27"/>
  <c r="GX181" i="27"/>
  <c r="GX180" i="27"/>
  <c r="GX179" i="27"/>
  <c r="GX178" i="27"/>
  <c r="GX177" i="27"/>
  <c r="GX176" i="27"/>
  <c r="GX175" i="27"/>
  <c r="GX174" i="27"/>
  <c r="GX173" i="27"/>
  <c r="GX172" i="27"/>
  <c r="GX171" i="27"/>
  <c r="GX170" i="27"/>
  <c r="GX169" i="27"/>
  <c r="GX32" i="27"/>
  <c r="GX28" i="27"/>
  <c r="GX22" i="27"/>
  <c r="GX12" i="27"/>
  <c r="GX168" i="27"/>
  <c r="GX167" i="27"/>
  <c r="GX166" i="27"/>
  <c r="GX165" i="27"/>
  <c r="GX164" i="27"/>
  <c r="GX163" i="27"/>
  <c r="GX162" i="27"/>
  <c r="GX161" i="27"/>
  <c r="GX160" i="27"/>
  <c r="GX159" i="27"/>
  <c r="GX158" i="27"/>
  <c r="GX157" i="27"/>
  <c r="GX156" i="27"/>
  <c r="GX155" i="27"/>
  <c r="GX154" i="27"/>
  <c r="GX153" i="27"/>
  <c r="GX152" i="27"/>
  <c r="GX151" i="27"/>
  <c r="GX43" i="27"/>
  <c r="GX33" i="27"/>
  <c r="GX150" i="27"/>
  <c r="GX149" i="27"/>
  <c r="GX148" i="27"/>
  <c r="GX147" i="27"/>
  <c r="GX146" i="27"/>
  <c r="GX145" i="27"/>
  <c r="GX144" i="27"/>
  <c r="GX143" i="27"/>
  <c r="GX142" i="27"/>
  <c r="GX141" i="27"/>
  <c r="GX140" i="27"/>
  <c r="GX139" i="27"/>
  <c r="GX138" i="27"/>
  <c r="GX137" i="27"/>
  <c r="GX136" i="27"/>
  <c r="GX135" i="27"/>
  <c r="GX134" i="27"/>
  <c r="GX34" i="27"/>
  <c r="GX14" i="27"/>
  <c r="GX133" i="27"/>
  <c r="GX132" i="27"/>
  <c r="GX131" i="27"/>
  <c r="GX130" i="27"/>
  <c r="GX129" i="27"/>
  <c r="GX128" i="27"/>
  <c r="GX127" i="27"/>
  <c r="GX126" i="27"/>
  <c r="GX125" i="27"/>
  <c r="GX124" i="27"/>
  <c r="GX123" i="27"/>
  <c r="GX122" i="27"/>
  <c r="GX121" i="27"/>
  <c r="GX120" i="27"/>
  <c r="GX119" i="27"/>
  <c r="GX118" i="27"/>
  <c r="GX117" i="27"/>
  <c r="GX116" i="27"/>
  <c r="GX42" i="27"/>
  <c r="GX20" i="27"/>
  <c r="GX115" i="27"/>
  <c r="GX114" i="27"/>
  <c r="GX113" i="27"/>
  <c r="GX112" i="27"/>
  <c r="GX111" i="27"/>
  <c r="GX110" i="27"/>
  <c r="GX109" i="27"/>
  <c r="GX108" i="27"/>
  <c r="GX107" i="27"/>
  <c r="GX106" i="27"/>
  <c r="GX105" i="27"/>
  <c r="GX104" i="27"/>
  <c r="GX103" i="27"/>
  <c r="GX102" i="27"/>
  <c r="GX101" i="27"/>
  <c r="GX100" i="27"/>
  <c r="GX99" i="27"/>
  <c r="GX98" i="27"/>
  <c r="GX64" i="27"/>
  <c r="GX39" i="27"/>
  <c r="GX29" i="27"/>
  <c r="GX23" i="27"/>
  <c r="GX18" i="27"/>
  <c r="GX97" i="27"/>
  <c r="GX96" i="27"/>
  <c r="GX95" i="27"/>
  <c r="GX94" i="27"/>
  <c r="GX93" i="27"/>
  <c r="GX92" i="27"/>
  <c r="GX91" i="27"/>
  <c r="GX90" i="27"/>
  <c r="GX89" i="27"/>
  <c r="GX88" i="27"/>
  <c r="GX87" i="27"/>
  <c r="GX86" i="27"/>
  <c r="GX85" i="27"/>
  <c r="GX84" i="27"/>
  <c r="GX83" i="27"/>
  <c r="GX82" i="27"/>
  <c r="GX81" i="27"/>
  <c r="GX67" i="27"/>
  <c r="GX66" i="27"/>
  <c r="GX65" i="27"/>
  <c r="GX63" i="27"/>
  <c r="GX41" i="27"/>
  <c r="GX40" i="27"/>
  <c r="GX36" i="27"/>
  <c r="GX31" i="27"/>
  <c r="GX30" i="27"/>
  <c r="GX27" i="27"/>
  <c r="GX25" i="27"/>
  <c r="GX80" i="27"/>
  <c r="GX79" i="27"/>
  <c r="GX78" i="27"/>
  <c r="GX77" i="27"/>
  <c r="GX76" i="27"/>
  <c r="GX75" i="27"/>
  <c r="GX74" i="27"/>
  <c r="GX73" i="27"/>
  <c r="GX72" i="27"/>
  <c r="GX71" i="27"/>
  <c r="GX70" i="27"/>
  <c r="GX69" i="27"/>
  <c r="GX68" i="27"/>
  <c r="GX44" i="27"/>
  <c r="GX24" i="27"/>
  <c r="GX17" i="27"/>
  <c r="GX13" i="27"/>
  <c r="GX62" i="27"/>
  <c r="GX61" i="27"/>
  <c r="GX60" i="27"/>
  <c r="GX59" i="27"/>
  <c r="GX58" i="27"/>
  <c r="GX57" i="27"/>
  <c r="GX56" i="27"/>
  <c r="GX55" i="27"/>
  <c r="GX54" i="27"/>
  <c r="GX53" i="27"/>
  <c r="GX52" i="27"/>
  <c r="GX51" i="27"/>
  <c r="GX50" i="27"/>
  <c r="GX49" i="27"/>
  <c r="GX48" i="27"/>
  <c r="GX47" i="27"/>
  <c r="GX46" i="27"/>
  <c r="GX45" i="27"/>
  <c r="GX38" i="27"/>
  <c r="GX21" i="27"/>
  <c r="GX15" i="27"/>
  <c r="GW7" i="27"/>
  <c r="GZ9" i="27"/>
  <c r="GY10" i="27"/>
  <c r="GY11" i="27"/>
  <c r="J92" i="105"/>
  <c r="GY221" i="27" l="1"/>
  <c r="GY220" i="27"/>
  <c r="GY219" i="27"/>
  <c r="GY218" i="27"/>
  <c r="GY217" i="27"/>
  <c r="GY216" i="27"/>
  <c r="GY215" i="27"/>
  <c r="GY214" i="27"/>
  <c r="GY213" i="27"/>
  <c r="GY212" i="27"/>
  <c r="GY211" i="27"/>
  <c r="GY210" i="27"/>
  <c r="GY209" i="27"/>
  <c r="GY208" i="27"/>
  <c r="GY207" i="27"/>
  <c r="GY206" i="27"/>
  <c r="GY205" i="27"/>
  <c r="GY204" i="27"/>
  <c r="GY187" i="27"/>
  <c r="GY20" i="27"/>
  <c r="GY12" i="27"/>
  <c r="GY203" i="27"/>
  <c r="GY202" i="27"/>
  <c r="GY201" i="27"/>
  <c r="GY200" i="27"/>
  <c r="GY199" i="27"/>
  <c r="GY198" i="27"/>
  <c r="GY197" i="27"/>
  <c r="GY196" i="27"/>
  <c r="GY195" i="27"/>
  <c r="GY194" i="27"/>
  <c r="GY193" i="27"/>
  <c r="GY192" i="27"/>
  <c r="GY191" i="27"/>
  <c r="GY190" i="27"/>
  <c r="GY189" i="27"/>
  <c r="GY188" i="27"/>
  <c r="GY36" i="27"/>
  <c r="GY30" i="27"/>
  <c r="GY27" i="27"/>
  <c r="GY186" i="27"/>
  <c r="GY185" i="27"/>
  <c r="GY184" i="27"/>
  <c r="GY183" i="27"/>
  <c r="GY182" i="27"/>
  <c r="GY181" i="27"/>
  <c r="GY180" i="27"/>
  <c r="GY179" i="27"/>
  <c r="GY178" i="27"/>
  <c r="GY177" i="27"/>
  <c r="GY176" i="27"/>
  <c r="GY175" i="27"/>
  <c r="GY174" i="27"/>
  <c r="GY173" i="27"/>
  <c r="GY172" i="27"/>
  <c r="GY171" i="27"/>
  <c r="GY170" i="27"/>
  <c r="GY169" i="27"/>
  <c r="GY17" i="27"/>
  <c r="GY168" i="27"/>
  <c r="GY167" i="27"/>
  <c r="GY166" i="27"/>
  <c r="GY165" i="27"/>
  <c r="GY164" i="27"/>
  <c r="GY163" i="27"/>
  <c r="GY162" i="27"/>
  <c r="GY161" i="27"/>
  <c r="GY160" i="27"/>
  <c r="GY159" i="27"/>
  <c r="GY158" i="27"/>
  <c r="GY157" i="27"/>
  <c r="GY156" i="27"/>
  <c r="GY155" i="27"/>
  <c r="GY154" i="27"/>
  <c r="GY153" i="27"/>
  <c r="GY152" i="27"/>
  <c r="GY151" i="27"/>
  <c r="GY135" i="27"/>
  <c r="GY134" i="27"/>
  <c r="GY42" i="27"/>
  <c r="GY35" i="27"/>
  <c r="GY13" i="27"/>
  <c r="GY150" i="27"/>
  <c r="GY149" i="27"/>
  <c r="GY148" i="27"/>
  <c r="GY147" i="27"/>
  <c r="GY146" i="27"/>
  <c r="GY145" i="27"/>
  <c r="GY144" i="27"/>
  <c r="GY143" i="27"/>
  <c r="GY142" i="27"/>
  <c r="GY141" i="27"/>
  <c r="GY140" i="27"/>
  <c r="GY139" i="27"/>
  <c r="GY138" i="27"/>
  <c r="GY137" i="27"/>
  <c r="GY136" i="27"/>
  <c r="GY117" i="27"/>
  <c r="GY116" i="27"/>
  <c r="GY41" i="27"/>
  <c r="GY39" i="27"/>
  <c r="GY25" i="27"/>
  <c r="GY24" i="27"/>
  <c r="GY21" i="27"/>
  <c r="GY15" i="27"/>
  <c r="GY133" i="27"/>
  <c r="GY132" i="27"/>
  <c r="GY131" i="27"/>
  <c r="GY130" i="27"/>
  <c r="GY129" i="27"/>
  <c r="GY128" i="27"/>
  <c r="GY127" i="27"/>
  <c r="GY126" i="27"/>
  <c r="GY125" i="27"/>
  <c r="GY124" i="27"/>
  <c r="GY123" i="27"/>
  <c r="GY122" i="27"/>
  <c r="GY121" i="27"/>
  <c r="GY120" i="27"/>
  <c r="GY119" i="27"/>
  <c r="GY118" i="27"/>
  <c r="GY38" i="27"/>
  <c r="GY37" i="27"/>
  <c r="GY32" i="27"/>
  <c r="GY29" i="27"/>
  <c r="GY28" i="27"/>
  <c r="GY22" i="27"/>
  <c r="GY115" i="27"/>
  <c r="GY114" i="27"/>
  <c r="GY113" i="27"/>
  <c r="GY112" i="27"/>
  <c r="GY111" i="27"/>
  <c r="GY110" i="27"/>
  <c r="GY109" i="27"/>
  <c r="GY108" i="27"/>
  <c r="GY107" i="27"/>
  <c r="GY106" i="27"/>
  <c r="GY105" i="27"/>
  <c r="GY104" i="27"/>
  <c r="GY103" i="27"/>
  <c r="GY102" i="27"/>
  <c r="GY101" i="27"/>
  <c r="GY100" i="27"/>
  <c r="GY99" i="27"/>
  <c r="GY98" i="27"/>
  <c r="GY63" i="27"/>
  <c r="GY40" i="27"/>
  <c r="GY14" i="27"/>
  <c r="GY97" i="27"/>
  <c r="GY96" i="27"/>
  <c r="GY95" i="27"/>
  <c r="GY94" i="27"/>
  <c r="GY93" i="27"/>
  <c r="GY92" i="27"/>
  <c r="GY91" i="27"/>
  <c r="GY90" i="27"/>
  <c r="GY89" i="27"/>
  <c r="GY88" i="27"/>
  <c r="GY87" i="27"/>
  <c r="GY86" i="27"/>
  <c r="GY85" i="27"/>
  <c r="GY84" i="27"/>
  <c r="GY83" i="27"/>
  <c r="GY82" i="27"/>
  <c r="GY81" i="27"/>
  <c r="GY23" i="27"/>
  <c r="GY19" i="27"/>
  <c r="GY18" i="27"/>
  <c r="GY80" i="27"/>
  <c r="GY79" i="27"/>
  <c r="GY78" i="27"/>
  <c r="GY77" i="27"/>
  <c r="GY76" i="27"/>
  <c r="GY75" i="27"/>
  <c r="GY74" i="27"/>
  <c r="GY73" i="27"/>
  <c r="GY72" i="27"/>
  <c r="GY71" i="27"/>
  <c r="GY70" i="27"/>
  <c r="GY69" i="27"/>
  <c r="GY68" i="27"/>
  <c r="GY67" i="27"/>
  <c r="GY66" i="27"/>
  <c r="GY65" i="27"/>
  <c r="GY64" i="27"/>
  <c r="GY43" i="27"/>
  <c r="GY34" i="27"/>
  <c r="GY33" i="27"/>
  <c r="GY62" i="27"/>
  <c r="GY61" i="27"/>
  <c r="GY60" i="27"/>
  <c r="GY59" i="27"/>
  <c r="GY58" i="27"/>
  <c r="GY57" i="27"/>
  <c r="GY56" i="27"/>
  <c r="GY55" i="27"/>
  <c r="GY54" i="27"/>
  <c r="GY53" i="27"/>
  <c r="GY52" i="27"/>
  <c r="GY51" i="27"/>
  <c r="GY50" i="27"/>
  <c r="GY49" i="27"/>
  <c r="GY48" i="27"/>
  <c r="GY47" i="27"/>
  <c r="GY46" i="27"/>
  <c r="GY45" i="27"/>
  <c r="GY44" i="27"/>
  <c r="GY31" i="27"/>
  <c r="GY26" i="27"/>
  <c r="GY16" i="27"/>
  <c r="GX7" i="27"/>
  <c r="GZ10" i="27"/>
  <c r="GZ11" i="27"/>
  <c r="HA9" i="27"/>
  <c r="B18" i="105"/>
  <c r="B19" i="105" s="1"/>
  <c r="B20" i="105" s="1"/>
  <c r="B21" i="105" s="1"/>
  <c r="B22" i="105" s="1"/>
  <c r="B23" i="105" s="1"/>
  <c r="B24" i="105" s="1"/>
  <c r="B25" i="105" s="1"/>
  <c r="B26" i="105" s="1"/>
  <c r="B27" i="105" s="1"/>
  <c r="B28" i="105" s="1"/>
  <c r="B29" i="105" s="1"/>
  <c r="B30" i="105" s="1"/>
  <c r="B31" i="105" s="1"/>
  <c r="B32" i="105" s="1"/>
  <c r="GZ221" i="27" l="1"/>
  <c r="GZ220" i="27"/>
  <c r="GZ219" i="27"/>
  <c r="GZ218" i="27"/>
  <c r="GZ217" i="27"/>
  <c r="GZ216" i="27"/>
  <c r="GZ215" i="27"/>
  <c r="GZ214" i="27"/>
  <c r="GZ213" i="27"/>
  <c r="GZ212" i="27"/>
  <c r="GZ211" i="27"/>
  <c r="GZ210" i="27"/>
  <c r="GZ209" i="27"/>
  <c r="GZ208" i="27"/>
  <c r="GZ207" i="27"/>
  <c r="GZ206" i="27"/>
  <c r="GZ205" i="27"/>
  <c r="GZ204" i="27"/>
  <c r="GZ188" i="27"/>
  <c r="GZ40" i="27"/>
  <c r="GZ203" i="27"/>
  <c r="GZ202" i="27"/>
  <c r="GZ201" i="27"/>
  <c r="GZ200" i="27"/>
  <c r="GZ199" i="27"/>
  <c r="GZ198" i="27"/>
  <c r="GZ197" i="27"/>
  <c r="GZ196" i="27"/>
  <c r="GZ195" i="27"/>
  <c r="GZ194" i="27"/>
  <c r="GZ193" i="27"/>
  <c r="GZ192" i="27"/>
  <c r="GZ191" i="27"/>
  <c r="GZ190" i="27"/>
  <c r="GZ189" i="27"/>
  <c r="GZ187" i="27"/>
  <c r="GZ15" i="27"/>
  <c r="GZ186" i="27"/>
  <c r="GZ185" i="27"/>
  <c r="GZ184" i="27"/>
  <c r="GZ183" i="27"/>
  <c r="GZ182" i="27"/>
  <c r="GZ181" i="27"/>
  <c r="GZ180" i="27"/>
  <c r="GZ179" i="27"/>
  <c r="GZ178" i="27"/>
  <c r="GZ177" i="27"/>
  <c r="GZ176" i="27"/>
  <c r="GZ175" i="27"/>
  <c r="GZ174" i="27"/>
  <c r="GZ173" i="27"/>
  <c r="GZ172" i="27"/>
  <c r="GZ171" i="27"/>
  <c r="GZ170" i="27"/>
  <c r="GZ169" i="27"/>
  <c r="GZ37" i="27"/>
  <c r="GZ168" i="27"/>
  <c r="GZ167" i="27"/>
  <c r="GZ166" i="27"/>
  <c r="GZ165" i="27"/>
  <c r="GZ164" i="27"/>
  <c r="GZ163" i="27"/>
  <c r="GZ162" i="27"/>
  <c r="GZ161" i="27"/>
  <c r="GZ160" i="27"/>
  <c r="GZ159" i="27"/>
  <c r="GZ158" i="27"/>
  <c r="GZ157" i="27"/>
  <c r="GZ156" i="27"/>
  <c r="GZ155" i="27"/>
  <c r="GZ154" i="27"/>
  <c r="GZ153" i="27"/>
  <c r="GZ152" i="27"/>
  <c r="GZ151" i="27"/>
  <c r="GZ117" i="27"/>
  <c r="GZ116" i="27"/>
  <c r="GZ30" i="27"/>
  <c r="GZ27" i="27"/>
  <c r="GZ23" i="27"/>
  <c r="GZ17" i="27"/>
  <c r="GZ12" i="27"/>
  <c r="GZ150" i="27"/>
  <c r="GZ149" i="27"/>
  <c r="GZ148" i="27"/>
  <c r="GZ147" i="27"/>
  <c r="GZ146" i="27"/>
  <c r="GZ145" i="27"/>
  <c r="GZ144" i="27"/>
  <c r="GZ143" i="27"/>
  <c r="GZ142" i="27"/>
  <c r="GZ141" i="27"/>
  <c r="GZ140" i="27"/>
  <c r="GZ139" i="27"/>
  <c r="GZ138" i="27"/>
  <c r="GZ137" i="27"/>
  <c r="GZ136" i="27"/>
  <c r="GZ135" i="27"/>
  <c r="GZ134" i="27"/>
  <c r="GZ44" i="27"/>
  <c r="GZ42" i="27"/>
  <c r="GZ38" i="27"/>
  <c r="GZ31" i="27"/>
  <c r="GZ26" i="27"/>
  <c r="GZ22" i="27"/>
  <c r="GZ19" i="27"/>
  <c r="GZ133" i="27"/>
  <c r="GZ132" i="27"/>
  <c r="GZ131" i="27"/>
  <c r="GZ130" i="27"/>
  <c r="GZ129" i="27"/>
  <c r="GZ128" i="27"/>
  <c r="GZ127" i="27"/>
  <c r="GZ126" i="27"/>
  <c r="GZ125" i="27"/>
  <c r="GZ124" i="27"/>
  <c r="GZ123" i="27"/>
  <c r="GZ122" i="27"/>
  <c r="GZ121" i="27"/>
  <c r="GZ120" i="27"/>
  <c r="GZ119" i="27"/>
  <c r="GZ118" i="27"/>
  <c r="GZ36" i="27"/>
  <c r="GZ34" i="27"/>
  <c r="GZ14" i="27"/>
  <c r="GZ115" i="27"/>
  <c r="GZ114" i="27"/>
  <c r="GZ113" i="27"/>
  <c r="GZ112" i="27"/>
  <c r="GZ111" i="27"/>
  <c r="GZ110" i="27"/>
  <c r="GZ109" i="27"/>
  <c r="GZ108" i="27"/>
  <c r="GZ107" i="27"/>
  <c r="GZ106" i="27"/>
  <c r="GZ105" i="27"/>
  <c r="GZ104" i="27"/>
  <c r="GZ103" i="27"/>
  <c r="GZ102" i="27"/>
  <c r="GZ101" i="27"/>
  <c r="GZ100" i="27"/>
  <c r="GZ99" i="27"/>
  <c r="GZ98" i="27"/>
  <c r="GZ28" i="27"/>
  <c r="GZ20" i="27"/>
  <c r="GZ97" i="27"/>
  <c r="GZ96" i="27"/>
  <c r="GZ95" i="27"/>
  <c r="GZ94" i="27"/>
  <c r="GZ93" i="27"/>
  <c r="GZ92" i="27"/>
  <c r="GZ91" i="27"/>
  <c r="GZ90" i="27"/>
  <c r="GZ89" i="27"/>
  <c r="GZ88" i="27"/>
  <c r="GZ87" i="27"/>
  <c r="GZ86" i="27"/>
  <c r="GZ85" i="27"/>
  <c r="GZ84" i="27"/>
  <c r="GZ83" i="27"/>
  <c r="GZ82" i="27"/>
  <c r="GZ81" i="27"/>
  <c r="GZ66" i="27"/>
  <c r="GZ65" i="27"/>
  <c r="GZ64" i="27"/>
  <c r="GZ33" i="27"/>
  <c r="GZ21" i="27"/>
  <c r="GZ16" i="27"/>
  <c r="GZ80" i="27"/>
  <c r="GZ79" i="27"/>
  <c r="GZ78" i="27"/>
  <c r="GZ77" i="27"/>
  <c r="GZ76" i="27"/>
  <c r="GZ75" i="27"/>
  <c r="GZ74" i="27"/>
  <c r="GZ73" i="27"/>
  <c r="GZ72" i="27"/>
  <c r="GZ71" i="27"/>
  <c r="GZ70" i="27"/>
  <c r="GZ69" i="27"/>
  <c r="GZ68" i="27"/>
  <c r="GZ67" i="27"/>
  <c r="GZ63" i="27"/>
  <c r="GZ35" i="27"/>
  <c r="GZ29" i="27"/>
  <c r="GZ18" i="27"/>
  <c r="GZ62" i="27"/>
  <c r="GZ61" i="27"/>
  <c r="GZ60" i="27"/>
  <c r="GZ59" i="27"/>
  <c r="GZ58" i="27"/>
  <c r="GZ57" i="27"/>
  <c r="GZ56" i="27"/>
  <c r="GZ55" i="27"/>
  <c r="GZ54" i="27"/>
  <c r="GZ53" i="27"/>
  <c r="GZ52" i="27"/>
  <c r="GZ51" i="27"/>
  <c r="GZ50" i="27"/>
  <c r="GZ49" i="27"/>
  <c r="GZ48" i="27"/>
  <c r="GZ47" i="27"/>
  <c r="GZ46" i="27"/>
  <c r="GZ45" i="27"/>
  <c r="GZ43" i="27"/>
  <c r="GZ41" i="27"/>
  <c r="GZ39" i="27"/>
  <c r="GZ32" i="27"/>
  <c r="GZ25" i="27"/>
  <c r="GZ24" i="27"/>
  <c r="GZ13" i="27"/>
  <c r="B33" i="105"/>
  <c r="GY7" i="27"/>
  <c r="HB9" i="27"/>
  <c r="HA10" i="27"/>
  <c r="HA11" i="27"/>
  <c r="HA221" i="27" l="1"/>
  <c r="HA220" i="27"/>
  <c r="HA219" i="27"/>
  <c r="HA218" i="27"/>
  <c r="HA217" i="27"/>
  <c r="HA216" i="27"/>
  <c r="HA215" i="27"/>
  <c r="HA214" i="27"/>
  <c r="HA213" i="27"/>
  <c r="HA212" i="27"/>
  <c r="HA211" i="27"/>
  <c r="HA210" i="27"/>
  <c r="HA209" i="27"/>
  <c r="HA208" i="27"/>
  <c r="HA207" i="27"/>
  <c r="HA206" i="27"/>
  <c r="HA205" i="27"/>
  <c r="HA204" i="27"/>
  <c r="HA187" i="27"/>
  <c r="HA41" i="27"/>
  <c r="HA37" i="27"/>
  <c r="HA23" i="27"/>
  <c r="HA203" i="27"/>
  <c r="HA202" i="27"/>
  <c r="HA201" i="27"/>
  <c r="HA200" i="27"/>
  <c r="HA199" i="27"/>
  <c r="HA198" i="27"/>
  <c r="HA197" i="27"/>
  <c r="HA196" i="27"/>
  <c r="HA195" i="27"/>
  <c r="HA194" i="27"/>
  <c r="HA193" i="27"/>
  <c r="HA192" i="27"/>
  <c r="HA191" i="27"/>
  <c r="HA190" i="27"/>
  <c r="HA189" i="27"/>
  <c r="HA188" i="27"/>
  <c r="HA42" i="27"/>
  <c r="HA21" i="27"/>
  <c r="HA186" i="27"/>
  <c r="HA185" i="27"/>
  <c r="HA184" i="27"/>
  <c r="HA183" i="27"/>
  <c r="HA182" i="27"/>
  <c r="HA181" i="27"/>
  <c r="HA180" i="27"/>
  <c r="HA179" i="27"/>
  <c r="HA178" i="27"/>
  <c r="HA177" i="27"/>
  <c r="HA176" i="27"/>
  <c r="HA175" i="27"/>
  <c r="HA174" i="27"/>
  <c r="HA173" i="27"/>
  <c r="HA172" i="27"/>
  <c r="HA171" i="27"/>
  <c r="HA170" i="27"/>
  <c r="HA169" i="27"/>
  <c r="HA36" i="27"/>
  <c r="HA34" i="27"/>
  <c r="HA29" i="27"/>
  <c r="HA168" i="27"/>
  <c r="HA167" i="27"/>
  <c r="HA166" i="27"/>
  <c r="HA165" i="27"/>
  <c r="HA164" i="27"/>
  <c r="HA163" i="27"/>
  <c r="HA162" i="27"/>
  <c r="HA161" i="27"/>
  <c r="HA160" i="27"/>
  <c r="HA159" i="27"/>
  <c r="HA158" i="27"/>
  <c r="HA157" i="27"/>
  <c r="HA156" i="27"/>
  <c r="HA155" i="27"/>
  <c r="HA154" i="27"/>
  <c r="HA153" i="27"/>
  <c r="HA152" i="27"/>
  <c r="HA151" i="27"/>
  <c r="HA134" i="27"/>
  <c r="HA43" i="27"/>
  <c r="HA40" i="27"/>
  <c r="HA39" i="27"/>
  <c r="HA38" i="27"/>
  <c r="HA28" i="27"/>
  <c r="HA26" i="27"/>
  <c r="HA22" i="27"/>
  <c r="HA16" i="27"/>
  <c r="HA150" i="27"/>
  <c r="HA149" i="27"/>
  <c r="HA148" i="27"/>
  <c r="HA147" i="27"/>
  <c r="HA146" i="27"/>
  <c r="HA145" i="27"/>
  <c r="HA144" i="27"/>
  <c r="HA143" i="27"/>
  <c r="HA142" i="27"/>
  <c r="HA141" i="27"/>
  <c r="HA140" i="27"/>
  <c r="HA139" i="27"/>
  <c r="HA138" i="27"/>
  <c r="HA137" i="27"/>
  <c r="HA136" i="27"/>
  <c r="HA135" i="27"/>
  <c r="HA32" i="27"/>
  <c r="HA30" i="27"/>
  <c r="HA18" i="27"/>
  <c r="HA13" i="27"/>
  <c r="HA133" i="27"/>
  <c r="HA132" i="27"/>
  <c r="HA131" i="27"/>
  <c r="HA130" i="27"/>
  <c r="HA129" i="27"/>
  <c r="HA128" i="27"/>
  <c r="HA127" i="27"/>
  <c r="HA126" i="27"/>
  <c r="HA125" i="27"/>
  <c r="HA124" i="27"/>
  <c r="HA123" i="27"/>
  <c r="HA122" i="27"/>
  <c r="HA121" i="27"/>
  <c r="HA120" i="27"/>
  <c r="HA119" i="27"/>
  <c r="HA118" i="27"/>
  <c r="HA117" i="27"/>
  <c r="HA116" i="27"/>
  <c r="HA35" i="27"/>
  <c r="HA31" i="27"/>
  <c r="HA17" i="27"/>
  <c r="HA115" i="27"/>
  <c r="HA114" i="27"/>
  <c r="HA113" i="27"/>
  <c r="HA112" i="27"/>
  <c r="HA111" i="27"/>
  <c r="HA110" i="27"/>
  <c r="HA109" i="27"/>
  <c r="HA108" i="27"/>
  <c r="HA107" i="27"/>
  <c r="HA106" i="27"/>
  <c r="HA105" i="27"/>
  <c r="HA104" i="27"/>
  <c r="HA103" i="27"/>
  <c r="HA102" i="27"/>
  <c r="HA101" i="27"/>
  <c r="HA100" i="27"/>
  <c r="HA99" i="27"/>
  <c r="HA98" i="27"/>
  <c r="HA19" i="27"/>
  <c r="HA15" i="27"/>
  <c r="HA97" i="27"/>
  <c r="HA96" i="27"/>
  <c r="HA95" i="27"/>
  <c r="HA94" i="27"/>
  <c r="HA93" i="27"/>
  <c r="HA92" i="27"/>
  <c r="HA91" i="27"/>
  <c r="HA90" i="27"/>
  <c r="HA89" i="27"/>
  <c r="HA88" i="27"/>
  <c r="HA87" i="27"/>
  <c r="HA86" i="27"/>
  <c r="HA85" i="27"/>
  <c r="HA84" i="27"/>
  <c r="HA83" i="27"/>
  <c r="HA82" i="27"/>
  <c r="HA81" i="27"/>
  <c r="HA66" i="27"/>
  <c r="HA63" i="27"/>
  <c r="HA44" i="27"/>
  <c r="HA27" i="27"/>
  <c r="HA24" i="27"/>
  <c r="HA80" i="27"/>
  <c r="HA79" i="27"/>
  <c r="HA78" i="27"/>
  <c r="HA77" i="27"/>
  <c r="HA76" i="27"/>
  <c r="HA75" i="27"/>
  <c r="HA74" i="27"/>
  <c r="HA73" i="27"/>
  <c r="HA72" i="27"/>
  <c r="HA71" i="27"/>
  <c r="HA70" i="27"/>
  <c r="HA69" i="27"/>
  <c r="HA68" i="27"/>
  <c r="HA67" i="27"/>
  <c r="HA65" i="27"/>
  <c r="HA64" i="27"/>
  <c r="HA25" i="27"/>
  <c r="HA62" i="27"/>
  <c r="HA61" i="27"/>
  <c r="HA60" i="27"/>
  <c r="HA59" i="27"/>
  <c r="HA58" i="27"/>
  <c r="HA57" i="27"/>
  <c r="HA56" i="27"/>
  <c r="HA55" i="27"/>
  <c r="HA54" i="27"/>
  <c r="HA53" i="27"/>
  <c r="HA52" i="27"/>
  <c r="HA51" i="27"/>
  <c r="HA50" i="27"/>
  <c r="HA49" i="27"/>
  <c r="HA48" i="27"/>
  <c r="HA47" i="27"/>
  <c r="HA46" i="27"/>
  <c r="HA45" i="27"/>
  <c r="HA33" i="27"/>
  <c r="HA20" i="27"/>
  <c r="HA14" i="27"/>
  <c r="HA12" i="27"/>
  <c r="B34" i="105"/>
  <c r="B35" i="105" s="1"/>
  <c r="B36" i="105" s="1"/>
  <c r="B37" i="105" s="1"/>
  <c r="B38" i="105" s="1"/>
  <c r="B39" i="105" s="1"/>
  <c r="B40" i="105" s="1"/>
  <c r="B41" i="105" s="1"/>
  <c r="B42" i="105" s="1"/>
  <c r="B43" i="105" s="1"/>
  <c r="B44" i="105" s="1"/>
  <c r="B45" i="105" s="1"/>
  <c r="B46" i="105" s="1"/>
  <c r="B47" i="105" s="1"/>
  <c r="B48" i="105" s="1"/>
  <c r="B49" i="105" s="1"/>
  <c r="B50" i="105" s="1"/>
  <c r="B51" i="105" s="1"/>
  <c r="B52" i="105" s="1"/>
  <c r="B53" i="105" s="1"/>
  <c r="B54" i="105" s="1"/>
  <c r="B55" i="105" s="1"/>
  <c r="B56" i="105" s="1"/>
  <c r="B57" i="105" s="1"/>
  <c r="B58" i="105" s="1"/>
  <c r="B59" i="105" s="1"/>
  <c r="B60" i="105" s="1"/>
  <c r="B61" i="105" s="1"/>
  <c r="B62" i="105" s="1"/>
  <c r="B63" i="105" s="1"/>
  <c r="B64" i="105" s="1"/>
  <c r="B65" i="105" s="1"/>
  <c r="B66" i="105" s="1"/>
  <c r="B67" i="105" s="1"/>
  <c r="B68" i="105" s="1"/>
  <c r="B69" i="105" s="1"/>
  <c r="B70" i="105" s="1"/>
  <c r="B71" i="105" s="1"/>
  <c r="B72" i="105" s="1"/>
  <c r="GZ7" i="27"/>
  <c r="HB11" i="27"/>
  <c r="HC9" i="27"/>
  <c r="HB10" i="27"/>
  <c r="AF81" i="105"/>
  <c r="AE81" i="105"/>
  <c r="W81" i="105"/>
  <c r="V81" i="105"/>
  <c r="U81" i="105"/>
  <c r="T81" i="105"/>
  <c r="S81" i="105"/>
  <c r="R81" i="105"/>
  <c r="J89" i="105"/>
  <c r="J88" i="105"/>
  <c r="J87" i="105"/>
  <c r="T77" i="105"/>
  <c r="U77" i="105"/>
  <c r="V77" i="105"/>
  <c r="W77" i="105"/>
  <c r="AE77" i="105"/>
  <c r="AF77" i="105"/>
  <c r="S77" i="105"/>
  <c r="R77" i="105"/>
  <c r="J95" i="105" l="1"/>
  <c r="HB221" i="27"/>
  <c r="HB220" i="27"/>
  <c r="HB219" i="27"/>
  <c r="HB218" i="27"/>
  <c r="HB217" i="27"/>
  <c r="HB216" i="27"/>
  <c r="HB215" i="27"/>
  <c r="HB214" i="27"/>
  <c r="HB213" i="27"/>
  <c r="HB212" i="27"/>
  <c r="HB211" i="27"/>
  <c r="HB210" i="27"/>
  <c r="HB209" i="27"/>
  <c r="HB208" i="27"/>
  <c r="HB207" i="27"/>
  <c r="HB206" i="27"/>
  <c r="HB205" i="27"/>
  <c r="HB204" i="27"/>
  <c r="HB188" i="27"/>
  <c r="HB42" i="27"/>
  <c r="HB17" i="27"/>
  <c r="HB203" i="27"/>
  <c r="HB202" i="27"/>
  <c r="HB201" i="27"/>
  <c r="HB200" i="27"/>
  <c r="HB199" i="27"/>
  <c r="HB198" i="27"/>
  <c r="HB197" i="27"/>
  <c r="HB196" i="27"/>
  <c r="HB195" i="27"/>
  <c r="HB194" i="27"/>
  <c r="HB193" i="27"/>
  <c r="HB192" i="27"/>
  <c r="HB191" i="27"/>
  <c r="HB190" i="27"/>
  <c r="HB189" i="27"/>
  <c r="HB187" i="27"/>
  <c r="HB13" i="27"/>
  <c r="HB186" i="27"/>
  <c r="HB185" i="27"/>
  <c r="HB184" i="27"/>
  <c r="HB183" i="27"/>
  <c r="HB182" i="27"/>
  <c r="HB181" i="27"/>
  <c r="HB180" i="27"/>
  <c r="HB179" i="27"/>
  <c r="HB178" i="27"/>
  <c r="HB177" i="27"/>
  <c r="HB176" i="27"/>
  <c r="HB175" i="27"/>
  <c r="HB174" i="27"/>
  <c r="HB173" i="27"/>
  <c r="HB172" i="27"/>
  <c r="HB171" i="27"/>
  <c r="HB170" i="27"/>
  <c r="HB169" i="27"/>
  <c r="HB41" i="27"/>
  <c r="HB32" i="27"/>
  <c r="HB27" i="27"/>
  <c r="HB15" i="27"/>
  <c r="HB168" i="27"/>
  <c r="HB167" i="27"/>
  <c r="HB166" i="27"/>
  <c r="HB165" i="27"/>
  <c r="HB164" i="27"/>
  <c r="HB163" i="27"/>
  <c r="HB162" i="27"/>
  <c r="HB161" i="27"/>
  <c r="HB160" i="27"/>
  <c r="HB159" i="27"/>
  <c r="HB158" i="27"/>
  <c r="HB157" i="27"/>
  <c r="HB156" i="27"/>
  <c r="HB155" i="27"/>
  <c r="HB154" i="27"/>
  <c r="HB153" i="27"/>
  <c r="HB152" i="27"/>
  <c r="HB151" i="27"/>
  <c r="HB135" i="27"/>
  <c r="HB36" i="27"/>
  <c r="HB24" i="27"/>
  <c r="HB19" i="27"/>
  <c r="HB18" i="27"/>
  <c r="HB150" i="27"/>
  <c r="HB149" i="27"/>
  <c r="HB148" i="27"/>
  <c r="HB147" i="27"/>
  <c r="HB146" i="27"/>
  <c r="HB145" i="27"/>
  <c r="HB144" i="27"/>
  <c r="HB143" i="27"/>
  <c r="HB142" i="27"/>
  <c r="HB141" i="27"/>
  <c r="HB140" i="27"/>
  <c r="HB139" i="27"/>
  <c r="HB138" i="27"/>
  <c r="HB137" i="27"/>
  <c r="HB136" i="27"/>
  <c r="HB134" i="27"/>
  <c r="HB117" i="27"/>
  <c r="HB116" i="27"/>
  <c r="HB39" i="27"/>
  <c r="HB33" i="27"/>
  <c r="HB20" i="27"/>
  <c r="HB14" i="27"/>
  <c r="HB12" i="27"/>
  <c r="HB133" i="27"/>
  <c r="HB132" i="27"/>
  <c r="HB131" i="27"/>
  <c r="HB130" i="27"/>
  <c r="HB129" i="27"/>
  <c r="HB128" i="27"/>
  <c r="HB127" i="27"/>
  <c r="HB126" i="27"/>
  <c r="HB125" i="27"/>
  <c r="HB124" i="27"/>
  <c r="HB123" i="27"/>
  <c r="HB122" i="27"/>
  <c r="HB121" i="27"/>
  <c r="HB120" i="27"/>
  <c r="HB119" i="27"/>
  <c r="HB118" i="27"/>
  <c r="HB29" i="27"/>
  <c r="HB28" i="27"/>
  <c r="HB23" i="27"/>
  <c r="HB22" i="27"/>
  <c r="HB16" i="27"/>
  <c r="HB115" i="27"/>
  <c r="HB114" i="27"/>
  <c r="HB113" i="27"/>
  <c r="HB112" i="27"/>
  <c r="HB111" i="27"/>
  <c r="HB110" i="27"/>
  <c r="HB109" i="27"/>
  <c r="HB108" i="27"/>
  <c r="HB107" i="27"/>
  <c r="HB106" i="27"/>
  <c r="HB105" i="27"/>
  <c r="HB104" i="27"/>
  <c r="HB103" i="27"/>
  <c r="HB102" i="27"/>
  <c r="HB101" i="27"/>
  <c r="HB100" i="27"/>
  <c r="HB99" i="27"/>
  <c r="HB98" i="27"/>
  <c r="HB64" i="27"/>
  <c r="HB63" i="27"/>
  <c r="HB38" i="27"/>
  <c r="HB25" i="27"/>
  <c r="HB97" i="27"/>
  <c r="HB96" i="27"/>
  <c r="HB95" i="27"/>
  <c r="HB94" i="27"/>
  <c r="HB93" i="27"/>
  <c r="HB92" i="27"/>
  <c r="HB91" i="27"/>
  <c r="HB90" i="27"/>
  <c r="HB89" i="27"/>
  <c r="HB88" i="27"/>
  <c r="HB87" i="27"/>
  <c r="HB86" i="27"/>
  <c r="HB85" i="27"/>
  <c r="HB84" i="27"/>
  <c r="HB83" i="27"/>
  <c r="HB82" i="27"/>
  <c r="HB81" i="27"/>
  <c r="HB65" i="27"/>
  <c r="HB43" i="27"/>
  <c r="HB31" i="27"/>
  <c r="HB30" i="27"/>
  <c r="HB80" i="27"/>
  <c r="HB79" i="27"/>
  <c r="HB78" i="27"/>
  <c r="HB77" i="27"/>
  <c r="HB76" i="27"/>
  <c r="HB75" i="27"/>
  <c r="HB74" i="27"/>
  <c r="HB73" i="27"/>
  <c r="HB72" i="27"/>
  <c r="HB71" i="27"/>
  <c r="HB70" i="27"/>
  <c r="HB69" i="27"/>
  <c r="HB68" i="27"/>
  <c r="HB67" i="27"/>
  <c r="HB66" i="27"/>
  <c r="HB44" i="27"/>
  <c r="HB37" i="27"/>
  <c r="HB26" i="27"/>
  <c r="HB21" i="27"/>
  <c r="HB62" i="27"/>
  <c r="HB61" i="27"/>
  <c r="HB60" i="27"/>
  <c r="HB59" i="27"/>
  <c r="HB58" i="27"/>
  <c r="HB57" i="27"/>
  <c r="HB56" i="27"/>
  <c r="HB55" i="27"/>
  <c r="HB54" i="27"/>
  <c r="HB53" i="27"/>
  <c r="HB52" i="27"/>
  <c r="HB51" i="27"/>
  <c r="HB50" i="27"/>
  <c r="HB49" i="27"/>
  <c r="HB48" i="27"/>
  <c r="HB47" i="27"/>
  <c r="HB46" i="27"/>
  <c r="HB45" i="27"/>
  <c r="HB40" i="27"/>
  <c r="HB35" i="27"/>
  <c r="HB34" i="27"/>
  <c r="B73" i="105"/>
  <c r="B74" i="105" s="1"/>
  <c r="B75" i="105" s="1"/>
  <c r="B76" i="105" s="1"/>
  <c r="B77" i="105" s="1"/>
  <c r="HA7" i="27"/>
  <c r="HC10" i="27"/>
  <c r="HC11" i="27"/>
  <c r="HD9" i="27"/>
  <c r="AG81" i="105"/>
  <c r="J93" i="105"/>
  <c r="HC221" i="27" l="1"/>
  <c r="HC220" i="27"/>
  <c r="HC219" i="27"/>
  <c r="HC218" i="27"/>
  <c r="HC217" i="27"/>
  <c r="HC216" i="27"/>
  <c r="HC215" i="27"/>
  <c r="HC214" i="27"/>
  <c r="HC213" i="27"/>
  <c r="HC212" i="27"/>
  <c r="HC211" i="27"/>
  <c r="HC210" i="27"/>
  <c r="HC209" i="27"/>
  <c r="HC208" i="27"/>
  <c r="HC207" i="27"/>
  <c r="HC206" i="27"/>
  <c r="HC205" i="27"/>
  <c r="HC204" i="27"/>
  <c r="HC187" i="27"/>
  <c r="HC36" i="27"/>
  <c r="HC34" i="27"/>
  <c r="HC24" i="27"/>
  <c r="HC18" i="27"/>
  <c r="HC16" i="27"/>
  <c r="HC203" i="27"/>
  <c r="HC202" i="27"/>
  <c r="HC201" i="27"/>
  <c r="HC200" i="27"/>
  <c r="HC199" i="27"/>
  <c r="HC198" i="27"/>
  <c r="HC197" i="27"/>
  <c r="HC196" i="27"/>
  <c r="HC195" i="27"/>
  <c r="HC194" i="27"/>
  <c r="HC193" i="27"/>
  <c r="HC192" i="27"/>
  <c r="HC191" i="27"/>
  <c r="HC190" i="27"/>
  <c r="HC189" i="27"/>
  <c r="HC188" i="27"/>
  <c r="HC186" i="27"/>
  <c r="HC37" i="27"/>
  <c r="HC35" i="27"/>
  <c r="HC31" i="27"/>
  <c r="HC30" i="27"/>
  <c r="HC26" i="27"/>
  <c r="HC185" i="27"/>
  <c r="HC184" i="27"/>
  <c r="HC183" i="27"/>
  <c r="HC182" i="27"/>
  <c r="HC181" i="27"/>
  <c r="HC180" i="27"/>
  <c r="HC179" i="27"/>
  <c r="HC178" i="27"/>
  <c r="HC177" i="27"/>
  <c r="HC176" i="27"/>
  <c r="HC175" i="27"/>
  <c r="HC174" i="27"/>
  <c r="HC173" i="27"/>
  <c r="HC172" i="27"/>
  <c r="HC171" i="27"/>
  <c r="HC170" i="27"/>
  <c r="HC169" i="27"/>
  <c r="HC28" i="27"/>
  <c r="HC168" i="27"/>
  <c r="HC167" i="27"/>
  <c r="HC166" i="27"/>
  <c r="HC165" i="27"/>
  <c r="HC164" i="27"/>
  <c r="HC163" i="27"/>
  <c r="HC162" i="27"/>
  <c r="HC161" i="27"/>
  <c r="HC160" i="27"/>
  <c r="HC159" i="27"/>
  <c r="HC158" i="27"/>
  <c r="HC157" i="27"/>
  <c r="HC156" i="27"/>
  <c r="HC155" i="27"/>
  <c r="HC154" i="27"/>
  <c r="HC153" i="27"/>
  <c r="HC152" i="27"/>
  <c r="HC151" i="27"/>
  <c r="HC135" i="27"/>
  <c r="HC134" i="27"/>
  <c r="HC117" i="27"/>
  <c r="HC116" i="27"/>
  <c r="HC41" i="27"/>
  <c r="HC27" i="27"/>
  <c r="HC15" i="27"/>
  <c r="HC14" i="27"/>
  <c r="HC150" i="27"/>
  <c r="HC149" i="27"/>
  <c r="HC148" i="27"/>
  <c r="HC147" i="27"/>
  <c r="HC146" i="27"/>
  <c r="HC145" i="27"/>
  <c r="HC144" i="27"/>
  <c r="HC143" i="27"/>
  <c r="HC142" i="27"/>
  <c r="HC141" i="27"/>
  <c r="HC140" i="27"/>
  <c r="HC139" i="27"/>
  <c r="HC138" i="27"/>
  <c r="HC137" i="27"/>
  <c r="HC136" i="27"/>
  <c r="HC40" i="27"/>
  <c r="HC29" i="27"/>
  <c r="HC21" i="27"/>
  <c r="HC13" i="27"/>
  <c r="HC133" i="27"/>
  <c r="HC132" i="27"/>
  <c r="HC131" i="27"/>
  <c r="HC130" i="27"/>
  <c r="HC129" i="27"/>
  <c r="HC128" i="27"/>
  <c r="HC127" i="27"/>
  <c r="HC126" i="27"/>
  <c r="HC125" i="27"/>
  <c r="HC124" i="27"/>
  <c r="HC123" i="27"/>
  <c r="HC122" i="27"/>
  <c r="HC121" i="27"/>
  <c r="HC120" i="27"/>
  <c r="HC119" i="27"/>
  <c r="HC118" i="27"/>
  <c r="HC33" i="27"/>
  <c r="HC20" i="27"/>
  <c r="HC19" i="27"/>
  <c r="HC115" i="27"/>
  <c r="HC114" i="27"/>
  <c r="HC113" i="27"/>
  <c r="HC112" i="27"/>
  <c r="HC111" i="27"/>
  <c r="HC110" i="27"/>
  <c r="HC109" i="27"/>
  <c r="HC108" i="27"/>
  <c r="HC107" i="27"/>
  <c r="HC106" i="27"/>
  <c r="HC105" i="27"/>
  <c r="HC104" i="27"/>
  <c r="HC103" i="27"/>
  <c r="HC102" i="27"/>
  <c r="HC101" i="27"/>
  <c r="HC100" i="27"/>
  <c r="HC99" i="27"/>
  <c r="HC98" i="27"/>
  <c r="HC32" i="27"/>
  <c r="HC12" i="27"/>
  <c r="HC97" i="27"/>
  <c r="HC96" i="27"/>
  <c r="HC95" i="27"/>
  <c r="HC94" i="27"/>
  <c r="HC93" i="27"/>
  <c r="HC92" i="27"/>
  <c r="HC91" i="27"/>
  <c r="HC90" i="27"/>
  <c r="HC89" i="27"/>
  <c r="HC88" i="27"/>
  <c r="HC87" i="27"/>
  <c r="HC86" i="27"/>
  <c r="HC85" i="27"/>
  <c r="HC84" i="27"/>
  <c r="HC83" i="27"/>
  <c r="HC82" i="27"/>
  <c r="HC81" i="27"/>
  <c r="HC66" i="27"/>
  <c r="HC64" i="27"/>
  <c r="HC42" i="27"/>
  <c r="HC39" i="27"/>
  <c r="HC38" i="27"/>
  <c r="HC25" i="27"/>
  <c r="HC80" i="27"/>
  <c r="HC79" i="27"/>
  <c r="HC78" i="27"/>
  <c r="HC77" i="27"/>
  <c r="HC76" i="27"/>
  <c r="HC75" i="27"/>
  <c r="HC74" i="27"/>
  <c r="HC73" i="27"/>
  <c r="HC72" i="27"/>
  <c r="HC71" i="27"/>
  <c r="HC70" i="27"/>
  <c r="HC69" i="27"/>
  <c r="HC68" i="27"/>
  <c r="HC67" i="27"/>
  <c r="HC65" i="27"/>
  <c r="HC63" i="27"/>
  <c r="HC43" i="27"/>
  <c r="HC22" i="27"/>
  <c r="HC62" i="27"/>
  <c r="HC61" i="27"/>
  <c r="HC60" i="27"/>
  <c r="HC59" i="27"/>
  <c r="HC58" i="27"/>
  <c r="HC57" i="27"/>
  <c r="HC56" i="27"/>
  <c r="HC55" i="27"/>
  <c r="HC54" i="27"/>
  <c r="HC53" i="27"/>
  <c r="HC52" i="27"/>
  <c r="HC51" i="27"/>
  <c r="HC50" i="27"/>
  <c r="HC49" i="27"/>
  <c r="HC48" i="27"/>
  <c r="HC47" i="27"/>
  <c r="HC46" i="27"/>
  <c r="HC45" i="27"/>
  <c r="HC44" i="27"/>
  <c r="HC23" i="27"/>
  <c r="HC17" i="27"/>
  <c r="B78" i="105"/>
  <c r="B79" i="105" s="1"/>
  <c r="B80" i="105" s="1"/>
  <c r="B81" i="105" s="1"/>
  <c r="E24" i="202"/>
  <c r="F24" i="202" s="1"/>
  <c r="E25" i="202"/>
  <c r="F25" i="202" s="1"/>
  <c r="E26" i="202"/>
  <c r="F26" i="202" s="1"/>
  <c r="E22" i="202"/>
  <c r="F22" i="202" s="1"/>
  <c r="N22" i="202" s="1"/>
  <c r="E21" i="202"/>
  <c r="F21" i="202" s="1"/>
  <c r="E20" i="202"/>
  <c r="E19" i="202"/>
  <c r="F19" i="202" s="1"/>
  <c r="HD11" i="27"/>
  <c r="HD10" i="27"/>
  <c r="HE9" i="27"/>
  <c r="HD221" i="27" l="1"/>
  <c r="HD220" i="27"/>
  <c r="HD219" i="27"/>
  <c r="HD218" i="27"/>
  <c r="HD217" i="27"/>
  <c r="HD216" i="27"/>
  <c r="HD215" i="27"/>
  <c r="HD214" i="27"/>
  <c r="HD213" i="27"/>
  <c r="HD212" i="27"/>
  <c r="HD211" i="27"/>
  <c r="HD210" i="27"/>
  <c r="HD209" i="27"/>
  <c r="HD208" i="27"/>
  <c r="HD207" i="27"/>
  <c r="HD206" i="27"/>
  <c r="HD205" i="27"/>
  <c r="HD204" i="27"/>
  <c r="HD188" i="27"/>
  <c r="HD187" i="27"/>
  <c r="HD186" i="27"/>
  <c r="HD39" i="27"/>
  <c r="HD32" i="27"/>
  <c r="HD30" i="27"/>
  <c r="HD203" i="27"/>
  <c r="HD202" i="27"/>
  <c r="HD201" i="27"/>
  <c r="HD200" i="27"/>
  <c r="HD199" i="27"/>
  <c r="HD198" i="27"/>
  <c r="HD197" i="27"/>
  <c r="HD196" i="27"/>
  <c r="HD195" i="27"/>
  <c r="HD194" i="27"/>
  <c r="HD193" i="27"/>
  <c r="HD192" i="27"/>
  <c r="HD191" i="27"/>
  <c r="HD190" i="27"/>
  <c r="HD189" i="27"/>
  <c r="HD24" i="27"/>
  <c r="HD185" i="27"/>
  <c r="HD184" i="27"/>
  <c r="HD183" i="27"/>
  <c r="HD182" i="27"/>
  <c r="HD181" i="27"/>
  <c r="HD180" i="27"/>
  <c r="HD179" i="27"/>
  <c r="HD178" i="27"/>
  <c r="HD177" i="27"/>
  <c r="HD176" i="27"/>
  <c r="HD175" i="27"/>
  <c r="HD174" i="27"/>
  <c r="HD173" i="27"/>
  <c r="HD172" i="27"/>
  <c r="HD171" i="27"/>
  <c r="HD170" i="27"/>
  <c r="HD169" i="27"/>
  <c r="HD38" i="27"/>
  <c r="HD29" i="27"/>
  <c r="HD16" i="27"/>
  <c r="HD168" i="27"/>
  <c r="HD167" i="27"/>
  <c r="HD166" i="27"/>
  <c r="HD165" i="27"/>
  <c r="HD164" i="27"/>
  <c r="HD163" i="27"/>
  <c r="HD162" i="27"/>
  <c r="HD161" i="27"/>
  <c r="HD160" i="27"/>
  <c r="HD159" i="27"/>
  <c r="HD158" i="27"/>
  <c r="HD157" i="27"/>
  <c r="HD156" i="27"/>
  <c r="HD155" i="27"/>
  <c r="HD154" i="27"/>
  <c r="HD153" i="27"/>
  <c r="HD152" i="27"/>
  <c r="HD151" i="27"/>
  <c r="HD134" i="27"/>
  <c r="HD42" i="27"/>
  <c r="HD35" i="27"/>
  <c r="HD33" i="27"/>
  <c r="HD31" i="27"/>
  <c r="HD21" i="27"/>
  <c r="HD150" i="27"/>
  <c r="HD149" i="27"/>
  <c r="HD148" i="27"/>
  <c r="HD147" i="27"/>
  <c r="HD146" i="27"/>
  <c r="HD145" i="27"/>
  <c r="HD144" i="27"/>
  <c r="HD143" i="27"/>
  <c r="HD142" i="27"/>
  <c r="HD141" i="27"/>
  <c r="HD140" i="27"/>
  <c r="HD139" i="27"/>
  <c r="HD138" i="27"/>
  <c r="HD137" i="27"/>
  <c r="HD136" i="27"/>
  <c r="HD135" i="27"/>
  <c r="HD34" i="27"/>
  <c r="HD27" i="27"/>
  <c r="HD23" i="27"/>
  <c r="HD17" i="27"/>
  <c r="HD15" i="27"/>
  <c r="HD133" i="27"/>
  <c r="HD132" i="27"/>
  <c r="HD131" i="27"/>
  <c r="HD130" i="27"/>
  <c r="HD129" i="27"/>
  <c r="HD128" i="27"/>
  <c r="HD127" i="27"/>
  <c r="HD126" i="27"/>
  <c r="HD125" i="27"/>
  <c r="HD124" i="27"/>
  <c r="HD123" i="27"/>
  <c r="HD122" i="27"/>
  <c r="HD121" i="27"/>
  <c r="HD120" i="27"/>
  <c r="HD119" i="27"/>
  <c r="HD118" i="27"/>
  <c r="HD117" i="27"/>
  <c r="HD116" i="27"/>
  <c r="HD43" i="27"/>
  <c r="HD36" i="27"/>
  <c r="HD26" i="27"/>
  <c r="HD25" i="27"/>
  <c r="HD13" i="27"/>
  <c r="HD115" i="27"/>
  <c r="HD114" i="27"/>
  <c r="HD113" i="27"/>
  <c r="HD112" i="27"/>
  <c r="HD111" i="27"/>
  <c r="HD110" i="27"/>
  <c r="HD109" i="27"/>
  <c r="HD108" i="27"/>
  <c r="HD107" i="27"/>
  <c r="HD106" i="27"/>
  <c r="HD105" i="27"/>
  <c r="HD104" i="27"/>
  <c r="HD103" i="27"/>
  <c r="HD102" i="27"/>
  <c r="HD101" i="27"/>
  <c r="HD100" i="27"/>
  <c r="HD99" i="27"/>
  <c r="HD98" i="27"/>
  <c r="HD64" i="27"/>
  <c r="HD44" i="27"/>
  <c r="HD97" i="27"/>
  <c r="HD96" i="27"/>
  <c r="HD95" i="27"/>
  <c r="HD94" i="27"/>
  <c r="HD93" i="27"/>
  <c r="HD92" i="27"/>
  <c r="HD91" i="27"/>
  <c r="HD90" i="27"/>
  <c r="HD89" i="27"/>
  <c r="HD88" i="27"/>
  <c r="HD87" i="27"/>
  <c r="HD86" i="27"/>
  <c r="HD85" i="27"/>
  <c r="HD84" i="27"/>
  <c r="HD83" i="27"/>
  <c r="HD82" i="27"/>
  <c r="HD81" i="27"/>
  <c r="HD65" i="27"/>
  <c r="HD63" i="27"/>
  <c r="HD41" i="27"/>
  <c r="HD40" i="27"/>
  <c r="HD28" i="27"/>
  <c r="HD18" i="27"/>
  <c r="HD80" i="27"/>
  <c r="HD79" i="27"/>
  <c r="HD78" i="27"/>
  <c r="HD77" i="27"/>
  <c r="HD76" i="27"/>
  <c r="HD75" i="27"/>
  <c r="HD74" i="27"/>
  <c r="HD73" i="27"/>
  <c r="HD72" i="27"/>
  <c r="HD71" i="27"/>
  <c r="HD70" i="27"/>
  <c r="HD69" i="27"/>
  <c r="HD68" i="27"/>
  <c r="HD67" i="27"/>
  <c r="HD66" i="27"/>
  <c r="HD62" i="27"/>
  <c r="HD61" i="27"/>
  <c r="HD60" i="27"/>
  <c r="HD59" i="27"/>
  <c r="HD58" i="27"/>
  <c r="HD57" i="27"/>
  <c r="HD56" i="27"/>
  <c r="HD55" i="27"/>
  <c r="HD54" i="27"/>
  <c r="HD53" i="27"/>
  <c r="HD52" i="27"/>
  <c r="HD51" i="27"/>
  <c r="HD50" i="27"/>
  <c r="HD49" i="27"/>
  <c r="HD48" i="27"/>
  <c r="HD47" i="27"/>
  <c r="HD46" i="27"/>
  <c r="HD45" i="27"/>
  <c r="HD37" i="27"/>
  <c r="HD22" i="27"/>
  <c r="HD20" i="27"/>
  <c r="HD19" i="27"/>
  <c r="HD14" i="27"/>
  <c r="HD12" i="27"/>
  <c r="F20" i="202"/>
  <c r="N20" i="202" s="1"/>
  <c r="P20" i="202" s="1"/>
  <c r="N26" i="202"/>
  <c r="P26" i="202" s="1"/>
  <c r="O26" i="202"/>
  <c r="K26" i="202"/>
  <c r="J26" i="202"/>
  <c r="L26" i="202" s="1"/>
  <c r="K25" i="202"/>
  <c r="O25" i="202"/>
  <c r="I25" i="202"/>
  <c r="J25" i="202" s="1"/>
  <c r="L25" i="202" s="1"/>
  <c r="N24" i="202"/>
  <c r="P24" i="202" s="1"/>
  <c r="K24" i="202"/>
  <c r="O24" i="202"/>
  <c r="J24" i="202"/>
  <c r="L24" i="202" s="1"/>
  <c r="N21" i="202"/>
  <c r="P21" i="202" s="1"/>
  <c r="I19" i="202"/>
  <c r="J19" i="202" s="1"/>
  <c r="L19" i="202" s="1"/>
  <c r="J22" i="202"/>
  <c r="L22" i="202" s="1"/>
  <c r="P22" i="202"/>
  <c r="K21" i="202"/>
  <c r="I21" i="202"/>
  <c r="J21" i="202" s="1"/>
  <c r="L21" i="202" s="1"/>
  <c r="K22" i="202"/>
  <c r="O22" i="202"/>
  <c r="O19" i="202"/>
  <c r="O21" i="202"/>
  <c r="K19" i="202"/>
  <c r="HE10" i="27"/>
  <c r="HF9" i="27"/>
  <c r="HE11" i="27"/>
  <c r="HE221" i="27" l="1"/>
  <c r="HE220" i="27"/>
  <c r="HE219" i="27"/>
  <c r="HE218" i="27"/>
  <c r="HE217" i="27"/>
  <c r="HE216" i="27"/>
  <c r="HE215" i="27"/>
  <c r="HE214" i="27"/>
  <c r="HE213" i="27"/>
  <c r="HE212" i="27"/>
  <c r="HE211" i="27"/>
  <c r="HE210" i="27"/>
  <c r="HE209" i="27"/>
  <c r="HE208" i="27"/>
  <c r="HE207" i="27"/>
  <c r="HE206" i="27"/>
  <c r="HE205" i="27"/>
  <c r="HE204" i="27"/>
  <c r="HE35" i="27"/>
  <c r="HE33" i="27"/>
  <c r="HE25" i="27"/>
  <c r="HE12" i="27"/>
  <c r="HE203" i="27"/>
  <c r="HE202" i="27"/>
  <c r="HE201" i="27"/>
  <c r="HE200" i="27"/>
  <c r="HE199" i="27"/>
  <c r="HE198" i="27"/>
  <c r="HE197" i="27"/>
  <c r="HE196" i="27"/>
  <c r="HE195" i="27"/>
  <c r="HE194" i="27"/>
  <c r="HE193" i="27"/>
  <c r="HE192" i="27"/>
  <c r="HE191" i="27"/>
  <c r="HE190" i="27"/>
  <c r="HE189" i="27"/>
  <c r="HE188" i="27"/>
  <c r="HE187" i="27"/>
  <c r="HE186" i="27"/>
  <c r="HE21" i="27"/>
  <c r="HE18" i="27"/>
  <c r="HE15" i="27"/>
  <c r="HE185" i="27"/>
  <c r="HE184" i="27"/>
  <c r="HE183" i="27"/>
  <c r="HE182" i="27"/>
  <c r="HE181" i="27"/>
  <c r="HE180" i="27"/>
  <c r="HE179" i="27"/>
  <c r="HE178" i="27"/>
  <c r="HE177" i="27"/>
  <c r="HE176" i="27"/>
  <c r="HE175" i="27"/>
  <c r="HE174" i="27"/>
  <c r="HE173" i="27"/>
  <c r="HE172" i="27"/>
  <c r="HE171" i="27"/>
  <c r="HE170" i="27"/>
  <c r="HE169" i="27"/>
  <c r="HE20" i="27"/>
  <c r="HE19" i="27"/>
  <c r="HE17" i="27"/>
  <c r="HE168" i="27"/>
  <c r="HE167" i="27"/>
  <c r="HE166" i="27"/>
  <c r="HE165" i="27"/>
  <c r="HE164" i="27"/>
  <c r="HE163" i="27"/>
  <c r="HE162" i="27"/>
  <c r="HE161" i="27"/>
  <c r="HE160" i="27"/>
  <c r="HE159" i="27"/>
  <c r="HE158" i="27"/>
  <c r="HE157" i="27"/>
  <c r="HE156" i="27"/>
  <c r="HE155" i="27"/>
  <c r="HE154" i="27"/>
  <c r="HE153" i="27"/>
  <c r="HE152" i="27"/>
  <c r="HE151" i="27"/>
  <c r="HE135" i="27"/>
  <c r="HE116" i="27"/>
  <c r="HE40" i="27"/>
  <c r="HE30" i="27"/>
  <c r="HE28" i="27"/>
  <c r="HE23" i="27"/>
  <c r="HE13" i="27"/>
  <c r="HE150" i="27"/>
  <c r="HE149" i="27"/>
  <c r="HE148" i="27"/>
  <c r="HE147" i="27"/>
  <c r="HE146" i="27"/>
  <c r="HE145" i="27"/>
  <c r="HE144" i="27"/>
  <c r="HE143" i="27"/>
  <c r="HE142" i="27"/>
  <c r="HE141" i="27"/>
  <c r="HE140" i="27"/>
  <c r="HE139" i="27"/>
  <c r="HE138" i="27"/>
  <c r="HE137" i="27"/>
  <c r="HE136" i="27"/>
  <c r="HE134" i="27"/>
  <c r="HE117" i="27"/>
  <c r="HE41" i="27"/>
  <c r="HE37" i="27"/>
  <c r="HE133" i="27"/>
  <c r="HE132" i="27"/>
  <c r="HE131" i="27"/>
  <c r="HE130" i="27"/>
  <c r="HE129" i="27"/>
  <c r="HE128" i="27"/>
  <c r="HE127" i="27"/>
  <c r="HE126" i="27"/>
  <c r="HE125" i="27"/>
  <c r="HE124" i="27"/>
  <c r="HE123" i="27"/>
  <c r="HE122" i="27"/>
  <c r="HE121" i="27"/>
  <c r="HE120" i="27"/>
  <c r="HE119" i="27"/>
  <c r="HE118" i="27"/>
  <c r="HE38" i="27"/>
  <c r="HE32" i="27"/>
  <c r="HE115" i="27"/>
  <c r="HE114" i="27"/>
  <c r="HE113" i="27"/>
  <c r="HE112" i="27"/>
  <c r="HE111" i="27"/>
  <c r="HE110" i="27"/>
  <c r="HE109" i="27"/>
  <c r="HE108" i="27"/>
  <c r="HE107" i="27"/>
  <c r="HE106" i="27"/>
  <c r="HE105" i="27"/>
  <c r="HE104" i="27"/>
  <c r="HE103" i="27"/>
  <c r="HE102" i="27"/>
  <c r="HE101" i="27"/>
  <c r="HE100" i="27"/>
  <c r="HE99" i="27"/>
  <c r="HE98" i="27"/>
  <c r="HE63" i="27"/>
  <c r="HE42" i="27"/>
  <c r="HE34" i="27"/>
  <c r="HE16" i="27"/>
  <c r="HE97" i="27"/>
  <c r="HE96" i="27"/>
  <c r="HE95" i="27"/>
  <c r="HE94" i="27"/>
  <c r="HE93" i="27"/>
  <c r="HE92" i="27"/>
  <c r="HE91" i="27"/>
  <c r="HE90" i="27"/>
  <c r="HE89" i="27"/>
  <c r="HE88" i="27"/>
  <c r="HE87" i="27"/>
  <c r="HE86" i="27"/>
  <c r="HE85" i="27"/>
  <c r="HE84" i="27"/>
  <c r="HE83" i="27"/>
  <c r="HE82" i="27"/>
  <c r="HE81" i="27"/>
  <c r="HE44" i="27"/>
  <c r="HE43" i="27"/>
  <c r="HE26" i="27"/>
  <c r="HE22" i="27"/>
  <c r="HE80" i="27"/>
  <c r="HE79" i="27"/>
  <c r="HE78" i="27"/>
  <c r="HE77" i="27"/>
  <c r="HE76" i="27"/>
  <c r="HE75" i="27"/>
  <c r="HE74" i="27"/>
  <c r="HE73" i="27"/>
  <c r="HE72" i="27"/>
  <c r="HE71" i="27"/>
  <c r="HE70" i="27"/>
  <c r="HE69" i="27"/>
  <c r="HE68" i="27"/>
  <c r="HE67" i="27"/>
  <c r="HE66" i="27"/>
  <c r="HE65" i="27"/>
  <c r="HE64" i="27"/>
  <c r="HE31" i="27"/>
  <c r="HE24" i="27"/>
  <c r="HE14" i="27"/>
  <c r="HE62" i="27"/>
  <c r="HE61" i="27"/>
  <c r="HE60" i="27"/>
  <c r="HE59" i="27"/>
  <c r="HE58" i="27"/>
  <c r="HE57" i="27"/>
  <c r="HE56" i="27"/>
  <c r="HE55" i="27"/>
  <c r="HE54" i="27"/>
  <c r="HE53" i="27"/>
  <c r="HE52" i="27"/>
  <c r="HE51" i="27"/>
  <c r="HE50" i="27"/>
  <c r="HE49" i="27"/>
  <c r="HE48" i="27"/>
  <c r="HE47" i="27"/>
  <c r="HE46" i="27"/>
  <c r="HE45" i="27"/>
  <c r="HE39" i="27"/>
  <c r="HE36" i="27"/>
  <c r="HE29" i="27"/>
  <c r="HE27" i="27"/>
  <c r="N19" i="202"/>
  <c r="P19" i="202" s="1"/>
  <c r="O20" i="202"/>
  <c r="K20" i="202"/>
  <c r="J20" i="202"/>
  <c r="L20" i="202" s="1"/>
  <c r="N25" i="202"/>
  <c r="P25" i="202" s="1"/>
  <c r="HG9" i="27"/>
  <c r="HF11" i="27"/>
  <c r="HF10" i="27"/>
  <c r="I92" i="105"/>
  <c r="K92" i="105" s="1"/>
  <c r="L92" i="105" s="1"/>
  <c r="HF221" i="27" l="1"/>
  <c r="HF220" i="27"/>
  <c r="HF219" i="27"/>
  <c r="HF218" i="27"/>
  <c r="HF217" i="27"/>
  <c r="HF216" i="27"/>
  <c r="HF215" i="27"/>
  <c r="HF214" i="27"/>
  <c r="HF213" i="27"/>
  <c r="HF212" i="27"/>
  <c r="HF211" i="27"/>
  <c r="HF210" i="27"/>
  <c r="HF209" i="27"/>
  <c r="HF208" i="27"/>
  <c r="HF207" i="27"/>
  <c r="HF206" i="27"/>
  <c r="HF205" i="27"/>
  <c r="HF204" i="27"/>
  <c r="HF188" i="27"/>
  <c r="HF187" i="27"/>
  <c r="HF186" i="27"/>
  <c r="HF31" i="27"/>
  <c r="HF203" i="27"/>
  <c r="HF202" i="27"/>
  <c r="HF201" i="27"/>
  <c r="HF200" i="27"/>
  <c r="HF199" i="27"/>
  <c r="HF198" i="27"/>
  <c r="HF197" i="27"/>
  <c r="HF196" i="27"/>
  <c r="HF195" i="27"/>
  <c r="HF194" i="27"/>
  <c r="HF193" i="27"/>
  <c r="HF192" i="27"/>
  <c r="HF191" i="27"/>
  <c r="HF190" i="27"/>
  <c r="HF189" i="27"/>
  <c r="HF32" i="27"/>
  <c r="HF14" i="27"/>
  <c r="HF185" i="27"/>
  <c r="HF184" i="27"/>
  <c r="HF183" i="27"/>
  <c r="HF182" i="27"/>
  <c r="HF181" i="27"/>
  <c r="HF180" i="27"/>
  <c r="HF179" i="27"/>
  <c r="HF178" i="27"/>
  <c r="HF177" i="27"/>
  <c r="HF176" i="27"/>
  <c r="HF175" i="27"/>
  <c r="HF174" i="27"/>
  <c r="HF173" i="27"/>
  <c r="HF172" i="27"/>
  <c r="HF171" i="27"/>
  <c r="HF170" i="27"/>
  <c r="HF169" i="27"/>
  <c r="HF39" i="27"/>
  <c r="HF168" i="27"/>
  <c r="HF167" i="27"/>
  <c r="HF166" i="27"/>
  <c r="HF165" i="27"/>
  <c r="HF164" i="27"/>
  <c r="HF163" i="27"/>
  <c r="HF162" i="27"/>
  <c r="HF161" i="27"/>
  <c r="HF160" i="27"/>
  <c r="HF159" i="27"/>
  <c r="HF158" i="27"/>
  <c r="HF157" i="27"/>
  <c r="HF156" i="27"/>
  <c r="HF155" i="27"/>
  <c r="HF154" i="27"/>
  <c r="HF153" i="27"/>
  <c r="HF152" i="27"/>
  <c r="HF151" i="27"/>
  <c r="HF134" i="27"/>
  <c r="HF117" i="27"/>
  <c r="HF41" i="27"/>
  <c r="HF34" i="27"/>
  <c r="HF26" i="27"/>
  <c r="HF20" i="27"/>
  <c r="HF18" i="27"/>
  <c r="HF150" i="27"/>
  <c r="HF149" i="27"/>
  <c r="HF148" i="27"/>
  <c r="HF147" i="27"/>
  <c r="HF146" i="27"/>
  <c r="HF145" i="27"/>
  <c r="HF144" i="27"/>
  <c r="HF143" i="27"/>
  <c r="HF142" i="27"/>
  <c r="HF141" i="27"/>
  <c r="HF140" i="27"/>
  <c r="HF139" i="27"/>
  <c r="HF138" i="27"/>
  <c r="HF137" i="27"/>
  <c r="HF136" i="27"/>
  <c r="HF135" i="27"/>
  <c r="HF116" i="27"/>
  <c r="HF38" i="27"/>
  <c r="HF36" i="27"/>
  <c r="HF25" i="27"/>
  <c r="HF22" i="27"/>
  <c r="HF19" i="27"/>
  <c r="HF133" i="27"/>
  <c r="HF132" i="27"/>
  <c r="HF131" i="27"/>
  <c r="HF130" i="27"/>
  <c r="HF129" i="27"/>
  <c r="HF128" i="27"/>
  <c r="HF127" i="27"/>
  <c r="HF126" i="27"/>
  <c r="HF125" i="27"/>
  <c r="HF124" i="27"/>
  <c r="HF123" i="27"/>
  <c r="HF122" i="27"/>
  <c r="HF121" i="27"/>
  <c r="HF120" i="27"/>
  <c r="HF119" i="27"/>
  <c r="HF118" i="27"/>
  <c r="HF27" i="27"/>
  <c r="HF16" i="27"/>
  <c r="HF115" i="27"/>
  <c r="HF114" i="27"/>
  <c r="HF113" i="27"/>
  <c r="HF112" i="27"/>
  <c r="HF111" i="27"/>
  <c r="HF110" i="27"/>
  <c r="HF109" i="27"/>
  <c r="HF108" i="27"/>
  <c r="HF107" i="27"/>
  <c r="HF106" i="27"/>
  <c r="HF105" i="27"/>
  <c r="HF104" i="27"/>
  <c r="HF103" i="27"/>
  <c r="HF102" i="27"/>
  <c r="HF101" i="27"/>
  <c r="HF100" i="27"/>
  <c r="HF99" i="27"/>
  <c r="HF98" i="27"/>
  <c r="HF44" i="27"/>
  <c r="HF40" i="27"/>
  <c r="HF28" i="27"/>
  <c r="HF97" i="27"/>
  <c r="HF96" i="27"/>
  <c r="HF95" i="27"/>
  <c r="HF94" i="27"/>
  <c r="HF93" i="27"/>
  <c r="HF92" i="27"/>
  <c r="HF91" i="27"/>
  <c r="HF90" i="27"/>
  <c r="HF89" i="27"/>
  <c r="HF88" i="27"/>
  <c r="HF87" i="27"/>
  <c r="HF86" i="27"/>
  <c r="HF85" i="27"/>
  <c r="HF84" i="27"/>
  <c r="HF83" i="27"/>
  <c r="HF82" i="27"/>
  <c r="HF81" i="27"/>
  <c r="HF66" i="27"/>
  <c r="HF65" i="27"/>
  <c r="HF64" i="27"/>
  <c r="HF37" i="27"/>
  <c r="HF33" i="27"/>
  <c r="HF29" i="27"/>
  <c r="HF24" i="27"/>
  <c r="HF23" i="27"/>
  <c r="HF21" i="27"/>
  <c r="HF80" i="27"/>
  <c r="HF79" i="27"/>
  <c r="HF78" i="27"/>
  <c r="HF77" i="27"/>
  <c r="HF76" i="27"/>
  <c r="HF75" i="27"/>
  <c r="HF74" i="27"/>
  <c r="HF73" i="27"/>
  <c r="HF72" i="27"/>
  <c r="HF71" i="27"/>
  <c r="HF70" i="27"/>
  <c r="HF69" i="27"/>
  <c r="HF68" i="27"/>
  <c r="HF67" i="27"/>
  <c r="HF63" i="27"/>
  <c r="HF15" i="27"/>
  <c r="HF12" i="27"/>
  <c r="HF62" i="27"/>
  <c r="HF61" i="27"/>
  <c r="HF60" i="27"/>
  <c r="HF59" i="27"/>
  <c r="HF58" i="27"/>
  <c r="HF57" i="27"/>
  <c r="HF56" i="27"/>
  <c r="HF55" i="27"/>
  <c r="HF54" i="27"/>
  <c r="HF53" i="27"/>
  <c r="HF52" i="27"/>
  <c r="HF51" i="27"/>
  <c r="HF50" i="27"/>
  <c r="HF49" i="27"/>
  <c r="HF48" i="27"/>
  <c r="HF47" i="27"/>
  <c r="HF46" i="27"/>
  <c r="HF45" i="27"/>
  <c r="HF43" i="27"/>
  <c r="HF42" i="27"/>
  <c r="HF35" i="27"/>
  <c r="HF30" i="27"/>
  <c r="HF17" i="27"/>
  <c r="HF13" i="27"/>
  <c r="HH9" i="27"/>
  <c r="HG11" i="27"/>
  <c r="HG10" i="27"/>
  <c r="HG221" i="27" l="1"/>
  <c r="HG220" i="27"/>
  <c r="HG219" i="27"/>
  <c r="HG218" i="27"/>
  <c r="HG217" i="27"/>
  <c r="HG216" i="27"/>
  <c r="HG215" i="27"/>
  <c r="HG214" i="27"/>
  <c r="HG213" i="27"/>
  <c r="HG212" i="27"/>
  <c r="HG211" i="27"/>
  <c r="HG210" i="27"/>
  <c r="HG209" i="27"/>
  <c r="HG208" i="27"/>
  <c r="HG207" i="27"/>
  <c r="HG206" i="27"/>
  <c r="HG205" i="27"/>
  <c r="HG204" i="27"/>
  <c r="HG28" i="27"/>
  <c r="HG203" i="27"/>
  <c r="HG202" i="27"/>
  <c r="HG201" i="27"/>
  <c r="HG200" i="27"/>
  <c r="HG199" i="27"/>
  <c r="HG198" i="27"/>
  <c r="HG197" i="27"/>
  <c r="HG196" i="27"/>
  <c r="HG195" i="27"/>
  <c r="HG194" i="27"/>
  <c r="HG193" i="27"/>
  <c r="HG192" i="27"/>
  <c r="HG191" i="27"/>
  <c r="HG190" i="27"/>
  <c r="HG189" i="27"/>
  <c r="HG188" i="27"/>
  <c r="HG187" i="27"/>
  <c r="HG186" i="27"/>
  <c r="HG39" i="27"/>
  <c r="HG38" i="27"/>
  <c r="HG23" i="27"/>
  <c r="HG185" i="27"/>
  <c r="HG184" i="27"/>
  <c r="HG183" i="27"/>
  <c r="HG182" i="27"/>
  <c r="HG181" i="27"/>
  <c r="HG180" i="27"/>
  <c r="HG179" i="27"/>
  <c r="HG178" i="27"/>
  <c r="HG177" i="27"/>
  <c r="HG176" i="27"/>
  <c r="HG175" i="27"/>
  <c r="HG174" i="27"/>
  <c r="HG173" i="27"/>
  <c r="HG172" i="27"/>
  <c r="HG171" i="27"/>
  <c r="HG170" i="27"/>
  <c r="HG169" i="27"/>
  <c r="HG24" i="27"/>
  <c r="HG22" i="27"/>
  <c r="HG15" i="27"/>
  <c r="HG168" i="27"/>
  <c r="HG167" i="27"/>
  <c r="HG166" i="27"/>
  <c r="HG165" i="27"/>
  <c r="HG164" i="27"/>
  <c r="HG163" i="27"/>
  <c r="HG162" i="27"/>
  <c r="HG161" i="27"/>
  <c r="HG160" i="27"/>
  <c r="HG159" i="27"/>
  <c r="HG158" i="27"/>
  <c r="HG157" i="27"/>
  <c r="HG156" i="27"/>
  <c r="HG155" i="27"/>
  <c r="HG154" i="27"/>
  <c r="HG153" i="27"/>
  <c r="HG152" i="27"/>
  <c r="HG151" i="27"/>
  <c r="HG135" i="27"/>
  <c r="HG36" i="27"/>
  <c r="HG27" i="27"/>
  <c r="HG21" i="27"/>
  <c r="HG150" i="27"/>
  <c r="HG149" i="27"/>
  <c r="HG148" i="27"/>
  <c r="HG147" i="27"/>
  <c r="HG146" i="27"/>
  <c r="HG145" i="27"/>
  <c r="HG144" i="27"/>
  <c r="HG143" i="27"/>
  <c r="HG142" i="27"/>
  <c r="HG141" i="27"/>
  <c r="HG140" i="27"/>
  <c r="HG139" i="27"/>
  <c r="HG138" i="27"/>
  <c r="HG137" i="27"/>
  <c r="HG136" i="27"/>
  <c r="HG134" i="27"/>
  <c r="HG43" i="27"/>
  <c r="HG42" i="27"/>
  <c r="HG41" i="27"/>
  <c r="HG35" i="27"/>
  <c r="HG34" i="27"/>
  <c r="HG30" i="27"/>
  <c r="HG133" i="27"/>
  <c r="HG132" i="27"/>
  <c r="HG131" i="27"/>
  <c r="HG130" i="27"/>
  <c r="HG129" i="27"/>
  <c r="HG128" i="27"/>
  <c r="HG127" i="27"/>
  <c r="HG126" i="27"/>
  <c r="HG125" i="27"/>
  <c r="HG124" i="27"/>
  <c r="HG123" i="27"/>
  <c r="HG122" i="27"/>
  <c r="HG121" i="27"/>
  <c r="HG120" i="27"/>
  <c r="HG119" i="27"/>
  <c r="HG118" i="27"/>
  <c r="HG117" i="27"/>
  <c r="HG116" i="27"/>
  <c r="HG29" i="27"/>
  <c r="HG25" i="27"/>
  <c r="HG115" i="27"/>
  <c r="HG114" i="27"/>
  <c r="HG113" i="27"/>
  <c r="HG112" i="27"/>
  <c r="HG111" i="27"/>
  <c r="HG110" i="27"/>
  <c r="HG109" i="27"/>
  <c r="HG108" i="27"/>
  <c r="HG107" i="27"/>
  <c r="HG106" i="27"/>
  <c r="HG105" i="27"/>
  <c r="HG104" i="27"/>
  <c r="HG103" i="27"/>
  <c r="HG102" i="27"/>
  <c r="HG101" i="27"/>
  <c r="HG100" i="27"/>
  <c r="HG99" i="27"/>
  <c r="HG98" i="27"/>
  <c r="HG64" i="27"/>
  <c r="HG37" i="27"/>
  <c r="HG33" i="27"/>
  <c r="HG32" i="27"/>
  <c r="HG31" i="27"/>
  <c r="HG14" i="27"/>
  <c r="HG13" i="27"/>
  <c r="HG12" i="27"/>
  <c r="HG97" i="27"/>
  <c r="HG96" i="27"/>
  <c r="HG95" i="27"/>
  <c r="HG94" i="27"/>
  <c r="HG93" i="27"/>
  <c r="HG92" i="27"/>
  <c r="HG91" i="27"/>
  <c r="HG90" i="27"/>
  <c r="HG89" i="27"/>
  <c r="HG88" i="27"/>
  <c r="HG87" i="27"/>
  <c r="HG86" i="27"/>
  <c r="HG85" i="27"/>
  <c r="HG84" i="27"/>
  <c r="HG83" i="27"/>
  <c r="HG82" i="27"/>
  <c r="HG81" i="27"/>
  <c r="HG63" i="27"/>
  <c r="HG44" i="27"/>
  <c r="HG40" i="27"/>
  <c r="HG19" i="27"/>
  <c r="HG18" i="27"/>
  <c r="HG17" i="27"/>
  <c r="HG80" i="27"/>
  <c r="HG79" i="27"/>
  <c r="HG78" i="27"/>
  <c r="HG77" i="27"/>
  <c r="HG76" i="27"/>
  <c r="HG75" i="27"/>
  <c r="HG74" i="27"/>
  <c r="HG73" i="27"/>
  <c r="HG72" i="27"/>
  <c r="HG71" i="27"/>
  <c r="HG70" i="27"/>
  <c r="HG69" i="27"/>
  <c r="HG68" i="27"/>
  <c r="HG67" i="27"/>
  <c r="HG66" i="27"/>
  <c r="HG65" i="27"/>
  <c r="HG26" i="27"/>
  <c r="HG20" i="27"/>
  <c r="HG16" i="27"/>
  <c r="HG62" i="27"/>
  <c r="HG61" i="27"/>
  <c r="HG60" i="27"/>
  <c r="HG59" i="27"/>
  <c r="HG58" i="27"/>
  <c r="HG57" i="27"/>
  <c r="HG56" i="27"/>
  <c r="HG55" i="27"/>
  <c r="HG54" i="27"/>
  <c r="HG53" i="27"/>
  <c r="HG52" i="27"/>
  <c r="HG51" i="27"/>
  <c r="HG50" i="27"/>
  <c r="HG49" i="27"/>
  <c r="HG48" i="27"/>
  <c r="HG47" i="27"/>
  <c r="HG46" i="27"/>
  <c r="HG45" i="27"/>
  <c r="HH11" i="27"/>
  <c r="HH10" i="27"/>
  <c r="HI9" i="27"/>
  <c r="C15" i="105"/>
  <c r="D15" i="105" s="1"/>
  <c r="HH221" i="27" l="1"/>
  <c r="HH220" i="27"/>
  <c r="HH219" i="27"/>
  <c r="HH218" i="27"/>
  <c r="HH217" i="27"/>
  <c r="HH216" i="27"/>
  <c r="HH215" i="27"/>
  <c r="HH214" i="27"/>
  <c r="HH213" i="27"/>
  <c r="HH212" i="27"/>
  <c r="HH211" i="27"/>
  <c r="HH210" i="27"/>
  <c r="HH209" i="27"/>
  <c r="HH208" i="27"/>
  <c r="HH207" i="27"/>
  <c r="HH206" i="27"/>
  <c r="HH205" i="27"/>
  <c r="HH204" i="27"/>
  <c r="HH188" i="27"/>
  <c r="HH187" i="27"/>
  <c r="HH186" i="27"/>
  <c r="HH42" i="27"/>
  <c r="HH22" i="27"/>
  <c r="HH203" i="27"/>
  <c r="HH202" i="27"/>
  <c r="HH201" i="27"/>
  <c r="HH200" i="27"/>
  <c r="HH199" i="27"/>
  <c r="HH198" i="27"/>
  <c r="HH197" i="27"/>
  <c r="HH196" i="27"/>
  <c r="HH195" i="27"/>
  <c r="HH194" i="27"/>
  <c r="HH193" i="27"/>
  <c r="HH192" i="27"/>
  <c r="HH191" i="27"/>
  <c r="HH190" i="27"/>
  <c r="HH189" i="27"/>
  <c r="HH20" i="27"/>
  <c r="HH16" i="27"/>
  <c r="HH185" i="27"/>
  <c r="HH184" i="27"/>
  <c r="HH183" i="27"/>
  <c r="HH182" i="27"/>
  <c r="HH181" i="27"/>
  <c r="HH180" i="27"/>
  <c r="HH179" i="27"/>
  <c r="HH178" i="27"/>
  <c r="HH177" i="27"/>
  <c r="HH176" i="27"/>
  <c r="HH175" i="27"/>
  <c r="HH174" i="27"/>
  <c r="HH173" i="27"/>
  <c r="HH172" i="27"/>
  <c r="HH171" i="27"/>
  <c r="HH170" i="27"/>
  <c r="HH169" i="27"/>
  <c r="HH36" i="27"/>
  <c r="HH29" i="27"/>
  <c r="HH27" i="27"/>
  <c r="HH168" i="27"/>
  <c r="HH167" i="27"/>
  <c r="HH166" i="27"/>
  <c r="HH165" i="27"/>
  <c r="HH164" i="27"/>
  <c r="HH163" i="27"/>
  <c r="HH162" i="27"/>
  <c r="HH161" i="27"/>
  <c r="HH160" i="27"/>
  <c r="HH159" i="27"/>
  <c r="HH158" i="27"/>
  <c r="HH157" i="27"/>
  <c r="HH156" i="27"/>
  <c r="HH155" i="27"/>
  <c r="HH154" i="27"/>
  <c r="HH153" i="27"/>
  <c r="HH152" i="27"/>
  <c r="HH151" i="27"/>
  <c r="HH134" i="27"/>
  <c r="HH116" i="27"/>
  <c r="HH40" i="27"/>
  <c r="HH37" i="27"/>
  <c r="HH25" i="27"/>
  <c r="HH23" i="27"/>
  <c r="HH19" i="27"/>
  <c r="HH14" i="27"/>
  <c r="HH150" i="27"/>
  <c r="HH149" i="27"/>
  <c r="HH148" i="27"/>
  <c r="HH147" i="27"/>
  <c r="HH146" i="27"/>
  <c r="HH145" i="27"/>
  <c r="HH144" i="27"/>
  <c r="HH143" i="27"/>
  <c r="HH142" i="27"/>
  <c r="HH141" i="27"/>
  <c r="HH140" i="27"/>
  <c r="HH139" i="27"/>
  <c r="HH138" i="27"/>
  <c r="HH137" i="27"/>
  <c r="HH136" i="27"/>
  <c r="HH135" i="27"/>
  <c r="HH117" i="27"/>
  <c r="HH33" i="27"/>
  <c r="HH13" i="27"/>
  <c r="HH133" i="27"/>
  <c r="HH132" i="27"/>
  <c r="HH131" i="27"/>
  <c r="HH130" i="27"/>
  <c r="HH129" i="27"/>
  <c r="HH128" i="27"/>
  <c r="HH127" i="27"/>
  <c r="HH126" i="27"/>
  <c r="HH125" i="27"/>
  <c r="HH124" i="27"/>
  <c r="HH123" i="27"/>
  <c r="HH122" i="27"/>
  <c r="HH121" i="27"/>
  <c r="HH120" i="27"/>
  <c r="HH119" i="27"/>
  <c r="HH118" i="27"/>
  <c r="HH38" i="27"/>
  <c r="HH34" i="27"/>
  <c r="HH17" i="27"/>
  <c r="HH15" i="27"/>
  <c r="HH115" i="27"/>
  <c r="HH114" i="27"/>
  <c r="HH113" i="27"/>
  <c r="HH112" i="27"/>
  <c r="HH111" i="27"/>
  <c r="HH110" i="27"/>
  <c r="HH109" i="27"/>
  <c r="HH108" i="27"/>
  <c r="HH107" i="27"/>
  <c r="HH106" i="27"/>
  <c r="HH105" i="27"/>
  <c r="HH104" i="27"/>
  <c r="HH103" i="27"/>
  <c r="HH102" i="27"/>
  <c r="HH101" i="27"/>
  <c r="HH100" i="27"/>
  <c r="HH99" i="27"/>
  <c r="HH98" i="27"/>
  <c r="HH63" i="27"/>
  <c r="HH24" i="27"/>
  <c r="HH97" i="27"/>
  <c r="HH96" i="27"/>
  <c r="HH95" i="27"/>
  <c r="HH94" i="27"/>
  <c r="HH93" i="27"/>
  <c r="HH92" i="27"/>
  <c r="HH91" i="27"/>
  <c r="HH90" i="27"/>
  <c r="HH89" i="27"/>
  <c r="HH88" i="27"/>
  <c r="HH87" i="27"/>
  <c r="HH86" i="27"/>
  <c r="HH85" i="27"/>
  <c r="HH84" i="27"/>
  <c r="HH83" i="27"/>
  <c r="HH82" i="27"/>
  <c r="HH81" i="27"/>
  <c r="HH66" i="27"/>
  <c r="HH65" i="27"/>
  <c r="HH41" i="27"/>
  <c r="HH35" i="27"/>
  <c r="HH31" i="27"/>
  <c r="HH30" i="27"/>
  <c r="HH28" i="27"/>
  <c r="HH26" i="27"/>
  <c r="HH12" i="27"/>
  <c r="HH80" i="27"/>
  <c r="HH79" i="27"/>
  <c r="HH78" i="27"/>
  <c r="HH77" i="27"/>
  <c r="HH76" i="27"/>
  <c r="HH75" i="27"/>
  <c r="HH74" i="27"/>
  <c r="HH73" i="27"/>
  <c r="HH72" i="27"/>
  <c r="HH71" i="27"/>
  <c r="HH70" i="27"/>
  <c r="HH69" i="27"/>
  <c r="HH68" i="27"/>
  <c r="HH67" i="27"/>
  <c r="HH64" i="27"/>
  <c r="HH43" i="27"/>
  <c r="HH39" i="27"/>
  <c r="HH21" i="27"/>
  <c r="HH18" i="27"/>
  <c r="HH62" i="27"/>
  <c r="HH61" i="27"/>
  <c r="HH60" i="27"/>
  <c r="HH59" i="27"/>
  <c r="HH58" i="27"/>
  <c r="HH57" i="27"/>
  <c r="HH56" i="27"/>
  <c r="HH55" i="27"/>
  <c r="HH54" i="27"/>
  <c r="HH53" i="27"/>
  <c r="HH52" i="27"/>
  <c r="HH51" i="27"/>
  <c r="HH50" i="27"/>
  <c r="HH49" i="27"/>
  <c r="HH48" i="27"/>
  <c r="HH47" i="27"/>
  <c r="HH46" i="27"/>
  <c r="HH45" i="27"/>
  <c r="HH44" i="27"/>
  <c r="HH32" i="27"/>
  <c r="HJ9" i="27"/>
  <c r="HI11" i="27"/>
  <c r="HI10" i="27"/>
  <c r="E15" i="105"/>
  <c r="D16" i="166"/>
  <c r="HI221" i="27" l="1"/>
  <c r="HI220" i="27"/>
  <c r="HI219" i="27"/>
  <c r="HI218" i="27"/>
  <c r="HI217" i="27"/>
  <c r="HI216" i="27"/>
  <c r="HI215" i="27"/>
  <c r="HI214" i="27"/>
  <c r="HI213" i="27"/>
  <c r="HI212" i="27"/>
  <c r="HI211" i="27"/>
  <c r="HI210" i="27"/>
  <c r="HI209" i="27"/>
  <c r="HI208" i="27"/>
  <c r="HI207" i="27"/>
  <c r="HI206" i="27"/>
  <c r="HI205" i="27"/>
  <c r="HI204" i="27"/>
  <c r="HI24" i="27"/>
  <c r="HI14" i="27"/>
  <c r="HI203" i="27"/>
  <c r="HI202" i="27"/>
  <c r="HI201" i="27"/>
  <c r="HI200" i="27"/>
  <c r="HI199" i="27"/>
  <c r="HI198" i="27"/>
  <c r="HI197" i="27"/>
  <c r="HI196" i="27"/>
  <c r="HI195" i="27"/>
  <c r="HI194" i="27"/>
  <c r="HI193" i="27"/>
  <c r="HI192" i="27"/>
  <c r="HI191" i="27"/>
  <c r="HI190" i="27"/>
  <c r="HI189" i="27"/>
  <c r="HI188" i="27"/>
  <c r="HI187" i="27"/>
  <c r="HI186" i="27"/>
  <c r="HI37" i="27"/>
  <c r="HI31" i="27"/>
  <c r="HI21" i="27"/>
  <c r="HI18" i="27"/>
  <c r="HI12" i="27"/>
  <c r="HI185" i="27"/>
  <c r="HI184" i="27"/>
  <c r="HI183" i="27"/>
  <c r="HI182" i="27"/>
  <c r="HI181" i="27"/>
  <c r="HI180" i="27"/>
  <c r="HI179" i="27"/>
  <c r="HI178" i="27"/>
  <c r="HI177" i="27"/>
  <c r="HI176" i="27"/>
  <c r="HI175" i="27"/>
  <c r="HI174" i="27"/>
  <c r="HI173" i="27"/>
  <c r="HI172" i="27"/>
  <c r="HI171" i="27"/>
  <c r="HI170" i="27"/>
  <c r="HI169" i="27"/>
  <c r="HI40" i="27"/>
  <c r="HI38" i="27"/>
  <c r="HI34" i="27"/>
  <c r="HI30" i="27"/>
  <c r="HI28" i="27"/>
  <c r="HI20" i="27"/>
  <c r="HI17" i="27"/>
  <c r="HI13" i="27"/>
  <c r="HI168" i="27"/>
  <c r="HI167" i="27"/>
  <c r="HI166" i="27"/>
  <c r="HI165" i="27"/>
  <c r="HI164" i="27"/>
  <c r="HI163" i="27"/>
  <c r="HI162" i="27"/>
  <c r="HI161" i="27"/>
  <c r="HI160" i="27"/>
  <c r="HI159" i="27"/>
  <c r="HI158" i="27"/>
  <c r="HI157" i="27"/>
  <c r="HI156" i="27"/>
  <c r="HI155" i="27"/>
  <c r="HI154" i="27"/>
  <c r="HI153" i="27"/>
  <c r="HI152" i="27"/>
  <c r="HI151" i="27"/>
  <c r="HI135" i="27"/>
  <c r="HI133" i="27"/>
  <c r="HI117" i="27"/>
  <c r="HI43" i="27"/>
  <c r="HI39" i="27"/>
  <c r="HI35" i="27"/>
  <c r="HI29" i="27"/>
  <c r="HI26" i="27"/>
  <c r="HI22" i="27"/>
  <c r="HI16" i="27"/>
  <c r="HI150" i="27"/>
  <c r="HI149" i="27"/>
  <c r="HI148" i="27"/>
  <c r="HI147" i="27"/>
  <c r="HI146" i="27"/>
  <c r="HI145" i="27"/>
  <c r="HI144" i="27"/>
  <c r="HI143" i="27"/>
  <c r="HI142" i="27"/>
  <c r="HI141" i="27"/>
  <c r="HI140" i="27"/>
  <c r="HI139" i="27"/>
  <c r="HI138" i="27"/>
  <c r="HI137" i="27"/>
  <c r="HI136" i="27"/>
  <c r="HI134" i="27"/>
  <c r="HI116" i="27"/>
  <c r="HI32" i="27"/>
  <c r="HI15" i="27"/>
  <c r="HI132" i="27"/>
  <c r="HI131" i="27"/>
  <c r="HI130" i="27"/>
  <c r="HI129" i="27"/>
  <c r="HI128" i="27"/>
  <c r="HI127" i="27"/>
  <c r="HI126" i="27"/>
  <c r="HI125" i="27"/>
  <c r="HI124" i="27"/>
  <c r="HI123" i="27"/>
  <c r="HI122" i="27"/>
  <c r="HI121" i="27"/>
  <c r="HI120" i="27"/>
  <c r="HI119" i="27"/>
  <c r="HI118" i="27"/>
  <c r="HI27" i="27"/>
  <c r="HI115" i="27"/>
  <c r="HI114" i="27"/>
  <c r="HI113" i="27"/>
  <c r="HI112" i="27"/>
  <c r="HI111" i="27"/>
  <c r="HI110" i="27"/>
  <c r="HI109" i="27"/>
  <c r="HI108" i="27"/>
  <c r="HI107" i="27"/>
  <c r="HI106" i="27"/>
  <c r="HI105" i="27"/>
  <c r="HI104" i="27"/>
  <c r="HI103" i="27"/>
  <c r="HI102" i="27"/>
  <c r="HI101" i="27"/>
  <c r="HI100" i="27"/>
  <c r="HI99" i="27"/>
  <c r="HI98" i="27"/>
  <c r="HI42" i="27"/>
  <c r="HI97" i="27"/>
  <c r="HI96" i="27"/>
  <c r="HI95" i="27"/>
  <c r="HI94" i="27"/>
  <c r="HI93" i="27"/>
  <c r="HI92" i="27"/>
  <c r="HI91" i="27"/>
  <c r="HI90" i="27"/>
  <c r="HI89" i="27"/>
  <c r="HI88" i="27"/>
  <c r="HI87" i="27"/>
  <c r="HI86" i="27"/>
  <c r="HI85" i="27"/>
  <c r="HI84" i="27"/>
  <c r="HI83" i="27"/>
  <c r="HI82" i="27"/>
  <c r="HI81" i="27"/>
  <c r="HI66" i="27"/>
  <c r="HI64" i="27"/>
  <c r="HI63" i="27"/>
  <c r="HI33" i="27"/>
  <c r="HI80" i="27"/>
  <c r="HI79" i="27"/>
  <c r="HI78" i="27"/>
  <c r="HI77" i="27"/>
  <c r="HI76" i="27"/>
  <c r="HI75" i="27"/>
  <c r="HI74" i="27"/>
  <c r="HI73" i="27"/>
  <c r="HI72" i="27"/>
  <c r="HI71" i="27"/>
  <c r="HI70" i="27"/>
  <c r="HI69" i="27"/>
  <c r="HI68" i="27"/>
  <c r="HI67" i="27"/>
  <c r="HI65" i="27"/>
  <c r="HI44" i="27"/>
  <c r="HI19" i="27"/>
  <c r="HI62" i="27"/>
  <c r="HI61" i="27"/>
  <c r="HI60" i="27"/>
  <c r="HI59" i="27"/>
  <c r="HI58" i="27"/>
  <c r="HI57" i="27"/>
  <c r="HI56" i="27"/>
  <c r="HI55" i="27"/>
  <c r="HI54" i="27"/>
  <c r="HI53" i="27"/>
  <c r="HI52" i="27"/>
  <c r="HI51" i="27"/>
  <c r="HI50" i="27"/>
  <c r="HI49" i="27"/>
  <c r="HI48" i="27"/>
  <c r="HI47" i="27"/>
  <c r="HI46" i="27"/>
  <c r="HI45" i="27"/>
  <c r="HI41" i="27"/>
  <c r="HI36" i="27"/>
  <c r="HI25" i="27"/>
  <c r="HI23" i="27"/>
  <c r="HJ10" i="27"/>
  <c r="HK9" i="27"/>
  <c r="HJ11" i="27"/>
  <c r="D63" i="166"/>
  <c r="D50" i="166"/>
  <c r="D56" i="166"/>
  <c r="D44" i="166"/>
  <c r="D71" i="166"/>
  <c r="D19" i="166"/>
  <c r="D37" i="166"/>
  <c r="D31" i="166"/>
  <c r="D25" i="166"/>
  <c r="F15" i="105"/>
  <c r="G15" i="105" s="1"/>
  <c r="H15" i="105" s="1"/>
  <c r="I15" i="105" s="1"/>
  <c r="J15" i="105" s="1"/>
  <c r="C16" i="166"/>
  <c r="T16" i="166"/>
  <c r="HJ221" i="27" l="1"/>
  <c r="HJ220" i="27"/>
  <c r="HJ219" i="27"/>
  <c r="HJ218" i="27"/>
  <c r="HJ217" i="27"/>
  <c r="HJ216" i="27"/>
  <c r="HJ215" i="27"/>
  <c r="HJ214" i="27"/>
  <c r="HJ213" i="27"/>
  <c r="HJ212" i="27"/>
  <c r="HJ211" i="27"/>
  <c r="HJ210" i="27"/>
  <c r="HJ209" i="27"/>
  <c r="HJ208" i="27"/>
  <c r="HJ207" i="27"/>
  <c r="HJ206" i="27"/>
  <c r="HJ205" i="27"/>
  <c r="HJ204" i="27"/>
  <c r="HJ187" i="27"/>
  <c r="HJ186" i="27"/>
  <c r="HJ32" i="27"/>
  <c r="HJ27" i="27"/>
  <c r="HJ15" i="27"/>
  <c r="HJ203" i="27"/>
  <c r="HJ202" i="27"/>
  <c r="HJ201" i="27"/>
  <c r="HJ200" i="27"/>
  <c r="HJ199" i="27"/>
  <c r="HJ198" i="27"/>
  <c r="HJ197" i="27"/>
  <c r="HJ196" i="27"/>
  <c r="HJ195" i="27"/>
  <c r="HJ194" i="27"/>
  <c r="HJ193" i="27"/>
  <c r="HJ192" i="27"/>
  <c r="HJ191" i="27"/>
  <c r="HJ190" i="27"/>
  <c r="HJ189" i="27"/>
  <c r="HJ188" i="27"/>
  <c r="HJ39" i="27"/>
  <c r="HJ26" i="27"/>
  <c r="HJ19" i="27"/>
  <c r="HJ185" i="27"/>
  <c r="HJ184" i="27"/>
  <c r="HJ183" i="27"/>
  <c r="HJ182" i="27"/>
  <c r="HJ181" i="27"/>
  <c r="HJ180" i="27"/>
  <c r="HJ179" i="27"/>
  <c r="HJ178" i="27"/>
  <c r="HJ177" i="27"/>
  <c r="HJ176" i="27"/>
  <c r="HJ175" i="27"/>
  <c r="HJ174" i="27"/>
  <c r="HJ173" i="27"/>
  <c r="HJ172" i="27"/>
  <c r="HJ171" i="27"/>
  <c r="HJ170" i="27"/>
  <c r="HJ169" i="27"/>
  <c r="HJ31" i="27"/>
  <c r="HJ23" i="27"/>
  <c r="HJ168" i="27"/>
  <c r="HJ167" i="27"/>
  <c r="HJ166" i="27"/>
  <c r="HJ165" i="27"/>
  <c r="HJ164" i="27"/>
  <c r="HJ163" i="27"/>
  <c r="HJ162" i="27"/>
  <c r="HJ161" i="27"/>
  <c r="HJ160" i="27"/>
  <c r="HJ159" i="27"/>
  <c r="HJ158" i="27"/>
  <c r="HJ157" i="27"/>
  <c r="HJ156" i="27"/>
  <c r="HJ155" i="27"/>
  <c r="HJ154" i="27"/>
  <c r="HJ153" i="27"/>
  <c r="HJ152" i="27"/>
  <c r="HJ151" i="27"/>
  <c r="HJ135" i="27"/>
  <c r="HJ134" i="27"/>
  <c r="HJ41" i="27"/>
  <c r="HJ33" i="27"/>
  <c r="HJ28" i="27"/>
  <c r="HJ20" i="27"/>
  <c r="HJ150" i="27"/>
  <c r="HJ149" i="27"/>
  <c r="HJ148" i="27"/>
  <c r="HJ147" i="27"/>
  <c r="HJ146" i="27"/>
  <c r="HJ145" i="27"/>
  <c r="HJ144" i="27"/>
  <c r="HJ143" i="27"/>
  <c r="HJ142" i="27"/>
  <c r="HJ141" i="27"/>
  <c r="HJ140" i="27"/>
  <c r="HJ139" i="27"/>
  <c r="HJ138" i="27"/>
  <c r="HJ137" i="27"/>
  <c r="HJ136" i="27"/>
  <c r="HJ133" i="27"/>
  <c r="HJ36" i="27"/>
  <c r="HJ25" i="27"/>
  <c r="HJ24" i="27"/>
  <c r="HJ22" i="27"/>
  <c r="HJ17" i="27"/>
  <c r="HJ14" i="27"/>
  <c r="HJ132" i="27"/>
  <c r="HJ131" i="27"/>
  <c r="HJ130" i="27"/>
  <c r="HJ129" i="27"/>
  <c r="HJ128" i="27"/>
  <c r="HJ127" i="27"/>
  <c r="HJ126" i="27"/>
  <c r="HJ125" i="27"/>
  <c r="HJ124" i="27"/>
  <c r="HJ123" i="27"/>
  <c r="HJ122" i="27"/>
  <c r="HJ121" i="27"/>
  <c r="HJ120" i="27"/>
  <c r="HJ119" i="27"/>
  <c r="HJ118" i="27"/>
  <c r="HJ117" i="27"/>
  <c r="HJ116" i="27"/>
  <c r="HJ29" i="27"/>
  <c r="HJ13" i="27"/>
  <c r="HJ115" i="27"/>
  <c r="HJ114" i="27"/>
  <c r="HJ113" i="27"/>
  <c r="HJ112" i="27"/>
  <c r="HJ111" i="27"/>
  <c r="HJ110" i="27"/>
  <c r="HJ109" i="27"/>
  <c r="HJ108" i="27"/>
  <c r="HJ107" i="27"/>
  <c r="HJ106" i="27"/>
  <c r="HJ105" i="27"/>
  <c r="HJ104" i="27"/>
  <c r="HJ103" i="27"/>
  <c r="HJ102" i="27"/>
  <c r="HJ101" i="27"/>
  <c r="HJ100" i="27"/>
  <c r="HJ99" i="27"/>
  <c r="HJ98" i="27"/>
  <c r="HJ64" i="27"/>
  <c r="HJ63" i="27"/>
  <c r="HJ44" i="27"/>
  <c r="HJ38" i="27"/>
  <c r="HJ18" i="27"/>
  <c r="HJ16" i="27"/>
  <c r="HJ97" i="27"/>
  <c r="HJ96" i="27"/>
  <c r="HJ95" i="27"/>
  <c r="HJ94" i="27"/>
  <c r="HJ93" i="27"/>
  <c r="HJ92" i="27"/>
  <c r="HJ91" i="27"/>
  <c r="HJ90" i="27"/>
  <c r="HJ89" i="27"/>
  <c r="HJ88" i="27"/>
  <c r="HJ87" i="27"/>
  <c r="HJ86" i="27"/>
  <c r="HJ85" i="27"/>
  <c r="HJ84" i="27"/>
  <c r="HJ83" i="27"/>
  <c r="HJ82" i="27"/>
  <c r="HJ81" i="27"/>
  <c r="HJ65" i="27"/>
  <c r="HJ37" i="27"/>
  <c r="HJ34" i="27"/>
  <c r="HJ21" i="27"/>
  <c r="HJ80" i="27"/>
  <c r="HJ79" i="27"/>
  <c r="HJ78" i="27"/>
  <c r="HJ77" i="27"/>
  <c r="HJ76" i="27"/>
  <c r="HJ75" i="27"/>
  <c r="HJ74" i="27"/>
  <c r="HJ73" i="27"/>
  <c r="HJ72" i="27"/>
  <c r="HJ71" i="27"/>
  <c r="HJ70" i="27"/>
  <c r="HJ69" i="27"/>
  <c r="HJ68" i="27"/>
  <c r="HJ67" i="27"/>
  <c r="HJ66" i="27"/>
  <c r="HJ40" i="27"/>
  <c r="HJ35" i="27"/>
  <c r="HJ12" i="27"/>
  <c r="HJ62" i="27"/>
  <c r="HJ61" i="27"/>
  <c r="HJ60" i="27"/>
  <c r="HJ59" i="27"/>
  <c r="HJ58" i="27"/>
  <c r="HJ57" i="27"/>
  <c r="HJ56" i="27"/>
  <c r="HJ55" i="27"/>
  <c r="HJ54" i="27"/>
  <c r="HJ53" i="27"/>
  <c r="HJ52" i="27"/>
  <c r="HJ51" i="27"/>
  <c r="HJ50" i="27"/>
  <c r="HJ49" i="27"/>
  <c r="HJ48" i="27"/>
  <c r="HJ47" i="27"/>
  <c r="HJ46" i="27"/>
  <c r="HJ45" i="27"/>
  <c r="HJ43" i="27"/>
  <c r="HJ42" i="27"/>
  <c r="HJ30" i="27"/>
  <c r="HL9" i="27"/>
  <c r="HK10" i="27"/>
  <c r="HK11" i="27"/>
  <c r="K15" i="105"/>
  <c r="L15" i="105" s="1"/>
  <c r="M15" i="105" s="1"/>
  <c r="N15" i="105" s="1"/>
  <c r="O15" i="105" s="1"/>
  <c r="P15" i="105" s="1"/>
  <c r="Q15" i="105" s="1"/>
  <c r="R15" i="105" s="1"/>
  <c r="S15" i="105" s="1"/>
  <c r="T15" i="105" s="1"/>
  <c r="U15" i="105" s="1"/>
  <c r="V15" i="105" s="1"/>
  <c r="W15" i="105" s="1"/>
  <c r="X15" i="105" s="1"/>
  <c r="Y15" i="105" s="1"/>
  <c r="Z15" i="105" s="1"/>
  <c r="AA15" i="105" s="1"/>
  <c r="AB15" i="105" s="1"/>
  <c r="AC15" i="105" s="1"/>
  <c r="C63" i="166"/>
  <c r="C50" i="166"/>
  <c r="C71" i="166"/>
  <c r="C44" i="166"/>
  <c r="C56" i="166"/>
  <c r="C37" i="166"/>
  <c r="C25" i="166"/>
  <c r="C31" i="166"/>
  <c r="C19" i="166"/>
  <c r="AB19" i="166" s="1"/>
  <c r="HK221" i="27" l="1"/>
  <c r="HK220" i="27"/>
  <c r="HK219" i="27"/>
  <c r="HK218" i="27"/>
  <c r="HK217" i="27"/>
  <c r="HK216" i="27"/>
  <c r="HK215" i="27"/>
  <c r="HK214" i="27"/>
  <c r="HK213" i="27"/>
  <c r="HK212" i="27"/>
  <c r="HK211" i="27"/>
  <c r="HK210" i="27"/>
  <c r="HK209" i="27"/>
  <c r="HK208" i="27"/>
  <c r="HK207" i="27"/>
  <c r="HK206" i="27"/>
  <c r="HK205" i="27"/>
  <c r="HK204" i="27"/>
  <c r="HK188" i="27"/>
  <c r="HK41" i="27"/>
  <c r="HK21" i="27"/>
  <c r="HK16" i="27"/>
  <c r="HK203" i="27"/>
  <c r="HK202" i="27"/>
  <c r="HK201" i="27"/>
  <c r="HK200" i="27"/>
  <c r="HK199" i="27"/>
  <c r="HK198" i="27"/>
  <c r="HK197" i="27"/>
  <c r="HK196" i="27"/>
  <c r="HK195" i="27"/>
  <c r="HK194" i="27"/>
  <c r="HK193" i="27"/>
  <c r="HK192" i="27"/>
  <c r="HK191" i="27"/>
  <c r="HK190" i="27"/>
  <c r="HK189" i="27"/>
  <c r="HK187" i="27"/>
  <c r="HK186" i="27"/>
  <c r="HK35" i="27"/>
  <c r="HK28" i="27"/>
  <c r="HK185" i="27"/>
  <c r="HK184" i="27"/>
  <c r="HK183" i="27"/>
  <c r="HK182" i="27"/>
  <c r="HK181" i="27"/>
  <c r="HK180" i="27"/>
  <c r="HK179" i="27"/>
  <c r="HK178" i="27"/>
  <c r="HK177" i="27"/>
  <c r="HK176" i="27"/>
  <c r="HK175" i="27"/>
  <c r="HK174" i="27"/>
  <c r="HK173" i="27"/>
  <c r="HK172" i="27"/>
  <c r="HK171" i="27"/>
  <c r="HK170" i="27"/>
  <c r="HK169" i="27"/>
  <c r="HK42" i="27"/>
  <c r="HK22" i="27"/>
  <c r="HK168" i="27"/>
  <c r="HK167" i="27"/>
  <c r="HK166" i="27"/>
  <c r="HK165" i="27"/>
  <c r="HK164" i="27"/>
  <c r="HK163" i="27"/>
  <c r="HK162" i="27"/>
  <c r="HK161" i="27"/>
  <c r="HK160" i="27"/>
  <c r="HK159" i="27"/>
  <c r="HK158" i="27"/>
  <c r="HK157" i="27"/>
  <c r="HK156" i="27"/>
  <c r="HK155" i="27"/>
  <c r="HK154" i="27"/>
  <c r="HK153" i="27"/>
  <c r="HK152" i="27"/>
  <c r="HK151" i="27"/>
  <c r="HK133" i="27"/>
  <c r="HK116" i="27"/>
  <c r="HK150" i="27"/>
  <c r="HK149" i="27"/>
  <c r="HK148" i="27"/>
  <c r="HK147" i="27"/>
  <c r="HK146" i="27"/>
  <c r="HK145" i="27"/>
  <c r="HK144" i="27"/>
  <c r="HK143" i="27"/>
  <c r="HK142" i="27"/>
  <c r="HK141" i="27"/>
  <c r="HK140" i="27"/>
  <c r="HK139" i="27"/>
  <c r="HK138" i="27"/>
  <c r="HK137" i="27"/>
  <c r="HK136" i="27"/>
  <c r="HK135" i="27"/>
  <c r="HK134" i="27"/>
  <c r="HK117" i="27"/>
  <c r="HK39" i="27"/>
  <c r="HK37" i="27"/>
  <c r="HK30" i="27"/>
  <c r="HK27" i="27"/>
  <c r="HK132" i="27"/>
  <c r="HK131" i="27"/>
  <c r="HK130" i="27"/>
  <c r="HK129" i="27"/>
  <c r="HK128" i="27"/>
  <c r="HK127" i="27"/>
  <c r="HK126" i="27"/>
  <c r="HK125" i="27"/>
  <c r="HK124" i="27"/>
  <c r="HK123" i="27"/>
  <c r="HK122" i="27"/>
  <c r="HK121" i="27"/>
  <c r="HK120" i="27"/>
  <c r="HK119" i="27"/>
  <c r="HK118" i="27"/>
  <c r="HK31" i="27"/>
  <c r="HK23" i="27"/>
  <c r="HK19" i="27"/>
  <c r="HK115" i="27"/>
  <c r="HK114" i="27"/>
  <c r="HK113" i="27"/>
  <c r="HK112" i="27"/>
  <c r="HK111" i="27"/>
  <c r="HK110" i="27"/>
  <c r="HK109" i="27"/>
  <c r="HK108" i="27"/>
  <c r="HK107" i="27"/>
  <c r="HK106" i="27"/>
  <c r="HK105" i="27"/>
  <c r="HK104" i="27"/>
  <c r="HK103" i="27"/>
  <c r="HK102" i="27"/>
  <c r="HK101" i="27"/>
  <c r="HK100" i="27"/>
  <c r="HK99" i="27"/>
  <c r="HK98" i="27"/>
  <c r="HK43" i="27"/>
  <c r="HK32" i="27"/>
  <c r="HK26" i="27"/>
  <c r="HK24" i="27"/>
  <c r="HK20" i="27"/>
  <c r="HK17" i="27"/>
  <c r="HK12" i="27"/>
  <c r="HK97" i="27"/>
  <c r="HK96" i="27"/>
  <c r="HK95" i="27"/>
  <c r="HK94" i="27"/>
  <c r="HK93" i="27"/>
  <c r="HK92" i="27"/>
  <c r="HK91" i="27"/>
  <c r="HK90" i="27"/>
  <c r="HK89" i="27"/>
  <c r="HK88" i="27"/>
  <c r="HK87" i="27"/>
  <c r="HK86" i="27"/>
  <c r="HK85" i="27"/>
  <c r="HK84" i="27"/>
  <c r="HK83" i="27"/>
  <c r="HK82" i="27"/>
  <c r="HK81" i="27"/>
  <c r="HK66" i="27"/>
  <c r="HK44" i="27"/>
  <c r="HK40" i="27"/>
  <c r="HK29" i="27"/>
  <c r="HK25" i="27"/>
  <c r="HK18" i="27"/>
  <c r="HK15" i="27"/>
  <c r="HK13" i="27"/>
  <c r="HK80" i="27"/>
  <c r="HK79" i="27"/>
  <c r="HK78" i="27"/>
  <c r="HK77" i="27"/>
  <c r="HK76" i="27"/>
  <c r="HK75" i="27"/>
  <c r="HK74" i="27"/>
  <c r="HK73" i="27"/>
  <c r="HK72" i="27"/>
  <c r="HK71" i="27"/>
  <c r="HK70" i="27"/>
  <c r="HK69" i="27"/>
  <c r="HK68" i="27"/>
  <c r="HK67" i="27"/>
  <c r="HK65" i="27"/>
  <c r="HK64" i="27"/>
  <c r="HK63" i="27"/>
  <c r="HK38" i="27"/>
  <c r="HK62" i="27"/>
  <c r="HK61" i="27"/>
  <c r="HK60" i="27"/>
  <c r="HK59" i="27"/>
  <c r="HK58" i="27"/>
  <c r="HK57" i="27"/>
  <c r="HK56" i="27"/>
  <c r="HK55" i="27"/>
  <c r="HK54" i="27"/>
  <c r="HK53" i="27"/>
  <c r="HK52" i="27"/>
  <c r="HK51" i="27"/>
  <c r="HK50" i="27"/>
  <c r="HK49" i="27"/>
  <c r="HK48" i="27"/>
  <c r="HK47" i="27"/>
  <c r="HK46" i="27"/>
  <c r="HK45" i="27"/>
  <c r="HK36" i="27"/>
  <c r="HK34" i="27"/>
  <c r="HK33" i="27"/>
  <c r="HK14" i="27"/>
  <c r="AD15" i="105"/>
  <c r="AE15" i="105" s="1"/>
  <c r="AF15" i="105" s="1"/>
  <c r="AG15" i="105" s="1"/>
  <c r="AH15" i="105" s="1"/>
  <c r="AI15" i="105" s="1"/>
  <c r="AK15" i="105" s="1"/>
  <c r="AL15" i="105" s="1"/>
  <c r="AM15" i="105" s="1"/>
  <c r="AN15" i="105" s="1"/>
  <c r="AO15" i="105" s="1"/>
  <c r="HM9" i="27"/>
  <c r="HL11" i="27"/>
  <c r="HL10" i="27"/>
  <c r="I105" i="166"/>
  <c r="AB56" i="166"/>
  <c r="I116" i="166"/>
  <c r="I112" i="166"/>
  <c r="I114" i="166"/>
  <c r="AB44" i="166"/>
  <c r="I110" i="166"/>
  <c r="AB25" i="166"/>
  <c r="I109" i="166"/>
  <c r="AB71" i="166"/>
  <c r="I108" i="166"/>
  <c r="I106" i="166"/>
  <c r="I111" i="166"/>
  <c r="AB31" i="166"/>
  <c r="I104" i="166"/>
  <c r="I113" i="166"/>
  <c r="AB50" i="166"/>
  <c r="I115" i="166"/>
  <c r="AB37" i="166"/>
  <c r="I107" i="166"/>
  <c r="AB63" i="166"/>
  <c r="HL221" i="27" l="1"/>
  <c r="HL220" i="27"/>
  <c r="HL219" i="27"/>
  <c r="HL218" i="27"/>
  <c r="HL217" i="27"/>
  <c r="HL216" i="27"/>
  <c r="HL215" i="27"/>
  <c r="HL214" i="27"/>
  <c r="HL213" i="27"/>
  <c r="HL212" i="27"/>
  <c r="HL211" i="27"/>
  <c r="HL210" i="27"/>
  <c r="HL209" i="27"/>
  <c r="HL208" i="27"/>
  <c r="HL207" i="27"/>
  <c r="HL206" i="27"/>
  <c r="HL205" i="27"/>
  <c r="HL204" i="27"/>
  <c r="HL187" i="27"/>
  <c r="HL186" i="27"/>
  <c r="HL24" i="27"/>
  <c r="HL20" i="27"/>
  <c r="HL18" i="27"/>
  <c r="HL12" i="27"/>
  <c r="HL203" i="27"/>
  <c r="HL202" i="27"/>
  <c r="HL201" i="27"/>
  <c r="HL200" i="27"/>
  <c r="HL199" i="27"/>
  <c r="HL198" i="27"/>
  <c r="HL197" i="27"/>
  <c r="HL196" i="27"/>
  <c r="HL195" i="27"/>
  <c r="HL194" i="27"/>
  <c r="HL193" i="27"/>
  <c r="HL192" i="27"/>
  <c r="HL191" i="27"/>
  <c r="HL190" i="27"/>
  <c r="HL189" i="27"/>
  <c r="HL188" i="27"/>
  <c r="HL185" i="27"/>
  <c r="HL184" i="27"/>
  <c r="HL183" i="27"/>
  <c r="HL182" i="27"/>
  <c r="HL181" i="27"/>
  <c r="HL180" i="27"/>
  <c r="HL179" i="27"/>
  <c r="HL178" i="27"/>
  <c r="HL177" i="27"/>
  <c r="HL176" i="27"/>
  <c r="HL175" i="27"/>
  <c r="HL174" i="27"/>
  <c r="HL173" i="27"/>
  <c r="HL172" i="27"/>
  <c r="HL171" i="27"/>
  <c r="HL170" i="27"/>
  <c r="HL169" i="27"/>
  <c r="HL33" i="27"/>
  <c r="HL27" i="27"/>
  <c r="HL19" i="27"/>
  <c r="HL168" i="27"/>
  <c r="HL167" i="27"/>
  <c r="HL166" i="27"/>
  <c r="HL165" i="27"/>
  <c r="HL164" i="27"/>
  <c r="HL163" i="27"/>
  <c r="HL162" i="27"/>
  <c r="HL161" i="27"/>
  <c r="HL160" i="27"/>
  <c r="HL159" i="27"/>
  <c r="HL158" i="27"/>
  <c r="HL157" i="27"/>
  <c r="HL156" i="27"/>
  <c r="HL155" i="27"/>
  <c r="HL154" i="27"/>
  <c r="HL153" i="27"/>
  <c r="HL152" i="27"/>
  <c r="HL151" i="27"/>
  <c r="HL135" i="27"/>
  <c r="HL134" i="27"/>
  <c r="HL117" i="27"/>
  <c r="HL36" i="27"/>
  <c r="HL21" i="27"/>
  <c r="HL15" i="27"/>
  <c r="HL14" i="27"/>
  <c r="HL150" i="27"/>
  <c r="HL149" i="27"/>
  <c r="HL148" i="27"/>
  <c r="HL147" i="27"/>
  <c r="HL146" i="27"/>
  <c r="HL145" i="27"/>
  <c r="HL144" i="27"/>
  <c r="HL143" i="27"/>
  <c r="HL142" i="27"/>
  <c r="HL141" i="27"/>
  <c r="HL140" i="27"/>
  <c r="HL139" i="27"/>
  <c r="HL138" i="27"/>
  <c r="HL137" i="27"/>
  <c r="HL136" i="27"/>
  <c r="HL133" i="27"/>
  <c r="HL43" i="27"/>
  <c r="HL38" i="27"/>
  <c r="HL31" i="27"/>
  <c r="HL29" i="27"/>
  <c r="HL16" i="27"/>
  <c r="HL13" i="27"/>
  <c r="HL132" i="27"/>
  <c r="HL131" i="27"/>
  <c r="HL130" i="27"/>
  <c r="HL129" i="27"/>
  <c r="HL128" i="27"/>
  <c r="HL127" i="27"/>
  <c r="HL126" i="27"/>
  <c r="HL125" i="27"/>
  <c r="HL124" i="27"/>
  <c r="HL123" i="27"/>
  <c r="HL122" i="27"/>
  <c r="HL121" i="27"/>
  <c r="HL120" i="27"/>
  <c r="HL119" i="27"/>
  <c r="HL118" i="27"/>
  <c r="HL116" i="27"/>
  <c r="HL42" i="27"/>
  <c r="HL41" i="27"/>
  <c r="HL34" i="27"/>
  <c r="HL115" i="27"/>
  <c r="HL114" i="27"/>
  <c r="HL113" i="27"/>
  <c r="HL112" i="27"/>
  <c r="HL111" i="27"/>
  <c r="HL110" i="27"/>
  <c r="HL109" i="27"/>
  <c r="HL108" i="27"/>
  <c r="HL107" i="27"/>
  <c r="HL106" i="27"/>
  <c r="HL105" i="27"/>
  <c r="HL104" i="27"/>
  <c r="HL103" i="27"/>
  <c r="HL102" i="27"/>
  <c r="HL101" i="27"/>
  <c r="HL100" i="27"/>
  <c r="HL99" i="27"/>
  <c r="HL98" i="27"/>
  <c r="HL35" i="27"/>
  <c r="HL97" i="27"/>
  <c r="HL96" i="27"/>
  <c r="HL95" i="27"/>
  <c r="HL94" i="27"/>
  <c r="HL93" i="27"/>
  <c r="HL92" i="27"/>
  <c r="HL91" i="27"/>
  <c r="HL90" i="27"/>
  <c r="HL89" i="27"/>
  <c r="HL88" i="27"/>
  <c r="HL87" i="27"/>
  <c r="HL86" i="27"/>
  <c r="HL85" i="27"/>
  <c r="HL84" i="27"/>
  <c r="HL83" i="27"/>
  <c r="HL82" i="27"/>
  <c r="HL81" i="27"/>
  <c r="HL65" i="27"/>
  <c r="HL64" i="27"/>
  <c r="HL63" i="27"/>
  <c r="HL32" i="27"/>
  <c r="HL23" i="27"/>
  <c r="HL17" i="27"/>
  <c r="HL80" i="27"/>
  <c r="HL79" i="27"/>
  <c r="HL78" i="27"/>
  <c r="HL77" i="27"/>
  <c r="HL76" i="27"/>
  <c r="HL75" i="27"/>
  <c r="HL74" i="27"/>
  <c r="HL73" i="27"/>
  <c r="HL72" i="27"/>
  <c r="HL71" i="27"/>
  <c r="HL70" i="27"/>
  <c r="HL69" i="27"/>
  <c r="HL68" i="27"/>
  <c r="HL67" i="27"/>
  <c r="HL66" i="27"/>
  <c r="HL44" i="27"/>
  <c r="HL39" i="27"/>
  <c r="HL30" i="27"/>
  <c r="HL25" i="27"/>
  <c r="HL62" i="27"/>
  <c r="HL61" i="27"/>
  <c r="HL60" i="27"/>
  <c r="HL59" i="27"/>
  <c r="HL58" i="27"/>
  <c r="HL57" i="27"/>
  <c r="HL56" i="27"/>
  <c r="HL55" i="27"/>
  <c r="HL54" i="27"/>
  <c r="HL53" i="27"/>
  <c r="HL52" i="27"/>
  <c r="HL51" i="27"/>
  <c r="HL50" i="27"/>
  <c r="HL49" i="27"/>
  <c r="HL48" i="27"/>
  <c r="HL47" i="27"/>
  <c r="HL46" i="27"/>
  <c r="HL45" i="27"/>
  <c r="HL40" i="27"/>
  <c r="HL37" i="27"/>
  <c r="HL28" i="27"/>
  <c r="HL26" i="27"/>
  <c r="HL22" i="27"/>
  <c r="AP15" i="105"/>
  <c r="HN9" i="27"/>
  <c r="HM10" i="27"/>
  <c r="HM11" i="27"/>
  <c r="AB79" i="166"/>
  <c r="K84" i="166" s="1"/>
  <c r="HM221" i="27" l="1"/>
  <c r="HM220" i="27"/>
  <c r="HM219" i="27"/>
  <c r="HM218" i="27"/>
  <c r="HM217" i="27"/>
  <c r="HM216" i="27"/>
  <c r="HM215" i="27"/>
  <c r="HM214" i="27"/>
  <c r="HM213" i="27"/>
  <c r="HM212" i="27"/>
  <c r="HM211" i="27"/>
  <c r="HM210" i="27"/>
  <c r="HM209" i="27"/>
  <c r="HM208" i="27"/>
  <c r="HM207" i="27"/>
  <c r="HM206" i="27"/>
  <c r="HM205" i="27"/>
  <c r="HM204" i="27"/>
  <c r="HM188" i="27"/>
  <c r="HM19" i="27"/>
  <c r="HM203" i="27"/>
  <c r="HM202" i="27"/>
  <c r="HM201" i="27"/>
  <c r="HM200" i="27"/>
  <c r="HM199" i="27"/>
  <c r="HM198" i="27"/>
  <c r="HM197" i="27"/>
  <c r="HM196" i="27"/>
  <c r="HM195" i="27"/>
  <c r="HM194" i="27"/>
  <c r="HM193" i="27"/>
  <c r="HM192" i="27"/>
  <c r="HM191" i="27"/>
  <c r="HM190" i="27"/>
  <c r="HM189" i="27"/>
  <c r="HM187" i="27"/>
  <c r="HM186" i="27"/>
  <c r="HM32" i="27"/>
  <c r="HM30" i="27"/>
  <c r="HM25" i="27"/>
  <c r="HM185" i="27"/>
  <c r="HM184" i="27"/>
  <c r="HM183" i="27"/>
  <c r="HM182" i="27"/>
  <c r="HM181" i="27"/>
  <c r="HM180" i="27"/>
  <c r="HM179" i="27"/>
  <c r="HM178" i="27"/>
  <c r="HM177" i="27"/>
  <c r="HM176" i="27"/>
  <c r="HM175" i="27"/>
  <c r="HM174" i="27"/>
  <c r="HM173" i="27"/>
  <c r="HM172" i="27"/>
  <c r="HM171" i="27"/>
  <c r="HM170" i="27"/>
  <c r="HM169" i="27"/>
  <c r="HM18" i="27"/>
  <c r="HM13" i="27"/>
  <c r="HM168" i="27"/>
  <c r="HM167" i="27"/>
  <c r="HM166" i="27"/>
  <c r="HM165" i="27"/>
  <c r="HM164" i="27"/>
  <c r="HM163" i="27"/>
  <c r="HM162" i="27"/>
  <c r="HM161" i="27"/>
  <c r="HM160" i="27"/>
  <c r="HM159" i="27"/>
  <c r="HM158" i="27"/>
  <c r="HM157" i="27"/>
  <c r="HM156" i="27"/>
  <c r="HM155" i="27"/>
  <c r="HM154" i="27"/>
  <c r="HM153" i="27"/>
  <c r="HM152" i="27"/>
  <c r="HM151" i="27"/>
  <c r="HM134" i="27"/>
  <c r="HM133" i="27"/>
  <c r="HM42" i="27"/>
  <c r="HM39" i="27"/>
  <c r="HM38" i="27"/>
  <c r="HM22" i="27"/>
  <c r="HM12" i="27"/>
  <c r="HM150" i="27"/>
  <c r="HM149" i="27"/>
  <c r="HM148" i="27"/>
  <c r="HM147" i="27"/>
  <c r="HM146" i="27"/>
  <c r="HM145" i="27"/>
  <c r="HM144" i="27"/>
  <c r="HM143" i="27"/>
  <c r="HM142" i="27"/>
  <c r="HM141" i="27"/>
  <c r="HM140" i="27"/>
  <c r="HM139" i="27"/>
  <c r="HM138" i="27"/>
  <c r="HM137" i="27"/>
  <c r="HM136" i="27"/>
  <c r="HM135" i="27"/>
  <c r="HM116" i="27"/>
  <c r="HM36" i="27"/>
  <c r="HM28" i="27"/>
  <c r="HM23" i="27"/>
  <c r="HM132" i="27"/>
  <c r="HM131" i="27"/>
  <c r="HM130" i="27"/>
  <c r="HM129" i="27"/>
  <c r="HM128" i="27"/>
  <c r="HM127" i="27"/>
  <c r="HM126" i="27"/>
  <c r="HM125" i="27"/>
  <c r="HM124" i="27"/>
  <c r="HM123" i="27"/>
  <c r="HM122" i="27"/>
  <c r="HM121" i="27"/>
  <c r="HM120" i="27"/>
  <c r="HM119" i="27"/>
  <c r="HM118" i="27"/>
  <c r="HM117" i="27"/>
  <c r="HM33" i="27"/>
  <c r="HM24" i="27"/>
  <c r="HM17" i="27"/>
  <c r="HM16" i="27"/>
  <c r="HM115" i="27"/>
  <c r="HM114" i="27"/>
  <c r="HM113" i="27"/>
  <c r="HM112" i="27"/>
  <c r="HM111" i="27"/>
  <c r="HM110" i="27"/>
  <c r="HM109" i="27"/>
  <c r="HM108" i="27"/>
  <c r="HM107" i="27"/>
  <c r="HM106" i="27"/>
  <c r="HM105" i="27"/>
  <c r="HM104" i="27"/>
  <c r="HM103" i="27"/>
  <c r="HM102" i="27"/>
  <c r="HM101" i="27"/>
  <c r="HM100" i="27"/>
  <c r="HM99" i="27"/>
  <c r="HM98" i="27"/>
  <c r="HM64" i="27"/>
  <c r="HM44" i="27"/>
  <c r="HM31" i="27"/>
  <c r="HM29" i="27"/>
  <c r="HM27" i="27"/>
  <c r="HM21" i="27"/>
  <c r="HM20" i="27"/>
  <c r="HM14" i="27"/>
  <c r="HM97" i="27"/>
  <c r="HM96" i="27"/>
  <c r="HM95" i="27"/>
  <c r="HM94" i="27"/>
  <c r="HM93" i="27"/>
  <c r="HM92" i="27"/>
  <c r="HM91" i="27"/>
  <c r="HM90" i="27"/>
  <c r="HM89" i="27"/>
  <c r="HM88" i="27"/>
  <c r="HM87" i="27"/>
  <c r="HM86" i="27"/>
  <c r="HM85" i="27"/>
  <c r="HM84" i="27"/>
  <c r="HM83" i="27"/>
  <c r="HM82" i="27"/>
  <c r="HM81" i="27"/>
  <c r="HM80" i="27"/>
  <c r="HM79" i="27"/>
  <c r="HM78" i="27"/>
  <c r="HM77" i="27"/>
  <c r="HM76" i="27"/>
  <c r="HM75" i="27"/>
  <c r="HM74" i="27"/>
  <c r="HM73" i="27"/>
  <c r="HM72" i="27"/>
  <c r="HM71" i="27"/>
  <c r="HM70" i="27"/>
  <c r="HM69" i="27"/>
  <c r="HM68" i="27"/>
  <c r="HM67" i="27"/>
  <c r="HM66" i="27"/>
  <c r="HM65" i="27"/>
  <c r="HM63" i="27"/>
  <c r="HM43" i="27"/>
  <c r="HM40" i="27"/>
  <c r="HM37" i="27"/>
  <c r="HM34" i="27"/>
  <c r="HM26" i="27"/>
  <c r="HM15" i="27"/>
  <c r="HM62" i="27"/>
  <c r="HM61" i="27"/>
  <c r="HM60" i="27"/>
  <c r="HM59" i="27"/>
  <c r="HM58" i="27"/>
  <c r="HM57" i="27"/>
  <c r="HM56" i="27"/>
  <c r="HM55" i="27"/>
  <c r="HM54" i="27"/>
  <c r="HM53" i="27"/>
  <c r="HM52" i="27"/>
  <c r="HM51" i="27"/>
  <c r="HM50" i="27"/>
  <c r="HM49" i="27"/>
  <c r="HM48" i="27"/>
  <c r="HM47" i="27"/>
  <c r="HM46" i="27"/>
  <c r="HM45" i="27"/>
  <c r="HM41" i="27"/>
  <c r="HM35" i="27"/>
  <c r="AQ15" i="105"/>
  <c r="AR15" i="105" s="1"/>
  <c r="AS15" i="105" s="1"/>
  <c r="AT15" i="105" s="1"/>
  <c r="AU15" i="105" s="1"/>
  <c r="AV15" i="105" s="1"/>
  <c r="AW15" i="105" s="1"/>
  <c r="HN10" i="27"/>
  <c r="HN11" i="27"/>
  <c r="H93" i="105"/>
  <c r="HN221" i="27" l="1"/>
  <c r="HN220" i="27"/>
  <c r="HN219" i="27"/>
  <c r="HN218" i="27"/>
  <c r="HN217" i="27"/>
  <c r="HN216" i="27"/>
  <c r="HN215" i="27"/>
  <c r="HN214" i="27"/>
  <c r="HN213" i="27"/>
  <c r="HN212" i="27"/>
  <c r="HN211" i="27"/>
  <c r="HN210" i="27"/>
  <c r="HN209" i="27"/>
  <c r="HN208" i="27"/>
  <c r="HN207" i="27"/>
  <c r="HN206" i="27"/>
  <c r="HN205" i="27"/>
  <c r="HN204" i="27"/>
  <c r="HN188" i="27"/>
  <c r="HN187" i="27"/>
  <c r="HN186" i="27"/>
  <c r="HN37" i="27"/>
  <c r="HN31" i="27"/>
  <c r="HN27" i="27"/>
  <c r="HN203" i="27"/>
  <c r="HN202" i="27"/>
  <c r="HN201" i="27"/>
  <c r="HN200" i="27"/>
  <c r="HN199" i="27"/>
  <c r="HN198" i="27"/>
  <c r="HN197" i="27"/>
  <c r="HN196" i="27"/>
  <c r="HN195" i="27"/>
  <c r="HN194" i="27"/>
  <c r="HN193" i="27"/>
  <c r="HN192" i="27"/>
  <c r="HN191" i="27"/>
  <c r="HN190" i="27"/>
  <c r="HN189" i="27"/>
  <c r="HN34" i="27"/>
  <c r="HN23" i="27"/>
  <c r="HN185" i="27"/>
  <c r="HN184" i="27"/>
  <c r="HN183" i="27"/>
  <c r="HN182" i="27"/>
  <c r="HN181" i="27"/>
  <c r="HN180" i="27"/>
  <c r="HN179" i="27"/>
  <c r="HN178" i="27"/>
  <c r="HN177" i="27"/>
  <c r="HN176" i="27"/>
  <c r="HN175" i="27"/>
  <c r="HN174" i="27"/>
  <c r="HN173" i="27"/>
  <c r="HN172" i="27"/>
  <c r="HN171" i="27"/>
  <c r="HN170" i="27"/>
  <c r="HN169" i="27"/>
  <c r="HN36" i="27"/>
  <c r="HN24" i="27"/>
  <c r="HN16" i="27"/>
  <c r="HN14" i="27"/>
  <c r="HN168" i="27"/>
  <c r="HN167" i="27"/>
  <c r="HN166" i="27"/>
  <c r="HN165" i="27"/>
  <c r="HN164" i="27"/>
  <c r="HN163" i="27"/>
  <c r="HN162" i="27"/>
  <c r="HN161" i="27"/>
  <c r="HN160" i="27"/>
  <c r="HN159" i="27"/>
  <c r="HN158" i="27"/>
  <c r="HN157" i="27"/>
  <c r="HN156" i="27"/>
  <c r="HN155" i="27"/>
  <c r="HN154" i="27"/>
  <c r="HN153" i="27"/>
  <c r="HN152" i="27"/>
  <c r="HN151" i="27"/>
  <c r="HN135" i="27"/>
  <c r="HN117" i="27"/>
  <c r="HN116" i="27"/>
  <c r="HN43" i="27"/>
  <c r="HN30" i="27"/>
  <c r="HN17" i="27"/>
  <c r="HN150" i="27"/>
  <c r="HN149" i="27"/>
  <c r="HN148" i="27"/>
  <c r="HN147" i="27"/>
  <c r="HN146" i="27"/>
  <c r="HN145" i="27"/>
  <c r="HN144" i="27"/>
  <c r="HN143" i="27"/>
  <c r="HN142" i="27"/>
  <c r="HN141" i="27"/>
  <c r="HN140" i="27"/>
  <c r="HN139" i="27"/>
  <c r="HN138" i="27"/>
  <c r="HN137" i="27"/>
  <c r="HN136" i="27"/>
  <c r="HN134" i="27"/>
  <c r="HN133" i="27"/>
  <c r="HN42" i="27"/>
  <c r="HN40" i="27"/>
  <c r="HN35" i="27"/>
  <c r="HN132" i="27"/>
  <c r="HN131" i="27"/>
  <c r="HN130" i="27"/>
  <c r="HN129" i="27"/>
  <c r="HN128" i="27"/>
  <c r="HN127" i="27"/>
  <c r="HN126" i="27"/>
  <c r="HN125" i="27"/>
  <c r="HN124" i="27"/>
  <c r="HN123" i="27"/>
  <c r="HN122" i="27"/>
  <c r="HN121" i="27"/>
  <c r="HN120" i="27"/>
  <c r="HN119" i="27"/>
  <c r="HN118" i="27"/>
  <c r="HN25" i="27"/>
  <c r="HN21" i="27"/>
  <c r="HN13" i="27"/>
  <c r="HN115" i="27"/>
  <c r="HN114" i="27"/>
  <c r="HN113" i="27"/>
  <c r="HN112" i="27"/>
  <c r="HN111" i="27"/>
  <c r="HN110" i="27"/>
  <c r="HN109" i="27"/>
  <c r="HN108" i="27"/>
  <c r="HN107" i="27"/>
  <c r="HN106" i="27"/>
  <c r="HN105" i="27"/>
  <c r="HN104" i="27"/>
  <c r="HN103" i="27"/>
  <c r="HN102" i="27"/>
  <c r="HN101" i="27"/>
  <c r="HN100" i="27"/>
  <c r="HN99" i="27"/>
  <c r="HN98" i="27"/>
  <c r="HN63" i="27"/>
  <c r="HN97" i="27"/>
  <c r="HN96" i="27"/>
  <c r="HN95" i="27"/>
  <c r="HN94" i="27"/>
  <c r="HN93" i="27"/>
  <c r="HN92" i="27"/>
  <c r="HN91" i="27"/>
  <c r="HN90" i="27"/>
  <c r="HN89" i="27"/>
  <c r="HN88" i="27"/>
  <c r="HN87" i="27"/>
  <c r="HN86" i="27"/>
  <c r="HN85" i="27"/>
  <c r="HN84" i="27"/>
  <c r="HN83" i="27"/>
  <c r="HN82" i="27"/>
  <c r="HN81" i="27"/>
  <c r="HN80" i="27"/>
  <c r="HN66" i="27"/>
  <c r="HN65" i="27"/>
  <c r="HN64" i="27"/>
  <c r="HN41" i="27"/>
  <c r="HN33" i="27"/>
  <c r="HN28" i="27"/>
  <c r="HN26" i="27"/>
  <c r="HN22" i="27"/>
  <c r="HN19" i="27"/>
  <c r="HN18" i="27"/>
  <c r="HN12" i="27"/>
  <c r="HN79" i="27"/>
  <c r="HN78" i="27"/>
  <c r="HN77" i="27"/>
  <c r="HN76" i="27"/>
  <c r="HN75" i="27"/>
  <c r="HN74" i="27"/>
  <c r="HN73" i="27"/>
  <c r="HN72" i="27"/>
  <c r="HN71" i="27"/>
  <c r="HN70" i="27"/>
  <c r="HN69" i="27"/>
  <c r="HN68" i="27"/>
  <c r="HN67" i="27"/>
  <c r="HN32" i="27"/>
  <c r="HN62" i="27"/>
  <c r="HN61" i="27"/>
  <c r="HN60" i="27"/>
  <c r="HN59" i="27"/>
  <c r="HN58" i="27"/>
  <c r="HN57" i="27"/>
  <c r="HN56" i="27"/>
  <c r="HN55" i="27"/>
  <c r="HN54" i="27"/>
  <c r="HN53" i="27"/>
  <c r="HN52" i="27"/>
  <c r="HN51" i="27"/>
  <c r="HN50" i="27"/>
  <c r="HN49" i="27"/>
  <c r="HN48" i="27"/>
  <c r="HN47" i="27"/>
  <c r="HN46" i="27"/>
  <c r="HN45" i="27"/>
  <c r="HN44" i="27"/>
  <c r="HN39" i="27"/>
  <c r="HN38" i="27"/>
  <c r="HN29" i="27"/>
  <c r="HN20" i="27"/>
  <c r="HN15" i="27"/>
  <c r="I87" i="105"/>
  <c r="K87" i="105" s="1"/>
  <c r="L87" i="105" s="1"/>
  <c r="I86" i="105"/>
  <c r="K86" i="105" s="1"/>
  <c r="L86" i="105" l="1"/>
  <c r="R50" i="108" l="1"/>
  <c r="X50" i="108"/>
  <c r="U50" i="108"/>
  <c r="AE50" i="108" l="1"/>
  <c r="AD50" i="108"/>
  <c r="AE49" i="108"/>
  <c r="AD49" i="108"/>
  <c r="AB49" i="108"/>
  <c r="AA49" i="108"/>
  <c r="AA50" i="108"/>
  <c r="AB50" i="108"/>
  <c r="R49" i="108" l="1"/>
  <c r="X49" i="108" l="1"/>
  <c r="U49" i="108"/>
  <c r="H10" i="86"/>
  <c r="L10" i="86"/>
  <c r="I10" i="86" l="1"/>
  <c r="M10" i="86"/>
  <c r="W50" i="108" l="1"/>
  <c r="T50" i="108"/>
  <c r="Q50" i="108"/>
  <c r="W49" i="108"/>
  <c r="T49" i="108"/>
  <c r="Q49" i="108"/>
  <c r="P101" i="108"/>
  <c r="P104" i="108"/>
  <c r="P97" i="108"/>
  <c r="P105" i="108"/>
  <c r="P106" i="108"/>
  <c r="P107" i="108"/>
  <c r="P108" i="108"/>
  <c r="P103" i="108"/>
  <c r="P102" i="108"/>
  <c r="A63" i="108" l="1"/>
  <c r="A64" i="108" s="1"/>
  <c r="A65" i="108" s="1"/>
  <c r="A66" i="108" s="1"/>
  <c r="A67" i="108" s="1"/>
  <c r="A68" i="108" s="1"/>
  <c r="A69" i="108" s="1"/>
  <c r="A70" i="108" s="1"/>
  <c r="A71" i="108" s="1"/>
  <c r="A72" i="108" s="1"/>
  <c r="A73" i="108" s="1"/>
  <c r="A74" i="108" s="1"/>
  <c r="A75" i="108" s="1"/>
  <c r="A76" i="108" s="1"/>
  <c r="A77" i="108" s="1"/>
  <c r="A78" i="108" s="1"/>
  <c r="A79" i="108" s="1"/>
  <c r="A80" i="108" s="1"/>
  <c r="A81" i="108" s="1"/>
  <c r="A82" i="108" s="1"/>
  <c r="A83" i="108" s="1"/>
  <c r="A84" i="108" s="1"/>
  <c r="A85" i="108" s="1"/>
  <c r="A86" i="108" s="1"/>
  <c r="A87" i="108" s="1"/>
  <c r="A88" i="108" s="1"/>
  <c r="A89" i="108" s="1"/>
  <c r="A90" i="108" s="1"/>
  <c r="A91" i="108" s="1"/>
  <c r="A92" i="108" s="1"/>
  <c r="A93" i="108" s="1"/>
  <c r="A94" i="108" s="1"/>
  <c r="A95" i="108" s="1"/>
  <c r="A96" i="108" s="1"/>
  <c r="A97" i="108" s="1"/>
  <c r="A98" i="108" s="1"/>
  <c r="A99" i="108" s="1"/>
  <c r="A100" i="108" s="1"/>
  <c r="A101" i="108" s="1"/>
  <c r="A102" i="108" s="1"/>
  <c r="A103" i="108" s="1"/>
  <c r="A104" i="108" s="1"/>
  <c r="A105" i="108" s="1"/>
  <c r="A106" i="108" s="1"/>
  <c r="A107" i="108" s="1"/>
  <c r="A108" i="108" s="1"/>
  <c r="A109" i="108" s="1"/>
  <c r="A110" i="108" s="1"/>
  <c r="A111" i="108" s="1"/>
  <c r="A112" i="108" s="1"/>
  <c r="A113" i="108" s="1"/>
  <c r="A114" i="108" s="1"/>
  <c r="A115" i="108" s="1"/>
  <c r="A116" i="108" s="1"/>
  <c r="A117" i="108" s="1"/>
  <c r="A118" i="108" s="1"/>
  <c r="A119" i="108" s="1"/>
  <c r="A120" i="108" s="1"/>
  <c r="A121" i="108" s="1"/>
  <c r="A122" i="108" s="1"/>
  <c r="A123" i="108" s="1"/>
  <c r="A124" i="108" s="1"/>
  <c r="A125" i="108" s="1"/>
  <c r="A126" i="108" s="1"/>
  <c r="A127" i="108" s="1"/>
  <c r="A128" i="108" s="1"/>
  <c r="A129" i="108" s="1"/>
  <c r="A130" i="108" s="1"/>
  <c r="A131" i="108" s="1"/>
  <c r="A132" i="108" s="1"/>
  <c r="A133" i="108" s="1"/>
  <c r="A134" i="108" s="1"/>
  <c r="A135" i="108" s="1"/>
  <c r="A136" i="108" s="1"/>
  <c r="A137" i="108" s="1"/>
  <c r="A138" i="108" s="1"/>
  <c r="A139" i="108" s="1"/>
  <c r="A140" i="108" s="1"/>
  <c r="A141" i="108" s="1"/>
  <c r="A142" i="108" s="1"/>
  <c r="A143" i="108" s="1"/>
  <c r="A144" i="108" s="1"/>
  <c r="A145" i="108" s="1"/>
  <c r="A146" i="108" s="1"/>
  <c r="A147" i="108" s="1"/>
  <c r="A148" i="108" s="1"/>
  <c r="A149" i="108" s="1"/>
  <c r="A150" i="108" s="1"/>
  <c r="A151" i="108" s="1"/>
  <c r="A152" i="108" s="1"/>
  <c r="A153" i="108" s="1"/>
  <c r="A154" i="108" s="1"/>
  <c r="A155" i="108" s="1"/>
  <c r="A156" i="108" s="1"/>
  <c r="A157" i="108" s="1"/>
  <c r="A158" i="108" s="1"/>
  <c r="A159" i="108" s="1"/>
  <c r="A160" i="108" s="1"/>
  <c r="A161" i="108" s="1"/>
  <c r="A162" i="108" s="1"/>
  <c r="A163" i="108" s="1"/>
  <c r="A164" i="108" s="1"/>
  <c r="A165" i="108" s="1"/>
  <c r="A166" i="108" s="1"/>
  <c r="A167" i="108" s="1"/>
  <c r="A168" i="108" s="1"/>
  <c r="A169" i="108" s="1"/>
  <c r="A170" i="108" s="1"/>
  <c r="AA20" i="108" l="1"/>
  <c r="Z20" i="108"/>
  <c r="Y20" i="108"/>
  <c r="V20" i="108"/>
  <c r="S20" i="108"/>
  <c r="O57" i="108" l="1"/>
  <c r="P57" i="108" s="1"/>
  <c r="Q57" i="108" s="1"/>
  <c r="R57" i="108" s="1"/>
  <c r="S57" i="108" s="1"/>
  <c r="T57" i="108" s="1"/>
  <c r="U57" i="108" s="1"/>
  <c r="V57" i="108" s="1"/>
  <c r="W57" i="108" l="1"/>
  <c r="X57" i="108" l="1"/>
  <c r="Y57" i="108" s="1"/>
  <c r="Z57" i="108" l="1"/>
  <c r="AA57" i="108" l="1"/>
  <c r="K10" i="86" l="1"/>
  <c r="O10" i="86"/>
  <c r="AB57" i="108"/>
  <c r="AC57" i="108" s="1"/>
  <c r="AD57" i="108" s="1"/>
  <c r="AE57" i="108" s="1"/>
  <c r="AE123" i="108"/>
  <c r="AD140" i="108"/>
  <c r="AD121" i="108"/>
  <c r="AD134" i="108"/>
  <c r="AD119" i="108"/>
  <c r="AE144" i="108"/>
  <c r="AD130" i="108"/>
  <c r="AD103" i="108"/>
  <c r="AE129" i="108"/>
  <c r="AE107" i="108"/>
  <c r="AE127" i="108"/>
  <c r="AD136" i="108"/>
  <c r="AE139" i="108"/>
  <c r="AE132" i="108"/>
  <c r="AD120" i="108"/>
  <c r="AD109" i="108"/>
  <c r="AE125" i="108"/>
  <c r="AD112" i="108"/>
  <c r="AE120" i="108"/>
  <c r="AE97" i="108"/>
  <c r="AD122" i="108"/>
  <c r="AD138" i="108"/>
  <c r="AE100" i="108"/>
  <c r="AD106" i="108"/>
  <c r="AD108" i="108"/>
  <c r="AE112" i="108"/>
  <c r="AE117" i="108"/>
  <c r="AD142" i="108"/>
  <c r="AD146" i="108"/>
  <c r="AE103" i="108"/>
  <c r="AD111" i="108"/>
  <c r="AD97" i="108"/>
  <c r="AE141" i="108"/>
  <c r="AD105" i="108"/>
  <c r="AE124" i="108"/>
  <c r="AE145" i="108"/>
  <c r="AD98" i="108"/>
  <c r="AD123" i="108"/>
  <c r="AD117" i="108"/>
  <c r="AE114" i="108"/>
  <c r="AE136" i="108"/>
  <c r="AD125" i="108"/>
  <c r="AE122" i="108"/>
  <c r="AE101" i="108"/>
  <c r="AD127" i="108"/>
  <c r="AD131" i="108"/>
  <c r="AD143" i="108"/>
  <c r="AE142" i="108"/>
  <c r="AE105" i="108"/>
  <c r="AE115" i="108"/>
  <c r="AD124" i="108"/>
  <c r="AE106" i="108"/>
  <c r="AD107" i="108"/>
  <c r="AE102" i="108"/>
  <c r="AD139" i="108"/>
  <c r="AD145" i="108"/>
  <c r="AD116" i="108"/>
  <c r="AE128" i="108"/>
  <c r="AD99" i="108"/>
  <c r="AD104" i="108"/>
  <c r="AD102" i="108"/>
  <c r="AD100" i="108"/>
  <c r="AE133" i="108"/>
  <c r="AD133" i="108"/>
  <c r="AD144" i="108"/>
  <c r="AE135" i="108"/>
  <c r="AE143" i="108"/>
  <c r="AE119" i="108"/>
  <c r="AE109" i="108"/>
  <c r="AD115" i="108"/>
  <c r="AE138" i="108"/>
  <c r="AE121" i="108"/>
  <c r="AE130" i="108"/>
  <c r="AE131" i="108"/>
  <c r="AE108" i="108"/>
  <c r="AE99" i="108"/>
  <c r="AE140" i="108"/>
  <c r="AE111" i="108"/>
  <c r="AE118" i="108"/>
  <c r="AD128" i="108"/>
  <c r="AD141" i="108"/>
  <c r="AD135" i="108"/>
  <c r="AD137" i="108"/>
  <c r="AE126" i="108"/>
  <c r="AD132" i="108"/>
  <c r="AE113" i="108"/>
  <c r="AE137" i="108"/>
  <c r="AD101" i="108"/>
  <c r="AE134" i="108"/>
  <c r="AD114" i="108"/>
  <c r="AD113" i="108"/>
  <c r="AD126" i="108"/>
  <c r="AE98" i="108"/>
  <c r="AE104" i="108"/>
  <c r="AD118" i="108"/>
  <c r="AE116" i="108"/>
  <c r="AD129" i="108"/>
  <c r="AE146" i="108"/>
  <c r="V83" i="105" l="1"/>
  <c r="R83" i="105" l="1"/>
  <c r="T83" i="105"/>
  <c r="U83" i="105"/>
  <c r="S83" i="105"/>
  <c r="AG83" i="105" l="1"/>
  <c r="EW49" i="27" l="1"/>
  <c r="EV49" i="27"/>
  <c r="ET49" i="27"/>
  <c r="ES49" i="27"/>
  <c r="ER49" i="27"/>
  <c r="EP49" i="27"/>
  <c r="EO49" i="27"/>
  <c r="EN49" i="27"/>
  <c r="EL49" i="27"/>
  <c r="EK49" i="27"/>
  <c r="EJ49" i="27"/>
  <c r="EH49" i="27"/>
  <c r="EG49" i="27"/>
  <c r="EF49" i="27"/>
  <c r="ED49" i="27"/>
  <c r="EC49" i="27"/>
  <c r="EB49" i="27"/>
  <c r="DZ49" i="27"/>
  <c r="DY49" i="27"/>
  <c r="DX49" i="27"/>
  <c r="DV49" i="27"/>
  <c r="DU49" i="27"/>
  <c r="DT49" i="27"/>
  <c r="DR49" i="27"/>
  <c r="DQ49" i="27"/>
  <c r="DP49" i="27"/>
  <c r="DN49" i="27"/>
  <c r="DM49" i="27"/>
  <c r="DL49" i="27"/>
  <c r="DJ49" i="27"/>
  <c r="DI49" i="27"/>
  <c r="DH49" i="27"/>
  <c r="DF49" i="27"/>
  <c r="DE49" i="27"/>
  <c r="DD49" i="27"/>
  <c r="DB49" i="27"/>
  <c r="DA49" i="27"/>
  <c r="CZ49" i="27"/>
  <c r="CX49" i="27"/>
  <c r="CW49" i="27"/>
  <c r="CV49" i="27"/>
  <c r="CT49" i="27"/>
  <c r="CS49" i="27"/>
  <c r="CR49" i="27"/>
  <c r="CP49" i="27"/>
  <c r="CO49" i="27"/>
  <c r="CN49" i="27"/>
  <c r="CL49" i="27"/>
  <c r="CK49" i="27"/>
  <c r="CJ49" i="27"/>
  <c r="CH49" i="27"/>
  <c r="CG49" i="27"/>
  <c r="CF49" i="27"/>
  <c r="CD49" i="27"/>
  <c r="EW48" i="27"/>
  <c r="EV48" i="27"/>
  <c r="ET48" i="27"/>
  <c r="ES48" i="27"/>
  <c r="ER48" i="27"/>
  <c r="EP48" i="27"/>
  <c r="EO48" i="27"/>
  <c r="EN48" i="27"/>
  <c r="EL48" i="27"/>
  <c r="EK48" i="27"/>
  <c r="EJ48" i="27"/>
  <c r="EH48" i="27"/>
  <c r="EG48" i="27"/>
  <c r="EF48" i="27"/>
  <c r="ED48" i="27"/>
  <c r="EC48" i="27"/>
  <c r="EB48" i="27"/>
  <c r="DZ48" i="27"/>
  <c r="DY48" i="27"/>
  <c r="DX48" i="27"/>
  <c r="DV48" i="27"/>
  <c r="DU48" i="27"/>
  <c r="DT48" i="27"/>
  <c r="DR48" i="27"/>
  <c r="DQ48" i="27"/>
  <c r="DP48" i="27"/>
  <c r="DN48" i="27"/>
  <c r="DM48" i="27"/>
  <c r="DL48" i="27"/>
  <c r="DJ48" i="27"/>
  <c r="DI48" i="27"/>
  <c r="DH48" i="27"/>
  <c r="DF48" i="27"/>
  <c r="DE48" i="27"/>
  <c r="DD48" i="27"/>
  <c r="DB48" i="27"/>
  <c r="DA48" i="27"/>
  <c r="CZ48" i="27"/>
  <c r="CX48" i="27"/>
  <c r="CW48" i="27"/>
  <c r="CV48" i="27"/>
  <c r="CT48" i="27"/>
  <c r="CS48" i="27"/>
  <c r="CR48" i="27"/>
  <c r="CP48" i="27"/>
  <c r="CO48" i="27"/>
  <c r="CN48" i="27"/>
  <c r="CL48" i="27"/>
  <c r="CK48" i="27"/>
  <c r="CJ48" i="27"/>
  <c r="CH48" i="27"/>
  <c r="CG48" i="27"/>
  <c r="CF48" i="27"/>
  <c r="CD48" i="27"/>
  <c r="EW47" i="27"/>
  <c r="EV47" i="27"/>
  <c r="ET47" i="27"/>
  <c r="ES47" i="27"/>
  <c r="ER47" i="27"/>
  <c r="EP47" i="27"/>
  <c r="EO47" i="27"/>
  <c r="EN47" i="27"/>
  <c r="EL47" i="27"/>
  <c r="EK47" i="27"/>
  <c r="EJ47" i="27"/>
  <c r="EH47" i="27"/>
  <c r="EG47" i="27"/>
  <c r="EF47" i="27"/>
  <c r="ED47" i="27"/>
  <c r="EC47" i="27"/>
  <c r="EB47" i="27"/>
  <c r="DZ47" i="27"/>
  <c r="DY47" i="27"/>
  <c r="DX47" i="27"/>
  <c r="DV47" i="27"/>
  <c r="DU47" i="27"/>
  <c r="DT47" i="27"/>
  <c r="DR47" i="27"/>
  <c r="DQ47" i="27"/>
  <c r="DP47" i="27"/>
  <c r="DN47" i="27"/>
  <c r="DM47" i="27"/>
  <c r="DL47" i="27"/>
  <c r="DJ47" i="27"/>
  <c r="DI47" i="27"/>
  <c r="DH47" i="27"/>
  <c r="DF47" i="27"/>
  <c r="DE47" i="27"/>
  <c r="DD47" i="27"/>
  <c r="DB47" i="27"/>
  <c r="DA47" i="27"/>
  <c r="CZ47" i="27"/>
  <c r="CX47" i="27"/>
  <c r="CW47" i="27"/>
  <c r="CV47" i="27"/>
  <c r="CT47" i="27"/>
  <c r="CS47" i="27"/>
  <c r="CR47" i="27"/>
  <c r="CP47" i="27"/>
  <c r="CO47" i="27"/>
  <c r="CN47" i="27"/>
  <c r="CL47" i="27"/>
  <c r="CK47" i="27"/>
  <c r="CJ47" i="27"/>
  <c r="CH47" i="27"/>
  <c r="CG47" i="27"/>
  <c r="CF47" i="27"/>
  <c r="CD47" i="27"/>
  <c r="EW46" i="27"/>
  <c r="EV46" i="27"/>
  <c r="ET46" i="27"/>
  <c r="ES46" i="27"/>
  <c r="ER46" i="27"/>
  <c r="EP46" i="27"/>
  <c r="EO46" i="27"/>
  <c r="EN46" i="27"/>
  <c r="EL46" i="27"/>
  <c r="EK46" i="27"/>
  <c r="EJ46" i="27"/>
  <c r="EH46" i="27"/>
  <c r="EG46" i="27"/>
  <c r="EF46" i="27"/>
  <c r="ED46" i="27"/>
  <c r="EC46" i="27"/>
  <c r="EB46" i="27"/>
  <c r="DZ46" i="27"/>
  <c r="DY46" i="27"/>
  <c r="DX46" i="27"/>
  <c r="DV46" i="27"/>
  <c r="DU46" i="27"/>
  <c r="DT46" i="27"/>
  <c r="DR46" i="27"/>
  <c r="DQ46" i="27"/>
  <c r="DP46" i="27"/>
  <c r="DN46" i="27"/>
  <c r="DM46" i="27"/>
  <c r="DL46" i="27"/>
  <c r="DJ46" i="27"/>
  <c r="DI46" i="27"/>
  <c r="DH46" i="27"/>
  <c r="DF46" i="27"/>
  <c r="DE46" i="27"/>
  <c r="DD46" i="27"/>
  <c r="DB46" i="27"/>
  <c r="DA46" i="27"/>
  <c r="CZ46" i="27"/>
  <c r="CX46" i="27"/>
  <c r="CW46" i="27"/>
  <c r="CV46" i="27"/>
  <c r="CT46" i="27"/>
  <c r="CS46" i="27"/>
  <c r="CR46" i="27"/>
  <c r="CP46" i="27"/>
  <c r="CO46" i="27"/>
  <c r="CN46" i="27"/>
  <c r="CL46" i="27"/>
  <c r="CK46" i="27"/>
  <c r="CJ46" i="27"/>
  <c r="CH46" i="27"/>
  <c r="CG46" i="27"/>
  <c r="CF46" i="27"/>
  <c r="CD46" i="27"/>
  <c r="EW45" i="27"/>
  <c r="EV45" i="27"/>
  <c r="ET45" i="27"/>
  <c r="ES45" i="27"/>
  <c r="ER45" i="27"/>
  <c r="EP45" i="27"/>
  <c r="EO45" i="27"/>
  <c r="EN45" i="27"/>
  <c r="EL45" i="27"/>
  <c r="EK45" i="27"/>
  <c r="EJ45" i="27"/>
  <c r="EH45" i="27"/>
  <c r="EG45" i="27"/>
  <c r="EF45" i="27"/>
  <c r="ED45" i="27"/>
  <c r="EC45" i="27"/>
  <c r="EB45" i="27"/>
  <c r="DZ45" i="27"/>
  <c r="DY45" i="27"/>
  <c r="DX45" i="27"/>
  <c r="DV45" i="27"/>
  <c r="DU45" i="27"/>
  <c r="DT45" i="27"/>
  <c r="DR45" i="27"/>
  <c r="DQ45" i="27"/>
  <c r="DP45" i="27"/>
  <c r="DN45" i="27"/>
  <c r="DM45" i="27"/>
  <c r="DL45" i="27"/>
  <c r="DJ45" i="27"/>
  <c r="DI45" i="27"/>
  <c r="DH45" i="27"/>
  <c r="DF45" i="27"/>
  <c r="DE45" i="27"/>
  <c r="DD45" i="27"/>
  <c r="DB45" i="27"/>
  <c r="DA45" i="27"/>
  <c r="CZ45" i="27"/>
  <c r="CX45" i="27"/>
  <c r="CW45" i="27"/>
  <c r="CV45" i="27"/>
  <c r="CT45" i="27"/>
  <c r="CS45" i="27"/>
  <c r="CR45" i="27"/>
  <c r="CP45" i="27"/>
  <c r="CO45" i="27"/>
  <c r="CN45" i="27"/>
  <c r="CL45" i="27"/>
  <c r="CK45" i="27"/>
  <c r="CJ45" i="27"/>
  <c r="CH45" i="27"/>
  <c r="EW44" i="27"/>
  <c r="EV44" i="27"/>
  <c r="ET44" i="27"/>
  <c r="ES44" i="27"/>
  <c r="ER44" i="27"/>
  <c r="EP44" i="27"/>
  <c r="EO44" i="27"/>
  <c r="EN44" i="27"/>
  <c r="EL44" i="27"/>
  <c r="EK44" i="27"/>
  <c r="EJ44" i="27"/>
  <c r="EH44" i="27"/>
  <c r="EG44" i="27"/>
  <c r="EF44" i="27"/>
  <c r="ED44" i="27"/>
  <c r="EC44" i="27"/>
  <c r="EB44" i="27"/>
  <c r="DZ44" i="27"/>
  <c r="DY44" i="27"/>
  <c r="DX44" i="27"/>
  <c r="DV44" i="27"/>
  <c r="DU44" i="27"/>
  <c r="DT44" i="27"/>
  <c r="DR44" i="27"/>
  <c r="DQ44" i="27"/>
  <c r="DP44" i="27"/>
  <c r="DN44" i="27"/>
  <c r="DM44" i="27"/>
  <c r="DL44" i="27"/>
  <c r="DJ44" i="27"/>
  <c r="DI44" i="27"/>
  <c r="DH44" i="27"/>
  <c r="DF44" i="27"/>
  <c r="DE44" i="27"/>
  <c r="DD44" i="27"/>
  <c r="DB44" i="27"/>
  <c r="DA44" i="27"/>
  <c r="CZ44" i="27"/>
  <c r="CX44" i="27"/>
  <c r="CW44" i="27"/>
  <c r="CV44" i="27"/>
  <c r="CT44" i="27"/>
  <c r="CS44" i="27"/>
  <c r="CR44" i="27"/>
  <c r="CP44" i="27"/>
  <c r="CO44" i="27"/>
  <c r="CN44" i="27"/>
  <c r="CL44" i="27"/>
  <c r="CK44" i="27"/>
  <c r="CJ44" i="27"/>
  <c r="CH44" i="27"/>
  <c r="CG44" i="27"/>
  <c r="CF44" i="27"/>
  <c r="CD44" i="27"/>
  <c r="EW43" i="27"/>
  <c r="EV43" i="27"/>
  <c r="ET43" i="27"/>
  <c r="ES43" i="27"/>
  <c r="ER43" i="27"/>
  <c r="EP43" i="27"/>
  <c r="EO43" i="27"/>
  <c r="EN43" i="27"/>
  <c r="EL43" i="27"/>
  <c r="EK43" i="27"/>
  <c r="EJ43" i="27"/>
  <c r="EH43" i="27"/>
  <c r="EG43" i="27"/>
  <c r="EF43" i="27"/>
  <c r="ED43" i="27"/>
  <c r="EC43" i="27"/>
  <c r="EB43" i="27"/>
  <c r="DZ43" i="27"/>
  <c r="DY43" i="27"/>
  <c r="DX43" i="27"/>
  <c r="DV43" i="27"/>
  <c r="DU43" i="27"/>
  <c r="DT43" i="27"/>
  <c r="DR43" i="27"/>
  <c r="DQ43" i="27"/>
  <c r="DP43" i="27"/>
  <c r="DN43" i="27"/>
  <c r="DM43" i="27"/>
  <c r="DL43" i="27"/>
  <c r="DJ43" i="27"/>
  <c r="DI43" i="27"/>
  <c r="DH43" i="27"/>
  <c r="DF43" i="27"/>
  <c r="DE43" i="27"/>
  <c r="DD43" i="27"/>
  <c r="DB43" i="27"/>
  <c r="DA43" i="27"/>
  <c r="CZ43" i="27"/>
  <c r="CX43" i="27"/>
  <c r="CW43" i="27"/>
  <c r="CV43" i="27"/>
  <c r="CT43" i="27"/>
  <c r="CS43" i="27"/>
  <c r="CR43" i="27"/>
  <c r="CP43" i="27"/>
  <c r="CO43" i="27"/>
  <c r="CN43" i="27"/>
  <c r="CL43" i="27"/>
  <c r="CK43" i="27"/>
  <c r="CJ43" i="27"/>
  <c r="CH43" i="27"/>
  <c r="CG43" i="27"/>
  <c r="CF43" i="27"/>
  <c r="CD43" i="27"/>
  <c r="EW42" i="27"/>
  <c r="EV42" i="27"/>
  <c r="ET42" i="27"/>
  <c r="ES42" i="27"/>
  <c r="ER42" i="27"/>
  <c r="EP42" i="27"/>
  <c r="EO42" i="27"/>
  <c r="EN42" i="27"/>
  <c r="EL42" i="27"/>
  <c r="EK42" i="27"/>
  <c r="EJ42" i="27"/>
  <c r="EH42" i="27"/>
  <c r="EG42" i="27"/>
  <c r="EF42" i="27"/>
  <c r="ED42" i="27"/>
  <c r="EC42" i="27"/>
  <c r="EB42" i="27"/>
  <c r="DZ42" i="27"/>
  <c r="DY42" i="27"/>
  <c r="DX42" i="27"/>
  <c r="DV42" i="27"/>
  <c r="DU42" i="27"/>
  <c r="DT42" i="27"/>
  <c r="DR42" i="27"/>
  <c r="DQ42" i="27"/>
  <c r="DP42" i="27"/>
  <c r="DN42" i="27"/>
  <c r="DM42" i="27"/>
  <c r="DL42" i="27"/>
  <c r="DJ42" i="27"/>
  <c r="DI42" i="27"/>
  <c r="DH42" i="27"/>
  <c r="DF42" i="27"/>
  <c r="DE42" i="27"/>
  <c r="DD42" i="27"/>
  <c r="DB42" i="27"/>
  <c r="DA42" i="27"/>
  <c r="CZ42" i="27"/>
  <c r="CX42" i="27"/>
  <c r="CW42" i="27"/>
  <c r="CV42" i="27"/>
  <c r="CT42" i="27"/>
  <c r="CS42" i="27"/>
  <c r="CR42" i="27"/>
  <c r="CP42" i="27"/>
  <c r="CO42" i="27"/>
  <c r="CN42" i="27"/>
  <c r="CL42" i="27"/>
  <c r="CK42" i="27"/>
  <c r="CJ42" i="27"/>
  <c r="CH42" i="27"/>
  <c r="EW41" i="27"/>
  <c r="EV41" i="27"/>
  <c r="ET41" i="27"/>
  <c r="ES41" i="27"/>
  <c r="ER41" i="27"/>
  <c r="EP41" i="27"/>
  <c r="EO41" i="27"/>
  <c r="EN41" i="27"/>
  <c r="EL41" i="27"/>
  <c r="EK41" i="27"/>
  <c r="EJ41" i="27"/>
  <c r="EH41" i="27"/>
  <c r="EG41" i="27"/>
  <c r="EF41" i="27"/>
  <c r="ED41" i="27"/>
  <c r="EC41" i="27"/>
  <c r="EB41" i="27"/>
  <c r="DZ41" i="27"/>
  <c r="DY41" i="27"/>
  <c r="DX41" i="27"/>
  <c r="DV41" i="27"/>
  <c r="DU41" i="27"/>
  <c r="DT41" i="27"/>
  <c r="DR41" i="27"/>
  <c r="DQ41" i="27"/>
  <c r="DP41" i="27"/>
  <c r="DN41" i="27"/>
  <c r="DM41" i="27"/>
  <c r="DL41" i="27"/>
  <c r="DJ41" i="27"/>
  <c r="DI41" i="27"/>
  <c r="DH41" i="27"/>
  <c r="DF41" i="27"/>
  <c r="DE41" i="27"/>
  <c r="DD41" i="27"/>
  <c r="DB41" i="27"/>
  <c r="DA41" i="27"/>
  <c r="CZ41" i="27"/>
  <c r="CX41" i="27"/>
  <c r="CW41" i="27"/>
  <c r="CV41" i="27"/>
  <c r="CT41" i="27"/>
  <c r="CS41" i="27"/>
  <c r="CR41" i="27"/>
  <c r="CP41" i="27"/>
  <c r="CO41" i="27"/>
  <c r="CN41" i="27"/>
  <c r="CL41" i="27"/>
  <c r="CK41" i="27"/>
  <c r="CJ41" i="27"/>
  <c r="CH41" i="27"/>
  <c r="CG41" i="27"/>
  <c r="CF41" i="27"/>
  <c r="CD41" i="27"/>
  <c r="EW40" i="27"/>
  <c r="EV40" i="27"/>
  <c r="ET40" i="27"/>
  <c r="ES40" i="27"/>
  <c r="ER40" i="27"/>
  <c r="EP40" i="27"/>
  <c r="EO40" i="27"/>
  <c r="EN40" i="27"/>
  <c r="EL40" i="27"/>
  <c r="EK40" i="27"/>
  <c r="EJ40" i="27"/>
  <c r="EH40" i="27"/>
  <c r="EG40" i="27"/>
  <c r="EF40" i="27"/>
  <c r="ED40" i="27"/>
  <c r="EC40" i="27"/>
  <c r="EB40" i="27"/>
  <c r="DZ40" i="27"/>
  <c r="DY40" i="27"/>
  <c r="DX40" i="27"/>
  <c r="DV40" i="27"/>
  <c r="DU40" i="27"/>
  <c r="DT40" i="27"/>
  <c r="DR40" i="27"/>
  <c r="DQ40" i="27"/>
  <c r="DP40" i="27"/>
  <c r="DN40" i="27"/>
  <c r="DM40" i="27"/>
  <c r="DL40" i="27"/>
  <c r="DJ40" i="27"/>
  <c r="DI40" i="27"/>
  <c r="DH40" i="27"/>
  <c r="DF40" i="27"/>
  <c r="DE40" i="27"/>
  <c r="DD40" i="27"/>
  <c r="DB40" i="27"/>
  <c r="DA40" i="27"/>
  <c r="CZ40" i="27"/>
  <c r="CX40" i="27"/>
  <c r="CW40" i="27"/>
  <c r="CV40" i="27"/>
  <c r="CT40" i="27"/>
  <c r="CS40" i="27"/>
  <c r="CR40" i="27"/>
  <c r="CP40" i="27"/>
  <c r="CO40" i="27"/>
  <c r="CN40" i="27"/>
  <c r="CL40" i="27"/>
  <c r="CK40" i="27"/>
  <c r="CJ40" i="27"/>
  <c r="CH40" i="27"/>
  <c r="CG40" i="27"/>
  <c r="CF40" i="27"/>
  <c r="CD40" i="27"/>
  <c r="EW39" i="27"/>
  <c r="EV39" i="27"/>
  <c r="ET39" i="27"/>
  <c r="ES39" i="27"/>
  <c r="ER39" i="27"/>
  <c r="EP39" i="27"/>
  <c r="EO39" i="27"/>
  <c r="EN39" i="27"/>
  <c r="EL39" i="27"/>
  <c r="EK39" i="27"/>
  <c r="EJ39" i="27"/>
  <c r="EH39" i="27"/>
  <c r="EG39" i="27"/>
  <c r="EF39" i="27"/>
  <c r="ED39" i="27"/>
  <c r="EC39" i="27"/>
  <c r="EB39" i="27"/>
  <c r="DZ39" i="27"/>
  <c r="DY39" i="27"/>
  <c r="DX39" i="27"/>
  <c r="DV39" i="27"/>
  <c r="DU39" i="27"/>
  <c r="DT39" i="27"/>
  <c r="DR39" i="27"/>
  <c r="DQ39" i="27"/>
  <c r="DP39" i="27"/>
  <c r="DN39" i="27"/>
  <c r="DM39" i="27"/>
  <c r="DL39" i="27"/>
  <c r="DJ39" i="27"/>
  <c r="DI39" i="27"/>
  <c r="DH39" i="27"/>
  <c r="DF39" i="27"/>
  <c r="DE39" i="27"/>
  <c r="DD39" i="27"/>
  <c r="DB39" i="27"/>
  <c r="DA39" i="27"/>
  <c r="CZ39" i="27"/>
  <c r="CX39" i="27"/>
  <c r="CW39" i="27"/>
  <c r="CV39" i="27"/>
  <c r="CT39" i="27"/>
  <c r="CS39" i="27"/>
  <c r="CR39" i="27"/>
  <c r="CP39" i="27"/>
  <c r="CO39" i="27"/>
  <c r="CN39" i="27"/>
  <c r="CL39" i="27"/>
  <c r="CK39" i="27"/>
  <c r="CJ39" i="27"/>
  <c r="CH39" i="27"/>
  <c r="CG39" i="27"/>
  <c r="CF39" i="27"/>
  <c r="CD39" i="27"/>
  <c r="EW38" i="27"/>
  <c r="EV38" i="27"/>
  <c r="ET38" i="27"/>
  <c r="ES38" i="27"/>
  <c r="ER38" i="27"/>
  <c r="EP38" i="27"/>
  <c r="EO38" i="27"/>
  <c r="EN38" i="27"/>
  <c r="EL38" i="27"/>
  <c r="EK38" i="27"/>
  <c r="EJ38" i="27"/>
  <c r="EH38" i="27"/>
  <c r="EG38" i="27"/>
  <c r="EF38" i="27"/>
  <c r="ED38" i="27"/>
  <c r="EC38" i="27"/>
  <c r="EB38" i="27"/>
  <c r="DZ38" i="27"/>
  <c r="DY38" i="27"/>
  <c r="DX38" i="27"/>
  <c r="DV38" i="27"/>
  <c r="DU38" i="27"/>
  <c r="DT38" i="27"/>
  <c r="DR38" i="27"/>
  <c r="DQ38" i="27"/>
  <c r="DP38" i="27"/>
  <c r="DN38" i="27"/>
  <c r="DM38" i="27"/>
  <c r="DL38" i="27"/>
  <c r="DJ38" i="27"/>
  <c r="DI38" i="27"/>
  <c r="DH38" i="27"/>
  <c r="DF38" i="27"/>
  <c r="DE38" i="27"/>
  <c r="DD38" i="27"/>
  <c r="DB38" i="27"/>
  <c r="DA38" i="27"/>
  <c r="CZ38" i="27"/>
  <c r="CX38" i="27"/>
  <c r="CW38" i="27"/>
  <c r="CV38" i="27"/>
  <c r="CT38" i="27"/>
  <c r="CS38" i="27"/>
  <c r="CR38" i="27"/>
  <c r="CP38" i="27"/>
  <c r="CO38" i="27"/>
  <c r="CN38" i="27"/>
  <c r="CL38" i="27"/>
  <c r="CK38" i="27"/>
  <c r="CJ38" i="27"/>
  <c r="CH38" i="27"/>
  <c r="CG38" i="27"/>
  <c r="CF38" i="27"/>
  <c r="CD38" i="27"/>
  <c r="EW37" i="27"/>
  <c r="EV37" i="27"/>
  <c r="ET37" i="27"/>
  <c r="ES37" i="27"/>
  <c r="ER37" i="27"/>
  <c r="EP37" i="27"/>
  <c r="EO37" i="27"/>
  <c r="EN37" i="27"/>
  <c r="EL37" i="27"/>
  <c r="EK37" i="27"/>
  <c r="EJ37" i="27"/>
  <c r="EH37" i="27"/>
  <c r="EG37" i="27"/>
  <c r="EF37" i="27"/>
  <c r="ED37" i="27"/>
  <c r="EC37" i="27"/>
  <c r="EB37" i="27"/>
  <c r="DZ37" i="27"/>
  <c r="DY37" i="27"/>
  <c r="DX37" i="27"/>
  <c r="DV37" i="27"/>
  <c r="DU37" i="27"/>
  <c r="DT37" i="27"/>
  <c r="DR37" i="27"/>
  <c r="DQ37" i="27"/>
  <c r="DP37" i="27"/>
  <c r="DN37" i="27"/>
  <c r="DM37" i="27"/>
  <c r="DL37" i="27"/>
  <c r="DJ37" i="27"/>
  <c r="DI37" i="27"/>
  <c r="DH37" i="27"/>
  <c r="DF37" i="27"/>
  <c r="DE37" i="27"/>
  <c r="DD37" i="27"/>
  <c r="DB37" i="27"/>
  <c r="DA37" i="27"/>
  <c r="CZ37" i="27"/>
  <c r="CX37" i="27"/>
  <c r="CW37" i="27"/>
  <c r="CV37" i="27"/>
  <c r="CT37" i="27"/>
  <c r="CS37" i="27"/>
  <c r="CR37" i="27"/>
  <c r="CP37" i="27"/>
  <c r="CO37" i="27"/>
  <c r="CN37" i="27"/>
  <c r="CL37" i="27"/>
  <c r="CK37" i="27"/>
  <c r="CJ37" i="27"/>
  <c r="CH37" i="27"/>
  <c r="CG37" i="27"/>
  <c r="CF37" i="27"/>
  <c r="CD37" i="27"/>
  <c r="EW36" i="27"/>
  <c r="EV36" i="27"/>
  <c r="ET36" i="27"/>
  <c r="ES36" i="27"/>
  <c r="ER36" i="27"/>
  <c r="EP36" i="27"/>
  <c r="EO36" i="27"/>
  <c r="EN36" i="27"/>
  <c r="EL36" i="27"/>
  <c r="EK36" i="27"/>
  <c r="EJ36" i="27"/>
  <c r="EH36" i="27"/>
  <c r="EG36" i="27"/>
  <c r="EF36" i="27"/>
  <c r="ED36" i="27"/>
  <c r="EC36" i="27"/>
  <c r="EB36" i="27"/>
  <c r="DZ36" i="27"/>
  <c r="DY36" i="27"/>
  <c r="DX36" i="27"/>
  <c r="DV36" i="27"/>
  <c r="DU36" i="27"/>
  <c r="DT36" i="27"/>
  <c r="DR36" i="27"/>
  <c r="DQ36" i="27"/>
  <c r="DP36" i="27"/>
  <c r="DN36" i="27"/>
  <c r="DM36" i="27"/>
  <c r="DL36" i="27"/>
  <c r="DJ36" i="27"/>
  <c r="DI36" i="27"/>
  <c r="DH36" i="27"/>
  <c r="DF36" i="27"/>
  <c r="DE36" i="27"/>
  <c r="DD36" i="27"/>
  <c r="DB36" i="27"/>
  <c r="DA36" i="27"/>
  <c r="CZ36" i="27"/>
  <c r="CX36" i="27"/>
  <c r="CW36" i="27"/>
  <c r="CV36" i="27"/>
  <c r="CT36" i="27"/>
  <c r="CS36" i="27"/>
  <c r="CR36" i="27"/>
  <c r="CP36" i="27"/>
  <c r="CO36" i="27"/>
  <c r="CN36" i="27"/>
  <c r="CL36" i="27"/>
  <c r="CK36" i="27"/>
  <c r="CJ36" i="27"/>
  <c r="CH36" i="27"/>
  <c r="CG36" i="27"/>
  <c r="CF36" i="27"/>
  <c r="CD36" i="27"/>
  <c r="EW35" i="27"/>
  <c r="EV35" i="27"/>
  <c r="ET35" i="27"/>
  <c r="ES35" i="27"/>
  <c r="ER35" i="27"/>
  <c r="EP35" i="27"/>
  <c r="EO35" i="27"/>
  <c r="EN35" i="27"/>
  <c r="EL35" i="27"/>
  <c r="EK35" i="27"/>
  <c r="EJ35" i="27"/>
  <c r="EH35" i="27"/>
  <c r="EG35" i="27"/>
  <c r="EF35" i="27"/>
  <c r="ED35" i="27"/>
  <c r="EC35" i="27"/>
  <c r="EB35" i="27"/>
  <c r="DZ35" i="27"/>
  <c r="DY35" i="27"/>
  <c r="DX35" i="27"/>
  <c r="DV35" i="27"/>
  <c r="DU35" i="27"/>
  <c r="DT35" i="27"/>
  <c r="DR35" i="27"/>
  <c r="DQ35" i="27"/>
  <c r="DP35" i="27"/>
  <c r="DN35" i="27"/>
  <c r="DM35" i="27"/>
  <c r="DL35" i="27"/>
  <c r="DJ35" i="27"/>
  <c r="DI35" i="27"/>
  <c r="DH35" i="27"/>
  <c r="DF35" i="27"/>
  <c r="DE35" i="27"/>
  <c r="DD35" i="27"/>
  <c r="DB35" i="27"/>
  <c r="DA35" i="27"/>
  <c r="CZ35" i="27"/>
  <c r="CX35" i="27"/>
  <c r="CW35" i="27"/>
  <c r="CV35" i="27"/>
  <c r="CT35" i="27"/>
  <c r="CS35" i="27"/>
  <c r="CR35" i="27"/>
  <c r="CP35" i="27"/>
  <c r="CO35" i="27"/>
  <c r="CN35" i="27"/>
  <c r="CL35" i="27"/>
  <c r="GL7" i="27" s="1"/>
  <c r="CK35" i="27"/>
  <c r="CJ35" i="27"/>
  <c r="CH35" i="27"/>
  <c r="CG35" i="27"/>
  <c r="CF35" i="27"/>
  <c r="CD35" i="27"/>
  <c r="EW34" i="27"/>
  <c r="EV34" i="27"/>
  <c r="ET34" i="27"/>
  <c r="ES34" i="27"/>
  <c r="ER34" i="27"/>
  <c r="EP34" i="27"/>
  <c r="EO34" i="27"/>
  <c r="EN34" i="27"/>
  <c r="EL34" i="27"/>
  <c r="EK34" i="27"/>
  <c r="EJ34" i="27"/>
  <c r="EH34" i="27"/>
  <c r="EG34" i="27"/>
  <c r="EF34" i="27"/>
  <c r="ED34" i="27"/>
  <c r="EC34" i="27"/>
  <c r="EB34" i="27"/>
  <c r="DZ34" i="27"/>
  <c r="DY34" i="27"/>
  <c r="DX34" i="27"/>
  <c r="DV34" i="27"/>
  <c r="DU34" i="27"/>
  <c r="DT34" i="27"/>
  <c r="DR34" i="27"/>
  <c r="DQ34" i="27"/>
  <c r="DP34" i="27"/>
  <c r="DN34" i="27"/>
  <c r="DM34" i="27"/>
  <c r="DL34" i="27"/>
  <c r="DJ34" i="27"/>
  <c r="DI34" i="27"/>
  <c r="DH34" i="27"/>
  <c r="DF34" i="27"/>
  <c r="DE34" i="27"/>
  <c r="DD34" i="27"/>
  <c r="DB34" i="27"/>
  <c r="DA34" i="27"/>
  <c r="CZ34" i="27"/>
  <c r="CX34" i="27"/>
  <c r="CW34" i="27"/>
  <c r="CV34" i="27"/>
  <c r="CT34" i="27"/>
  <c r="CS34" i="27"/>
  <c r="CR34" i="27"/>
  <c r="CP34" i="27"/>
  <c r="CO34" i="27"/>
  <c r="CN34" i="27"/>
  <c r="CL34" i="27"/>
  <c r="CK34" i="27"/>
  <c r="CJ34" i="27"/>
  <c r="CH34" i="27"/>
  <c r="CG34" i="27"/>
  <c r="CF34" i="27"/>
  <c r="CD34" i="27"/>
  <c r="EW33" i="27"/>
  <c r="EV33" i="27"/>
  <c r="ET33" i="27"/>
  <c r="ES33" i="27"/>
  <c r="ER33" i="27"/>
  <c r="EP33" i="27"/>
  <c r="EO33" i="27"/>
  <c r="EN33" i="27"/>
  <c r="EL33" i="27"/>
  <c r="EK33" i="27"/>
  <c r="EJ33" i="27"/>
  <c r="EH33" i="27"/>
  <c r="EG33" i="27"/>
  <c r="EF33" i="27"/>
  <c r="ED33" i="27"/>
  <c r="EC33" i="27"/>
  <c r="EB33" i="27"/>
  <c r="DZ33" i="27"/>
  <c r="DY33" i="27"/>
  <c r="DX33" i="27"/>
  <c r="DV33" i="27"/>
  <c r="DU33" i="27"/>
  <c r="DT33" i="27"/>
  <c r="DR33" i="27"/>
  <c r="DQ33" i="27"/>
  <c r="DP33" i="27"/>
  <c r="DN33" i="27"/>
  <c r="DM33" i="27"/>
  <c r="DL33" i="27"/>
  <c r="DJ33" i="27"/>
  <c r="DI33" i="27"/>
  <c r="DH33" i="27"/>
  <c r="DF33" i="27"/>
  <c r="DE33" i="27"/>
  <c r="DD33" i="27"/>
  <c r="DB33" i="27"/>
  <c r="DA33" i="27"/>
  <c r="CZ33" i="27"/>
  <c r="CX33" i="27"/>
  <c r="CW33" i="27"/>
  <c r="CV33" i="27"/>
  <c r="CT33" i="27"/>
  <c r="CS33" i="27"/>
  <c r="CR33" i="27"/>
  <c r="CP33" i="27"/>
  <c r="CO33" i="27"/>
  <c r="CN33" i="27"/>
  <c r="CL33" i="27"/>
  <c r="CK33" i="27"/>
  <c r="CJ33" i="27"/>
  <c r="CH33" i="27"/>
  <c r="CG33" i="27"/>
  <c r="CF33" i="27"/>
  <c r="CD33" i="27"/>
  <c r="EW32" i="27"/>
  <c r="EV32" i="27"/>
  <c r="ET32" i="27"/>
  <c r="ES32" i="27"/>
  <c r="ER32" i="27"/>
  <c r="EP32" i="27"/>
  <c r="EO32" i="27"/>
  <c r="EN32" i="27"/>
  <c r="EL32" i="27"/>
  <c r="EK32" i="27"/>
  <c r="EJ32" i="27"/>
  <c r="EH32" i="27"/>
  <c r="EG32" i="27"/>
  <c r="EF32" i="27"/>
  <c r="ED32" i="27"/>
  <c r="EC32" i="27"/>
  <c r="EB32" i="27"/>
  <c r="DZ32" i="27"/>
  <c r="DY32" i="27"/>
  <c r="DX32" i="27"/>
  <c r="DV32" i="27"/>
  <c r="DU32" i="27"/>
  <c r="DT32" i="27"/>
  <c r="DR32" i="27"/>
  <c r="DQ32" i="27"/>
  <c r="DP32" i="27"/>
  <c r="DN32" i="27"/>
  <c r="DM32" i="27"/>
  <c r="DL32" i="27"/>
  <c r="DJ32" i="27"/>
  <c r="DI32" i="27"/>
  <c r="DH32" i="27"/>
  <c r="DF32" i="27"/>
  <c r="DE32" i="27"/>
  <c r="DD32" i="27"/>
  <c r="DB32" i="27"/>
  <c r="DA32" i="27"/>
  <c r="CZ32" i="27"/>
  <c r="CX32" i="27"/>
  <c r="CW32" i="27"/>
  <c r="CV32" i="27"/>
  <c r="CT32" i="27"/>
  <c r="CS32" i="27"/>
  <c r="CR32" i="27"/>
  <c r="CP32" i="27"/>
  <c r="CO32" i="27"/>
  <c r="CN32" i="27"/>
  <c r="CL32" i="27"/>
  <c r="CK32" i="27"/>
  <c r="CJ32" i="27"/>
  <c r="CH32" i="27"/>
  <c r="CG32" i="27"/>
  <c r="CF32" i="27"/>
  <c r="CD32" i="27"/>
  <c r="EW31" i="27"/>
  <c r="EV31" i="27"/>
  <c r="ET31" i="27"/>
  <c r="ES31" i="27"/>
  <c r="ER31" i="27"/>
  <c r="EP31" i="27"/>
  <c r="EO31" i="27"/>
  <c r="EN31" i="27"/>
  <c r="EL31" i="27"/>
  <c r="EK31" i="27"/>
  <c r="EJ31" i="27"/>
  <c r="EH31" i="27"/>
  <c r="EG31" i="27"/>
  <c r="EF31" i="27"/>
  <c r="ED31" i="27"/>
  <c r="EC31" i="27"/>
  <c r="EB31" i="27"/>
  <c r="DZ31" i="27"/>
  <c r="DY31" i="27"/>
  <c r="DX31" i="27"/>
  <c r="DV31" i="27"/>
  <c r="DU31" i="27"/>
  <c r="DT31" i="27"/>
  <c r="DR31" i="27"/>
  <c r="DQ31" i="27"/>
  <c r="DP31" i="27"/>
  <c r="DN31" i="27"/>
  <c r="DM31" i="27"/>
  <c r="DL31" i="27"/>
  <c r="DJ31" i="27"/>
  <c r="DI31" i="27"/>
  <c r="DH31" i="27"/>
  <c r="DF31" i="27"/>
  <c r="DE31" i="27"/>
  <c r="DD31" i="27"/>
  <c r="DB31" i="27"/>
  <c r="DA31" i="27"/>
  <c r="CZ31" i="27"/>
  <c r="CX31" i="27"/>
  <c r="CW31" i="27"/>
  <c r="CV31" i="27"/>
  <c r="CT31" i="27"/>
  <c r="CS31" i="27"/>
  <c r="CR31" i="27"/>
  <c r="CP31" i="27"/>
  <c r="CO31" i="27"/>
  <c r="CN31" i="27"/>
  <c r="CL31" i="27"/>
  <c r="CK31" i="27"/>
  <c r="CJ31" i="27"/>
  <c r="CH31" i="27"/>
  <c r="CG31" i="27"/>
  <c r="CF31" i="27"/>
  <c r="CD31" i="27"/>
  <c r="EW30" i="27"/>
  <c r="EV30" i="27"/>
  <c r="ET30" i="27"/>
  <c r="ES30" i="27"/>
  <c r="ER30" i="27"/>
  <c r="EP30" i="27"/>
  <c r="EO30" i="27"/>
  <c r="EN30" i="27"/>
  <c r="EL30" i="27"/>
  <c r="EK30" i="27"/>
  <c r="EJ30" i="27"/>
  <c r="EH30" i="27"/>
  <c r="EG30" i="27"/>
  <c r="EF30" i="27"/>
  <c r="ED30" i="27"/>
  <c r="EC30" i="27"/>
  <c r="EB30" i="27"/>
  <c r="DZ30" i="27"/>
  <c r="DY30" i="27"/>
  <c r="DX30" i="27"/>
  <c r="DV30" i="27"/>
  <c r="DU30" i="27"/>
  <c r="DT30" i="27"/>
  <c r="DR30" i="27"/>
  <c r="DQ30" i="27"/>
  <c r="DP30" i="27"/>
  <c r="DN30" i="27"/>
  <c r="DM30" i="27"/>
  <c r="DL30" i="27"/>
  <c r="DJ30" i="27"/>
  <c r="DI30" i="27"/>
  <c r="DH30" i="27"/>
  <c r="DF30" i="27"/>
  <c r="DE30" i="27"/>
  <c r="DD30" i="27"/>
  <c r="DB30" i="27"/>
  <c r="DA30" i="27"/>
  <c r="CZ30" i="27"/>
  <c r="CX30" i="27"/>
  <c r="CW30" i="27"/>
  <c r="CV30" i="27"/>
  <c r="CT30" i="27"/>
  <c r="CS30" i="27"/>
  <c r="CR30" i="27"/>
  <c r="CP30" i="27"/>
  <c r="CO30" i="27"/>
  <c r="CN30" i="27"/>
  <c r="CL30" i="27"/>
  <c r="CK30" i="27"/>
  <c r="CJ30" i="27"/>
  <c r="CH30" i="27"/>
  <c r="CG30" i="27"/>
  <c r="CF30" i="27"/>
  <c r="CD30" i="27"/>
  <c r="EW29" i="27"/>
  <c r="EV29" i="27"/>
  <c r="ET29" i="27"/>
  <c r="ES29" i="27"/>
  <c r="ER29" i="27"/>
  <c r="EP29" i="27"/>
  <c r="EO29" i="27"/>
  <c r="EN29" i="27"/>
  <c r="EL29" i="27"/>
  <c r="EK29" i="27"/>
  <c r="EJ29" i="27"/>
  <c r="EH29" i="27"/>
  <c r="EG29" i="27"/>
  <c r="EF29" i="27"/>
  <c r="ED29" i="27"/>
  <c r="EC29" i="27"/>
  <c r="EB29" i="27"/>
  <c r="DZ29" i="27"/>
  <c r="DY29" i="27"/>
  <c r="DX29" i="27"/>
  <c r="DV29" i="27"/>
  <c r="DU29" i="27"/>
  <c r="DT29" i="27"/>
  <c r="DR29" i="27"/>
  <c r="DQ29" i="27"/>
  <c r="DP29" i="27"/>
  <c r="DN29" i="27"/>
  <c r="DM29" i="27"/>
  <c r="DL29" i="27"/>
  <c r="DJ29" i="27"/>
  <c r="DI29" i="27"/>
  <c r="DH29" i="27"/>
  <c r="DF29" i="27"/>
  <c r="DE29" i="27"/>
  <c r="DD29" i="27"/>
  <c r="DB29" i="27"/>
  <c r="DA29" i="27"/>
  <c r="CZ29" i="27"/>
  <c r="CX29" i="27"/>
  <c r="CW29" i="27"/>
  <c r="CV29" i="27"/>
  <c r="CT29" i="27"/>
  <c r="CS29" i="27"/>
  <c r="CR29" i="27"/>
  <c r="CP29" i="27"/>
  <c r="CO29" i="27"/>
  <c r="CN29" i="27"/>
  <c r="CL29" i="27"/>
  <c r="CK29" i="27"/>
  <c r="CJ29" i="27"/>
  <c r="CH29" i="27"/>
  <c r="CG29" i="27"/>
  <c r="CF29" i="27"/>
  <c r="CD29" i="27"/>
  <c r="EW28" i="27"/>
  <c r="EV28" i="27"/>
  <c r="ET28" i="27"/>
  <c r="ES28" i="27"/>
  <c r="ER28" i="27"/>
  <c r="EP28" i="27"/>
  <c r="EO28" i="27"/>
  <c r="EN28" i="27"/>
  <c r="EL28" i="27"/>
  <c r="EK28" i="27"/>
  <c r="EJ28" i="27"/>
  <c r="EH28" i="27"/>
  <c r="EG28" i="27"/>
  <c r="EF28" i="27"/>
  <c r="ED28" i="27"/>
  <c r="EC28" i="27"/>
  <c r="EB28" i="27"/>
  <c r="DZ28" i="27"/>
  <c r="DY28" i="27"/>
  <c r="DX28" i="27"/>
  <c r="DV28" i="27"/>
  <c r="DU28" i="27"/>
  <c r="DT28" i="27"/>
  <c r="DR28" i="27"/>
  <c r="DQ28" i="27"/>
  <c r="DP28" i="27"/>
  <c r="DN28" i="27"/>
  <c r="DM28" i="27"/>
  <c r="DL28" i="27"/>
  <c r="DJ28" i="27"/>
  <c r="DI28" i="27"/>
  <c r="DH28" i="27"/>
  <c r="DF28" i="27"/>
  <c r="DE28" i="27"/>
  <c r="DD28" i="27"/>
  <c r="DB28" i="27"/>
  <c r="DA28" i="27"/>
  <c r="CZ28" i="27"/>
  <c r="CX28" i="27"/>
  <c r="CW28" i="27"/>
  <c r="CV28" i="27"/>
  <c r="CT28" i="27"/>
  <c r="CS28" i="27"/>
  <c r="CR28" i="27"/>
  <c r="CP28" i="27"/>
  <c r="CO28" i="27"/>
  <c r="CN28" i="27"/>
  <c r="CL28" i="27"/>
  <c r="CK28" i="27"/>
  <c r="CJ28" i="27"/>
  <c r="CH28" i="27"/>
  <c r="CG28" i="27"/>
  <c r="CF28" i="27"/>
  <c r="CD28" i="27"/>
  <c r="EW27" i="27"/>
  <c r="EV27" i="27"/>
  <c r="ET27" i="27"/>
  <c r="ES27" i="27"/>
  <c r="ER27" i="27"/>
  <c r="EP27" i="27"/>
  <c r="EO27" i="27"/>
  <c r="EN27" i="27"/>
  <c r="EL27" i="27"/>
  <c r="EK27" i="27"/>
  <c r="EJ27" i="27"/>
  <c r="EH27" i="27"/>
  <c r="EG27" i="27"/>
  <c r="EF27" i="27"/>
  <c r="ED27" i="27"/>
  <c r="EC27" i="27"/>
  <c r="EB27" i="27"/>
  <c r="DZ27" i="27"/>
  <c r="DY27" i="27"/>
  <c r="DX27" i="27"/>
  <c r="DV27" i="27"/>
  <c r="DU27" i="27"/>
  <c r="DT27" i="27"/>
  <c r="DR27" i="27"/>
  <c r="DQ27" i="27"/>
  <c r="DP27" i="27"/>
  <c r="DN27" i="27"/>
  <c r="DM27" i="27"/>
  <c r="DL27" i="27"/>
  <c r="DJ27" i="27"/>
  <c r="DI27" i="27"/>
  <c r="DH27" i="27"/>
  <c r="DF27" i="27"/>
  <c r="DE27" i="27"/>
  <c r="DD27" i="27"/>
  <c r="DB27" i="27"/>
  <c r="DA27" i="27"/>
  <c r="CZ27" i="27"/>
  <c r="CX27" i="27"/>
  <c r="CW27" i="27"/>
  <c r="CV27" i="27"/>
  <c r="CT27" i="27"/>
  <c r="CS27" i="27"/>
  <c r="CR27" i="27"/>
  <c r="CP27" i="27"/>
  <c r="CO27" i="27"/>
  <c r="CN27" i="27"/>
  <c r="CL27" i="27"/>
  <c r="CK27" i="27"/>
  <c r="CJ27" i="27"/>
  <c r="CH27" i="27"/>
  <c r="CG27" i="27"/>
  <c r="CF27" i="27"/>
  <c r="CD27" i="27"/>
  <c r="EW26" i="27"/>
  <c r="EV26" i="27"/>
  <c r="ET26" i="27"/>
  <c r="ES26" i="27"/>
  <c r="ER26" i="27"/>
  <c r="EP26" i="27"/>
  <c r="EO26" i="27"/>
  <c r="EN26" i="27"/>
  <c r="EL26" i="27"/>
  <c r="EK26" i="27"/>
  <c r="EJ26" i="27"/>
  <c r="EH26" i="27"/>
  <c r="EG26" i="27"/>
  <c r="EF26" i="27"/>
  <c r="ED26" i="27"/>
  <c r="EC26" i="27"/>
  <c r="EB26" i="27"/>
  <c r="DZ26" i="27"/>
  <c r="DY26" i="27"/>
  <c r="DX26" i="27"/>
  <c r="DV26" i="27"/>
  <c r="DU26" i="27"/>
  <c r="DT26" i="27"/>
  <c r="DR26" i="27"/>
  <c r="DQ26" i="27"/>
  <c r="DP26" i="27"/>
  <c r="DN26" i="27"/>
  <c r="DM26" i="27"/>
  <c r="DL26" i="27"/>
  <c r="DJ26" i="27"/>
  <c r="DI26" i="27"/>
  <c r="DH26" i="27"/>
  <c r="DF26" i="27"/>
  <c r="DE26" i="27"/>
  <c r="DD26" i="27"/>
  <c r="DB26" i="27"/>
  <c r="DA26" i="27"/>
  <c r="CZ26" i="27"/>
  <c r="CX26" i="27"/>
  <c r="CW26" i="27"/>
  <c r="CV26" i="27"/>
  <c r="CT26" i="27"/>
  <c r="CS26" i="27"/>
  <c r="CR26" i="27"/>
  <c r="CP26" i="27"/>
  <c r="CO26" i="27"/>
  <c r="CN26" i="27"/>
  <c r="CL26" i="27"/>
  <c r="CK26" i="27"/>
  <c r="CJ26" i="27"/>
  <c r="CH26" i="27"/>
  <c r="CG26" i="27"/>
  <c r="CF26" i="27"/>
  <c r="CD26" i="27"/>
  <c r="EW25" i="27"/>
  <c r="EV25" i="27"/>
  <c r="ET25" i="27"/>
  <c r="ES25" i="27"/>
  <c r="ER25" i="27"/>
  <c r="EP25" i="27"/>
  <c r="EO25" i="27"/>
  <c r="EN25" i="27"/>
  <c r="EL25" i="27"/>
  <c r="EK25" i="27"/>
  <c r="EJ25" i="27"/>
  <c r="EH25" i="27"/>
  <c r="EG25" i="27"/>
  <c r="EF25" i="27"/>
  <c r="ED25" i="27"/>
  <c r="EC25" i="27"/>
  <c r="EB25" i="27"/>
  <c r="DZ25" i="27"/>
  <c r="DY25" i="27"/>
  <c r="DX25" i="27"/>
  <c r="DV25" i="27"/>
  <c r="DU25" i="27"/>
  <c r="DT25" i="27"/>
  <c r="DR25" i="27"/>
  <c r="DQ25" i="27"/>
  <c r="DP25" i="27"/>
  <c r="DN25" i="27"/>
  <c r="DM25" i="27"/>
  <c r="DL25" i="27"/>
  <c r="DJ25" i="27"/>
  <c r="DI25" i="27"/>
  <c r="DH25" i="27"/>
  <c r="DF25" i="27"/>
  <c r="DE25" i="27"/>
  <c r="DD25" i="27"/>
  <c r="DB25" i="27"/>
  <c r="DA25" i="27"/>
  <c r="CZ25" i="27"/>
  <c r="CX25" i="27"/>
  <c r="CW25" i="27"/>
  <c r="CV25" i="27"/>
  <c r="CT25" i="27"/>
  <c r="CS25" i="27"/>
  <c r="CR25" i="27"/>
  <c r="CP25" i="27"/>
  <c r="CO25" i="27"/>
  <c r="CN25" i="27"/>
  <c r="CL25" i="27"/>
  <c r="CK25" i="27"/>
  <c r="CJ25" i="27"/>
  <c r="CH25" i="27"/>
  <c r="CG25" i="27"/>
  <c r="CF25" i="27"/>
  <c r="CD25" i="27"/>
  <c r="EW24" i="27"/>
  <c r="EV24" i="27"/>
  <c r="ET24" i="27"/>
  <c r="ES24" i="27"/>
  <c r="ER24" i="27"/>
  <c r="EP24" i="27"/>
  <c r="EO24" i="27"/>
  <c r="EN24" i="27"/>
  <c r="EL24" i="27"/>
  <c r="EK24" i="27"/>
  <c r="EJ24" i="27"/>
  <c r="EH24" i="27"/>
  <c r="EG24" i="27"/>
  <c r="EF24" i="27"/>
  <c r="ED24" i="27"/>
  <c r="EC24" i="27"/>
  <c r="EB24" i="27"/>
  <c r="DZ24" i="27"/>
  <c r="DY24" i="27"/>
  <c r="DX24" i="27"/>
  <c r="DV24" i="27"/>
  <c r="DU24" i="27"/>
  <c r="DT24" i="27"/>
  <c r="DR24" i="27"/>
  <c r="DQ24" i="27"/>
  <c r="DP24" i="27"/>
  <c r="DN24" i="27"/>
  <c r="DM24" i="27"/>
  <c r="DL24" i="27"/>
  <c r="DJ24" i="27"/>
  <c r="DI24" i="27"/>
  <c r="DH24" i="27"/>
  <c r="DF24" i="27"/>
  <c r="DE24" i="27"/>
  <c r="DD24" i="27"/>
  <c r="DB24" i="27"/>
  <c r="DA24" i="27"/>
  <c r="CZ24" i="27"/>
  <c r="CX24" i="27"/>
  <c r="CW24" i="27"/>
  <c r="CV24" i="27"/>
  <c r="CT24" i="27"/>
  <c r="CS24" i="27"/>
  <c r="CR24" i="27"/>
  <c r="CP24" i="27"/>
  <c r="CO24" i="27"/>
  <c r="CN24" i="27"/>
  <c r="CL24" i="27"/>
  <c r="CK24" i="27"/>
  <c r="CJ24" i="27"/>
  <c r="CH24" i="27"/>
  <c r="CG24" i="27"/>
  <c r="CF24" i="27"/>
  <c r="CD24" i="27"/>
  <c r="EW23" i="27"/>
  <c r="EV23" i="27"/>
  <c r="ET23" i="27"/>
  <c r="ES23" i="27"/>
  <c r="ER23" i="27"/>
  <c r="EP23" i="27"/>
  <c r="EO23" i="27"/>
  <c r="EN23" i="27"/>
  <c r="EL23" i="27"/>
  <c r="EK23" i="27"/>
  <c r="EJ23" i="27"/>
  <c r="EH23" i="27"/>
  <c r="EG23" i="27"/>
  <c r="EF23" i="27"/>
  <c r="ED23" i="27"/>
  <c r="EC23" i="27"/>
  <c r="EB23" i="27"/>
  <c r="DZ23" i="27"/>
  <c r="DY23" i="27"/>
  <c r="DX23" i="27"/>
  <c r="DV23" i="27"/>
  <c r="DU23" i="27"/>
  <c r="DT23" i="27"/>
  <c r="DR23" i="27"/>
  <c r="DQ23" i="27"/>
  <c r="DP23" i="27"/>
  <c r="DN23" i="27"/>
  <c r="DM23" i="27"/>
  <c r="DL23" i="27"/>
  <c r="DJ23" i="27"/>
  <c r="DI23" i="27"/>
  <c r="DH23" i="27"/>
  <c r="DF23" i="27"/>
  <c r="DE23" i="27"/>
  <c r="DD23" i="27"/>
  <c r="DB23" i="27"/>
  <c r="DA23" i="27"/>
  <c r="CZ23" i="27"/>
  <c r="CX23" i="27"/>
  <c r="CW23" i="27"/>
  <c r="CV23" i="27"/>
  <c r="CT23" i="27"/>
  <c r="CS23" i="27"/>
  <c r="CR23" i="27"/>
  <c r="CP23" i="27"/>
  <c r="CO23" i="27"/>
  <c r="CN23" i="27"/>
  <c r="CL23" i="27"/>
  <c r="CK23" i="27"/>
  <c r="CJ23" i="27"/>
  <c r="CH23" i="27"/>
  <c r="CG23" i="27"/>
  <c r="CF23" i="27"/>
  <c r="CD23" i="27"/>
  <c r="EW22" i="27"/>
  <c r="EV22" i="27"/>
  <c r="ET22" i="27"/>
  <c r="ES22" i="27"/>
  <c r="ER22" i="27"/>
  <c r="EP22" i="27"/>
  <c r="EO22" i="27"/>
  <c r="EN22" i="27"/>
  <c r="EL22" i="27"/>
  <c r="EK22" i="27"/>
  <c r="EJ22" i="27"/>
  <c r="EH22" i="27"/>
  <c r="EG22" i="27"/>
  <c r="EF22" i="27"/>
  <c r="ED22" i="27"/>
  <c r="EC22" i="27"/>
  <c r="EB22" i="27"/>
  <c r="DZ22" i="27"/>
  <c r="DY22" i="27"/>
  <c r="DX22" i="27"/>
  <c r="DV22" i="27"/>
  <c r="DU22" i="27"/>
  <c r="DT22" i="27"/>
  <c r="DR22" i="27"/>
  <c r="DQ22" i="27"/>
  <c r="DP22" i="27"/>
  <c r="DN22" i="27"/>
  <c r="DM22" i="27"/>
  <c r="DL22" i="27"/>
  <c r="DJ22" i="27"/>
  <c r="DI22" i="27"/>
  <c r="DH22" i="27"/>
  <c r="DF22" i="27"/>
  <c r="DE22" i="27"/>
  <c r="DD22" i="27"/>
  <c r="DB22" i="27"/>
  <c r="DA22" i="27"/>
  <c r="CZ22" i="27"/>
  <c r="CX22" i="27"/>
  <c r="CW22" i="27"/>
  <c r="CV22" i="27"/>
  <c r="CT22" i="27"/>
  <c r="CS22" i="27"/>
  <c r="CR22" i="27"/>
  <c r="CP22" i="27"/>
  <c r="CO22" i="27"/>
  <c r="CN22" i="27"/>
  <c r="CL22" i="27"/>
  <c r="CK22" i="27"/>
  <c r="CJ22" i="27"/>
  <c r="CH22" i="27"/>
  <c r="CG22" i="27"/>
  <c r="CF22" i="27"/>
  <c r="CD22" i="27"/>
  <c r="EW21" i="27"/>
  <c r="EV21" i="27"/>
  <c r="ET21" i="27"/>
  <c r="ES21" i="27"/>
  <c r="ER21" i="27"/>
  <c r="EP21" i="27"/>
  <c r="EO21" i="27"/>
  <c r="EN21" i="27"/>
  <c r="EL21" i="27"/>
  <c r="EK21" i="27"/>
  <c r="EJ21" i="27"/>
  <c r="EH21" i="27"/>
  <c r="EG21" i="27"/>
  <c r="EF21" i="27"/>
  <c r="ED21" i="27"/>
  <c r="EC21" i="27"/>
  <c r="EB21" i="27"/>
  <c r="DZ21" i="27"/>
  <c r="DY21" i="27"/>
  <c r="DX21" i="27"/>
  <c r="DV21" i="27"/>
  <c r="DU21" i="27"/>
  <c r="DT21" i="27"/>
  <c r="DR21" i="27"/>
  <c r="DQ21" i="27"/>
  <c r="DP21" i="27"/>
  <c r="DN21" i="27"/>
  <c r="DM21" i="27"/>
  <c r="DL21" i="27"/>
  <c r="DJ21" i="27"/>
  <c r="DI21" i="27"/>
  <c r="DH21" i="27"/>
  <c r="DF21" i="27"/>
  <c r="DE21" i="27"/>
  <c r="DD21" i="27"/>
  <c r="DB21" i="27"/>
  <c r="DA21" i="27"/>
  <c r="CZ21" i="27"/>
  <c r="CX21" i="27"/>
  <c r="CW21" i="27"/>
  <c r="CV21" i="27"/>
  <c r="CT21" i="27"/>
  <c r="CS21" i="27"/>
  <c r="CR21" i="27"/>
  <c r="CP21" i="27"/>
  <c r="CO21" i="27"/>
  <c r="CN21" i="27"/>
  <c r="CL21" i="27"/>
  <c r="CK21" i="27"/>
  <c r="CJ21" i="27"/>
  <c r="CH21" i="27"/>
  <c r="CG21" i="27"/>
  <c r="CF21" i="27"/>
  <c r="CD21" i="27"/>
  <c r="EW20" i="27"/>
  <c r="EV20" i="27"/>
  <c r="ET20" i="27"/>
  <c r="ES20" i="27"/>
  <c r="ER20" i="27"/>
  <c r="EP20" i="27"/>
  <c r="EO20" i="27"/>
  <c r="EN20" i="27"/>
  <c r="EL20" i="27"/>
  <c r="EK20" i="27"/>
  <c r="EJ20" i="27"/>
  <c r="EH20" i="27"/>
  <c r="EG20" i="27"/>
  <c r="EF20" i="27"/>
  <c r="ED20" i="27"/>
  <c r="EC20" i="27"/>
  <c r="EB20" i="27"/>
  <c r="DZ20" i="27"/>
  <c r="DY20" i="27"/>
  <c r="DX20" i="27"/>
  <c r="DV20" i="27"/>
  <c r="DU20" i="27"/>
  <c r="DT20" i="27"/>
  <c r="DR20" i="27"/>
  <c r="DQ20" i="27"/>
  <c r="DP20" i="27"/>
  <c r="DN20" i="27"/>
  <c r="DM20" i="27"/>
  <c r="DL20" i="27"/>
  <c r="DJ20" i="27"/>
  <c r="DI20" i="27"/>
  <c r="DH20" i="27"/>
  <c r="DF20" i="27"/>
  <c r="DE20" i="27"/>
  <c r="DD20" i="27"/>
  <c r="DB20" i="27"/>
  <c r="DA20" i="27"/>
  <c r="CZ20" i="27"/>
  <c r="CX20" i="27"/>
  <c r="CW20" i="27"/>
  <c r="CV20" i="27"/>
  <c r="CT20" i="27"/>
  <c r="CS20" i="27"/>
  <c r="CR20" i="27"/>
  <c r="CP20" i="27"/>
  <c r="CO20" i="27"/>
  <c r="CN20" i="27"/>
  <c r="CL20" i="27"/>
  <c r="CK20" i="27"/>
  <c r="CJ20" i="27"/>
  <c r="CH20" i="27"/>
  <c r="CG20" i="27"/>
  <c r="CF20" i="27"/>
  <c r="CD20" i="27"/>
  <c r="EW19" i="27"/>
  <c r="EV19" i="27"/>
  <c r="ET19" i="27"/>
  <c r="ES19" i="27"/>
  <c r="ER19" i="27"/>
  <c r="EP19" i="27"/>
  <c r="EO19" i="27"/>
  <c r="EN19" i="27"/>
  <c r="EL19" i="27"/>
  <c r="EK19" i="27"/>
  <c r="EJ19" i="27"/>
  <c r="EH19" i="27"/>
  <c r="EG19" i="27"/>
  <c r="EF19" i="27"/>
  <c r="ED19" i="27"/>
  <c r="EC19" i="27"/>
  <c r="EB19" i="27"/>
  <c r="DZ19" i="27"/>
  <c r="DY19" i="27"/>
  <c r="DX19" i="27"/>
  <c r="DV19" i="27"/>
  <c r="DU19" i="27"/>
  <c r="DT19" i="27"/>
  <c r="DR19" i="27"/>
  <c r="DQ19" i="27"/>
  <c r="DP19" i="27"/>
  <c r="DN19" i="27"/>
  <c r="DM19" i="27"/>
  <c r="DL19" i="27"/>
  <c r="DJ19" i="27"/>
  <c r="DI19" i="27"/>
  <c r="DH19" i="27"/>
  <c r="DF19" i="27"/>
  <c r="DE19" i="27"/>
  <c r="DD19" i="27"/>
  <c r="DB19" i="27"/>
  <c r="DA19" i="27"/>
  <c r="CZ19" i="27"/>
  <c r="CX19" i="27"/>
  <c r="CW19" i="27"/>
  <c r="CV19" i="27"/>
  <c r="CT19" i="27"/>
  <c r="CS19" i="27"/>
  <c r="CR19" i="27"/>
  <c r="CP19" i="27"/>
  <c r="CO19" i="27"/>
  <c r="CN19" i="27"/>
  <c r="CL19" i="27"/>
  <c r="CK19" i="27"/>
  <c r="CJ19" i="27"/>
  <c r="CH19" i="27"/>
  <c r="CG19" i="27"/>
  <c r="CF19" i="27"/>
  <c r="CD19" i="27"/>
  <c r="EW18" i="27"/>
  <c r="EV18" i="27"/>
  <c r="ET18" i="27"/>
  <c r="ES18" i="27"/>
  <c r="ER18" i="27"/>
  <c r="EP18" i="27"/>
  <c r="EO18" i="27"/>
  <c r="EN18" i="27"/>
  <c r="EL18" i="27"/>
  <c r="EK18" i="27"/>
  <c r="EJ18" i="27"/>
  <c r="EH18" i="27"/>
  <c r="EG18" i="27"/>
  <c r="EF18" i="27"/>
  <c r="ED18" i="27"/>
  <c r="EC18" i="27"/>
  <c r="EB18" i="27"/>
  <c r="DZ18" i="27"/>
  <c r="DY18" i="27"/>
  <c r="DX18" i="27"/>
  <c r="DV18" i="27"/>
  <c r="DU18" i="27"/>
  <c r="DT18" i="27"/>
  <c r="DR18" i="27"/>
  <c r="DQ18" i="27"/>
  <c r="DP18" i="27"/>
  <c r="DN18" i="27"/>
  <c r="DM18" i="27"/>
  <c r="DL18" i="27"/>
  <c r="DJ18" i="27"/>
  <c r="DI18" i="27"/>
  <c r="DH18" i="27"/>
  <c r="DF18" i="27"/>
  <c r="DE18" i="27"/>
  <c r="DD18" i="27"/>
  <c r="DB18" i="27"/>
  <c r="DA18" i="27"/>
  <c r="CZ18" i="27"/>
  <c r="CX18" i="27"/>
  <c r="CW18" i="27"/>
  <c r="CV18" i="27"/>
  <c r="CT18" i="27"/>
  <c r="CS18" i="27"/>
  <c r="CR18" i="27"/>
  <c r="CP18" i="27"/>
  <c r="CO18" i="27"/>
  <c r="CN18" i="27"/>
  <c r="CL18" i="27"/>
  <c r="CK18" i="27"/>
  <c r="CJ18" i="27"/>
  <c r="CH18" i="27"/>
  <c r="CG18" i="27"/>
  <c r="CF18" i="27"/>
  <c r="CD18" i="27"/>
  <c r="EW17" i="27"/>
  <c r="EV17" i="27"/>
  <c r="ET17" i="27"/>
  <c r="ES17" i="27"/>
  <c r="ER17" i="27"/>
  <c r="EP17" i="27"/>
  <c r="EO17" i="27"/>
  <c r="EN17" i="27"/>
  <c r="EL17" i="27"/>
  <c r="EK17" i="27"/>
  <c r="EJ17" i="27"/>
  <c r="EH17" i="27"/>
  <c r="EG17" i="27"/>
  <c r="EF17" i="27"/>
  <c r="ED17" i="27"/>
  <c r="EC17" i="27"/>
  <c r="EB17" i="27"/>
  <c r="DZ17" i="27"/>
  <c r="DY17" i="27"/>
  <c r="DX17" i="27"/>
  <c r="DV17" i="27"/>
  <c r="DU17" i="27"/>
  <c r="DT17" i="27"/>
  <c r="DR17" i="27"/>
  <c r="DQ17" i="27"/>
  <c r="DP17" i="27"/>
  <c r="DN17" i="27"/>
  <c r="DM17" i="27"/>
  <c r="DL17" i="27"/>
  <c r="DJ17" i="27"/>
  <c r="DI17" i="27"/>
  <c r="DH17" i="27"/>
  <c r="DF17" i="27"/>
  <c r="DE17" i="27"/>
  <c r="DD17" i="27"/>
  <c r="DB17" i="27"/>
  <c r="DA17" i="27"/>
  <c r="CZ17" i="27"/>
  <c r="CX17" i="27"/>
  <c r="CW17" i="27"/>
  <c r="CV17" i="27"/>
  <c r="CT17" i="27"/>
  <c r="CS17" i="27"/>
  <c r="CR17" i="27"/>
  <c r="CP17" i="27"/>
  <c r="CO17" i="27"/>
  <c r="CN17" i="27"/>
  <c r="CL17" i="27"/>
  <c r="CK17" i="27"/>
  <c r="CJ17" i="27"/>
  <c r="CH17" i="27"/>
  <c r="CG17" i="27"/>
  <c r="CF17" i="27"/>
  <c r="CD17" i="27"/>
  <c r="EW16" i="27"/>
  <c r="EV16" i="27"/>
  <c r="ET16" i="27"/>
  <c r="ES16" i="27"/>
  <c r="ER16" i="27"/>
  <c r="EP16" i="27"/>
  <c r="EO16" i="27"/>
  <c r="EN16" i="27"/>
  <c r="EL16" i="27"/>
  <c r="EK16" i="27"/>
  <c r="EJ16" i="27"/>
  <c r="EH16" i="27"/>
  <c r="EG16" i="27"/>
  <c r="EF16" i="27"/>
  <c r="ED16" i="27"/>
  <c r="EC16" i="27"/>
  <c r="EB16" i="27"/>
  <c r="DZ16" i="27"/>
  <c r="DY16" i="27"/>
  <c r="DX16" i="27"/>
  <c r="DV16" i="27"/>
  <c r="DU16" i="27"/>
  <c r="DT16" i="27"/>
  <c r="DR16" i="27"/>
  <c r="DQ16" i="27"/>
  <c r="DP16" i="27"/>
  <c r="DN16" i="27"/>
  <c r="DM16" i="27"/>
  <c r="DL16" i="27"/>
  <c r="DJ16" i="27"/>
  <c r="DI16" i="27"/>
  <c r="DH16" i="27"/>
  <c r="DF16" i="27"/>
  <c r="DE16" i="27"/>
  <c r="DD16" i="27"/>
  <c r="DB16" i="27"/>
  <c r="DA16" i="27"/>
  <c r="CZ16" i="27"/>
  <c r="CX16" i="27"/>
  <c r="CW16" i="27"/>
  <c r="CV16" i="27"/>
  <c r="CT16" i="27"/>
  <c r="CS16" i="27"/>
  <c r="CR16" i="27"/>
  <c r="CP16" i="27"/>
  <c r="CO16" i="27"/>
  <c r="CN16" i="27"/>
  <c r="CL16" i="27"/>
  <c r="CK16" i="27"/>
  <c r="CJ16" i="27"/>
  <c r="CH16" i="27"/>
  <c r="CG16" i="27"/>
  <c r="CF16" i="27"/>
  <c r="CD16" i="27"/>
  <c r="EW15" i="27"/>
  <c r="EV15" i="27"/>
  <c r="ET15" i="27"/>
  <c r="ES15" i="27"/>
  <c r="ER15" i="27"/>
  <c r="EP15" i="27"/>
  <c r="EO15" i="27"/>
  <c r="EN15" i="27"/>
  <c r="EL15" i="27"/>
  <c r="EK15" i="27"/>
  <c r="EJ15" i="27"/>
  <c r="EH15" i="27"/>
  <c r="EG15" i="27"/>
  <c r="EF15" i="27"/>
  <c r="ED15" i="27"/>
  <c r="EC15" i="27"/>
  <c r="EB15" i="27"/>
  <c r="DZ15" i="27"/>
  <c r="DY15" i="27"/>
  <c r="DX15" i="27"/>
  <c r="DV15" i="27"/>
  <c r="DU15" i="27"/>
  <c r="DT15" i="27"/>
  <c r="DR15" i="27"/>
  <c r="DQ15" i="27"/>
  <c r="DP15" i="27"/>
  <c r="DN15" i="27"/>
  <c r="DM15" i="27"/>
  <c r="DL15" i="27"/>
  <c r="DJ15" i="27"/>
  <c r="DI15" i="27"/>
  <c r="DH15" i="27"/>
  <c r="DF15" i="27"/>
  <c r="DE15" i="27"/>
  <c r="DD15" i="27"/>
  <c r="DB15" i="27"/>
  <c r="DA15" i="27"/>
  <c r="CZ15" i="27"/>
  <c r="CX15" i="27"/>
  <c r="CW15" i="27"/>
  <c r="CV15" i="27"/>
  <c r="CT15" i="27"/>
  <c r="CS15" i="27"/>
  <c r="CR15" i="27"/>
  <c r="CP15" i="27"/>
  <c r="CO15" i="27"/>
  <c r="CN15" i="27"/>
  <c r="CL15" i="27"/>
  <c r="CK15" i="27"/>
  <c r="CJ15" i="27"/>
  <c r="CH15" i="27"/>
  <c r="CG15" i="27"/>
  <c r="CF15" i="27"/>
  <c r="CD15" i="27"/>
  <c r="EW14" i="27"/>
  <c r="EV14" i="27"/>
  <c r="ET14" i="27"/>
  <c r="ES14" i="27"/>
  <c r="ER14" i="27"/>
  <c r="EP14" i="27"/>
  <c r="EO14" i="27"/>
  <c r="EN14" i="27"/>
  <c r="EL14" i="27"/>
  <c r="EK14" i="27"/>
  <c r="EJ14" i="27"/>
  <c r="EH14" i="27"/>
  <c r="EG14" i="27"/>
  <c r="EF14" i="27"/>
  <c r="ED14" i="27"/>
  <c r="EC14" i="27"/>
  <c r="EB14" i="27"/>
  <c r="DZ14" i="27"/>
  <c r="DY14" i="27"/>
  <c r="DX14" i="27"/>
  <c r="DV14" i="27"/>
  <c r="DU14" i="27"/>
  <c r="DT14" i="27"/>
  <c r="DR14" i="27"/>
  <c r="DQ14" i="27"/>
  <c r="DP14" i="27"/>
  <c r="DN14" i="27"/>
  <c r="DM14" i="27"/>
  <c r="DL14" i="27"/>
  <c r="DJ14" i="27"/>
  <c r="DI14" i="27"/>
  <c r="DH14" i="27"/>
  <c r="DF14" i="27"/>
  <c r="DE14" i="27"/>
  <c r="DD14" i="27"/>
  <c r="DB14" i="27"/>
  <c r="DA14" i="27"/>
  <c r="CZ14" i="27"/>
  <c r="CX14" i="27"/>
  <c r="CW14" i="27"/>
  <c r="CV14" i="27"/>
  <c r="CT14" i="27"/>
  <c r="CS14" i="27"/>
  <c r="CR14" i="27"/>
  <c r="CP14" i="27"/>
  <c r="CO14" i="27"/>
  <c r="CN14" i="27"/>
  <c r="CL14" i="27"/>
  <c r="CK14" i="27"/>
  <c r="CJ14" i="27"/>
  <c r="CH14" i="27"/>
  <c r="CG14" i="27"/>
  <c r="CF14" i="27"/>
  <c r="CD14" i="27"/>
  <c r="EW13" i="27"/>
  <c r="EV13" i="27"/>
  <c r="ET13" i="27"/>
  <c r="ES13" i="27"/>
  <c r="ER13" i="27"/>
  <c r="EP13" i="27"/>
  <c r="EO13" i="27"/>
  <c r="EN13" i="27"/>
  <c r="EL13" i="27"/>
  <c r="EK13" i="27"/>
  <c r="EJ13" i="27"/>
  <c r="EH13" i="27"/>
  <c r="EG13" i="27"/>
  <c r="EF13" i="27"/>
  <c r="ED13" i="27"/>
  <c r="EC13" i="27"/>
  <c r="EB13" i="27"/>
  <c r="DZ13" i="27"/>
  <c r="DY13" i="27"/>
  <c r="DX13" i="27"/>
  <c r="DV13" i="27"/>
  <c r="DU13" i="27"/>
  <c r="DT13" i="27"/>
  <c r="DR13" i="27"/>
  <c r="DQ13" i="27"/>
  <c r="DP13" i="27"/>
  <c r="DN13" i="27"/>
  <c r="DM13" i="27"/>
  <c r="DL13" i="27"/>
  <c r="DJ13" i="27"/>
  <c r="DI13" i="27"/>
  <c r="DH13" i="27"/>
  <c r="DF13" i="27"/>
  <c r="DE13" i="27"/>
  <c r="DD13" i="27"/>
  <c r="DB13" i="27"/>
  <c r="DA13" i="27"/>
  <c r="CZ13" i="27"/>
  <c r="CX13" i="27"/>
  <c r="CW13" i="27"/>
  <c r="CV13" i="27"/>
  <c r="CT13" i="27"/>
  <c r="CS13" i="27"/>
  <c r="CR13" i="27"/>
  <c r="CP13" i="27"/>
  <c r="CO13" i="27"/>
  <c r="CN13" i="27"/>
  <c r="CL13" i="27"/>
  <c r="CK13" i="27"/>
  <c r="CJ13" i="27"/>
  <c r="CH13" i="27"/>
  <c r="CG13" i="27"/>
  <c r="CF13" i="27"/>
  <c r="CD13" i="27"/>
  <c r="FQ11" i="27"/>
  <c r="FR10" i="27"/>
  <c r="GJ7" i="27" l="1"/>
  <c r="HB7" i="27"/>
  <c r="HC7" i="27"/>
  <c r="GN7" i="27"/>
  <c r="GO7" i="27"/>
  <c r="HN7" i="27"/>
  <c r="HJ7" i="27"/>
  <c r="HE7" i="27"/>
  <c r="GK7" i="27"/>
  <c r="GM7" i="27"/>
  <c r="EY42" i="27"/>
  <c r="CQ17" i="27"/>
  <c r="DG17" i="27"/>
  <c r="CI27" i="27"/>
  <c r="CY27" i="27"/>
  <c r="DO27" i="27"/>
  <c r="EE27" i="27"/>
  <c r="EU27" i="27"/>
  <c r="CQ29" i="27"/>
  <c r="DG29" i="27"/>
  <c r="DW29" i="27"/>
  <c r="EM29" i="27"/>
  <c r="CM30" i="27"/>
  <c r="DC30" i="27"/>
  <c r="DS30" i="27"/>
  <c r="EI30" i="27"/>
  <c r="DW17" i="27"/>
  <c r="EM17" i="27"/>
  <c r="CM31" i="27"/>
  <c r="DC31" i="27"/>
  <c r="CQ46" i="27"/>
  <c r="DG46" i="27"/>
  <c r="DW46" i="27"/>
  <c r="EM46" i="27"/>
  <c r="CM21" i="27"/>
  <c r="DC21" i="27"/>
  <c r="CQ31" i="27"/>
  <c r="DG31" i="27"/>
  <c r="CU27" i="27"/>
  <c r="DK27" i="27"/>
  <c r="EA27" i="27"/>
  <c r="EQ27" i="27"/>
  <c r="CM41" i="27"/>
  <c r="DC41" i="27"/>
  <c r="DS41" i="27"/>
  <c r="EI41" i="27"/>
  <c r="CM45" i="27"/>
  <c r="CE31" i="27"/>
  <c r="CU31" i="27"/>
  <c r="DK31" i="27"/>
  <c r="DK17" i="27"/>
  <c r="CM27" i="27"/>
  <c r="DS27" i="27"/>
  <c r="EI27" i="27"/>
  <c r="CM17" i="27"/>
  <c r="DC17" i="27"/>
  <c r="DS17" i="27"/>
  <c r="EI17" i="27"/>
  <c r="EY27" i="27"/>
  <c r="CI31" i="27"/>
  <c r="CY31" i="27"/>
  <c r="DO31" i="27"/>
  <c r="CU17" i="27"/>
  <c r="EA17" i="27"/>
  <c r="EQ17" i="27"/>
  <c r="DC27" i="27"/>
  <c r="CI17" i="27"/>
  <c r="CY17" i="27"/>
  <c r="DO17" i="27"/>
  <c r="EE17" i="27"/>
  <c r="EU17" i="27"/>
  <c r="CQ19" i="27"/>
  <c r="DG19" i="27"/>
  <c r="DW19" i="27"/>
  <c r="EM19" i="27"/>
  <c r="CI21" i="27"/>
  <c r="CY21" i="27"/>
  <c r="DO21" i="27"/>
  <c r="EE21" i="27"/>
  <c r="EU21" i="27"/>
  <c r="CQ23" i="27"/>
  <c r="DG23" i="27"/>
  <c r="DW23" i="27"/>
  <c r="EM23" i="27"/>
  <c r="CI25" i="27"/>
  <c r="CY25" i="27"/>
  <c r="DO25" i="27"/>
  <c r="EE25" i="27"/>
  <c r="EU25" i="27"/>
  <c r="CU26" i="27"/>
  <c r="DK26" i="27"/>
  <c r="EA26" i="27"/>
  <c r="EQ26" i="27"/>
  <c r="CQ27" i="27"/>
  <c r="DG27" i="27"/>
  <c r="DW27" i="27"/>
  <c r="EM27" i="27"/>
  <c r="DW31" i="27"/>
  <c r="EM31" i="27"/>
  <c r="CM32" i="27"/>
  <c r="DC32" i="27"/>
  <c r="DS32" i="27"/>
  <c r="EI32" i="27"/>
  <c r="CU34" i="27"/>
  <c r="DK34" i="27"/>
  <c r="EA34" i="27"/>
  <c r="EQ34" i="27"/>
  <c r="CM36" i="27"/>
  <c r="DC36" i="27"/>
  <c r="DS36" i="27"/>
  <c r="EI36" i="27"/>
  <c r="CU38" i="27"/>
  <c r="DK38" i="27"/>
  <c r="EA38" i="27"/>
  <c r="EQ38" i="27"/>
  <c r="CQ39" i="27"/>
  <c r="DG39" i="27"/>
  <c r="DW39" i="27"/>
  <c r="EM39" i="27"/>
  <c r="CM40" i="27"/>
  <c r="DC40" i="27"/>
  <c r="DS40" i="27"/>
  <c r="EI40" i="27"/>
  <c r="CU42" i="27"/>
  <c r="DK42" i="27"/>
  <c r="EA42" i="27"/>
  <c r="EQ42" i="27"/>
  <c r="CQ47" i="27"/>
  <c r="DG47" i="27"/>
  <c r="DW47" i="27"/>
  <c r="EM47" i="27"/>
  <c r="CM48" i="27"/>
  <c r="DC48" i="27"/>
  <c r="DS48" i="27"/>
  <c r="EI48" i="27"/>
  <c r="CI14" i="27"/>
  <c r="CY14" i="27"/>
  <c r="CU15" i="27"/>
  <c r="CI23" i="27"/>
  <c r="CQ25" i="27"/>
  <c r="CM26" i="27"/>
  <c r="DC26" i="27"/>
  <c r="DS26" i="27"/>
  <c r="EI26" i="27"/>
  <c r="EE31" i="27"/>
  <c r="EU31" i="27"/>
  <c r="CU32" i="27"/>
  <c r="EA32" i="27"/>
  <c r="EQ32" i="27"/>
  <c r="CM34" i="27"/>
  <c r="DC34" i="27"/>
  <c r="DS34" i="27"/>
  <c r="EI34" i="27"/>
  <c r="CI35" i="27"/>
  <c r="CU36" i="27"/>
  <c r="DK36" i="27"/>
  <c r="EA36" i="27"/>
  <c r="EQ36" i="27"/>
  <c r="CM38" i="27"/>
  <c r="DC38" i="27"/>
  <c r="DS38" i="27"/>
  <c r="EI38" i="27"/>
  <c r="CI39" i="27"/>
  <c r="CY39" i="27"/>
  <c r="DO39" i="27"/>
  <c r="EE39" i="27"/>
  <c r="EU39" i="27"/>
  <c r="EA40" i="27"/>
  <c r="EQ40" i="27"/>
  <c r="CM42" i="27"/>
  <c r="DC42" i="27"/>
  <c r="DS42" i="27"/>
  <c r="EI42" i="27"/>
  <c r="CI43" i="27"/>
  <c r="DO43" i="27"/>
  <c r="EE43" i="27"/>
  <c r="EU43" i="27"/>
  <c r="CQ13" i="27"/>
  <c r="DG13" i="27"/>
  <c r="DW13" i="27"/>
  <c r="EM13" i="27"/>
  <c r="CM14" i="27"/>
  <c r="DC14" i="27"/>
  <c r="DS14" i="27"/>
  <c r="EI14" i="27"/>
  <c r="CI15" i="27"/>
  <c r="CY15" i="27"/>
  <c r="DO15" i="27"/>
  <c r="EE15" i="27"/>
  <c r="EU15" i="27"/>
  <c r="EY16" i="27"/>
  <c r="CY23" i="27"/>
  <c r="DO23" i="27"/>
  <c r="EE23" i="27"/>
  <c r="EU23" i="27"/>
  <c r="DG25" i="27"/>
  <c r="DW25" i="27"/>
  <c r="EM25" i="27"/>
  <c r="CI29" i="27"/>
  <c r="CY29" i="27"/>
  <c r="DO29" i="27"/>
  <c r="EE29" i="27"/>
  <c r="EU29" i="27"/>
  <c r="CU30" i="27"/>
  <c r="DK30" i="27"/>
  <c r="EA30" i="27"/>
  <c r="EQ30" i="27"/>
  <c r="DK32" i="27"/>
  <c r="CY35" i="27"/>
  <c r="EY40" i="27"/>
  <c r="CU40" i="27"/>
  <c r="DK40" i="27"/>
  <c r="CY43" i="27"/>
  <c r="EY44" i="27"/>
  <c r="CU44" i="27"/>
  <c r="DK44" i="27"/>
  <c r="EA44" i="27"/>
  <c r="EQ44" i="27"/>
  <c r="EY17" i="27"/>
  <c r="CE27" i="27"/>
  <c r="CI46" i="27"/>
  <c r="CY46" i="27"/>
  <c r="DO46" i="27"/>
  <c r="EE46" i="27"/>
  <c r="EU46" i="27"/>
  <c r="CM13" i="27"/>
  <c r="DC13" i="27"/>
  <c r="DS13" i="27"/>
  <c r="EI13" i="27"/>
  <c r="DK15" i="27"/>
  <c r="EA15" i="27"/>
  <c r="EQ15" i="27"/>
  <c r="CQ18" i="27"/>
  <c r="DG18" i="27"/>
  <c r="DW18" i="27"/>
  <c r="EM18" i="27"/>
  <c r="CM19" i="27"/>
  <c r="DC19" i="27"/>
  <c r="DS19" i="27"/>
  <c r="EI19" i="27"/>
  <c r="CI20" i="27"/>
  <c r="CY20" i="27"/>
  <c r="DO20" i="27"/>
  <c r="EE20" i="27"/>
  <c r="EU20" i="27"/>
  <c r="CU21" i="27"/>
  <c r="DK21" i="27"/>
  <c r="EA21" i="27"/>
  <c r="EQ21" i="27"/>
  <c r="CQ22" i="27"/>
  <c r="DG22" i="27"/>
  <c r="DW22" i="27"/>
  <c r="EM22" i="27"/>
  <c r="CM23" i="27"/>
  <c r="DC23" i="27"/>
  <c r="DS23" i="27"/>
  <c r="EI23" i="27"/>
  <c r="CI24" i="27"/>
  <c r="CY24" i="27"/>
  <c r="DO24" i="27"/>
  <c r="EE24" i="27"/>
  <c r="EU24" i="27"/>
  <c r="CU25" i="27"/>
  <c r="DK25" i="27"/>
  <c r="EA25" i="27"/>
  <c r="EQ25" i="27"/>
  <c r="CQ28" i="27"/>
  <c r="DG28" i="27"/>
  <c r="DW28" i="27"/>
  <c r="EM28" i="27"/>
  <c r="CI36" i="27"/>
  <c r="CY36" i="27"/>
  <c r="DO36" i="27"/>
  <c r="EE36" i="27"/>
  <c r="EU36" i="27"/>
  <c r="CQ38" i="27"/>
  <c r="DG38" i="27"/>
  <c r="DW38" i="27"/>
  <c r="EM38" i="27"/>
  <c r="CQ42" i="27"/>
  <c r="DG42" i="27"/>
  <c r="DW42" i="27"/>
  <c r="EM42" i="27"/>
  <c r="CE46" i="27"/>
  <c r="CU46" i="27"/>
  <c r="DK46" i="27"/>
  <c r="EA46" i="27"/>
  <c r="EQ46" i="27"/>
  <c r="CI48" i="27"/>
  <c r="CY48" i="27"/>
  <c r="DO48" i="27"/>
  <c r="EE48" i="27"/>
  <c r="EU48" i="27"/>
  <c r="CU49" i="27"/>
  <c r="DK49" i="27"/>
  <c r="EA49" i="27"/>
  <c r="EQ49" i="27"/>
  <c r="CU16" i="27"/>
  <c r="DK16" i="27"/>
  <c r="EA16" i="27"/>
  <c r="EQ16" i="27"/>
  <c r="CE17" i="27"/>
  <c r="EY22" i="27"/>
  <c r="EY26" i="27"/>
  <c r="EY34" i="27"/>
  <c r="EY38" i="27"/>
  <c r="EY46" i="27"/>
  <c r="CI38" i="27"/>
  <c r="CY38" i="27"/>
  <c r="DO38" i="27"/>
  <c r="EE38" i="27"/>
  <c r="EU38" i="27"/>
  <c r="CQ40" i="27"/>
  <c r="DG40" i="27"/>
  <c r="DW40" i="27"/>
  <c r="EM40" i="27"/>
  <c r="CI42" i="27"/>
  <c r="CY42" i="27"/>
  <c r="DO42" i="27"/>
  <c r="EE42" i="27"/>
  <c r="EU42" i="27"/>
  <c r="CQ44" i="27"/>
  <c r="DG44" i="27"/>
  <c r="DW44" i="27"/>
  <c r="EM44" i="27"/>
  <c r="DC45" i="27"/>
  <c r="DS45" i="27"/>
  <c r="EI45" i="27"/>
  <c r="CM46" i="27"/>
  <c r="DC46" i="27"/>
  <c r="DS46" i="27"/>
  <c r="EI46" i="27"/>
  <c r="EY13" i="27"/>
  <c r="CU13" i="27"/>
  <c r="DK13" i="27"/>
  <c r="EA13" i="27"/>
  <c r="EQ13" i="27"/>
  <c r="CM15" i="27"/>
  <c r="DC15" i="27"/>
  <c r="DS15" i="27"/>
  <c r="EI15" i="27"/>
  <c r="CI18" i="27"/>
  <c r="CY18" i="27"/>
  <c r="DO18" i="27"/>
  <c r="EE18" i="27"/>
  <c r="EU18" i="27"/>
  <c r="EY19" i="27"/>
  <c r="CU19" i="27"/>
  <c r="DK19" i="27"/>
  <c r="EA19" i="27"/>
  <c r="EQ19" i="27"/>
  <c r="CQ20" i="27"/>
  <c r="DG20" i="27"/>
  <c r="DW20" i="27"/>
  <c r="EM20" i="27"/>
  <c r="DS21" i="27"/>
  <c r="EI21" i="27"/>
  <c r="CI22" i="27"/>
  <c r="CY22" i="27"/>
  <c r="DO22" i="27"/>
  <c r="EE22" i="27"/>
  <c r="EU22" i="27"/>
  <c r="EY23" i="27"/>
  <c r="CU23" i="27"/>
  <c r="DK23" i="27"/>
  <c r="EA23" i="27"/>
  <c r="EQ23" i="27"/>
  <c r="CQ24" i="27"/>
  <c r="DG24" i="27"/>
  <c r="DW24" i="27"/>
  <c r="EM24" i="27"/>
  <c r="CM25" i="27"/>
  <c r="DC25" i="27"/>
  <c r="DS25" i="27"/>
  <c r="EI25" i="27"/>
  <c r="CI28" i="27"/>
  <c r="CY28" i="27"/>
  <c r="DO28" i="27"/>
  <c r="EE28" i="27"/>
  <c r="EU28" i="27"/>
  <c r="EY29" i="27"/>
  <c r="CU29" i="27"/>
  <c r="DK29" i="27"/>
  <c r="EA29" i="27"/>
  <c r="EQ29" i="27"/>
  <c r="DG30" i="27"/>
  <c r="CQ32" i="27"/>
  <c r="DG32" i="27"/>
  <c r="DW32" i="27"/>
  <c r="EM32" i="27"/>
  <c r="CI34" i="27"/>
  <c r="CY34" i="27"/>
  <c r="DO34" i="27"/>
  <c r="EE34" i="27"/>
  <c r="EU34" i="27"/>
  <c r="CQ36" i="27"/>
  <c r="DG36" i="27"/>
  <c r="DW36" i="27"/>
  <c r="EM36" i="27"/>
  <c r="CM37" i="27"/>
  <c r="DC37" i="27"/>
  <c r="DS37" i="27"/>
  <c r="EI37" i="27"/>
  <c r="CI40" i="27"/>
  <c r="CY40" i="27"/>
  <c r="DO40" i="27"/>
  <c r="EE40" i="27"/>
  <c r="EU40" i="27"/>
  <c r="EY41" i="27"/>
  <c r="CU41" i="27"/>
  <c r="DK41" i="27"/>
  <c r="EA41" i="27"/>
  <c r="EQ41" i="27"/>
  <c r="CI44" i="27"/>
  <c r="CY44" i="27"/>
  <c r="DO44" i="27"/>
  <c r="EE44" i="27"/>
  <c r="EU44" i="27"/>
  <c r="EY45" i="27"/>
  <c r="CU45" i="27"/>
  <c r="DK45" i="27"/>
  <c r="EA45" i="27"/>
  <c r="EQ45" i="27"/>
  <c r="CQ48" i="27"/>
  <c r="DG48" i="27"/>
  <c r="DW48" i="27"/>
  <c r="EM48" i="27"/>
  <c r="CM49" i="27"/>
  <c r="DC49" i="27"/>
  <c r="DS49" i="27"/>
  <c r="EI49" i="27"/>
  <c r="CI13" i="27"/>
  <c r="CY13" i="27"/>
  <c r="DO13" i="27"/>
  <c r="EE13" i="27"/>
  <c r="EU13" i="27"/>
  <c r="EY14" i="27"/>
  <c r="CU14" i="27"/>
  <c r="DK14" i="27"/>
  <c r="EA14" i="27"/>
  <c r="EQ14" i="27"/>
  <c r="CQ15" i="27"/>
  <c r="DG15" i="27"/>
  <c r="DW15" i="27"/>
  <c r="EM15" i="27"/>
  <c r="CM16" i="27"/>
  <c r="DC16" i="27"/>
  <c r="DS16" i="27"/>
  <c r="EI16" i="27"/>
  <c r="CI19" i="27"/>
  <c r="CY19" i="27"/>
  <c r="DO19" i="27"/>
  <c r="EE19" i="27"/>
  <c r="EU19" i="27"/>
  <c r="EY20" i="27"/>
  <c r="CQ21" i="27"/>
  <c r="DG21" i="27"/>
  <c r="DW21" i="27"/>
  <c r="EM21" i="27"/>
  <c r="EY24" i="27"/>
  <c r="EY30" i="27"/>
  <c r="EY32" i="27"/>
  <c r="EY36" i="27"/>
  <c r="CQ43" i="27"/>
  <c r="DG43" i="27"/>
  <c r="DW43" i="27"/>
  <c r="EM43" i="27"/>
  <c r="CM44" i="27"/>
  <c r="DC44" i="27"/>
  <c r="DS44" i="27"/>
  <c r="EI44" i="27"/>
  <c r="CI47" i="27"/>
  <c r="CY47" i="27"/>
  <c r="DO47" i="27"/>
  <c r="EE47" i="27"/>
  <c r="EU47" i="27"/>
  <c r="EY48" i="27"/>
  <c r="CU48" i="27"/>
  <c r="DK48" i="27"/>
  <c r="EA48" i="27"/>
  <c r="EQ48" i="27"/>
  <c r="EY15" i="27"/>
  <c r="EY21" i="27"/>
  <c r="EY25" i="27"/>
  <c r="CM29" i="27"/>
  <c r="DC29" i="27"/>
  <c r="DS29" i="27"/>
  <c r="EI29" i="27"/>
  <c r="CI32" i="27"/>
  <c r="CY32" i="27"/>
  <c r="DO32" i="27"/>
  <c r="EE32" i="27"/>
  <c r="EU32" i="27"/>
  <c r="CQ34" i="27"/>
  <c r="DG34" i="27"/>
  <c r="DW34" i="27"/>
  <c r="EM34" i="27"/>
  <c r="EY37" i="27"/>
  <c r="CU37" i="27"/>
  <c r="DK37" i="27"/>
  <c r="EA37" i="27"/>
  <c r="EQ37" i="27"/>
  <c r="CE38" i="27"/>
  <c r="EY49" i="27"/>
  <c r="CE13" i="27"/>
  <c r="CE15" i="27"/>
  <c r="CI16" i="27"/>
  <c r="CQ16" i="27"/>
  <c r="CY16" i="27"/>
  <c r="DG16" i="27"/>
  <c r="DO16" i="27"/>
  <c r="DW16" i="27"/>
  <c r="EE16" i="27"/>
  <c r="EM16" i="27"/>
  <c r="EU16" i="27"/>
  <c r="EY18" i="27"/>
  <c r="CM18" i="27"/>
  <c r="CU18" i="27"/>
  <c r="DC18" i="27"/>
  <c r="DK18" i="27"/>
  <c r="DS18" i="27"/>
  <c r="EA18" i="27"/>
  <c r="EI18" i="27"/>
  <c r="EQ18" i="27"/>
  <c r="CE19" i="27"/>
  <c r="CM22" i="27"/>
  <c r="CU22" i="27"/>
  <c r="DC22" i="27"/>
  <c r="DK22" i="27"/>
  <c r="DS22" i="27"/>
  <c r="EA22" i="27"/>
  <c r="EI22" i="27"/>
  <c r="EQ22" i="27"/>
  <c r="CE23" i="27"/>
  <c r="CE34" i="27"/>
  <c r="CQ14" i="27"/>
  <c r="DG14" i="27"/>
  <c r="DO14" i="27"/>
  <c r="DW14" i="27"/>
  <c r="EE14" i="27"/>
  <c r="EM14" i="27"/>
  <c r="EU14" i="27"/>
  <c r="CM20" i="27"/>
  <c r="CU20" i="27"/>
  <c r="DC20" i="27"/>
  <c r="DK20" i="27"/>
  <c r="DS20" i="27"/>
  <c r="EA20" i="27"/>
  <c r="EI20" i="27"/>
  <c r="EQ20" i="27"/>
  <c r="CE21" i="27"/>
  <c r="CM24" i="27"/>
  <c r="CU24" i="27"/>
  <c r="DC24" i="27"/>
  <c r="DK24" i="27"/>
  <c r="DS24" i="27"/>
  <c r="EA24" i="27"/>
  <c r="EI24" i="27"/>
  <c r="EQ24" i="27"/>
  <c r="CE25" i="27"/>
  <c r="CI26" i="27"/>
  <c r="CQ26" i="27"/>
  <c r="CY26" i="27"/>
  <c r="DG26" i="27"/>
  <c r="DO26" i="27"/>
  <c r="DW26" i="27"/>
  <c r="EE26" i="27"/>
  <c r="EM26" i="27"/>
  <c r="EU26" i="27"/>
  <c r="EY28" i="27"/>
  <c r="CM28" i="27"/>
  <c r="CU28" i="27"/>
  <c r="DC28" i="27"/>
  <c r="DK28" i="27"/>
  <c r="DS28" i="27"/>
  <c r="EA28" i="27"/>
  <c r="EI28" i="27"/>
  <c r="EQ28" i="27"/>
  <c r="CE29" i="27"/>
  <c r="CI30" i="27"/>
  <c r="CQ30" i="27"/>
  <c r="CY30" i="27"/>
  <c r="DO30" i="27"/>
  <c r="DW30" i="27"/>
  <c r="EE30" i="27"/>
  <c r="EM30" i="27"/>
  <c r="EU30" i="27"/>
  <c r="CE32" i="27"/>
  <c r="CI33" i="27"/>
  <c r="CQ33" i="27"/>
  <c r="CY33" i="27"/>
  <c r="DG33" i="27"/>
  <c r="DO33" i="27"/>
  <c r="DW33" i="27"/>
  <c r="EE33" i="27"/>
  <c r="EM33" i="27"/>
  <c r="EU33" i="27"/>
  <c r="CM35" i="27"/>
  <c r="CU35" i="27"/>
  <c r="DK35" i="27"/>
  <c r="DS35" i="27"/>
  <c r="EA35" i="27"/>
  <c r="EI35" i="27"/>
  <c r="EQ35" i="27"/>
  <c r="CE36" i="27"/>
  <c r="CI37" i="27"/>
  <c r="CQ37" i="27"/>
  <c r="CY37" i="27"/>
  <c r="DG37" i="27"/>
  <c r="DO37" i="27"/>
  <c r="DW37" i="27"/>
  <c r="EE37" i="27"/>
  <c r="EM37" i="27"/>
  <c r="EU37" i="27"/>
  <c r="EY39" i="27"/>
  <c r="CM39" i="27"/>
  <c r="CU39" i="27"/>
  <c r="DC39" i="27"/>
  <c r="DK39" i="27"/>
  <c r="DS39" i="27"/>
  <c r="EA39" i="27"/>
  <c r="EI39" i="27"/>
  <c r="EQ39" i="27"/>
  <c r="CE40" i="27"/>
  <c r="CI41" i="27"/>
  <c r="CQ41" i="27"/>
  <c r="CY41" i="27"/>
  <c r="DG41" i="27"/>
  <c r="DO41" i="27"/>
  <c r="DW41" i="27"/>
  <c r="EE41" i="27"/>
  <c r="EM41" i="27"/>
  <c r="EU41" i="27"/>
  <c r="EY43" i="27"/>
  <c r="CM43" i="27"/>
  <c r="CU43" i="27"/>
  <c r="DC43" i="27"/>
  <c r="DK43" i="27"/>
  <c r="DS43" i="27"/>
  <c r="EA43" i="27"/>
  <c r="EI43" i="27"/>
  <c r="EQ43" i="27"/>
  <c r="CE44" i="27"/>
  <c r="CI45" i="27"/>
  <c r="CQ45" i="27"/>
  <c r="CY45" i="27"/>
  <c r="DG45" i="27"/>
  <c r="DO45" i="27"/>
  <c r="DW45" i="27"/>
  <c r="EE45" i="27"/>
  <c r="EM45" i="27"/>
  <c r="EU45" i="27"/>
  <c r="EY47" i="27"/>
  <c r="CM47" i="27"/>
  <c r="CU47" i="27"/>
  <c r="DC47" i="27"/>
  <c r="DK47" i="27"/>
  <c r="DS47" i="27"/>
  <c r="EA47" i="27"/>
  <c r="EI47" i="27"/>
  <c r="EQ47" i="27"/>
  <c r="CE48" i="27"/>
  <c r="CI49" i="27"/>
  <c r="CQ49" i="27"/>
  <c r="CY49" i="27"/>
  <c r="DG49" i="27"/>
  <c r="DO49" i="27"/>
  <c r="DW49" i="27"/>
  <c r="EE49" i="27"/>
  <c r="EM49" i="27"/>
  <c r="EU49" i="27"/>
  <c r="CQ35" i="27"/>
  <c r="DG35" i="27"/>
  <c r="DO35" i="27"/>
  <c r="DW35" i="27"/>
  <c r="EE35" i="27"/>
  <c r="EM35" i="27"/>
  <c r="EU35" i="27"/>
  <c r="EY33" i="27"/>
  <c r="CE33" i="27"/>
  <c r="EY35" i="27"/>
  <c r="CE35" i="27"/>
  <c r="CE14" i="27"/>
  <c r="CE16" i="27"/>
  <c r="CE18" i="27"/>
  <c r="CE20" i="27"/>
  <c r="CE22" i="27"/>
  <c r="CE24" i="27"/>
  <c r="CE26" i="27"/>
  <c r="CE28" i="27"/>
  <c r="CE30" i="27"/>
  <c r="EY31" i="27"/>
  <c r="DS31" i="27"/>
  <c r="EA31" i="27"/>
  <c r="EI31" i="27"/>
  <c r="EQ31" i="27"/>
  <c r="CM33" i="27"/>
  <c r="CU33" i="27"/>
  <c r="DC33" i="27"/>
  <c r="DK33" i="27"/>
  <c r="DS33" i="27"/>
  <c r="EA33" i="27"/>
  <c r="EI33" i="27"/>
  <c r="EQ33" i="27"/>
  <c r="DC35" i="27"/>
  <c r="CE37" i="27"/>
  <c r="CE39" i="27"/>
  <c r="CE41" i="27"/>
  <c r="CE43" i="27"/>
  <c r="CE47" i="27"/>
  <c r="CE49" i="27"/>
  <c r="HM7" i="27" l="1"/>
  <c r="HL7" i="27"/>
  <c r="HK7" i="27"/>
  <c r="HH7" i="27"/>
  <c r="HD7" i="27"/>
  <c r="HG7" i="27"/>
  <c r="GU7" i="27"/>
  <c r="HF7" i="27"/>
  <c r="HI7" i="27"/>
  <c r="B21" i="108" l="1"/>
  <c r="B22" i="108"/>
  <c r="E22" i="108" l="1"/>
  <c r="E21" i="108"/>
  <c r="D80" i="75"/>
  <c r="BJ11" i="188" s="1"/>
  <c r="E80" i="75"/>
  <c r="F80" i="75"/>
  <c r="G80" i="75"/>
  <c r="D81" i="75"/>
  <c r="BK11" i="188" s="1"/>
  <c r="E81" i="75"/>
  <c r="F81" i="75"/>
  <c r="G81" i="75"/>
  <c r="I88" i="75"/>
  <c r="J88" i="75"/>
  <c r="D96" i="75"/>
  <c r="E96" i="75"/>
  <c r="F96" i="75"/>
  <c r="G96" i="75"/>
  <c r="K96" i="75"/>
  <c r="H96" i="75"/>
  <c r="I96" i="75"/>
  <c r="J96" i="75"/>
  <c r="D97" i="75"/>
  <c r="E97" i="75"/>
  <c r="F97" i="75"/>
  <c r="G97" i="75"/>
  <c r="K97" i="75"/>
  <c r="H97" i="75"/>
  <c r="I97" i="75"/>
  <c r="J97" i="75"/>
  <c r="D98" i="75"/>
  <c r="E98" i="75"/>
  <c r="F98" i="75"/>
  <c r="G98" i="75"/>
  <c r="K98" i="75"/>
  <c r="H98" i="75"/>
  <c r="I98" i="75"/>
  <c r="J98" i="75"/>
  <c r="D99" i="75"/>
  <c r="E99" i="75"/>
  <c r="F99" i="75"/>
  <c r="G99" i="75"/>
  <c r="K99" i="75"/>
  <c r="H99" i="75"/>
  <c r="I99" i="75"/>
  <c r="J99" i="75"/>
  <c r="BK27" i="188" l="1"/>
  <c r="BK59" i="188"/>
  <c r="BK49" i="188"/>
  <c r="BK38" i="188"/>
  <c r="BK36" i="188"/>
  <c r="BK54" i="188"/>
  <c r="BK26" i="188"/>
  <c r="BK57" i="188"/>
  <c r="BK45" i="188"/>
  <c r="BK35" i="188"/>
  <c r="BK48" i="188"/>
  <c r="BK71" i="188"/>
  <c r="BK55" i="188"/>
  <c r="BK41" i="188"/>
  <c r="BK29" i="188"/>
  <c r="BK58" i="188"/>
  <c r="BK43" i="188"/>
  <c r="BK69" i="188"/>
  <c r="BK37" i="188"/>
  <c r="BK24" i="188"/>
  <c r="BK40" i="188"/>
  <c r="BK67" i="188"/>
  <c r="BK28" i="188"/>
  <c r="BK33" i="188"/>
  <c r="BK62" i="188"/>
  <c r="BK56" i="188"/>
  <c r="BK52" i="188"/>
  <c r="BK65" i="188"/>
  <c r="BK31" i="188"/>
  <c r="BK50" i="188"/>
  <c r="BK47" i="188"/>
  <c r="BK44" i="188"/>
  <c r="BK64" i="188"/>
  <c r="BK30" i="188"/>
  <c r="BK34" i="188"/>
  <c r="BK53" i="188"/>
  <c r="BK68" i="188"/>
  <c r="BK66" i="188"/>
  <c r="BK32" i="188"/>
  <c r="BK25" i="188"/>
  <c r="BK39" i="188"/>
  <c r="BK51" i="188"/>
  <c r="BK61" i="188"/>
  <c r="BK42" i="188"/>
  <c r="BK70" i="188"/>
  <c r="BK63" i="188"/>
  <c r="BK46" i="188"/>
  <c r="BK72" i="188"/>
  <c r="BK60" i="188"/>
  <c r="BJ61" i="188"/>
  <c r="BJ45" i="188"/>
  <c r="BJ70" i="188"/>
  <c r="BJ54" i="188"/>
  <c r="BJ46" i="188"/>
  <c r="BJ31" i="188"/>
  <c r="BJ59" i="188"/>
  <c r="BJ43" i="188"/>
  <c r="BJ68" i="188"/>
  <c r="BJ52" i="188"/>
  <c r="BJ42" i="188"/>
  <c r="BJ30" i="188"/>
  <c r="BJ32" i="188"/>
  <c r="BJ57" i="188"/>
  <c r="BJ41" i="188"/>
  <c r="BJ66" i="188"/>
  <c r="BJ48" i="188"/>
  <c r="BJ39" i="188"/>
  <c r="BJ53" i="188"/>
  <c r="BJ40" i="188"/>
  <c r="BJ50" i="188"/>
  <c r="BJ72" i="188"/>
  <c r="BJ38" i="188"/>
  <c r="BJ71" i="188"/>
  <c r="BJ64" i="188"/>
  <c r="BJ34" i="188"/>
  <c r="BJ51" i="188"/>
  <c r="BJ27" i="188"/>
  <c r="BJ65" i="188"/>
  <c r="BJ58" i="188"/>
  <c r="BJ47" i="188"/>
  <c r="BJ44" i="188"/>
  <c r="BJ67" i="188"/>
  <c r="BJ33" i="188"/>
  <c r="BJ25" i="188"/>
  <c r="BJ56" i="188"/>
  <c r="BJ55" i="188"/>
  <c r="BJ69" i="188"/>
  <c r="BJ62" i="188"/>
  <c r="BJ29" i="188"/>
  <c r="BJ35" i="188"/>
  <c r="BJ60" i="188"/>
  <c r="BJ28" i="188"/>
  <c r="BJ37" i="188"/>
  <c r="BJ36" i="188"/>
  <c r="BJ49" i="188"/>
  <c r="BJ26" i="188"/>
  <c r="BJ63" i="188"/>
  <c r="BJ24" i="188"/>
  <c r="K92" i="108"/>
  <c r="K93" i="108"/>
  <c r="K78" i="108"/>
  <c r="K71" i="108"/>
  <c r="K96" i="108"/>
  <c r="K88" i="108"/>
  <c r="K80" i="108"/>
  <c r="K72" i="108"/>
  <c r="K64" i="108"/>
  <c r="K84" i="108"/>
  <c r="K85" i="108"/>
  <c r="K94" i="108"/>
  <c r="K70" i="108"/>
  <c r="K79" i="108"/>
  <c r="K89" i="108"/>
  <c r="K81" i="108"/>
  <c r="K73" i="108"/>
  <c r="K65" i="108"/>
  <c r="K76" i="108"/>
  <c r="K69" i="108"/>
  <c r="K86" i="108"/>
  <c r="K95" i="108"/>
  <c r="K63" i="108"/>
  <c r="K90" i="108"/>
  <c r="K82" i="108"/>
  <c r="K74" i="108"/>
  <c r="K66" i="108"/>
  <c r="K68" i="108"/>
  <c r="K77" i="108"/>
  <c r="K87" i="108"/>
  <c r="K91" i="108"/>
  <c r="K83" i="108"/>
  <c r="K75" i="108"/>
  <c r="K67" i="108"/>
  <c r="K51" i="108" l="1"/>
  <c r="FP10" i="27" l="1"/>
  <c r="FQ10" i="27"/>
  <c r="FS10" i="27"/>
  <c r="FT10" i="27"/>
  <c r="FU10" i="27"/>
  <c r="FV10" i="27"/>
  <c r="FW10" i="27"/>
  <c r="FX10" i="27"/>
  <c r="FY10" i="27"/>
  <c r="FZ10" i="27"/>
  <c r="GA10" i="27"/>
  <c r="GB10" i="27"/>
  <c r="GC10" i="27"/>
  <c r="GD10" i="27"/>
  <c r="GE10" i="27"/>
  <c r="GF10" i="27"/>
  <c r="GG10" i="27"/>
  <c r="GH10" i="27"/>
  <c r="GI10" i="27"/>
  <c r="FP11" i="27"/>
  <c r="FR11" i="27"/>
  <c r="FS11" i="27"/>
  <c r="FT11" i="27"/>
  <c r="FU11" i="27"/>
  <c r="FV11" i="27"/>
  <c r="FW11" i="27"/>
  <c r="FX11" i="27"/>
  <c r="FY11" i="27"/>
  <c r="FZ11" i="27"/>
  <c r="GA11" i="27"/>
  <c r="GB11" i="27"/>
  <c r="GC11" i="27"/>
  <c r="GD11" i="27"/>
  <c r="GE11" i="27"/>
  <c r="GF11" i="27"/>
  <c r="GG11" i="27"/>
  <c r="GH11" i="27"/>
  <c r="FQ133" i="27" l="1"/>
  <c r="FQ126" i="27"/>
  <c r="FQ119" i="27"/>
  <c r="FQ114" i="27"/>
  <c r="FQ85" i="27"/>
  <c r="FQ84" i="27"/>
  <c r="FQ83" i="27"/>
  <c r="FQ82" i="27"/>
  <c r="FQ107" i="27"/>
  <c r="FQ100" i="27"/>
  <c r="FQ97" i="27"/>
  <c r="FQ90" i="27"/>
  <c r="FQ153" i="27"/>
  <c r="FQ144" i="27"/>
  <c r="FQ137" i="27"/>
  <c r="FQ30" i="27"/>
  <c r="FQ128" i="27"/>
  <c r="FQ81" i="27"/>
  <c r="FQ121" i="27"/>
  <c r="FQ116" i="27"/>
  <c r="FQ108" i="27"/>
  <c r="FQ45" i="27"/>
  <c r="FQ98" i="27"/>
  <c r="FQ93" i="27"/>
  <c r="FQ39" i="27"/>
  <c r="FQ29" i="27"/>
  <c r="FQ207" i="27"/>
  <c r="FQ23" i="27"/>
  <c r="FQ80" i="27"/>
  <c r="FQ202" i="27"/>
  <c r="FQ198" i="27"/>
  <c r="FQ79" i="27"/>
  <c r="FQ78" i="27"/>
  <c r="FQ194" i="27"/>
  <c r="FQ191" i="27"/>
  <c r="FQ77" i="27"/>
  <c r="FQ22" i="27"/>
  <c r="FQ12" i="27"/>
  <c r="FQ183" i="27"/>
  <c r="FQ178" i="27"/>
  <c r="FQ173" i="27"/>
  <c r="FQ94" i="27"/>
  <c r="FQ168" i="27"/>
  <c r="FQ163" i="27"/>
  <c r="FQ158" i="27"/>
  <c r="FQ152" i="27"/>
  <c r="FQ76" i="27"/>
  <c r="FQ75" i="27"/>
  <c r="FQ151" i="27"/>
  <c r="FQ145" i="27"/>
  <c r="FQ139" i="27"/>
  <c r="FQ34" i="27"/>
  <c r="FQ74" i="27"/>
  <c r="FQ73" i="27"/>
  <c r="FQ72" i="27"/>
  <c r="FQ130" i="27"/>
  <c r="FQ71" i="27"/>
  <c r="FQ47" i="27"/>
  <c r="FQ125" i="27"/>
  <c r="FQ70" i="27"/>
  <c r="FQ118" i="27"/>
  <c r="FQ113" i="27"/>
  <c r="FQ106" i="27"/>
  <c r="FQ99" i="27"/>
  <c r="FQ96" i="27"/>
  <c r="FQ89" i="27"/>
  <c r="FQ210" i="27"/>
  <c r="FQ204" i="27"/>
  <c r="FQ69" i="27"/>
  <c r="FQ68" i="27"/>
  <c r="FQ189" i="27"/>
  <c r="FQ67" i="27"/>
  <c r="FQ185" i="27"/>
  <c r="FQ179" i="27"/>
  <c r="FQ66" i="27"/>
  <c r="FQ174" i="27"/>
  <c r="FQ65" i="27"/>
  <c r="FQ63" i="27"/>
  <c r="FQ101" i="27"/>
  <c r="FQ170" i="27"/>
  <c r="FQ165" i="27"/>
  <c r="FQ160" i="27"/>
  <c r="FQ155" i="27"/>
  <c r="FQ18" i="27"/>
  <c r="FQ148" i="27"/>
  <c r="FQ141" i="27"/>
  <c r="FQ37" i="27"/>
  <c r="FQ132" i="27"/>
  <c r="FQ62" i="27"/>
  <c r="FQ61" i="27"/>
  <c r="FQ60" i="27"/>
  <c r="FQ59" i="27"/>
  <c r="FQ58" i="27"/>
  <c r="FQ123" i="27"/>
  <c r="FQ15" i="27"/>
  <c r="FQ111" i="27"/>
  <c r="FQ57" i="27"/>
  <c r="FQ43" i="27"/>
  <c r="FQ105" i="27"/>
  <c r="FQ112" i="27"/>
  <c r="FQ42" i="27"/>
  <c r="FQ124" i="27"/>
  <c r="FQ131" i="27"/>
  <c r="FQ36" i="27"/>
  <c r="FQ140" i="27"/>
  <c r="FQ147" i="27"/>
  <c r="FQ134" i="27"/>
  <c r="FQ56" i="27"/>
  <c r="FQ154" i="27"/>
  <c r="FQ159" i="27"/>
  <c r="FQ55" i="27"/>
  <c r="FQ54" i="27"/>
  <c r="FQ53" i="27"/>
  <c r="FQ164" i="27"/>
  <c r="FQ169" i="27"/>
  <c r="FQ52" i="27"/>
  <c r="FQ104" i="27"/>
  <c r="FQ175" i="27"/>
  <c r="FQ64" i="27"/>
  <c r="FQ95" i="27"/>
  <c r="FQ180" i="27"/>
  <c r="FQ184" i="27"/>
  <c r="FQ190" i="27"/>
  <c r="FQ197" i="27"/>
  <c r="FQ40" i="27"/>
  <c r="FQ51" i="27"/>
  <c r="FQ91" i="27"/>
  <c r="FQ32" i="27"/>
  <c r="FQ103" i="27"/>
  <c r="FQ109" i="27"/>
  <c r="FQ115" i="27"/>
  <c r="FQ50" i="27"/>
  <c r="FQ49" i="27"/>
  <c r="FQ120" i="27"/>
  <c r="FQ48" i="27"/>
  <c r="FQ38" i="27"/>
  <c r="FQ217" i="27"/>
  <c r="FQ213" i="27"/>
  <c r="FQ127" i="27"/>
  <c r="FQ21" i="27"/>
  <c r="FQ44" i="27"/>
  <c r="FQ46" i="27"/>
  <c r="FQ143" i="27"/>
  <c r="FQ211" i="27"/>
  <c r="FQ150" i="27"/>
  <c r="FQ221" i="27"/>
  <c r="FQ220" i="27"/>
  <c r="FQ219" i="27"/>
  <c r="FQ136" i="27"/>
  <c r="FQ157" i="27"/>
  <c r="FQ162" i="27"/>
  <c r="FQ167" i="27"/>
  <c r="FQ209" i="27"/>
  <c r="FQ206" i="27"/>
  <c r="FQ187" i="27"/>
  <c r="FQ172" i="27"/>
  <c r="FQ177" i="27"/>
  <c r="FQ182" i="27"/>
  <c r="FQ19" i="27"/>
  <c r="FQ188" i="27"/>
  <c r="FQ192" i="27"/>
  <c r="FQ16" i="27"/>
  <c r="FQ195" i="27"/>
  <c r="FQ203" i="27"/>
  <c r="FQ199" i="27"/>
  <c r="FQ218" i="27"/>
  <c r="FQ201" i="27"/>
  <c r="FQ13" i="27"/>
  <c r="FQ24" i="27"/>
  <c r="FQ205" i="27"/>
  <c r="FQ216" i="27"/>
  <c r="FQ215" i="27"/>
  <c r="FQ208" i="27"/>
  <c r="FQ200" i="27"/>
  <c r="FQ196" i="27"/>
  <c r="FQ193" i="27"/>
  <c r="FQ214" i="27"/>
  <c r="FQ212" i="27"/>
  <c r="FQ27" i="27"/>
  <c r="FQ186" i="27"/>
  <c r="FQ181" i="27"/>
  <c r="FQ176" i="27"/>
  <c r="FQ171" i="27"/>
  <c r="FQ166" i="27"/>
  <c r="FQ161" i="27"/>
  <c r="FQ156" i="27"/>
  <c r="FQ135" i="27"/>
  <c r="FQ149" i="27"/>
  <c r="FQ142" i="27"/>
  <c r="FQ41" i="27"/>
  <c r="FQ86" i="27"/>
  <c r="FQ87" i="27"/>
  <c r="FQ88" i="27"/>
  <c r="FQ26" i="27"/>
  <c r="FQ92" i="27"/>
  <c r="FQ31" i="27"/>
  <c r="FQ102" i="27"/>
  <c r="FQ110" i="27"/>
  <c r="FQ14" i="27"/>
  <c r="FQ122" i="27"/>
  <c r="FQ129" i="27"/>
  <c r="FQ25" i="27"/>
  <c r="FQ138" i="27"/>
  <c r="FQ146" i="27"/>
  <c r="FQ17" i="27"/>
  <c r="FQ20" i="27"/>
  <c r="FQ28" i="27"/>
  <c r="FQ33" i="27"/>
  <c r="FQ35" i="27"/>
  <c r="FQ117" i="27"/>
  <c r="GI97" i="27"/>
  <c r="GI185" i="27"/>
  <c r="GI98" i="27"/>
  <c r="GI186" i="27"/>
  <c r="GI13" i="27"/>
  <c r="GI36" i="27"/>
  <c r="GI43" i="27"/>
  <c r="GI23" i="27"/>
  <c r="GI188" i="27"/>
  <c r="GI99" i="27"/>
  <c r="GI190" i="27"/>
  <c r="GI100" i="27"/>
  <c r="GI191" i="27"/>
  <c r="GI101" i="27"/>
  <c r="GI192" i="27"/>
  <c r="GI102" i="27"/>
  <c r="GI193" i="27"/>
  <c r="GI103" i="27"/>
  <c r="GI194" i="27"/>
  <c r="GI104" i="27"/>
  <c r="GI195" i="27"/>
  <c r="GI105" i="27"/>
  <c r="GI196" i="27"/>
  <c r="GI106" i="27"/>
  <c r="GI197" i="27"/>
  <c r="GI107" i="27"/>
  <c r="GI198" i="27"/>
  <c r="GI108" i="27"/>
  <c r="GI199" i="27"/>
  <c r="GI27" i="27"/>
  <c r="GI137" i="27"/>
  <c r="GI141" i="27"/>
  <c r="GI146" i="27"/>
  <c r="GI38" i="27"/>
  <c r="GI201" i="27"/>
  <c r="GI112" i="27"/>
  <c r="GI15" i="27"/>
  <c r="GI113" i="27"/>
  <c r="GI29" i="27"/>
  <c r="GI114" i="27"/>
  <c r="GI41" i="27"/>
  <c r="GI115" i="27"/>
  <c r="GI187" i="27"/>
  <c r="GI19" i="27"/>
  <c r="GI21" i="27"/>
  <c r="GI189" i="27"/>
  <c r="GI31" i="27"/>
  <c r="GI204" i="27"/>
  <c r="GI33" i="27"/>
  <c r="GI35" i="27"/>
  <c r="GI39" i="27"/>
  <c r="GI205" i="27"/>
  <c r="GI116" i="27"/>
  <c r="GI117" i="27"/>
  <c r="GI119" i="27"/>
  <c r="GI206" i="27"/>
  <c r="GI120" i="27"/>
  <c r="GI207" i="27"/>
  <c r="GI121" i="27"/>
  <c r="GI208" i="27"/>
  <c r="GI122" i="27"/>
  <c r="GI209" i="27"/>
  <c r="GI123" i="27"/>
  <c r="GI210" i="27"/>
  <c r="GI124" i="27"/>
  <c r="GI211" i="27"/>
  <c r="GI125" i="27"/>
  <c r="GI212" i="27"/>
  <c r="GI126" i="27"/>
  <c r="GI213" i="27"/>
  <c r="GI127" i="27"/>
  <c r="GI214" i="27"/>
  <c r="GI128" i="27"/>
  <c r="GI215" i="27"/>
  <c r="GI129" i="27"/>
  <c r="GI216" i="27"/>
  <c r="GI130" i="27"/>
  <c r="GI217" i="27"/>
  <c r="GI131" i="27"/>
  <c r="GI218" i="27"/>
  <c r="GI132" i="27"/>
  <c r="GI219" i="27"/>
  <c r="GI46" i="27"/>
  <c r="GI139" i="27"/>
  <c r="GI55" i="27"/>
  <c r="GI59" i="27"/>
  <c r="GI151" i="27"/>
  <c r="GI68" i="27"/>
  <c r="GI202" i="27"/>
  <c r="GI17" i="27"/>
  <c r="GI135" i="27"/>
  <c r="GI52" i="27"/>
  <c r="GI56" i="27"/>
  <c r="GI149" i="27"/>
  <c r="GI63" i="27"/>
  <c r="GI154" i="27"/>
  <c r="GI220" i="27"/>
  <c r="GI70" i="27"/>
  <c r="GI48" i="27"/>
  <c r="GI140" i="27"/>
  <c r="GI145" i="27"/>
  <c r="GI60" i="27"/>
  <c r="GI34" i="27"/>
  <c r="GI109" i="27"/>
  <c r="GI133" i="27"/>
  <c r="GI150" i="27"/>
  <c r="GI118" i="27"/>
  <c r="GI147" i="27"/>
  <c r="GI87" i="27"/>
  <c r="GI175" i="27"/>
  <c r="GI200" i="27"/>
  <c r="GI176" i="27"/>
  <c r="GI89" i="27"/>
  <c r="GI177" i="27"/>
  <c r="GI90" i="27"/>
  <c r="GI178" i="27"/>
  <c r="GI91" i="27"/>
  <c r="GI179" i="27"/>
  <c r="GI92" i="27"/>
  <c r="GI180" i="27"/>
  <c r="GI93" i="27"/>
  <c r="GI181" i="27"/>
  <c r="GI94" i="27"/>
  <c r="GI182" i="27"/>
  <c r="GI95" i="27"/>
  <c r="GI183" i="27"/>
  <c r="GI96" i="27"/>
  <c r="GI184" i="27"/>
  <c r="GI45" i="27"/>
  <c r="GI138" i="27"/>
  <c r="GI142" i="27"/>
  <c r="GI58" i="27"/>
  <c r="GI62" i="27"/>
  <c r="GI152" i="27"/>
  <c r="GI110" i="27"/>
  <c r="GI221" i="27"/>
  <c r="GI54" i="27"/>
  <c r="GI134" i="27"/>
  <c r="GI51" i="27"/>
  <c r="GI144" i="27"/>
  <c r="GI148" i="27"/>
  <c r="GI22" i="27"/>
  <c r="GI153" i="27"/>
  <c r="GI111" i="27"/>
  <c r="GI136" i="27"/>
  <c r="GI47" i="27"/>
  <c r="GI37" i="27"/>
  <c r="GI69" i="27"/>
  <c r="GI203" i="27"/>
  <c r="GI26" i="27"/>
  <c r="GI50" i="27"/>
  <c r="GI143" i="27"/>
  <c r="GI174" i="27"/>
  <c r="GI12" i="27"/>
  <c r="GI67" i="27"/>
  <c r="GI155" i="27"/>
  <c r="GI156" i="27"/>
  <c r="GI157" i="27"/>
  <c r="GI158" i="27"/>
  <c r="GI159" i="27"/>
  <c r="GI160" i="27"/>
  <c r="GI161" i="27"/>
  <c r="GI162" i="27"/>
  <c r="GI163" i="27"/>
  <c r="GI164" i="27"/>
  <c r="GI165" i="27"/>
  <c r="GI18" i="27"/>
  <c r="GI166" i="27"/>
  <c r="GI167" i="27"/>
  <c r="GI168" i="27"/>
  <c r="GI24" i="27"/>
  <c r="GI42" i="27"/>
  <c r="GI44" i="27"/>
  <c r="GI65" i="27"/>
  <c r="GI66" i="27"/>
  <c r="GI32" i="27"/>
  <c r="GI81" i="27"/>
  <c r="GI169" i="27"/>
  <c r="GI82" i="27"/>
  <c r="GI170" i="27"/>
  <c r="GI83" i="27"/>
  <c r="GI171" i="27"/>
  <c r="GI84" i="27"/>
  <c r="GI25" i="27"/>
  <c r="GI49" i="27"/>
  <c r="GI53" i="27"/>
  <c r="GI57" i="27"/>
  <c r="GI61" i="27"/>
  <c r="GI64" i="27"/>
  <c r="GI88" i="27"/>
  <c r="GI71" i="27"/>
  <c r="GI72" i="27"/>
  <c r="GI73" i="27"/>
  <c r="GI74" i="27"/>
  <c r="GI75" i="27"/>
  <c r="GI76" i="27"/>
  <c r="GI77" i="27"/>
  <c r="GI78" i="27"/>
  <c r="GI79" i="27"/>
  <c r="GI80" i="27"/>
  <c r="GI16" i="27"/>
  <c r="GI20" i="27"/>
  <c r="GI28" i="27"/>
  <c r="GI30" i="27"/>
  <c r="GI14" i="27"/>
  <c r="GI40" i="27"/>
  <c r="GI172" i="27"/>
  <c r="GI85" i="27"/>
  <c r="GI173" i="27"/>
  <c r="GI86" i="27"/>
  <c r="FP21" i="27"/>
  <c r="FP89" i="27"/>
  <c r="FP113" i="27"/>
  <c r="FP108" i="27"/>
  <c r="FP14" i="27"/>
  <c r="FP212" i="27"/>
  <c r="FP98" i="27"/>
  <c r="FP155" i="27"/>
  <c r="FP118" i="27"/>
  <c r="FP170" i="27"/>
  <c r="FP149" i="27"/>
  <c r="FP183" i="27"/>
  <c r="FP100" i="27"/>
  <c r="FP134" i="27"/>
  <c r="FP83" i="27"/>
  <c r="FP213" i="27"/>
  <c r="FP202" i="27"/>
  <c r="FP156" i="27"/>
  <c r="FP184" i="27"/>
  <c r="FP27" i="27"/>
  <c r="FP214" i="27"/>
  <c r="FP97" i="27"/>
  <c r="FP123" i="27"/>
  <c r="FP107" i="27"/>
  <c r="FP185" i="27"/>
  <c r="FP157" i="27"/>
  <c r="FP125" i="27"/>
  <c r="FP215" i="27"/>
  <c r="FP186" i="27"/>
  <c r="FP82" i="27"/>
  <c r="FP158" i="27"/>
  <c r="FP148" i="27"/>
  <c r="FP216" i="27"/>
  <c r="FP96" i="27"/>
  <c r="FP201" i="27"/>
  <c r="FP39" i="27"/>
  <c r="FP147" i="27"/>
  <c r="FP159" i="27"/>
  <c r="FP24" i="27"/>
  <c r="FP90" i="27"/>
  <c r="FP217" i="27"/>
  <c r="FP17" i="27"/>
  <c r="FP110" i="27"/>
  <c r="FP106" i="27"/>
  <c r="FP135" i="27"/>
  <c r="FP81" i="27"/>
  <c r="FP218" i="27"/>
  <c r="FP160" i="27"/>
  <c r="FP114" i="27"/>
  <c r="FP95" i="27"/>
  <c r="FP122" i="27"/>
  <c r="FP67" i="27"/>
  <c r="FP200" i="27"/>
  <c r="FP34" i="27"/>
  <c r="FP219" i="27"/>
  <c r="FP187" i="27"/>
  <c r="FP161" i="27"/>
  <c r="FP29" i="27"/>
  <c r="FP136" i="27"/>
  <c r="FP146" i="27"/>
  <c r="FP220" i="27"/>
  <c r="FP137" i="27"/>
  <c r="FP145" i="27"/>
  <c r="FP105" i="27"/>
  <c r="FP162" i="27"/>
  <c r="FP111" i="27"/>
  <c r="FP190" i="27"/>
  <c r="FP66" i="27"/>
  <c r="FP221" i="27"/>
  <c r="FP94" i="27"/>
  <c r="FP199" i="27"/>
  <c r="FP163" i="27"/>
  <c r="FP115" i="27"/>
  <c r="FP191" i="27"/>
  <c r="FP176" i="27"/>
  <c r="FP133" i="27"/>
  <c r="FP19" i="27"/>
  <c r="FP205" i="27"/>
  <c r="FP177" i="27"/>
  <c r="FP119" i="27"/>
  <c r="FP86" i="27"/>
  <c r="FP188" i="27"/>
  <c r="FP206" i="27"/>
  <c r="FP178" i="27"/>
  <c r="FP132" i="27"/>
  <c r="FP207" i="27"/>
  <c r="FP16" i="27"/>
  <c r="FP117" i="27"/>
  <c r="FP198" i="27"/>
  <c r="FP175" i="27"/>
  <c r="FP91" i="27"/>
  <c r="FP179" i="27"/>
  <c r="FP85" i="27"/>
  <c r="FP26" i="27"/>
  <c r="FP208" i="27"/>
  <c r="FP131" i="27"/>
  <c r="FP138" i="27"/>
  <c r="FP169" i="27"/>
  <c r="FP130" i="27"/>
  <c r="FP102" i="27"/>
  <c r="FP15" i="27"/>
  <c r="FP120" i="27"/>
  <c r="FP64" i="27"/>
  <c r="FP44" i="27"/>
  <c r="FP43" i="27"/>
  <c r="FP25" i="27"/>
  <c r="FP197" i="27"/>
  <c r="FP87" i="27"/>
  <c r="FP12" i="27"/>
  <c r="FP109" i="27"/>
  <c r="FP152" i="27"/>
  <c r="FP112" i="27"/>
  <c r="FP128" i="27"/>
  <c r="FP127" i="27"/>
  <c r="FP32" i="27"/>
  <c r="FP174" i="27"/>
  <c r="FP139" i="27"/>
  <c r="FP168" i="27"/>
  <c r="FP18" i="27"/>
  <c r="FP80" i="27"/>
  <c r="FP79" i="27"/>
  <c r="FP40" i="27"/>
  <c r="FP31" i="27"/>
  <c r="FP78" i="27"/>
  <c r="FP196" i="27"/>
  <c r="FP209" i="27"/>
  <c r="FP180" i="27"/>
  <c r="FP77" i="27"/>
  <c r="FP92" i="27"/>
  <c r="FP76" i="27"/>
  <c r="FP75" i="27"/>
  <c r="FP74" i="27"/>
  <c r="FP73" i="27"/>
  <c r="FP72" i="27"/>
  <c r="FP71" i="27"/>
  <c r="FP70" i="27"/>
  <c r="FP140" i="27"/>
  <c r="FP167" i="27"/>
  <c r="FP189" i="27"/>
  <c r="FP69" i="27"/>
  <c r="FP38" i="27"/>
  <c r="FP103" i="27"/>
  <c r="FP195" i="27"/>
  <c r="FP141" i="27"/>
  <c r="FP116" i="27"/>
  <c r="FP20" i="27"/>
  <c r="FP173" i="27"/>
  <c r="FP129" i="27"/>
  <c r="FP68" i="27"/>
  <c r="FP153" i="27"/>
  <c r="FP151" i="27"/>
  <c r="FP65" i="27"/>
  <c r="FP45" i="27"/>
  <c r="FP210" i="27"/>
  <c r="FP30" i="27"/>
  <c r="FP142" i="27"/>
  <c r="FP166" i="27"/>
  <c r="FP28" i="27"/>
  <c r="FP181" i="27"/>
  <c r="FP63" i="27"/>
  <c r="FP194" i="27"/>
  <c r="FP88" i="27"/>
  <c r="FP62" i="27"/>
  <c r="FP126" i="27"/>
  <c r="FP61" i="27"/>
  <c r="FP60" i="27"/>
  <c r="FP121" i="27"/>
  <c r="FP59" i="27"/>
  <c r="FP58" i="27"/>
  <c r="FP124" i="27"/>
  <c r="FP172" i="27"/>
  <c r="FP99" i="27"/>
  <c r="FP36" i="27"/>
  <c r="FP13" i="27"/>
  <c r="FP57" i="27"/>
  <c r="FP143" i="27"/>
  <c r="FP165" i="27"/>
  <c r="FP56" i="27"/>
  <c r="FP193" i="27"/>
  <c r="FP93" i="27"/>
  <c r="FP55" i="27"/>
  <c r="FP54" i="27"/>
  <c r="FP84" i="27"/>
  <c r="FP53" i="27"/>
  <c r="FP204" i="27"/>
  <c r="FP52" i="27"/>
  <c r="FP51" i="27"/>
  <c r="FP211" i="27"/>
  <c r="FP154" i="27"/>
  <c r="FP150" i="27"/>
  <c r="FP50" i="27"/>
  <c r="FP49" i="27"/>
  <c r="FP33" i="27"/>
  <c r="FP171" i="27"/>
  <c r="FP182" i="27"/>
  <c r="FP22" i="27"/>
  <c r="FP192" i="27"/>
  <c r="FP164" i="27"/>
  <c r="FP104" i="27"/>
  <c r="FP144" i="27"/>
  <c r="FP48" i="27"/>
  <c r="FP47" i="27"/>
  <c r="FP46" i="27"/>
  <c r="FP42" i="27"/>
  <c r="FP41" i="27"/>
  <c r="FP37" i="27"/>
  <c r="FP35" i="27"/>
  <c r="FP203" i="27"/>
  <c r="FP23" i="27"/>
  <c r="FP101" i="27"/>
  <c r="FR197" i="27"/>
  <c r="FR202" i="27"/>
  <c r="FR65" i="27"/>
  <c r="FR133" i="27"/>
  <c r="FR119" i="27"/>
  <c r="FR209" i="27"/>
  <c r="FR132" i="27"/>
  <c r="FR131" i="27"/>
  <c r="FR130" i="27"/>
  <c r="FR120" i="27"/>
  <c r="FR42" i="27"/>
  <c r="FR33" i="27"/>
  <c r="FR191" i="27"/>
  <c r="FR28" i="27"/>
  <c r="FR21" i="27"/>
  <c r="FR94" i="27"/>
  <c r="FR221" i="27"/>
  <c r="FR13" i="27"/>
  <c r="FR182" i="27"/>
  <c r="FR98" i="27"/>
  <c r="FR66" i="27"/>
  <c r="FR80" i="27"/>
  <c r="FR201" i="27"/>
  <c r="FR79" i="27"/>
  <c r="FR208" i="27"/>
  <c r="FR85" i="27"/>
  <c r="FR78" i="27"/>
  <c r="FR77" i="27"/>
  <c r="FR76" i="27"/>
  <c r="FR75" i="27"/>
  <c r="FR74" i="27"/>
  <c r="FR73" i="27"/>
  <c r="FR220" i="27"/>
  <c r="FR72" i="27"/>
  <c r="FR190" i="27"/>
  <c r="FR71" i="27"/>
  <c r="FR70" i="27"/>
  <c r="FR69" i="27"/>
  <c r="FR68" i="27"/>
  <c r="FR64" i="27"/>
  <c r="FR41" i="27"/>
  <c r="FR207" i="27"/>
  <c r="FR200" i="27"/>
  <c r="FR90" i="27"/>
  <c r="FR181" i="27"/>
  <c r="FR32" i="27"/>
  <c r="FR23" i="27"/>
  <c r="FR19" i="27"/>
  <c r="FR16" i="27"/>
  <c r="FR219" i="27"/>
  <c r="FR67" i="27"/>
  <c r="FR63" i="27"/>
  <c r="FR127" i="27"/>
  <c r="FR62" i="27"/>
  <c r="FR61" i="27"/>
  <c r="FR60" i="27"/>
  <c r="FR59" i="27"/>
  <c r="FR58" i="27"/>
  <c r="FR57" i="27"/>
  <c r="FR56" i="27"/>
  <c r="FR206" i="27"/>
  <c r="FR55" i="27"/>
  <c r="FR199" i="27"/>
  <c r="FR86" i="27"/>
  <c r="FR54" i="27"/>
  <c r="FR218" i="27"/>
  <c r="FR53" i="27"/>
  <c r="FR180" i="27"/>
  <c r="FR81" i="27"/>
  <c r="FR52" i="27"/>
  <c r="FR187" i="27"/>
  <c r="FR51" i="27"/>
  <c r="FR50" i="27"/>
  <c r="FR14" i="27"/>
  <c r="FR49" i="27"/>
  <c r="FR48" i="27"/>
  <c r="FR95" i="27"/>
  <c r="FR47" i="27"/>
  <c r="FR205" i="27"/>
  <c r="FR46" i="27"/>
  <c r="FR45" i="27"/>
  <c r="FR217" i="27"/>
  <c r="FR36" i="27"/>
  <c r="FR31" i="27"/>
  <c r="FR198" i="27"/>
  <c r="FR25" i="27"/>
  <c r="FR91" i="27"/>
  <c r="FR189" i="27"/>
  <c r="FR24" i="27"/>
  <c r="FR20" i="27"/>
  <c r="FR128" i="27"/>
  <c r="FR179" i="27"/>
  <c r="FR178" i="27"/>
  <c r="FR177" i="27"/>
  <c r="FR176" i="27"/>
  <c r="FR175" i="27"/>
  <c r="FR188" i="27"/>
  <c r="FR38" i="27"/>
  <c r="FR216" i="27"/>
  <c r="FR174" i="27"/>
  <c r="FR44" i="27"/>
  <c r="FR173" i="27"/>
  <c r="FR172" i="27"/>
  <c r="FR99" i="27"/>
  <c r="FR171" i="27"/>
  <c r="FR170" i="27"/>
  <c r="FR100" i="27"/>
  <c r="FR35" i="27"/>
  <c r="FR101" i="27"/>
  <c r="FR27" i="27"/>
  <c r="FR169" i="27"/>
  <c r="FR102" i="27"/>
  <c r="FR168" i="27"/>
  <c r="FR167" i="27"/>
  <c r="FR215" i="27"/>
  <c r="FR82" i="27"/>
  <c r="FR103" i="27"/>
  <c r="FR96" i="27"/>
  <c r="FR126" i="27"/>
  <c r="FR166" i="27"/>
  <c r="FR87" i="27"/>
  <c r="FR165" i="27"/>
  <c r="FR196" i="27"/>
  <c r="FR34" i="27"/>
  <c r="FR164" i="27"/>
  <c r="FR104" i="27"/>
  <c r="FR163" i="27"/>
  <c r="FR92" i="27"/>
  <c r="FR162" i="27"/>
  <c r="FR105" i="27"/>
  <c r="FR161" i="27"/>
  <c r="FR214" i="27"/>
  <c r="FR160" i="27"/>
  <c r="FR123" i="27"/>
  <c r="FR159" i="27"/>
  <c r="FR106" i="27"/>
  <c r="FR158" i="27"/>
  <c r="FR157" i="27"/>
  <c r="FR107" i="27"/>
  <c r="FR156" i="27"/>
  <c r="FR195" i="27"/>
  <c r="FR155" i="27"/>
  <c r="FR108" i="27"/>
  <c r="FR154" i="27"/>
  <c r="FR153" i="27"/>
  <c r="FR152" i="27"/>
  <c r="FR109" i="27"/>
  <c r="FR134" i="27"/>
  <c r="FR213" i="27"/>
  <c r="FR118" i="27"/>
  <c r="FR83" i="27"/>
  <c r="FR125" i="27"/>
  <c r="FR110" i="27"/>
  <c r="FR43" i="27"/>
  <c r="FR122" i="27"/>
  <c r="FR186" i="27"/>
  <c r="FR12" i="27"/>
  <c r="FR88" i="27"/>
  <c r="FR30" i="27"/>
  <c r="FR185" i="27"/>
  <c r="FR111" i="27"/>
  <c r="FR194" i="27"/>
  <c r="FR112" i="27"/>
  <c r="FR97" i="27"/>
  <c r="FR212" i="27"/>
  <c r="FR151" i="27"/>
  <c r="FR150" i="27"/>
  <c r="FR149" i="27"/>
  <c r="FR113" i="27"/>
  <c r="FR148" i="27"/>
  <c r="FR147" i="27"/>
  <c r="FR114" i="27"/>
  <c r="FR146" i="27"/>
  <c r="FR204" i="27"/>
  <c r="FR145" i="27"/>
  <c r="FR115" i="27"/>
  <c r="FR144" i="27"/>
  <c r="FR143" i="27"/>
  <c r="FR184" i="27"/>
  <c r="FR193" i="27"/>
  <c r="FR93" i="27"/>
  <c r="FR211" i="27"/>
  <c r="FR142" i="27"/>
  <c r="FR116" i="27"/>
  <c r="FR141" i="27"/>
  <c r="FR84" i="27"/>
  <c r="FR129" i="27"/>
  <c r="FR121" i="27"/>
  <c r="FR140" i="27"/>
  <c r="FR139" i="27"/>
  <c r="FR18" i="27"/>
  <c r="FR138" i="27"/>
  <c r="FR22" i="27"/>
  <c r="FR203" i="27"/>
  <c r="FR26" i="27"/>
  <c r="FR124" i="27"/>
  <c r="FR89" i="27"/>
  <c r="FR210" i="27"/>
  <c r="FR137" i="27"/>
  <c r="FR136" i="27"/>
  <c r="FR29" i="27"/>
  <c r="FR192" i="27"/>
  <c r="FR135" i="27"/>
  <c r="FR117" i="27"/>
  <c r="FR40" i="27"/>
  <c r="FR183" i="27"/>
  <c r="FR37" i="27"/>
  <c r="FR39" i="27"/>
  <c r="FR17" i="27"/>
  <c r="FR15" i="27"/>
  <c r="FS114" i="27"/>
  <c r="FS28" i="27"/>
  <c r="FS48" i="27"/>
  <c r="FS132" i="27"/>
  <c r="FS146" i="27"/>
  <c r="FS92" i="27"/>
  <c r="FS49" i="27"/>
  <c r="FS91" i="27"/>
  <c r="FS136" i="27"/>
  <c r="FS55" i="27"/>
  <c r="FS166" i="27"/>
  <c r="FS68" i="27"/>
  <c r="FS145" i="27"/>
  <c r="FS221" i="27"/>
  <c r="FS62" i="27"/>
  <c r="FS214" i="27"/>
  <c r="FS66" i="27"/>
  <c r="FS110" i="27"/>
  <c r="FS94" i="27"/>
  <c r="FS31" i="27"/>
  <c r="FS154" i="27"/>
  <c r="FS148" i="27"/>
  <c r="FS116" i="27"/>
  <c r="FS71" i="27"/>
  <c r="FS203" i="27"/>
  <c r="FS27" i="27"/>
  <c r="FS16" i="27"/>
  <c r="FS220" i="27"/>
  <c r="FS142" i="27"/>
  <c r="FS138" i="27"/>
  <c r="FS18" i="27"/>
  <c r="FS50" i="27"/>
  <c r="FS196" i="27"/>
  <c r="FS73" i="27"/>
  <c r="FS182" i="27"/>
  <c r="FS124" i="27"/>
  <c r="FS152" i="27"/>
  <c r="FS120" i="27"/>
  <c r="FS12" i="27"/>
  <c r="FS97" i="27"/>
  <c r="FS139" i="27"/>
  <c r="FS112" i="27"/>
  <c r="FS63" i="27"/>
  <c r="FS219" i="27"/>
  <c r="FS32" i="27"/>
  <c r="FS213" i="27"/>
  <c r="FS137" i="27"/>
  <c r="FS108" i="27"/>
  <c r="FS54" i="27"/>
  <c r="FS51" i="27"/>
  <c r="FS83" i="27"/>
  <c r="FS199" i="27"/>
  <c r="FS113" i="27"/>
  <c r="FS76" i="27"/>
  <c r="FS23" i="27"/>
  <c r="FS188" i="27"/>
  <c r="FS89" i="27"/>
  <c r="FS218" i="27"/>
  <c r="FS204" i="27"/>
  <c r="FS209" i="27"/>
  <c r="FS81" i="27"/>
  <c r="FS131" i="27"/>
  <c r="FS210" i="27"/>
  <c r="FS64" i="27"/>
  <c r="FS143" i="27"/>
  <c r="FS119" i="27"/>
  <c r="FS84" i="27"/>
  <c r="FS118" i="27"/>
  <c r="FS17" i="27"/>
  <c r="FS78" i="27"/>
  <c r="FS195" i="27"/>
  <c r="FS217" i="27"/>
  <c r="FS122" i="27"/>
  <c r="FS134" i="27"/>
  <c r="FS109" i="27"/>
  <c r="FS38" i="27"/>
  <c r="FS147" i="27"/>
  <c r="FS212" i="27"/>
  <c r="FS202" i="27"/>
  <c r="FS52" i="27"/>
  <c r="FS44" i="27"/>
  <c r="FS117" i="27"/>
  <c r="FS140" i="27"/>
  <c r="FS115" i="27"/>
  <c r="FS24" i="27"/>
  <c r="FS180" i="27"/>
  <c r="FS20" i="27"/>
  <c r="FS216" i="27"/>
  <c r="FS129" i="27"/>
  <c r="FS198" i="27"/>
  <c r="FS40" i="27"/>
  <c r="FS127" i="27"/>
  <c r="FS29" i="27"/>
  <c r="FS189" i="27"/>
  <c r="FS185" i="27"/>
  <c r="FS190" i="27"/>
  <c r="FS15" i="27"/>
  <c r="FS141" i="27"/>
  <c r="FS144" i="27"/>
  <c r="FS80" i="27"/>
  <c r="FS56" i="27"/>
  <c r="FS85" i="27"/>
  <c r="FS215" i="27"/>
  <c r="FS82" i="27"/>
  <c r="FS208" i="27"/>
  <c r="FS65" i="27"/>
  <c r="FS211" i="27"/>
  <c r="FS130" i="27"/>
  <c r="FS53" i="27"/>
  <c r="FS67" i="27"/>
  <c r="FS186" i="27"/>
  <c r="FS57" i="27"/>
  <c r="FS98" i="27"/>
  <c r="FS149" i="27"/>
  <c r="FS207" i="27"/>
  <c r="FS22" i="27"/>
  <c r="FS191" i="27"/>
  <c r="FS181" i="27"/>
  <c r="FS72" i="27"/>
  <c r="FS70" i="27"/>
  <c r="FS58" i="27"/>
  <c r="FS75" i="27"/>
  <c r="FS184" i="27"/>
  <c r="FS206" i="27"/>
  <c r="FS133" i="27"/>
  <c r="FS86" i="27"/>
  <c r="FS74" i="27"/>
  <c r="FS121" i="27"/>
  <c r="FS183" i="27"/>
  <c r="FS192" i="27"/>
  <c r="FS205" i="27"/>
  <c r="FS201" i="27"/>
  <c r="FS151" i="27"/>
  <c r="FS59" i="27"/>
  <c r="FS42" i="27"/>
  <c r="FS135" i="27"/>
  <c r="FS79" i="27"/>
  <c r="FS69" i="27"/>
  <c r="FS93" i="27"/>
  <c r="FS125" i="27"/>
  <c r="FS187" i="27"/>
  <c r="FS77" i="27"/>
  <c r="FS193" i="27"/>
  <c r="FS60" i="27"/>
  <c r="FS197" i="27"/>
  <c r="FS95" i="27"/>
  <c r="FS179" i="27"/>
  <c r="FS87" i="27"/>
  <c r="FS128" i="27"/>
  <c r="FS200" i="27"/>
  <c r="FS96" i="27"/>
  <c r="FS90" i="27"/>
  <c r="FS61" i="27"/>
  <c r="FS194" i="27"/>
  <c r="FS19" i="27"/>
  <c r="FS111" i="27"/>
  <c r="FS153" i="27"/>
  <c r="FS88" i="27"/>
  <c r="FS47" i="27"/>
  <c r="FS46" i="27"/>
  <c r="FS45" i="27"/>
  <c r="FS43" i="27"/>
  <c r="FS39" i="27"/>
  <c r="FS30" i="27"/>
  <c r="FS150" i="27"/>
  <c r="FS13" i="27"/>
  <c r="FS155" i="27"/>
  <c r="FS156" i="27"/>
  <c r="FS107" i="27"/>
  <c r="FS157" i="27"/>
  <c r="FS158" i="27"/>
  <c r="FS106" i="27"/>
  <c r="FS159" i="27"/>
  <c r="FS160" i="27"/>
  <c r="FS161" i="27"/>
  <c r="FS105" i="27"/>
  <c r="FS162" i="27"/>
  <c r="FS163" i="27"/>
  <c r="FS104" i="27"/>
  <c r="FS164" i="27"/>
  <c r="FS165" i="27"/>
  <c r="FS103" i="27"/>
  <c r="FS167" i="27"/>
  <c r="FS126" i="27"/>
  <c r="FS168" i="27"/>
  <c r="FS102" i="27"/>
  <c r="FS169" i="27"/>
  <c r="FS14" i="27"/>
  <c r="FS101" i="27"/>
  <c r="FS26" i="27"/>
  <c r="FS36" i="27"/>
  <c r="FS37" i="27"/>
  <c r="FS100" i="27"/>
  <c r="FS170" i="27"/>
  <c r="FS171" i="27"/>
  <c r="FS99" i="27"/>
  <c r="FS172" i="27"/>
  <c r="FS173" i="27"/>
  <c r="FS123" i="27"/>
  <c r="FS174" i="27"/>
  <c r="FS41" i="27"/>
  <c r="FS175" i="27"/>
  <c r="FS35" i="27"/>
  <c r="FS34" i="27"/>
  <c r="FS176" i="27"/>
  <c r="FS33" i="27"/>
  <c r="FS25" i="27"/>
  <c r="FS177" i="27"/>
  <c r="FS21" i="27"/>
  <c r="FS178" i="27"/>
  <c r="FT73" i="27"/>
  <c r="FT65" i="27"/>
  <c r="FT48" i="27"/>
  <c r="FT57" i="27"/>
  <c r="FT154" i="27"/>
  <c r="FT110" i="27"/>
  <c r="FT119" i="27"/>
  <c r="FT97" i="27"/>
  <c r="FT24" i="27"/>
  <c r="FT15" i="27"/>
  <c r="FT207" i="27"/>
  <c r="FT146" i="27"/>
  <c r="FT128" i="27"/>
  <c r="FT70" i="27"/>
  <c r="FT149" i="27"/>
  <c r="FT118" i="27"/>
  <c r="FT221" i="27"/>
  <c r="FT49" i="27"/>
  <c r="FT62" i="27"/>
  <c r="FT25" i="27"/>
  <c r="FT44" i="27"/>
  <c r="FT135" i="27"/>
  <c r="FT91" i="27"/>
  <c r="FT123" i="27"/>
  <c r="FT74" i="27"/>
  <c r="FT75" i="27"/>
  <c r="FT206" i="27"/>
  <c r="FT134" i="27"/>
  <c r="FT58" i="27"/>
  <c r="FT12" i="27"/>
  <c r="FT220" i="27"/>
  <c r="FT183" i="27"/>
  <c r="FT66" i="27"/>
  <c r="FT50" i="27"/>
  <c r="FT77" i="27"/>
  <c r="FT187" i="27"/>
  <c r="FT184" i="27"/>
  <c r="FT138" i="27"/>
  <c r="FT192" i="27"/>
  <c r="FT201" i="27"/>
  <c r="FT205" i="27"/>
  <c r="FT137" i="27"/>
  <c r="FT86" i="27"/>
  <c r="FT219" i="27"/>
  <c r="FT67" i="27"/>
  <c r="FT139" i="27"/>
  <c r="FT125" i="27"/>
  <c r="FT111" i="27"/>
  <c r="FT189" i="27"/>
  <c r="FT51" i="27"/>
  <c r="FT41" i="27"/>
  <c r="FT79" i="27"/>
  <c r="FT69" i="27"/>
  <c r="FT59" i="27"/>
  <c r="FT114" i="27"/>
  <c r="FT88" i="27"/>
  <c r="FT188" i="27"/>
  <c r="FT181" i="27"/>
  <c r="FT98" i="27"/>
  <c r="FT122" i="27"/>
  <c r="FT93" i="27"/>
  <c r="FT204" i="27"/>
  <c r="FT72" i="27"/>
  <c r="FT218" i="27"/>
  <c r="FT131" i="27"/>
  <c r="FT153" i="27"/>
  <c r="FT185" i="27"/>
  <c r="FT117" i="27"/>
  <c r="FT151" i="27"/>
  <c r="FT108" i="27"/>
  <c r="FT193" i="27"/>
  <c r="FT60" i="27"/>
  <c r="FT124" i="27"/>
  <c r="FT197" i="27"/>
  <c r="FT37" i="27"/>
  <c r="FT96" i="27"/>
  <c r="FT22" i="27"/>
  <c r="FT217" i="27"/>
  <c r="FT76" i="27"/>
  <c r="FT81" i="27"/>
  <c r="FT147" i="27"/>
  <c r="FT179" i="27"/>
  <c r="FT87" i="27"/>
  <c r="FT95" i="27"/>
  <c r="FT42" i="27"/>
  <c r="FT33" i="27"/>
  <c r="FT133" i="27"/>
  <c r="FT13" i="27"/>
  <c r="FT200" i="27"/>
  <c r="FT52" i="27"/>
  <c r="FT28" i="27"/>
  <c r="FT27" i="27"/>
  <c r="FT140" i="27"/>
  <c r="FT216" i="27"/>
  <c r="FT68" i="27"/>
  <c r="FT61" i="27"/>
  <c r="FT90" i="27"/>
  <c r="FT127" i="27"/>
  <c r="FT198" i="27"/>
  <c r="FT109" i="27"/>
  <c r="FT180" i="27"/>
  <c r="FT194" i="27"/>
  <c r="FT190" i="27"/>
  <c r="FT17" i="27"/>
  <c r="FT29" i="27"/>
  <c r="FT191" i="27"/>
  <c r="FT14" i="27"/>
  <c r="FT78" i="27"/>
  <c r="FT94" i="27"/>
  <c r="FT47" i="27"/>
  <c r="FT141" i="27"/>
  <c r="FT46" i="27"/>
  <c r="FT23" i="27"/>
  <c r="FT45" i="27"/>
  <c r="FT215" i="27"/>
  <c r="FT82" i="27"/>
  <c r="FT40" i="27"/>
  <c r="FT92" i="27"/>
  <c r="FT130" i="27"/>
  <c r="FT150" i="27"/>
  <c r="FT53" i="27"/>
  <c r="FT16" i="27"/>
  <c r="FT203" i="27"/>
  <c r="FT214" i="27"/>
  <c r="FT155" i="27"/>
  <c r="FT116" i="27"/>
  <c r="FT156" i="27"/>
  <c r="FT107" i="27"/>
  <c r="FT148" i="27"/>
  <c r="FT142" i="27"/>
  <c r="FT157" i="27"/>
  <c r="FT71" i="27"/>
  <c r="FT158" i="27"/>
  <c r="FT106" i="27"/>
  <c r="FT213" i="27"/>
  <c r="FT83" i="27"/>
  <c r="FT159" i="27"/>
  <c r="FT129" i="27"/>
  <c r="FT160" i="27"/>
  <c r="FT105" i="27"/>
  <c r="FT54" i="27"/>
  <c r="FT161" i="27"/>
  <c r="FT120" i="27"/>
  <c r="FT136" i="27"/>
  <c r="FT162" i="27"/>
  <c r="FT143" i="27"/>
  <c r="FT163" i="27"/>
  <c r="FT104" i="27"/>
  <c r="FT212" i="27"/>
  <c r="FT63" i="27"/>
  <c r="FT164" i="27"/>
  <c r="FT115" i="27"/>
  <c r="FT165" i="27"/>
  <c r="FT103" i="27"/>
  <c r="FT80" i="27"/>
  <c r="FT166" i="27"/>
  <c r="FT195" i="27"/>
  <c r="FT167" i="27"/>
  <c r="FT144" i="27"/>
  <c r="FT199" i="27"/>
  <c r="FT168" i="27"/>
  <c r="FT126" i="27"/>
  <c r="FT102" i="27"/>
  <c r="FT211" i="27"/>
  <c r="FT55" i="27"/>
  <c r="FT169" i="27"/>
  <c r="FT132" i="27"/>
  <c r="FT20" i="27"/>
  <c r="FT21" i="27"/>
  <c r="FT101" i="27"/>
  <c r="FT152" i="27"/>
  <c r="FT38" i="27"/>
  <c r="FT30" i="27"/>
  <c r="FT31" i="27"/>
  <c r="FT32" i="27"/>
  <c r="FT202" i="27"/>
  <c r="FT210" i="27"/>
  <c r="FT100" i="27"/>
  <c r="FT84" i="27"/>
  <c r="FT35" i="27"/>
  <c r="FT170" i="27"/>
  <c r="FT34" i="27"/>
  <c r="FT171" i="27"/>
  <c r="FT99" i="27"/>
  <c r="FT43" i="27"/>
  <c r="FT112" i="27"/>
  <c r="FT172" i="27"/>
  <c r="FT64" i="27"/>
  <c r="FT89" i="27"/>
  <c r="FT173" i="27"/>
  <c r="FT39" i="27"/>
  <c r="FT186" i="27"/>
  <c r="FT174" i="27"/>
  <c r="FT196" i="27"/>
  <c r="FT209" i="27"/>
  <c r="FT175" i="27"/>
  <c r="FT113" i="27"/>
  <c r="FT56" i="27"/>
  <c r="FT182" i="27"/>
  <c r="FT176" i="27"/>
  <c r="FT26" i="27"/>
  <c r="FT36" i="27"/>
  <c r="FT145" i="27"/>
  <c r="FT177" i="27"/>
  <c r="FT208" i="27"/>
  <c r="FT85" i="27"/>
  <c r="FT178" i="27"/>
  <c r="FT121" i="27"/>
  <c r="FT19" i="27"/>
  <c r="FT18" i="27"/>
  <c r="FU119" i="27"/>
  <c r="FU198" i="27"/>
  <c r="FU98" i="27"/>
  <c r="FU73" i="27"/>
  <c r="FU197" i="27"/>
  <c r="FU91" i="27"/>
  <c r="FU20" i="27"/>
  <c r="FU64" i="27"/>
  <c r="FU196" i="27"/>
  <c r="FU65" i="27"/>
  <c r="FU66" i="27"/>
  <c r="FU39" i="27"/>
  <c r="FU67" i="27"/>
  <c r="FU117" i="27"/>
  <c r="FU182" i="27"/>
  <c r="FU195" i="27"/>
  <c r="FU92" i="27"/>
  <c r="FU75" i="27"/>
  <c r="FU194" i="27"/>
  <c r="FU111" i="27"/>
  <c r="FU68" i="27"/>
  <c r="FU76" i="27"/>
  <c r="FU193" i="27"/>
  <c r="FU93" i="27"/>
  <c r="FU69" i="27"/>
  <c r="FU133" i="27"/>
  <c r="FU96" i="27"/>
  <c r="FU192" i="27"/>
  <c r="FU185" i="27"/>
  <c r="FU183" i="27"/>
  <c r="FU114" i="27"/>
  <c r="FU125" i="27"/>
  <c r="FU15" i="27"/>
  <c r="FU145" i="27"/>
  <c r="FU144" i="27"/>
  <c r="FU41" i="27"/>
  <c r="FU115" i="27"/>
  <c r="FU143" i="27"/>
  <c r="FU118" i="27"/>
  <c r="FU120" i="27"/>
  <c r="FU40" i="27"/>
  <c r="FU142" i="27"/>
  <c r="FU136" i="27"/>
  <c r="FU116" i="27"/>
  <c r="FU25" i="27"/>
  <c r="FU141" i="27"/>
  <c r="FU130" i="27"/>
  <c r="FU124" i="27"/>
  <c r="FU140" i="27"/>
  <c r="FU139" i="27"/>
  <c r="FU131" i="27"/>
  <c r="FU21" i="27"/>
  <c r="FU138" i="27"/>
  <c r="FU27" i="27"/>
  <c r="FU48" i="27"/>
  <c r="FU154" i="27"/>
  <c r="FU47" i="27"/>
  <c r="FU191" i="27"/>
  <c r="FU70" i="27"/>
  <c r="FU46" i="27"/>
  <c r="FU221" i="27"/>
  <c r="FU146" i="27"/>
  <c r="FU45" i="27"/>
  <c r="FU49" i="27"/>
  <c r="FU137" i="27"/>
  <c r="FU19" i="27"/>
  <c r="FU220" i="27"/>
  <c r="FU50" i="27"/>
  <c r="FU32" i="27"/>
  <c r="FU150" i="27"/>
  <c r="FU219" i="27"/>
  <c r="FU26" i="27"/>
  <c r="FU122" i="27"/>
  <c r="FU24" i="27"/>
  <c r="FU218" i="27"/>
  <c r="FU18" i="27"/>
  <c r="FU51" i="27"/>
  <c r="FU14" i="27"/>
  <c r="FU13" i="27"/>
  <c r="FU127" i="27"/>
  <c r="FU217" i="27"/>
  <c r="FU155" i="27"/>
  <c r="FU107" i="27"/>
  <c r="FU81" i="27"/>
  <c r="FU147" i="27"/>
  <c r="FU156" i="27"/>
  <c r="FU216" i="27"/>
  <c r="FU52" i="27"/>
  <c r="FU190" i="27"/>
  <c r="FU108" i="27"/>
  <c r="FU157" i="27"/>
  <c r="FU215" i="27"/>
  <c r="FU82" i="27"/>
  <c r="FU158" i="27"/>
  <c r="FU44" i="27"/>
  <c r="FU106" i="27"/>
  <c r="FU53" i="27"/>
  <c r="FU80" i="27"/>
  <c r="FU94" i="27"/>
  <c r="FU214" i="27"/>
  <c r="FU159" i="27"/>
  <c r="FU129" i="27"/>
  <c r="FU148" i="27"/>
  <c r="FU160" i="27"/>
  <c r="FU105" i="27"/>
  <c r="FU213" i="27"/>
  <c r="FU54" i="27"/>
  <c r="FU212" i="27"/>
  <c r="FU161" i="27"/>
  <c r="FU83" i="27"/>
  <c r="FU189" i="27"/>
  <c r="FU186" i="27"/>
  <c r="FU162" i="27"/>
  <c r="FU211" i="27"/>
  <c r="FU112" i="27"/>
  <c r="FU163" i="27"/>
  <c r="FU104" i="27"/>
  <c r="FU55" i="27"/>
  <c r="FU97" i="27"/>
  <c r="FU71" i="27"/>
  <c r="FU210" i="27"/>
  <c r="FU164" i="27"/>
  <c r="FU84" i="27"/>
  <c r="FU132" i="27"/>
  <c r="FU165" i="27"/>
  <c r="FU103" i="27"/>
  <c r="FU113" i="27"/>
  <c r="FU209" i="27"/>
  <c r="FU56" i="27"/>
  <c r="FU166" i="27"/>
  <c r="FU188" i="27"/>
  <c r="FU208" i="27"/>
  <c r="FU167" i="27"/>
  <c r="FU85" i="27"/>
  <c r="FU102" i="27"/>
  <c r="FU57" i="27"/>
  <c r="FU207" i="27"/>
  <c r="FU168" i="27"/>
  <c r="FU135" i="27"/>
  <c r="FU149" i="27"/>
  <c r="FU206" i="27"/>
  <c r="FU58" i="27"/>
  <c r="FU79" i="27"/>
  <c r="FU12" i="27"/>
  <c r="FU126" i="27"/>
  <c r="FU205" i="27"/>
  <c r="FU16" i="27"/>
  <c r="FU86" i="27"/>
  <c r="FU30" i="27"/>
  <c r="FU101" i="27"/>
  <c r="FU22" i="27"/>
  <c r="FU152" i="27"/>
  <c r="FU59" i="27"/>
  <c r="FU123" i="27"/>
  <c r="FU28" i="27"/>
  <c r="FU187" i="27"/>
  <c r="FU72" i="27"/>
  <c r="FU43" i="27"/>
  <c r="FU33" i="27"/>
  <c r="FU60" i="27"/>
  <c r="FU38" i="27"/>
  <c r="FU42" i="27"/>
  <c r="FU100" i="27"/>
  <c r="FU36" i="27"/>
  <c r="FU169" i="27"/>
  <c r="FU87" i="27"/>
  <c r="FU179" i="27"/>
  <c r="FU74" i="27"/>
  <c r="FU170" i="27"/>
  <c r="FU34" i="27"/>
  <c r="FU151" i="27"/>
  <c r="FU171" i="27"/>
  <c r="FU99" i="27"/>
  <c r="FU109" i="27"/>
  <c r="FU61" i="27"/>
  <c r="FU95" i="27"/>
  <c r="FU78" i="27"/>
  <c r="FU172" i="27"/>
  <c r="FU88" i="27"/>
  <c r="FU62" i="27"/>
  <c r="FU134" i="27"/>
  <c r="FU173" i="27"/>
  <c r="FU204" i="27"/>
  <c r="FU184" i="27"/>
  <c r="FU110" i="27"/>
  <c r="FU174" i="27"/>
  <c r="FU180" i="27"/>
  <c r="FU203" i="27"/>
  <c r="FU63" i="27"/>
  <c r="FU175" i="27"/>
  <c r="FU31" i="27"/>
  <c r="FU202" i="27"/>
  <c r="FU89" i="27"/>
  <c r="FU201" i="27"/>
  <c r="FU176" i="27"/>
  <c r="FU128" i="27"/>
  <c r="FU29" i="27"/>
  <c r="FU181" i="27"/>
  <c r="FU23" i="27"/>
  <c r="FU200" i="27"/>
  <c r="FU177" i="27"/>
  <c r="FU121" i="27"/>
  <c r="FU90" i="27"/>
  <c r="FU153" i="27"/>
  <c r="FU77" i="27"/>
  <c r="FU178" i="27"/>
  <c r="FU199" i="27"/>
  <c r="FU35" i="27"/>
  <c r="FU37" i="27"/>
  <c r="FU17" i="27"/>
  <c r="FV137" i="27"/>
  <c r="FV14" i="27"/>
  <c r="FV48" i="27"/>
  <c r="FV204" i="27"/>
  <c r="FV123" i="27"/>
  <c r="FV65" i="27"/>
  <c r="FV95" i="27"/>
  <c r="FV47" i="27"/>
  <c r="FV18" i="27"/>
  <c r="FV182" i="27"/>
  <c r="FV21" i="27"/>
  <c r="FV154" i="27"/>
  <c r="FV46" i="27"/>
  <c r="FV194" i="27"/>
  <c r="FV199" i="27"/>
  <c r="FV78" i="27"/>
  <c r="FV45" i="27"/>
  <c r="FV19" i="27"/>
  <c r="FV61" i="27"/>
  <c r="FV91" i="27"/>
  <c r="FV44" i="27"/>
  <c r="FV135" i="27"/>
  <c r="FV27" i="27"/>
  <c r="FV68" i="27"/>
  <c r="FV150" i="27"/>
  <c r="FV179" i="27"/>
  <c r="FV31" i="27"/>
  <c r="FV76" i="27"/>
  <c r="FV20" i="27"/>
  <c r="FV29" i="27"/>
  <c r="FV87" i="27"/>
  <c r="FV35" i="27"/>
  <c r="FV60" i="27"/>
  <c r="FV193" i="27"/>
  <c r="FV34" i="27"/>
  <c r="FV201" i="27"/>
  <c r="FV72" i="27"/>
  <c r="FV15" i="27"/>
  <c r="FV42" i="27"/>
  <c r="FV111" i="27"/>
  <c r="FV59" i="27"/>
  <c r="FV41" i="27"/>
  <c r="FV188" i="27"/>
  <c r="FV155" i="27"/>
  <c r="FV107" i="27"/>
  <c r="FV165" i="27"/>
  <c r="FV77" i="27"/>
  <c r="FV128" i="27"/>
  <c r="FV86" i="27"/>
  <c r="FV156" i="27"/>
  <c r="FV152" i="27"/>
  <c r="FV192" i="27"/>
  <c r="FV184" i="27"/>
  <c r="FV205" i="27"/>
  <c r="FV109" i="27"/>
  <c r="FV157" i="27"/>
  <c r="FV93" i="27"/>
  <c r="FV127" i="27"/>
  <c r="FV122" i="27"/>
  <c r="FV73" i="27"/>
  <c r="FV158" i="27"/>
  <c r="FV106" i="27"/>
  <c r="FV69" i="27"/>
  <c r="FV187" i="27"/>
  <c r="FV58" i="27"/>
  <c r="FV39" i="27"/>
  <c r="FV196" i="27"/>
  <c r="FV206" i="27"/>
  <c r="FV159" i="27"/>
  <c r="FV183" i="27"/>
  <c r="FV79" i="27"/>
  <c r="FV191" i="27"/>
  <c r="FV160" i="27"/>
  <c r="FV105" i="27"/>
  <c r="FV149" i="27"/>
  <c r="FV198" i="27"/>
  <c r="FV57" i="27"/>
  <c r="FV125" i="27"/>
  <c r="FV85" i="27"/>
  <c r="FV161" i="27"/>
  <c r="FV25" i="27"/>
  <c r="FV114" i="27"/>
  <c r="FV117" i="27"/>
  <c r="FV23" i="27"/>
  <c r="FV162" i="27"/>
  <c r="FV104" i="27"/>
  <c r="FV207" i="27"/>
  <c r="FV89" i="27"/>
  <c r="FV202" i="27"/>
  <c r="FV163" i="27"/>
  <c r="FV145" i="27"/>
  <c r="FV90" i="27"/>
  <c r="FV208" i="27"/>
  <c r="FV56" i="27"/>
  <c r="FV120" i="27"/>
  <c r="FV132" i="27"/>
  <c r="FV164" i="27"/>
  <c r="FV30" i="27"/>
  <c r="FV209" i="27"/>
  <c r="FV113" i="27"/>
  <c r="FV103" i="27"/>
  <c r="FV71" i="27"/>
  <c r="FV28" i="27"/>
  <c r="FV84" i="27"/>
  <c r="FV151" i="27"/>
  <c r="FV210" i="27"/>
  <c r="FV55" i="27"/>
  <c r="FV166" i="27"/>
  <c r="FV144" i="27"/>
  <c r="FV74" i="27"/>
  <c r="FV211" i="27"/>
  <c r="FV167" i="27"/>
  <c r="FV146" i="27"/>
  <c r="FV102" i="27"/>
  <c r="FV40" i="27"/>
  <c r="FV185" i="27"/>
  <c r="FV33" i="27"/>
  <c r="FV189" i="27"/>
  <c r="FV168" i="27"/>
  <c r="FV200" i="27"/>
  <c r="FV115" i="27"/>
  <c r="FV83" i="27"/>
  <c r="FV143" i="27"/>
  <c r="FV98" i="27"/>
  <c r="FV212" i="27"/>
  <c r="FV97" i="27"/>
  <c r="FV36" i="27"/>
  <c r="FV126" i="27"/>
  <c r="FV26" i="27"/>
  <c r="FV101" i="27"/>
  <c r="FV148" i="27"/>
  <c r="FV38" i="27"/>
  <c r="FV54" i="27"/>
  <c r="FV213" i="27"/>
  <c r="FV24" i="27"/>
  <c r="FV197" i="27"/>
  <c r="FV142" i="27"/>
  <c r="FV133" i="27"/>
  <c r="FV136" i="27"/>
  <c r="FV112" i="27"/>
  <c r="FV108" i="27"/>
  <c r="FV75" i="27"/>
  <c r="FV53" i="27"/>
  <c r="FV94" i="27"/>
  <c r="FV195" i="27"/>
  <c r="FV100" i="27"/>
  <c r="FV124" i="27"/>
  <c r="FV214" i="27"/>
  <c r="FV43" i="27"/>
  <c r="FV129" i="27"/>
  <c r="FV82" i="27"/>
  <c r="FV169" i="27"/>
  <c r="FV118" i="27"/>
  <c r="FV141" i="27"/>
  <c r="FV63" i="27"/>
  <c r="FV215" i="27"/>
  <c r="FV170" i="27"/>
  <c r="FV99" i="27"/>
  <c r="FV80" i="27"/>
  <c r="FV32" i="27"/>
  <c r="FV96" i="27"/>
  <c r="FV171" i="27"/>
  <c r="FV116" i="27"/>
  <c r="FV52" i="27"/>
  <c r="FV12" i="27"/>
  <c r="FV203" i="27"/>
  <c r="FV130" i="27"/>
  <c r="FV216" i="27"/>
  <c r="FV172" i="27"/>
  <c r="FV64" i="27"/>
  <c r="FV140" i="27"/>
  <c r="FV180" i="27"/>
  <c r="FV190" i="27"/>
  <c r="FV147" i="27"/>
  <c r="FV173" i="27"/>
  <c r="FV186" i="27"/>
  <c r="FV81" i="27"/>
  <c r="FV217" i="27"/>
  <c r="FV16" i="27"/>
  <c r="FV174" i="27"/>
  <c r="FV134" i="27"/>
  <c r="FV37" i="27"/>
  <c r="FV51" i="27"/>
  <c r="FV218" i="27"/>
  <c r="FV139" i="27"/>
  <c r="FV175" i="27"/>
  <c r="FV181" i="27"/>
  <c r="FV67" i="27"/>
  <c r="FV219" i="27"/>
  <c r="FV17" i="27"/>
  <c r="FV92" i="27"/>
  <c r="FV176" i="27"/>
  <c r="FV121" i="27"/>
  <c r="FV131" i="27"/>
  <c r="FV153" i="27"/>
  <c r="FV70" i="27"/>
  <c r="FV13" i="27"/>
  <c r="FV138" i="27"/>
  <c r="FV62" i="27"/>
  <c r="FV177" i="27"/>
  <c r="FV50" i="27"/>
  <c r="FV66" i="27"/>
  <c r="FV220" i="27"/>
  <c r="FV22" i="27"/>
  <c r="FV49" i="27"/>
  <c r="FV178" i="27"/>
  <c r="FV88" i="27"/>
  <c r="FV110" i="27"/>
  <c r="FV119" i="27"/>
  <c r="FV221" i="27"/>
  <c r="FW216" i="27"/>
  <c r="FW52" i="27"/>
  <c r="FW129" i="27"/>
  <c r="FW155" i="27"/>
  <c r="FW107" i="27"/>
  <c r="FW112" i="27"/>
  <c r="FW215" i="27"/>
  <c r="FW214" i="27"/>
  <c r="FW82" i="27"/>
  <c r="FW53" i="27"/>
  <c r="FW213" i="27"/>
  <c r="FW156" i="27"/>
  <c r="FW212" i="27"/>
  <c r="FW83" i="27"/>
  <c r="FW54" i="27"/>
  <c r="FW108" i="27"/>
  <c r="FW144" i="27"/>
  <c r="FW211" i="27"/>
  <c r="FW157" i="27"/>
  <c r="FW106" i="27"/>
  <c r="FW55" i="27"/>
  <c r="FW210" i="27"/>
  <c r="FW84" i="27"/>
  <c r="FW125" i="27"/>
  <c r="FW209" i="27"/>
  <c r="FW158" i="27"/>
  <c r="FW56" i="27"/>
  <c r="FW132" i="27"/>
  <c r="FW208" i="27"/>
  <c r="FW120" i="27"/>
  <c r="FW115" i="27"/>
  <c r="FW207" i="27"/>
  <c r="FW143" i="27"/>
  <c r="FW85" i="27"/>
  <c r="FW159" i="27"/>
  <c r="FW57" i="27"/>
  <c r="FW206" i="27"/>
  <c r="FW58" i="27"/>
  <c r="FW44" i="27"/>
  <c r="FW160" i="27"/>
  <c r="FW105" i="27"/>
  <c r="FW205" i="27"/>
  <c r="FW136" i="27"/>
  <c r="FW189" i="27"/>
  <c r="FW64" i="27"/>
  <c r="FW124" i="27"/>
  <c r="FW86" i="27"/>
  <c r="FW187" i="27"/>
  <c r="FW161" i="27"/>
  <c r="FW59" i="27"/>
  <c r="FW39" i="27"/>
  <c r="FW142" i="27"/>
  <c r="FW60" i="27"/>
  <c r="FW31" i="27"/>
  <c r="FW162" i="27"/>
  <c r="FW104" i="27"/>
  <c r="FW29" i="27"/>
  <c r="FW87" i="27"/>
  <c r="FW111" i="27"/>
  <c r="FW118" i="27"/>
  <c r="FW61" i="27"/>
  <c r="FW163" i="27"/>
  <c r="FW134" i="27"/>
  <c r="FW204" i="27"/>
  <c r="FW88" i="27"/>
  <c r="FW62" i="27"/>
  <c r="FW203" i="27"/>
  <c r="FW151" i="27"/>
  <c r="FW128" i="27"/>
  <c r="FW164" i="27"/>
  <c r="FW202" i="27"/>
  <c r="FW89" i="27"/>
  <c r="FW141" i="27"/>
  <c r="FW165" i="27"/>
  <c r="FW103" i="27"/>
  <c r="FW63" i="27"/>
  <c r="FW201" i="27"/>
  <c r="FW200" i="27"/>
  <c r="FW199" i="27"/>
  <c r="FW90" i="27"/>
  <c r="FW198" i="27"/>
  <c r="FW197" i="27"/>
  <c r="FW116" i="27"/>
  <c r="FW166" i="27"/>
  <c r="FW91" i="27"/>
  <c r="FW196" i="27"/>
  <c r="FW65" i="27"/>
  <c r="FW66" i="27"/>
  <c r="FW167" i="27"/>
  <c r="FW130" i="27"/>
  <c r="FW102" i="27"/>
  <c r="FW195" i="27"/>
  <c r="FW140" i="27"/>
  <c r="FW92" i="27"/>
  <c r="FW67" i="27"/>
  <c r="FW194" i="27"/>
  <c r="FW68" i="27"/>
  <c r="FW168" i="27"/>
  <c r="FW193" i="27"/>
  <c r="FW123" i="27"/>
  <c r="FW192" i="27"/>
  <c r="FW41" i="27"/>
  <c r="FW93" i="27"/>
  <c r="FW17" i="27"/>
  <c r="FW18" i="27"/>
  <c r="FW69" i="27"/>
  <c r="FW109" i="27"/>
  <c r="FW191" i="27"/>
  <c r="FW101" i="27"/>
  <c r="FW139" i="27"/>
  <c r="FW70" i="27"/>
  <c r="FW43" i="27"/>
  <c r="FW190" i="27"/>
  <c r="FW94" i="27"/>
  <c r="FW126" i="27"/>
  <c r="FW42" i="27"/>
  <c r="FW188" i="27"/>
  <c r="FW71" i="27"/>
  <c r="FW28" i="27"/>
  <c r="FW26" i="27"/>
  <c r="FW72" i="27"/>
  <c r="FW27" i="27"/>
  <c r="FW95" i="27"/>
  <c r="FW131" i="27"/>
  <c r="FW24" i="27"/>
  <c r="FW138" i="27"/>
  <c r="FW21" i="27"/>
  <c r="FW100" i="27"/>
  <c r="FW73" i="27"/>
  <c r="FW40" i="27"/>
  <c r="FW12" i="27"/>
  <c r="FW119" i="27"/>
  <c r="FW23" i="27"/>
  <c r="FW186" i="27"/>
  <c r="FW96" i="27"/>
  <c r="FW169" i="27"/>
  <c r="FW127" i="27"/>
  <c r="FW74" i="27"/>
  <c r="FW133" i="27"/>
  <c r="FW185" i="27"/>
  <c r="FW153" i="27"/>
  <c r="FW170" i="27"/>
  <c r="FW99" i="27"/>
  <c r="FW75" i="27"/>
  <c r="FW137" i="27"/>
  <c r="FW48" i="27"/>
  <c r="FW184" i="27"/>
  <c r="FW97" i="27"/>
  <c r="FW171" i="27"/>
  <c r="FW37" i="27"/>
  <c r="FW183" i="27"/>
  <c r="FW76" i="27"/>
  <c r="FW47" i="27"/>
  <c r="FW152" i="27"/>
  <c r="FW38" i="27"/>
  <c r="FW182" i="27"/>
  <c r="FW172" i="27"/>
  <c r="FW181" i="27"/>
  <c r="FW98" i="27"/>
  <c r="FW46" i="27"/>
  <c r="FW77" i="27"/>
  <c r="FW14" i="27"/>
  <c r="FW180" i="27"/>
  <c r="FW173" i="27"/>
  <c r="FW78" i="27"/>
  <c r="FW154" i="27"/>
  <c r="FW45" i="27"/>
  <c r="FW179" i="27"/>
  <c r="FW122" i="27"/>
  <c r="FW174" i="27"/>
  <c r="FW79" i="27"/>
  <c r="FW34" i="27"/>
  <c r="FW150" i="27"/>
  <c r="FW149" i="27"/>
  <c r="FW110" i="27"/>
  <c r="FW148" i="27"/>
  <c r="FW175" i="27"/>
  <c r="FW121" i="27"/>
  <c r="FW35" i="27"/>
  <c r="FW113" i="27"/>
  <c r="FW36" i="27"/>
  <c r="FW33" i="27"/>
  <c r="FW80" i="27"/>
  <c r="FW147" i="27"/>
  <c r="FW135" i="27"/>
  <c r="FW15" i="27"/>
  <c r="FW176" i="27"/>
  <c r="FW30" i="27"/>
  <c r="FW146" i="27"/>
  <c r="FW32" i="27"/>
  <c r="FW221" i="27"/>
  <c r="FW117" i="27"/>
  <c r="FW25" i="27"/>
  <c r="FW49" i="27"/>
  <c r="FW220" i="27"/>
  <c r="FW114" i="27"/>
  <c r="FW177" i="27"/>
  <c r="FW22" i="27"/>
  <c r="FW50" i="27"/>
  <c r="FW20" i="27"/>
  <c r="FW19" i="27"/>
  <c r="FW219" i="27"/>
  <c r="FW16" i="27"/>
  <c r="FW218" i="27"/>
  <c r="FW51" i="27"/>
  <c r="FW178" i="27"/>
  <c r="FW217" i="27"/>
  <c r="FW13" i="27"/>
  <c r="FW145" i="27"/>
  <c r="FW81" i="27"/>
  <c r="FX205" i="27"/>
  <c r="FX58" i="27"/>
  <c r="FX206" i="27"/>
  <c r="FX159" i="27"/>
  <c r="FX141" i="27"/>
  <c r="FX189" i="27"/>
  <c r="FX96" i="27"/>
  <c r="FX149" i="27"/>
  <c r="FX97" i="27"/>
  <c r="FX160" i="27"/>
  <c r="FX105" i="27"/>
  <c r="FX57" i="27"/>
  <c r="FX120" i="27"/>
  <c r="FX85" i="27"/>
  <c r="FX207" i="27"/>
  <c r="FX190" i="27"/>
  <c r="FX116" i="27"/>
  <c r="FX135" i="27"/>
  <c r="FX208" i="27"/>
  <c r="FX56" i="27"/>
  <c r="FX161" i="27"/>
  <c r="FX84" i="27"/>
  <c r="FX209" i="27"/>
  <c r="FX130" i="27"/>
  <c r="FX55" i="27"/>
  <c r="FX140" i="27"/>
  <c r="FX79" i="27"/>
  <c r="FX162" i="27"/>
  <c r="FX104" i="27"/>
  <c r="FX210" i="27"/>
  <c r="FX211" i="27"/>
  <c r="FX54" i="27"/>
  <c r="FX83" i="27"/>
  <c r="FX148" i="27"/>
  <c r="FX75" i="27"/>
  <c r="FX119" i="27"/>
  <c r="FX163" i="27"/>
  <c r="FX212" i="27"/>
  <c r="FX213" i="27"/>
  <c r="FX53" i="27"/>
  <c r="FX136" i="27"/>
  <c r="FX110" i="27"/>
  <c r="FX19" i="27"/>
  <c r="FX82" i="27"/>
  <c r="FX152" i="27"/>
  <c r="FX164" i="27"/>
  <c r="FX103" i="27"/>
  <c r="FX113" i="27"/>
  <c r="FX139" i="27"/>
  <c r="FX133" i="27"/>
  <c r="FX214" i="27"/>
  <c r="FX165" i="27"/>
  <c r="FX215" i="27"/>
  <c r="FX70" i="27"/>
  <c r="FX80" i="27"/>
  <c r="FX16" i="27"/>
  <c r="FX20" i="27"/>
  <c r="FX52" i="27"/>
  <c r="FX147" i="27"/>
  <c r="FX18" i="27"/>
  <c r="FX186" i="27"/>
  <c r="FX216" i="27"/>
  <c r="FX166" i="27"/>
  <c r="FX112" i="27"/>
  <c r="FX129" i="27"/>
  <c r="FX131" i="27"/>
  <c r="FX123" i="27"/>
  <c r="FX81" i="27"/>
  <c r="FX167" i="27"/>
  <c r="FX138" i="27"/>
  <c r="FX102" i="27"/>
  <c r="FX183" i="27"/>
  <c r="FX127" i="27"/>
  <c r="FX217" i="27"/>
  <c r="FX51" i="27"/>
  <c r="FX32" i="27"/>
  <c r="FX218" i="27"/>
  <c r="FX26" i="27"/>
  <c r="FX27" i="27"/>
  <c r="FX168" i="27"/>
  <c r="FX219" i="27"/>
  <c r="FX21" i="27"/>
  <c r="FX50" i="27"/>
  <c r="FX66" i="27"/>
  <c r="FX220" i="27"/>
  <c r="FX49" i="27"/>
  <c r="FX146" i="27"/>
  <c r="FX191" i="27"/>
  <c r="FX67" i="27"/>
  <c r="FX101" i="27"/>
  <c r="FX137" i="27"/>
  <c r="FX65" i="27"/>
  <c r="FX17" i="27"/>
  <c r="FX221" i="27"/>
  <c r="FX48" i="27"/>
  <c r="FX41" i="27"/>
  <c r="FX69" i="27"/>
  <c r="FX93" i="27"/>
  <c r="FX192" i="27"/>
  <c r="FX47" i="27"/>
  <c r="FX126" i="27"/>
  <c r="FX193" i="27"/>
  <c r="FX114" i="27"/>
  <c r="FX35" i="27"/>
  <c r="FX68" i="27"/>
  <c r="FX92" i="27"/>
  <c r="FX12" i="27"/>
  <c r="FX46" i="27"/>
  <c r="FX25" i="27"/>
  <c r="FX76" i="27"/>
  <c r="FX145" i="27"/>
  <c r="FX73" i="27"/>
  <c r="FX100" i="27"/>
  <c r="FX38" i="27"/>
  <c r="FX185" i="27"/>
  <c r="FX150" i="27"/>
  <c r="FX182" i="27"/>
  <c r="FX45" i="27"/>
  <c r="FX15" i="27"/>
  <c r="FX194" i="27"/>
  <c r="FX195" i="27"/>
  <c r="FX196" i="27"/>
  <c r="FX117" i="27"/>
  <c r="FX169" i="27"/>
  <c r="FX108" i="27"/>
  <c r="FX91" i="27"/>
  <c r="FX43" i="27"/>
  <c r="FX197" i="27"/>
  <c r="FX154" i="27"/>
  <c r="FX40" i="27"/>
  <c r="FX170" i="27"/>
  <c r="FX99" i="27"/>
  <c r="FX198" i="27"/>
  <c r="FX109" i="27"/>
  <c r="FX37" i="27"/>
  <c r="FX31" i="27"/>
  <c r="FX34" i="27"/>
  <c r="FX33" i="27"/>
  <c r="FX39" i="27"/>
  <c r="FX171" i="27"/>
  <c r="FX90" i="27"/>
  <c r="FX144" i="27"/>
  <c r="FX199" i="27"/>
  <c r="FX200" i="27"/>
  <c r="FX181" i="27"/>
  <c r="FX28" i="27"/>
  <c r="FX184" i="27"/>
  <c r="FX24" i="27"/>
  <c r="FX172" i="27"/>
  <c r="FX22" i="27"/>
  <c r="FX151" i="27"/>
  <c r="FX201" i="27"/>
  <c r="FX74" i="27"/>
  <c r="FX125" i="27"/>
  <c r="FX98" i="27"/>
  <c r="FX36" i="27"/>
  <c r="FX173" i="27"/>
  <c r="FX63" i="27"/>
  <c r="FX124" i="27"/>
  <c r="FX111" i="27"/>
  <c r="FX14" i="27"/>
  <c r="FX42" i="27"/>
  <c r="FX95" i="27"/>
  <c r="FX174" i="27"/>
  <c r="FX121" i="27"/>
  <c r="FX122" i="27"/>
  <c r="FX143" i="27"/>
  <c r="FX77" i="27"/>
  <c r="FX89" i="27"/>
  <c r="FX29" i="27"/>
  <c r="FX202" i="27"/>
  <c r="FX155" i="27"/>
  <c r="FX175" i="27"/>
  <c r="FX107" i="27"/>
  <c r="FX180" i="27"/>
  <c r="FX44" i="27"/>
  <c r="FX72" i="27"/>
  <c r="FX115" i="27"/>
  <c r="FX203" i="27"/>
  <c r="FX118" i="27"/>
  <c r="FX62" i="27"/>
  <c r="FX128" i="27"/>
  <c r="FX156" i="27"/>
  <c r="FX176" i="27"/>
  <c r="FX88" i="27"/>
  <c r="FX204" i="27"/>
  <c r="FX13" i="27"/>
  <c r="FX134" i="27"/>
  <c r="FX61" i="27"/>
  <c r="FX142" i="27"/>
  <c r="FX187" i="27"/>
  <c r="FX157" i="27"/>
  <c r="FX106" i="27"/>
  <c r="FX23" i="27"/>
  <c r="FX177" i="27"/>
  <c r="FX179" i="27"/>
  <c r="FX71" i="27"/>
  <c r="FX87" i="27"/>
  <c r="FX30" i="27"/>
  <c r="FX153" i="27"/>
  <c r="FX60" i="27"/>
  <c r="FX158" i="27"/>
  <c r="FX59" i="27"/>
  <c r="FX94" i="27"/>
  <c r="FX178" i="27"/>
  <c r="FX78" i="27"/>
  <c r="FX132" i="27"/>
  <c r="FX188" i="27"/>
  <c r="FX86" i="27"/>
  <c r="FX64" i="27"/>
  <c r="FY69" i="27"/>
  <c r="FY68" i="27"/>
  <c r="FY108" i="27"/>
  <c r="FY66" i="27"/>
  <c r="FY65" i="27"/>
  <c r="FY44" i="27"/>
  <c r="FY163" i="27"/>
  <c r="FY151" i="27"/>
  <c r="FY12" i="27"/>
  <c r="FY63" i="27"/>
  <c r="FY62" i="27"/>
  <c r="FY61" i="27"/>
  <c r="FY60" i="27"/>
  <c r="FY153" i="27"/>
  <c r="FY59" i="27"/>
  <c r="FY58" i="27"/>
  <c r="FY164" i="27"/>
  <c r="FY121" i="27"/>
  <c r="FY103" i="27"/>
  <c r="FY57" i="27"/>
  <c r="FY56" i="27"/>
  <c r="FY55" i="27"/>
  <c r="FY54" i="27"/>
  <c r="FY53" i="27"/>
  <c r="FY52" i="27"/>
  <c r="FY165" i="27"/>
  <c r="FY51" i="27"/>
  <c r="FY50" i="27"/>
  <c r="FY49" i="27"/>
  <c r="FY48" i="27"/>
  <c r="FY221" i="27"/>
  <c r="FY220" i="27"/>
  <c r="FY219" i="27"/>
  <c r="FY67" i="27"/>
  <c r="FY218" i="27"/>
  <c r="FY129" i="27"/>
  <c r="FY47" i="27"/>
  <c r="FY166" i="27"/>
  <c r="FY217" i="27"/>
  <c r="FY216" i="27"/>
  <c r="FY81" i="27"/>
  <c r="FY215" i="27"/>
  <c r="FY214" i="27"/>
  <c r="FY82" i="27"/>
  <c r="FY167" i="27"/>
  <c r="FY150" i="27"/>
  <c r="FY102" i="27"/>
  <c r="FY213" i="27"/>
  <c r="FY46" i="27"/>
  <c r="FY212" i="27"/>
  <c r="FY83" i="27"/>
  <c r="FY211" i="27"/>
  <c r="FY210" i="27"/>
  <c r="FY209" i="27"/>
  <c r="FY84" i="27"/>
  <c r="FY208" i="27"/>
  <c r="FY207" i="27"/>
  <c r="FY168" i="27"/>
  <c r="FY45" i="27"/>
  <c r="FY85" i="27"/>
  <c r="FY206" i="27"/>
  <c r="FY120" i="27"/>
  <c r="FY205" i="27"/>
  <c r="FY189" i="27"/>
  <c r="FY86" i="27"/>
  <c r="FY187" i="27"/>
  <c r="FY101" i="27"/>
  <c r="FY87" i="27"/>
  <c r="FY128" i="27"/>
  <c r="FY204" i="27"/>
  <c r="FY88" i="27"/>
  <c r="FY154" i="27"/>
  <c r="FY18" i="27"/>
  <c r="FY203" i="27"/>
  <c r="FY202" i="27"/>
  <c r="FY201" i="27"/>
  <c r="FY38" i="27"/>
  <c r="FY89" i="27"/>
  <c r="FY22" i="27"/>
  <c r="FY200" i="27"/>
  <c r="FY35" i="27"/>
  <c r="FY199" i="27"/>
  <c r="FY90" i="27"/>
  <c r="FY198" i="27"/>
  <c r="FY197" i="27"/>
  <c r="FY91" i="27"/>
  <c r="FY196" i="27"/>
  <c r="FY195" i="27"/>
  <c r="FY30" i="27"/>
  <c r="FY194" i="27"/>
  <c r="FY92" i="27"/>
  <c r="FY193" i="27"/>
  <c r="FY34" i="27"/>
  <c r="FY192" i="27"/>
  <c r="FY93" i="27"/>
  <c r="FY100" i="27"/>
  <c r="FY191" i="27"/>
  <c r="FY190" i="27"/>
  <c r="FY39" i="27"/>
  <c r="FY40" i="27"/>
  <c r="FY188" i="27"/>
  <c r="FY21" i="27"/>
  <c r="FY94" i="27"/>
  <c r="FY42" i="27"/>
  <c r="FY19" i="27"/>
  <c r="FY95" i="27"/>
  <c r="FY127" i="27"/>
  <c r="FY13" i="27"/>
  <c r="FY186" i="27"/>
  <c r="FY96" i="27"/>
  <c r="FY169" i="27"/>
  <c r="FY126" i="27"/>
  <c r="FY185" i="27"/>
  <c r="FY184" i="27"/>
  <c r="FY183" i="27"/>
  <c r="FY97" i="27"/>
  <c r="FY182" i="27"/>
  <c r="FY181" i="27"/>
  <c r="FY98" i="27"/>
  <c r="FY170" i="27"/>
  <c r="FY99" i="27"/>
  <c r="FY180" i="27"/>
  <c r="FY179" i="27"/>
  <c r="FY155" i="27"/>
  <c r="FY125" i="27"/>
  <c r="FY107" i="27"/>
  <c r="FY112" i="27"/>
  <c r="FY149" i="27"/>
  <c r="FY148" i="27"/>
  <c r="FY113" i="27"/>
  <c r="FY171" i="27"/>
  <c r="FY147" i="27"/>
  <c r="FY110" i="27"/>
  <c r="FY146" i="27"/>
  <c r="FY114" i="27"/>
  <c r="FY145" i="27"/>
  <c r="FY31" i="27"/>
  <c r="FY156" i="27"/>
  <c r="FY124" i="27"/>
  <c r="FY144" i="27"/>
  <c r="FY172" i="27"/>
  <c r="FY64" i="27"/>
  <c r="FY143" i="27"/>
  <c r="FY115" i="27"/>
  <c r="FY142" i="27"/>
  <c r="FY118" i="27"/>
  <c r="FY141" i="27"/>
  <c r="FY116" i="27"/>
  <c r="FY157" i="27"/>
  <c r="FY106" i="27"/>
  <c r="FY173" i="27"/>
  <c r="FY140" i="27"/>
  <c r="FY16" i="27"/>
  <c r="FY139" i="27"/>
  <c r="FY28" i="27"/>
  <c r="FY109" i="27"/>
  <c r="FY138" i="27"/>
  <c r="FY24" i="27"/>
  <c r="FY174" i="27"/>
  <c r="FY137" i="27"/>
  <c r="FY25" i="27"/>
  <c r="FY158" i="27"/>
  <c r="FY134" i="27"/>
  <c r="FY33" i="27"/>
  <c r="FY37" i="27"/>
  <c r="FY29" i="27"/>
  <c r="FY135" i="27"/>
  <c r="FY122" i="27"/>
  <c r="FY175" i="27"/>
  <c r="FY15" i="27"/>
  <c r="FY14" i="27"/>
  <c r="FY117" i="27"/>
  <c r="FY133" i="27"/>
  <c r="FY159" i="27"/>
  <c r="FY105" i="27"/>
  <c r="FY123" i="27"/>
  <c r="FY132" i="27"/>
  <c r="FY131" i="27"/>
  <c r="FY119" i="27"/>
  <c r="FY130" i="27"/>
  <c r="FY176" i="27"/>
  <c r="FY136" i="27"/>
  <c r="FY160" i="27"/>
  <c r="FY43" i="27"/>
  <c r="FY41" i="27"/>
  <c r="FY36" i="27"/>
  <c r="FY32" i="27"/>
  <c r="FY17" i="27"/>
  <c r="FY27" i="27"/>
  <c r="FY26" i="27"/>
  <c r="FY111" i="27"/>
  <c r="FY20" i="27"/>
  <c r="FY177" i="27"/>
  <c r="FY80" i="27"/>
  <c r="FY23" i="27"/>
  <c r="FY79" i="27"/>
  <c r="FY161" i="27"/>
  <c r="FY78" i="27"/>
  <c r="FY77" i="27"/>
  <c r="FY76" i="27"/>
  <c r="FY152" i="27"/>
  <c r="FY75" i="27"/>
  <c r="FY74" i="27"/>
  <c r="FY73" i="27"/>
  <c r="FY178" i="27"/>
  <c r="FY162" i="27"/>
  <c r="FY104" i="27"/>
  <c r="FY72" i="27"/>
  <c r="FY71" i="27"/>
  <c r="FY70" i="27"/>
  <c r="FZ206" i="27"/>
  <c r="FZ164" i="27"/>
  <c r="FZ180" i="27"/>
  <c r="FZ107" i="27"/>
  <c r="FZ161" i="27"/>
  <c r="FZ57" i="27"/>
  <c r="FZ28" i="27"/>
  <c r="FZ110" i="27"/>
  <c r="FZ159" i="27"/>
  <c r="FZ85" i="27"/>
  <c r="FZ207" i="27"/>
  <c r="FZ101" i="27"/>
  <c r="FZ205" i="27"/>
  <c r="FZ76" i="27"/>
  <c r="FZ178" i="27"/>
  <c r="FZ58" i="27"/>
  <c r="FZ191" i="27"/>
  <c r="FZ56" i="27"/>
  <c r="FZ26" i="27"/>
  <c r="FZ208" i="27"/>
  <c r="FZ146" i="27"/>
  <c r="FZ153" i="27"/>
  <c r="FZ120" i="27"/>
  <c r="FZ155" i="27"/>
  <c r="FZ84" i="27"/>
  <c r="FZ209" i="27"/>
  <c r="FZ186" i="27"/>
  <c r="FZ188" i="27"/>
  <c r="FZ168" i="27"/>
  <c r="FZ55" i="27"/>
  <c r="FZ137" i="27"/>
  <c r="FZ86" i="27"/>
  <c r="FZ210" i="27"/>
  <c r="FZ87" i="27"/>
  <c r="FZ24" i="27"/>
  <c r="FZ42" i="27"/>
  <c r="FZ190" i="27"/>
  <c r="FZ83" i="27"/>
  <c r="FZ211" i="27"/>
  <c r="FZ177" i="27"/>
  <c r="FZ184" i="27"/>
  <c r="FZ54" i="27"/>
  <c r="FZ105" i="27"/>
  <c r="FZ70" i="27"/>
  <c r="FZ136" i="27"/>
  <c r="FZ212" i="27"/>
  <c r="FZ96" i="27"/>
  <c r="FZ59" i="27"/>
  <c r="FZ38" i="27"/>
  <c r="FZ213" i="27"/>
  <c r="FZ147" i="27"/>
  <c r="FZ36" i="27"/>
  <c r="FZ183" i="27"/>
  <c r="FZ53" i="27"/>
  <c r="FZ35" i="27"/>
  <c r="FZ33" i="27"/>
  <c r="FZ189" i="27"/>
  <c r="FZ82" i="27"/>
  <c r="FZ214" i="27"/>
  <c r="FZ77" i="27"/>
  <c r="FZ176" i="27"/>
  <c r="FZ215" i="27"/>
  <c r="FZ80" i="27"/>
  <c r="FZ29" i="27"/>
  <c r="FZ133" i="27"/>
  <c r="FZ52" i="27"/>
  <c r="FZ60" i="27"/>
  <c r="FZ32" i="27"/>
  <c r="FZ175" i="27"/>
  <c r="FZ94" i="27"/>
  <c r="FZ81" i="27"/>
  <c r="FZ216" i="27"/>
  <c r="FZ156" i="27"/>
  <c r="FZ61" i="27"/>
  <c r="FZ217" i="27"/>
  <c r="FZ128" i="27"/>
  <c r="FZ97" i="27"/>
  <c r="FZ51" i="27"/>
  <c r="FZ138" i="27"/>
  <c r="FZ167" i="27"/>
  <c r="FZ15" i="27"/>
  <c r="FZ39" i="27"/>
  <c r="FZ67" i="27"/>
  <c r="FZ218" i="27"/>
  <c r="FZ125" i="27"/>
  <c r="FZ204" i="27"/>
  <c r="FZ129" i="27"/>
  <c r="FZ88" i="27"/>
  <c r="FZ71" i="27"/>
  <c r="FZ50" i="27"/>
  <c r="FZ174" i="27"/>
  <c r="FZ219" i="27"/>
  <c r="FZ74" i="27"/>
  <c r="FZ135" i="27"/>
  <c r="FZ187" i="27"/>
  <c r="FZ113" i="27"/>
  <c r="FZ66" i="27"/>
  <c r="FZ62" i="27"/>
  <c r="FZ220" i="27"/>
  <c r="FZ203" i="27"/>
  <c r="FZ148" i="27"/>
  <c r="FZ49" i="27"/>
  <c r="FZ121" i="27"/>
  <c r="FZ102" i="27"/>
  <c r="FZ173" i="27"/>
  <c r="FZ202" i="27"/>
  <c r="FZ63" i="27"/>
  <c r="FZ65" i="27"/>
  <c r="FZ221" i="27"/>
  <c r="FZ166" i="27"/>
  <c r="FZ34" i="27"/>
  <c r="FZ172" i="27"/>
  <c r="FZ104" i="27"/>
  <c r="FZ48" i="27"/>
  <c r="FZ131" i="27"/>
  <c r="FZ13" i="27"/>
  <c r="FZ122" i="27"/>
  <c r="FZ157" i="27"/>
  <c r="FZ201" i="27"/>
  <c r="FZ20" i="27"/>
  <c r="FZ98" i="27"/>
  <c r="FZ150" i="27"/>
  <c r="FZ139" i="27"/>
  <c r="FZ89" i="27"/>
  <c r="FZ31" i="27"/>
  <c r="FZ47" i="27"/>
  <c r="FZ181" i="27"/>
  <c r="FZ17" i="27"/>
  <c r="FZ160" i="27"/>
  <c r="FZ14" i="27"/>
  <c r="FZ132" i="27"/>
  <c r="FZ119" i="27"/>
  <c r="FZ106" i="27"/>
  <c r="FZ19" i="27"/>
  <c r="FZ109" i="27"/>
  <c r="FZ171" i="27"/>
  <c r="FZ79" i="27"/>
  <c r="FZ46" i="27"/>
  <c r="FZ151" i="27"/>
  <c r="FZ162" i="27"/>
  <c r="FZ130" i="27"/>
  <c r="FZ116" i="27"/>
  <c r="FZ140" i="27"/>
  <c r="FZ44" i="27"/>
  <c r="FZ200" i="27"/>
  <c r="FZ27" i="27"/>
  <c r="FZ141" i="27"/>
  <c r="FZ199" i="27"/>
  <c r="FZ149" i="27"/>
  <c r="FZ45" i="27"/>
  <c r="FZ163" i="27"/>
  <c r="FZ18" i="27"/>
  <c r="FZ90" i="27"/>
  <c r="FZ99" i="27"/>
  <c r="FZ126" i="27"/>
  <c r="FZ142" i="27"/>
  <c r="FZ72" i="27"/>
  <c r="FZ170" i="27"/>
  <c r="FZ198" i="27"/>
  <c r="FZ75" i="27"/>
  <c r="FZ115" i="27"/>
  <c r="FZ169" i="27"/>
  <c r="FZ197" i="27"/>
  <c r="FZ127" i="27"/>
  <c r="FZ143" i="27"/>
  <c r="FZ37" i="27"/>
  <c r="FZ40" i="27"/>
  <c r="FZ22" i="27"/>
  <c r="FZ152" i="27"/>
  <c r="FZ165" i="27"/>
  <c r="FZ154" i="27"/>
  <c r="FZ158" i="27"/>
  <c r="FZ43" i="27"/>
  <c r="FZ111" i="27"/>
  <c r="FZ95" i="27"/>
  <c r="FZ21" i="27"/>
  <c r="FZ182" i="27"/>
  <c r="FZ78" i="27"/>
  <c r="FZ144" i="27"/>
  <c r="FZ73" i="27"/>
  <c r="FZ112" i="27"/>
  <c r="FZ64" i="27"/>
  <c r="FZ196" i="27"/>
  <c r="FZ91" i="27"/>
  <c r="FZ179" i="27"/>
  <c r="FZ41" i="27"/>
  <c r="FZ25" i="27"/>
  <c r="FZ100" i="27"/>
  <c r="FZ195" i="27"/>
  <c r="FZ30" i="27"/>
  <c r="FZ185" i="27"/>
  <c r="FZ194" i="27"/>
  <c r="FZ92" i="27"/>
  <c r="FZ134" i="27"/>
  <c r="FZ103" i="27"/>
  <c r="FZ68" i="27"/>
  <c r="FZ114" i="27"/>
  <c r="FZ108" i="27"/>
  <c r="FZ117" i="27"/>
  <c r="FZ193" i="27"/>
  <c r="FZ192" i="27"/>
  <c r="FZ123" i="27"/>
  <c r="FZ93" i="27"/>
  <c r="FZ145" i="27"/>
  <c r="FZ16" i="27"/>
  <c r="FZ12" i="27"/>
  <c r="FZ118" i="27"/>
  <c r="FZ69" i="27"/>
  <c r="FZ23" i="27"/>
  <c r="FZ124" i="27"/>
  <c r="GA34" i="27"/>
  <c r="GA153" i="27"/>
  <c r="GA178" i="27"/>
  <c r="GA57" i="27"/>
  <c r="GA206" i="27"/>
  <c r="GA205" i="27"/>
  <c r="GA207" i="27"/>
  <c r="GA41" i="27"/>
  <c r="GA56" i="27"/>
  <c r="GA208" i="27"/>
  <c r="GA84" i="27"/>
  <c r="GA209" i="27"/>
  <c r="GA55" i="27"/>
  <c r="GA210" i="27"/>
  <c r="GA83" i="27"/>
  <c r="GA54" i="27"/>
  <c r="GA137" i="27"/>
  <c r="GA211" i="27"/>
  <c r="GA212" i="27"/>
  <c r="GA213" i="27"/>
  <c r="GA53" i="27"/>
  <c r="GA82" i="27"/>
  <c r="GA214" i="27"/>
  <c r="GA215" i="27"/>
  <c r="GA52" i="27"/>
  <c r="GA81" i="27"/>
  <c r="GA216" i="27"/>
  <c r="GA51" i="27"/>
  <c r="GA217" i="27"/>
  <c r="GA218" i="27"/>
  <c r="GA50" i="27"/>
  <c r="GA219" i="27"/>
  <c r="GA129" i="27"/>
  <c r="GA66" i="27"/>
  <c r="GA49" i="27"/>
  <c r="GA131" i="27"/>
  <c r="GA220" i="27"/>
  <c r="GA150" i="27"/>
  <c r="GA221" i="27"/>
  <c r="GA48" i="27"/>
  <c r="GA138" i="27"/>
  <c r="GA17" i="27"/>
  <c r="GA47" i="27"/>
  <c r="GA139" i="27"/>
  <c r="GA15" i="27"/>
  <c r="GA119" i="27"/>
  <c r="GA46" i="27"/>
  <c r="GA130" i="27"/>
  <c r="GA140" i="27"/>
  <c r="GA45" i="27"/>
  <c r="GA141" i="27"/>
  <c r="GA142" i="27"/>
  <c r="GA115" i="27"/>
  <c r="GA36" i="27"/>
  <c r="GA39" i="27"/>
  <c r="GA136" i="27"/>
  <c r="GA37" i="27"/>
  <c r="GA143" i="27"/>
  <c r="GA135" i="27"/>
  <c r="GA154" i="27"/>
  <c r="GA109" i="27"/>
  <c r="GA40" i="27"/>
  <c r="GA110" i="27"/>
  <c r="GA38" i="27"/>
  <c r="GA144" i="27"/>
  <c r="GA26" i="27"/>
  <c r="GA114" i="27"/>
  <c r="GA31" i="27"/>
  <c r="GA145" i="27"/>
  <c r="GA12" i="27"/>
  <c r="GA107" i="27"/>
  <c r="GA22" i="27"/>
  <c r="GA21" i="27"/>
  <c r="GA133" i="27"/>
  <c r="GA155" i="27"/>
  <c r="GA146" i="27"/>
  <c r="GA124" i="27"/>
  <c r="GA16" i="27"/>
  <c r="GA116" i="27"/>
  <c r="GA147" i="27"/>
  <c r="GA80" i="27"/>
  <c r="GA113" i="27"/>
  <c r="GA148" i="27"/>
  <c r="GA79" i="27"/>
  <c r="GA157" i="27"/>
  <c r="GA125" i="27"/>
  <c r="GA106" i="27"/>
  <c r="GA122" i="27"/>
  <c r="GA149" i="27"/>
  <c r="GA42" i="27"/>
  <c r="GA112" i="27"/>
  <c r="GA158" i="27"/>
  <c r="GA78" i="27"/>
  <c r="GA179" i="27"/>
  <c r="GA180" i="27"/>
  <c r="GA159" i="27"/>
  <c r="GA105" i="27"/>
  <c r="GA77" i="27"/>
  <c r="GA98" i="27"/>
  <c r="GA160" i="27"/>
  <c r="GA181" i="27"/>
  <c r="GA76" i="27"/>
  <c r="GA182" i="27"/>
  <c r="GA97" i="27"/>
  <c r="GA161" i="27"/>
  <c r="GA156" i="27"/>
  <c r="GA104" i="27"/>
  <c r="GA13" i="27"/>
  <c r="GA183" i="27"/>
  <c r="GA75" i="27"/>
  <c r="GA162" i="27"/>
  <c r="GA121" i="27"/>
  <c r="GA184" i="27"/>
  <c r="GA96" i="27"/>
  <c r="GA74" i="27"/>
  <c r="GA163" i="27"/>
  <c r="GA117" i="27"/>
  <c r="GA185" i="27"/>
  <c r="GA186" i="27"/>
  <c r="GA152" i="27"/>
  <c r="GA164" i="27"/>
  <c r="GA103" i="27"/>
  <c r="GA73" i="27"/>
  <c r="GA64" i="27"/>
  <c r="GA95" i="27"/>
  <c r="GA25" i="27"/>
  <c r="GA165" i="27"/>
  <c r="GA27" i="27"/>
  <c r="GA72" i="27"/>
  <c r="GA118" i="27"/>
  <c r="GA127" i="27"/>
  <c r="GA166" i="27"/>
  <c r="GA102" i="27"/>
  <c r="GA111" i="27"/>
  <c r="GA71" i="27"/>
  <c r="GA32" i="27"/>
  <c r="GA167" i="27"/>
  <c r="GA94" i="27"/>
  <c r="GA188" i="27"/>
  <c r="GA70" i="27"/>
  <c r="GA134" i="27"/>
  <c r="GA168" i="27"/>
  <c r="GA190" i="27"/>
  <c r="GA93" i="27"/>
  <c r="GA108" i="27"/>
  <c r="GA101" i="27"/>
  <c r="GA14" i="27"/>
  <c r="GA69" i="27"/>
  <c r="GA191" i="27"/>
  <c r="GA192" i="27"/>
  <c r="GA68" i="27"/>
  <c r="GA193" i="27"/>
  <c r="GA92" i="27"/>
  <c r="GA28" i="27"/>
  <c r="GA29" i="27"/>
  <c r="GA194" i="27"/>
  <c r="GA67" i="27"/>
  <c r="GA33" i="27"/>
  <c r="GA100" i="27"/>
  <c r="GA35" i="27"/>
  <c r="GA195" i="27"/>
  <c r="GA123" i="27"/>
  <c r="GA120" i="27"/>
  <c r="GA65" i="27"/>
  <c r="GA91" i="27"/>
  <c r="GA196" i="27"/>
  <c r="GA132" i="27"/>
  <c r="GA197" i="27"/>
  <c r="GA169" i="27"/>
  <c r="GA99" i="27"/>
  <c r="GA198" i="27"/>
  <c r="GA151" i="27"/>
  <c r="GA90" i="27"/>
  <c r="GA170" i="27"/>
  <c r="GA199" i="27"/>
  <c r="GA23" i="27"/>
  <c r="GA200" i="27"/>
  <c r="GA171" i="27"/>
  <c r="GA126" i="27"/>
  <c r="GA89" i="27"/>
  <c r="GA172" i="27"/>
  <c r="GA63" i="27"/>
  <c r="GA30" i="27"/>
  <c r="GA201" i="27"/>
  <c r="GA202" i="27"/>
  <c r="GA173" i="27"/>
  <c r="GA88" i="27"/>
  <c r="GA44" i="27"/>
  <c r="GA43" i="27"/>
  <c r="GA85" i="27"/>
  <c r="GA62" i="27"/>
  <c r="GA203" i="27"/>
  <c r="GA174" i="27"/>
  <c r="GA204" i="27"/>
  <c r="GA61" i="27"/>
  <c r="GA175" i="27"/>
  <c r="GA18" i="27"/>
  <c r="GA19" i="27"/>
  <c r="GA20" i="27"/>
  <c r="GA87" i="27"/>
  <c r="GA60" i="27"/>
  <c r="GA176" i="27"/>
  <c r="GA86" i="27"/>
  <c r="GA128" i="27"/>
  <c r="GA24" i="27"/>
  <c r="GA59" i="27"/>
  <c r="GA177" i="27"/>
  <c r="GA187" i="27"/>
  <c r="GA189" i="27"/>
  <c r="GA58" i="27"/>
  <c r="GB57" i="27"/>
  <c r="GB206" i="27"/>
  <c r="GB186" i="27"/>
  <c r="GB188" i="27"/>
  <c r="GB19" i="27"/>
  <c r="GB182" i="27"/>
  <c r="GB98" i="27"/>
  <c r="GB133" i="27"/>
  <c r="GB69" i="27"/>
  <c r="GB33" i="27"/>
  <c r="GB164" i="27"/>
  <c r="GB107" i="27"/>
  <c r="GB145" i="27"/>
  <c r="GB73" i="27"/>
  <c r="GB14" i="27"/>
  <c r="GB191" i="27"/>
  <c r="GB31" i="27"/>
  <c r="GB117" i="27"/>
  <c r="GB103" i="27"/>
  <c r="GB192" i="27"/>
  <c r="GB122" i="27"/>
  <c r="GB20" i="27"/>
  <c r="GB68" i="27"/>
  <c r="GB183" i="27"/>
  <c r="GB30" i="27"/>
  <c r="GB22" i="27"/>
  <c r="GB179" i="27"/>
  <c r="GB193" i="27"/>
  <c r="GB92" i="27"/>
  <c r="GB40" i="27"/>
  <c r="GB154" i="27"/>
  <c r="GB26" i="27"/>
  <c r="GB23" i="27"/>
  <c r="GB32" i="27"/>
  <c r="GB125" i="27"/>
  <c r="GB13" i="27"/>
  <c r="GB134" i="27"/>
  <c r="GB95" i="27"/>
  <c r="GB194" i="27"/>
  <c r="GB120" i="27"/>
  <c r="GB75" i="27"/>
  <c r="GB100" i="27"/>
  <c r="GB17" i="27"/>
  <c r="GB184" i="27"/>
  <c r="GB158" i="27"/>
  <c r="GB114" i="27"/>
  <c r="GB96" i="27"/>
  <c r="GB66" i="27"/>
  <c r="GB78" i="27"/>
  <c r="GB195" i="27"/>
  <c r="GB104" i="27"/>
  <c r="GB91" i="27"/>
  <c r="GB165" i="27"/>
  <c r="GB34" i="27"/>
  <c r="GB76" i="27"/>
  <c r="GB109" i="27"/>
  <c r="GB27" i="27"/>
  <c r="GB144" i="27"/>
  <c r="GB143" i="27"/>
  <c r="GB112" i="27"/>
  <c r="GB196" i="27"/>
  <c r="GB12" i="27"/>
  <c r="GB41" i="27"/>
  <c r="GB152" i="27"/>
  <c r="GB72" i="27"/>
  <c r="GB44" i="27"/>
  <c r="GB181" i="27"/>
  <c r="GB169" i="27"/>
  <c r="GB197" i="27"/>
  <c r="GB151" i="27"/>
  <c r="GB99" i="27"/>
  <c r="GB149" i="27"/>
  <c r="GB90" i="27"/>
  <c r="GB38" i="27"/>
  <c r="GB115" i="27"/>
  <c r="GB74" i="27"/>
  <c r="GB198" i="27"/>
  <c r="GB157" i="27"/>
  <c r="GB79" i="27"/>
  <c r="GB142" i="27"/>
  <c r="GB161" i="27"/>
  <c r="GB170" i="27"/>
  <c r="GB110" i="27"/>
  <c r="GB29" i="27"/>
  <c r="GB141" i="27"/>
  <c r="GB45" i="27"/>
  <c r="GB118" i="27"/>
  <c r="GB37" i="27"/>
  <c r="GB199" i="27"/>
  <c r="GB140" i="27"/>
  <c r="GB94" i="27"/>
  <c r="GB148" i="27"/>
  <c r="GB130" i="27"/>
  <c r="GB200" i="27"/>
  <c r="GB21" i="27"/>
  <c r="GB46" i="27"/>
  <c r="GB160" i="27"/>
  <c r="GB171" i="27"/>
  <c r="GB166" i="27"/>
  <c r="GB89" i="27"/>
  <c r="GB102" i="27"/>
  <c r="GB119" i="27"/>
  <c r="GB43" i="27"/>
  <c r="GB18" i="27"/>
  <c r="GB139" i="27"/>
  <c r="GB47" i="27"/>
  <c r="GB138" i="27"/>
  <c r="GB221" i="27"/>
  <c r="GB123" i="27"/>
  <c r="GB48" i="27"/>
  <c r="GB97" i="27"/>
  <c r="GB172" i="27"/>
  <c r="GB126" i="27"/>
  <c r="GB64" i="27"/>
  <c r="GB63" i="27"/>
  <c r="GB15" i="27"/>
  <c r="GB65" i="27"/>
  <c r="GB106" i="27"/>
  <c r="GB163" i="27"/>
  <c r="GB201" i="27"/>
  <c r="GB129" i="27"/>
  <c r="GB187" i="27"/>
  <c r="GB202" i="27"/>
  <c r="GB88" i="27"/>
  <c r="GB220" i="27"/>
  <c r="GB71" i="27"/>
  <c r="GB173" i="27"/>
  <c r="GB180" i="27"/>
  <c r="GB124" i="27"/>
  <c r="GB39" i="27"/>
  <c r="GB42" i="27"/>
  <c r="GB156" i="27"/>
  <c r="GB49" i="27"/>
  <c r="GB62" i="27"/>
  <c r="GB121" i="27"/>
  <c r="GB150" i="27"/>
  <c r="GB219" i="27"/>
  <c r="GB167" i="27"/>
  <c r="GB203" i="27"/>
  <c r="GB131" i="27"/>
  <c r="GB162" i="27"/>
  <c r="GB174" i="27"/>
  <c r="GB50" i="27"/>
  <c r="GB218" i="27"/>
  <c r="GB67" i="27"/>
  <c r="GB147" i="27"/>
  <c r="GB36" i="27"/>
  <c r="GB204" i="27"/>
  <c r="GB217" i="27"/>
  <c r="GB51" i="27"/>
  <c r="GB61" i="27"/>
  <c r="GB185" i="27"/>
  <c r="GB216" i="27"/>
  <c r="GB135" i="27"/>
  <c r="GB81" i="27"/>
  <c r="GB127" i="27"/>
  <c r="GB175" i="27"/>
  <c r="GB80" i="27"/>
  <c r="GB189" i="27"/>
  <c r="GB87" i="27"/>
  <c r="GB111" i="27"/>
  <c r="GB108" i="27"/>
  <c r="GB24" i="27"/>
  <c r="GB28" i="27"/>
  <c r="GB215" i="27"/>
  <c r="GB60" i="27"/>
  <c r="GB70" i="27"/>
  <c r="GB35" i="27"/>
  <c r="GB52" i="27"/>
  <c r="GB214" i="27"/>
  <c r="GB77" i="27"/>
  <c r="GB176" i="27"/>
  <c r="GB213" i="27"/>
  <c r="GB137" i="27"/>
  <c r="GB53" i="27"/>
  <c r="GB82" i="27"/>
  <c r="GB25" i="27"/>
  <c r="GB86" i="27"/>
  <c r="GB113" i="27"/>
  <c r="GB105" i="27"/>
  <c r="GB146" i="27"/>
  <c r="GB59" i="27"/>
  <c r="GB155" i="27"/>
  <c r="GB212" i="27"/>
  <c r="GB211" i="27"/>
  <c r="GB54" i="27"/>
  <c r="GB159" i="27"/>
  <c r="GB177" i="27"/>
  <c r="GB83" i="27"/>
  <c r="GB210" i="27"/>
  <c r="GB128" i="27"/>
  <c r="GB168" i="27"/>
  <c r="GB209" i="27"/>
  <c r="GB55" i="27"/>
  <c r="GB116" i="27"/>
  <c r="GB84" i="27"/>
  <c r="GB208" i="27"/>
  <c r="GB58" i="27"/>
  <c r="GB190" i="27"/>
  <c r="GB56" i="27"/>
  <c r="GB136" i="27"/>
  <c r="GB153" i="27"/>
  <c r="GB93" i="27"/>
  <c r="GB178" i="27"/>
  <c r="GB207" i="27"/>
  <c r="GB101" i="27"/>
  <c r="GB205" i="27"/>
  <c r="GB85" i="27"/>
  <c r="GB16" i="27"/>
  <c r="GB132" i="27"/>
  <c r="GC56" i="27"/>
  <c r="GC83" i="27"/>
  <c r="GC82" i="27"/>
  <c r="GC81" i="27"/>
  <c r="GC66" i="27"/>
  <c r="GC221" i="27"/>
  <c r="GC220" i="27"/>
  <c r="GC219" i="27"/>
  <c r="GC218" i="27"/>
  <c r="GC70" i="27"/>
  <c r="GC217" i="27"/>
  <c r="GC216" i="27"/>
  <c r="GC215" i="27"/>
  <c r="GC55" i="27"/>
  <c r="GC214" i="27"/>
  <c r="GC213" i="27"/>
  <c r="GC212" i="27"/>
  <c r="GC211" i="27"/>
  <c r="GC210" i="27"/>
  <c r="GC209" i="27"/>
  <c r="GC208" i="27"/>
  <c r="GC207" i="27"/>
  <c r="GC206" i="27"/>
  <c r="GC69" i="27"/>
  <c r="GC205" i="27"/>
  <c r="GC189" i="27"/>
  <c r="GC54" i="27"/>
  <c r="GC187" i="27"/>
  <c r="GC43" i="27"/>
  <c r="GC41" i="27"/>
  <c r="GC16" i="27"/>
  <c r="GC204" i="27"/>
  <c r="GC203" i="27"/>
  <c r="GC202" i="27"/>
  <c r="GC201" i="27"/>
  <c r="GC200" i="27"/>
  <c r="GC199" i="27"/>
  <c r="GC68" i="27"/>
  <c r="GC198" i="27"/>
  <c r="GC53" i="27"/>
  <c r="GC197" i="27"/>
  <c r="GC196" i="27"/>
  <c r="GC195" i="27"/>
  <c r="GC194" i="27"/>
  <c r="GC193" i="27"/>
  <c r="GC192" i="27"/>
  <c r="GC191" i="27"/>
  <c r="GC190" i="27"/>
  <c r="GC188" i="27"/>
  <c r="GC35" i="27"/>
  <c r="GC28" i="27"/>
  <c r="GC67" i="27"/>
  <c r="GC52" i="27"/>
  <c r="GC21" i="27"/>
  <c r="GC186" i="27"/>
  <c r="GC185" i="27"/>
  <c r="GC184" i="27"/>
  <c r="GC183" i="27"/>
  <c r="GC182" i="27"/>
  <c r="GC181" i="27"/>
  <c r="GC180" i="27"/>
  <c r="GC179" i="27"/>
  <c r="GC178" i="27"/>
  <c r="GC65" i="27"/>
  <c r="GC177" i="27"/>
  <c r="GC51" i="27"/>
  <c r="GC176" i="27"/>
  <c r="GC175" i="27"/>
  <c r="GC174" i="27"/>
  <c r="GC80" i="27"/>
  <c r="GC64" i="27"/>
  <c r="GC173" i="27"/>
  <c r="GC172" i="27"/>
  <c r="GC171" i="27"/>
  <c r="GC170" i="27"/>
  <c r="GC169" i="27"/>
  <c r="GC24" i="27"/>
  <c r="GC22" i="27"/>
  <c r="GC50" i="27"/>
  <c r="GC15" i="27"/>
  <c r="GC12" i="27"/>
  <c r="GC168" i="27"/>
  <c r="GC167" i="27"/>
  <c r="GC166" i="27"/>
  <c r="GC37" i="27"/>
  <c r="GC79" i="27"/>
  <c r="GC165" i="27"/>
  <c r="GC164" i="27"/>
  <c r="GC163" i="27"/>
  <c r="GC162" i="27"/>
  <c r="GC161" i="27"/>
  <c r="GC49" i="27"/>
  <c r="GC160" i="27"/>
  <c r="GC159" i="27"/>
  <c r="GC158" i="27"/>
  <c r="GC157" i="27"/>
  <c r="GC156" i="27"/>
  <c r="GC155" i="27"/>
  <c r="GC154" i="27"/>
  <c r="GC78" i="27"/>
  <c r="GC153" i="27"/>
  <c r="GC152" i="27"/>
  <c r="GC136" i="27"/>
  <c r="GC135" i="27"/>
  <c r="GC48" i="27"/>
  <c r="GC134" i="27"/>
  <c r="GC117" i="27"/>
  <c r="GC44" i="27"/>
  <c r="GC39" i="27"/>
  <c r="GC33" i="27"/>
  <c r="GC13" i="27"/>
  <c r="GC151" i="27"/>
  <c r="GC150" i="27"/>
  <c r="GC63" i="27"/>
  <c r="GC149" i="27"/>
  <c r="GC77" i="27"/>
  <c r="GC148" i="27"/>
  <c r="GC47" i="27"/>
  <c r="GC147" i="27"/>
  <c r="GC146" i="27"/>
  <c r="GC145" i="27"/>
  <c r="GC144" i="27"/>
  <c r="GC143" i="27"/>
  <c r="GC142" i="27"/>
  <c r="GC141" i="27"/>
  <c r="GC140" i="27"/>
  <c r="GC139" i="27"/>
  <c r="GC62" i="27"/>
  <c r="GC138" i="27"/>
  <c r="GC137" i="27"/>
  <c r="GC46" i="27"/>
  <c r="GC76" i="27"/>
  <c r="GC42" i="27"/>
  <c r="GC34" i="27"/>
  <c r="GC26" i="27"/>
  <c r="GC25" i="27"/>
  <c r="GC20" i="27"/>
  <c r="GC19" i="27"/>
  <c r="GC18" i="27"/>
  <c r="GC17" i="27"/>
  <c r="GC14" i="27"/>
  <c r="GC61" i="27"/>
  <c r="GC133" i="27"/>
  <c r="GC45" i="27"/>
  <c r="GC132" i="27"/>
  <c r="GC131" i="27"/>
  <c r="GC130" i="27"/>
  <c r="GC129" i="27"/>
  <c r="GC128" i="27"/>
  <c r="GC127" i="27"/>
  <c r="GC126" i="27"/>
  <c r="GC125" i="27"/>
  <c r="GC124" i="27"/>
  <c r="GC123" i="27"/>
  <c r="GC75" i="27"/>
  <c r="GC60" i="27"/>
  <c r="GC122" i="27"/>
  <c r="GC121" i="27"/>
  <c r="GC120" i="27"/>
  <c r="GC119" i="27"/>
  <c r="GC74" i="27"/>
  <c r="GC40" i="27"/>
  <c r="GC118" i="27"/>
  <c r="GC116" i="27"/>
  <c r="GC38" i="27"/>
  <c r="GC36" i="27"/>
  <c r="GC27" i="27"/>
  <c r="GC115" i="27"/>
  <c r="GC114" i="27"/>
  <c r="GC59" i="27"/>
  <c r="GC113" i="27"/>
  <c r="GC112" i="27"/>
  <c r="GC111" i="27"/>
  <c r="GC110" i="27"/>
  <c r="GC109" i="27"/>
  <c r="GC32" i="27"/>
  <c r="GC73" i="27"/>
  <c r="GC31" i="27"/>
  <c r="GC108" i="27"/>
  <c r="GC107" i="27"/>
  <c r="GC106" i="27"/>
  <c r="GC105" i="27"/>
  <c r="GC104" i="27"/>
  <c r="GC103" i="27"/>
  <c r="GC58" i="27"/>
  <c r="GC102" i="27"/>
  <c r="GC101" i="27"/>
  <c r="GC100" i="27"/>
  <c r="GC99" i="27"/>
  <c r="GC30" i="27"/>
  <c r="GC29" i="27"/>
  <c r="GC72" i="27"/>
  <c r="GC23" i="27"/>
  <c r="GC98" i="27"/>
  <c r="GC97" i="27"/>
  <c r="GC96" i="27"/>
  <c r="GC95" i="27"/>
  <c r="GC57" i="27"/>
  <c r="GC94" i="27"/>
  <c r="GC93" i="27"/>
  <c r="GC92" i="27"/>
  <c r="GC91" i="27"/>
  <c r="GC90" i="27"/>
  <c r="GC89" i="27"/>
  <c r="GC88" i="27"/>
  <c r="GC71" i="27"/>
  <c r="GC87" i="27"/>
  <c r="GC86" i="27"/>
  <c r="GC85" i="27"/>
  <c r="GC84" i="27"/>
  <c r="GD144" i="27"/>
  <c r="GD138" i="27"/>
  <c r="GD78" i="27"/>
  <c r="GD97" i="27"/>
  <c r="GD139" i="27"/>
  <c r="GD158" i="27"/>
  <c r="GD114" i="27"/>
  <c r="GD124" i="27"/>
  <c r="GD54" i="27"/>
  <c r="GD77" i="27"/>
  <c r="GD12" i="27"/>
  <c r="GD145" i="27"/>
  <c r="GD63" i="27"/>
  <c r="GD140" i="27"/>
  <c r="GD170" i="27"/>
  <c r="GD141" i="27"/>
  <c r="GD74" i="27"/>
  <c r="GD159" i="27"/>
  <c r="GD76" i="27"/>
  <c r="GD115" i="27"/>
  <c r="GD142" i="27"/>
  <c r="GD146" i="27"/>
  <c r="GD171" i="27"/>
  <c r="GD105" i="27"/>
  <c r="GD143" i="27"/>
  <c r="GD75" i="27"/>
  <c r="GD196" i="27"/>
  <c r="GD184" i="27"/>
  <c r="GD183" i="27"/>
  <c r="GD113" i="27"/>
  <c r="GD96" i="27"/>
  <c r="GD45" i="27"/>
  <c r="GD127" i="27"/>
  <c r="GD62" i="27"/>
  <c r="GD73" i="27"/>
  <c r="GD53" i="27"/>
  <c r="GD160" i="27"/>
  <c r="GD147" i="27"/>
  <c r="GD172" i="27"/>
  <c r="GD185" i="27"/>
  <c r="GD186" i="27"/>
  <c r="GD95" i="27"/>
  <c r="GD148" i="27"/>
  <c r="GD161" i="27"/>
  <c r="GD39" i="27"/>
  <c r="GD33" i="27"/>
  <c r="GD34" i="27"/>
  <c r="GD149" i="27"/>
  <c r="GD94" i="27"/>
  <c r="GD187" i="27"/>
  <c r="GD173" i="27"/>
  <c r="GD29" i="27"/>
  <c r="GD72" i="27"/>
  <c r="GD189" i="27"/>
  <c r="GD190" i="27"/>
  <c r="GD93" i="27"/>
  <c r="GD61" i="27"/>
  <c r="GD112" i="27"/>
  <c r="GD104" i="27"/>
  <c r="GD121" i="27"/>
  <c r="GD18" i="27"/>
  <c r="GD191" i="27"/>
  <c r="GD162" i="27"/>
  <c r="GD150" i="27"/>
  <c r="GD15" i="27"/>
  <c r="GD52" i="27"/>
  <c r="GD192" i="27"/>
  <c r="GD92" i="27"/>
  <c r="GD163" i="27"/>
  <c r="GD193" i="27"/>
  <c r="GD71" i="27"/>
  <c r="GD174" i="27"/>
  <c r="GD194" i="27"/>
  <c r="GD151" i="27"/>
  <c r="GD195" i="27"/>
  <c r="GD91" i="27"/>
  <c r="GD197" i="27"/>
  <c r="GD90" i="27"/>
  <c r="GD60" i="27"/>
  <c r="GD175" i="27"/>
  <c r="GD111" i="27"/>
  <c r="GD198" i="27"/>
  <c r="GD199" i="27"/>
  <c r="GD200" i="27"/>
  <c r="GD89" i="27"/>
  <c r="GD103" i="27"/>
  <c r="GD120" i="27"/>
  <c r="GD164" i="27"/>
  <c r="GD70" i="27"/>
  <c r="GD201" i="27"/>
  <c r="GD16" i="27"/>
  <c r="GD17" i="27"/>
  <c r="GD202" i="27"/>
  <c r="GD20" i="27"/>
  <c r="GD21" i="27"/>
  <c r="GD51" i="27"/>
  <c r="GD88" i="27"/>
  <c r="GD165" i="27"/>
  <c r="GD122" i="27"/>
  <c r="GD176" i="27"/>
  <c r="GD203" i="27"/>
  <c r="GD204" i="27"/>
  <c r="GD59" i="27"/>
  <c r="GD126" i="27"/>
  <c r="GD87" i="27"/>
  <c r="GD30" i="27"/>
  <c r="GD69" i="27"/>
  <c r="GD31" i="27"/>
  <c r="GD110" i="27"/>
  <c r="GD166" i="27"/>
  <c r="GD28" i="27"/>
  <c r="GD35" i="27"/>
  <c r="GD86" i="27"/>
  <c r="GD32" i="27"/>
  <c r="GD40" i="27"/>
  <c r="GD188" i="27"/>
  <c r="GD38" i="27"/>
  <c r="GD102" i="27"/>
  <c r="GD205" i="27"/>
  <c r="GD85" i="27"/>
  <c r="GD128" i="27"/>
  <c r="GD50" i="27"/>
  <c r="GD177" i="27"/>
  <c r="GD206" i="27"/>
  <c r="GD68" i="27"/>
  <c r="GD116" i="27"/>
  <c r="GD58" i="27"/>
  <c r="GD207" i="27"/>
  <c r="GD84" i="27"/>
  <c r="GD167" i="27"/>
  <c r="GD208" i="27"/>
  <c r="GD109" i="27"/>
  <c r="GD125" i="27"/>
  <c r="GD209" i="27"/>
  <c r="GD46" i="27"/>
  <c r="GD210" i="27"/>
  <c r="GD168" i="27"/>
  <c r="GD83" i="27"/>
  <c r="GD19" i="27"/>
  <c r="GD211" i="27"/>
  <c r="GD178" i="27"/>
  <c r="GD212" i="27"/>
  <c r="GD135" i="27"/>
  <c r="GD82" i="27"/>
  <c r="GD213" i="27"/>
  <c r="GD214" i="27"/>
  <c r="GD215" i="27"/>
  <c r="GD57" i="27"/>
  <c r="GD66" i="27"/>
  <c r="GD49" i="27"/>
  <c r="GD81" i="27"/>
  <c r="GD101" i="27"/>
  <c r="GD216" i="27"/>
  <c r="GD217" i="27"/>
  <c r="GD67" i="27"/>
  <c r="GD218" i="27"/>
  <c r="GD108" i="27"/>
  <c r="GD129" i="27"/>
  <c r="GD152" i="27"/>
  <c r="GD179" i="27"/>
  <c r="GD13" i="27"/>
  <c r="GD219" i="27"/>
  <c r="GD220" i="27"/>
  <c r="GD25" i="27"/>
  <c r="GD153" i="27"/>
  <c r="GD65" i="27"/>
  <c r="GD221" i="27"/>
  <c r="GD64" i="27"/>
  <c r="GD119" i="27"/>
  <c r="GD56" i="27"/>
  <c r="GD44" i="27"/>
  <c r="GD154" i="27"/>
  <c r="GD130" i="27"/>
  <c r="GD43" i="27"/>
  <c r="GD42" i="27"/>
  <c r="GD41" i="27"/>
  <c r="GD131" i="27"/>
  <c r="GD48" i="27"/>
  <c r="GD132" i="27"/>
  <c r="GD133" i="27"/>
  <c r="GD107" i="27"/>
  <c r="GD98" i="27"/>
  <c r="GD100" i="27"/>
  <c r="GD27" i="27"/>
  <c r="GD26" i="27"/>
  <c r="GD180" i="27"/>
  <c r="GD123" i="27"/>
  <c r="GD24" i="27"/>
  <c r="GD22" i="27"/>
  <c r="GD155" i="27"/>
  <c r="GD23" i="27"/>
  <c r="GD181" i="27"/>
  <c r="GD36" i="27"/>
  <c r="GD55" i="27"/>
  <c r="GD37" i="27"/>
  <c r="GD156" i="27"/>
  <c r="GD14" i="27"/>
  <c r="GD80" i="27"/>
  <c r="GD117" i="27"/>
  <c r="GD118" i="27"/>
  <c r="GD169" i="27"/>
  <c r="GD47" i="27"/>
  <c r="GD134" i="27"/>
  <c r="GD136" i="27"/>
  <c r="GD106" i="27"/>
  <c r="GD182" i="27"/>
  <c r="GD79" i="27"/>
  <c r="GD157" i="27"/>
  <c r="GD137" i="27"/>
  <c r="GD99" i="27"/>
  <c r="GE144" i="27"/>
  <c r="GE86" i="27"/>
  <c r="GE62" i="27"/>
  <c r="GE157" i="27"/>
  <c r="GE114" i="27"/>
  <c r="GE136" i="27"/>
  <c r="GE53" i="27"/>
  <c r="GE216" i="27"/>
  <c r="GE208" i="27"/>
  <c r="GE48" i="27"/>
  <c r="GE38" i="27"/>
  <c r="GE74" i="27"/>
  <c r="GE145" i="27"/>
  <c r="GE160" i="27"/>
  <c r="GE64" i="27"/>
  <c r="GE215" i="27"/>
  <c r="GE146" i="27"/>
  <c r="GE128" i="27"/>
  <c r="GE172" i="27"/>
  <c r="GE51" i="27"/>
  <c r="GE163" i="27"/>
  <c r="GE108" i="27"/>
  <c r="GE113" i="27"/>
  <c r="GE81" i="27"/>
  <c r="GE50" i="27"/>
  <c r="GE65" i="27"/>
  <c r="GE73" i="27"/>
  <c r="GE124" i="27"/>
  <c r="GE84" i="27"/>
  <c r="GE147" i="27"/>
  <c r="GE152" i="27"/>
  <c r="GE205" i="27"/>
  <c r="GE12" i="27"/>
  <c r="GE148" i="27"/>
  <c r="GE158" i="27"/>
  <c r="GE97" i="27"/>
  <c r="GE63" i="27"/>
  <c r="GE214" i="27"/>
  <c r="GE183" i="27"/>
  <c r="GE153" i="27"/>
  <c r="GE72" i="27"/>
  <c r="GE187" i="27"/>
  <c r="GE173" i="27"/>
  <c r="GE197" i="27"/>
  <c r="GE112" i="27"/>
  <c r="GE161" i="27"/>
  <c r="GE149" i="27"/>
  <c r="GE189" i="27"/>
  <c r="GE43" i="27"/>
  <c r="GE213" i="27"/>
  <c r="GE150" i="27"/>
  <c r="GE154" i="27"/>
  <c r="GE92" i="27"/>
  <c r="GE207" i="27"/>
  <c r="GE32" i="27"/>
  <c r="GE71" i="27"/>
  <c r="GE120" i="27"/>
  <c r="GE96" i="27"/>
  <c r="GE151" i="27"/>
  <c r="GE39" i="27"/>
  <c r="GE82" i="27"/>
  <c r="GE194" i="27"/>
  <c r="GE184" i="27"/>
  <c r="GE111" i="27"/>
  <c r="GE107" i="27"/>
  <c r="GE52" i="27"/>
  <c r="GE176" i="27"/>
  <c r="GE162" i="27"/>
  <c r="GE180" i="27"/>
  <c r="GE105" i="27"/>
  <c r="GE70" i="27"/>
  <c r="GE41" i="27"/>
  <c r="GE212" i="27"/>
  <c r="GE22" i="27"/>
  <c r="GE186" i="27"/>
  <c r="GE181" i="27"/>
  <c r="GE94" i="27"/>
  <c r="GE34" i="27"/>
  <c r="GE40" i="27"/>
  <c r="GE33" i="27"/>
  <c r="GE211" i="27"/>
  <c r="GE174" i="27"/>
  <c r="GE206" i="27"/>
  <c r="GE69" i="27"/>
  <c r="GE110" i="27"/>
  <c r="GE31" i="27"/>
  <c r="GE155" i="27"/>
  <c r="GE121" i="27"/>
  <c r="GE126" i="27"/>
  <c r="GE83" i="27"/>
  <c r="GE159" i="27"/>
  <c r="GE90" i="27"/>
  <c r="GE26" i="27"/>
  <c r="GE156" i="27"/>
  <c r="GE210" i="27"/>
  <c r="GE175" i="27"/>
  <c r="GE23" i="27"/>
  <c r="GE68" i="27"/>
  <c r="GE61" i="27"/>
  <c r="GE177" i="27"/>
  <c r="GE182" i="27"/>
  <c r="GE85" i="27"/>
  <c r="GE109" i="27"/>
  <c r="GE117" i="27"/>
  <c r="GE27" i="27"/>
  <c r="GE118" i="27"/>
  <c r="GE209" i="27"/>
  <c r="GE134" i="27"/>
  <c r="GE104" i="27"/>
  <c r="GE67" i="27"/>
  <c r="GE106" i="27"/>
  <c r="GE20" i="27"/>
  <c r="GE60" i="27"/>
  <c r="GE15" i="27"/>
  <c r="GE103" i="27"/>
  <c r="GE122" i="27"/>
  <c r="GE164" i="27"/>
  <c r="GE196" i="27"/>
  <c r="GE28" i="27"/>
  <c r="GE59" i="27"/>
  <c r="GE165" i="27"/>
  <c r="GE47" i="27"/>
  <c r="GE127" i="27"/>
  <c r="GE166" i="27"/>
  <c r="GE87" i="27"/>
  <c r="GE102" i="27"/>
  <c r="GE125" i="27"/>
  <c r="GE46" i="27"/>
  <c r="GE58" i="27"/>
  <c r="GE167" i="27"/>
  <c r="GE49" i="27"/>
  <c r="GE204" i="27"/>
  <c r="GE168" i="27"/>
  <c r="GE178" i="27"/>
  <c r="GE17" i="27"/>
  <c r="GE57" i="27"/>
  <c r="GE101" i="27"/>
  <c r="GE203" i="27"/>
  <c r="GE14" i="27"/>
  <c r="GE193" i="27"/>
  <c r="GE95" i="27"/>
  <c r="GE42" i="27"/>
  <c r="GE91" i="27"/>
  <c r="GE56" i="27"/>
  <c r="GE88" i="27"/>
  <c r="GE30" i="27"/>
  <c r="GE100" i="27"/>
  <c r="GE179" i="27"/>
  <c r="GE202" i="27"/>
  <c r="GE185" i="27"/>
  <c r="GE55" i="27"/>
  <c r="GE201" i="27"/>
  <c r="GE200" i="27"/>
  <c r="GE44" i="27"/>
  <c r="GE169" i="27"/>
  <c r="GE89" i="27"/>
  <c r="GE195" i="27"/>
  <c r="GE99" i="27"/>
  <c r="GE98" i="27"/>
  <c r="GE54" i="27"/>
  <c r="GE199" i="27"/>
  <c r="GE170" i="27"/>
  <c r="GE171" i="27"/>
  <c r="GE21" i="27"/>
  <c r="GE198" i="27"/>
  <c r="GE217" i="27"/>
  <c r="GE218" i="27"/>
  <c r="GE66" i="27"/>
  <c r="GE188" i="27"/>
  <c r="GE219" i="27"/>
  <c r="GE25" i="27"/>
  <c r="GE220" i="27"/>
  <c r="GE221" i="27"/>
  <c r="GE129" i="27"/>
  <c r="GE119" i="27"/>
  <c r="GE190" i="27"/>
  <c r="GE130" i="27"/>
  <c r="GE131" i="27"/>
  <c r="GE36" i="27"/>
  <c r="GE132" i="27"/>
  <c r="GE29" i="27"/>
  <c r="GE133" i="27"/>
  <c r="GE93" i="27"/>
  <c r="GE45" i="27"/>
  <c r="GE123" i="27"/>
  <c r="GE37" i="27"/>
  <c r="GE35" i="27"/>
  <c r="GE80" i="27"/>
  <c r="GE116" i="27"/>
  <c r="GE191" i="27"/>
  <c r="GE135" i="27"/>
  <c r="GE79" i="27"/>
  <c r="GE137" i="27"/>
  <c r="GE24" i="27"/>
  <c r="GE138" i="27"/>
  <c r="GE78" i="27"/>
  <c r="GE19" i="27"/>
  <c r="GE18" i="27"/>
  <c r="GE139" i="27"/>
  <c r="GE16" i="27"/>
  <c r="GE13" i="27"/>
  <c r="GE77" i="27"/>
  <c r="GE192" i="27"/>
  <c r="GE140" i="27"/>
  <c r="GE141" i="27"/>
  <c r="GE76" i="27"/>
  <c r="GE115" i="27"/>
  <c r="GE142" i="27"/>
  <c r="GE143" i="27"/>
  <c r="GE75" i="27"/>
  <c r="GF127" i="27"/>
  <c r="GF177" i="27"/>
  <c r="GF18" i="27"/>
  <c r="GF216" i="27"/>
  <c r="GF60" i="27"/>
  <c r="GF53" i="27"/>
  <c r="GF114" i="27"/>
  <c r="GF29" i="27"/>
  <c r="GF47" i="27"/>
  <c r="GF103" i="27"/>
  <c r="GF144" i="27"/>
  <c r="GF215" i="27"/>
  <c r="GF74" i="27"/>
  <c r="GF164" i="27"/>
  <c r="GF145" i="27"/>
  <c r="GF146" i="27"/>
  <c r="GF20" i="27"/>
  <c r="GF195" i="27"/>
  <c r="GF59" i="27"/>
  <c r="GF183" i="27"/>
  <c r="GF172" i="27"/>
  <c r="GF165" i="27"/>
  <c r="GF113" i="27"/>
  <c r="GF98" i="27"/>
  <c r="GF73" i="27"/>
  <c r="GF81" i="27"/>
  <c r="GF120" i="27"/>
  <c r="GF102" i="27"/>
  <c r="GF147" i="27"/>
  <c r="GF186" i="27"/>
  <c r="GF166" i="27"/>
  <c r="GF87" i="27"/>
  <c r="GF40" i="27"/>
  <c r="GF58" i="27"/>
  <c r="GF148" i="27"/>
  <c r="GF49" i="27"/>
  <c r="GF204" i="27"/>
  <c r="GF214" i="27"/>
  <c r="GF167" i="27"/>
  <c r="GF72" i="27"/>
  <c r="GF213" i="27"/>
  <c r="GF112" i="27"/>
  <c r="GF168" i="27"/>
  <c r="GF124" i="27"/>
  <c r="GF184" i="27"/>
  <c r="GF149" i="27"/>
  <c r="GF203" i="27"/>
  <c r="GF178" i="27"/>
  <c r="GF57" i="27"/>
  <c r="GF150" i="27"/>
  <c r="GF101" i="27"/>
  <c r="GF173" i="27"/>
  <c r="GF125" i="27"/>
  <c r="GF71" i="27"/>
  <c r="GF12" i="27"/>
  <c r="GF13" i="27"/>
  <c r="GF151" i="27"/>
  <c r="GF111" i="27"/>
  <c r="GF16" i="27"/>
  <c r="GF52" i="27"/>
  <c r="GF95" i="27"/>
  <c r="GF82" i="27"/>
  <c r="GF212" i="27"/>
  <c r="GF56" i="27"/>
  <c r="GF70" i="27"/>
  <c r="GF27" i="27"/>
  <c r="GF28" i="27"/>
  <c r="GF211" i="27"/>
  <c r="GF88" i="27"/>
  <c r="GF91" i="27"/>
  <c r="GF100" i="27"/>
  <c r="GF110" i="27"/>
  <c r="GF69" i="27"/>
  <c r="GF202" i="27"/>
  <c r="GF179" i="27"/>
  <c r="GF35" i="27"/>
  <c r="GF94" i="27"/>
  <c r="GF201" i="27"/>
  <c r="GF210" i="27"/>
  <c r="GF55" i="27"/>
  <c r="GF174" i="27"/>
  <c r="GF128" i="27"/>
  <c r="GF200" i="27"/>
  <c r="GF180" i="27"/>
  <c r="GF42" i="27"/>
  <c r="GF83" i="27"/>
  <c r="GF44" i="27"/>
  <c r="GF169" i="27"/>
  <c r="GF68" i="27"/>
  <c r="GF175" i="27"/>
  <c r="GF99" i="27"/>
  <c r="GF39" i="27"/>
  <c r="GF89" i="27"/>
  <c r="GF109" i="27"/>
  <c r="GF54" i="27"/>
  <c r="GF209" i="27"/>
  <c r="GF199" i="27"/>
  <c r="GF194" i="27"/>
  <c r="GF90" i="27"/>
  <c r="GF185" i="27"/>
  <c r="GF170" i="27"/>
  <c r="GF97" i="27"/>
  <c r="GF198" i="27"/>
  <c r="GF36" i="27"/>
  <c r="GF171" i="27"/>
  <c r="GF135" i="27"/>
  <c r="GF208" i="27"/>
  <c r="GF48" i="27"/>
  <c r="GF187" i="27"/>
  <c r="GF66" i="27"/>
  <c r="GF217" i="27"/>
  <c r="GF67" i="27"/>
  <c r="GF51" i="27"/>
  <c r="GF218" i="27"/>
  <c r="GF108" i="27"/>
  <c r="GF96" i="27"/>
  <c r="GF152" i="27"/>
  <c r="GF219" i="27"/>
  <c r="GF33" i="27"/>
  <c r="GF64" i="27"/>
  <c r="GF65" i="27"/>
  <c r="GF220" i="27"/>
  <c r="GF189" i="27"/>
  <c r="GF84" i="27"/>
  <c r="GF221" i="27"/>
  <c r="GF153" i="27"/>
  <c r="GF129" i="27"/>
  <c r="GF119" i="27"/>
  <c r="GF197" i="27"/>
  <c r="GF24" i="27"/>
  <c r="GF122" i="27"/>
  <c r="GF45" i="27"/>
  <c r="GF63" i="27"/>
  <c r="GF207" i="27"/>
  <c r="GF130" i="27"/>
  <c r="GF190" i="27"/>
  <c r="GF107" i="27"/>
  <c r="GF131" i="27"/>
  <c r="GF37" i="27"/>
  <c r="GF154" i="27"/>
  <c r="GF206" i="27"/>
  <c r="GF118" i="27"/>
  <c r="GF132" i="27"/>
  <c r="GF31" i="27"/>
  <c r="GF30" i="27"/>
  <c r="GF117" i="27"/>
  <c r="GF155" i="27"/>
  <c r="GF26" i="27"/>
  <c r="GF133" i="27"/>
  <c r="GF93" i="27"/>
  <c r="GF21" i="27"/>
  <c r="GF116" i="27"/>
  <c r="GF23" i="27"/>
  <c r="GF156" i="27"/>
  <c r="GF43" i="27"/>
  <c r="GF22" i="27"/>
  <c r="GF41" i="27"/>
  <c r="GF163" i="27"/>
  <c r="GF19" i="27"/>
  <c r="GF176" i="27"/>
  <c r="GF106" i="27"/>
  <c r="GF38" i="27"/>
  <c r="GF123" i="27"/>
  <c r="GF121" i="27"/>
  <c r="GF80" i="27"/>
  <c r="GF85" i="27"/>
  <c r="GF34" i="27"/>
  <c r="GF157" i="27"/>
  <c r="GF17" i="27"/>
  <c r="GF15" i="27"/>
  <c r="GF134" i="27"/>
  <c r="GF181" i="27"/>
  <c r="GF191" i="27"/>
  <c r="GF79" i="27"/>
  <c r="GF205" i="27"/>
  <c r="GF136" i="27"/>
  <c r="GF158" i="27"/>
  <c r="GF25" i="27"/>
  <c r="GF137" i="27"/>
  <c r="GF14" i="27"/>
  <c r="GF105" i="27"/>
  <c r="GF78" i="27"/>
  <c r="GF159" i="27"/>
  <c r="GF193" i="27"/>
  <c r="GF188" i="27"/>
  <c r="GF138" i="27"/>
  <c r="GF50" i="27"/>
  <c r="GF62" i="27"/>
  <c r="GF139" i="27"/>
  <c r="GF160" i="27"/>
  <c r="GF77" i="27"/>
  <c r="GF161" i="27"/>
  <c r="GF196" i="27"/>
  <c r="GF192" i="27"/>
  <c r="GF104" i="27"/>
  <c r="GF140" i="27"/>
  <c r="GF126" i="27"/>
  <c r="GF141" i="27"/>
  <c r="GF76" i="27"/>
  <c r="GF61" i="27"/>
  <c r="GF115" i="27"/>
  <c r="GF86" i="27"/>
  <c r="GF162" i="27"/>
  <c r="GF142" i="27"/>
  <c r="GF92" i="27"/>
  <c r="GF182" i="27"/>
  <c r="GF143" i="27"/>
  <c r="GF75" i="27"/>
  <c r="GF32" i="27"/>
  <c r="GF46" i="27"/>
  <c r="GG171" i="27"/>
  <c r="GG120" i="27"/>
  <c r="GG193" i="27"/>
  <c r="GG194" i="27"/>
  <c r="GG185" i="27"/>
  <c r="GG91" i="27"/>
  <c r="GG195" i="27"/>
  <c r="GG196" i="27"/>
  <c r="GG197" i="27"/>
  <c r="GG90" i="27"/>
  <c r="GG198" i="27"/>
  <c r="GG186" i="27"/>
  <c r="GG199" i="27"/>
  <c r="GG89" i="27"/>
  <c r="GG200" i="27"/>
  <c r="GG201" i="27"/>
  <c r="GG95" i="27"/>
  <c r="GG88" i="27"/>
  <c r="GG202" i="27"/>
  <c r="GG203" i="27"/>
  <c r="GG204" i="27"/>
  <c r="GG87" i="27"/>
  <c r="GG127" i="27"/>
  <c r="GG19" i="27"/>
  <c r="GG27" i="27"/>
  <c r="GG36" i="27"/>
  <c r="GG86" i="27"/>
  <c r="GG20" i="27"/>
  <c r="GG187" i="27"/>
  <c r="GG189" i="27"/>
  <c r="GG85" i="27"/>
  <c r="GG37" i="27"/>
  <c r="GG205" i="27"/>
  <c r="GG31" i="27"/>
  <c r="GG206" i="27"/>
  <c r="GG96" i="27"/>
  <c r="GG207" i="27"/>
  <c r="GG84" i="27"/>
  <c r="GG208" i="27"/>
  <c r="GG83" i="27"/>
  <c r="GG94" i="27"/>
  <c r="GG210" i="27"/>
  <c r="GG211" i="27"/>
  <c r="GG212" i="27"/>
  <c r="GG82" i="27"/>
  <c r="GG128" i="27"/>
  <c r="GG213" i="27"/>
  <c r="GG214" i="27"/>
  <c r="GG81" i="27"/>
  <c r="GG215" i="27"/>
  <c r="GG216" i="27"/>
  <c r="GG114" i="27"/>
  <c r="GG144" i="27"/>
  <c r="GG74" i="27"/>
  <c r="GG145" i="27"/>
  <c r="GG217" i="27"/>
  <c r="GG146" i="27"/>
  <c r="GG113" i="27"/>
  <c r="GG218" i="27"/>
  <c r="GG66" i="27"/>
  <c r="GG73" i="27"/>
  <c r="GG147" i="27"/>
  <c r="GG188" i="27"/>
  <c r="GG148" i="27"/>
  <c r="GG72" i="27"/>
  <c r="GG219" i="27"/>
  <c r="GG112" i="27"/>
  <c r="GG149" i="27"/>
  <c r="GG65" i="27"/>
  <c r="GG71" i="27"/>
  <c r="GG45" i="27"/>
  <c r="GG150" i="27"/>
  <c r="GG220" i="27"/>
  <c r="GG111" i="27"/>
  <c r="GG124" i="27"/>
  <c r="GG151" i="27"/>
  <c r="GG221" i="27"/>
  <c r="GG70" i="27"/>
  <c r="GG13" i="27"/>
  <c r="GG129" i="27"/>
  <c r="GG119" i="27"/>
  <c r="GG23" i="27"/>
  <c r="GG110" i="27"/>
  <c r="GG69" i="27"/>
  <c r="GG30" i="27"/>
  <c r="GG33" i="27"/>
  <c r="GG41" i="27"/>
  <c r="GG40" i="27"/>
  <c r="GG68" i="27"/>
  <c r="GG116" i="27"/>
  <c r="GG130" i="27"/>
  <c r="GG109" i="27"/>
  <c r="GG38" i="27"/>
  <c r="GG67" i="27"/>
  <c r="GG134" i="27"/>
  <c r="GG136" i="27"/>
  <c r="GG131" i="27"/>
  <c r="GG108" i="27"/>
  <c r="GG152" i="27"/>
  <c r="GG153" i="27"/>
  <c r="GG32" i="27"/>
  <c r="GG107" i="27"/>
  <c r="GG132" i="27"/>
  <c r="GG121" i="27"/>
  <c r="GG154" i="27"/>
  <c r="GG155" i="27"/>
  <c r="GG93" i="27"/>
  <c r="GG156" i="27"/>
  <c r="GG106" i="27"/>
  <c r="GG157" i="27"/>
  <c r="GG158" i="27"/>
  <c r="GG133" i="27"/>
  <c r="GG105" i="27"/>
  <c r="GG159" i="27"/>
  <c r="GG62" i="27"/>
  <c r="GG12" i="27"/>
  <c r="GG160" i="27"/>
  <c r="GG14" i="27"/>
  <c r="GG104" i="27"/>
  <c r="GG21" i="27"/>
  <c r="GG61" i="27"/>
  <c r="GG161" i="27"/>
  <c r="GG162" i="27"/>
  <c r="GG24" i="27"/>
  <c r="GG35" i="27"/>
  <c r="GG163" i="27"/>
  <c r="GG190" i="27"/>
  <c r="GG60" i="27"/>
  <c r="GG103" i="27"/>
  <c r="GG17" i="27"/>
  <c r="GG164" i="27"/>
  <c r="GG39" i="27"/>
  <c r="GG59" i="27"/>
  <c r="GG42" i="27"/>
  <c r="GG43" i="27"/>
  <c r="GG183" i="27"/>
  <c r="GG165" i="27"/>
  <c r="GG80" i="27"/>
  <c r="GG102" i="27"/>
  <c r="GG58" i="27"/>
  <c r="GG166" i="27"/>
  <c r="GG167" i="27"/>
  <c r="GG168" i="27"/>
  <c r="GG117" i="27"/>
  <c r="GG16" i="27"/>
  <c r="GG118" i="27"/>
  <c r="GG101" i="27"/>
  <c r="GG57" i="27"/>
  <c r="GG15" i="27"/>
  <c r="GG135" i="27"/>
  <c r="GG28" i="27"/>
  <c r="GG56" i="27"/>
  <c r="GG79" i="27"/>
  <c r="GG100" i="27"/>
  <c r="GG125" i="27"/>
  <c r="GG184" i="27"/>
  <c r="GG34" i="27"/>
  <c r="GG123" i="27"/>
  <c r="GG26" i="27"/>
  <c r="GG191" i="27"/>
  <c r="GG25" i="27"/>
  <c r="GG55" i="27"/>
  <c r="GG99" i="27"/>
  <c r="GG54" i="27"/>
  <c r="GG137" i="27"/>
  <c r="GG169" i="27"/>
  <c r="GG170" i="27"/>
  <c r="GG78" i="27"/>
  <c r="GG53" i="27"/>
  <c r="GG64" i="27"/>
  <c r="GG172" i="27"/>
  <c r="GG63" i="27"/>
  <c r="GG44" i="27"/>
  <c r="GG138" i="27"/>
  <c r="GG52" i="27"/>
  <c r="GG173" i="27"/>
  <c r="GG174" i="27"/>
  <c r="GG139" i="27"/>
  <c r="GG175" i="27"/>
  <c r="GG77" i="27"/>
  <c r="GG51" i="27"/>
  <c r="GG29" i="27"/>
  <c r="GG176" i="27"/>
  <c r="GG50" i="27"/>
  <c r="GG192" i="27"/>
  <c r="GG22" i="27"/>
  <c r="GG177" i="27"/>
  <c r="GG140" i="27"/>
  <c r="GG18" i="27"/>
  <c r="GG49" i="27"/>
  <c r="GG141" i="27"/>
  <c r="GG115" i="27"/>
  <c r="GG76" i="27"/>
  <c r="GG178" i="27"/>
  <c r="GG179" i="27"/>
  <c r="GG98" i="27"/>
  <c r="GG48" i="27"/>
  <c r="GG92" i="27"/>
  <c r="GG122" i="27"/>
  <c r="GG126" i="27"/>
  <c r="GG142" i="27"/>
  <c r="GG180" i="27"/>
  <c r="GG47" i="27"/>
  <c r="GG181" i="27"/>
  <c r="GG143" i="27"/>
  <c r="GG75" i="27"/>
  <c r="GG97" i="27"/>
  <c r="GG182" i="27"/>
  <c r="GG46" i="27"/>
  <c r="GG209" i="27"/>
  <c r="GH48" i="27"/>
  <c r="GH216" i="27"/>
  <c r="GH199" i="27"/>
  <c r="GH44" i="27"/>
  <c r="GH89" i="27"/>
  <c r="GH67" i="27"/>
  <c r="GH126" i="27"/>
  <c r="GH187" i="27"/>
  <c r="GH54" i="27"/>
  <c r="GH217" i="27"/>
  <c r="GH26" i="27"/>
  <c r="GH99" i="27"/>
  <c r="GH43" i="27"/>
  <c r="GH186" i="27"/>
  <c r="GH218" i="27"/>
  <c r="GH41" i="27"/>
  <c r="GH40" i="27"/>
  <c r="GH194" i="27"/>
  <c r="GH200" i="27"/>
  <c r="GH95" i="27"/>
  <c r="GH37" i="27"/>
  <c r="GH55" i="27"/>
  <c r="GH219" i="27"/>
  <c r="GH46" i="27"/>
  <c r="GH201" i="27"/>
  <c r="GH98" i="27"/>
  <c r="GH221" i="27"/>
  <c r="GH33" i="27"/>
  <c r="GH88" i="27"/>
  <c r="GH91" i="27"/>
  <c r="GH220" i="27"/>
  <c r="GH100" i="27"/>
  <c r="GH25" i="27"/>
  <c r="GH56" i="27"/>
  <c r="GH64" i="27"/>
  <c r="GH189" i="27"/>
  <c r="GH21" i="27"/>
  <c r="GH97" i="27"/>
  <c r="GH202" i="27"/>
  <c r="GH18" i="27"/>
  <c r="GH63" i="27"/>
  <c r="GH129" i="27"/>
  <c r="GH119" i="27"/>
  <c r="GH168" i="27"/>
  <c r="GH57" i="27"/>
  <c r="GH15" i="27"/>
  <c r="GH203" i="27"/>
  <c r="GH101" i="27"/>
  <c r="GH167" i="27"/>
  <c r="GH166" i="27"/>
  <c r="GH178" i="27"/>
  <c r="GH204" i="27"/>
  <c r="GH87" i="27"/>
  <c r="GH185" i="27"/>
  <c r="GH130" i="27"/>
  <c r="GH39" i="27"/>
  <c r="GH58" i="27"/>
  <c r="GH102" i="27"/>
  <c r="GH165" i="27"/>
  <c r="GH49" i="27"/>
  <c r="GH177" i="27"/>
  <c r="GH59" i="27"/>
  <c r="GH22" i="27"/>
  <c r="GH131" i="27"/>
  <c r="GH35" i="27"/>
  <c r="GH93" i="27"/>
  <c r="GH24" i="27"/>
  <c r="GH181" i="27"/>
  <c r="GH122" i="27"/>
  <c r="GH164" i="27"/>
  <c r="GH103" i="27"/>
  <c r="GH163" i="27"/>
  <c r="GH60" i="27"/>
  <c r="GH132" i="27"/>
  <c r="GH162" i="27"/>
  <c r="GH96" i="27"/>
  <c r="GH195" i="27"/>
  <c r="GH86" i="27"/>
  <c r="GH53" i="27"/>
  <c r="GH161" i="27"/>
  <c r="GH27" i="27"/>
  <c r="GH61" i="27"/>
  <c r="GH19" i="27"/>
  <c r="GH127" i="27"/>
  <c r="GH133" i="27"/>
  <c r="GH38" i="27"/>
  <c r="GH104" i="27"/>
  <c r="GH160" i="27"/>
  <c r="GH23" i="27"/>
  <c r="GH159" i="27"/>
  <c r="GH62" i="27"/>
  <c r="GH188" i="27"/>
  <c r="GH105" i="27"/>
  <c r="GH20" i="27"/>
  <c r="GH47" i="27"/>
  <c r="GH158" i="27"/>
  <c r="GH120" i="27"/>
  <c r="GH157" i="27"/>
  <c r="GH14" i="27"/>
  <c r="GH85" i="27"/>
  <c r="GH196" i="27"/>
  <c r="GH156" i="27"/>
  <c r="GH106" i="27"/>
  <c r="GH190" i="27"/>
  <c r="GH50" i="27"/>
  <c r="GH155" i="27"/>
  <c r="GH176" i="27"/>
  <c r="GH205" i="27"/>
  <c r="GH175" i="27"/>
  <c r="GH154" i="27"/>
  <c r="GH36" i="27"/>
  <c r="GH13" i="27"/>
  <c r="GH182" i="27"/>
  <c r="GH80" i="27"/>
  <c r="GH206" i="27"/>
  <c r="GH90" i="27"/>
  <c r="GH107" i="27"/>
  <c r="GH183" i="27"/>
  <c r="GH153" i="27"/>
  <c r="GH193" i="27"/>
  <c r="GH116" i="27"/>
  <c r="GH207" i="27"/>
  <c r="GH84" i="27"/>
  <c r="GH51" i="27"/>
  <c r="GH152" i="27"/>
  <c r="GH121" i="27"/>
  <c r="GH65" i="27"/>
  <c r="GH108" i="27"/>
  <c r="GH34" i="27"/>
  <c r="GH66" i="27"/>
  <c r="GH135" i="27"/>
  <c r="GH79" i="27"/>
  <c r="GH174" i="27"/>
  <c r="GH208" i="27"/>
  <c r="GH134" i="27"/>
  <c r="GH118" i="27"/>
  <c r="GH117" i="27"/>
  <c r="GH109" i="27"/>
  <c r="GH209" i="27"/>
  <c r="GH136" i="27"/>
  <c r="GH94" i="27"/>
  <c r="GH68" i="27"/>
  <c r="GH83" i="27"/>
  <c r="GH173" i="27"/>
  <c r="GH42" i="27"/>
  <c r="GH32" i="27"/>
  <c r="GH137" i="27"/>
  <c r="GH52" i="27"/>
  <c r="GH31" i="27"/>
  <c r="GH78" i="27"/>
  <c r="GH29" i="27"/>
  <c r="GH197" i="27"/>
  <c r="GH210" i="27"/>
  <c r="GH191" i="27"/>
  <c r="GH124" i="27"/>
  <c r="GH69" i="27"/>
  <c r="GH110" i="27"/>
  <c r="GH172" i="27"/>
  <c r="GH138" i="27"/>
  <c r="GH184" i="27"/>
  <c r="GH211" i="27"/>
  <c r="GH16" i="27"/>
  <c r="GH28" i="27"/>
  <c r="GH17" i="27"/>
  <c r="GH70" i="27"/>
  <c r="GH139" i="27"/>
  <c r="GH171" i="27"/>
  <c r="GH77" i="27"/>
  <c r="GH82" i="27"/>
  <c r="GH170" i="27"/>
  <c r="GH151" i="27"/>
  <c r="GH111" i="27"/>
  <c r="GH150" i="27"/>
  <c r="GH180" i="27"/>
  <c r="GH212" i="27"/>
  <c r="GH71" i="27"/>
  <c r="GH149" i="27"/>
  <c r="GH140" i="27"/>
  <c r="GH192" i="27"/>
  <c r="GH112" i="27"/>
  <c r="GH198" i="27"/>
  <c r="GH213" i="27"/>
  <c r="GH141" i="27"/>
  <c r="GH115" i="27"/>
  <c r="GH30" i="27"/>
  <c r="GH76" i="27"/>
  <c r="GH72" i="27"/>
  <c r="GH148" i="27"/>
  <c r="GH179" i="27"/>
  <c r="GH12" i="27"/>
  <c r="GH214" i="27"/>
  <c r="GH147" i="27"/>
  <c r="GH92" i="27"/>
  <c r="GH123" i="27"/>
  <c r="GH81" i="27"/>
  <c r="GH169" i="27"/>
  <c r="GH146" i="27"/>
  <c r="GH73" i="27"/>
  <c r="GH142" i="27"/>
  <c r="GH113" i="27"/>
  <c r="GH128" i="27"/>
  <c r="GH145" i="27"/>
  <c r="GH74" i="27"/>
  <c r="GH75" i="27"/>
  <c r="GH125" i="27"/>
  <c r="GH215" i="27"/>
  <c r="GH45" i="27"/>
  <c r="GH144" i="27"/>
  <c r="GH143" i="27"/>
  <c r="GH114" i="27"/>
  <c r="FQ7" i="27" l="1"/>
  <c r="K10" i="75" s="1"/>
  <c r="R5" i="94" l="1"/>
  <c r="R2" i="94"/>
  <c r="R3" i="94" s="1"/>
  <c r="H65" i="108" l="1"/>
  <c r="H69" i="108"/>
  <c r="H72" i="108"/>
  <c r="H76" i="108"/>
  <c r="H80" i="108"/>
  <c r="H83" i="108"/>
  <c r="H87" i="108"/>
  <c r="H93" i="108"/>
  <c r="B65" i="108"/>
  <c r="B66" i="108"/>
  <c r="B67" i="108"/>
  <c r="B68" i="108"/>
  <c r="B69" i="108"/>
  <c r="B70" i="108"/>
  <c r="B71" i="108"/>
  <c r="B72" i="108"/>
  <c r="B73" i="108"/>
  <c r="B74" i="108"/>
  <c r="B75" i="108"/>
  <c r="B76" i="108"/>
  <c r="B77" i="108"/>
  <c r="B78" i="108"/>
  <c r="B79" i="108"/>
  <c r="B80" i="108"/>
  <c r="B81" i="108"/>
  <c r="B82" i="108"/>
  <c r="B83" i="108"/>
  <c r="B84" i="108"/>
  <c r="B85" i="108"/>
  <c r="B86" i="108"/>
  <c r="B87" i="108"/>
  <c r="B88" i="108"/>
  <c r="B89" i="108"/>
  <c r="B90" i="108"/>
  <c r="B91" i="108"/>
  <c r="B92" i="108"/>
  <c r="B93" i="108"/>
  <c r="B94" i="108"/>
  <c r="B95" i="108"/>
  <c r="B96" i="108"/>
  <c r="J63"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91" i="108"/>
  <c r="J92" i="108"/>
  <c r="J93" i="108"/>
  <c r="J94" i="108"/>
  <c r="J95" i="108"/>
  <c r="J96"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H68" i="108"/>
  <c r="H74" i="108"/>
  <c r="H78" i="108"/>
  <c r="H82" i="108"/>
  <c r="H86" i="108"/>
  <c r="H88" i="108"/>
  <c r="H91" i="108"/>
  <c r="H95" i="108"/>
  <c r="G65" i="108"/>
  <c r="G66" i="108"/>
  <c r="G67" i="108"/>
  <c r="G68" i="108"/>
  <c r="G69" i="108"/>
  <c r="G70" i="108"/>
  <c r="G71" i="108"/>
  <c r="G72" i="108"/>
  <c r="G73" i="108"/>
  <c r="G74" i="108"/>
  <c r="G75" i="108"/>
  <c r="G76" i="108"/>
  <c r="G77" i="108"/>
  <c r="G78" i="108"/>
  <c r="G79" i="108"/>
  <c r="G80" i="108"/>
  <c r="G81" i="108"/>
  <c r="G82" i="108"/>
  <c r="G83" i="108"/>
  <c r="G84" i="108"/>
  <c r="G85" i="108"/>
  <c r="G86" i="108"/>
  <c r="G87" i="108"/>
  <c r="G88" i="108"/>
  <c r="G89" i="108"/>
  <c r="G90" i="108"/>
  <c r="G91" i="108"/>
  <c r="G92" i="108"/>
  <c r="G93" i="108"/>
  <c r="G94" i="108"/>
  <c r="G95" i="108"/>
  <c r="G96" i="108"/>
  <c r="F65" i="108"/>
  <c r="F66" i="108"/>
  <c r="F67" i="108"/>
  <c r="F68" i="108"/>
  <c r="F69" i="108"/>
  <c r="F70" i="108"/>
  <c r="F71" i="108"/>
  <c r="F72" i="108"/>
  <c r="F73" i="108"/>
  <c r="F74" i="108"/>
  <c r="F75" i="108"/>
  <c r="F76" i="108"/>
  <c r="F77" i="108"/>
  <c r="F78" i="108"/>
  <c r="F79" i="108"/>
  <c r="F80" i="108"/>
  <c r="F81" i="108"/>
  <c r="F82" i="108"/>
  <c r="F83" i="108"/>
  <c r="F84" i="108"/>
  <c r="F85" i="108"/>
  <c r="F86" i="108"/>
  <c r="F87" i="108"/>
  <c r="F88" i="108"/>
  <c r="F89" i="108"/>
  <c r="F90" i="108"/>
  <c r="F91" i="108"/>
  <c r="F92" i="108"/>
  <c r="F93" i="108"/>
  <c r="F94" i="108"/>
  <c r="F95" i="108"/>
  <c r="F96" i="108"/>
  <c r="H67" i="108"/>
  <c r="H71" i="108"/>
  <c r="H75" i="108"/>
  <c r="H79" i="108"/>
  <c r="H84" i="108"/>
  <c r="H90" i="108"/>
  <c r="H94" i="108"/>
  <c r="H66" i="108"/>
  <c r="H70" i="108"/>
  <c r="H73" i="108"/>
  <c r="H77" i="108"/>
  <c r="H81" i="108"/>
  <c r="H85" i="108"/>
  <c r="H89" i="108"/>
  <c r="H92" i="108"/>
  <c r="H96" i="108"/>
  <c r="D65" i="108"/>
  <c r="D66" i="108"/>
  <c r="D67" i="108"/>
  <c r="D68" i="108"/>
  <c r="D69" i="108"/>
  <c r="D70" i="108"/>
  <c r="D71" i="108"/>
  <c r="D72" i="108"/>
  <c r="D73" i="108"/>
  <c r="D74" i="108"/>
  <c r="D75" i="108"/>
  <c r="D76" i="108"/>
  <c r="D77" i="108"/>
  <c r="D78" i="108"/>
  <c r="D79" i="108"/>
  <c r="D80" i="108"/>
  <c r="D81" i="108"/>
  <c r="D82" i="108"/>
  <c r="D83" i="108"/>
  <c r="D84" i="108"/>
  <c r="D85" i="108"/>
  <c r="D86" i="108"/>
  <c r="D87" i="108"/>
  <c r="D88" i="108"/>
  <c r="D89" i="108"/>
  <c r="D90" i="108"/>
  <c r="D91" i="108"/>
  <c r="D92" i="108"/>
  <c r="D93" i="108"/>
  <c r="D94" i="108"/>
  <c r="D95" i="108"/>
  <c r="D96" i="108"/>
  <c r="J64" i="108"/>
  <c r="E65" i="108"/>
  <c r="E66" i="108"/>
  <c r="E67" i="108"/>
  <c r="E68" i="108"/>
  <c r="E69" i="108"/>
  <c r="E70" i="108"/>
  <c r="E71" i="108"/>
  <c r="E72" i="108"/>
  <c r="E73" i="108"/>
  <c r="E74" i="108"/>
  <c r="E75" i="108"/>
  <c r="E76" i="108"/>
  <c r="E77" i="108"/>
  <c r="E78" i="108"/>
  <c r="E79" i="108"/>
  <c r="E80" i="108"/>
  <c r="E81" i="108"/>
  <c r="E82" i="108"/>
  <c r="E83" i="108"/>
  <c r="E84" i="108"/>
  <c r="E85" i="108"/>
  <c r="E86" i="108"/>
  <c r="E87" i="108"/>
  <c r="E88" i="108"/>
  <c r="E89" i="108"/>
  <c r="E90" i="108"/>
  <c r="E91" i="108"/>
  <c r="E92" i="108"/>
  <c r="E93" i="108"/>
  <c r="E94" i="108"/>
  <c r="E95" i="108"/>
  <c r="E96" i="108"/>
  <c r="B37" i="108"/>
  <c r="B36" i="108"/>
  <c r="B35" i="108"/>
  <c r="B34" i="108"/>
  <c r="B33" i="108"/>
  <c r="B32" i="108"/>
  <c r="B31" i="108"/>
  <c r="B30" i="108"/>
  <c r="B29" i="108"/>
  <c r="B28" i="108"/>
  <c r="B27" i="108"/>
  <c r="B26" i="108"/>
  <c r="B25" i="108"/>
  <c r="B24" i="108"/>
  <c r="B23" i="108"/>
  <c r="E34" i="108" l="1"/>
  <c r="E26" i="108"/>
  <c r="E30" i="108"/>
  <c r="E27" i="108"/>
  <c r="E36" i="108"/>
  <c r="E35" i="108"/>
  <c r="E23" i="108"/>
  <c r="E28" i="108"/>
  <c r="E33" i="108"/>
  <c r="E29" i="108"/>
  <c r="E31" i="108"/>
  <c r="E37" i="108"/>
  <c r="E32" i="108"/>
  <c r="N91" i="108"/>
  <c r="N75" i="108"/>
  <c r="N66" i="108"/>
  <c r="O69" i="108"/>
  <c r="N69" i="108"/>
  <c r="N80" i="108"/>
  <c r="N93" i="108"/>
  <c r="N85" i="108"/>
  <c r="N77" i="108"/>
  <c r="N68" i="108"/>
  <c r="O91" i="108"/>
  <c r="O73" i="108"/>
  <c r="N92" i="108"/>
  <c r="N90" i="108"/>
  <c r="N84" i="108"/>
  <c r="O59" i="108"/>
  <c r="O85" i="108"/>
  <c r="O92" i="108"/>
  <c r="O76" i="108"/>
  <c r="O88" i="108"/>
  <c r="O71" i="108"/>
  <c r="N87" i="108"/>
  <c r="N89" i="108"/>
  <c r="N95" i="108"/>
  <c r="O87" i="108"/>
  <c r="N79" i="108"/>
  <c r="N71" i="108"/>
  <c r="O77" i="108"/>
  <c r="N70" i="108"/>
  <c r="N94" i="108"/>
  <c r="N88" i="108"/>
  <c r="O79" i="108"/>
  <c r="O66" i="108"/>
  <c r="N74" i="108"/>
  <c r="N67" i="108"/>
  <c r="O94" i="108"/>
  <c r="O86" i="108"/>
  <c r="O78" i="108"/>
  <c r="O70" i="108"/>
  <c r="O75" i="108"/>
  <c r="N96" i="108"/>
  <c r="N65" i="108"/>
  <c r="O95" i="108"/>
  <c r="O96" i="108"/>
  <c r="O72" i="108"/>
  <c r="O89" i="108"/>
  <c r="N81" i="108"/>
  <c r="O81" i="108"/>
  <c r="O67" i="108"/>
  <c r="N78" i="108"/>
  <c r="N72" i="108"/>
  <c r="N83" i="108"/>
  <c r="N86" i="108"/>
  <c r="O84" i="108"/>
  <c r="O93" i="108"/>
  <c r="O80" i="108"/>
  <c r="N73" i="108"/>
  <c r="O90" i="108"/>
  <c r="O82" i="108"/>
  <c r="O74" i="108"/>
  <c r="O65" i="108"/>
  <c r="O83" i="108"/>
  <c r="O68" i="108"/>
  <c r="N82" i="108"/>
  <c r="N76" i="108"/>
  <c r="E24" i="108"/>
  <c r="E25" i="108"/>
  <c r="M74" i="108"/>
  <c r="M69" i="108"/>
  <c r="M82" i="108"/>
  <c r="M94" i="108"/>
  <c r="M76" i="108"/>
  <c r="M86" i="108"/>
  <c r="M70" i="108"/>
  <c r="M72" i="108"/>
  <c r="M96" i="108"/>
  <c r="M80" i="108"/>
  <c r="M87" i="108"/>
  <c r="M90" i="108"/>
  <c r="M89" i="108"/>
  <c r="M65" i="108"/>
  <c r="M92" i="108"/>
  <c r="M78" i="108"/>
  <c r="M84" i="108"/>
  <c r="O60" i="108" l="1"/>
  <c r="C96" i="108"/>
  <c r="C83" i="108"/>
  <c r="C87" i="108"/>
  <c r="C93" i="108"/>
  <c r="C82" i="108"/>
  <c r="C79" i="108"/>
  <c r="C86" i="108"/>
  <c r="C66" i="108"/>
  <c r="C76" i="108"/>
  <c r="C70" i="108"/>
  <c r="C89" i="108"/>
  <c r="C75" i="108"/>
  <c r="C72" i="108"/>
  <c r="C92" i="108"/>
  <c r="C88" i="108"/>
  <c r="C74" i="108"/>
  <c r="C81" i="108"/>
  <c r="C78" i="108"/>
  <c r="C95" i="108"/>
  <c r="C85" i="108"/>
  <c r="C68" i="108"/>
  <c r="C91" i="108"/>
  <c r="C84" i="108"/>
  <c r="C65" i="108"/>
  <c r="C80" i="108"/>
  <c r="C67" i="108"/>
  <c r="C77" i="108"/>
  <c r="C90" i="108"/>
  <c r="C94" i="108"/>
  <c r="C73" i="108"/>
  <c r="C71" i="108"/>
  <c r="C69" i="108"/>
  <c r="L92" i="108"/>
  <c r="L76" i="108"/>
  <c r="L69" i="108"/>
  <c r="M71" i="108"/>
  <c r="M93" i="108"/>
  <c r="L84" i="108"/>
  <c r="L96" i="108"/>
  <c r="L94" i="108"/>
  <c r="M73" i="108"/>
  <c r="M88" i="108"/>
  <c r="L86" i="108"/>
  <c r="L65" i="108"/>
  <c r="M68" i="108"/>
  <c r="M83" i="108"/>
  <c r="L87" i="108"/>
  <c r="L89" i="108"/>
  <c r="M85" i="108"/>
  <c r="L82" i="108"/>
  <c r="L90" i="108"/>
  <c r="M67" i="108"/>
  <c r="M79" i="108"/>
  <c r="L78" i="108"/>
  <c r="L72" i="108"/>
  <c r="M81" i="108"/>
  <c r="M95" i="108"/>
  <c r="L74" i="108"/>
  <c r="L80" i="108"/>
  <c r="M66" i="108"/>
  <c r="M75" i="108"/>
  <c r="L70" i="108"/>
  <c r="M77" i="108"/>
  <c r="M91" i="108"/>
  <c r="P72" i="108"/>
  <c r="P89" i="108"/>
  <c r="P92" i="108"/>
  <c r="P96" i="108"/>
  <c r="P86" i="108"/>
  <c r="P76" i="108"/>
  <c r="P80" i="108"/>
  <c r="P87" i="108"/>
  <c r="P74" i="108"/>
  <c r="P90" i="108"/>
  <c r="P78" i="108"/>
  <c r="P84" i="108"/>
  <c r="P94" i="108"/>
  <c r="L63" i="108" l="1"/>
  <c r="O61" i="108"/>
  <c r="G15" i="27"/>
  <c r="FN15" i="27" s="1"/>
  <c r="L75" i="108"/>
  <c r="L91" i="108"/>
  <c r="L77" i="108"/>
  <c r="L93" i="108"/>
  <c r="L73" i="108"/>
  <c r="L79" i="108"/>
  <c r="L67" i="108"/>
  <c r="L81" i="108"/>
  <c r="L95" i="108"/>
  <c r="L68" i="108"/>
  <c r="L85" i="108"/>
  <c r="L66" i="108"/>
  <c r="L71" i="108"/>
  <c r="L88" i="108"/>
  <c r="L83" i="108"/>
  <c r="P68" i="108"/>
  <c r="P73" i="108"/>
  <c r="P85" i="108"/>
  <c r="P75" i="108"/>
  <c r="P81" i="108"/>
  <c r="O62" i="108" l="1"/>
  <c r="D63" i="108"/>
  <c r="B63" i="108"/>
  <c r="I63" i="108"/>
  <c r="E63" i="108"/>
  <c r="H63" i="108"/>
  <c r="G63" i="108"/>
  <c r="C63" i="108"/>
  <c r="F63" i="108"/>
  <c r="X109" i="108"/>
  <c r="P95" i="108"/>
  <c r="R109" i="108"/>
  <c r="R98" i="108"/>
  <c r="U109" i="108"/>
  <c r="O63" i="108" l="1"/>
  <c r="G64" i="108"/>
  <c r="E64" i="108"/>
  <c r="F64" i="108"/>
  <c r="C64" i="108"/>
  <c r="B64" i="108"/>
  <c r="D64" i="108"/>
  <c r="M63" i="108"/>
  <c r="I64" i="108"/>
  <c r="N63" i="108"/>
  <c r="L64" i="108"/>
  <c r="H64" i="108"/>
  <c r="U102" i="108"/>
  <c r="U108" i="108"/>
  <c r="R101" i="108"/>
  <c r="R97" i="108"/>
  <c r="X106" i="108"/>
  <c r="X108" i="108"/>
  <c r="R104" i="108"/>
  <c r="X99" i="108"/>
  <c r="R102" i="108"/>
  <c r="U105" i="108"/>
  <c r="R88" i="108"/>
  <c r="R99" i="108"/>
  <c r="R106" i="108"/>
  <c r="X101" i="108"/>
  <c r="R108" i="108"/>
  <c r="U103" i="108"/>
  <c r="X107" i="108"/>
  <c r="X105" i="108"/>
  <c r="U97" i="108"/>
  <c r="R107" i="108"/>
  <c r="R103" i="108"/>
  <c r="X103" i="108"/>
  <c r="U101" i="108"/>
  <c r="X102" i="108"/>
  <c r="U98" i="108"/>
  <c r="X98" i="108"/>
  <c r="X104" i="108"/>
  <c r="U106" i="108"/>
  <c r="X100" i="108"/>
  <c r="R100" i="108"/>
  <c r="U107" i="108"/>
  <c r="U99" i="108"/>
  <c r="U100" i="108"/>
  <c r="U104" i="108"/>
  <c r="R105" i="108"/>
  <c r="X97" i="108"/>
  <c r="O64" i="108" l="1"/>
  <c r="M64" i="108"/>
  <c r="N64" i="108"/>
  <c r="P134" i="108"/>
  <c r="P130" i="108"/>
  <c r="P128" i="108"/>
  <c r="P79" i="108"/>
  <c r="P114" i="108"/>
  <c r="P135" i="108"/>
  <c r="P113" i="108"/>
  <c r="P142" i="108"/>
  <c r="P125" i="108"/>
  <c r="P127" i="108"/>
  <c r="P129" i="108"/>
  <c r="P111" i="108"/>
  <c r="P123" i="108"/>
  <c r="P143" i="108"/>
  <c r="P136" i="108"/>
  <c r="P144" i="108"/>
  <c r="P121" i="108"/>
  <c r="P112" i="108"/>
  <c r="P133" i="108"/>
  <c r="P124" i="108"/>
  <c r="P91" i="108"/>
  <c r="P146" i="108"/>
  <c r="P118" i="108"/>
  <c r="P138" i="108"/>
  <c r="P137" i="108"/>
  <c r="P119" i="108"/>
  <c r="P116" i="108"/>
  <c r="P115" i="108"/>
  <c r="P139" i="108"/>
  <c r="P132" i="108"/>
  <c r="P126" i="108"/>
  <c r="P122" i="108"/>
  <c r="P120" i="108"/>
  <c r="P131" i="108"/>
  <c r="P140" i="108"/>
  <c r="P145" i="108"/>
  <c r="P117" i="108"/>
  <c r="P141" i="108"/>
  <c r="I13" i="85" l="1"/>
  <c r="J13" i="85"/>
  <c r="A73" i="75"/>
  <c r="D4" i="75"/>
  <c r="A9" i="75"/>
  <c r="A10" i="75" s="1"/>
  <c r="A11" i="75" s="1"/>
  <c r="A12" i="75" s="1"/>
  <c r="A13" i="75" s="1"/>
  <c r="A14" i="75" s="1"/>
  <c r="A15" i="75" s="1"/>
  <c r="A16" i="75" s="1"/>
  <c r="A17" i="75" s="1"/>
  <c r="A18" i="75" s="1"/>
  <c r="A19" i="75" s="1"/>
  <c r="A20" i="75" s="1"/>
  <c r="A21" i="75" s="1"/>
  <c r="A22" i="75" s="1"/>
  <c r="A23" i="75" s="1"/>
  <c r="A24" i="75" s="1"/>
  <c r="A25" i="75" s="1"/>
  <c r="A26" i="75" s="1"/>
  <c r="AB123" i="108"/>
  <c r="D89" i="75" l="1"/>
  <c r="D90" i="75"/>
  <c r="D92" i="75"/>
  <c r="D93" i="75"/>
  <c r="N23" i="166" s="1"/>
  <c r="D74" i="75"/>
  <c r="BD11" i="188" s="1"/>
  <c r="D91" i="75"/>
  <c r="D73" i="75"/>
  <c r="BC11" i="188" s="1"/>
  <c r="D76" i="75"/>
  <c r="BF11" i="188" s="1"/>
  <c r="D77" i="75"/>
  <c r="BG11" i="188" s="1"/>
  <c r="D75" i="75"/>
  <c r="BE11" i="188" s="1"/>
  <c r="D78" i="75"/>
  <c r="BH11" i="188" s="1"/>
  <c r="D72" i="75"/>
  <c r="BB11" i="188" s="1"/>
  <c r="E4" i="75"/>
  <c r="A74" i="75"/>
  <c r="A75" i="75" s="1"/>
  <c r="A76" i="75" s="1"/>
  <c r="A77" i="75" s="1"/>
  <c r="A78" i="75" s="1"/>
  <c r="A79" i="75" s="1"/>
  <c r="A80" i="75" s="1"/>
  <c r="A81" i="75" s="1"/>
  <c r="AB141" i="108"/>
  <c r="AB124" i="108"/>
  <c r="AB106" i="108"/>
  <c r="W125" i="108"/>
  <c r="W129" i="108"/>
  <c r="W123" i="108"/>
  <c r="W114" i="108"/>
  <c r="W145" i="108"/>
  <c r="AB136" i="108"/>
  <c r="AB135" i="108"/>
  <c r="AB139" i="108"/>
  <c r="AB125" i="108"/>
  <c r="AB129" i="108"/>
  <c r="W144" i="108"/>
  <c r="AB143" i="108"/>
  <c r="AB113" i="108"/>
  <c r="AB128" i="108"/>
  <c r="AB98" i="108"/>
  <c r="AB118" i="108"/>
  <c r="P93" i="108"/>
  <c r="AB127" i="108"/>
  <c r="W117" i="108"/>
  <c r="AB132" i="108"/>
  <c r="W133" i="108"/>
  <c r="W111" i="108"/>
  <c r="AB119" i="108"/>
  <c r="AB126" i="108"/>
  <c r="W130" i="108"/>
  <c r="AB146" i="108"/>
  <c r="AB111" i="108"/>
  <c r="AB115" i="108"/>
  <c r="W99" i="108"/>
  <c r="Q123" i="108"/>
  <c r="AA121" i="108"/>
  <c r="AB97" i="108"/>
  <c r="AB121" i="108"/>
  <c r="AB116" i="108"/>
  <c r="W115" i="108"/>
  <c r="AB137" i="108"/>
  <c r="AB101" i="108"/>
  <c r="W120" i="108"/>
  <c r="P99" i="108"/>
  <c r="P63" i="108"/>
  <c r="AB100" i="108"/>
  <c r="AB102" i="108"/>
  <c r="AB114" i="108"/>
  <c r="AB109" i="108"/>
  <c r="AB142" i="108"/>
  <c r="AB133" i="108"/>
  <c r="AB134" i="108"/>
  <c r="AB130" i="108"/>
  <c r="AB107" i="108"/>
  <c r="AB131" i="108"/>
  <c r="W137" i="108"/>
  <c r="AB104" i="108"/>
  <c r="AB140" i="108"/>
  <c r="AB120" i="108"/>
  <c r="W142" i="108"/>
  <c r="P82" i="108"/>
  <c r="AB103" i="108"/>
  <c r="AB99" i="108"/>
  <c r="AB122" i="108"/>
  <c r="W122" i="108"/>
  <c r="W126" i="108"/>
  <c r="W143" i="108"/>
  <c r="W100" i="108"/>
  <c r="W98" i="108"/>
  <c r="AB138" i="108"/>
  <c r="W119" i="108"/>
  <c r="AB145" i="108"/>
  <c r="AA120" i="108"/>
  <c r="AB144" i="108"/>
  <c r="W121" i="108"/>
  <c r="AB117" i="108"/>
  <c r="AB112" i="108"/>
  <c r="W102" i="108"/>
  <c r="AB108" i="108"/>
  <c r="AB105" i="108"/>
  <c r="W118" i="108"/>
  <c r="BF14" i="188" l="1"/>
  <c r="BF31" i="188"/>
  <c r="BF56" i="188"/>
  <c r="BF40" i="188"/>
  <c r="BF47" i="188"/>
  <c r="BF41" i="188"/>
  <c r="BF57" i="188"/>
  <c r="BF50" i="188"/>
  <c r="BF62" i="188"/>
  <c r="BF30" i="188"/>
  <c r="BF70" i="188"/>
  <c r="BF54" i="188"/>
  <c r="BF38" i="188"/>
  <c r="BF43" i="188"/>
  <c r="BF37" i="188"/>
  <c r="BF71" i="188"/>
  <c r="BF69" i="188"/>
  <c r="BF72" i="188"/>
  <c r="BF68" i="188"/>
  <c r="BF52" i="188"/>
  <c r="BF36" i="188"/>
  <c r="BF39" i="188"/>
  <c r="BF33" i="188"/>
  <c r="BF55" i="188"/>
  <c r="BF34" i="188"/>
  <c r="BF25" i="188"/>
  <c r="BF24" i="188"/>
  <c r="BF45" i="188"/>
  <c r="BF66" i="188"/>
  <c r="BF35" i="188"/>
  <c r="BF27" i="188"/>
  <c r="BF63" i="188"/>
  <c r="BF64" i="188"/>
  <c r="BF48" i="188"/>
  <c r="BF29" i="188"/>
  <c r="BF26" i="188"/>
  <c r="BF61" i="188"/>
  <c r="BF53" i="188"/>
  <c r="BF46" i="188"/>
  <c r="BF67" i="188"/>
  <c r="BF42" i="188"/>
  <c r="BF28" i="188"/>
  <c r="BF51" i="188"/>
  <c r="BF60" i="188"/>
  <c r="BF44" i="188"/>
  <c r="BF32" i="188"/>
  <c r="BF49" i="188"/>
  <c r="BF59" i="188"/>
  <c r="BF65" i="188"/>
  <c r="BF58" i="188"/>
  <c r="BC14" i="188"/>
  <c r="BC67" i="188"/>
  <c r="BC28" i="188"/>
  <c r="BC70" i="188"/>
  <c r="BC54" i="188"/>
  <c r="BC32" i="188"/>
  <c r="BC42" i="188"/>
  <c r="BC43" i="188"/>
  <c r="BC35" i="188"/>
  <c r="BC65" i="188"/>
  <c r="BC31" i="188"/>
  <c r="BC68" i="188"/>
  <c r="BC52" i="188"/>
  <c r="BC24" i="188"/>
  <c r="BC57" i="188"/>
  <c r="BC49" i="188"/>
  <c r="BC53" i="188"/>
  <c r="BC34" i="188"/>
  <c r="BC63" i="188"/>
  <c r="BC29" i="188"/>
  <c r="BC66" i="188"/>
  <c r="BC48" i="188"/>
  <c r="BC25" i="188"/>
  <c r="BC33" i="188"/>
  <c r="BC36" i="188"/>
  <c r="BC72" i="188"/>
  <c r="BC61" i="188"/>
  <c r="BC51" i="188"/>
  <c r="BC64" i="188"/>
  <c r="BC44" i="188"/>
  <c r="BC60" i="188"/>
  <c r="BC69" i="188"/>
  <c r="BC41" i="188"/>
  <c r="BC27" i="188"/>
  <c r="BC59" i="188"/>
  <c r="BC47" i="188"/>
  <c r="BC62" i="188"/>
  <c r="BC40" i="188"/>
  <c r="BC45" i="188"/>
  <c r="BC46" i="188"/>
  <c r="BC38" i="188"/>
  <c r="BC30" i="188"/>
  <c r="BC37" i="188"/>
  <c r="BC71" i="188"/>
  <c r="BC55" i="188"/>
  <c r="BC39" i="188"/>
  <c r="BC58" i="188"/>
  <c r="BC26" i="188"/>
  <c r="BC50" i="188"/>
  <c r="BC56" i="188"/>
  <c r="BD14" i="188"/>
  <c r="BD69" i="188"/>
  <c r="BD53" i="188"/>
  <c r="BD37" i="188"/>
  <c r="BD66" i="188"/>
  <c r="BD52" i="188"/>
  <c r="BD46" i="188"/>
  <c r="BD51" i="188"/>
  <c r="BD64" i="188"/>
  <c r="BD25" i="188"/>
  <c r="BD60" i="188"/>
  <c r="BD59" i="188"/>
  <c r="BD32" i="188"/>
  <c r="BD68" i="188"/>
  <c r="BD67" i="188"/>
  <c r="BD35" i="188"/>
  <c r="BD48" i="188"/>
  <c r="BD31" i="188"/>
  <c r="BD34" i="188"/>
  <c r="BD72" i="188"/>
  <c r="BD65" i="188"/>
  <c r="BD49" i="188"/>
  <c r="BD33" i="188"/>
  <c r="BD62" i="188"/>
  <c r="BD44" i="188"/>
  <c r="BD50" i="188"/>
  <c r="BD47" i="188"/>
  <c r="BD40" i="188"/>
  <c r="BD28" i="188"/>
  <c r="BD42" i="188"/>
  <c r="BD24" i="188"/>
  <c r="BD63" i="188"/>
  <c r="BD38" i="188"/>
  <c r="BD55" i="188"/>
  <c r="BD61" i="188"/>
  <c r="BD45" i="188"/>
  <c r="BD26" i="188"/>
  <c r="BD58" i="188"/>
  <c r="BD36" i="188"/>
  <c r="BD29" i="188"/>
  <c r="BD56" i="188"/>
  <c r="BD70" i="188"/>
  <c r="BD27" i="188"/>
  <c r="BD43" i="188"/>
  <c r="BD39" i="188"/>
  <c r="BD30" i="188"/>
  <c r="BD57" i="188"/>
  <c r="BD41" i="188"/>
  <c r="BD54" i="188"/>
  <c r="BD71" i="188"/>
  <c r="BB14" i="188"/>
  <c r="BB61" i="188"/>
  <c r="BB45" i="188"/>
  <c r="BB50" i="188"/>
  <c r="BB70" i="188"/>
  <c r="BB54" i="188"/>
  <c r="BB51" i="188"/>
  <c r="BB25" i="188"/>
  <c r="BB72" i="188"/>
  <c r="BB59" i="188"/>
  <c r="BB43" i="188"/>
  <c r="BB46" i="188"/>
  <c r="BB68" i="188"/>
  <c r="BB52" i="188"/>
  <c r="BB67" i="188"/>
  <c r="BB47" i="188"/>
  <c r="BB27" i="188"/>
  <c r="BB32" i="188"/>
  <c r="BB57" i="188"/>
  <c r="BB41" i="188"/>
  <c r="BB42" i="188"/>
  <c r="BB66" i="188"/>
  <c r="BB48" i="188"/>
  <c r="BB60" i="188"/>
  <c r="BB29" i="188"/>
  <c r="BB31" i="188"/>
  <c r="BB71" i="188"/>
  <c r="BB55" i="188"/>
  <c r="BB39" i="188"/>
  <c r="BB38" i="188"/>
  <c r="BB64" i="188"/>
  <c r="BB44" i="188"/>
  <c r="BB35" i="188"/>
  <c r="BB36" i="188"/>
  <c r="BB63" i="188"/>
  <c r="BB24" i="188"/>
  <c r="BB69" i="188"/>
  <c r="BB53" i="188"/>
  <c r="BB37" i="188"/>
  <c r="BB34" i="188"/>
  <c r="BB62" i="188"/>
  <c r="BB40" i="188"/>
  <c r="BB28" i="188"/>
  <c r="BB65" i="188"/>
  <c r="BB49" i="188"/>
  <c r="BB33" i="188"/>
  <c r="BB30" i="188"/>
  <c r="BB58" i="188"/>
  <c r="BB26" i="188"/>
  <c r="BB56" i="188"/>
  <c r="BH66" i="188"/>
  <c r="BH50" i="188"/>
  <c r="BH34" i="188"/>
  <c r="BH37" i="188"/>
  <c r="BH57" i="188"/>
  <c r="BH43" i="188"/>
  <c r="BH48" i="188"/>
  <c r="BH71" i="188"/>
  <c r="BH55" i="188"/>
  <c r="BH53" i="188"/>
  <c r="BH52" i="188"/>
  <c r="BH64" i="188"/>
  <c r="BH72" i="188"/>
  <c r="BH47" i="188"/>
  <c r="BH46" i="188"/>
  <c r="BH30" i="188"/>
  <c r="BH69" i="188"/>
  <c r="BH33" i="188"/>
  <c r="BH65" i="188"/>
  <c r="BH51" i="188"/>
  <c r="BH56" i="188"/>
  <c r="BH49" i="188"/>
  <c r="BH70" i="188"/>
  <c r="BH45" i="188"/>
  <c r="BH62" i="188"/>
  <c r="BH26" i="188"/>
  <c r="BH63" i="188"/>
  <c r="BH54" i="188"/>
  <c r="BH38" i="188"/>
  <c r="BH39" i="188"/>
  <c r="BH60" i="188"/>
  <c r="BH44" i="188"/>
  <c r="BH31" i="188"/>
  <c r="BH67" i="188"/>
  <c r="BH24" i="188"/>
  <c r="BH25" i="188"/>
  <c r="BH58" i="188"/>
  <c r="BH32" i="188"/>
  <c r="BH35" i="188"/>
  <c r="BH27" i="188"/>
  <c r="BH42" i="188"/>
  <c r="BH40" i="188"/>
  <c r="BH28" i="188"/>
  <c r="BH59" i="188"/>
  <c r="BH29" i="188"/>
  <c r="BH68" i="188"/>
  <c r="BH36" i="188"/>
  <c r="BH61" i="188"/>
  <c r="BH41" i="188"/>
  <c r="BE14" i="188"/>
  <c r="BE71" i="188"/>
  <c r="BE64" i="188"/>
  <c r="BE26" i="188"/>
  <c r="BE72" i="188"/>
  <c r="BE25" i="188"/>
  <c r="BE27" i="188"/>
  <c r="BE30" i="188"/>
  <c r="BE40" i="188"/>
  <c r="BE44" i="188"/>
  <c r="BE46" i="188"/>
  <c r="BE62" i="188"/>
  <c r="BE70" i="188"/>
  <c r="BE37" i="188"/>
  <c r="BE63" i="188"/>
  <c r="BE41" i="188"/>
  <c r="BE36" i="188"/>
  <c r="BE38" i="188"/>
  <c r="BE28" i="188"/>
  <c r="BE68" i="188"/>
  <c r="BE42" i="188"/>
  <c r="BE35" i="188"/>
  <c r="BE32" i="188"/>
  <c r="BE24" i="188"/>
  <c r="BE34" i="188"/>
  <c r="BE52" i="188"/>
  <c r="BE54" i="188"/>
  <c r="BE56" i="188"/>
  <c r="BE31" i="188"/>
  <c r="BE60" i="188"/>
  <c r="BE33" i="188"/>
  <c r="BE39" i="188"/>
  <c r="BE65" i="188"/>
  <c r="BE50" i="188"/>
  <c r="BE69" i="188"/>
  <c r="BE66" i="188"/>
  <c r="BE45" i="188"/>
  <c r="BE47" i="188"/>
  <c r="BE49" i="188"/>
  <c r="BE58" i="188"/>
  <c r="BE53" i="188"/>
  <c r="BE55" i="188"/>
  <c r="BE43" i="188"/>
  <c r="BE61" i="188"/>
  <c r="BE48" i="188"/>
  <c r="BE67" i="188"/>
  <c r="BE59" i="188"/>
  <c r="BE29" i="188"/>
  <c r="BE57" i="188"/>
  <c r="BE51" i="188"/>
  <c r="BG14" i="188"/>
  <c r="BG58" i="188"/>
  <c r="BG52" i="188"/>
  <c r="BG37" i="188"/>
  <c r="BG61" i="188"/>
  <c r="BG28" i="188"/>
  <c r="BG47" i="188"/>
  <c r="BG48" i="188"/>
  <c r="BG33" i="188"/>
  <c r="BG39" i="188"/>
  <c r="BG46" i="188"/>
  <c r="BG38" i="188"/>
  <c r="BG68" i="188"/>
  <c r="BG71" i="188"/>
  <c r="BG64" i="188"/>
  <c r="BG67" i="188"/>
  <c r="BG26" i="188"/>
  <c r="BG50" i="188"/>
  <c r="BG43" i="188"/>
  <c r="BG31" i="188"/>
  <c r="BG56" i="188"/>
  <c r="BG59" i="188"/>
  <c r="BG72" i="188"/>
  <c r="BG35" i="188"/>
  <c r="BG49" i="188"/>
  <c r="BG63" i="188"/>
  <c r="BG70" i="188"/>
  <c r="BG54" i="188"/>
  <c r="BG44" i="188"/>
  <c r="BG25" i="188"/>
  <c r="BG57" i="188"/>
  <c r="BG40" i="188"/>
  <c r="BG55" i="188"/>
  <c r="BG27" i="188"/>
  <c r="BG51" i="188"/>
  <c r="BG42" i="188"/>
  <c r="BG62" i="188"/>
  <c r="BG24" i="188"/>
  <c r="BG66" i="188"/>
  <c r="BG32" i="188"/>
  <c r="BG36" i="188"/>
  <c r="BG69" i="188"/>
  <c r="BG53" i="188"/>
  <c r="BG34" i="188"/>
  <c r="BG29" i="188"/>
  <c r="BG65" i="188"/>
  <c r="BG41" i="188"/>
  <c r="BG45" i="188"/>
  <c r="BG60" i="188"/>
  <c r="BG30" i="188"/>
  <c r="AD23" i="188"/>
  <c r="AZ23" i="188" s="1"/>
  <c r="AC23" i="188"/>
  <c r="AY23" i="188" s="1"/>
  <c r="AB23" i="188"/>
  <c r="AD22" i="188"/>
  <c r="AZ22" i="188" s="1"/>
  <c r="K94" i="188" s="1"/>
  <c r="AC22" i="188"/>
  <c r="AY22" i="188" s="1"/>
  <c r="J94" i="188" s="1"/>
  <c r="AB22" i="188"/>
  <c r="AF21" i="188"/>
  <c r="AE21" i="188"/>
  <c r="AG21" i="188"/>
  <c r="AD21" i="188"/>
  <c r="AC21" i="188"/>
  <c r="AB21" i="188"/>
  <c r="AD20" i="188"/>
  <c r="AZ20" i="188" s="1"/>
  <c r="AC20" i="188"/>
  <c r="AY20" i="188" s="1"/>
  <c r="AB20" i="188"/>
  <c r="AD17" i="188"/>
  <c r="AZ17" i="188" s="1"/>
  <c r="K87" i="188" s="1"/>
  <c r="AC16" i="188"/>
  <c r="AY16" i="188" s="1"/>
  <c r="AB15" i="188"/>
  <c r="AC17" i="188"/>
  <c r="AY17" i="188" s="1"/>
  <c r="AB16" i="188"/>
  <c r="AB19" i="188"/>
  <c r="AD19" i="188"/>
  <c r="AZ19" i="188" s="1"/>
  <c r="K90" i="188" s="1"/>
  <c r="AB17" i="188"/>
  <c r="AC19" i="188"/>
  <c r="AY19" i="188" s="1"/>
  <c r="J90" i="188" s="1"/>
  <c r="AD16" i="188"/>
  <c r="AZ16" i="188" s="1"/>
  <c r="AD15" i="188"/>
  <c r="AZ15" i="188" s="1"/>
  <c r="K86" i="188" s="1"/>
  <c r="AC15" i="188"/>
  <c r="AY15" i="188" s="1"/>
  <c r="J86" i="188" s="1"/>
  <c r="AD18" i="188"/>
  <c r="AZ18" i="188" s="1"/>
  <c r="K88" i="188" s="1"/>
  <c r="AC18" i="188"/>
  <c r="AY18" i="188" s="1"/>
  <c r="J88" i="188" s="1"/>
  <c r="AB18" i="188"/>
  <c r="AC14" i="188"/>
  <c r="AB14" i="188"/>
  <c r="AX14" i="188" s="1"/>
  <c r="I85" i="188" s="1"/>
  <c r="AD14" i="188"/>
  <c r="AZ14" i="188" s="1"/>
  <c r="K91" i="75"/>
  <c r="L35" i="166"/>
  <c r="P35" i="166" s="1"/>
  <c r="S35" i="166" s="1"/>
  <c r="L61" i="166"/>
  <c r="P61" i="166" s="1"/>
  <c r="S61" i="166" s="1"/>
  <c r="L54" i="166"/>
  <c r="P54" i="166" s="1"/>
  <c r="S54" i="166" s="1"/>
  <c r="L75" i="166"/>
  <c r="P75" i="166" s="1"/>
  <c r="S75" i="166" s="1"/>
  <c r="L48" i="166"/>
  <c r="P48" i="166" s="1"/>
  <c r="S48" i="166" s="1"/>
  <c r="N66" i="166"/>
  <c r="N29" i="166"/>
  <c r="N47" i="166"/>
  <c r="N59" i="166"/>
  <c r="N74" i="166"/>
  <c r="N53" i="166"/>
  <c r="K92" i="75"/>
  <c r="L66" i="166"/>
  <c r="L59" i="166"/>
  <c r="L53" i="166"/>
  <c r="L74" i="166"/>
  <c r="L47" i="166"/>
  <c r="E89" i="75"/>
  <c r="E90" i="75"/>
  <c r="E75" i="75"/>
  <c r="E78" i="75"/>
  <c r="E72" i="75"/>
  <c r="E92" i="75"/>
  <c r="E74" i="75"/>
  <c r="E91" i="75"/>
  <c r="E73" i="75"/>
  <c r="E76" i="75"/>
  <c r="E93" i="75"/>
  <c r="K93" i="75" s="1"/>
  <c r="L93" i="75" s="1"/>
  <c r="E77" i="75"/>
  <c r="L65" i="166"/>
  <c r="P65" i="166" s="1"/>
  <c r="S65" i="166" s="1"/>
  <c r="L67" i="166"/>
  <c r="P67" i="166" s="1"/>
  <c r="L52" i="166"/>
  <c r="P52" i="166" s="1"/>
  <c r="L73" i="166"/>
  <c r="P73" i="166" s="1"/>
  <c r="S73" i="166" s="1"/>
  <c r="L58" i="166"/>
  <c r="P58" i="166" s="1"/>
  <c r="L46" i="166"/>
  <c r="P46" i="166" s="1"/>
  <c r="L60" i="166"/>
  <c r="P60" i="166" s="1"/>
  <c r="L64" i="166"/>
  <c r="P64" i="166" s="1"/>
  <c r="L72" i="166"/>
  <c r="P72" i="166" s="1"/>
  <c r="L57" i="166"/>
  <c r="P57" i="166" s="1"/>
  <c r="L51" i="166"/>
  <c r="P51" i="166" s="1"/>
  <c r="L45" i="166"/>
  <c r="P45" i="166" s="1"/>
  <c r="Y99" i="108"/>
  <c r="Y98" i="108"/>
  <c r="Y133" i="108"/>
  <c r="Y121" i="108"/>
  <c r="L22" i="166"/>
  <c r="P22" i="166" s="1"/>
  <c r="L41" i="166"/>
  <c r="P41" i="166" s="1"/>
  <c r="L42" i="166"/>
  <c r="P42" i="166" s="1"/>
  <c r="L29" i="166"/>
  <c r="L33" i="166"/>
  <c r="P33" i="166" s="1"/>
  <c r="S33" i="166" s="1"/>
  <c r="L27" i="166"/>
  <c r="P27" i="166" s="1"/>
  <c r="O23" i="166"/>
  <c r="L28" i="166"/>
  <c r="P28" i="166" s="1"/>
  <c r="S28" i="166" s="1"/>
  <c r="L26" i="166"/>
  <c r="P26" i="166" s="1"/>
  <c r="L38" i="166"/>
  <c r="P38" i="166" s="1"/>
  <c r="L32" i="166"/>
  <c r="P32" i="166" s="1"/>
  <c r="L20" i="166"/>
  <c r="L21" i="166"/>
  <c r="P21" i="166" s="1"/>
  <c r="N20" i="166"/>
  <c r="L34" i="166"/>
  <c r="L39" i="166"/>
  <c r="L40" i="166"/>
  <c r="P40" i="166" s="1"/>
  <c r="Y119" i="108"/>
  <c r="Y120" i="108"/>
  <c r="Y118" i="108"/>
  <c r="Y111" i="108"/>
  <c r="Y102" i="108"/>
  <c r="Y130" i="108"/>
  <c r="Y122" i="108"/>
  <c r="Y125" i="108"/>
  <c r="Y115" i="108"/>
  <c r="Y129" i="108"/>
  <c r="Y137" i="108"/>
  <c r="Y114" i="108"/>
  <c r="S123" i="108"/>
  <c r="Y126" i="108"/>
  <c r="Y100" i="108"/>
  <c r="Y123" i="108"/>
  <c r="Y117" i="108"/>
  <c r="F4" i="75"/>
  <c r="P65" i="108"/>
  <c r="P60" i="108"/>
  <c r="AA132" i="108"/>
  <c r="AA123" i="108"/>
  <c r="T117" i="108"/>
  <c r="T120" i="108"/>
  <c r="W136" i="108"/>
  <c r="AA106" i="108"/>
  <c r="AA99" i="108"/>
  <c r="Q104" i="108"/>
  <c r="AA129" i="108"/>
  <c r="Q112" i="108"/>
  <c r="Q120" i="108"/>
  <c r="Q118" i="108"/>
  <c r="Q117" i="108"/>
  <c r="AA114" i="108"/>
  <c r="AA107" i="108"/>
  <c r="Q105" i="108"/>
  <c r="Q113" i="108"/>
  <c r="AA138" i="108"/>
  <c r="Q131" i="108"/>
  <c r="T99" i="108"/>
  <c r="AA112" i="108"/>
  <c r="AA119" i="108"/>
  <c r="T119" i="108"/>
  <c r="AA113" i="108"/>
  <c r="T122" i="108"/>
  <c r="AA97" i="108"/>
  <c r="Q119" i="108"/>
  <c r="AA141" i="108"/>
  <c r="T136" i="108"/>
  <c r="T115" i="108"/>
  <c r="T118" i="108"/>
  <c r="AA137" i="108"/>
  <c r="T123" i="108"/>
  <c r="P67" i="108"/>
  <c r="AA116" i="108"/>
  <c r="AA135" i="108"/>
  <c r="T133" i="108"/>
  <c r="W139" i="108"/>
  <c r="Q126" i="108"/>
  <c r="T130" i="108"/>
  <c r="AA124" i="108"/>
  <c r="Q142" i="108"/>
  <c r="Q111" i="108"/>
  <c r="P100" i="108"/>
  <c r="Q116" i="108"/>
  <c r="Q138" i="108"/>
  <c r="AA144" i="108"/>
  <c r="AA133" i="108"/>
  <c r="W124" i="108"/>
  <c r="Q121" i="108"/>
  <c r="Q122" i="108"/>
  <c r="Q140" i="108"/>
  <c r="AA104" i="108"/>
  <c r="T139" i="108"/>
  <c r="Q137" i="108"/>
  <c r="P64" i="108"/>
  <c r="AA130" i="108"/>
  <c r="AA134" i="108"/>
  <c r="Q124" i="108"/>
  <c r="AA115" i="108"/>
  <c r="AA101" i="108"/>
  <c r="AA122" i="108"/>
  <c r="Q101" i="108"/>
  <c r="P71" i="108"/>
  <c r="Q114" i="108"/>
  <c r="Q133" i="108"/>
  <c r="T124" i="108"/>
  <c r="AA118" i="108"/>
  <c r="AA136" i="108"/>
  <c r="P88" i="108"/>
  <c r="T114" i="108"/>
  <c r="T144" i="108"/>
  <c r="P66" i="108"/>
  <c r="P77" i="108"/>
  <c r="P62" i="108"/>
  <c r="AA127" i="108"/>
  <c r="Q132" i="108"/>
  <c r="P70" i="108"/>
  <c r="Q144" i="108"/>
  <c r="AA111" i="108"/>
  <c r="Q141" i="108"/>
  <c r="Q99" i="108"/>
  <c r="Q139" i="108"/>
  <c r="Q129" i="108"/>
  <c r="Q115" i="108"/>
  <c r="AA131" i="108"/>
  <c r="AA126" i="108"/>
  <c r="T138" i="108"/>
  <c r="Q127" i="108"/>
  <c r="P83" i="108"/>
  <c r="Q130" i="108"/>
  <c r="Q136" i="108"/>
  <c r="AA140" i="108"/>
  <c r="Q106" i="108"/>
  <c r="Q135" i="108"/>
  <c r="W97" i="108"/>
  <c r="P61" i="108"/>
  <c r="T111" i="108"/>
  <c r="T141" i="108"/>
  <c r="T121" i="108"/>
  <c r="Q107" i="108"/>
  <c r="Q134" i="108"/>
  <c r="AA128" i="108"/>
  <c r="AA139" i="108"/>
  <c r="Q128" i="108"/>
  <c r="AA142" i="108"/>
  <c r="AA105" i="108"/>
  <c r="P69" i="108"/>
  <c r="T140" i="108"/>
  <c r="P59" i="108"/>
  <c r="AA117" i="108"/>
  <c r="T126" i="108"/>
  <c r="Q97" i="108"/>
  <c r="K89" i="188" l="1"/>
  <c r="J87" i="188"/>
  <c r="N87" i="188" s="1"/>
  <c r="J89" i="188"/>
  <c r="K91" i="188"/>
  <c r="K85" i="188"/>
  <c r="H85" i="188" s="1"/>
  <c r="N94" i="188"/>
  <c r="N90" i="188"/>
  <c r="N88" i="188"/>
  <c r="N86" i="188"/>
  <c r="AY14" i="188"/>
  <c r="BI14" i="188"/>
  <c r="BK14" i="188"/>
  <c r="BJ14" i="188"/>
  <c r="BH14" i="188"/>
  <c r="AX17" i="188"/>
  <c r="BB17" i="188"/>
  <c r="BC17" i="188"/>
  <c r="BD17" i="188"/>
  <c r="BF17" i="188"/>
  <c r="BE17" i="188"/>
  <c r="BG17" i="188"/>
  <c r="BH17" i="188"/>
  <c r="BI17" i="188"/>
  <c r="BJ17" i="188"/>
  <c r="BK17" i="188"/>
  <c r="AX20" i="188"/>
  <c r="I91" i="188" s="1"/>
  <c r="BC20" i="188"/>
  <c r="BB20" i="188"/>
  <c r="BF20" i="188"/>
  <c r="BD20" i="188"/>
  <c r="BE20" i="188"/>
  <c r="BG20" i="188"/>
  <c r="BH20" i="188"/>
  <c r="BI20" i="188"/>
  <c r="BJ20" i="188"/>
  <c r="BK20" i="188"/>
  <c r="AX15" i="188"/>
  <c r="I86" i="188" s="1"/>
  <c r="H86" i="188" s="1"/>
  <c r="BC15" i="188"/>
  <c r="BB15" i="188"/>
  <c r="BF15" i="188"/>
  <c r="BD15" i="188"/>
  <c r="BE15" i="188"/>
  <c r="BG15" i="188"/>
  <c r="BH15" i="188"/>
  <c r="BI15" i="188"/>
  <c r="BJ15" i="188"/>
  <c r="BK15" i="188"/>
  <c r="AX18" i="188"/>
  <c r="I88" i="188" s="1"/>
  <c r="H88" i="188" s="1"/>
  <c r="BB18" i="188"/>
  <c r="BC18" i="188"/>
  <c r="BD18" i="188"/>
  <c r="BF18" i="188"/>
  <c r="BE18" i="188"/>
  <c r="BG18" i="188"/>
  <c r="BH18" i="188"/>
  <c r="BI18" i="188"/>
  <c r="BJ18" i="188"/>
  <c r="BK18" i="188"/>
  <c r="AX22" i="188"/>
  <c r="I94" i="188" s="1"/>
  <c r="G94" i="188" s="1"/>
  <c r="BC22" i="188"/>
  <c r="BB22" i="188"/>
  <c r="BF22" i="188"/>
  <c r="BE22" i="188"/>
  <c r="BD22" i="188"/>
  <c r="BG22" i="188"/>
  <c r="BH22" i="188"/>
  <c r="BI22" i="188"/>
  <c r="BJ22" i="188"/>
  <c r="BK22" i="188"/>
  <c r="AX19" i="188"/>
  <c r="I90" i="188" s="1"/>
  <c r="G90" i="188" s="1"/>
  <c r="BB19" i="188"/>
  <c r="BC19" i="188"/>
  <c r="BF19" i="188"/>
  <c r="BE19" i="188"/>
  <c r="BD19" i="188"/>
  <c r="BG19" i="188"/>
  <c r="BH19" i="188"/>
  <c r="BI19" i="188"/>
  <c r="BJ19" i="188"/>
  <c r="BK19" i="188"/>
  <c r="AX16" i="188"/>
  <c r="I89" i="188" s="1"/>
  <c r="BB16" i="188"/>
  <c r="BC16" i="188"/>
  <c r="BE16" i="188"/>
  <c r="BF16" i="188"/>
  <c r="BD16" i="188"/>
  <c r="BG16" i="188"/>
  <c r="BH16" i="188"/>
  <c r="BI16" i="188"/>
  <c r="BJ16" i="188"/>
  <c r="BK16" i="188"/>
  <c r="BC21" i="188"/>
  <c r="BB21" i="188"/>
  <c r="BE21" i="188"/>
  <c r="BD21" i="188"/>
  <c r="BF21" i="188"/>
  <c r="BG21" i="188"/>
  <c r="BH21" i="188"/>
  <c r="BI21" i="188"/>
  <c r="BJ21" i="188"/>
  <c r="BK21" i="188"/>
  <c r="AX23" i="188"/>
  <c r="BC23" i="188"/>
  <c r="BB23" i="188"/>
  <c r="BD23" i="188"/>
  <c r="BF23" i="188"/>
  <c r="BE23" i="188"/>
  <c r="BG23" i="188"/>
  <c r="BH23" i="188"/>
  <c r="BI23" i="188"/>
  <c r="BJ23" i="188"/>
  <c r="BK23" i="188"/>
  <c r="AY21" i="188"/>
  <c r="J92" i="188" s="1"/>
  <c r="AX21" i="188"/>
  <c r="I92" i="188" s="1"/>
  <c r="AZ21" i="188"/>
  <c r="K92" i="188" s="1"/>
  <c r="Y142" i="108"/>
  <c r="Y124" i="108"/>
  <c r="V123" i="108"/>
  <c r="Z123" i="108" s="1"/>
  <c r="S111" i="108"/>
  <c r="S99" i="108"/>
  <c r="K89" i="75"/>
  <c r="L89" i="75" s="1"/>
  <c r="P29" i="166"/>
  <c r="S29" i="166" s="1"/>
  <c r="P59" i="166"/>
  <c r="S59" i="166" s="1"/>
  <c r="K90" i="75"/>
  <c r="L90" i="75" s="1"/>
  <c r="P47" i="166"/>
  <c r="S47" i="166" s="1"/>
  <c r="M51" i="166"/>
  <c r="Q51" i="166" s="1"/>
  <c r="R51" i="166" s="1"/>
  <c r="M72" i="166"/>
  <c r="Q72" i="166" s="1"/>
  <c r="R72" i="166" s="1"/>
  <c r="M57" i="166"/>
  <c r="Q57" i="166" s="1"/>
  <c r="R57" i="166" s="1"/>
  <c r="M64" i="166"/>
  <c r="Q64" i="166" s="1"/>
  <c r="R64" i="166" s="1"/>
  <c r="M45" i="166"/>
  <c r="Q45" i="166" s="1"/>
  <c r="R45" i="166" s="1"/>
  <c r="P53" i="166"/>
  <c r="S53" i="166" s="1"/>
  <c r="P74" i="166"/>
  <c r="S74" i="166" s="1"/>
  <c r="P66" i="166"/>
  <c r="S66" i="166" s="1"/>
  <c r="S67" i="166"/>
  <c r="F89" i="75"/>
  <c r="F90" i="75"/>
  <c r="F76" i="75"/>
  <c r="F75" i="75"/>
  <c r="F78" i="75"/>
  <c r="F91" i="75"/>
  <c r="F92" i="75"/>
  <c r="F77" i="75"/>
  <c r="F73" i="75"/>
  <c r="F72" i="75"/>
  <c r="F93" i="75"/>
  <c r="F74" i="75"/>
  <c r="S52" i="166"/>
  <c r="S58" i="166"/>
  <c r="O66" i="166"/>
  <c r="O29" i="166"/>
  <c r="O74" i="166"/>
  <c r="O59" i="166"/>
  <c r="O47" i="166"/>
  <c r="O53" i="166"/>
  <c r="S60" i="166"/>
  <c r="S46" i="166"/>
  <c r="M66" i="166"/>
  <c r="M59" i="166"/>
  <c r="M74" i="166"/>
  <c r="M47" i="166"/>
  <c r="M53" i="166"/>
  <c r="S64" i="166"/>
  <c r="M54" i="166"/>
  <c r="Q54" i="166" s="1"/>
  <c r="M61" i="166"/>
  <c r="Q61" i="166" s="1"/>
  <c r="M48" i="166"/>
  <c r="Q48" i="166" s="1"/>
  <c r="M75" i="166"/>
  <c r="Q75" i="166" s="1"/>
  <c r="S57" i="166"/>
  <c r="M40" i="166"/>
  <c r="Q40" i="166" s="1"/>
  <c r="R40" i="166" s="1"/>
  <c r="S45" i="166"/>
  <c r="S72" i="166"/>
  <c r="S51" i="166"/>
  <c r="O20" i="166"/>
  <c r="M35" i="166"/>
  <c r="Q35" i="166" s="1"/>
  <c r="Y97" i="108"/>
  <c r="V99" i="108"/>
  <c r="S121" i="108"/>
  <c r="V141" i="108"/>
  <c r="V121" i="108"/>
  <c r="S133" i="108"/>
  <c r="S26" i="166"/>
  <c r="S27" i="166"/>
  <c r="S22" i="166"/>
  <c r="M39" i="166"/>
  <c r="M34" i="166"/>
  <c r="S21" i="166"/>
  <c r="N34" i="166"/>
  <c r="P34" i="166" s="1"/>
  <c r="N39" i="166"/>
  <c r="P39" i="166" s="1"/>
  <c r="P20" i="166"/>
  <c r="M29" i="166"/>
  <c r="M22" i="166"/>
  <c r="Q22" i="166" s="1"/>
  <c r="M42" i="166"/>
  <c r="Q42" i="166" s="1"/>
  <c r="M28" i="166"/>
  <c r="Q28" i="166" s="1"/>
  <c r="M26" i="166"/>
  <c r="Q26" i="166" s="1"/>
  <c r="M38" i="166"/>
  <c r="Q38" i="166" s="1"/>
  <c r="M23" i="166"/>
  <c r="Q23" i="166" s="1"/>
  <c r="R23" i="166" s="1"/>
  <c r="L23" i="166"/>
  <c r="P23" i="166" s="1"/>
  <c r="S32" i="166"/>
  <c r="S41" i="166"/>
  <c r="S42" i="166"/>
  <c r="S40" i="166"/>
  <c r="S38" i="166"/>
  <c r="V124" i="108"/>
  <c r="S118" i="108"/>
  <c r="V118" i="108"/>
  <c r="S119" i="108"/>
  <c r="S97" i="108"/>
  <c r="V120" i="108"/>
  <c r="S134" i="108"/>
  <c r="V140" i="108"/>
  <c r="S112" i="108"/>
  <c r="V119" i="108"/>
  <c r="S120" i="108"/>
  <c r="S124" i="108"/>
  <c r="S130" i="108"/>
  <c r="S115" i="108"/>
  <c r="S131" i="108"/>
  <c r="S135" i="108"/>
  <c r="S141" i="108"/>
  <c r="S142" i="108"/>
  <c r="S116" i="108"/>
  <c r="V117" i="108"/>
  <c r="Y139" i="108"/>
  <c r="S113" i="108"/>
  <c r="S105" i="108"/>
  <c r="S114" i="108"/>
  <c r="V115" i="108"/>
  <c r="S126" i="108"/>
  <c r="V138" i="108"/>
  <c r="S101" i="108"/>
  <c r="S136" i="108"/>
  <c r="V139" i="108"/>
  <c r="S106" i="108"/>
  <c r="S107" i="108"/>
  <c r="S138" i="108"/>
  <c r="S122" i="108"/>
  <c r="S129" i="108"/>
  <c r="S127" i="108"/>
  <c r="S104" i="108"/>
  <c r="S117" i="108"/>
  <c r="S140" i="108"/>
  <c r="S128" i="108"/>
  <c r="V126" i="108"/>
  <c r="Y136" i="108"/>
  <c r="V111" i="108"/>
  <c r="V122" i="108"/>
  <c r="V136" i="108"/>
  <c r="S137" i="108"/>
  <c r="V133" i="108"/>
  <c r="S132" i="108"/>
  <c r="S139" i="108"/>
  <c r="V114" i="108"/>
  <c r="V130" i="108"/>
  <c r="G4" i="75"/>
  <c r="T101" i="108"/>
  <c r="T106" i="108"/>
  <c r="W140" i="108"/>
  <c r="T132" i="108"/>
  <c r="W138" i="108"/>
  <c r="T113" i="108"/>
  <c r="T104" i="108"/>
  <c r="T105" i="108"/>
  <c r="T116" i="108"/>
  <c r="T134" i="108"/>
  <c r="T137" i="108"/>
  <c r="T131" i="108"/>
  <c r="T142" i="108"/>
  <c r="T112" i="108"/>
  <c r="T135" i="108"/>
  <c r="T128" i="108"/>
  <c r="T107" i="108"/>
  <c r="T129" i="108"/>
  <c r="T97" i="108"/>
  <c r="W141" i="108"/>
  <c r="T127" i="108"/>
  <c r="H92" i="188" l="1"/>
  <c r="H89" i="188"/>
  <c r="N89" i="188"/>
  <c r="I87" i="188"/>
  <c r="G87" i="188" s="1"/>
  <c r="K95" i="188"/>
  <c r="K99" i="188" s="1"/>
  <c r="H91" i="188"/>
  <c r="J91" i="188"/>
  <c r="G91" i="188" s="1"/>
  <c r="J85" i="188"/>
  <c r="H94" i="188"/>
  <c r="M94" i="188" s="1"/>
  <c r="N92" i="188"/>
  <c r="G92" i="188"/>
  <c r="H90" i="188"/>
  <c r="M90" i="188" s="1"/>
  <c r="G88" i="188"/>
  <c r="M88" i="188" s="1"/>
  <c r="I102" i="188"/>
  <c r="G89" i="188"/>
  <c r="G86" i="188"/>
  <c r="M86" i="188" s="1"/>
  <c r="BK7" i="188"/>
  <c r="BJ7" i="188"/>
  <c r="BC7" i="188"/>
  <c r="BI7" i="188"/>
  <c r="BH7" i="188"/>
  <c r="BG7" i="188"/>
  <c r="BE7" i="188"/>
  <c r="BD7" i="188"/>
  <c r="BF7" i="188"/>
  <c r="BB7" i="188"/>
  <c r="AX7" i="188"/>
  <c r="K83" i="75" s="1"/>
  <c r="Y143" i="108"/>
  <c r="Z111" i="108"/>
  <c r="V127" i="108"/>
  <c r="V97" i="108"/>
  <c r="Z97" i="108" s="1"/>
  <c r="V101" i="108"/>
  <c r="V142" i="108"/>
  <c r="Z142" i="108" s="1"/>
  <c r="V107" i="108"/>
  <c r="V132" i="108"/>
  <c r="V131" i="108"/>
  <c r="Z99" i="108"/>
  <c r="P56" i="166"/>
  <c r="AD56" i="166" s="1"/>
  <c r="M65" i="166"/>
  <c r="Q65" i="166" s="1"/>
  <c r="Y65" i="166" s="1"/>
  <c r="M32" i="166"/>
  <c r="Q32" i="166" s="1"/>
  <c r="R32" i="166" s="1"/>
  <c r="T32" i="166" s="1"/>
  <c r="X32" i="166" s="1"/>
  <c r="M27" i="166"/>
  <c r="Q27" i="166" s="1"/>
  <c r="R27" i="166" s="1"/>
  <c r="T27" i="166" s="1"/>
  <c r="X27" i="166" s="1"/>
  <c r="M33" i="166"/>
  <c r="Q33" i="166" s="1"/>
  <c r="R33" i="166" s="1"/>
  <c r="T33" i="166" s="1"/>
  <c r="Z33" i="166" s="1"/>
  <c r="M41" i="166"/>
  <c r="Q41" i="166" s="1"/>
  <c r="Y41" i="166" s="1"/>
  <c r="P44" i="166"/>
  <c r="AD44" i="166" s="1"/>
  <c r="M52" i="166"/>
  <c r="Q52" i="166" s="1"/>
  <c r="Y52" i="166" s="1"/>
  <c r="M60" i="166"/>
  <c r="Q60" i="166" s="1"/>
  <c r="Y60" i="166" s="1"/>
  <c r="M20" i="166"/>
  <c r="M73" i="166"/>
  <c r="Q73" i="166" s="1"/>
  <c r="Y73" i="166" s="1"/>
  <c r="M67" i="166"/>
  <c r="Q67" i="166" s="1"/>
  <c r="Y67" i="166" s="1"/>
  <c r="T64" i="166"/>
  <c r="X64" i="166" s="1"/>
  <c r="Y57" i="166"/>
  <c r="M46" i="166"/>
  <c r="Q46" i="166" s="1"/>
  <c r="R46" i="166" s="1"/>
  <c r="T46" i="166" s="1"/>
  <c r="T57" i="166"/>
  <c r="X57" i="166" s="1"/>
  <c r="M58" i="166"/>
  <c r="Q58" i="166" s="1"/>
  <c r="Y58" i="166" s="1"/>
  <c r="Y72" i="166"/>
  <c r="T72" i="166"/>
  <c r="X72" i="166" s="1"/>
  <c r="T51" i="166"/>
  <c r="X51" i="166" s="1"/>
  <c r="Y64" i="166"/>
  <c r="Y51" i="166"/>
  <c r="Q53" i="166"/>
  <c r="R53" i="166" s="1"/>
  <c r="T53" i="166" s="1"/>
  <c r="X53" i="166" s="1"/>
  <c r="P71" i="166"/>
  <c r="AD71" i="166" s="1"/>
  <c r="Y45" i="166"/>
  <c r="T45" i="166"/>
  <c r="Z45" i="166" s="1"/>
  <c r="P63" i="166"/>
  <c r="AD63" i="166" s="1"/>
  <c r="P50" i="166"/>
  <c r="AD50" i="166" s="1"/>
  <c r="Q47" i="166"/>
  <c r="Q74" i="166"/>
  <c r="Y74" i="166" s="1"/>
  <c r="Q59" i="166"/>
  <c r="Y59" i="166" s="1"/>
  <c r="Q66" i="166"/>
  <c r="Y66" i="166" s="1"/>
  <c r="Q29" i="166"/>
  <c r="Y29" i="166" s="1"/>
  <c r="G89" i="75"/>
  <c r="G90" i="75"/>
  <c r="G78" i="75"/>
  <c r="G72" i="75"/>
  <c r="G76" i="75"/>
  <c r="G75" i="75"/>
  <c r="G77" i="75"/>
  <c r="G74" i="75"/>
  <c r="G73" i="75"/>
  <c r="G91" i="75"/>
  <c r="Y75" i="166"/>
  <c r="R75" i="166"/>
  <c r="T75" i="166" s="1"/>
  <c r="Z75" i="166" s="1"/>
  <c r="R48" i="166"/>
  <c r="T48" i="166" s="1"/>
  <c r="Z48" i="166" s="1"/>
  <c r="Y48" i="166"/>
  <c r="R61" i="166"/>
  <c r="T61" i="166" s="1"/>
  <c r="Z61" i="166" s="1"/>
  <c r="Y61" i="166"/>
  <c r="Y54" i="166"/>
  <c r="R54" i="166"/>
  <c r="T54" i="166" s="1"/>
  <c r="Z54" i="166" s="1"/>
  <c r="Y40" i="166"/>
  <c r="R35" i="166"/>
  <c r="T35" i="166" s="1"/>
  <c r="Z35" i="166" s="1"/>
  <c r="Y35" i="166"/>
  <c r="T40" i="166"/>
  <c r="X40" i="166" s="1"/>
  <c r="Z133" i="108"/>
  <c r="Y141" i="108"/>
  <c r="Z141" i="108" s="1"/>
  <c r="V129" i="108"/>
  <c r="Z129" i="108" s="1"/>
  <c r="V135" i="108"/>
  <c r="V113" i="108"/>
  <c r="S39" i="166"/>
  <c r="P37" i="166"/>
  <c r="S34" i="166"/>
  <c r="P31" i="166"/>
  <c r="R22" i="166"/>
  <c r="T22" i="166" s="1"/>
  <c r="X22" i="166" s="1"/>
  <c r="Y22" i="166"/>
  <c r="P25" i="166"/>
  <c r="R28" i="166"/>
  <c r="T28" i="166" s="1"/>
  <c r="Z28" i="166" s="1"/>
  <c r="Y28" i="166"/>
  <c r="S20" i="166"/>
  <c r="P19" i="166"/>
  <c r="AD19" i="166" s="1"/>
  <c r="H4" i="75"/>
  <c r="G93" i="75"/>
  <c r="G92" i="75"/>
  <c r="R38" i="166"/>
  <c r="T38" i="166" s="1"/>
  <c r="Y38" i="166"/>
  <c r="Z121" i="108"/>
  <c r="Y23" i="166"/>
  <c r="S23" i="166"/>
  <c r="T23" i="166" s="1"/>
  <c r="X23" i="166" s="1"/>
  <c r="R26" i="166"/>
  <c r="T26" i="166" s="1"/>
  <c r="X26" i="166" s="1"/>
  <c r="Y26" i="166"/>
  <c r="R42" i="166"/>
  <c r="T42" i="166" s="1"/>
  <c r="Y42" i="166"/>
  <c r="O34" i="166"/>
  <c r="Q34" i="166" s="1"/>
  <c r="O39" i="166"/>
  <c r="Q39" i="166" s="1"/>
  <c r="Z119" i="108"/>
  <c r="Z124" i="108"/>
  <c r="Z120" i="108"/>
  <c r="V134" i="108"/>
  <c r="V112" i="108"/>
  <c r="V105" i="108"/>
  <c r="Y140" i="108"/>
  <c r="Z140" i="108" s="1"/>
  <c r="Z118" i="108"/>
  <c r="Z130" i="108"/>
  <c r="Z115" i="108"/>
  <c r="V128" i="108"/>
  <c r="Z117" i="108"/>
  <c r="Z139" i="108"/>
  <c r="Z122" i="108"/>
  <c r="Z114" i="108"/>
  <c r="Z136" i="108"/>
  <c r="Y138" i="108"/>
  <c r="Z138" i="108" s="1"/>
  <c r="V116" i="108"/>
  <c r="V106" i="108"/>
  <c r="V104" i="108"/>
  <c r="V137" i="108"/>
  <c r="Z137" i="108" s="1"/>
  <c r="Z126" i="108"/>
  <c r="W107" i="108"/>
  <c r="W106" i="108"/>
  <c r="R90" i="108"/>
  <c r="W112" i="108"/>
  <c r="W132" i="108"/>
  <c r="W108" i="108"/>
  <c r="W116" i="108"/>
  <c r="W103" i="108"/>
  <c r="W109" i="108"/>
  <c r="W104" i="108"/>
  <c r="W128" i="108"/>
  <c r="W127" i="108"/>
  <c r="W101" i="108"/>
  <c r="W105" i="108"/>
  <c r="W135" i="108"/>
  <c r="W131" i="108"/>
  <c r="W134" i="108"/>
  <c r="W146" i="108"/>
  <c r="W113" i="108"/>
  <c r="M92" i="188" l="1"/>
  <c r="M89" i="188"/>
  <c r="M91" i="188"/>
  <c r="J95" i="188"/>
  <c r="J99" i="188" s="1"/>
  <c r="N91" i="188"/>
  <c r="I95" i="188"/>
  <c r="I99" i="188" s="1"/>
  <c r="I101" i="188" s="1"/>
  <c r="H87" i="188"/>
  <c r="M87" i="188" s="1"/>
  <c r="N85" i="188"/>
  <c r="G85" i="188"/>
  <c r="M85" i="188" s="1"/>
  <c r="S144" i="108"/>
  <c r="Y144" i="108"/>
  <c r="V144" i="108"/>
  <c r="Y101" i="108"/>
  <c r="Z101" i="108" s="1"/>
  <c r="Y107" i="108"/>
  <c r="Z107" i="108" s="1"/>
  <c r="Y127" i="108"/>
  <c r="Z127" i="108" s="1"/>
  <c r="Y131" i="108"/>
  <c r="Z131" i="108" s="1"/>
  <c r="Y132" i="108"/>
  <c r="Z132" i="108" s="1"/>
  <c r="R65" i="166"/>
  <c r="T65" i="166" s="1"/>
  <c r="Z65" i="166" s="1"/>
  <c r="Y32" i="166"/>
  <c r="R41" i="166"/>
  <c r="T41" i="166" s="1"/>
  <c r="X41" i="166" s="1"/>
  <c r="Y27" i="166"/>
  <c r="Y33" i="166"/>
  <c r="R60" i="166"/>
  <c r="T60" i="166" s="1"/>
  <c r="Z60" i="166" s="1"/>
  <c r="Z64" i="166"/>
  <c r="R52" i="166"/>
  <c r="T52" i="166" s="1"/>
  <c r="X52" i="166" s="1"/>
  <c r="Q50" i="166"/>
  <c r="Y50" i="166" s="1"/>
  <c r="Y53" i="166"/>
  <c r="R58" i="166"/>
  <c r="T58" i="166" s="1"/>
  <c r="Z58" i="166" s="1"/>
  <c r="R67" i="166"/>
  <c r="T67" i="166" s="1"/>
  <c r="Z67" i="166" s="1"/>
  <c r="R73" i="166"/>
  <c r="T73" i="166" s="1"/>
  <c r="Z73" i="166" s="1"/>
  <c r="Z57" i="166"/>
  <c r="Y46" i="166"/>
  <c r="Q44" i="166"/>
  <c r="Y44" i="166" s="1"/>
  <c r="Z72" i="166"/>
  <c r="Z51" i="166"/>
  <c r="X65" i="166"/>
  <c r="R29" i="166"/>
  <c r="T29" i="166" s="1"/>
  <c r="Z29" i="166" s="1"/>
  <c r="X45" i="166"/>
  <c r="Y47" i="166"/>
  <c r="R47" i="166"/>
  <c r="T47" i="166" s="1"/>
  <c r="T44" i="166" s="1"/>
  <c r="Q56" i="166"/>
  <c r="Y56" i="166" s="1"/>
  <c r="R74" i="166"/>
  <c r="T74" i="166" s="1"/>
  <c r="X74" i="166" s="1"/>
  <c r="R59" i="166"/>
  <c r="T59" i="166" s="1"/>
  <c r="X59" i="166" s="1"/>
  <c r="Q63" i="166"/>
  <c r="Y63" i="166" s="1"/>
  <c r="R66" i="166"/>
  <c r="T66" i="166" s="1"/>
  <c r="Q71" i="166"/>
  <c r="Y71" i="166" s="1"/>
  <c r="H89" i="75"/>
  <c r="H90" i="75"/>
  <c r="H75" i="75"/>
  <c r="H78" i="75"/>
  <c r="H76" i="75"/>
  <c r="H73" i="75"/>
  <c r="H74" i="75"/>
  <c r="H77" i="75"/>
  <c r="H72" i="75"/>
  <c r="X46" i="166"/>
  <c r="Z46" i="166"/>
  <c r="X54" i="166"/>
  <c r="X61" i="166"/>
  <c r="X48" i="166"/>
  <c r="Z53" i="166"/>
  <c r="X75" i="166"/>
  <c r="X35" i="166"/>
  <c r="Z40" i="166"/>
  <c r="Y104" i="108"/>
  <c r="Z104" i="108" s="1"/>
  <c r="X33" i="166"/>
  <c r="Z23" i="166"/>
  <c r="Y135" i="108"/>
  <c r="Z135" i="108" s="1"/>
  <c r="Y113" i="108"/>
  <c r="Z113" i="108" s="1"/>
  <c r="Q25" i="166"/>
  <c r="R39" i="166"/>
  <c r="T39" i="166" s="1"/>
  <c r="Z39" i="166" s="1"/>
  <c r="Y39" i="166"/>
  <c r="Q37" i="166"/>
  <c r="Y34" i="166"/>
  <c r="R34" i="166"/>
  <c r="T34" i="166" s="1"/>
  <c r="T31" i="166" s="1"/>
  <c r="Q31" i="166"/>
  <c r="AD37" i="166"/>
  <c r="H97" i="166"/>
  <c r="Z27" i="166"/>
  <c r="X28" i="166"/>
  <c r="Z22" i="166"/>
  <c r="H96" i="166"/>
  <c r="X38" i="166"/>
  <c r="Z38" i="166"/>
  <c r="AD31" i="166"/>
  <c r="I4" i="75"/>
  <c r="H93" i="75"/>
  <c r="H92" i="75"/>
  <c r="H91" i="75"/>
  <c r="H95" i="166"/>
  <c r="H94" i="166"/>
  <c r="Z32" i="166"/>
  <c r="Z26" i="166"/>
  <c r="X42" i="166"/>
  <c r="Z42" i="166"/>
  <c r="AD25" i="166"/>
  <c r="Y105" i="108"/>
  <c r="Z105" i="108" s="1"/>
  <c r="Y134" i="108"/>
  <c r="Z134" i="108" s="1"/>
  <c r="Y112" i="108"/>
  <c r="Z112" i="108" s="1"/>
  <c r="Y128" i="108"/>
  <c r="Z128" i="108" s="1"/>
  <c r="Y103" i="108"/>
  <c r="Y109" i="108"/>
  <c r="Y116" i="108"/>
  <c r="Z116" i="108" s="1"/>
  <c r="Y106" i="108"/>
  <c r="Z106" i="108" s="1"/>
  <c r="Y108" i="108"/>
  <c r="FN49" i="27"/>
  <c r="FH49" i="27"/>
  <c r="FN48" i="27"/>
  <c r="FH48" i="27"/>
  <c r="FG47" i="27"/>
  <c r="FN47" i="27"/>
  <c r="FG46" i="27"/>
  <c r="FN46" i="27"/>
  <c r="FG45" i="27"/>
  <c r="FN45" i="27"/>
  <c r="FG44" i="27"/>
  <c r="FN44" i="27"/>
  <c r="FG43" i="27"/>
  <c r="FN43" i="27"/>
  <c r="FG42" i="27"/>
  <c r="FN42" i="27"/>
  <c r="FG41" i="27"/>
  <c r="FN41" i="27"/>
  <c r="FG40" i="27"/>
  <c r="FN40" i="27"/>
  <c r="FG39" i="27"/>
  <c r="FN39" i="27"/>
  <c r="FG38" i="27"/>
  <c r="FN38" i="27"/>
  <c r="FG37" i="27"/>
  <c r="FN37" i="27"/>
  <c r="FG36" i="27"/>
  <c r="FN36" i="27"/>
  <c r="FG35" i="27"/>
  <c r="FN35" i="27"/>
  <c r="FG34" i="27"/>
  <c r="FN34" i="27"/>
  <c r="FG33" i="27"/>
  <c r="FN33" i="27"/>
  <c r="FG32" i="27"/>
  <c r="FN32" i="27"/>
  <c r="FG31" i="27"/>
  <c r="FN31" i="27"/>
  <c r="FG30" i="27"/>
  <c r="FN30" i="27"/>
  <c r="FG29" i="27"/>
  <c r="FN29" i="27"/>
  <c r="FG28" i="27"/>
  <c r="FN28" i="27"/>
  <c r="FG27" i="27"/>
  <c r="FN27" i="27"/>
  <c r="FG26" i="27"/>
  <c r="FN26" i="27"/>
  <c r="FG25" i="27"/>
  <c r="FN25" i="27"/>
  <c r="FG24" i="27"/>
  <c r="FN24" i="27"/>
  <c r="FG23" i="27"/>
  <c r="FN23" i="27"/>
  <c r="FG22" i="27"/>
  <c r="FN22" i="27"/>
  <c r="FG21" i="27"/>
  <c r="FN21" i="27"/>
  <c r="FG20" i="27"/>
  <c r="FN20" i="27"/>
  <c r="FG19" i="27"/>
  <c r="FN19" i="27"/>
  <c r="FG18" i="27"/>
  <c r="FN18" i="27"/>
  <c r="FG17" i="27"/>
  <c r="G17" i="27"/>
  <c r="FN17" i="27" s="1"/>
  <c r="D17" i="27"/>
  <c r="B17" i="27"/>
  <c r="FG16" i="27"/>
  <c r="G16" i="27"/>
  <c r="FN16" i="27" s="1"/>
  <c r="D16" i="27"/>
  <c r="B16" i="27"/>
  <c r="FG15" i="27"/>
  <c r="N99" i="188" l="1"/>
  <c r="H95" i="188"/>
  <c r="H99" i="188" s="1"/>
  <c r="Y145" i="108"/>
  <c r="Z144" i="108"/>
  <c r="Z41" i="166"/>
  <c r="X60" i="166"/>
  <c r="X58" i="166"/>
  <c r="T63" i="166"/>
  <c r="X63" i="166" s="1"/>
  <c r="T50" i="166"/>
  <c r="X50" i="166" s="1"/>
  <c r="Z52" i="166"/>
  <c r="X67" i="166"/>
  <c r="X73" i="166"/>
  <c r="X44" i="166"/>
  <c r="X29" i="166"/>
  <c r="Z47" i="166"/>
  <c r="Z59" i="166"/>
  <c r="T71" i="166"/>
  <c r="V71" i="166" s="1"/>
  <c r="Z74" i="166"/>
  <c r="X47" i="166"/>
  <c r="X66" i="166"/>
  <c r="Z66" i="166"/>
  <c r="T56" i="166"/>
  <c r="X56" i="166" s="1"/>
  <c r="I89" i="75"/>
  <c r="I76" i="75"/>
  <c r="I73" i="75"/>
  <c r="I77" i="75"/>
  <c r="I78" i="75"/>
  <c r="I74" i="75"/>
  <c r="I75" i="75"/>
  <c r="I72" i="75"/>
  <c r="V44" i="166"/>
  <c r="AC44" i="166"/>
  <c r="Z44" i="166"/>
  <c r="U44" i="166"/>
  <c r="Z31" i="166"/>
  <c r="U31" i="166"/>
  <c r="T25" i="166"/>
  <c r="AD79" i="166"/>
  <c r="K83" i="166" s="1"/>
  <c r="Y25" i="166"/>
  <c r="Y31" i="166"/>
  <c r="X31" i="166"/>
  <c r="V31" i="166"/>
  <c r="AC31" i="166"/>
  <c r="T37" i="166"/>
  <c r="X34" i="166"/>
  <c r="Z34" i="166"/>
  <c r="H93" i="166"/>
  <c r="Y37" i="166"/>
  <c r="J4" i="75"/>
  <c r="X39" i="166"/>
  <c r="FB16" i="27"/>
  <c r="AF61" i="145" s="1"/>
  <c r="FC16" i="27"/>
  <c r="EZ16" i="27"/>
  <c r="FC18" i="27"/>
  <c r="FB18" i="27"/>
  <c r="AF63" i="145" s="1"/>
  <c r="EZ18" i="27"/>
  <c r="FB20" i="27"/>
  <c r="AF65" i="145" s="1"/>
  <c r="FC20" i="27"/>
  <c r="EZ20" i="27"/>
  <c r="FC22" i="27"/>
  <c r="FB22" i="27"/>
  <c r="AF67" i="145" s="1"/>
  <c r="EZ22" i="27"/>
  <c r="FB24" i="27"/>
  <c r="AF69" i="145" s="1"/>
  <c r="FC24" i="27"/>
  <c r="EZ24" i="27"/>
  <c r="FC26" i="27"/>
  <c r="FB26" i="27"/>
  <c r="AF71" i="145" s="1"/>
  <c r="EZ26" i="27"/>
  <c r="FB28" i="27"/>
  <c r="AF73" i="145" s="1"/>
  <c r="FC28" i="27"/>
  <c r="EZ28" i="27"/>
  <c r="AC73" i="145" s="1"/>
  <c r="AD73" i="145" s="1"/>
  <c r="FC30" i="27"/>
  <c r="FB30" i="27"/>
  <c r="AF75" i="145" s="1"/>
  <c r="EZ30" i="27"/>
  <c r="FB32" i="27"/>
  <c r="AF77" i="145" s="1"/>
  <c r="FC32" i="27"/>
  <c r="EZ32" i="27"/>
  <c r="FB34" i="27"/>
  <c r="AF79" i="145" s="1"/>
  <c r="FC34" i="27"/>
  <c r="FF34" i="27" s="1"/>
  <c r="EZ34" i="27"/>
  <c r="FB36" i="27"/>
  <c r="AF81" i="145" s="1"/>
  <c r="FC36" i="27"/>
  <c r="EZ36" i="27"/>
  <c r="FC38" i="27"/>
  <c r="FF38" i="27" s="1"/>
  <c r="FB38" i="27"/>
  <c r="AF83" i="145" s="1"/>
  <c r="EZ38" i="27"/>
  <c r="AC83" i="145" s="1"/>
  <c r="AD83" i="145" s="1"/>
  <c r="FB40" i="27"/>
  <c r="AF85" i="145" s="1"/>
  <c r="FC40" i="27"/>
  <c r="FF40" i="27" s="1"/>
  <c r="EZ40" i="27"/>
  <c r="AC85" i="145" s="1"/>
  <c r="AD85" i="145" s="1"/>
  <c r="FC42" i="27"/>
  <c r="FF42" i="27" s="1"/>
  <c r="FB42" i="27"/>
  <c r="AF87" i="145" s="1"/>
  <c r="EZ42" i="27"/>
  <c r="AC87" i="145" s="1"/>
  <c r="AD87" i="145" s="1"/>
  <c r="FB44" i="27"/>
  <c r="AF89" i="145" s="1"/>
  <c r="FC44" i="27"/>
  <c r="EZ44" i="27"/>
  <c r="AC89" i="145" s="1"/>
  <c r="AD89" i="145" s="1"/>
  <c r="FC46" i="27"/>
  <c r="FF46" i="27" s="1"/>
  <c r="FB46" i="27"/>
  <c r="AF91" i="145" s="1"/>
  <c r="EZ46" i="27"/>
  <c r="AC91" i="145" s="1"/>
  <c r="AD91" i="145" s="1"/>
  <c r="FB48" i="27"/>
  <c r="AF93" i="145" s="1"/>
  <c r="FC48" i="27"/>
  <c r="EZ48" i="27"/>
  <c r="AC93" i="145" s="1"/>
  <c r="AD93" i="145" s="1"/>
  <c r="FC17" i="27"/>
  <c r="FB17" i="27"/>
  <c r="AF62" i="145" s="1"/>
  <c r="EZ17" i="27"/>
  <c r="FC19" i="27"/>
  <c r="FB19" i="27"/>
  <c r="AF64" i="145" s="1"/>
  <c r="EZ19" i="27"/>
  <c r="FC21" i="27"/>
  <c r="FB21" i="27"/>
  <c r="AF66" i="145" s="1"/>
  <c r="EZ21" i="27"/>
  <c r="FB23" i="27"/>
  <c r="AF68" i="145" s="1"/>
  <c r="FC23" i="27"/>
  <c r="EZ23" i="27"/>
  <c r="FC25" i="27"/>
  <c r="FB25" i="27"/>
  <c r="AF70" i="145" s="1"/>
  <c r="EZ25" i="27"/>
  <c r="FC27" i="27"/>
  <c r="FB27" i="27"/>
  <c r="AF72" i="145" s="1"/>
  <c r="EZ27" i="27"/>
  <c r="AC72" i="145" s="1"/>
  <c r="AD72" i="145" s="1"/>
  <c r="FC29" i="27"/>
  <c r="FB29" i="27"/>
  <c r="AF74" i="145" s="1"/>
  <c r="EZ29" i="27"/>
  <c r="FC31" i="27"/>
  <c r="FB31" i="27"/>
  <c r="AF76" i="145" s="1"/>
  <c r="EZ31" i="27"/>
  <c r="FC33" i="27"/>
  <c r="FF33" i="27" s="1"/>
  <c r="FB33" i="27"/>
  <c r="AF78" i="145" s="1"/>
  <c r="EZ33" i="27"/>
  <c r="FC35" i="27"/>
  <c r="FF35" i="27" s="1"/>
  <c r="FB35" i="27"/>
  <c r="AF80" i="145" s="1"/>
  <c r="EZ35" i="27"/>
  <c r="AC80" i="145" s="1"/>
  <c r="AD80" i="145" s="1"/>
  <c r="FC37" i="27"/>
  <c r="FF37" i="27" s="1"/>
  <c r="FB37" i="27"/>
  <c r="AF82" i="145" s="1"/>
  <c r="EZ37" i="27"/>
  <c r="AC82" i="145" s="1"/>
  <c r="AD82" i="145" s="1"/>
  <c r="FB39" i="27"/>
  <c r="AF84" i="145" s="1"/>
  <c r="FC39" i="27"/>
  <c r="FF39" i="27" s="1"/>
  <c r="EZ39" i="27"/>
  <c r="AC84" i="145" s="1"/>
  <c r="AD84" i="145" s="1"/>
  <c r="FC41" i="27"/>
  <c r="FF41" i="27" s="1"/>
  <c r="FB41" i="27"/>
  <c r="AF86" i="145" s="1"/>
  <c r="EZ41" i="27"/>
  <c r="AC86" i="145" s="1"/>
  <c r="AD86" i="145" s="1"/>
  <c r="FC43" i="27"/>
  <c r="FF43" i="27" s="1"/>
  <c r="FB43" i="27"/>
  <c r="AF88" i="145" s="1"/>
  <c r="EZ43" i="27"/>
  <c r="AC88" i="145" s="1"/>
  <c r="AD88" i="145" s="1"/>
  <c r="FC45" i="27"/>
  <c r="FF45" i="27" s="1"/>
  <c r="FB45" i="27"/>
  <c r="AF90" i="145" s="1"/>
  <c r="EZ45" i="27"/>
  <c r="AC90" i="145" s="1"/>
  <c r="AD90" i="145" s="1"/>
  <c r="FC47" i="27"/>
  <c r="FB47" i="27"/>
  <c r="AF92" i="145" s="1"/>
  <c r="EZ47" i="27"/>
  <c r="AC92" i="145" s="1"/>
  <c r="AD92" i="145" s="1"/>
  <c r="FC49" i="27"/>
  <c r="FB49" i="27"/>
  <c r="AF94" i="145" s="1"/>
  <c r="EZ49" i="27"/>
  <c r="AC94" i="145" s="1"/>
  <c r="AD94" i="145" s="1"/>
  <c r="FM18" i="27"/>
  <c r="FM20" i="27"/>
  <c r="FM22" i="27"/>
  <c r="FM24" i="27"/>
  <c r="FM26" i="27"/>
  <c r="FM28" i="27"/>
  <c r="FM30" i="27"/>
  <c r="FM47" i="27"/>
  <c r="FM49" i="27"/>
  <c r="FM16" i="27"/>
  <c r="FM17" i="27"/>
  <c r="FM19" i="27"/>
  <c r="FM21" i="27"/>
  <c r="FM23" i="27"/>
  <c r="FM25" i="27"/>
  <c r="FM27" i="27"/>
  <c r="FM29" i="27"/>
  <c r="FM31" i="27"/>
  <c r="FM48" i="27"/>
  <c r="FM33" i="27"/>
  <c r="FM34" i="27"/>
  <c r="FM35" i="27"/>
  <c r="FM36" i="27"/>
  <c r="FM37" i="27"/>
  <c r="FM38" i="27"/>
  <c r="FM39" i="27"/>
  <c r="FM40" i="27"/>
  <c r="FM41" i="27"/>
  <c r="FM42" i="27"/>
  <c r="FM43" i="27"/>
  <c r="FM44" i="27"/>
  <c r="FM45" i="27"/>
  <c r="D15" i="27"/>
  <c r="B15" i="27"/>
  <c r="FG14" i="27"/>
  <c r="G14" i="27"/>
  <c r="FN14" i="27" s="1"/>
  <c r="D14" i="27"/>
  <c r="B14" i="27"/>
  <c r="FG13" i="27"/>
  <c r="FI17" i="27" l="1"/>
  <c r="FI16" i="27"/>
  <c r="FI24" i="27"/>
  <c r="FI43" i="27"/>
  <c r="FI27" i="27"/>
  <c r="FI34" i="27"/>
  <c r="FI25" i="27"/>
  <c r="FI26" i="27"/>
  <c r="FI23" i="27"/>
  <c r="AC74" i="145"/>
  <c r="AD74" i="145" s="1"/>
  <c r="AC75" i="145"/>
  <c r="AD75" i="145" s="1"/>
  <c r="AC76" i="145"/>
  <c r="AD76" i="145" s="1"/>
  <c r="AC70" i="145"/>
  <c r="AD70" i="145" s="1"/>
  <c r="AC68" i="145"/>
  <c r="AD68" i="145" s="1"/>
  <c r="AC69" i="145"/>
  <c r="AD69" i="145" s="1"/>
  <c r="AC78" i="145"/>
  <c r="AD78" i="145" s="1"/>
  <c r="AC62" i="145"/>
  <c r="AD62" i="145" s="1"/>
  <c r="AC79" i="145"/>
  <c r="AD79" i="145" s="1"/>
  <c r="AC63" i="145"/>
  <c r="AD63" i="145" s="1"/>
  <c r="AC66" i="145"/>
  <c r="AD66" i="145" s="1"/>
  <c r="AC67" i="145"/>
  <c r="AD67" i="145" s="1"/>
  <c r="AC77" i="145"/>
  <c r="AD77" i="145" s="1"/>
  <c r="AC61" i="145"/>
  <c r="AD61" i="145" s="1"/>
  <c r="AC71" i="145"/>
  <c r="AD71" i="145" s="1"/>
  <c r="AC64" i="145"/>
  <c r="AD64" i="145" s="1"/>
  <c r="AC81" i="145"/>
  <c r="AD81" i="145" s="1"/>
  <c r="AC65" i="145"/>
  <c r="AD65" i="145" s="1"/>
  <c r="Y146" i="108"/>
  <c r="V63" i="166"/>
  <c r="U50" i="166"/>
  <c r="Z63" i="166"/>
  <c r="Z50" i="166"/>
  <c r="AC50" i="166"/>
  <c r="V50" i="166"/>
  <c r="AC63" i="166"/>
  <c r="U63" i="166"/>
  <c r="U71" i="166"/>
  <c r="W71" i="166" s="1"/>
  <c r="Z71" i="166"/>
  <c r="AC71" i="166"/>
  <c r="X71" i="166"/>
  <c r="AC56" i="166"/>
  <c r="V56" i="166"/>
  <c r="Z56" i="166"/>
  <c r="U56" i="166"/>
  <c r="J90" i="75"/>
  <c r="J89" i="75"/>
  <c r="J76" i="75"/>
  <c r="J77" i="75"/>
  <c r="J74" i="75"/>
  <c r="J75" i="75"/>
  <c r="J78" i="75"/>
  <c r="J72" i="75"/>
  <c r="J73" i="75"/>
  <c r="W44" i="166"/>
  <c r="V25" i="166"/>
  <c r="K104" i="166"/>
  <c r="K115" i="166"/>
  <c r="K110" i="166"/>
  <c r="K111" i="166"/>
  <c r="K109" i="166"/>
  <c r="K113" i="166"/>
  <c r="K105" i="166"/>
  <c r="K108" i="166"/>
  <c r="K114" i="166"/>
  <c r="K106" i="166"/>
  <c r="K107" i="166"/>
  <c r="X37" i="166"/>
  <c r="U121" i="166"/>
  <c r="U120" i="166"/>
  <c r="X25" i="166"/>
  <c r="AC25" i="166"/>
  <c r="W31" i="166"/>
  <c r="Z25" i="166"/>
  <c r="U25" i="166"/>
  <c r="U37" i="166"/>
  <c r="V37" i="166"/>
  <c r="AC37" i="166"/>
  <c r="Z37" i="166"/>
  <c r="K4" i="75"/>
  <c r="J91" i="75"/>
  <c r="J93" i="75"/>
  <c r="J92" i="75"/>
  <c r="FC14" i="27"/>
  <c r="FB14" i="27"/>
  <c r="AF59" i="145" s="1"/>
  <c r="EZ14" i="27"/>
  <c r="FC15" i="27"/>
  <c r="FB15" i="27"/>
  <c r="AF60" i="145" s="1"/>
  <c r="EZ15" i="27"/>
  <c r="FD48" i="27"/>
  <c r="FD44" i="27"/>
  <c r="FD36" i="27"/>
  <c r="FD32" i="27"/>
  <c r="FD24" i="27"/>
  <c r="FD20" i="27"/>
  <c r="FA28" i="27"/>
  <c r="AE73" i="145" s="1"/>
  <c r="FA37" i="27"/>
  <c r="AE82" i="145" s="1"/>
  <c r="FA33" i="27"/>
  <c r="AE78" i="145" s="1"/>
  <c r="FF36" i="27"/>
  <c r="FA31" i="27"/>
  <c r="AE76" i="145" s="1"/>
  <c r="FD30" i="27"/>
  <c r="FD27" i="27"/>
  <c r="FF44" i="27"/>
  <c r="FD28" i="27"/>
  <c r="FD23" i="27"/>
  <c r="FD19" i="27"/>
  <c r="FD43" i="27"/>
  <c r="FD39" i="27"/>
  <c r="FA46" i="27"/>
  <c r="AE91" i="145" s="1"/>
  <c r="FD41" i="27"/>
  <c r="FD38" i="27"/>
  <c r="FA18" i="27"/>
  <c r="AE63" i="145" s="1"/>
  <c r="FD45" i="27"/>
  <c r="FD25" i="27"/>
  <c r="FD21" i="27"/>
  <c r="FD17" i="27"/>
  <c r="FD16" i="27"/>
  <c r="FD49" i="27"/>
  <c r="FA47" i="27"/>
  <c r="AE92" i="145" s="1"/>
  <c r="FA43" i="27"/>
  <c r="AE88" i="145" s="1"/>
  <c r="FD42" i="27"/>
  <c r="FA39" i="27"/>
  <c r="AE84" i="145" s="1"/>
  <c r="FA25" i="27"/>
  <c r="AE70" i="145" s="1"/>
  <c r="FA21" i="27"/>
  <c r="AE66" i="145" s="1"/>
  <c r="FA16" i="27"/>
  <c r="AE61" i="145" s="1"/>
  <c r="FA35" i="27"/>
  <c r="AE80" i="145" s="1"/>
  <c r="FD47" i="27"/>
  <c r="FA45" i="27"/>
  <c r="AE90" i="145" s="1"/>
  <c r="FA41" i="27"/>
  <c r="AE86" i="145" s="1"/>
  <c r="FD40" i="27"/>
  <c r="FA38" i="27"/>
  <c r="AE83" i="145" s="1"/>
  <c r="FD37" i="27"/>
  <c r="FD35" i="27"/>
  <c r="FA34" i="27"/>
  <c r="AE79" i="145" s="1"/>
  <c r="FD33" i="27"/>
  <c r="FD31" i="27"/>
  <c r="FA29" i="27"/>
  <c r="AE74" i="145" s="1"/>
  <c r="FA17" i="27"/>
  <c r="AE62" i="145" s="1"/>
  <c r="FA49" i="27"/>
  <c r="AE94" i="145" s="1"/>
  <c r="FA48" i="27"/>
  <c r="AE93" i="145" s="1"/>
  <c r="FD46" i="27"/>
  <c r="FA44" i="27"/>
  <c r="AE89" i="145" s="1"/>
  <c r="FA42" i="27"/>
  <c r="AE87" i="145" s="1"/>
  <c r="FA40" i="27"/>
  <c r="AE85" i="145" s="1"/>
  <c r="FA36" i="27"/>
  <c r="AE81" i="145" s="1"/>
  <c r="FD34" i="27"/>
  <c r="FA32" i="27"/>
  <c r="AE77" i="145" s="1"/>
  <c r="FA30" i="27"/>
  <c r="AE75" i="145" s="1"/>
  <c r="FD29" i="27"/>
  <c r="FA27" i="27"/>
  <c r="AE72" i="145" s="1"/>
  <c r="FA26" i="27"/>
  <c r="AE71" i="145" s="1"/>
  <c r="FD26" i="27"/>
  <c r="FA24" i="27"/>
  <c r="AE69" i="145" s="1"/>
  <c r="FA23" i="27"/>
  <c r="AE68" i="145" s="1"/>
  <c r="FA22" i="27"/>
  <c r="AE67" i="145" s="1"/>
  <c r="FD22" i="27"/>
  <c r="FA20" i="27"/>
  <c r="AE65" i="145" s="1"/>
  <c r="FA19" i="27"/>
  <c r="AE64" i="145" s="1"/>
  <c r="FD18" i="27"/>
  <c r="FH30" i="27"/>
  <c r="FH26" i="27"/>
  <c r="FE34" i="27"/>
  <c r="FH43" i="27"/>
  <c r="FH18" i="27"/>
  <c r="FE45" i="27"/>
  <c r="FH47" i="27"/>
  <c r="FH28" i="27"/>
  <c r="FH41" i="27"/>
  <c r="FH24" i="27"/>
  <c r="FH39" i="27"/>
  <c r="FH16" i="27"/>
  <c r="FH20" i="27"/>
  <c r="FH45" i="27"/>
  <c r="FH22" i="27"/>
  <c r="FE37" i="27"/>
  <c r="FE38" i="27"/>
  <c r="FH27" i="27"/>
  <c r="FH21" i="27"/>
  <c r="FH19" i="27"/>
  <c r="FH46" i="27"/>
  <c r="FH44" i="27"/>
  <c r="FH42" i="27"/>
  <c r="FH40" i="27"/>
  <c r="FE46" i="27"/>
  <c r="FE44" i="27"/>
  <c r="FE42" i="27"/>
  <c r="FE35" i="27"/>
  <c r="FE33" i="27"/>
  <c r="FH37" i="27"/>
  <c r="FH35" i="27"/>
  <c r="FH33" i="27"/>
  <c r="FH31" i="27"/>
  <c r="FH25" i="27"/>
  <c r="FH23" i="27"/>
  <c r="FH17" i="27"/>
  <c r="FH38" i="27"/>
  <c r="FH36" i="27"/>
  <c r="FH34" i="27"/>
  <c r="FH32" i="27"/>
  <c r="FH29" i="27"/>
  <c r="FE36" i="27"/>
  <c r="FE40" i="27"/>
  <c r="FE43" i="27"/>
  <c r="FE41" i="27"/>
  <c r="FE39" i="27"/>
  <c r="FM14" i="27"/>
  <c r="FM15" i="27"/>
  <c r="FF32" i="27"/>
  <c r="FE32" i="27" s="1"/>
  <c r="FF31" i="27"/>
  <c r="FE31" i="27" s="1"/>
  <c r="FF30" i="27"/>
  <c r="FE30" i="27" s="1"/>
  <c r="FF29" i="27"/>
  <c r="FE29" i="27" s="1"/>
  <c r="FF28" i="27"/>
  <c r="FE28" i="27" s="1"/>
  <c r="FF27" i="27"/>
  <c r="FE27" i="27" s="1"/>
  <c r="FF26" i="27"/>
  <c r="FE26" i="27" s="1"/>
  <c r="FF25" i="27"/>
  <c r="FE25" i="27" s="1"/>
  <c r="FF24" i="27"/>
  <c r="FE24" i="27" s="1"/>
  <c r="FF23" i="27"/>
  <c r="FE23" i="27" s="1"/>
  <c r="FF22" i="27"/>
  <c r="FE22" i="27" s="1"/>
  <c r="FF21" i="27"/>
  <c r="FE21" i="27" s="1"/>
  <c r="FF20" i="27"/>
  <c r="FE20" i="27" s="1"/>
  <c r="FF19" i="27"/>
  <c r="FE19" i="27" s="1"/>
  <c r="FF18" i="27"/>
  <c r="FE18" i="27" s="1"/>
  <c r="FF17" i="27"/>
  <c r="FE17" i="27" s="1"/>
  <c r="FF16" i="27"/>
  <c r="FE16" i="27" s="1"/>
  <c r="FF49" i="27"/>
  <c r="FE49" i="27" s="1"/>
  <c r="FF48" i="27"/>
  <c r="FE48" i="27" s="1"/>
  <c r="FF47" i="27"/>
  <c r="FE47" i="27" s="1"/>
  <c r="G13" i="27"/>
  <c r="FN13" i="27" s="1"/>
  <c r="D13" i="27"/>
  <c r="B13" i="27"/>
  <c r="A13" i="27"/>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EX12" i="27"/>
  <c r="EX7" i="27" s="1"/>
  <c r="EW12" i="27"/>
  <c r="EV12" i="27"/>
  <c r="ET12" i="27"/>
  <c r="ES12" i="27"/>
  <c r="ER12" i="27"/>
  <c r="EP12" i="27"/>
  <c r="EO12" i="27"/>
  <c r="EN12" i="27"/>
  <c r="EL12" i="27"/>
  <c r="EK12" i="27"/>
  <c r="EJ12" i="27"/>
  <c r="EH12" i="27"/>
  <c r="EG12" i="27"/>
  <c r="EF12" i="27"/>
  <c r="ED12" i="27"/>
  <c r="EC12" i="27"/>
  <c r="EB12" i="27"/>
  <c r="DZ12" i="27"/>
  <c r="DY12" i="27"/>
  <c r="DX12" i="27"/>
  <c r="DV12" i="27"/>
  <c r="DU12" i="27"/>
  <c r="DT12" i="27"/>
  <c r="DR12" i="27"/>
  <c r="DQ12" i="27"/>
  <c r="DP12" i="27"/>
  <c r="DN12" i="27"/>
  <c r="DM12" i="27"/>
  <c r="DL12" i="27"/>
  <c r="DJ12" i="27"/>
  <c r="DI12" i="27"/>
  <c r="DH12" i="27"/>
  <c r="DF12" i="27"/>
  <c r="DE12" i="27"/>
  <c r="DD12" i="27"/>
  <c r="DB12" i="27"/>
  <c r="DA12" i="27"/>
  <c r="CZ12" i="27"/>
  <c r="CX12" i="27"/>
  <c r="CW12" i="27"/>
  <c r="CV12" i="27"/>
  <c r="CT12" i="27"/>
  <c r="CS12" i="27"/>
  <c r="CR12" i="27"/>
  <c r="CP12" i="27"/>
  <c r="CO12" i="27"/>
  <c r="CN12" i="27"/>
  <c r="CL12" i="27"/>
  <c r="CK12" i="27"/>
  <c r="CJ12" i="27"/>
  <c r="FJ16" i="27" l="1"/>
  <c r="FK16" i="27" s="1"/>
  <c r="FI14" i="27"/>
  <c r="FJ25" i="27"/>
  <c r="FK25" i="27" s="1"/>
  <c r="FJ23" i="27"/>
  <c r="FK23" i="27" s="1"/>
  <c r="FJ24" i="27"/>
  <c r="FK24" i="27" s="1"/>
  <c r="FJ26" i="27"/>
  <c r="FK26" i="27" s="1"/>
  <c r="FJ43" i="27"/>
  <c r="FK43" i="27" s="1"/>
  <c r="FJ27" i="27"/>
  <c r="FK27" i="27" s="1"/>
  <c r="FJ34" i="27"/>
  <c r="FK34" i="27" s="1"/>
  <c r="FJ17" i="27"/>
  <c r="FK17" i="27" s="1"/>
  <c r="FI15" i="27"/>
  <c r="A34" i="27"/>
  <c r="A35" i="27" s="1"/>
  <c r="A36" i="27" s="1"/>
  <c r="A37" i="27" s="1"/>
  <c r="A38" i="27" s="1"/>
  <c r="A39" i="27" s="1"/>
  <c r="A40" i="27" s="1"/>
  <c r="A41" i="27" s="1"/>
  <c r="A42" i="27" s="1"/>
  <c r="A43" i="27" s="1"/>
  <c r="A44" i="27" s="1"/>
  <c r="A45" i="27" s="1"/>
  <c r="A46" i="27" s="1"/>
  <c r="AC60" i="145"/>
  <c r="AD60" i="145" s="1"/>
  <c r="AC59" i="145"/>
  <c r="AD59" i="145" s="1"/>
  <c r="W63" i="166"/>
  <c r="W50" i="166"/>
  <c r="W56" i="166"/>
  <c r="EZ13" i="27"/>
  <c r="N104" i="166"/>
  <c r="O104" i="166" s="1"/>
  <c r="N114" i="166"/>
  <c r="U114" i="166" s="1"/>
  <c r="N107" i="166"/>
  <c r="O107" i="166" s="1"/>
  <c r="N115" i="166"/>
  <c r="O115" i="166" s="1"/>
  <c r="N113" i="166"/>
  <c r="O113" i="166" s="1"/>
  <c r="N109" i="166"/>
  <c r="U109" i="166" s="1"/>
  <c r="N108" i="166"/>
  <c r="O108" i="166" s="1"/>
  <c r="N111" i="166"/>
  <c r="O111" i="166" s="1"/>
  <c r="N106" i="166"/>
  <c r="O106" i="166" s="1"/>
  <c r="N110" i="166"/>
  <c r="U110" i="166" s="1"/>
  <c r="N105" i="166"/>
  <c r="O105" i="166" s="1"/>
  <c r="U118" i="166"/>
  <c r="W25" i="166"/>
  <c r="Q111" i="166" s="1"/>
  <c r="P111" i="166" s="1"/>
  <c r="J110" i="166"/>
  <c r="L110" i="166" s="1"/>
  <c r="J115" i="166"/>
  <c r="L115" i="166" s="1"/>
  <c r="J104" i="166"/>
  <c r="L104" i="166" s="1"/>
  <c r="J105" i="166"/>
  <c r="L105" i="166" s="1"/>
  <c r="J114" i="166"/>
  <c r="L114" i="166" s="1"/>
  <c r="J106" i="166"/>
  <c r="L106" i="166" s="1"/>
  <c r="J111" i="166"/>
  <c r="L111" i="166" s="1"/>
  <c r="J108" i="166"/>
  <c r="L108" i="166" s="1"/>
  <c r="J109" i="166"/>
  <c r="L109" i="166" s="1"/>
  <c r="J113" i="166"/>
  <c r="L113" i="166" s="1"/>
  <c r="J107" i="166"/>
  <c r="L107" i="166" s="1"/>
  <c r="U117" i="166"/>
  <c r="W37" i="166"/>
  <c r="FC13" i="27"/>
  <c r="FB13" i="27"/>
  <c r="AF58" i="145" s="1"/>
  <c r="FG12" i="27"/>
  <c r="FD14" i="27"/>
  <c r="FA15" i="27"/>
  <c r="AE60" i="145" s="1"/>
  <c r="FD15" i="27"/>
  <c r="FA14" i="27"/>
  <c r="AE59" i="145" s="1"/>
  <c r="FH14" i="27"/>
  <c r="FH15" i="27"/>
  <c r="FH13" i="27"/>
  <c r="CM12" i="27"/>
  <c r="CU12" i="27"/>
  <c r="DC12" i="27"/>
  <c r="DK12" i="27"/>
  <c r="DS12" i="27"/>
  <c r="EA12" i="27"/>
  <c r="EI12" i="27"/>
  <c r="EQ12" i="27"/>
  <c r="CQ12" i="27"/>
  <c r="CY12" i="27"/>
  <c r="DG12" i="27"/>
  <c r="DO12" i="27"/>
  <c r="DW12" i="27"/>
  <c r="EE12" i="27"/>
  <c r="EM12" i="27"/>
  <c r="EU12" i="27"/>
  <c r="FF15" i="27"/>
  <c r="FE15" i="27" s="1"/>
  <c r="FF14" i="27"/>
  <c r="FE14" i="27" s="1"/>
  <c r="CH12" i="27"/>
  <c r="CI12" i="27" s="1"/>
  <c r="CG12" i="27"/>
  <c r="CF12" i="27"/>
  <c r="CD12" i="27"/>
  <c r="G12" i="27"/>
  <c r="FN12" i="27" s="1"/>
  <c r="B12" i="27"/>
  <c r="FM12" i="27" s="1"/>
  <c r="FJ15" i="27" l="1"/>
  <c r="FK15" i="27" s="1"/>
  <c r="FJ14" i="27"/>
  <c r="FK14" i="27" s="1"/>
  <c r="FJ13" i="27"/>
  <c r="FI13" i="27"/>
  <c r="AC58" i="145"/>
  <c r="AD58" i="145" s="1"/>
  <c r="U104" i="166"/>
  <c r="U107" i="166"/>
  <c r="U115" i="166"/>
  <c r="O114" i="166"/>
  <c r="U108" i="166"/>
  <c r="U113" i="166"/>
  <c r="U106" i="166"/>
  <c r="O110" i="166"/>
  <c r="U111" i="166"/>
  <c r="U105" i="166"/>
  <c r="O109" i="166"/>
  <c r="Q113" i="166"/>
  <c r="P113" i="166" s="1"/>
  <c r="Q114" i="166"/>
  <c r="P114" i="166" s="1"/>
  <c r="Q110" i="166"/>
  <c r="P110" i="166" s="1"/>
  <c r="Q108" i="166"/>
  <c r="P108" i="166" s="1"/>
  <c r="Q104" i="166"/>
  <c r="P104" i="166" s="1"/>
  <c r="Q109" i="166"/>
  <c r="P109" i="166" s="1"/>
  <c r="Q115" i="166"/>
  <c r="P115" i="166" s="1"/>
  <c r="Q106" i="166"/>
  <c r="P106" i="166" s="1"/>
  <c r="Q105" i="166"/>
  <c r="P105" i="166" s="1"/>
  <c r="Q107" i="166"/>
  <c r="P107" i="166" s="1"/>
  <c r="U122" i="166"/>
  <c r="FC12" i="27"/>
  <c r="FB12" i="27"/>
  <c r="AF57" i="145" s="1"/>
  <c r="FA13" i="27"/>
  <c r="AE58" i="145" s="1"/>
  <c r="FD13" i="27"/>
  <c r="EY12" i="27"/>
  <c r="EY7" i="27" s="1"/>
  <c r="K67" i="75" s="1"/>
  <c r="CE12" i="27"/>
  <c r="FF13" i="27"/>
  <c r="FE13" i="27" s="1"/>
  <c r="FK13" i="27" l="1"/>
  <c r="EW7" i="27"/>
  <c r="EZ12" i="27"/>
  <c r="FH12" i="27"/>
  <c r="FF12" i="27"/>
  <c r="AC57" i="145" l="1"/>
  <c r="AD57" i="145" s="1"/>
  <c r="FD12" i="27"/>
  <c r="FA12" i="27"/>
  <c r="AE57" i="145" s="1"/>
  <c r="FE12" i="27"/>
  <c r="FO11" i="27" l="1"/>
  <c r="CD11" i="27" l="1"/>
  <c r="BX11" i="27"/>
  <c r="BT11" i="27"/>
  <c r="BP11" i="27"/>
  <c r="BL11" i="27"/>
  <c r="BH11" i="27"/>
  <c r="BD11" i="27"/>
  <c r="AZ11" i="27"/>
  <c r="AV11" i="27"/>
  <c r="AR11" i="27"/>
  <c r="AN11" i="27"/>
  <c r="AJ11" i="27"/>
  <c r="AF11" i="27"/>
  <c r="AB11" i="27"/>
  <c r="X11" i="27"/>
  <c r="T11" i="27"/>
  <c r="P11" i="27"/>
  <c r="L11" i="27"/>
  <c r="H11" i="27"/>
  <c r="FO10" i="27"/>
  <c r="FO147" i="27" s="1"/>
  <c r="FO83" i="27" l="1"/>
  <c r="FO84" i="27"/>
  <c r="FO85" i="27"/>
  <c r="FO125" i="27"/>
  <c r="FO126" i="27"/>
  <c r="FO122" i="27"/>
  <c r="FO148" i="27"/>
  <c r="FO93" i="27"/>
  <c r="FO94" i="27"/>
  <c r="FO24" i="27"/>
  <c r="FO98" i="27"/>
  <c r="FO137" i="27"/>
  <c r="FO35" i="27"/>
  <c r="FO37" i="27"/>
  <c r="FO65" i="27"/>
  <c r="FO103" i="27"/>
  <c r="FO140" i="27"/>
  <c r="FO86" i="27"/>
  <c r="FO87" i="27"/>
  <c r="FO88" i="27"/>
  <c r="FO89" i="27"/>
  <c r="FO131" i="27"/>
  <c r="FO91" i="27"/>
  <c r="FO92" i="27"/>
  <c r="FO14" i="27"/>
  <c r="FO61" i="27"/>
  <c r="FO95" i="27"/>
  <c r="FO63" i="27"/>
  <c r="FO20" i="27"/>
  <c r="FO29" i="27"/>
  <c r="FO139" i="27"/>
  <c r="FO81" i="27"/>
  <c r="FO120" i="27"/>
  <c r="FO141" i="27"/>
  <c r="FO127" i="27"/>
  <c r="FO128" i="27"/>
  <c r="FO129" i="27"/>
  <c r="FO130" i="27"/>
  <c r="FO90" i="27"/>
  <c r="FO132" i="27"/>
  <c r="FO133" i="27"/>
  <c r="FO60" i="27"/>
  <c r="FO23" i="27"/>
  <c r="FO62" i="27"/>
  <c r="FO43" i="27"/>
  <c r="FO27" i="27"/>
  <c r="FO138" i="27"/>
  <c r="FO38" i="27"/>
  <c r="FO82" i="27"/>
  <c r="FO121" i="27"/>
  <c r="FO201" i="27"/>
  <c r="FO162" i="27"/>
  <c r="FO199" i="27"/>
  <c r="FO198" i="27"/>
  <c r="FO197" i="27"/>
  <c r="FO196" i="27"/>
  <c r="FO195" i="27"/>
  <c r="FO194" i="27"/>
  <c r="FO193" i="27"/>
  <c r="FO192" i="27"/>
  <c r="FO191" i="27"/>
  <c r="FO190" i="27"/>
  <c r="FO189" i="27"/>
  <c r="FO188" i="27"/>
  <c r="FO36" i="27"/>
  <c r="FO185" i="27"/>
  <c r="FO182" i="27"/>
  <c r="FO164" i="27"/>
  <c r="FO150" i="27"/>
  <c r="FO177" i="27"/>
  <c r="FO176" i="27"/>
  <c r="FO175" i="27"/>
  <c r="FO174" i="27"/>
  <c r="FO173" i="27"/>
  <c r="FO172" i="27"/>
  <c r="FO171" i="27"/>
  <c r="FO170" i="27"/>
  <c r="FO41" i="27"/>
  <c r="FO18" i="27"/>
  <c r="FO13" i="27"/>
  <c r="FO169" i="27"/>
  <c r="FO168" i="27"/>
  <c r="FO167" i="27"/>
  <c r="FO166" i="27"/>
  <c r="FO165" i="27"/>
  <c r="FO161" i="27"/>
  <c r="FO159" i="27"/>
  <c r="FO158" i="27"/>
  <c r="FO157" i="27"/>
  <c r="FO156" i="27"/>
  <c r="FO155" i="27"/>
  <c r="FO154" i="27"/>
  <c r="FO153" i="27"/>
  <c r="FO152" i="27"/>
  <c r="FO136" i="27"/>
  <c r="FO135" i="27"/>
  <c r="FO134" i="27"/>
  <c r="FO118" i="27"/>
  <c r="FO117" i="27"/>
  <c r="FO44" i="27"/>
  <c r="FO21" i="27"/>
  <c r="FO19" i="27"/>
  <c r="FO151" i="27"/>
  <c r="FO119" i="27"/>
  <c r="FO42" i="27"/>
  <c r="FO31" i="27"/>
  <c r="FO17" i="27"/>
  <c r="FO116" i="27"/>
  <c r="FO115" i="27"/>
  <c r="FO114" i="27"/>
  <c r="FO113" i="27"/>
  <c r="FO112" i="27"/>
  <c r="FO111" i="27"/>
  <c r="FO110" i="27"/>
  <c r="FO109" i="27"/>
  <c r="FO108" i="27"/>
  <c r="FO107" i="27"/>
  <c r="FO106" i="27"/>
  <c r="FO105" i="27"/>
  <c r="FO104" i="27"/>
  <c r="FO97" i="27"/>
  <c r="FO96" i="27"/>
  <c r="FO26" i="27"/>
  <c r="FO80" i="27"/>
  <c r="FO79" i="27"/>
  <c r="FO78" i="27"/>
  <c r="FO77" i="27"/>
  <c r="FO76" i="27"/>
  <c r="FO75" i="27"/>
  <c r="FO74" i="27"/>
  <c r="FO73" i="27"/>
  <c r="FO72" i="27"/>
  <c r="FO71" i="27"/>
  <c r="FO70" i="27"/>
  <c r="FO69" i="27"/>
  <c r="FO68" i="27"/>
  <c r="FO67" i="27"/>
  <c r="FO66" i="27"/>
  <c r="FO64" i="27"/>
  <c r="FO59" i="27"/>
  <c r="FO58" i="27"/>
  <c r="FO57" i="27"/>
  <c r="FO56" i="27"/>
  <c r="FO55" i="27"/>
  <c r="FO54" i="27"/>
  <c r="FO53" i="27"/>
  <c r="FO52" i="27"/>
  <c r="FO51" i="27"/>
  <c r="FO50" i="27"/>
  <c r="FO49" i="27"/>
  <c r="FO48" i="27"/>
  <c r="FO47" i="27"/>
  <c r="FO46" i="27"/>
  <c r="FO39" i="27"/>
  <c r="FO34" i="27"/>
  <c r="FO32" i="27"/>
  <c r="FO25" i="27"/>
  <c r="FO217" i="27"/>
  <c r="FO214" i="27"/>
  <c r="FO212" i="27"/>
  <c r="FO210" i="27"/>
  <c r="FO209" i="27"/>
  <c r="FO208" i="27"/>
  <c r="FO207" i="27"/>
  <c r="FO206" i="27"/>
  <c r="FO205" i="27"/>
  <c r="FO40" i="27"/>
  <c r="FO30" i="27"/>
  <c r="FO204" i="27"/>
  <c r="FO28" i="27"/>
  <c r="FO184" i="27"/>
  <c r="FO179" i="27"/>
  <c r="FO163" i="27"/>
  <c r="FO149" i="27"/>
  <c r="FO216" i="27"/>
  <c r="FO215" i="27"/>
  <c r="FO213" i="27"/>
  <c r="FO211" i="27"/>
  <c r="FO187" i="27"/>
  <c r="FO33" i="27"/>
  <c r="FO16" i="27"/>
  <c r="FO200" i="27"/>
  <c r="FO186" i="27"/>
  <c r="FO183" i="27"/>
  <c r="FO178" i="27"/>
  <c r="FO160" i="27"/>
  <c r="FO203" i="27"/>
  <c r="FO202" i="27"/>
  <c r="FO181" i="27"/>
  <c r="FO180" i="27"/>
  <c r="FO146" i="27"/>
  <c r="FO145" i="27"/>
  <c r="FO144" i="27"/>
  <c r="FO143" i="27"/>
  <c r="FO142" i="27"/>
  <c r="FO124" i="27"/>
  <c r="FO123" i="27"/>
  <c r="FO102" i="27"/>
  <c r="FO101" i="27"/>
  <c r="FO100" i="27"/>
  <c r="FO99" i="27"/>
  <c r="FO45" i="27"/>
  <c r="FO22" i="27"/>
  <c r="FO15" i="27"/>
  <c r="FO221" i="27"/>
  <c r="FO220" i="27"/>
  <c r="FO219" i="27"/>
  <c r="FO218" i="27"/>
  <c r="FO12" i="27"/>
  <c r="FM13" i="27"/>
  <c r="FM46" i="27"/>
  <c r="FM32" i="27"/>
  <c r="CH10" i="27"/>
  <c r="CL10" i="27" s="1"/>
  <c r="CF10" i="27"/>
  <c r="CE10" i="27" s="1"/>
  <c r="CE11" i="27" s="1"/>
  <c r="FX7" i="27" l="1"/>
  <c r="FW7" i="27"/>
  <c r="FV7" i="27"/>
  <c r="FU7" i="27"/>
  <c r="K14" i="75" s="1"/>
  <c r="FT7" i="27"/>
  <c r="K13" i="75" s="1"/>
  <c r="GH7" i="27"/>
  <c r="GD7" i="27"/>
  <c r="FZ7" i="27"/>
  <c r="FR7" i="27"/>
  <c r="K11" i="75" s="1"/>
  <c r="GB7" i="27"/>
  <c r="GA7" i="27"/>
  <c r="GG7" i="27"/>
  <c r="GE7" i="27"/>
  <c r="GC7" i="27"/>
  <c r="FP7" i="27"/>
  <c r="GI7" i="27"/>
  <c r="GF7" i="27"/>
  <c r="FY7" i="27"/>
  <c r="FS7" i="27"/>
  <c r="K12" i="75" s="1"/>
  <c r="FO7" i="27"/>
  <c r="CL11" i="27"/>
  <c r="CP10" i="27"/>
  <c r="CG10" i="27"/>
  <c r="CJ10" i="27"/>
  <c r="BZ10" i="27"/>
  <c r="CA10" i="27" s="1"/>
  <c r="CA11" i="27" s="1"/>
  <c r="BZ11" i="27" s="1"/>
  <c r="BY10" i="27"/>
  <c r="BV10" i="27"/>
  <c r="BW10" i="27" s="1"/>
  <c r="BW11" i="27" s="1"/>
  <c r="BV11" i="27" s="1"/>
  <c r="BU10" i="27"/>
  <c r="BR10" i="27"/>
  <c r="BS10" i="27" s="1"/>
  <c r="BS11" i="27" s="1"/>
  <c r="BR11" i="27" s="1"/>
  <c r="BQ10" i="27"/>
  <c r="BN10" i="27"/>
  <c r="BO10" i="27" s="1"/>
  <c r="BO11" i="27" s="1"/>
  <c r="BN11" i="27" s="1"/>
  <c r="BM10" i="27"/>
  <c r="BJ10" i="27"/>
  <c r="BK10" i="27" s="1"/>
  <c r="BK11" i="27" s="1"/>
  <c r="BJ11" i="27" s="1"/>
  <c r="BI10" i="27"/>
  <c r="BF10" i="27"/>
  <c r="BG10" i="27" s="1"/>
  <c r="BG11" i="27" s="1"/>
  <c r="BF11" i="27" s="1"/>
  <c r="BE10" i="27"/>
  <c r="BB10" i="27"/>
  <c r="BC10" i="27" s="1"/>
  <c r="BC11" i="27" s="1"/>
  <c r="BB11" i="27" s="1"/>
  <c r="BA10" i="27"/>
  <c r="AX10" i="27"/>
  <c r="AY10" i="27" s="1"/>
  <c r="AY11" i="27" s="1"/>
  <c r="AX11" i="27" s="1"/>
  <c r="AW10" i="27"/>
  <c r="AT10" i="27"/>
  <c r="AU10" i="27" s="1"/>
  <c r="AU11" i="27" s="1"/>
  <c r="AT11" i="27" s="1"/>
  <c r="AS10" i="27"/>
  <c r="AP10" i="27"/>
  <c r="AQ10" i="27" s="1"/>
  <c r="AQ11" i="27" s="1"/>
  <c r="AP11" i="27" s="1"/>
  <c r="AO10" i="27"/>
  <c r="AL10" i="27"/>
  <c r="AM10" i="27" s="1"/>
  <c r="AM11" i="27" s="1"/>
  <c r="AL11" i="27" s="1"/>
  <c r="AK10" i="27"/>
  <c r="AH10" i="27"/>
  <c r="AI10" i="27" s="1"/>
  <c r="AI11" i="27" s="1"/>
  <c r="AH11" i="27" s="1"/>
  <c r="AG10" i="27"/>
  <c r="AD10" i="27"/>
  <c r="AE10" i="27" s="1"/>
  <c r="AE11" i="27" s="1"/>
  <c r="AD11" i="27" s="1"/>
  <c r="AC10" i="27"/>
  <c r="Z10" i="27"/>
  <c r="AA10" i="27" s="1"/>
  <c r="AA11" i="27" s="1"/>
  <c r="Z11" i="27" s="1"/>
  <c r="Y10" i="27"/>
  <c r="V10" i="27"/>
  <c r="W10" i="27" s="1"/>
  <c r="W11" i="27" s="1"/>
  <c r="V11" i="27" s="1"/>
  <c r="U10" i="27"/>
  <c r="R10" i="27"/>
  <c r="S10" i="27" s="1"/>
  <c r="S11" i="27" s="1"/>
  <c r="R11" i="27" s="1"/>
  <c r="Q10" i="27"/>
  <c r="N10" i="27"/>
  <c r="O10" i="27" s="1"/>
  <c r="O11" i="27" s="1"/>
  <c r="N11" i="27" s="1"/>
  <c r="M10" i="27"/>
  <c r="J10" i="27"/>
  <c r="K10" i="27" s="1"/>
  <c r="K11" i="27" s="1"/>
  <c r="J11" i="27" s="1"/>
  <c r="I10" i="27"/>
  <c r="T66" i="108"/>
  <c r="T82" i="108"/>
  <c r="AB94" i="108"/>
  <c r="AB59" i="108"/>
  <c r="AE79" i="108"/>
  <c r="Q82" i="108"/>
  <c r="W82" i="108"/>
  <c r="AA62" i="108"/>
  <c r="AB78" i="108"/>
  <c r="AB69" i="108"/>
  <c r="Q92" i="108"/>
  <c r="AA69" i="108"/>
  <c r="AD71" i="108"/>
  <c r="AA70" i="108"/>
  <c r="AE83" i="108"/>
  <c r="AD77" i="108"/>
  <c r="AD85" i="108"/>
  <c r="AD94" i="108"/>
  <c r="AE94" i="108"/>
  <c r="U76" i="108"/>
  <c r="W84" i="108"/>
  <c r="AE75" i="108"/>
  <c r="Q84" i="108"/>
  <c r="AD93" i="108"/>
  <c r="T85" i="108"/>
  <c r="W85" i="108"/>
  <c r="AE62" i="108"/>
  <c r="AA66" i="108"/>
  <c r="R60" i="108"/>
  <c r="AE61" i="108"/>
  <c r="AE86" i="108"/>
  <c r="AE72" i="108"/>
  <c r="W65" i="108"/>
  <c r="W81" i="108"/>
  <c r="AB67" i="108"/>
  <c r="AA90" i="108"/>
  <c r="W89" i="108"/>
  <c r="W79" i="108"/>
  <c r="U66" i="108"/>
  <c r="AE74" i="108"/>
  <c r="Q66" i="108"/>
  <c r="AB60" i="108"/>
  <c r="Q90" i="108"/>
  <c r="AA79" i="108"/>
  <c r="AB77" i="108"/>
  <c r="AA80" i="108"/>
  <c r="AB88" i="108"/>
  <c r="AA77" i="108"/>
  <c r="AA82" i="108"/>
  <c r="AE84" i="108"/>
  <c r="AB80" i="108"/>
  <c r="AD90" i="108"/>
  <c r="W76" i="108"/>
  <c r="X66" i="108"/>
  <c r="AD75" i="108"/>
  <c r="AA76" i="108"/>
  <c r="T75" i="108"/>
  <c r="AD80" i="108"/>
  <c r="AB71" i="108"/>
  <c r="W63" i="108"/>
  <c r="X77" i="108"/>
  <c r="AD92" i="108"/>
  <c r="AB93" i="108"/>
  <c r="Q69" i="108"/>
  <c r="Q88" i="108"/>
  <c r="AE87" i="108"/>
  <c r="U62" i="108"/>
  <c r="AB89" i="108"/>
  <c r="T90" i="108"/>
  <c r="AB82" i="108"/>
  <c r="T92" i="108"/>
  <c r="AE71" i="108"/>
  <c r="AD66" i="108"/>
  <c r="AB74" i="108"/>
  <c r="W91" i="108"/>
  <c r="X70" i="108"/>
  <c r="Q85" i="108"/>
  <c r="AE82" i="108"/>
  <c r="AB92" i="108"/>
  <c r="AE95" i="108"/>
  <c r="AE77" i="108"/>
  <c r="Q91" i="108"/>
  <c r="AA72" i="108"/>
  <c r="AB86" i="108"/>
  <c r="W77" i="108"/>
  <c r="AB91" i="108"/>
  <c r="AD61" i="108"/>
  <c r="AA86" i="108"/>
  <c r="AE78" i="108"/>
  <c r="W92" i="108"/>
  <c r="W60" i="108"/>
  <c r="AB62" i="108"/>
  <c r="AE63" i="108"/>
  <c r="AD88" i="108"/>
  <c r="T80" i="108"/>
  <c r="AB61" i="108"/>
  <c r="AB68" i="108"/>
  <c r="R77" i="108"/>
  <c r="T74" i="108"/>
  <c r="Q71" i="108"/>
  <c r="AA74" i="108"/>
  <c r="Q77" i="108"/>
  <c r="Q75" i="108"/>
  <c r="X71" i="108"/>
  <c r="W67" i="108"/>
  <c r="Q96" i="108"/>
  <c r="AD74" i="108"/>
  <c r="W69" i="108"/>
  <c r="U60" i="108"/>
  <c r="T81" i="108"/>
  <c r="AB73" i="108"/>
  <c r="T77" i="108"/>
  <c r="AB66" i="108"/>
  <c r="Q74" i="108"/>
  <c r="AD63" i="108"/>
  <c r="AD95" i="108"/>
  <c r="Q89" i="108"/>
  <c r="Q81" i="108"/>
  <c r="AD84" i="108"/>
  <c r="AA94" i="108"/>
  <c r="AA89" i="108"/>
  <c r="AE70" i="108"/>
  <c r="R74" i="108"/>
  <c r="Q76" i="108"/>
  <c r="AB96" i="108"/>
  <c r="T70" i="108"/>
  <c r="R70" i="108"/>
  <c r="AE89" i="108"/>
  <c r="X62" i="108"/>
  <c r="Q79" i="108"/>
  <c r="T72" i="108"/>
  <c r="AA87" i="108"/>
  <c r="W83" i="108"/>
  <c r="AD96" i="108"/>
  <c r="T96" i="108"/>
  <c r="AD76" i="108"/>
  <c r="AD70" i="108"/>
  <c r="AD67" i="108"/>
  <c r="AD60" i="108"/>
  <c r="AB90" i="108"/>
  <c r="AB63" i="108"/>
  <c r="X76" i="108"/>
  <c r="Q62" i="108"/>
  <c r="AD62" i="108"/>
  <c r="AD87" i="108"/>
  <c r="AA85" i="108"/>
  <c r="AB79" i="108"/>
  <c r="AB70" i="108"/>
  <c r="AE60" i="108"/>
  <c r="W78" i="108"/>
  <c r="W61" i="108"/>
  <c r="AD69" i="108"/>
  <c r="W62" i="108"/>
  <c r="AE96" i="108"/>
  <c r="U71" i="108"/>
  <c r="AD82" i="108"/>
  <c r="W72" i="108"/>
  <c r="AD73" i="108"/>
  <c r="U74" i="108"/>
  <c r="AD89" i="108"/>
  <c r="T71" i="108"/>
  <c r="AB76" i="108"/>
  <c r="AE73" i="108"/>
  <c r="W88" i="108"/>
  <c r="AE91" i="108"/>
  <c r="AE68" i="108"/>
  <c r="AB81" i="108"/>
  <c r="U70" i="108"/>
  <c r="Q72" i="108"/>
  <c r="AA93" i="108"/>
  <c r="Q70" i="108"/>
  <c r="AE66" i="108"/>
  <c r="AA95" i="108"/>
  <c r="AD83" i="108"/>
  <c r="AA91" i="108"/>
  <c r="AE88" i="108"/>
  <c r="AE64" i="108"/>
  <c r="R76" i="108"/>
  <c r="W71" i="108"/>
  <c r="W87" i="108"/>
  <c r="W86" i="108"/>
  <c r="AA84" i="108"/>
  <c r="W80" i="108"/>
  <c r="T91" i="108"/>
  <c r="W95" i="108"/>
  <c r="AB83" i="108"/>
  <c r="T69" i="108"/>
  <c r="W75" i="108"/>
  <c r="Q93" i="108"/>
  <c r="X74" i="108"/>
  <c r="T84" i="108"/>
  <c r="AB75" i="108"/>
  <c r="AE85" i="108"/>
  <c r="AA75" i="108"/>
  <c r="W64" i="108"/>
  <c r="AD59" i="108"/>
  <c r="W74" i="108"/>
  <c r="W96" i="108"/>
  <c r="AB65" i="108"/>
  <c r="AB87" i="108"/>
  <c r="T62" i="108"/>
  <c r="AB95" i="108"/>
  <c r="AB64" i="108"/>
  <c r="W90" i="108"/>
  <c r="W68" i="108"/>
  <c r="W93" i="108"/>
  <c r="W70" i="108"/>
  <c r="AE81" i="108"/>
  <c r="AD68" i="108"/>
  <c r="AE65" i="108"/>
  <c r="AA88" i="108"/>
  <c r="T93" i="108"/>
  <c r="AA96" i="108"/>
  <c r="U77" i="108"/>
  <c r="R71" i="108"/>
  <c r="AB84" i="108"/>
  <c r="AD78" i="108"/>
  <c r="W94" i="108"/>
  <c r="R62" i="108"/>
  <c r="AE69" i="108"/>
  <c r="AB72" i="108"/>
  <c r="T88" i="108"/>
  <c r="X60" i="108"/>
  <c r="W73" i="108"/>
  <c r="AD65" i="108"/>
  <c r="T79" i="108"/>
  <c r="AE59" i="108"/>
  <c r="AE93" i="108"/>
  <c r="AE92" i="108"/>
  <c r="AD72" i="108"/>
  <c r="Q80" i="108"/>
  <c r="AA92" i="108"/>
  <c r="AE67" i="108"/>
  <c r="W66" i="108"/>
  <c r="AD81" i="108"/>
  <c r="R66" i="108"/>
  <c r="AD64" i="108"/>
  <c r="AB85" i="108"/>
  <c r="T89" i="108"/>
  <c r="AA71" i="108"/>
  <c r="T76" i="108"/>
  <c r="AE76" i="108"/>
  <c r="AD91" i="108"/>
  <c r="AA81" i="108"/>
  <c r="W59" i="108"/>
  <c r="AD86" i="108"/>
  <c r="AD79" i="108"/>
  <c r="AE90" i="108"/>
  <c r="AE80" i="108"/>
  <c r="Y66" i="108" l="1"/>
  <c r="V62" i="108"/>
  <c r="S70" i="108"/>
  <c r="S71" i="108"/>
  <c r="Y70" i="108"/>
  <c r="Y62" i="108"/>
  <c r="Y71" i="108"/>
  <c r="S77" i="108"/>
  <c r="V71" i="108"/>
  <c r="S74" i="108"/>
  <c r="V66" i="108"/>
  <c r="S76" i="108"/>
  <c r="Y60" i="108"/>
  <c r="Y77" i="108"/>
  <c r="V74" i="108"/>
  <c r="S66" i="108"/>
  <c r="V77" i="108"/>
  <c r="V70" i="108"/>
  <c r="Y74" i="108"/>
  <c r="S62" i="108"/>
  <c r="V76" i="108"/>
  <c r="Y76" i="108"/>
  <c r="U11" i="27"/>
  <c r="BE11" i="27"/>
  <c r="BA11" i="27"/>
  <c r="BQ11" i="27"/>
  <c r="AK11" i="27"/>
  <c r="Y11" i="27"/>
  <c r="I11" i="27"/>
  <c r="AO11" i="27"/>
  <c r="BU11" i="27"/>
  <c r="M11" i="27"/>
  <c r="AC11" i="27"/>
  <c r="AS11" i="27"/>
  <c r="BI11" i="27"/>
  <c r="BY11" i="27"/>
  <c r="AG11" i="27"/>
  <c r="BM11" i="27"/>
  <c r="CI10" i="27"/>
  <c r="CK10" i="27" s="1"/>
  <c r="CK11" i="27" s="1"/>
  <c r="CJ11" i="27"/>
  <c r="CP11" i="27"/>
  <c r="CR10" i="27"/>
  <c r="CT10" i="27"/>
  <c r="Q11" i="27"/>
  <c r="AW11" i="27"/>
  <c r="Z66" i="108" l="1"/>
  <c r="Z71" i="108"/>
  <c r="Z77" i="108"/>
  <c r="Z62" i="108"/>
  <c r="Z76" i="108"/>
  <c r="Z74" i="108"/>
  <c r="Z70" i="108"/>
  <c r="CI11" i="27"/>
  <c r="CH11" i="27" s="1"/>
  <c r="CG11" i="27" s="1"/>
  <c r="CF11" i="27" s="1"/>
  <c r="CT11" i="27"/>
  <c r="CV10" i="27"/>
  <c r="CR11" i="27"/>
  <c r="CQ10" i="27"/>
  <c r="CS10" i="27" s="1"/>
  <c r="CS11" i="27" s="1"/>
  <c r="CV11" i="27" l="1"/>
  <c r="CU10" i="27"/>
  <c r="CQ11" i="27"/>
  <c r="F39" i="86"/>
  <c r="G39" i="86" s="1"/>
  <c r="CU11" i="27" l="1"/>
  <c r="CW10" i="27"/>
  <c r="CW11" i="27" s="1"/>
  <c r="A27" i="75" l="1"/>
  <c r="A28" i="75" l="1"/>
  <c r="A29" i="75" l="1"/>
  <c r="A30" i="75" l="1"/>
  <c r="A31" i="75" l="1"/>
  <c r="A32" i="75" l="1"/>
  <c r="A33" i="75" l="1"/>
  <c r="H39" i="86"/>
  <c r="I39" i="86" s="1"/>
  <c r="J39" i="86" s="1"/>
  <c r="K39" i="86" s="1"/>
  <c r="L39" i="86" s="1"/>
  <c r="T45" i="85" l="1"/>
  <c r="T47" i="85"/>
  <c r="T41" i="85"/>
  <c r="T42" i="85"/>
  <c r="T46" i="85"/>
  <c r="T43" i="85"/>
  <c r="T44" i="85"/>
  <c r="M39" i="86"/>
  <c r="T28" i="85"/>
  <c r="T32" i="85"/>
  <c r="T34" i="85"/>
  <c r="T26" i="85"/>
  <c r="T36" i="85"/>
  <c r="T40" i="85"/>
  <c r="T37" i="85"/>
  <c r="T31" i="85"/>
  <c r="T35" i="85"/>
  <c r="T38" i="85"/>
  <c r="T33" i="85"/>
  <c r="T29" i="85"/>
  <c r="T39" i="85"/>
  <c r="T30" i="85"/>
  <c r="A34" i="75"/>
  <c r="V45" i="85" l="1"/>
  <c r="V42" i="85"/>
  <c r="V43" i="85"/>
  <c r="V41" i="85"/>
  <c r="V44" i="85"/>
  <c r="V47" i="85"/>
  <c r="V46" i="85"/>
  <c r="V34" i="85"/>
  <c r="V25" i="85"/>
  <c r="V32" i="85"/>
  <c r="V28" i="85"/>
  <c r="V30" i="85"/>
  <c r="V37" i="85"/>
  <c r="V31" i="85"/>
  <c r="V35" i="85"/>
  <c r="V38" i="85"/>
  <c r="V33" i="85"/>
  <c r="V36" i="85"/>
  <c r="V40" i="85"/>
  <c r="V39" i="85"/>
  <c r="V26" i="85"/>
  <c r="V29" i="85"/>
  <c r="A35" i="75"/>
  <c r="A36" i="75" l="1"/>
  <c r="A37" i="75" l="1"/>
  <c r="A38" i="75" l="1"/>
  <c r="A39" i="75" l="1"/>
  <c r="A40" i="75" l="1"/>
  <c r="Q60" i="108"/>
  <c r="Q59" i="108"/>
  <c r="Q143" i="108"/>
  <c r="Q61" i="108"/>
  <c r="Q63" i="108"/>
  <c r="Q103" i="108"/>
  <c r="Q83" i="108"/>
  <c r="Q94" i="108"/>
  <c r="Q95" i="108"/>
  <c r="Q86" i="108"/>
  <c r="Q65" i="108"/>
  <c r="Q73" i="108"/>
  <c r="Q67" i="108"/>
  <c r="Q64" i="108"/>
  <c r="Q102" i="108"/>
  <c r="Q87" i="108"/>
  <c r="Q146" i="108"/>
  <c r="Q108" i="108"/>
  <c r="Q145" i="108"/>
  <c r="Q125" i="108"/>
  <c r="Q68" i="108"/>
  <c r="P98" i="108"/>
  <c r="Q98" i="108"/>
  <c r="Q109" i="108"/>
  <c r="Q100" i="108"/>
  <c r="P109" i="108"/>
  <c r="Q78" i="108"/>
  <c r="A41" i="75" l="1"/>
  <c r="K40" i="75"/>
  <c r="S125" i="108"/>
  <c r="S143" i="108"/>
  <c r="P52" i="108"/>
  <c r="Q52" i="108"/>
  <c r="S109" i="108"/>
  <c r="S100" i="108"/>
  <c r="S108" i="108"/>
  <c r="S98" i="108"/>
  <c r="S145" i="108"/>
  <c r="S146" i="108"/>
  <c r="S103" i="108"/>
  <c r="S102" i="108"/>
  <c r="S60" i="108"/>
  <c r="AA145" i="108"/>
  <c r="AA102" i="108"/>
  <c r="AA67" i="108"/>
  <c r="AA83" i="108"/>
  <c r="AA61" i="108"/>
  <c r="AA109" i="108"/>
  <c r="AA146" i="108"/>
  <c r="AA143" i="108"/>
  <c r="AA100" i="108"/>
  <c r="AA65" i="108"/>
  <c r="AA63" i="108"/>
  <c r="AA68" i="108"/>
  <c r="AA60" i="108"/>
  <c r="AA78" i="108"/>
  <c r="AA103" i="108"/>
  <c r="AA64" i="108"/>
  <c r="AA59" i="108"/>
  <c r="AA73" i="108"/>
  <c r="AA108" i="108"/>
  <c r="AA125" i="108"/>
  <c r="AA98" i="108"/>
  <c r="A42" i="75" l="1"/>
  <c r="K41" i="75"/>
  <c r="T98" i="108"/>
  <c r="T108" i="108"/>
  <c r="T65" i="108"/>
  <c r="T146" i="108"/>
  <c r="T63" i="108"/>
  <c r="T67" i="108"/>
  <c r="T143" i="108"/>
  <c r="T102" i="108"/>
  <c r="T95" i="108"/>
  <c r="T68" i="108"/>
  <c r="T61" i="108"/>
  <c r="T59" i="108"/>
  <c r="T145" i="108"/>
  <c r="T73" i="108"/>
  <c r="T78" i="108"/>
  <c r="T83" i="108"/>
  <c r="T100" i="108"/>
  <c r="T125" i="108"/>
  <c r="T94" i="108"/>
  <c r="T64" i="108"/>
  <c r="T103" i="108"/>
  <c r="T86" i="108"/>
  <c r="T87" i="108"/>
  <c r="T109" i="108"/>
  <c r="T60" i="108"/>
  <c r="A43" i="75" l="1"/>
  <c r="K42" i="75"/>
  <c r="V143" i="108"/>
  <c r="Z143" i="108" s="1"/>
  <c r="V125" i="108"/>
  <c r="Z125" i="108" s="1"/>
  <c r="V100" i="108"/>
  <c r="Z100" i="108" s="1"/>
  <c r="V98" i="108"/>
  <c r="Z98" i="108" s="1"/>
  <c r="V108" i="108"/>
  <c r="Z108" i="108" s="1"/>
  <c r="V109" i="108"/>
  <c r="Z109" i="108" s="1"/>
  <c r="V103" i="108"/>
  <c r="Z103" i="108" s="1"/>
  <c r="V146" i="108"/>
  <c r="Z146" i="108" s="1"/>
  <c r="V102" i="108"/>
  <c r="Z102" i="108" s="1"/>
  <c r="V145" i="108"/>
  <c r="Z145" i="108" s="1"/>
  <c r="V60" i="108"/>
  <c r="Z60" i="108" s="1"/>
  <c r="A44" i="75" l="1"/>
  <c r="K43" i="75"/>
  <c r="A45" i="75" l="1"/>
  <c r="K44" i="75"/>
  <c r="A46" i="75" l="1"/>
  <c r="K45" i="75"/>
  <c r="A47" i="75" l="1"/>
  <c r="K46" i="75"/>
  <c r="A48" i="75" l="1"/>
  <c r="K47" i="75"/>
  <c r="A49" i="75" l="1"/>
  <c r="K48" i="75"/>
  <c r="A50" i="75" l="1"/>
  <c r="K49" i="75"/>
  <c r="A51" i="75" l="1"/>
  <c r="A52" i="75" s="1"/>
  <c r="A53" i="75" s="1"/>
  <c r="A54" i="75" s="1"/>
  <c r="A55" i="75" s="1"/>
  <c r="A56" i="75" s="1"/>
  <c r="A57" i="75" s="1"/>
  <c r="A58" i="75" s="1"/>
  <c r="A59" i="75" s="1"/>
  <c r="A60" i="75" s="1"/>
  <c r="A61" i="75" s="1"/>
  <c r="A62" i="75" s="1"/>
  <c r="A63" i="75" s="1"/>
  <c r="A64" i="75" s="1"/>
  <c r="A65" i="75" s="1"/>
  <c r="K50" i="75"/>
  <c r="K51" i="75" l="1"/>
  <c r="K52" i="75"/>
  <c r="CN10" i="27"/>
  <c r="CM10" i="27" s="1"/>
  <c r="CX10" i="27"/>
  <c r="DB10" i="27" s="1"/>
  <c r="K53" i="75" l="1"/>
  <c r="CN11" i="27"/>
  <c r="CZ10" i="27"/>
  <c r="CX11" i="27"/>
  <c r="DF10" i="27"/>
  <c r="DD10" i="27"/>
  <c r="DB11" i="27"/>
  <c r="CO10" i="27"/>
  <c r="CO11" i="27" s="1"/>
  <c r="CM11" i="27"/>
  <c r="K54" i="75" l="1"/>
  <c r="CY10" i="27"/>
  <c r="CZ11" i="27"/>
  <c r="DH10" i="27"/>
  <c r="DJ10" i="27"/>
  <c r="DF11" i="27"/>
  <c r="DD11" i="27"/>
  <c r="DC10" i="27"/>
  <c r="K55" i="75" l="1"/>
  <c r="CY11" i="27"/>
  <c r="DA10" i="27"/>
  <c r="DA11" i="27" s="1"/>
  <c r="DE10" i="27"/>
  <c r="DE11" i="27" s="1"/>
  <c r="DC11" i="27"/>
  <c r="DH11" i="27"/>
  <c r="DG10" i="27"/>
  <c r="DN10" i="27"/>
  <c r="DJ11" i="27"/>
  <c r="DL10" i="27"/>
  <c r="K57" i="75" l="1"/>
  <c r="K56" i="75"/>
  <c r="K58" i="75"/>
  <c r="DK10" i="27"/>
  <c r="DL11" i="27"/>
  <c r="DN11" i="27"/>
  <c r="DR10" i="27"/>
  <c r="DP10" i="27"/>
  <c r="DI10" i="27"/>
  <c r="DI11" i="27" s="1"/>
  <c r="DG11" i="27"/>
  <c r="K59" i="75" l="1"/>
  <c r="DO10" i="27"/>
  <c r="DP11" i="27"/>
  <c r="DK11" i="27"/>
  <c r="DM10" i="27"/>
  <c r="DM11" i="27" s="1"/>
  <c r="DV10" i="27"/>
  <c r="DT10" i="27"/>
  <c r="DR11" i="27"/>
  <c r="K60" i="75" l="1"/>
  <c r="DX10" i="27"/>
  <c r="DZ10" i="27"/>
  <c r="DV11" i="27"/>
  <c r="DO11" i="27"/>
  <c r="DQ10" i="27"/>
  <c r="DQ11" i="27" s="1"/>
  <c r="DT11" i="27"/>
  <c r="DS10" i="27"/>
  <c r="K61" i="75" l="1"/>
  <c r="DU10" i="27"/>
  <c r="DU11" i="27" s="1"/>
  <c r="DS11" i="27"/>
  <c r="DX11" i="27"/>
  <c r="DW10" i="27"/>
  <c r="ED10" i="27"/>
  <c r="DZ11" i="27"/>
  <c r="EB10" i="27"/>
  <c r="K62" i="75" l="1"/>
  <c r="DY10" i="27"/>
  <c r="DY11" i="27" s="1"/>
  <c r="DW11" i="27"/>
  <c r="EA10" i="27"/>
  <c r="EB11" i="27"/>
  <c r="ED11" i="27"/>
  <c r="EH10" i="27"/>
  <c r="EF10" i="27"/>
  <c r="K63" i="75" l="1"/>
  <c r="EE10" i="27"/>
  <c r="EF11" i="27"/>
  <c r="EA11" i="27"/>
  <c r="EC10" i="27"/>
  <c r="EC11" i="27" s="1"/>
  <c r="EL10" i="27"/>
  <c r="EJ10" i="27"/>
  <c r="EH11" i="27"/>
  <c r="K64" i="75" l="1"/>
  <c r="EN10" i="27"/>
  <c r="EP10" i="27"/>
  <c r="EL11" i="27"/>
  <c r="EE11" i="27"/>
  <c r="EG10" i="27"/>
  <c r="EG11" i="27" s="1"/>
  <c r="EI10" i="27"/>
  <c r="EJ11" i="27"/>
  <c r="K65" i="75" l="1"/>
  <c r="EN11" i="27"/>
  <c r="EM10" i="27"/>
  <c r="EK10" i="27"/>
  <c r="EK11" i="27" s="1"/>
  <c r="EI11" i="27"/>
  <c r="ET10" i="27"/>
  <c r="EP11" i="27"/>
  <c r="ER10" i="27"/>
  <c r="EQ10" i="27" l="1"/>
  <c r="ER11" i="27"/>
  <c r="EV10" i="27"/>
  <c r="ET11" i="27"/>
  <c r="EO10" i="27"/>
  <c r="EO11" i="27" s="1"/>
  <c r="EM11" i="27"/>
  <c r="EU10" i="27" l="1"/>
  <c r="EV11" i="27"/>
  <c r="EQ11" i="27"/>
  <c r="ES10" i="27"/>
  <c r="ES11" i="27" s="1"/>
  <c r="EU11" i="27" l="1"/>
  <c r="EW10" i="27"/>
  <c r="EW11" i="27" s="1"/>
  <c r="X75" i="108"/>
  <c r="X90" i="108"/>
  <c r="X94" i="108"/>
  <c r="X69" i="108"/>
  <c r="X83" i="108"/>
  <c r="X93" i="108"/>
  <c r="X91" i="108"/>
  <c r="X86" i="108"/>
  <c r="X64" i="108"/>
  <c r="X81" i="108"/>
  <c r="X82" i="108"/>
  <c r="X88" i="108"/>
  <c r="X61" i="108"/>
  <c r="X89" i="108"/>
  <c r="X79" i="108"/>
  <c r="X80" i="108"/>
  <c r="X96" i="108"/>
  <c r="X73" i="108"/>
  <c r="X87" i="108"/>
  <c r="X68" i="108"/>
  <c r="X65" i="108"/>
  <c r="X95" i="108"/>
  <c r="X84" i="108"/>
  <c r="X67" i="108"/>
  <c r="X78" i="108"/>
  <c r="X85" i="108"/>
  <c r="X92" i="108"/>
  <c r="X63" i="108"/>
  <c r="X72" i="108"/>
  <c r="Y82" i="108" l="1"/>
  <c r="Y81" i="108"/>
  <c r="Y88" i="108"/>
  <c r="Y61" i="108"/>
  <c r="Y89" i="108"/>
  <c r="Y78" i="108"/>
  <c r="Y95" i="108"/>
  <c r="Y67" i="108"/>
  <c r="Y72" i="108"/>
  <c r="Y65" i="108"/>
  <c r="Y84" i="108"/>
  <c r="Y68" i="108"/>
  <c r="Y96" i="108"/>
  <c r="Y90" i="108"/>
  <c r="Y83" i="108"/>
  <c r="Y64" i="108"/>
  <c r="Y91" i="108"/>
  <c r="Y92" i="108"/>
  <c r="Y93" i="108"/>
  <c r="Y63" i="108"/>
  <c r="Y85" i="108"/>
  <c r="Y69" i="108"/>
  <c r="Y75" i="108"/>
  <c r="Y87" i="108"/>
  <c r="Y73" i="108"/>
  <c r="Y86" i="108"/>
  <c r="Y79" i="108"/>
  <c r="Y80" i="108"/>
  <c r="Y94" i="108"/>
  <c r="R79" i="108"/>
  <c r="S79" i="108" l="1"/>
  <c r="R65" i="108"/>
  <c r="S65" i="108" l="1"/>
  <c r="S90" i="108" l="1"/>
  <c r="X59" i="108"/>
  <c r="Y59" i="108" l="1"/>
  <c r="R92" i="108"/>
  <c r="Y37" i="108" l="1"/>
  <c r="S92" i="108"/>
  <c r="R96" i="108"/>
  <c r="S96" i="108" l="1"/>
  <c r="R69" i="108"/>
  <c r="S69" i="108" l="1"/>
  <c r="R91" i="108"/>
  <c r="S91" i="108" l="1"/>
  <c r="R81" i="108"/>
  <c r="S81" i="108" l="1"/>
  <c r="S88" i="108" l="1"/>
  <c r="R93" i="108"/>
  <c r="S93" i="108" l="1"/>
  <c r="R80" i="108"/>
  <c r="S80" i="108" l="1"/>
  <c r="R85" i="108"/>
  <c r="S85" i="108" l="1"/>
  <c r="R75" i="108"/>
  <c r="S75" i="108" l="1"/>
  <c r="R73" i="108"/>
  <c r="S73" i="108" l="1"/>
  <c r="R84" i="108"/>
  <c r="S84" i="108" l="1"/>
  <c r="R83" i="108"/>
  <c r="S83" i="108" l="1"/>
  <c r="R78" i="108"/>
  <c r="S78" i="108" l="1"/>
  <c r="R89" i="108"/>
  <c r="S89" i="108" l="1"/>
  <c r="R87" i="108"/>
  <c r="S87" i="108" l="1"/>
  <c r="R95" i="108"/>
  <c r="S95" i="108" l="1"/>
  <c r="R68" i="108"/>
  <c r="S68" i="108" l="1"/>
  <c r="R94" i="108"/>
  <c r="S94" i="108" l="1"/>
  <c r="R86" i="108"/>
  <c r="S86" i="108" l="1"/>
  <c r="R63" i="108"/>
  <c r="S63" i="108" l="1"/>
  <c r="R61" i="108"/>
  <c r="S61" i="108" l="1"/>
  <c r="R64" i="108"/>
  <c r="S64" i="108" l="1"/>
  <c r="R82" i="108"/>
  <c r="S82" i="108" l="1"/>
  <c r="R59" i="108"/>
  <c r="S59" i="108" l="1"/>
  <c r="R72" i="108"/>
  <c r="S72" i="108" l="1"/>
  <c r="R67" i="108"/>
  <c r="R52" i="108" l="1"/>
  <c r="S67" i="108"/>
  <c r="S52" i="108" s="1"/>
  <c r="U61" i="108"/>
  <c r="S37" i="108" l="1"/>
  <c r="V61" i="108"/>
  <c r="U82" i="108"/>
  <c r="V82" i="108" l="1"/>
  <c r="Z61" i="108"/>
  <c r="U59" i="108"/>
  <c r="Z82" i="108" l="1"/>
  <c r="V59" i="108"/>
  <c r="U64" i="108"/>
  <c r="V64" i="108" l="1"/>
  <c r="Z59" i="108"/>
  <c r="U63" i="108"/>
  <c r="V63" i="108" l="1"/>
  <c r="Z64" i="108"/>
  <c r="U67" i="108"/>
  <c r="Z63" i="108" l="1"/>
  <c r="V67" i="108"/>
  <c r="Z67" i="108" l="1"/>
  <c r="U78" i="108"/>
  <c r="V78" i="108" l="1"/>
  <c r="Z78" i="108" l="1"/>
  <c r="U68" i="108"/>
  <c r="V68" i="108" l="1"/>
  <c r="Z68" i="108" l="1"/>
  <c r="U95" i="108"/>
  <c r="V95" i="108" l="1"/>
  <c r="Z95" i="108" s="1"/>
  <c r="U94" i="108"/>
  <c r="V94" i="108" l="1"/>
  <c r="Z94" i="108" s="1"/>
  <c r="U87" i="108"/>
  <c r="V87" i="108" l="1"/>
  <c r="Z87" i="108" s="1"/>
  <c r="U86" i="108"/>
  <c r="V86" i="108" l="1"/>
  <c r="Z86" i="108" s="1"/>
  <c r="U83" i="108"/>
  <c r="V83" i="108" l="1"/>
  <c r="Z83" i="108" s="1"/>
  <c r="U84" i="108"/>
  <c r="V84" i="108" l="1"/>
  <c r="U92" i="108"/>
  <c r="Z84" i="108" l="1"/>
  <c r="V92" i="108"/>
  <c r="U85" i="108"/>
  <c r="Z92" i="108" l="1"/>
  <c r="V85" i="108"/>
  <c r="Z85" i="108" s="1"/>
  <c r="U88" i="108"/>
  <c r="V88" i="108" l="1"/>
  <c r="Z88" i="108" l="1"/>
  <c r="U65" i="108"/>
  <c r="V65" i="108" l="1"/>
  <c r="U93" i="108"/>
  <c r="V93" i="108" l="1"/>
  <c r="Z65" i="108"/>
  <c r="U89" i="108"/>
  <c r="Z93" i="108" l="1"/>
  <c r="V89" i="108"/>
  <c r="Z89" i="108" l="1"/>
  <c r="U79" i="108"/>
  <c r="V79" i="108" l="1"/>
  <c r="U81" i="108"/>
  <c r="Z79" i="108" l="1"/>
  <c r="V81" i="108"/>
  <c r="U96" i="108"/>
  <c r="Z81" i="108" l="1"/>
  <c r="V96" i="108"/>
  <c r="U90" i="108"/>
  <c r="Z96" i="108" l="1"/>
  <c r="V90" i="108"/>
  <c r="U91" i="108"/>
  <c r="Z90" i="108" l="1"/>
  <c r="V91" i="108"/>
  <c r="Z91" i="108" l="1"/>
  <c r="U73" i="108"/>
  <c r="V73" i="108" l="1"/>
  <c r="U80" i="108"/>
  <c r="Z73" i="108" l="1"/>
  <c r="V80" i="108"/>
  <c r="U72" i="108"/>
  <c r="Z80" i="108" l="1"/>
  <c r="V72" i="108"/>
  <c r="U75" i="108"/>
  <c r="Z72" i="108" l="1"/>
  <c r="V75" i="108"/>
  <c r="U69" i="108"/>
  <c r="Z75" i="108" l="1"/>
  <c r="V69" i="108"/>
  <c r="V37" i="108" l="1"/>
  <c r="Z37" i="108" s="1"/>
  <c r="Z69" i="108"/>
  <c r="Q20" i="166" l="1"/>
  <c r="R20" i="166" l="1"/>
  <c r="T20" i="166" s="1"/>
  <c r="Y20" i="166"/>
  <c r="X20" i="166" l="1"/>
  <c r="H92" i="166"/>
  <c r="Z20" i="166"/>
  <c r="AL77" i="105" l="1"/>
  <c r="AI77" i="105"/>
  <c r="AH77" i="105"/>
  <c r="AM77" i="105"/>
  <c r="E18" i="202" s="1"/>
  <c r="F18" i="202" s="1"/>
  <c r="AR77" i="105"/>
  <c r="E23" i="202" s="1"/>
  <c r="F23" i="202" s="1"/>
  <c r="AW77" i="105"/>
  <c r="E28" i="202" s="1"/>
  <c r="AV77" i="105"/>
  <c r="E27" i="202" s="1"/>
  <c r="F27" i="202" s="1"/>
  <c r="I18" i="202" l="1"/>
  <c r="K27" i="202"/>
  <c r="O27" i="202"/>
  <c r="N27" i="202"/>
  <c r="P27" i="202" s="1"/>
  <c r="I27" i="202"/>
  <c r="J27" i="202" s="1"/>
  <c r="L27" i="202" s="1"/>
  <c r="F28" i="202"/>
  <c r="I28" i="202" s="1"/>
  <c r="M28" i="202" s="1"/>
  <c r="O23" i="202"/>
  <c r="I23" i="202"/>
  <c r="J23" i="202" s="1"/>
  <c r="L23" i="202" s="1"/>
  <c r="K23" i="202"/>
  <c r="N23" i="202"/>
  <c r="P23" i="202" s="1"/>
  <c r="F17" i="202"/>
  <c r="I17" i="202" s="1"/>
  <c r="E10" i="190"/>
  <c r="AB81" i="166"/>
  <c r="AB82" i="166" s="1"/>
  <c r="N77" i="105"/>
  <c r="M80" i="105"/>
  <c r="I77" i="105"/>
  <c r="H77" i="105"/>
  <c r="M54" i="190" s="1"/>
  <c r="M30" i="190" l="1"/>
  <c r="E11" i="208"/>
  <c r="O18" i="202"/>
  <c r="O42" i="202" s="1"/>
  <c r="J18" i="202"/>
  <c r="L18" i="202" s="1"/>
  <c r="K18" i="202"/>
  <c r="N18" i="202"/>
  <c r="P18" i="202" s="1"/>
  <c r="O41" i="202" s="1"/>
  <c r="J13" i="202"/>
  <c r="Q35" i="190" s="1"/>
  <c r="N28" i="202"/>
  <c r="O28" i="202"/>
  <c r="K28" i="202"/>
  <c r="J11" i="202"/>
  <c r="J10" i="202"/>
  <c r="N48" i="190"/>
  <c r="O36" i="202"/>
  <c r="O40" i="202"/>
  <c r="O34" i="202"/>
  <c r="K40" i="202"/>
  <c r="K34" i="202"/>
  <c r="O30" i="202"/>
  <c r="K36" i="202"/>
  <c r="M57" i="190"/>
  <c r="E11" i="190"/>
  <c r="E12" i="208" s="1"/>
  <c r="K17" i="202"/>
  <c r="J17" i="202"/>
  <c r="O17" i="202"/>
  <c r="G113" i="190"/>
  <c r="J63" i="190"/>
  <c r="L76" i="190"/>
  <c r="P76" i="190"/>
  <c r="G109" i="190"/>
  <c r="G108" i="190"/>
  <c r="G114" i="190"/>
  <c r="I89" i="105"/>
  <c r="K89" i="105" s="1"/>
  <c r="L89" i="105" s="1"/>
  <c r="T30" i="190" l="1"/>
  <c r="N47" i="190"/>
  <c r="N49" i="190" s="1"/>
  <c r="G97" i="208"/>
  <c r="G102" i="208"/>
  <c r="G103" i="208"/>
  <c r="G104" i="208"/>
  <c r="G98" i="208"/>
  <c r="G99" i="208"/>
  <c r="N17" i="202"/>
  <c r="O35" i="202" s="1"/>
  <c r="O39" i="202" s="1"/>
  <c r="K58" i="202"/>
  <c r="O45" i="202"/>
  <c r="O50" i="202" s="1"/>
  <c r="K50" i="202"/>
  <c r="K45" i="202"/>
  <c r="J12" i="202"/>
  <c r="Q34" i="190" s="1"/>
  <c r="J28" i="202"/>
  <c r="L28" i="202" s="1"/>
  <c r="P28" i="202"/>
  <c r="L13" i="202"/>
  <c r="N13" i="202" s="1"/>
  <c r="M61" i="190"/>
  <c r="E61" i="190"/>
  <c r="M56" i="190"/>
  <c r="E56" i="190"/>
  <c r="L17" i="202"/>
  <c r="J78" i="190"/>
  <c r="J79" i="190" s="1"/>
  <c r="D7" i="214" s="1"/>
  <c r="K63" i="190"/>
  <c r="E107" i="190" s="1"/>
  <c r="E106" i="190" s="1"/>
  <c r="F107" i="190"/>
  <c r="G107" i="190" s="1"/>
  <c r="G106" i="190" s="1"/>
  <c r="L80" i="190" l="1"/>
  <c r="L96" i="190"/>
  <c r="L98" i="190" s="1"/>
  <c r="C8" i="214" s="1"/>
  <c r="N63" i="190"/>
  <c r="F112" i="190" s="1"/>
  <c r="G112" i="190" s="1"/>
  <c r="G101" i="208"/>
  <c r="G96" i="208"/>
  <c r="I68" i="202"/>
  <c r="L11" i="202"/>
  <c r="L12" i="202" s="1"/>
  <c r="N12" i="202" s="1"/>
  <c r="L10" i="202"/>
  <c r="N10" i="202" s="1"/>
  <c r="I71" i="202"/>
  <c r="P17" i="202"/>
  <c r="O44" i="202" s="1"/>
  <c r="O56" i="202" s="1"/>
  <c r="I65" i="202"/>
  <c r="I70" i="202"/>
  <c r="O58" i="202"/>
  <c r="O60" i="202" s="1"/>
  <c r="O29" i="202"/>
  <c r="O33" i="202" s="1"/>
  <c r="I73" i="202"/>
  <c r="I76" i="202" s="1"/>
  <c r="I67" i="202"/>
  <c r="O51" i="202"/>
  <c r="H65" i="202"/>
  <c r="H73" i="202"/>
  <c r="H76" i="202" s="1"/>
  <c r="H68" i="202"/>
  <c r="H70" i="202"/>
  <c r="K11" i="202"/>
  <c r="M11" i="202" s="1"/>
  <c r="H67" i="202"/>
  <c r="K29" i="202"/>
  <c r="K10" i="202"/>
  <c r="M10" i="202" s="1"/>
  <c r="H71" i="202"/>
  <c r="K35" i="202"/>
  <c r="K39" i="202" s="1"/>
  <c r="K13" i="202"/>
  <c r="M13" i="202" s="1"/>
  <c r="T35" i="190" s="1"/>
  <c r="K44" i="202"/>
  <c r="K56" i="202" s="1"/>
  <c r="K60" i="202"/>
  <c r="L63" i="190"/>
  <c r="K78" i="190"/>
  <c r="F106" i="190"/>
  <c r="L78" i="190" l="1"/>
  <c r="N11" i="202"/>
  <c r="J67" i="202"/>
  <c r="J70" i="202"/>
  <c r="J73" i="202"/>
  <c r="K12" i="202"/>
  <c r="M12" i="202" s="1"/>
  <c r="T34" i="190" s="1"/>
  <c r="N78" i="190"/>
  <c r="N79" i="190" s="1"/>
  <c r="G7" i="214" s="1"/>
  <c r="O53" i="190"/>
  <c r="O63" i="190"/>
  <c r="L100" i="190"/>
  <c r="L101" i="190"/>
  <c r="R58" i="202"/>
  <c r="F80" i="105"/>
  <c r="E80" i="105"/>
  <c r="G80" i="105"/>
  <c r="C22" i="153"/>
  <c r="I80" i="105"/>
  <c r="H80" i="105"/>
  <c r="O77" i="105"/>
  <c r="P80" i="190" l="1"/>
  <c r="P96" i="190"/>
  <c r="P98" i="190" s="1"/>
  <c r="E16" i="190"/>
  <c r="P63" i="190"/>
  <c r="O78" i="190"/>
  <c r="F16" i="190"/>
  <c r="E112" i="190"/>
  <c r="E111" i="190" s="1"/>
  <c r="F111" i="190"/>
  <c r="G111" i="190"/>
  <c r="P100" i="190" l="1"/>
  <c r="E8" i="214"/>
  <c r="P78" i="190"/>
  <c r="P101" i="190"/>
  <c r="Q75" i="105"/>
  <c r="I88" i="105"/>
  <c r="I93" i="105" l="1"/>
  <c r="K88" i="105"/>
  <c r="G93" i="105"/>
  <c r="K93" i="105" l="1"/>
  <c r="K95" i="105"/>
  <c r="L88" i="105"/>
  <c r="L95" i="105" s="1"/>
  <c r="I94" i="105"/>
  <c r="L93" i="105" l="1"/>
  <c r="K94" i="105"/>
  <c r="U119" i="166" l="1"/>
  <c r="M21" i="166"/>
  <c r="Q21" i="166" s="1"/>
  <c r="Q19" i="166" l="1"/>
  <c r="Y21" i="166"/>
  <c r="R21" i="166"/>
  <c r="T21" i="166" s="1"/>
  <c r="X21" i="166" s="1"/>
  <c r="Y19" i="166" l="1"/>
  <c r="Z21" i="166"/>
  <c r="T19" i="166"/>
  <c r="H91" i="166"/>
  <c r="K112" i="166" l="1"/>
  <c r="K116" i="166"/>
  <c r="AC19" i="166"/>
  <c r="AC79" i="166" s="1"/>
  <c r="K82" i="166" s="1"/>
  <c r="Z19" i="166"/>
  <c r="V19" i="166"/>
  <c r="U19" i="166"/>
  <c r="X19" i="166"/>
  <c r="K124" i="166" l="1"/>
  <c r="J116" i="166"/>
  <c r="L116" i="166" s="1"/>
  <c r="J112" i="166"/>
  <c r="L112" i="166" s="1"/>
  <c r="N116" i="166"/>
  <c r="O116" i="166" s="1"/>
  <c r="N112" i="166"/>
  <c r="W19" i="166"/>
  <c r="K87" i="166"/>
  <c r="L88" i="166" s="1"/>
  <c r="K85" i="166"/>
  <c r="K86" i="166"/>
  <c r="L124" i="166" l="1"/>
  <c r="J124" i="166" s="1"/>
  <c r="N124" i="166"/>
  <c r="U124" i="166" s="1"/>
  <c r="Q116" i="166"/>
  <c r="P116" i="166" s="1"/>
  <c r="Q112" i="166"/>
  <c r="P112" i="166" s="1"/>
  <c r="U116" i="166"/>
  <c r="O112" i="166"/>
  <c r="O124" i="166" s="1"/>
  <c r="U112" i="166"/>
  <c r="M124" i="166" l="1"/>
  <c r="P124" i="166"/>
  <c r="Q124" i="166" l="1"/>
  <c r="P131" i="166" s="1"/>
  <c r="P130" i="166"/>
  <c r="L95" i="75" l="1"/>
  <c r="K76" i="75" l="1"/>
  <c r="K77" i="75"/>
  <c r="K78" i="75"/>
  <c r="K75" i="75" l="1"/>
  <c r="K72" i="75"/>
  <c r="K74" i="75"/>
  <c r="K73" i="75"/>
  <c r="K82" i="75" l="1"/>
  <c r="A47" i="27" l="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l="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M172" i="85"/>
  <c r="N189" i="85"/>
  <c r="M210" i="85"/>
  <c r="M186" i="85"/>
  <c r="M206" i="85"/>
  <c r="M201" i="85"/>
  <c r="M188" i="85"/>
  <c r="M208" i="85"/>
  <c r="M184" i="85"/>
  <c r="M209" i="85"/>
  <c r="M203" i="85"/>
  <c r="N202" i="85"/>
  <c r="M205" i="85"/>
  <c r="N213" i="85"/>
  <c r="M191" i="85"/>
  <c r="M177" i="85"/>
  <c r="M183" i="85"/>
  <c r="M196" i="85"/>
  <c r="N178" i="85"/>
  <c r="M173" i="85"/>
  <c r="N179" i="85"/>
  <c r="M192" i="85"/>
  <c r="M211" i="85"/>
  <c r="M187" i="85"/>
  <c r="M193" i="85"/>
  <c r="N171" i="85"/>
  <c r="N180" i="85"/>
  <c r="N170" i="85"/>
  <c r="N204" i="85"/>
  <c r="N168" i="85"/>
  <c r="B128" i="145"/>
  <c r="B142" i="145"/>
  <c r="M195" i="85"/>
  <c r="M174" i="85"/>
  <c r="N190" i="85"/>
  <c r="M197" i="85"/>
  <c r="B119" i="145"/>
  <c r="B146" i="145"/>
  <c r="B109" i="145"/>
  <c r="B112" i="145"/>
  <c r="B153" i="145"/>
  <c r="B139" i="145"/>
  <c r="B155" i="145"/>
  <c r="B143" i="145"/>
  <c r="M198" i="85"/>
  <c r="N182" i="85"/>
  <c r="B150" i="145"/>
  <c r="B136" i="145"/>
  <c r="B132" i="145"/>
  <c r="B111" i="145"/>
  <c r="N199" i="85"/>
  <c r="M176" i="85"/>
  <c r="B108" i="145"/>
  <c r="B130" i="145"/>
  <c r="B115" i="145"/>
  <c r="B149" i="145"/>
  <c r="B114" i="145"/>
  <c r="N169" i="85"/>
  <c r="B144" i="145"/>
  <c r="B138" i="145"/>
  <c r="B125" i="145"/>
  <c r="B127" i="145"/>
  <c r="B121" i="145"/>
  <c r="B137" i="145"/>
  <c r="B110" i="145"/>
  <c r="B133" i="145"/>
  <c r="B158" i="145"/>
  <c r="B145" i="145"/>
  <c r="B141" i="145"/>
  <c r="B151" i="145"/>
  <c r="B129" i="145"/>
  <c r="B126" i="145"/>
  <c r="B147" i="145"/>
  <c r="B123" i="145"/>
  <c r="B117" i="145"/>
  <c r="B118" i="145"/>
  <c r="B154" i="145"/>
  <c r="B116" i="145"/>
  <c r="B120" i="145"/>
  <c r="B159" i="145"/>
  <c r="B156" i="145"/>
  <c r="B134" i="145"/>
  <c r="B122" i="145"/>
  <c r="B135" i="145"/>
  <c r="B148" i="145"/>
  <c r="B152" i="145"/>
  <c r="B124" i="145"/>
  <c r="N194" i="85"/>
  <c r="B131" i="145"/>
  <c r="B157" i="145"/>
  <c r="B113" i="145"/>
  <c r="B140" i="145"/>
  <c r="F141" i="27" l="1"/>
  <c r="F156" i="27"/>
  <c r="F139" i="27"/>
  <c r="F164" i="27"/>
  <c r="F146" i="27"/>
  <c r="F132" i="27"/>
  <c r="F138" i="27"/>
  <c r="F148" i="27"/>
  <c r="EZ148" i="27" s="1"/>
  <c r="AC193" i="145" s="1"/>
  <c r="F129" i="27"/>
  <c r="FB129" i="27" s="1"/>
  <c r="F152" i="27"/>
  <c r="FC152" i="27" s="1"/>
  <c r="F158" i="27"/>
  <c r="FC158" i="27" s="1"/>
  <c r="M171" i="85"/>
  <c r="M204" i="85"/>
  <c r="L124" i="145"/>
  <c r="I124" i="145"/>
  <c r="H124" i="145"/>
  <c r="U124" i="145"/>
  <c r="V124" i="145" s="1"/>
  <c r="J124" i="145"/>
  <c r="O124" i="145"/>
  <c r="P124" i="145"/>
  <c r="R124" i="145" s="1"/>
  <c r="K124" i="145"/>
  <c r="O134" i="145"/>
  <c r="H134" i="145"/>
  <c r="I134" i="145"/>
  <c r="K134" i="145"/>
  <c r="L134" i="145"/>
  <c r="P134" i="145"/>
  <c r="AA134" i="145" s="1"/>
  <c r="J134" i="145"/>
  <c r="U134" i="145"/>
  <c r="V134" i="145" s="1"/>
  <c r="O157" i="145"/>
  <c r="H157" i="145"/>
  <c r="K157" i="145"/>
  <c r="I157" i="145"/>
  <c r="P157" i="145"/>
  <c r="R157" i="145" s="1"/>
  <c r="S157" i="145" s="1"/>
  <c r="L157" i="145"/>
  <c r="U157" i="145"/>
  <c r="V157" i="145" s="1"/>
  <c r="J157" i="145"/>
  <c r="P152" i="145"/>
  <c r="R152" i="145" s="1"/>
  <c r="O152" i="145"/>
  <c r="I152" i="145"/>
  <c r="J152" i="145"/>
  <c r="L152" i="145"/>
  <c r="K152" i="145"/>
  <c r="U152" i="145"/>
  <c r="V152" i="145" s="1"/>
  <c r="H152" i="145"/>
  <c r="L140" i="145"/>
  <c r="H140" i="145"/>
  <c r="I140" i="145"/>
  <c r="P140" i="145"/>
  <c r="AA140" i="145" s="1"/>
  <c r="O140" i="145"/>
  <c r="K140" i="145"/>
  <c r="U140" i="145"/>
  <c r="J140" i="145"/>
  <c r="L113" i="145"/>
  <c r="H113" i="145"/>
  <c r="K113" i="145"/>
  <c r="I113" i="145"/>
  <c r="O113" i="145"/>
  <c r="U113" i="145"/>
  <c r="J113" i="145"/>
  <c r="P113" i="145"/>
  <c r="R113" i="145" s="1"/>
  <c r="L131" i="145"/>
  <c r="P131" i="145"/>
  <c r="AA131" i="145" s="1"/>
  <c r="I131" i="145"/>
  <c r="H131" i="145"/>
  <c r="O131" i="145"/>
  <c r="U131" i="145"/>
  <c r="K131" i="145"/>
  <c r="J131" i="145"/>
  <c r="L194" i="85"/>
  <c r="R194" i="85"/>
  <c r="H194" i="85"/>
  <c r="AL194" i="85"/>
  <c r="O194" i="85"/>
  <c r="T194" i="85"/>
  <c r="S194" i="85"/>
  <c r="J194" i="85"/>
  <c r="G149" i="27" s="1"/>
  <c r="FN149" i="27" s="1"/>
  <c r="K194" i="85"/>
  <c r="AN194" i="85" s="1"/>
  <c r="P194" i="85"/>
  <c r="Q194" i="85"/>
  <c r="I194" i="85"/>
  <c r="M194" i="85"/>
  <c r="L135" i="145"/>
  <c r="O135" i="145"/>
  <c r="P135" i="145"/>
  <c r="AA135" i="145" s="1"/>
  <c r="H135" i="145"/>
  <c r="J135" i="145"/>
  <c r="K135" i="145"/>
  <c r="I135" i="145"/>
  <c r="U135" i="145"/>
  <c r="V135" i="145" s="1"/>
  <c r="J116" i="145"/>
  <c r="K116" i="145"/>
  <c r="U116" i="145"/>
  <c r="V116" i="145" s="1"/>
  <c r="L116" i="145"/>
  <c r="P116" i="145"/>
  <c r="R116" i="145" s="1"/>
  <c r="I116" i="145"/>
  <c r="H116" i="145"/>
  <c r="O116" i="145"/>
  <c r="H158" i="145"/>
  <c r="P158" i="145"/>
  <c r="R158" i="145" s="1"/>
  <c r="I158" i="145"/>
  <c r="J158" i="145"/>
  <c r="L158" i="145"/>
  <c r="U158" i="145"/>
  <c r="V158" i="145" s="1"/>
  <c r="O158" i="145"/>
  <c r="K158" i="145"/>
  <c r="F153" i="27"/>
  <c r="F163" i="27"/>
  <c r="O122" i="145"/>
  <c r="J122" i="145"/>
  <c r="P122" i="145"/>
  <c r="R122" i="145" s="1"/>
  <c r="I122" i="145"/>
  <c r="L122" i="145"/>
  <c r="U122" i="145"/>
  <c r="V122" i="145" s="1"/>
  <c r="H122" i="145"/>
  <c r="K122" i="145"/>
  <c r="AL175" i="85"/>
  <c r="T175" i="85"/>
  <c r="L175" i="85"/>
  <c r="O175" i="85"/>
  <c r="P175" i="85"/>
  <c r="K175" i="85"/>
  <c r="AN175" i="85" s="1"/>
  <c r="H175" i="85"/>
  <c r="J175" i="85"/>
  <c r="G130" i="27" s="1"/>
  <c r="FN130" i="27" s="1"/>
  <c r="Q175" i="85"/>
  <c r="R175" i="85"/>
  <c r="I175" i="85"/>
  <c r="S175" i="85"/>
  <c r="M175" i="85"/>
  <c r="N175" i="85"/>
  <c r="I120" i="145"/>
  <c r="P120" i="145"/>
  <c r="AA120" i="145" s="1"/>
  <c r="O120" i="145"/>
  <c r="J120" i="145"/>
  <c r="U120" i="145"/>
  <c r="V120" i="145" s="1"/>
  <c r="K120" i="145"/>
  <c r="H120" i="145"/>
  <c r="L120" i="145"/>
  <c r="J133" i="145"/>
  <c r="O133" i="145"/>
  <c r="U133" i="145"/>
  <c r="V133" i="145" s="1"/>
  <c r="P133" i="145"/>
  <c r="AA133" i="145" s="1"/>
  <c r="I133" i="145"/>
  <c r="L133" i="145"/>
  <c r="H133" i="145"/>
  <c r="K133" i="145"/>
  <c r="F166" i="27"/>
  <c r="H117" i="145"/>
  <c r="I117" i="145"/>
  <c r="O117" i="145"/>
  <c r="K117" i="145"/>
  <c r="P117" i="145"/>
  <c r="R117" i="145" s="1"/>
  <c r="S117" i="145" s="1"/>
  <c r="U117" i="145"/>
  <c r="V117" i="145" s="1"/>
  <c r="L117" i="145"/>
  <c r="J117" i="145"/>
  <c r="H129" i="145"/>
  <c r="I129" i="145"/>
  <c r="O129" i="145"/>
  <c r="P129" i="145"/>
  <c r="R129" i="145" s="1"/>
  <c r="L129" i="145"/>
  <c r="J129" i="145"/>
  <c r="U129" i="145"/>
  <c r="V129" i="145" s="1"/>
  <c r="K129" i="145"/>
  <c r="F131" i="27"/>
  <c r="O154" i="145"/>
  <c r="H154" i="145"/>
  <c r="K154" i="145"/>
  <c r="I154" i="145"/>
  <c r="J154" i="145"/>
  <c r="L154" i="145"/>
  <c r="U154" i="145"/>
  <c r="V154" i="145" s="1"/>
  <c r="P154" i="145"/>
  <c r="R154" i="145" s="1"/>
  <c r="L147" i="145"/>
  <c r="J147" i="145"/>
  <c r="P147" i="145"/>
  <c r="AA147" i="145" s="1"/>
  <c r="O147" i="145"/>
  <c r="K147" i="145"/>
  <c r="H147" i="145"/>
  <c r="I147" i="145"/>
  <c r="U147" i="145"/>
  <c r="V147" i="145" s="1"/>
  <c r="O121" i="145"/>
  <c r="P121" i="145"/>
  <c r="AA121" i="145" s="1"/>
  <c r="H121" i="145"/>
  <c r="K121" i="145"/>
  <c r="J121" i="145"/>
  <c r="I121" i="145"/>
  <c r="L121" i="145"/>
  <c r="U121" i="145"/>
  <c r="AL169" i="85"/>
  <c r="R169" i="85"/>
  <c r="H169" i="85"/>
  <c r="T169" i="85"/>
  <c r="L169" i="85"/>
  <c r="S169" i="85"/>
  <c r="J169" i="85"/>
  <c r="G124" i="27" s="1"/>
  <c r="FN124" i="27" s="1"/>
  <c r="O169" i="85"/>
  <c r="P169" i="85"/>
  <c r="K169" i="85"/>
  <c r="AN169" i="85" s="1"/>
  <c r="Q169" i="85"/>
  <c r="I169" i="85"/>
  <c r="M169" i="85"/>
  <c r="I148" i="145"/>
  <c r="P148" i="145"/>
  <c r="X148" i="145" s="1"/>
  <c r="Y148" i="145" s="1"/>
  <c r="J148" i="145"/>
  <c r="H148" i="145"/>
  <c r="K148" i="145"/>
  <c r="O148" i="145"/>
  <c r="L148" i="145"/>
  <c r="U148" i="145"/>
  <c r="I143" i="145"/>
  <c r="L143" i="145"/>
  <c r="J143" i="145"/>
  <c r="U143" i="145"/>
  <c r="V143" i="145" s="1"/>
  <c r="O143" i="145"/>
  <c r="H143" i="145"/>
  <c r="K143" i="145"/>
  <c r="P143" i="145"/>
  <c r="X143" i="145" s="1"/>
  <c r="F150" i="27"/>
  <c r="J123" i="145"/>
  <c r="I123" i="145"/>
  <c r="O123" i="145"/>
  <c r="K123" i="145"/>
  <c r="L123" i="145"/>
  <c r="H123" i="145"/>
  <c r="U123" i="145"/>
  <c r="P123" i="145"/>
  <c r="R123" i="145" s="1"/>
  <c r="S123" i="145" s="1"/>
  <c r="H126" i="145"/>
  <c r="K126" i="145"/>
  <c r="I126" i="145"/>
  <c r="L126" i="145"/>
  <c r="P126" i="145"/>
  <c r="AA126" i="145" s="1"/>
  <c r="U126" i="145"/>
  <c r="O126" i="145"/>
  <c r="J126" i="145"/>
  <c r="P108" i="145"/>
  <c r="AA108" i="145" s="1"/>
  <c r="H108" i="145"/>
  <c r="I108" i="145"/>
  <c r="J108" i="145"/>
  <c r="U108" i="145"/>
  <c r="K108" i="145"/>
  <c r="L108" i="145"/>
  <c r="O108" i="145"/>
  <c r="P156" i="145"/>
  <c r="X156" i="145" s="1"/>
  <c r="O156" i="145"/>
  <c r="K156" i="145"/>
  <c r="L156" i="145"/>
  <c r="H156" i="145"/>
  <c r="I156" i="145"/>
  <c r="J156" i="145"/>
  <c r="U156" i="145"/>
  <c r="P159" i="145"/>
  <c r="AA159" i="145" s="1"/>
  <c r="O159" i="145"/>
  <c r="K159" i="145"/>
  <c r="U159" i="145"/>
  <c r="H159" i="145"/>
  <c r="L159" i="145"/>
  <c r="I159" i="145"/>
  <c r="J159" i="145"/>
  <c r="O118" i="145"/>
  <c r="L118" i="145"/>
  <c r="K118" i="145"/>
  <c r="H118" i="145"/>
  <c r="U118" i="145"/>
  <c r="V118" i="145" s="1"/>
  <c r="P118" i="145"/>
  <c r="X118" i="145" s="1"/>
  <c r="I118" i="145"/>
  <c r="J118" i="145"/>
  <c r="K145" i="145"/>
  <c r="H145" i="145"/>
  <c r="L145" i="145"/>
  <c r="P145" i="145"/>
  <c r="R145" i="145" s="1"/>
  <c r="J145" i="145"/>
  <c r="I145" i="145"/>
  <c r="O145" i="145"/>
  <c r="U145" i="145"/>
  <c r="V145" i="145" s="1"/>
  <c r="P212" i="85"/>
  <c r="O212" i="85"/>
  <c r="J212" i="85"/>
  <c r="G167" i="27" s="1"/>
  <c r="FN167" i="27" s="1"/>
  <c r="S212" i="85"/>
  <c r="H212" i="85"/>
  <c r="L212" i="85"/>
  <c r="R212" i="85"/>
  <c r="AL212" i="85"/>
  <c r="T212" i="85"/>
  <c r="Q212" i="85"/>
  <c r="I212" i="85"/>
  <c r="K212" i="85"/>
  <c r="AN212" i="85" s="1"/>
  <c r="N212" i="85"/>
  <c r="M212" i="85"/>
  <c r="I125" i="145"/>
  <c r="L125" i="145"/>
  <c r="K125" i="145"/>
  <c r="P125" i="145"/>
  <c r="AA125" i="145" s="1"/>
  <c r="AB125" i="145" s="1"/>
  <c r="H125" i="145"/>
  <c r="U125" i="145"/>
  <c r="V125" i="145" s="1"/>
  <c r="O125" i="145"/>
  <c r="J125" i="145"/>
  <c r="L115" i="145"/>
  <c r="P115" i="145"/>
  <c r="X115" i="145" s="1"/>
  <c r="J115" i="145"/>
  <c r="I115" i="145"/>
  <c r="O115" i="145"/>
  <c r="K115" i="145"/>
  <c r="H115" i="145"/>
  <c r="U115" i="145"/>
  <c r="V115" i="145" s="1"/>
  <c r="O199" i="85"/>
  <c r="AL199" i="85"/>
  <c r="H199" i="85"/>
  <c r="L199" i="85"/>
  <c r="R199" i="85"/>
  <c r="J199" i="85"/>
  <c r="G154" i="27" s="1"/>
  <c r="FN154" i="27" s="1"/>
  <c r="Q199" i="85"/>
  <c r="P199" i="85"/>
  <c r="T199" i="85"/>
  <c r="K199" i="85"/>
  <c r="AN199" i="85" s="1"/>
  <c r="S199" i="85"/>
  <c r="I199" i="85"/>
  <c r="M199" i="85"/>
  <c r="I119" i="145"/>
  <c r="U119" i="145"/>
  <c r="V119" i="145" s="1"/>
  <c r="J119" i="145"/>
  <c r="L119" i="145"/>
  <c r="P119" i="145"/>
  <c r="X119" i="145" s="1"/>
  <c r="O119" i="145"/>
  <c r="H119" i="145"/>
  <c r="K119" i="145"/>
  <c r="AL179" i="85"/>
  <c r="K179" i="85"/>
  <c r="AN179" i="85" s="1"/>
  <c r="R179" i="85"/>
  <c r="T179" i="85"/>
  <c r="L179" i="85"/>
  <c r="Q179" i="85"/>
  <c r="J179" i="85"/>
  <c r="G134" i="27" s="1"/>
  <c r="FN134" i="27" s="1"/>
  <c r="H179" i="85"/>
  <c r="S179" i="85"/>
  <c r="O179" i="85"/>
  <c r="I179" i="85"/>
  <c r="P179" i="85"/>
  <c r="F128" i="27"/>
  <c r="F143" i="27"/>
  <c r="F127" i="27"/>
  <c r="P110" i="145"/>
  <c r="R110" i="145" s="1"/>
  <c r="S110" i="145" s="1"/>
  <c r="I110" i="145"/>
  <c r="K110" i="145"/>
  <c r="H110" i="145"/>
  <c r="O110" i="145"/>
  <c r="U110" i="145"/>
  <c r="L110" i="145"/>
  <c r="J110" i="145"/>
  <c r="J137" i="145"/>
  <c r="K137" i="145"/>
  <c r="U137" i="145"/>
  <c r="V137" i="145" s="1"/>
  <c r="L137" i="145"/>
  <c r="I137" i="145"/>
  <c r="P137" i="145"/>
  <c r="H137" i="145"/>
  <c r="O137" i="145"/>
  <c r="J127" i="145"/>
  <c r="O127" i="145"/>
  <c r="K127" i="145"/>
  <c r="L127" i="145"/>
  <c r="I127" i="145"/>
  <c r="P127" i="145"/>
  <c r="AA127" i="145" s="1"/>
  <c r="AB127" i="145" s="1"/>
  <c r="H127" i="145"/>
  <c r="U127" i="145"/>
  <c r="V127" i="145" s="1"/>
  <c r="K144" i="145"/>
  <c r="U144" i="145"/>
  <c r="V144" i="145" s="1"/>
  <c r="H144" i="145"/>
  <c r="L144" i="145"/>
  <c r="I144" i="145"/>
  <c r="P144" i="145"/>
  <c r="X144" i="145" s="1"/>
  <c r="Y144" i="145" s="1"/>
  <c r="J144" i="145"/>
  <c r="O144" i="145"/>
  <c r="R182" i="85"/>
  <c r="P182" i="85"/>
  <c r="AL182" i="85"/>
  <c r="H182" i="85"/>
  <c r="L182" i="85"/>
  <c r="J182" i="85"/>
  <c r="G137" i="27" s="1"/>
  <c r="FN137" i="27" s="1"/>
  <c r="K182" i="85"/>
  <c r="AN182" i="85" s="1"/>
  <c r="Q182" i="85"/>
  <c r="T182" i="85"/>
  <c r="O182" i="85"/>
  <c r="I182" i="85"/>
  <c r="S182" i="85"/>
  <c r="M182" i="85"/>
  <c r="O153" i="145"/>
  <c r="K153" i="145"/>
  <c r="H153" i="145"/>
  <c r="I153" i="145"/>
  <c r="L153" i="145"/>
  <c r="J153" i="145"/>
  <c r="P153" i="145"/>
  <c r="R153" i="145" s="1"/>
  <c r="S153" i="145" s="1"/>
  <c r="U153" i="145"/>
  <c r="V153" i="145" s="1"/>
  <c r="H197" i="85"/>
  <c r="AL197" i="85"/>
  <c r="L197" i="85"/>
  <c r="R197" i="85"/>
  <c r="P197" i="85"/>
  <c r="K197" i="85"/>
  <c r="AN197" i="85" s="1"/>
  <c r="O197" i="85"/>
  <c r="T197" i="85"/>
  <c r="S197" i="85"/>
  <c r="J197" i="85"/>
  <c r="G152" i="27" s="1"/>
  <c r="FN152" i="27" s="1"/>
  <c r="Q197" i="85"/>
  <c r="I197" i="85"/>
  <c r="N197" i="85"/>
  <c r="J128" i="145"/>
  <c r="H128" i="145"/>
  <c r="I128" i="145"/>
  <c r="K128" i="145"/>
  <c r="O128" i="145"/>
  <c r="L128" i="145"/>
  <c r="P128" i="145"/>
  <c r="R128" i="145" s="1"/>
  <c r="S128" i="145" s="1"/>
  <c r="U128" i="145"/>
  <c r="V128" i="145" s="1"/>
  <c r="H185" i="85"/>
  <c r="Q185" i="85"/>
  <c r="AL185" i="85"/>
  <c r="R185" i="85"/>
  <c r="P185" i="85"/>
  <c r="I185" i="85"/>
  <c r="O185" i="85"/>
  <c r="L185" i="85"/>
  <c r="T185" i="85"/>
  <c r="K185" i="85"/>
  <c r="AN185" i="85" s="1"/>
  <c r="J185" i="85"/>
  <c r="G140" i="27" s="1"/>
  <c r="FN140" i="27" s="1"/>
  <c r="S185" i="85"/>
  <c r="M185" i="85"/>
  <c r="N185" i="85"/>
  <c r="J141" i="145"/>
  <c r="K141" i="145"/>
  <c r="U141" i="145"/>
  <c r="V141" i="145" s="1"/>
  <c r="O141" i="145"/>
  <c r="L141" i="145"/>
  <c r="H141" i="145"/>
  <c r="I141" i="145"/>
  <c r="P141" i="145"/>
  <c r="AA141" i="145" s="1"/>
  <c r="P114" i="145"/>
  <c r="R114" i="145" s="1"/>
  <c r="L114" i="145"/>
  <c r="O114" i="145"/>
  <c r="H114" i="145"/>
  <c r="K114" i="145"/>
  <c r="U114" i="145"/>
  <c r="V114" i="145" s="1"/>
  <c r="I114" i="145"/>
  <c r="J114" i="145"/>
  <c r="O132" i="145"/>
  <c r="I132" i="145"/>
  <c r="K132" i="145"/>
  <c r="L132" i="145"/>
  <c r="J132" i="145"/>
  <c r="U132" i="145"/>
  <c r="V132" i="145" s="1"/>
  <c r="H132" i="145"/>
  <c r="P132" i="145"/>
  <c r="X132" i="145" s="1"/>
  <c r="Y132" i="145" s="1"/>
  <c r="H136" i="145"/>
  <c r="I136" i="145"/>
  <c r="J136" i="145"/>
  <c r="L136" i="145"/>
  <c r="O136" i="145"/>
  <c r="P136" i="145"/>
  <c r="X136" i="145" s="1"/>
  <c r="K136" i="145"/>
  <c r="U136" i="145"/>
  <c r="V136" i="145" s="1"/>
  <c r="H155" i="145"/>
  <c r="I155" i="145"/>
  <c r="L155" i="145"/>
  <c r="P155" i="145"/>
  <c r="AA155" i="145" s="1"/>
  <c r="O155" i="145"/>
  <c r="K155" i="145"/>
  <c r="J155" i="145"/>
  <c r="U155" i="145"/>
  <c r="V155" i="145" s="1"/>
  <c r="K109" i="145"/>
  <c r="L109" i="145"/>
  <c r="U109" i="145"/>
  <c r="V109" i="145" s="1"/>
  <c r="H109" i="145"/>
  <c r="I109" i="145"/>
  <c r="J109" i="145"/>
  <c r="O109" i="145"/>
  <c r="P109" i="145"/>
  <c r="R109" i="145" s="1"/>
  <c r="L195" i="85"/>
  <c r="Q195" i="85"/>
  <c r="S195" i="85"/>
  <c r="H195" i="85"/>
  <c r="O195" i="85"/>
  <c r="AL195" i="85"/>
  <c r="P195" i="85"/>
  <c r="K195" i="85"/>
  <c r="AN195" i="85" s="1"/>
  <c r="R195" i="85"/>
  <c r="T195" i="85"/>
  <c r="J195" i="85"/>
  <c r="G150" i="27" s="1"/>
  <c r="FN150" i="27" s="1"/>
  <c r="I195" i="85"/>
  <c r="N195" i="85"/>
  <c r="L142" i="145"/>
  <c r="P142" i="145"/>
  <c r="AA142" i="145" s="1"/>
  <c r="J142" i="145"/>
  <c r="K142" i="145"/>
  <c r="U142" i="145"/>
  <c r="V142" i="145" s="1"/>
  <c r="H142" i="145"/>
  <c r="I142" i="145"/>
  <c r="O142" i="145"/>
  <c r="AL200" i="85"/>
  <c r="H200" i="85"/>
  <c r="P200" i="85"/>
  <c r="T200" i="85"/>
  <c r="L200" i="85"/>
  <c r="Q200" i="85"/>
  <c r="R200" i="85"/>
  <c r="S200" i="85"/>
  <c r="I200" i="85"/>
  <c r="J200" i="85"/>
  <c r="G155" i="27" s="1"/>
  <c r="FN155" i="27" s="1"/>
  <c r="O200" i="85"/>
  <c r="K200" i="85"/>
  <c r="AN200" i="85" s="1"/>
  <c r="M200" i="85"/>
  <c r="N200" i="85"/>
  <c r="K130" i="145"/>
  <c r="U130" i="145"/>
  <c r="V130" i="145" s="1"/>
  <c r="H130" i="145"/>
  <c r="P130" i="145"/>
  <c r="X130" i="145" s="1"/>
  <c r="I130" i="145"/>
  <c r="J130" i="145"/>
  <c r="L130" i="145"/>
  <c r="O130" i="145"/>
  <c r="T190" i="85"/>
  <c r="L190" i="85"/>
  <c r="AL190" i="85"/>
  <c r="H190" i="85"/>
  <c r="P190" i="85"/>
  <c r="Q190" i="85"/>
  <c r="S190" i="85"/>
  <c r="R190" i="85"/>
  <c r="J190" i="85"/>
  <c r="G145" i="27" s="1"/>
  <c r="FN145" i="27" s="1"/>
  <c r="K190" i="85"/>
  <c r="AN190" i="85" s="1"/>
  <c r="O190" i="85"/>
  <c r="I190" i="85"/>
  <c r="M190" i="85"/>
  <c r="H180" i="85"/>
  <c r="O180" i="85"/>
  <c r="T180" i="85"/>
  <c r="AL180" i="85"/>
  <c r="L180" i="85"/>
  <c r="P180" i="85"/>
  <c r="S180" i="85"/>
  <c r="K180" i="85"/>
  <c r="AN180" i="85" s="1"/>
  <c r="Q180" i="85"/>
  <c r="R180" i="85"/>
  <c r="I180" i="85"/>
  <c r="J180" i="85"/>
  <c r="G135" i="27" s="1"/>
  <c r="FN135" i="27" s="1"/>
  <c r="F142" i="27"/>
  <c r="H211" i="85"/>
  <c r="O211" i="85"/>
  <c r="I211" i="85"/>
  <c r="S211" i="85"/>
  <c r="L211" i="85"/>
  <c r="P211" i="85"/>
  <c r="Q211" i="85"/>
  <c r="AL211" i="85"/>
  <c r="J211" i="85"/>
  <c r="G166" i="27" s="1"/>
  <c r="FN166" i="27" s="1"/>
  <c r="K211" i="85"/>
  <c r="AN211" i="85" s="1"/>
  <c r="R211" i="85"/>
  <c r="T211" i="85"/>
  <c r="N211" i="85"/>
  <c r="F161" i="27"/>
  <c r="K146" i="145"/>
  <c r="L146" i="145"/>
  <c r="P146" i="145"/>
  <c r="R146" i="145" s="1"/>
  <c r="S146" i="145" s="1"/>
  <c r="J146" i="145"/>
  <c r="U146" i="145"/>
  <c r="I146" i="145"/>
  <c r="O146" i="145"/>
  <c r="H146" i="145"/>
  <c r="L168" i="85"/>
  <c r="AL168" i="85"/>
  <c r="H168" i="85"/>
  <c r="O168" i="85"/>
  <c r="T168" i="85"/>
  <c r="K168" i="85"/>
  <c r="AN168" i="85" s="1"/>
  <c r="Q168" i="85"/>
  <c r="P168" i="85"/>
  <c r="S168" i="85"/>
  <c r="I168" i="85"/>
  <c r="R168" i="85"/>
  <c r="J168" i="85"/>
  <c r="G123" i="27" s="1"/>
  <c r="FN123" i="27" s="1"/>
  <c r="M168" i="85"/>
  <c r="L181" i="85"/>
  <c r="K181" i="85"/>
  <c r="AN181" i="85" s="1"/>
  <c r="AL181" i="85"/>
  <c r="H181" i="85"/>
  <c r="T181" i="85"/>
  <c r="P181" i="85"/>
  <c r="S181" i="85"/>
  <c r="Q181" i="85"/>
  <c r="R181" i="85"/>
  <c r="O181" i="85"/>
  <c r="I181" i="85"/>
  <c r="J181" i="85"/>
  <c r="G136" i="27" s="1"/>
  <c r="FN136" i="27" s="1"/>
  <c r="N181" i="85"/>
  <c r="M181" i="85"/>
  <c r="AL187" i="85"/>
  <c r="L187" i="85"/>
  <c r="R187" i="85"/>
  <c r="H187" i="85"/>
  <c r="Q187" i="85"/>
  <c r="P187" i="85"/>
  <c r="S187" i="85"/>
  <c r="O187" i="85"/>
  <c r="T187" i="85"/>
  <c r="J187" i="85"/>
  <c r="G142" i="27" s="1"/>
  <c r="FN142" i="27" s="1"/>
  <c r="I187" i="85"/>
  <c r="K187" i="85"/>
  <c r="AN187" i="85" s="1"/>
  <c r="N187" i="85"/>
  <c r="I151" i="145"/>
  <c r="K151" i="145"/>
  <c r="L151" i="145"/>
  <c r="P151" i="145"/>
  <c r="X151" i="145" s="1"/>
  <c r="Y151" i="145" s="1"/>
  <c r="J151" i="145"/>
  <c r="O151" i="145"/>
  <c r="H151" i="145"/>
  <c r="U151" i="145"/>
  <c r="V151" i="145" s="1"/>
  <c r="O138" i="145"/>
  <c r="P138" i="145"/>
  <c r="AA138" i="145" s="1"/>
  <c r="J138" i="145"/>
  <c r="H138" i="145"/>
  <c r="K138" i="145"/>
  <c r="I138" i="145"/>
  <c r="L138" i="145"/>
  <c r="U138" i="145"/>
  <c r="V138" i="145" s="1"/>
  <c r="K149" i="145"/>
  <c r="H149" i="145"/>
  <c r="I149" i="145"/>
  <c r="P149" i="145"/>
  <c r="R149" i="145" s="1"/>
  <c r="S149" i="145" s="1"/>
  <c r="O149" i="145"/>
  <c r="J149" i="145"/>
  <c r="U149" i="145"/>
  <c r="V149" i="145" s="1"/>
  <c r="L149" i="145"/>
  <c r="K176" i="85"/>
  <c r="AN176" i="85" s="1"/>
  <c r="L176" i="85"/>
  <c r="H176" i="85"/>
  <c r="J176" i="85"/>
  <c r="G131" i="27" s="1"/>
  <c r="FN131" i="27" s="1"/>
  <c r="AL176" i="85"/>
  <c r="R176" i="85"/>
  <c r="I176" i="85"/>
  <c r="P176" i="85"/>
  <c r="O176" i="85"/>
  <c r="T176" i="85"/>
  <c r="Q176" i="85"/>
  <c r="S176" i="85"/>
  <c r="N176" i="85"/>
  <c r="I111" i="145"/>
  <c r="L111" i="145"/>
  <c r="P111" i="145"/>
  <c r="R111" i="145" s="1"/>
  <c r="S111" i="145" s="1"/>
  <c r="J111" i="145"/>
  <c r="H111" i="145"/>
  <c r="O111" i="145"/>
  <c r="K111" i="145"/>
  <c r="U111" i="145"/>
  <c r="I150" i="145"/>
  <c r="H150" i="145"/>
  <c r="O150" i="145"/>
  <c r="J150" i="145"/>
  <c r="K150" i="145"/>
  <c r="P150" i="145"/>
  <c r="L150" i="145"/>
  <c r="U150" i="145"/>
  <c r="V150" i="145" s="1"/>
  <c r="P112" i="145"/>
  <c r="AA112" i="145" s="1"/>
  <c r="AB112" i="145" s="1"/>
  <c r="O112" i="145"/>
  <c r="H112" i="145"/>
  <c r="I112" i="145"/>
  <c r="J112" i="145"/>
  <c r="L112" i="145"/>
  <c r="K112" i="145"/>
  <c r="U112" i="145"/>
  <c r="V112" i="145" s="1"/>
  <c r="P174" i="85"/>
  <c r="L174" i="85"/>
  <c r="S174" i="85"/>
  <c r="AL174" i="85"/>
  <c r="H174" i="85"/>
  <c r="Q174" i="85"/>
  <c r="K174" i="85"/>
  <c r="AN174" i="85" s="1"/>
  <c r="O174" i="85"/>
  <c r="R174" i="85"/>
  <c r="J174" i="85"/>
  <c r="G129" i="27" s="1"/>
  <c r="FN129" i="27" s="1"/>
  <c r="T174" i="85"/>
  <c r="I174" i="85"/>
  <c r="N174" i="85"/>
  <c r="F147" i="27"/>
  <c r="M180" i="85"/>
  <c r="M179" i="85"/>
  <c r="AL207" i="85"/>
  <c r="H207" i="85"/>
  <c r="L207" i="85"/>
  <c r="J207" i="85"/>
  <c r="G162" i="27" s="1"/>
  <c r="FN162" i="27" s="1"/>
  <c r="K207" i="85"/>
  <c r="AN207" i="85" s="1"/>
  <c r="P207" i="85"/>
  <c r="S207" i="85"/>
  <c r="Q207" i="85"/>
  <c r="T207" i="85"/>
  <c r="O207" i="85"/>
  <c r="I207" i="85"/>
  <c r="R207" i="85"/>
  <c r="M207" i="85"/>
  <c r="N207" i="85"/>
  <c r="L198" i="85"/>
  <c r="H198" i="85"/>
  <c r="K198" i="85"/>
  <c r="AN198" i="85" s="1"/>
  <c r="R198" i="85"/>
  <c r="Q198" i="85"/>
  <c r="AL198" i="85"/>
  <c r="P198" i="85"/>
  <c r="O198" i="85"/>
  <c r="J198" i="85"/>
  <c r="G153" i="27" s="1"/>
  <c r="FN153" i="27" s="1"/>
  <c r="T198" i="85"/>
  <c r="S198" i="85"/>
  <c r="I198" i="85"/>
  <c r="N198" i="85"/>
  <c r="P139" i="145"/>
  <c r="R139" i="145" s="1"/>
  <c r="J139" i="145"/>
  <c r="O139" i="145"/>
  <c r="H139" i="145"/>
  <c r="L139" i="145"/>
  <c r="U139" i="145"/>
  <c r="V139" i="145" s="1"/>
  <c r="I139" i="145"/>
  <c r="K139" i="145"/>
  <c r="H170" i="85"/>
  <c r="R170" i="85"/>
  <c r="T170" i="85"/>
  <c r="S170" i="85"/>
  <c r="AL170" i="85"/>
  <c r="O170" i="85"/>
  <c r="L170" i="85"/>
  <c r="P170" i="85"/>
  <c r="K170" i="85"/>
  <c r="AN170" i="85" s="1"/>
  <c r="J170" i="85"/>
  <c r="G125" i="27" s="1"/>
  <c r="FN125" i="27" s="1"/>
  <c r="Q170" i="85"/>
  <c r="I170" i="85"/>
  <c r="M170" i="85"/>
  <c r="F151" i="27"/>
  <c r="F160" i="27"/>
  <c r="F165" i="27"/>
  <c r="K178" i="85"/>
  <c r="AN178" i="85" s="1"/>
  <c r="L178" i="85"/>
  <c r="H178" i="85"/>
  <c r="P178" i="85"/>
  <c r="S178" i="85"/>
  <c r="O178" i="85"/>
  <c r="T178" i="85"/>
  <c r="Q178" i="85"/>
  <c r="R178" i="85"/>
  <c r="AL178" i="85"/>
  <c r="I178" i="85"/>
  <c r="J178" i="85"/>
  <c r="G133" i="27" s="1"/>
  <c r="FN133" i="27" s="1"/>
  <c r="R191" i="85"/>
  <c r="H191" i="85"/>
  <c r="L191" i="85"/>
  <c r="J191" i="85"/>
  <c r="G146" i="27" s="1"/>
  <c r="FN146" i="27" s="1"/>
  <c r="O191" i="85"/>
  <c r="T191" i="85"/>
  <c r="AL191" i="85"/>
  <c r="S191" i="85"/>
  <c r="P191" i="85"/>
  <c r="K191" i="85"/>
  <c r="AN191" i="85" s="1"/>
  <c r="Q191" i="85"/>
  <c r="I191" i="85"/>
  <c r="N191" i="85"/>
  <c r="L209" i="85"/>
  <c r="AL209" i="85"/>
  <c r="H209" i="85"/>
  <c r="I209" i="85"/>
  <c r="Q209" i="85"/>
  <c r="K209" i="85"/>
  <c r="AN209" i="85" s="1"/>
  <c r="T209" i="85"/>
  <c r="J209" i="85"/>
  <c r="G164" i="27" s="1"/>
  <c r="FN164" i="27" s="1"/>
  <c r="R209" i="85"/>
  <c r="O209" i="85"/>
  <c r="S209" i="85"/>
  <c r="P209" i="85"/>
  <c r="N209" i="85"/>
  <c r="H201" i="85"/>
  <c r="L201" i="85"/>
  <c r="AL201" i="85"/>
  <c r="O201" i="85"/>
  <c r="S201" i="85"/>
  <c r="J201" i="85"/>
  <c r="G156" i="27" s="1"/>
  <c r="FN156" i="27" s="1"/>
  <c r="N201" i="85"/>
  <c r="Q201" i="85"/>
  <c r="K201" i="85"/>
  <c r="AN201" i="85" s="1"/>
  <c r="P201" i="85"/>
  <c r="I201" i="85"/>
  <c r="R201" i="85"/>
  <c r="T201" i="85"/>
  <c r="M213" i="85"/>
  <c r="M202" i="85"/>
  <c r="AL171" i="85"/>
  <c r="H171" i="85"/>
  <c r="L171" i="85"/>
  <c r="J171" i="85"/>
  <c r="G126" i="27" s="1"/>
  <c r="FN126" i="27" s="1"/>
  <c r="O171" i="85"/>
  <c r="K171" i="85"/>
  <c r="AN171" i="85" s="1"/>
  <c r="P171" i="85"/>
  <c r="S171" i="85"/>
  <c r="Q171" i="85"/>
  <c r="I171" i="85"/>
  <c r="T171" i="85"/>
  <c r="R171" i="85"/>
  <c r="L206" i="85"/>
  <c r="AL206" i="85"/>
  <c r="H206" i="85"/>
  <c r="K206" i="85"/>
  <c r="AN206" i="85" s="1"/>
  <c r="I206" i="85"/>
  <c r="P206" i="85"/>
  <c r="T206" i="85"/>
  <c r="J206" i="85"/>
  <c r="G161" i="27" s="1"/>
  <c r="FN161" i="27" s="1"/>
  <c r="R206" i="85"/>
  <c r="Q206" i="85"/>
  <c r="O206" i="85"/>
  <c r="S206" i="85"/>
  <c r="P204" i="85"/>
  <c r="H204" i="85"/>
  <c r="T204" i="85"/>
  <c r="AL204" i="85"/>
  <c r="L204" i="85"/>
  <c r="K204" i="85"/>
  <c r="AN204" i="85" s="1"/>
  <c r="O204" i="85"/>
  <c r="J204" i="85"/>
  <c r="G159" i="27" s="1"/>
  <c r="FN159" i="27" s="1"/>
  <c r="S204" i="85"/>
  <c r="R204" i="85"/>
  <c r="Q204" i="85"/>
  <c r="I204" i="85"/>
  <c r="AL173" i="85"/>
  <c r="L173" i="85"/>
  <c r="T173" i="85"/>
  <c r="H173" i="85"/>
  <c r="P173" i="85"/>
  <c r="R173" i="85"/>
  <c r="O173" i="85"/>
  <c r="Q173" i="85"/>
  <c r="S173" i="85"/>
  <c r="J173" i="85"/>
  <c r="G128" i="27" s="1"/>
  <c r="FN128" i="27" s="1"/>
  <c r="K173" i="85"/>
  <c r="AN173" i="85" s="1"/>
  <c r="I173" i="85"/>
  <c r="N173" i="85"/>
  <c r="H177" i="85"/>
  <c r="AL177" i="85"/>
  <c r="L177" i="85"/>
  <c r="R177" i="85"/>
  <c r="P177" i="85"/>
  <c r="J177" i="85"/>
  <c r="G132" i="27" s="1"/>
  <c r="FN132" i="27" s="1"/>
  <c r="O177" i="85"/>
  <c r="T177" i="85"/>
  <c r="Q177" i="85"/>
  <c r="S177" i="85"/>
  <c r="K177" i="85"/>
  <c r="AN177" i="85" s="1"/>
  <c r="I177" i="85"/>
  <c r="N177" i="85"/>
  <c r="N206" i="85"/>
  <c r="L202" i="85"/>
  <c r="AL202" i="85"/>
  <c r="P202" i="85"/>
  <c r="H202" i="85"/>
  <c r="Q202" i="85"/>
  <c r="O202" i="85"/>
  <c r="J202" i="85"/>
  <c r="G157" i="27" s="1"/>
  <c r="FN157" i="27" s="1"/>
  <c r="K202" i="85"/>
  <c r="AN202" i="85" s="1"/>
  <c r="R202" i="85"/>
  <c r="T202" i="85"/>
  <c r="S202" i="85"/>
  <c r="I202" i="85"/>
  <c r="N188" i="85"/>
  <c r="H189" i="85"/>
  <c r="L189" i="85"/>
  <c r="P189" i="85"/>
  <c r="AL189" i="85"/>
  <c r="Q189" i="85"/>
  <c r="O189" i="85"/>
  <c r="S189" i="85"/>
  <c r="T189" i="85"/>
  <c r="J189" i="85"/>
  <c r="G144" i="27" s="1"/>
  <c r="FN144" i="27" s="1"/>
  <c r="R189" i="85"/>
  <c r="I189" i="85"/>
  <c r="K189" i="85"/>
  <c r="AN189" i="85" s="1"/>
  <c r="M189" i="85"/>
  <c r="N196" i="85"/>
  <c r="L172" i="85"/>
  <c r="P172" i="85"/>
  <c r="H172" i="85"/>
  <c r="S172" i="85"/>
  <c r="Q172" i="85"/>
  <c r="O172" i="85"/>
  <c r="AL172" i="85"/>
  <c r="R172" i="85"/>
  <c r="T172" i="85"/>
  <c r="I172" i="85"/>
  <c r="J172" i="85"/>
  <c r="G127" i="27" s="1"/>
  <c r="FN127" i="27" s="1"/>
  <c r="K172" i="85"/>
  <c r="AN172" i="85" s="1"/>
  <c r="N172" i="85"/>
  <c r="P192" i="85"/>
  <c r="L192" i="85"/>
  <c r="H192" i="85"/>
  <c r="AL192" i="85"/>
  <c r="K192" i="85"/>
  <c r="AN192" i="85" s="1"/>
  <c r="J192" i="85"/>
  <c r="G147" i="27" s="1"/>
  <c r="FN147" i="27" s="1"/>
  <c r="O192" i="85"/>
  <c r="Q192" i="85"/>
  <c r="T192" i="85"/>
  <c r="S192" i="85"/>
  <c r="R192" i="85"/>
  <c r="I192" i="85"/>
  <c r="L183" i="85"/>
  <c r="AL183" i="85"/>
  <c r="O183" i="85"/>
  <c r="J183" i="85"/>
  <c r="G138" i="27" s="1"/>
  <c r="FN138" i="27" s="1"/>
  <c r="Q183" i="85"/>
  <c r="S183" i="85"/>
  <c r="P183" i="85"/>
  <c r="H183" i="85"/>
  <c r="T183" i="85"/>
  <c r="K183" i="85"/>
  <c r="AN183" i="85" s="1"/>
  <c r="I183" i="85"/>
  <c r="R183" i="85"/>
  <c r="H203" i="85"/>
  <c r="AL203" i="85"/>
  <c r="O203" i="85"/>
  <c r="K203" i="85"/>
  <c r="AN203" i="85" s="1"/>
  <c r="R203" i="85"/>
  <c r="I203" i="85"/>
  <c r="J203" i="85"/>
  <c r="G158" i="27" s="1"/>
  <c r="FN158" i="27" s="1"/>
  <c r="P203" i="85"/>
  <c r="S203" i="85"/>
  <c r="T203" i="85"/>
  <c r="L203" i="85"/>
  <c r="Q203" i="85"/>
  <c r="N203" i="85"/>
  <c r="AL184" i="85"/>
  <c r="H184" i="85"/>
  <c r="L184" i="85"/>
  <c r="R184" i="85"/>
  <c r="Q184" i="85"/>
  <c r="O184" i="85"/>
  <c r="S184" i="85"/>
  <c r="T184" i="85"/>
  <c r="K184" i="85"/>
  <c r="AN184" i="85" s="1"/>
  <c r="J184" i="85"/>
  <c r="G139" i="27" s="1"/>
  <c r="FN139" i="27" s="1"/>
  <c r="P184" i="85"/>
  <c r="I184" i="85"/>
  <c r="N184" i="85"/>
  <c r="L193" i="85"/>
  <c r="T193" i="85"/>
  <c r="AL193" i="85"/>
  <c r="H193" i="85"/>
  <c r="O193" i="85"/>
  <c r="S193" i="85"/>
  <c r="P193" i="85"/>
  <c r="R193" i="85"/>
  <c r="J193" i="85"/>
  <c r="G148" i="27" s="1"/>
  <c r="FN148" i="27" s="1"/>
  <c r="K193" i="85"/>
  <c r="AN193" i="85" s="1"/>
  <c r="Q193" i="85"/>
  <c r="N193" i="85"/>
  <c r="I193" i="85"/>
  <c r="H213" i="85"/>
  <c r="L213" i="85"/>
  <c r="Q213" i="85"/>
  <c r="AL213" i="85"/>
  <c r="K213" i="85"/>
  <c r="AN213" i="85" s="1"/>
  <c r="O213" i="85"/>
  <c r="T213" i="85"/>
  <c r="J213" i="85"/>
  <c r="G168" i="27" s="1"/>
  <c r="FN168" i="27" s="1"/>
  <c r="P213" i="85"/>
  <c r="R213" i="85"/>
  <c r="S213" i="85"/>
  <c r="I213" i="85"/>
  <c r="AL205" i="85"/>
  <c r="H205" i="85"/>
  <c r="L205" i="85"/>
  <c r="T205" i="85"/>
  <c r="I205" i="85"/>
  <c r="J205" i="85"/>
  <c r="G160" i="27" s="1"/>
  <c r="FN160" i="27" s="1"/>
  <c r="K205" i="85"/>
  <c r="AN205" i="85" s="1"/>
  <c r="P205" i="85"/>
  <c r="O205" i="85"/>
  <c r="S205" i="85"/>
  <c r="R205" i="85"/>
  <c r="N205" i="85"/>
  <c r="Q205" i="85"/>
  <c r="H208" i="85"/>
  <c r="P208" i="85"/>
  <c r="L208" i="85"/>
  <c r="O208" i="85"/>
  <c r="S208" i="85"/>
  <c r="T208" i="85"/>
  <c r="Q208" i="85"/>
  <c r="AL208" i="85"/>
  <c r="J208" i="85"/>
  <c r="G163" i="27" s="1"/>
  <c r="FN163" i="27" s="1"/>
  <c r="K208" i="85"/>
  <c r="AN208" i="85" s="1"/>
  <c r="R208" i="85"/>
  <c r="I208" i="85"/>
  <c r="N208" i="85"/>
  <c r="H210" i="85"/>
  <c r="AL210" i="85"/>
  <c r="O210" i="85"/>
  <c r="T210" i="85"/>
  <c r="P210" i="85"/>
  <c r="J210" i="85"/>
  <c r="G165" i="27" s="1"/>
  <c r="FN165" i="27" s="1"/>
  <c r="L210" i="85"/>
  <c r="Q210" i="85"/>
  <c r="R210" i="85"/>
  <c r="K210" i="85"/>
  <c r="AN210" i="85" s="1"/>
  <c r="I210" i="85"/>
  <c r="N210" i="85"/>
  <c r="S210" i="85"/>
  <c r="M178" i="85"/>
  <c r="N183" i="85"/>
  <c r="K196" i="85"/>
  <c r="AN196" i="85" s="1"/>
  <c r="L196" i="85"/>
  <c r="AL196" i="85"/>
  <c r="H196" i="85"/>
  <c r="Q196" i="85"/>
  <c r="J196" i="85"/>
  <c r="G151" i="27" s="1"/>
  <c r="FN151" i="27" s="1"/>
  <c r="R196" i="85"/>
  <c r="O196" i="85"/>
  <c r="P196" i="85"/>
  <c r="I196" i="85"/>
  <c r="T196" i="85"/>
  <c r="S196" i="85"/>
  <c r="AL188" i="85"/>
  <c r="H188" i="85"/>
  <c r="L188" i="85"/>
  <c r="K188" i="85"/>
  <c r="AN188" i="85" s="1"/>
  <c r="Q188" i="85"/>
  <c r="P188" i="85"/>
  <c r="J188" i="85"/>
  <c r="G143" i="27" s="1"/>
  <c r="FN143" i="27" s="1"/>
  <c r="R188" i="85"/>
  <c r="S188" i="85"/>
  <c r="O188" i="85"/>
  <c r="T188" i="85"/>
  <c r="I188" i="85"/>
  <c r="N192" i="85"/>
  <c r="L186" i="85"/>
  <c r="H186" i="85"/>
  <c r="S186" i="85"/>
  <c r="AL186" i="85"/>
  <c r="O186" i="85"/>
  <c r="Q186" i="85"/>
  <c r="R186" i="85"/>
  <c r="P186" i="85"/>
  <c r="J186" i="85"/>
  <c r="G141" i="27" s="1"/>
  <c r="FN141" i="27" s="1"/>
  <c r="I186" i="85"/>
  <c r="K186" i="85"/>
  <c r="AN186" i="85" s="1"/>
  <c r="T186" i="85"/>
  <c r="N186" i="85"/>
  <c r="FH141" i="27" l="1"/>
  <c r="FB141" i="27"/>
  <c r="FE141" i="27" s="1"/>
  <c r="FC141" i="27"/>
  <c r="EZ141" i="27"/>
  <c r="AC186" i="145" s="1"/>
  <c r="AO190" i="85"/>
  <c r="M190" i="145" s="1"/>
  <c r="AU179" i="85"/>
  <c r="AR199" i="85"/>
  <c r="AQ190" i="85"/>
  <c r="AO181" i="85"/>
  <c r="AS183" i="85"/>
  <c r="AR194" i="85"/>
  <c r="AS194" i="85"/>
  <c r="AU194" i="85"/>
  <c r="AV194" i="85"/>
  <c r="AQ194" i="85"/>
  <c r="AV198" i="85"/>
  <c r="AR193" i="85"/>
  <c r="AU193" i="85"/>
  <c r="AV175" i="85"/>
  <c r="AP203" i="85"/>
  <c r="N203" i="145" s="1"/>
  <c r="AS203" i="85"/>
  <c r="AV172" i="85"/>
  <c r="AU177" i="85"/>
  <c r="AV173" i="85"/>
  <c r="AV206" i="85"/>
  <c r="AV209" i="85"/>
  <c r="AQ168" i="85"/>
  <c r="AS179" i="85"/>
  <c r="AS199" i="85"/>
  <c r="AU188" i="85"/>
  <c r="AQ175" i="85"/>
  <c r="AT209" i="85"/>
  <c r="AT213" i="85"/>
  <c r="AU203" i="85"/>
  <c r="AV203" i="85"/>
  <c r="AQ188" i="85"/>
  <c r="AR207" i="85"/>
  <c r="AU183" i="85"/>
  <c r="AR173" i="85"/>
  <c r="AT193" i="85"/>
  <c r="AS189" i="85"/>
  <c r="AU198" i="85"/>
  <c r="AP181" i="85"/>
  <c r="N181" i="145" s="1"/>
  <c r="AV199" i="85"/>
  <c r="AU213" i="85"/>
  <c r="AR198" i="85"/>
  <c r="AQ193" i="85"/>
  <c r="AQ183" i="85"/>
  <c r="AT172" i="85"/>
  <c r="AS177" i="85"/>
  <c r="AR206" i="85"/>
  <c r="AV201" i="85"/>
  <c r="AQ198" i="85"/>
  <c r="AQ181" i="85"/>
  <c r="AP186" i="85"/>
  <c r="AR188" i="85"/>
  <c r="AV177" i="85"/>
  <c r="AT201" i="85"/>
  <c r="AS209" i="85"/>
  <c r="AT181" i="85"/>
  <c r="AV179" i="85"/>
  <c r="AT199" i="85"/>
  <c r="AS188" i="85"/>
  <c r="AT179" i="85"/>
  <c r="AT188" i="85"/>
  <c r="AV186" i="85"/>
  <c r="AT186" i="85"/>
  <c r="AS186" i="85"/>
  <c r="FC148" i="27"/>
  <c r="FF148" i="27" s="1"/>
  <c r="FH148" i="27"/>
  <c r="AR201" i="85"/>
  <c r="AQ186" i="85"/>
  <c r="AQ203" i="85"/>
  <c r="AP210" i="85"/>
  <c r="N210" i="145" s="1"/>
  <c r="AQ200" i="85"/>
  <c r="AP200" i="85"/>
  <c r="N200" i="145" s="1"/>
  <c r="AU210" i="85"/>
  <c r="AU202" i="85"/>
  <c r="AO200" i="85"/>
  <c r="AS191" i="85"/>
  <c r="AV202" i="85"/>
  <c r="AP174" i="85"/>
  <c r="N174" i="145" s="1"/>
  <c r="AV174" i="85"/>
  <c r="AV185" i="85"/>
  <c r="AQ201" i="85"/>
  <c r="AT180" i="85"/>
  <c r="EZ152" i="27"/>
  <c r="AC197" i="145" s="1"/>
  <c r="AP185" i="85"/>
  <c r="N185" i="145" s="1"/>
  <c r="AO185" i="85"/>
  <c r="AS180" i="85"/>
  <c r="AT174" i="85"/>
  <c r="AU191" i="85"/>
  <c r="AQ174" i="85"/>
  <c r="AR180" i="85"/>
  <c r="AR213" i="85"/>
  <c r="AR203" i="85"/>
  <c r="AS181" i="85"/>
  <c r="AR181" i="85"/>
  <c r="AU190" i="85"/>
  <c r="AU185" i="85"/>
  <c r="AQ177" i="85"/>
  <c r="AO212" i="85"/>
  <c r="AR177" i="85"/>
  <c r="AU181" i="85"/>
  <c r="AT190" i="85"/>
  <c r="AP212" i="85"/>
  <c r="N212" i="145" s="1"/>
  <c r="AT210" i="85"/>
  <c r="AS201" i="85"/>
  <c r="FB148" i="27"/>
  <c r="FE148" i="27" s="1"/>
  <c r="AS174" i="85"/>
  <c r="AT185" i="85"/>
  <c r="AV213" i="85"/>
  <c r="AT177" i="85"/>
  <c r="AR186" i="85"/>
  <c r="AS210" i="85"/>
  <c r="AQ213" i="85"/>
  <c r="AT203" i="85"/>
  <c r="AT202" i="85"/>
  <c r="AP201" i="85"/>
  <c r="N201" i="145" s="1"/>
  <c r="AP191" i="85"/>
  <c r="N191" i="145" s="1"/>
  <c r="AV181" i="85"/>
  <c r="AS190" i="85"/>
  <c r="AU200" i="85"/>
  <c r="AV196" i="85"/>
  <c r="AQ187" i="85"/>
  <c r="AP187" i="85"/>
  <c r="N187" i="145" s="1"/>
  <c r="AU187" i="85"/>
  <c r="AU196" i="85"/>
  <c r="AS182" i="85"/>
  <c r="AS212" i="85"/>
  <c r="AU201" i="85"/>
  <c r="AV187" i="85"/>
  <c r="AV212" i="85"/>
  <c r="AR187" i="85"/>
  <c r="AR196" i="85"/>
  <c r="AQ196" i="85"/>
  <c r="AT196" i="85"/>
  <c r="AS187" i="85"/>
  <c r="AU180" i="85"/>
  <c r="AR185" i="85"/>
  <c r="AT187" i="85"/>
  <c r="AS196" i="85"/>
  <c r="AR184" i="85"/>
  <c r="AV171" i="85"/>
  <c r="AR190" i="85"/>
  <c r="AT200" i="85"/>
  <c r="AP175" i="85"/>
  <c r="N175" i="145" s="1"/>
  <c r="AS200" i="85"/>
  <c r="AR195" i="85"/>
  <c r="AO175" i="85"/>
  <c r="M175" i="145" s="1"/>
  <c r="AP184" i="85"/>
  <c r="N184" i="145" s="1"/>
  <c r="AR210" i="85"/>
  <c r="AQ202" i="85"/>
  <c r="AS171" i="85"/>
  <c r="AP207" i="85"/>
  <c r="AU175" i="85"/>
  <c r="AO189" i="85"/>
  <c r="AP173" i="85"/>
  <c r="N173" i="145" s="1"/>
  <c r="AV210" i="85"/>
  <c r="AV184" i="85"/>
  <c r="AS202" i="85"/>
  <c r="AU171" i="85"/>
  <c r="AR191" i="85"/>
  <c r="AO207" i="85"/>
  <c r="AT176" i="85"/>
  <c r="AV200" i="85"/>
  <c r="AQ185" i="85"/>
  <c r="AQ210" i="85"/>
  <c r="AU184" i="85"/>
  <c r="AT183" i="85"/>
  <c r="AR171" i="85"/>
  <c r="AT207" i="85"/>
  <c r="AR200" i="85"/>
  <c r="AT175" i="85"/>
  <c r="AQ184" i="85"/>
  <c r="AT189" i="85"/>
  <c r="AR202" i="85"/>
  <c r="AS175" i="85"/>
  <c r="AP193" i="85"/>
  <c r="AQ171" i="85"/>
  <c r="AS193" i="85"/>
  <c r="AS173" i="85"/>
  <c r="AR209" i="85"/>
  <c r="AV207" i="85"/>
  <c r="AV211" i="85"/>
  <c r="AR179" i="85"/>
  <c r="AO199" i="85"/>
  <c r="AT171" i="85"/>
  <c r="AU173" i="85"/>
  <c r="AP209" i="85"/>
  <c r="AQ207" i="85"/>
  <c r="AS207" i="85"/>
  <c r="AT211" i="85"/>
  <c r="AO194" i="85"/>
  <c r="M194" i="145" s="1"/>
  <c r="AS184" i="85"/>
  <c r="AP208" i="85"/>
  <c r="AT184" i="85"/>
  <c r="AV183" i="85"/>
  <c r="AV189" i="85"/>
  <c r="AU189" i="85"/>
  <c r="AQ173" i="85"/>
  <c r="AU209" i="85"/>
  <c r="AV188" i="85"/>
  <c r="AT208" i="85"/>
  <c r="AR183" i="85"/>
  <c r="AQ189" i="85"/>
  <c r="AP177" i="85"/>
  <c r="N177" i="145" s="1"/>
  <c r="AT173" i="85"/>
  <c r="AQ209" i="85"/>
  <c r="AP198" i="85"/>
  <c r="AU207" i="85"/>
  <c r="AQ179" i="85"/>
  <c r="AU199" i="85"/>
  <c r="AR175" i="85"/>
  <c r="AP183" i="85"/>
  <c r="AV182" i="85"/>
  <c r="AQ182" i="85"/>
  <c r="AQ192" i="85"/>
  <c r="AS192" i="85"/>
  <c r="AV192" i="85"/>
  <c r="AU192" i="85"/>
  <c r="AT192" i="85"/>
  <c r="AP192" i="85"/>
  <c r="N192" i="145" s="1"/>
  <c r="FH156" i="27"/>
  <c r="FC156" i="27"/>
  <c r="EZ156" i="27"/>
  <c r="FB156" i="27"/>
  <c r="FE156" i="27" s="1"/>
  <c r="FB139" i="27"/>
  <c r="FE139" i="27" s="1"/>
  <c r="FH139" i="27"/>
  <c r="EZ139" i="27"/>
  <c r="FC139" i="27"/>
  <c r="FH132" i="27"/>
  <c r="FB132" i="27"/>
  <c r="FE132" i="27" s="1"/>
  <c r="FC132" i="27"/>
  <c r="EZ132" i="27"/>
  <c r="FB138" i="27"/>
  <c r="FH138" i="27"/>
  <c r="EZ129" i="27"/>
  <c r="FC129" i="27"/>
  <c r="FH129" i="27"/>
  <c r="FB152" i="27"/>
  <c r="FH152" i="27"/>
  <c r="AU182" i="85"/>
  <c r="AO182" i="85"/>
  <c r="AP211" i="85"/>
  <c r="N211" i="145" s="1"/>
  <c r="AR170" i="85"/>
  <c r="EZ164" i="27"/>
  <c r="FB164" i="27"/>
  <c r="FE164" i="27" s="1"/>
  <c r="FH164" i="27"/>
  <c r="FC164" i="27"/>
  <c r="FC146" i="27"/>
  <c r="FF146" i="27" s="1"/>
  <c r="FB146" i="27"/>
  <c r="AT169" i="85"/>
  <c r="AV169" i="85"/>
  <c r="AR176" i="85"/>
  <c r="AQ176" i="85"/>
  <c r="AV176" i="85"/>
  <c r="EZ146" i="27"/>
  <c r="FH146" i="27"/>
  <c r="AU169" i="85"/>
  <c r="AS176" i="85"/>
  <c r="AU176" i="85"/>
  <c r="AP176" i="85"/>
  <c r="N176" i="145" s="1"/>
  <c r="AQ170" i="85"/>
  <c r="AS170" i="85"/>
  <c r="AO170" i="85"/>
  <c r="AT206" i="85"/>
  <c r="AS206" i="85"/>
  <c r="AQ206" i="85"/>
  <c r="AU206" i="85"/>
  <c r="AP196" i="85"/>
  <c r="N196" i="145" s="1"/>
  <c r="AP172" i="85"/>
  <c r="AR192" i="85"/>
  <c r="AP194" i="85"/>
  <c r="BJ194" i="85"/>
  <c r="BG194" i="85"/>
  <c r="BC194" i="85"/>
  <c r="AW194" i="85"/>
  <c r="BK194" i="85"/>
  <c r="BE194" i="85"/>
  <c r="BA194" i="85"/>
  <c r="AX194" i="85"/>
  <c r="AY194" i="85"/>
  <c r="BD194" i="85"/>
  <c r="BH194" i="85"/>
  <c r="BI194" i="85"/>
  <c r="BF194" i="85"/>
  <c r="BB194" i="85"/>
  <c r="AZ194" i="85"/>
  <c r="BH175" i="85"/>
  <c r="AZ175" i="85"/>
  <c r="BF175" i="85"/>
  <c r="BA175" i="85"/>
  <c r="BK175" i="85"/>
  <c r="BE175" i="85"/>
  <c r="BJ175" i="85"/>
  <c r="BC175" i="85"/>
  <c r="AX175" i="85"/>
  <c r="AY175" i="85"/>
  <c r="AW175" i="85"/>
  <c r="BG175" i="85"/>
  <c r="BD175" i="85"/>
  <c r="BI175" i="85"/>
  <c r="BB175" i="85"/>
  <c r="AP169" i="85"/>
  <c r="N169" i="145" s="1"/>
  <c r="BF169" i="85"/>
  <c r="BI169" i="85"/>
  <c r="BC169" i="85"/>
  <c r="BA169" i="85"/>
  <c r="BG169" i="85"/>
  <c r="BK169" i="85"/>
  <c r="BH169" i="85"/>
  <c r="BB169" i="85"/>
  <c r="AY169" i="85"/>
  <c r="BE169" i="85"/>
  <c r="BD169" i="85"/>
  <c r="BJ169" i="85"/>
  <c r="AX169" i="85"/>
  <c r="AW169" i="85"/>
  <c r="AZ169" i="85"/>
  <c r="AX212" i="85"/>
  <c r="BG212" i="85"/>
  <c r="BI212" i="85"/>
  <c r="BH212" i="85"/>
  <c r="BK212" i="85"/>
  <c r="BC212" i="85"/>
  <c r="AY212" i="85"/>
  <c r="AZ212" i="85"/>
  <c r="BE212" i="85"/>
  <c r="BJ212" i="85"/>
  <c r="BF212" i="85"/>
  <c r="BA212" i="85"/>
  <c r="AW212" i="85"/>
  <c r="BD212" i="85"/>
  <c r="BB212" i="85"/>
  <c r="AP199" i="85"/>
  <c r="BJ199" i="85"/>
  <c r="AW199" i="85"/>
  <c r="AZ199" i="85"/>
  <c r="BA199" i="85"/>
  <c r="BB199" i="85"/>
  <c r="BC199" i="85"/>
  <c r="BF199" i="85"/>
  <c r="BD199" i="85"/>
  <c r="BE199" i="85"/>
  <c r="BG199" i="85"/>
  <c r="BH199" i="85"/>
  <c r="BI199" i="85"/>
  <c r="BK199" i="85"/>
  <c r="AY199" i="85"/>
  <c r="AX199" i="85"/>
  <c r="AP179" i="85"/>
  <c r="AW179" i="85"/>
  <c r="BB179" i="85"/>
  <c r="BH179" i="85"/>
  <c r="BJ179" i="85"/>
  <c r="AY179" i="85"/>
  <c r="BI179" i="85"/>
  <c r="BA179" i="85"/>
  <c r="BD179" i="85"/>
  <c r="BE179" i="85"/>
  <c r="AZ179" i="85"/>
  <c r="AX179" i="85"/>
  <c r="BC179" i="85"/>
  <c r="BG179" i="85"/>
  <c r="BK179" i="85"/>
  <c r="BF179" i="85"/>
  <c r="AP182" i="85"/>
  <c r="AZ182" i="85"/>
  <c r="AY182" i="85"/>
  <c r="BH182" i="85"/>
  <c r="BC182" i="85"/>
  <c r="AW182" i="85"/>
  <c r="BG182" i="85"/>
  <c r="BB182" i="85"/>
  <c r="AX182" i="85"/>
  <c r="BI182" i="85"/>
  <c r="BA182" i="85"/>
  <c r="BK182" i="85"/>
  <c r="BF182" i="85"/>
  <c r="BE182" i="85"/>
  <c r="BD182" i="85"/>
  <c r="BJ182" i="85"/>
  <c r="AO197" i="85"/>
  <c r="BC197" i="85"/>
  <c r="BA197" i="85"/>
  <c r="BH197" i="85"/>
  <c r="AY197" i="85"/>
  <c r="BB197" i="85"/>
  <c r="BD197" i="85"/>
  <c r="BF197" i="85"/>
  <c r="AW197" i="85"/>
  <c r="AX197" i="85"/>
  <c r="BJ197" i="85"/>
  <c r="AZ197" i="85"/>
  <c r="BE197" i="85"/>
  <c r="BG197" i="85"/>
  <c r="BI197" i="85"/>
  <c r="BK197" i="85"/>
  <c r="AZ185" i="85"/>
  <c r="AY185" i="85"/>
  <c r="BJ185" i="85"/>
  <c r="AW185" i="85"/>
  <c r="BE185" i="85"/>
  <c r="AX185" i="85"/>
  <c r="BH185" i="85"/>
  <c r="BA185" i="85"/>
  <c r="BC185" i="85"/>
  <c r="BD185" i="85"/>
  <c r="BF185" i="85"/>
  <c r="BK185" i="85"/>
  <c r="BG185" i="85"/>
  <c r="BI185" i="85"/>
  <c r="BB185" i="85"/>
  <c r="AO195" i="85"/>
  <c r="M195" i="145" s="1"/>
  <c r="BI195" i="85"/>
  <c r="AW195" i="85"/>
  <c r="BH195" i="85"/>
  <c r="BG195" i="85"/>
  <c r="BF195" i="85"/>
  <c r="BB195" i="85"/>
  <c r="BD195" i="85"/>
  <c r="BE195" i="85"/>
  <c r="AX195" i="85"/>
  <c r="AY195" i="85"/>
  <c r="AZ195" i="85"/>
  <c r="BA195" i="85"/>
  <c r="BC195" i="85"/>
  <c r="BK195" i="85"/>
  <c r="BJ195" i="85"/>
  <c r="BD200" i="85"/>
  <c r="AY200" i="85"/>
  <c r="BG200" i="85"/>
  <c r="BH200" i="85"/>
  <c r="BI200" i="85"/>
  <c r="BJ200" i="85"/>
  <c r="AZ200" i="85"/>
  <c r="AX200" i="85"/>
  <c r="BK200" i="85"/>
  <c r="BA200" i="85"/>
  <c r="BB200" i="85"/>
  <c r="BC200" i="85"/>
  <c r="BF200" i="85"/>
  <c r="AW200" i="85"/>
  <c r="BE200" i="85"/>
  <c r="AP190" i="85"/>
  <c r="BJ190" i="85"/>
  <c r="BI190" i="85"/>
  <c r="BH190" i="85"/>
  <c r="BG190" i="85"/>
  <c r="AX190" i="85"/>
  <c r="BE190" i="85"/>
  <c r="AW190" i="85"/>
  <c r="BK190" i="85"/>
  <c r="BF190" i="85"/>
  <c r="AZ190" i="85"/>
  <c r="AY190" i="85"/>
  <c r="BD190" i="85"/>
  <c r="BC190" i="85"/>
  <c r="BB190" i="85"/>
  <c r="BA190" i="85"/>
  <c r="AP180" i="85"/>
  <c r="N180" i="145" s="1"/>
  <c r="AZ180" i="85"/>
  <c r="BE180" i="85"/>
  <c r="BJ180" i="85"/>
  <c r="BF180" i="85"/>
  <c r="BD180" i="85"/>
  <c r="BB180" i="85"/>
  <c r="BK180" i="85"/>
  <c r="BA180" i="85"/>
  <c r="AY180" i="85"/>
  <c r="BC180" i="85"/>
  <c r="AX180" i="85"/>
  <c r="BG180" i="85"/>
  <c r="AW180" i="85"/>
  <c r="BH180" i="85"/>
  <c r="BI180" i="85"/>
  <c r="AO211" i="85"/>
  <c r="BA211" i="85"/>
  <c r="BF211" i="85"/>
  <c r="BK211" i="85"/>
  <c r="AZ211" i="85"/>
  <c r="BB211" i="85"/>
  <c r="BI211" i="85"/>
  <c r="BD211" i="85"/>
  <c r="AX211" i="85"/>
  <c r="BC211" i="85"/>
  <c r="BH211" i="85"/>
  <c r="AY211" i="85"/>
  <c r="BE211" i="85"/>
  <c r="BJ211" i="85"/>
  <c r="AW211" i="85"/>
  <c r="BG211" i="85"/>
  <c r="AP168" i="85"/>
  <c r="N168" i="145" s="1"/>
  <c r="AZ168" i="85"/>
  <c r="AY168" i="85"/>
  <c r="BA168" i="85"/>
  <c r="AX168" i="85"/>
  <c r="BI168" i="85"/>
  <c r="BF168" i="85"/>
  <c r="BB168" i="85"/>
  <c r="BG168" i="85"/>
  <c r="BD168" i="85"/>
  <c r="BK168" i="85"/>
  <c r="BJ168" i="85"/>
  <c r="BE168" i="85"/>
  <c r="AW168" i="85"/>
  <c r="BH168" i="85"/>
  <c r="BC168" i="85"/>
  <c r="BG181" i="85"/>
  <c r="AW181" i="85"/>
  <c r="AZ181" i="85"/>
  <c r="BE181" i="85"/>
  <c r="BI181" i="85"/>
  <c r="BK181" i="85"/>
  <c r="BB181" i="85"/>
  <c r="BA181" i="85"/>
  <c r="BJ181" i="85"/>
  <c r="BF181" i="85"/>
  <c r="BH181" i="85"/>
  <c r="BD181" i="85"/>
  <c r="AX181" i="85"/>
  <c r="BC181" i="85"/>
  <c r="AY181" i="85"/>
  <c r="AO187" i="85"/>
  <c r="BJ187" i="85"/>
  <c r="BA187" i="85"/>
  <c r="AY187" i="85"/>
  <c r="AX187" i="85"/>
  <c r="AW187" i="85"/>
  <c r="BC187" i="85"/>
  <c r="BD187" i="85"/>
  <c r="BE187" i="85"/>
  <c r="BF187" i="85"/>
  <c r="BG187" i="85"/>
  <c r="BH187" i="85"/>
  <c r="BI187" i="85"/>
  <c r="BK187" i="85"/>
  <c r="BB187" i="85"/>
  <c r="AZ187" i="85"/>
  <c r="AO176" i="85"/>
  <c r="BG176" i="85"/>
  <c r="AZ176" i="85"/>
  <c r="BF176" i="85"/>
  <c r="AY176" i="85"/>
  <c r="AW176" i="85"/>
  <c r="BI176" i="85"/>
  <c r="BA176" i="85"/>
  <c r="BD176" i="85"/>
  <c r="BJ176" i="85"/>
  <c r="BC176" i="85"/>
  <c r="BH176" i="85"/>
  <c r="BB176" i="85"/>
  <c r="AX176" i="85"/>
  <c r="BK176" i="85"/>
  <c r="BE176" i="85"/>
  <c r="AO174" i="85"/>
  <c r="M174" i="145" s="1"/>
  <c r="BD174" i="85"/>
  <c r="BH174" i="85"/>
  <c r="BG174" i="85"/>
  <c r="BC174" i="85"/>
  <c r="BB174" i="85"/>
  <c r="BI174" i="85"/>
  <c r="AW174" i="85"/>
  <c r="BK174" i="85"/>
  <c r="BE174" i="85"/>
  <c r="BJ174" i="85"/>
  <c r="AZ174" i="85"/>
  <c r="BA174" i="85"/>
  <c r="AX174" i="85"/>
  <c r="BF174" i="85"/>
  <c r="AY174" i="85"/>
  <c r="BE207" i="85"/>
  <c r="BA207" i="85"/>
  <c r="BB207" i="85"/>
  <c r="BJ207" i="85"/>
  <c r="BI207" i="85"/>
  <c r="BG207" i="85"/>
  <c r="BF207" i="85"/>
  <c r="AZ207" i="85"/>
  <c r="BD207" i="85"/>
  <c r="AX207" i="85"/>
  <c r="BH207" i="85"/>
  <c r="AW207" i="85"/>
  <c r="BK207" i="85"/>
  <c r="BC207" i="85"/>
  <c r="AY207" i="85"/>
  <c r="AO198" i="85"/>
  <c r="BH198" i="85"/>
  <c r="BF198" i="85"/>
  <c r="AW198" i="85"/>
  <c r="AX198" i="85"/>
  <c r="AY198" i="85"/>
  <c r="BI198" i="85"/>
  <c r="BK198" i="85"/>
  <c r="BB198" i="85"/>
  <c r="BA198" i="85"/>
  <c r="BJ198" i="85"/>
  <c r="AZ198" i="85"/>
  <c r="BC198" i="85"/>
  <c r="BD198" i="85"/>
  <c r="BE198" i="85"/>
  <c r="BG198" i="85"/>
  <c r="AP170" i="85"/>
  <c r="BC170" i="85"/>
  <c r="BH170" i="85"/>
  <c r="BE170" i="85"/>
  <c r="BD170" i="85"/>
  <c r="BG170" i="85"/>
  <c r="AW170" i="85"/>
  <c r="AY170" i="85"/>
  <c r="AX170" i="85"/>
  <c r="BB170" i="85"/>
  <c r="BA170" i="85"/>
  <c r="BJ170" i="85"/>
  <c r="BF170" i="85"/>
  <c r="BI170" i="85"/>
  <c r="BK170" i="85"/>
  <c r="AZ170" i="85"/>
  <c r="AP178" i="85"/>
  <c r="N178" i="145" s="1"/>
  <c r="BA178" i="85"/>
  <c r="AZ178" i="85"/>
  <c r="BF178" i="85"/>
  <c r="BG178" i="85"/>
  <c r="BI178" i="85"/>
  <c r="BC178" i="85"/>
  <c r="BH178" i="85"/>
  <c r="BE178" i="85"/>
  <c r="BK178" i="85"/>
  <c r="AX178" i="85"/>
  <c r="AY178" i="85"/>
  <c r="AW178" i="85"/>
  <c r="BJ178" i="85"/>
  <c r="BD178" i="85"/>
  <c r="BB178" i="85"/>
  <c r="AO191" i="85"/>
  <c r="M191" i="145" s="1"/>
  <c r="BH191" i="85"/>
  <c r="BA191" i="85"/>
  <c r="AZ191" i="85"/>
  <c r="AY191" i="85"/>
  <c r="BG191" i="85"/>
  <c r="AW191" i="85"/>
  <c r="BD191" i="85"/>
  <c r="AX191" i="85"/>
  <c r="BK191" i="85"/>
  <c r="BB191" i="85"/>
  <c r="BE191" i="85"/>
  <c r="BF191" i="85"/>
  <c r="BI191" i="85"/>
  <c r="BJ191" i="85"/>
  <c r="BC191" i="85"/>
  <c r="AO209" i="85"/>
  <c r="M209" i="145" s="1"/>
  <c r="BK209" i="85"/>
  <c r="AY209" i="85"/>
  <c r="BC209" i="85"/>
  <c r="BE209" i="85"/>
  <c r="BG209" i="85"/>
  <c r="BD209" i="85"/>
  <c r="BB209" i="85"/>
  <c r="AX209" i="85"/>
  <c r="BF209" i="85"/>
  <c r="BI209" i="85"/>
  <c r="BH209" i="85"/>
  <c r="BJ209" i="85"/>
  <c r="AW209" i="85"/>
  <c r="AZ209" i="85"/>
  <c r="BA209" i="85"/>
  <c r="AO201" i="85"/>
  <c r="M201" i="145" s="1"/>
  <c r="BF201" i="85"/>
  <c r="BG201" i="85"/>
  <c r="BJ201" i="85"/>
  <c r="BK201" i="85"/>
  <c r="BH201" i="85"/>
  <c r="BE201" i="85"/>
  <c r="BD201" i="85"/>
  <c r="BC201" i="85"/>
  <c r="BB201" i="85"/>
  <c r="BA201" i="85"/>
  <c r="AX201" i="85"/>
  <c r="AY201" i="85"/>
  <c r="AZ201" i="85"/>
  <c r="BI201" i="85"/>
  <c r="AW201" i="85"/>
  <c r="AP171" i="85"/>
  <c r="AX171" i="85"/>
  <c r="BJ171" i="85"/>
  <c r="BD171" i="85"/>
  <c r="BI171" i="85"/>
  <c r="BA171" i="85"/>
  <c r="AW171" i="85"/>
  <c r="AY171" i="85"/>
  <c r="BC171" i="85"/>
  <c r="BH171" i="85"/>
  <c r="BB171" i="85"/>
  <c r="AZ171" i="85"/>
  <c r="BE171" i="85"/>
  <c r="BK171" i="85"/>
  <c r="BF171" i="85"/>
  <c r="BG171" i="85"/>
  <c r="AO206" i="85"/>
  <c r="AW206" i="85"/>
  <c r="AZ206" i="85"/>
  <c r="AY206" i="85"/>
  <c r="BC206" i="85"/>
  <c r="BF206" i="85"/>
  <c r="BK206" i="85"/>
  <c r="BD206" i="85"/>
  <c r="BH206" i="85"/>
  <c r="BJ206" i="85"/>
  <c r="BG206" i="85"/>
  <c r="BE206" i="85"/>
  <c r="BB206" i="85"/>
  <c r="AX206" i="85"/>
  <c r="BI206" i="85"/>
  <c r="BA206" i="85"/>
  <c r="AP204" i="85"/>
  <c r="N204" i="145" s="1"/>
  <c r="AZ204" i="85"/>
  <c r="BJ204" i="85"/>
  <c r="BD204" i="85"/>
  <c r="BF204" i="85"/>
  <c r="BI204" i="85"/>
  <c r="BE204" i="85"/>
  <c r="BH204" i="85"/>
  <c r="BK204" i="85"/>
  <c r="AW204" i="85"/>
  <c r="BC204" i="85"/>
  <c r="AX204" i="85"/>
  <c r="BA204" i="85"/>
  <c r="BG204" i="85"/>
  <c r="BB204" i="85"/>
  <c r="AY204" i="85"/>
  <c r="AO173" i="85"/>
  <c r="BC173" i="85"/>
  <c r="BJ173" i="85"/>
  <c r="AZ173" i="85"/>
  <c r="BK173" i="85"/>
  <c r="BI173" i="85"/>
  <c r="BE173" i="85"/>
  <c r="AY173" i="85"/>
  <c r="BA173" i="85"/>
  <c r="BG173" i="85"/>
  <c r="BB173" i="85"/>
  <c r="AX173" i="85"/>
  <c r="BH173" i="85"/>
  <c r="BF173" i="85"/>
  <c r="AW173" i="85"/>
  <c r="BD173" i="85"/>
  <c r="AO177" i="85"/>
  <c r="BB177" i="85"/>
  <c r="BF177" i="85"/>
  <c r="BG177" i="85"/>
  <c r="BD177" i="85"/>
  <c r="BJ177" i="85"/>
  <c r="AY177" i="85"/>
  <c r="BA177" i="85"/>
  <c r="AZ177" i="85"/>
  <c r="AW177" i="85"/>
  <c r="BE177" i="85"/>
  <c r="BC177" i="85"/>
  <c r="BK177" i="85"/>
  <c r="BH177" i="85"/>
  <c r="AX177" i="85"/>
  <c r="BI177" i="85"/>
  <c r="AP202" i="85"/>
  <c r="N202" i="145" s="1"/>
  <c r="BK202" i="85"/>
  <c r="BH202" i="85"/>
  <c r="BG202" i="85"/>
  <c r="BD202" i="85"/>
  <c r="BC202" i="85"/>
  <c r="BB202" i="85"/>
  <c r="BA202" i="85"/>
  <c r="BF202" i="85"/>
  <c r="BJ202" i="85"/>
  <c r="BE202" i="85"/>
  <c r="AW202" i="85"/>
  <c r="AX202" i="85"/>
  <c r="AY202" i="85"/>
  <c r="AZ202" i="85"/>
  <c r="BI202" i="85"/>
  <c r="AP189" i="85"/>
  <c r="AZ189" i="85"/>
  <c r="BA189" i="85"/>
  <c r="BJ189" i="85"/>
  <c r="BB189" i="85"/>
  <c r="AY189" i="85"/>
  <c r="BK189" i="85"/>
  <c r="AW189" i="85"/>
  <c r="AX189" i="85"/>
  <c r="BH189" i="85"/>
  <c r="BG189" i="85"/>
  <c r="BE189" i="85"/>
  <c r="BF189" i="85"/>
  <c r="BD189" i="85"/>
  <c r="BC189" i="85"/>
  <c r="BI189" i="85"/>
  <c r="AO172" i="85"/>
  <c r="M172" i="145" s="1"/>
  <c r="AY172" i="85"/>
  <c r="AW172" i="85"/>
  <c r="BC172" i="85"/>
  <c r="BJ172" i="85"/>
  <c r="BH172" i="85"/>
  <c r="BI172" i="85"/>
  <c r="BB172" i="85"/>
  <c r="BG172" i="85"/>
  <c r="BF172" i="85"/>
  <c r="BA172" i="85"/>
  <c r="AZ172" i="85"/>
  <c r="AX172" i="85"/>
  <c r="BK172" i="85"/>
  <c r="BE172" i="85"/>
  <c r="BD172" i="85"/>
  <c r="AO192" i="85"/>
  <c r="M192" i="145" s="1"/>
  <c r="Z192" i="145" s="1"/>
  <c r="AX192" i="85"/>
  <c r="BA192" i="85"/>
  <c r="BB192" i="85"/>
  <c r="AZ192" i="85"/>
  <c r="AY192" i="85"/>
  <c r="BF192" i="85"/>
  <c r="BE192" i="85"/>
  <c r="BD192" i="85"/>
  <c r="BG192" i="85"/>
  <c r="AW192" i="85"/>
  <c r="BH192" i="85"/>
  <c r="BI192" i="85"/>
  <c r="BJ192" i="85"/>
  <c r="BK192" i="85"/>
  <c r="BC192" i="85"/>
  <c r="AO183" i="85"/>
  <c r="BK183" i="85"/>
  <c r="BJ183" i="85"/>
  <c r="BH183" i="85"/>
  <c r="BC183" i="85"/>
  <c r="BB183" i="85"/>
  <c r="BA183" i="85"/>
  <c r="BD183" i="85"/>
  <c r="BF183" i="85"/>
  <c r="AW183" i="85"/>
  <c r="AX183" i="85"/>
  <c r="BG183" i="85"/>
  <c r="BE183" i="85"/>
  <c r="AY183" i="85"/>
  <c r="BI183" i="85"/>
  <c r="AZ183" i="85"/>
  <c r="AO203" i="85"/>
  <c r="AW203" i="85"/>
  <c r="BB203" i="85"/>
  <c r="AZ203" i="85"/>
  <c r="BG203" i="85"/>
  <c r="BF203" i="85"/>
  <c r="BE203" i="85"/>
  <c r="BD203" i="85"/>
  <c r="BC203" i="85"/>
  <c r="BA203" i="85"/>
  <c r="AX203" i="85"/>
  <c r="BH203" i="85"/>
  <c r="AY203" i="85"/>
  <c r="BK203" i="85"/>
  <c r="BJ203" i="85"/>
  <c r="BI203" i="85"/>
  <c r="AO184" i="85"/>
  <c r="M184" i="145" s="1"/>
  <c r="BJ184" i="85"/>
  <c r="AX184" i="85"/>
  <c r="BC184" i="85"/>
  <c r="BE184" i="85"/>
  <c r="BF184" i="85"/>
  <c r="BD184" i="85"/>
  <c r="BK184" i="85"/>
  <c r="BG184" i="85"/>
  <c r="BH184" i="85"/>
  <c r="BI184" i="85"/>
  <c r="BA184" i="85"/>
  <c r="AW184" i="85"/>
  <c r="AY184" i="85"/>
  <c r="BB184" i="85"/>
  <c r="AZ184" i="85"/>
  <c r="AO193" i="85"/>
  <c r="M193" i="145" s="1"/>
  <c r="AD193" i="145" s="1"/>
  <c r="AZ193" i="85"/>
  <c r="BK193" i="85"/>
  <c r="BB193" i="85"/>
  <c r="BI193" i="85"/>
  <c r="AY193" i="85"/>
  <c r="BA193" i="85"/>
  <c r="BC193" i="85"/>
  <c r="BD193" i="85"/>
  <c r="AX193" i="85"/>
  <c r="BE193" i="85"/>
  <c r="BG193" i="85"/>
  <c r="BJ193" i="85"/>
  <c r="BF193" i="85"/>
  <c r="BH193" i="85"/>
  <c r="AW193" i="85"/>
  <c r="AP213" i="85"/>
  <c r="N213" i="145" s="1"/>
  <c r="BJ213" i="85"/>
  <c r="BG213" i="85"/>
  <c r="BI213" i="85"/>
  <c r="AY213" i="85"/>
  <c r="BF213" i="85"/>
  <c r="BK213" i="85"/>
  <c r="AX213" i="85"/>
  <c r="BC213" i="85"/>
  <c r="BH213" i="85"/>
  <c r="AW213" i="85"/>
  <c r="BE213" i="85"/>
  <c r="BA213" i="85"/>
  <c r="BB213" i="85"/>
  <c r="BD213" i="85"/>
  <c r="AZ213" i="85"/>
  <c r="AO205" i="85"/>
  <c r="M205" i="145" s="1"/>
  <c r="BA205" i="85"/>
  <c r="BC205" i="85"/>
  <c r="AY205" i="85"/>
  <c r="AX205" i="85"/>
  <c r="BB205" i="85"/>
  <c r="BF205" i="85"/>
  <c r="BG205" i="85"/>
  <c r="BE205" i="85"/>
  <c r="BK205" i="85"/>
  <c r="AW205" i="85"/>
  <c r="BH205" i="85"/>
  <c r="BJ205" i="85"/>
  <c r="AZ205" i="85"/>
  <c r="BD205" i="85"/>
  <c r="BI205" i="85"/>
  <c r="AO208" i="85"/>
  <c r="M208" i="145" s="1"/>
  <c r="Z208" i="145" s="1"/>
  <c r="BC208" i="85"/>
  <c r="BG208" i="85"/>
  <c r="BI208" i="85"/>
  <c r="AY208" i="85"/>
  <c r="BH208" i="85"/>
  <c r="AZ208" i="85"/>
  <c r="AW208" i="85"/>
  <c r="BB208" i="85"/>
  <c r="AX208" i="85"/>
  <c r="BJ208" i="85"/>
  <c r="BF208" i="85"/>
  <c r="BA208" i="85"/>
  <c r="BD208" i="85"/>
  <c r="BK208" i="85"/>
  <c r="BE208" i="85"/>
  <c r="AO210" i="85"/>
  <c r="BG210" i="85"/>
  <c r="BI210" i="85"/>
  <c r="BD210" i="85"/>
  <c r="BH210" i="85"/>
  <c r="BB210" i="85"/>
  <c r="BJ210" i="85"/>
  <c r="BF210" i="85"/>
  <c r="AX210" i="85"/>
  <c r="AW210" i="85"/>
  <c r="AZ210" i="85"/>
  <c r="AY210" i="85"/>
  <c r="BA210" i="85"/>
  <c r="BE210" i="85"/>
  <c r="BC210" i="85"/>
  <c r="BK210" i="85"/>
  <c r="AO196" i="85"/>
  <c r="BI196" i="85"/>
  <c r="BH196" i="85"/>
  <c r="BG196" i="85"/>
  <c r="BF196" i="85"/>
  <c r="BE196" i="85"/>
  <c r="BD196" i="85"/>
  <c r="BC196" i="85"/>
  <c r="BK196" i="85"/>
  <c r="BJ196" i="85"/>
  <c r="AY196" i="85"/>
  <c r="AW196" i="85"/>
  <c r="AX196" i="85"/>
  <c r="AZ196" i="85"/>
  <c r="BA196" i="85"/>
  <c r="BB196" i="85"/>
  <c r="AO188" i="85"/>
  <c r="BF188" i="85"/>
  <c r="BA188" i="85"/>
  <c r="AY188" i="85"/>
  <c r="BK188" i="85"/>
  <c r="BH188" i="85"/>
  <c r="BC188" i="85"/>
  <c r="AW188" i="85"/>
  <c r="BB188" i="85"/>
  <c r="BG188" i="85"/>
  <c r="BE188" i="85"/>
  <c r="AZ188" i="85"/>
  <c r="AX188" i="85"/>
  <c r="BI188" i="85"/>
  <c r="BJ188" i="85"/>
  <c r="BD188" i="85"/>
  <c r="AO186" i="85"/>
  <c r="M186" i="145" s="1"/>
  <c r="W186" i="145" s="1"/>
  <c r="BK186" i="85"/>
  <c r="AW186" i="85"/>
  <c r="BG186" i="85"/>
  <c r="BF186" i="85"/>
  <c r="BE186" i="85"/>
  <c r="BD186" i="85"/>
  <c r="BC186" i="85"/>
  <c r="BA186" i="85"/>
  <c r="AY186" i="85"/>
  <c r="BJ186" i="85"/>
  <c r="AZ186" i="85"/>
  <c r="BH186" i="85"/>
  <c r="AX186" i="85"/>
  <c r="BI186" i="85"/>
  <c r="BB186" i="85"/>
  <c r="AQ169" i="85"/>
  <c r="AO202" i="85"/>
  <c r="AQ199" i="85"/>
  <c r="AO178" i="85"/>
  <c r="M178" i="145" s="1"/>
  <c r="AR169" i="85"/>
  <c r="AS169" i="85"/>
  <c r="AT197" i="85"/>
  <c r="AR197" i="85"/>
  <c r="AQ197" i="85"/>
  <c r="AV197" i="85"/>
  <c r="AU197" i="85"/>
  <c r="AT195" i="85"/>
  <c r="AV195" i="85"/>
  <c r="AP195" i="85"/>
  <c r="AR178" i="85"/>
  <c r="AV205" i="85"/>
  <c r="AT194" i="85"/>
  <c r="AO169" i="85"/>
  <c r="M169" i="145" s="1"/>
  <c r="AR212" i="85"/>
  <c r="AQ212" i="85"/>
  <c r="AU212" i="85"/>
  <c r="AT212" i="85"/>
  <c r="AS197" i="85"/>
  <c r="AP197" i="85"/>
  <c r="N197" i="145" s="1"/>
  <c r="AS185" i="85"/>
  <c r="AS195" i="85"/>
  <c r="AU195" i="85"/>
  <c r="AQ195" i="85"/>
  <c r="AV190" i="85"/>
  <c r="AQ180" i="85"/>
  <c r="AV180" i="85"/>
  <c r="AQ211" i="85"/>
  <c r="AU211" i="85"/>
  <c r="AR211" i="85"/>
  <c r="AS211" i="85"/>
  <c r="AV168" i="85"/>
  <c r="AS168" i="85"/>
  <c r="AR168" i="85"/>
  <c r="AU168" i="85"/>
  <c r="AT168" i="85"/>
  <c r="AO168" i="85"/>
  <c r="M168" i="145" s="1"/>
  <c r="AR182" i="85"/>
  <c r="AR174" i="85"/>
  <c r="AU174" i="85"/>
  <c r="AO180" i="85"/>
  <c r="AO179" i="85"/>
  <c r="AT198" i="85"/>
  <c r="AS198" i="85"/>
  <c r="AT170" i="85"/>
  <c r="AV170" i="85"/>
  <c r="AU170" i="85"/>
  <c r="AU178" i="85"/>
  <c r="AQ178" i="85"/>
  <c r="AV178" i="85"/>
  <c r="AS178" i="85"/>
  <c r="AT178" i="85"/>
  <c r="AT191" i="85"/>
  <c r="AQ191" i="85"/>
  <c r="AV191" i="85"/>
  <c r="AO213" i="85"/>
  <c r="M213" i="145" s="1"/>
  <c r="AR204" i="85"/>
  <c r="AV204" i="85"/>
  <c r="AQ204" i="85"/>
  <c r="AU204" i="85"/>
  <c r="AT204" i="85"/>
  <c r="AS204" i="85"/>
  <c r="AP206" i="85"/>
  <c r="AP188" i="85"/>
  <c r="N188" i="145" s="1"/>
  <c r="AR189" i="85"/>
  <c r="AR172" i="85"/>
  <c r="AU172" i="85"/>
  <c r="AS172" i="85"/>
  <c r="AQ172" i="85"/>
  <c r="AT182" i="85"/>
  <c r="AV193" i="85"/>
  <c r="AS213" i="85"/>
  <c r="AR205" i="85"/>
  <c r="AQ205" i="85"/>
  <c r="AU205" i="85"/>
  <c r="AT205" i="85"/>
  <c r="AP205" i="85"/>
  <c r="AS205" i="85"/>
  <c r="AR208" i="85"/>
  <c r="AQ208" i="85"/>
  <c r="AU208" i="85"/>
  <c r="AV208" i="85"/>
  <c r="AS208" i="85"/>
  <c r="AU186" i="85"/>
  <c r="EZ138" i="27"/>
  <c r="AC183" i="145" s="1"/>
  <c r="FC138" i="27"/>
  <c r="F126" i="27"/>
  <c r="EZ126" i="27" s="1"/>
  <c r="AC171" i="145" s="1"/>
  <c r="AO171" i="85"/>
  <c r="M171" i="145" s="1"/>
  <c r="F159" i="27"/>
  <c r="AO204" i="85"/>
  <c r="EZ158" i="27"/>
  <c r="AC203" i="145" s="1"/>
  <c r="FB158" i="27"/>
  <c r="FE158" i="27" s="1"/>
  <c r="FH158" i="27"/>
  <c r="AA152" i="145"/>
  <c r="AB152" i="145" s="1"/>
  <c r="R127" i="145"/>
  <c r="S127" i="145" s="1"/>
  <c r="AA116" i="145"/>
  <c r="AB116" i="145" s="1"/>
  <c r="X159" i="145"/>
  <c r="Y159" i="145" s="1"/>
  <c r="Y115" i="145"/>
  <c r="R144" i="145"/>
  <c r="S144" i="145" s="1"/>
  <c r="X127" i="145"/>
  <c r="Y127" i="145" s="1"/>
  <c r="AA139" i="145"/>
  <c r="AB139" i="145" s="1"/>
  <c r="AA144" i="145"/>
  <c r="AB144" i="145" s="1"/>
  <c r="R156" i="145"/>
  <c r="S156" i="145" s="1"/>
  <c r="AA136" i="145"/>
  <c r="AB136" i="145" s="1"/>
  <c r="AA154" i="145"/>
  <c r="AB154" i="145" s="1"/>
  <c r="X122" i="145"/>
  <c r="Y122" i="145" s="1"/>
  <c r="X158" i="145"/>
  <c r="Y158" i="145" s="1"/>
  <c r="X116" i="145"/>
  <c r="Y116" i="145" s="1"/>
  <c r="X153" i="145"/>
  <c r="Y153" i="145" s="1"/>
  <c r="AA158" i="145"/>
  <c r="AB158" i="145" s="1"/>
  <c r="X121" i="145"/>
  <c r="Y121" i="145" s="1"/>
  <c r="R119" i="145"/>
  <c r="S119" i="145" s="1"/>
  <c r="R115" i="145"/>
  <c r="S115" i="145" s="1"/>
  <c r="AA114" i="145"/>
  <c r="AB114" i="145" s="1"/>
  <c r="X126" i="145"/>
  <c r="Y126" i="145" s="1"/>
  <c r="R147" i="145"/>
  <c r="S147" i="145" s="1"/>
  <c r="AA118" i="145"/>
  <c r="AB118" i="145" s="1"/>
  <c r="R108" i="145"/>
  <c r="S108" i="145" s="1"/>
  <c r="R120" i="145"/>
  <c r="S120" i="145" s="1"/>
  <c r="X125" i="145"/>
  <c r="Y125" i="145" s="1"/>
  <c r="R125" i="145"/>
  <c r="S125" i="145" s="1"/>
  <c r="X108" i="145"/>
  <c r="Y108" i="145" s="1"/>
  <c r="X155" i="145"/>
  <c r="Y155" i="145" s="1"/>
  <c r="AA145" i="145"/>
  <c r="AB145" i="145" s="1"/>
  <c r="X145" i="145"/>
  <c r="Y145" i="145" s="1"/>
  <c r="X110" i="145"/>
  <c r="Y110" i="145" s="1"/>
  <c r="AA110" i="145"/>
  <c r="AB110" i="145" s="1"/>
  <c r="R112" i="145"/>
  <c r="S112" i="145" s="1"/>
  <c r="X149" i="145"/>
  <c r="X111" i="145"/>
  <c r="R148" i="145"/>
  <c r="S148" i="145" s="1"/>
  <c r="AA117" i="145"/>
  <c r="AB117" i="145" s="1"/>
  <c r="X138" i="145"/>
  <c r="Y138" i="145" s="1"/>
  <c r="AA156" i="145"/>
  <c r="AB156" i="145" s="1"/>
  <c r="AA128" i="145"/>
  <c r="AB128" i="145" s="1"/>
  <c r="AA115" i="145"/>
  <c r="AB115" i="145" s="1"/>
  <c r="X154" i="145"/>
  <c r="Y154" i="145" s="1"/>
  <c r="AA109" i="145"/>
  <c r="AB109" i="145" s="1"/>
  <c r="X152" i="145"/>
  <c r="X123" i="145"/>
  <c r="Y123" i="145" s="1"/>
  <c r="X117" i="145"/>
  <c r="Y117" i="145" s="1"/>
  <c r="X140" i="145"/>
  <c r="Y140" i="145" s="1"/>
  <c r="AA149" i="145"/>
  <c r="AB149" i="145" s="1"/>
  <c r="X135" i="145"/>
  <c r="Y135" i="145" s="1"/>
  <c r="R140" i="145"/>
  <c r="S140" i="145" s="1"/>
  <c r="AA119" i="145"/>
  <c r="AB119" i="145" s="1"/>
  <c r="AA157" i="145"/>
  <c r="AB157" i="145" s="1"/>
  <c r="AA132" i="145"/>
  <c r="AB132" i="145" s="1"/>
  <c r="X133" i="145"/>
  <c r="Y133" i="145" s="1"/>
  <c r="AA123" i="145"/>
  <c r="AB123" i="145" s="1"/>
  <c r="AA148" i="145"/>
  <c r="AB148" i="145" s="1"/>
  <c r="X128" i="145"/>
  <c r="Y128" i="145" s="1"/>
  <c r="AA153" i="145"/>
  <c r="AB153" i="145" s="1"/>
  <c r="X109" i="145"/>
  <c r="Y109" i="145" s="1"/>
  <c r="AA113" i="145"/>
  <c r="AB113" i="145" s="1"/>
  <c r="R143" i="145"/>
  <c r="S143" i="145" s="1"/>
  <c r="X113" i="145"/>
  <c r="Y113" i="145" s="1"/>
  <c r="R134" i="145"/>
  <c r="S134" i="145" s="1"/>
  <c r="AA143" i="145"/>
  <c r="AB143" i="145" s="1"/>
  <c r="AA124" i="145"/>
  <c r="AB124" i="145" s="1"/>
  <c r="R133" i="145"/>
  <c r="S133" i="145" s="1"/>
  <c r="AB147" i="145"/>
  <c r="AB120" i="145"/>
  <c r="S124" i="145"/>
  <c r="Y136" i="145"/>
  <c r="S152" i="145"/>
  <c r="AB155" i="145"/>
  <c r="S114" i="145"/>
  <c r="AB159" i="145"/>
  <c r="AB131" i="145"/>
  <c r="AB142" i="145"/>
  <c r="AB141" i="145"/>
  <c r="S145" i="145"/>
  <c r="Y118" i="145"/>
  <c r="S109" i="145"/>
  <c r="Y156" i="145"/>
  <c r="S154" i="145"/>
  <c r="AB140" i="145"/>
  <c r="Y130" i="145"/>
  <c r="S139" i="145"/>
  <c r="AB133" i="145"/>
  <c r="AB108" i="145"/>
  <c r="AB134" i="145"/>
  <c r="AB121" i="145"/>
  <c r="S116" i="145"/>
  <c r="AM188" i="85"/>
  <c r="D143" i="27"/>
  <c r="AM210" i="85"/>
  <c r="D165" i="27"/>
  <c r="D139" i="27"/>
  <c r="AM184" i="85"/>
  <c r="D156" i="27"/>
  <c r="AM201" i="85"/>
  <c r="D142" i="27"/>
  <c r="AM187" i="85"/>
  <c r="FH142" i="27"/>
  <c r="FB142" i="27"/>
  <c r="FC142" i="27"/>
  <c r="EZ142" i="27"/>
  <c r="AC187" i="145" s="1"/>
  <c r="D150" i="27"/>
  <c r="AM195" i="85"/>
  <c r="X141" i="145"/>
  <c r="F140" i="27"/>
  <c r="FH143" i="27"/>
  <c r="FB143" i="27"/>
  <c r="FC143" i="27"/>
  <c r="EZ143" i="27"/>
  <c r="AC188" i="145" s="1"/>
  <c r="X114" i="145"/>
  <c r="AA129" i="145"/>
  <c r="R159" i="145"/>
  <c r="R121" i="145"/>
  <c r="D160" i="27"/>
  <c r="AM205" i="85"/>
  <c r="D144" i="27"/>
  <c r="AM189" i="85"/>
  <c r="D146" i="27"/>
  <c r="AM191" i="85"/>
  <c r="FB165" i="27"/>
  <c r="FH165" i="27"/>
  <c r="FC165" i="27"/>
  <c r="EZ165" i="27"/>
  <c r="AC210" i="145" s="1"/>
  <c r="F125" i="27"/>
  <c r="AM174" i="85"/>
  <c r="D129" i="27"/>
  <c r="V111" i="145"/>
  <c r="FB161" i="27"/>
  <c r="FH161" i="27"/>
  <c r="FC161" i="27"/>
  <c r="EZ161" i="27"/>
  <c r="AC206" i="145" s="1"/>
  <c r="F145" i="27"/>
  <c r="F155" i="27"/>
  <c r="X139" i="145"/>
  <c r="F137" i="27"/>
  <c r="D134" i="27"/>
  <c r="AM179" i="85"/>
  <c r="R136" i="145"/>
  <c r="AM212" i="85"/>
  <c r="D167" i="27"/>
  <c r="X112" i="145"/>
  <c r="R138" i="145"/>
  <c r="FF152" i="27"/>
  <c r="AA151" i="145"/>
  <c r="S113" i="145"/>
  <c r="D151" i="27"/>
  <c r="AM196" i="85"/>
  <c r="AM193" i="85"/>
  <c r="D148" i="27"/>
  <c r="D138" i="27"/>
  <c r="AM183" i="85"/>
  <c r="D126" i="27"/>
  <c r="AM171" i="85"/>
  <c r="D125" i="27"/>
  <c r="AM170" i="85"/>
  <c r="F134" i="27"/>
  <c r="F123" i="27"/>
  <c r="D145" i="27"/>
  <c r="AM190" i="85"/>
  <c r="R151" i="145"/>
  <c r="R155" i="145"/>
  <c r="S129" i="145"/>
  <c r="R118" i="145"/>
  <c r="R126" i="145"/>
  <c r="D158" i="27"/>
  <c r="AM203" i="85"/>
  <c r="D128" i="27"/>
  <c r="AM173" i="85"/>
  <c r="AM206" i="85"/>
  <c r="D161" i="27"/>
  <c r="FB160" i="27"/>
  <c r="FH160" i="27"/>
  <c r="EZ160" i="27"/>
  <c r="AC205" i="145" s="1"/>
  <c r="FC160" i="27"/>
  <c r="D153" i="27"/>
  <c r="AM198" i="85"/>
  <c r="F135" i="27"/>
  <c r="AB138" i="145"/>
  <c r="AM182" i="85"/>
  <c r="D137" i="27"/>
  <c r="V110" i="145"/>
  <c r="R130" i="145"/>
  <c r="V159" i="145"/>
  <c r="V156" i="145"/>
  <c r="V108" i="145"/>
  <c r="V126" i="145"/>
  <c r="X147" i="145"/>
  <c r="R141" i="145"/>
  <c r="AA122" i="145"/>
  <c r="FH163" i="27"/>
  <c r="FB163" i="27"/>
  <c r="FC163" i="27"/>
  <c r="EZ163" i="27"/>
  <c r="AC208" i="145" s="1"/>
  <c r="R135" i="145"/>
  <c r="X120" i="145"/>
  <c r="X157" i="145"/>
  <c r="X134" i="145"/>
  <c r="D127" i="27"/>
  <c r="AM172" i="85"/>
  <c r="F157" i="27"/>
  <c r="D164" i="27"/>
  <c r="AM209" i="85"/>
  <c r="FH147" i="27"/>
  <c r="FB147" i="27"/>
  <c r="FC147" i="27"/>
  <c r="EZ147" i="27"/>
  <c r="AC192" i="145" s="1"/>
  <c r="F136" i="27"/>
  <c r="D135" i="27"/>
  <c r="AM180" i="85"/>
  <c r="X142" i="145"/>
  <c r="R142" i="145"/>
  <c r="F154" i="27"/>
  <c r="Y143" i="145"/>
  <c r="V148" i="145"/>
  <c r="AA111" i="145"/>
  <c r="F130" i="27"/>
  <c r="FH153" i="27"/>
  <c r="FB153" i="27"/>
  <c r="FC153" i="27"/>
  <c r="EZ153" i="27"/>
  <c r="AC198" i="145" s="1"/>
  <c r="F149" i="27"/>
  <c r="F133" i="27"/>
  <c r="AM208" i="85"/>
  <c r="D163" i="27"/>
  <c r="AM192" i="85"/>
  <c r="D147" i="27"/>
  <c r="F168" i="27"/>
  <c r="FH151" i="27"/>
  <c r="FB151" i="27"/>
  <c r="FC151" i="27"/>
  <c r="EZ151" i="27"/>
  <c r="AC196" i="145" s="1"/>
  <c r="F162" i="27"/>
  <c r="D131" i="27"/>
  <c r="AM176" i="85"/>
  <c r="D123" i="27"/>
  <c r="AM168" i="85"/>
  <c r="D166" i="27"/>
  <c r="AM211" i="85"/>
  <c r="AM200" i="85"/>
  <c r="D155" i="27"/>
  <c r="AM197" i="85"/>
  <c r="D152" i="27"/>
  <c r="FF158" i="27"/>
  <c r="AM199" i="85"/>
  <c r="D154" i="27"/>
  <c r="AA146" i="145"/>
  <c r="AA130" i="145"/>
  <c r="FH131" i="27"/>
  <c r="FC131" i="27"/>
  <c r="FB131" i="27"/>
  <c r="EZ131" i="27"/>
  <c r="AC176" i="145" s="1"/>
  <c r="D149" i="27"/>
  <c r="AM194" i="85"/>
  <c r="R131" i="145"/>
  <c r="X124" i="145"/>
  <c r="D141" i="27"/>
  <c r="AM186" i="85"/>
  <c r="D168" i="27"/>
  <c r="AM213" i="85"/>
  <c r="D132" i="27"/>
  <c r="AM177" i="85"/>
  <c r="AM178" i="85"/>
  <c r="D133" i="27"/>
  <c r="FE129" i="27"/>
  <c r="FI129" i="27"/>
  <c r="R150" i="145"/>
  <c r="X150" i="145"/>
  <c r="AA150" i="145"/>
  <c r="V146" i="145"/>
  <c r="AA137" i="145"/>
  <c r="R137" i="145"/>
  <c r="X137" i="145"/>
  <c r="EZ127" i="27"/>
  <c r="AC172" i="145" s="1"/>
  <c r="FB127" i="27"/>
  <c r="FH127" i="27"/>
  <c r="FC127" i="27"/>
  <c r="FH128" i="27"/>
  <c r="FC128" i="27"/>
  <c r="FB128" i="27"/>
  <c r="EZ128" i="27"/>
  <c r="AC173" i="145" s="1"/>
  <c r="F167" i="27"/>
  <c r="R132" i="145"/>
  <c r="V123" i="145"/>
  <c r="FB150" i="27"/>
  <c r="FH150" i="27"/>
  <c r="FC150" i="27"/>
  <c r="EZ150" i="27"/>
  <c r="AC195" i="145" s="1"/>
  <c r="F124" i="27"/>
  <c r="V121" i="145"/>
  <c r="AM175" i="85"/>
  <c r="D130" i="27"/>
  <c r="S122" i="145"/>
  <c r="AB135" i="145"/>
  <c r="X131" i="145"/>
  <c r="V131" i="145"/>
  <c r="V113" i="145"/>
  <c r="V140" i="145"/>
  <c r="F144" i="27"/>
  <c r="AM202" i="85"/>
  <c r="D157" i="27"/>
  <c r="D159" i="27"/>
  <c r="AM204" i="85"/>
  <c r="D162" i="27"/>
  <c r="AM207" i="85"/>
  <c r="D136" i="27"/>
  <c r="AM181" i="85"/>
  <c r="X146" i="145"/>
  <c r="AM185" i="85"/>
  <c r="D140" i="27"/>
  <c r="Y119" i="145"/>
  <c r="AB126" i="145"/>
  <c r="D124" i="27"/>
  <c r="AM169" i="85"/>
  <c r="X129" i="145"/>
  <c r="FC166" i="27"/>
  <c r="FB166" i="27"/>
  <c r="FH166" i="27"/>
  <c r="EZ166" i="27"/>
  <c r="AC211" i="145" s="1"/>
  <c r="S158" i="145"/>
  <c r="FD141" i="27" l="1"/>
  <c r="FF141" i="27"/>
  <c r="FA141" i="27"/>
  <c r="AE186" i="145" s="1"/>
  <c r="FD148" i="27"/>
  <c r="FA148" i="27"/>
  <c r="FD152" i="27"/>
  <c r="AF195" i="145"/>
  <c r="AD195" i="145"/>
  <c r="FI148" i="27"/>
  <c r="FD146" i="27"/>
  <c r="AF172" i="145"/>
  <c r="AC201" i="145"/>
  <c r="AD201" i="145" s="1"/>
  <c r="FA156" i="27"/>
  <c r="AE201" i="145" s="1"/>
  <c r="FF139" i="27"/>
  <c r="FD139" i="27"/>
  <c r="FD132" i="27"/>
  <c r="FF132" i="27"/>
  <c r="FE138" i="27"/>
  <c r="FA138" i="27"/>
  <c r="FI146" i="27"/>
  <c r="FE146" i="27"/>
  <c r="AC177" i="145"/>
  <c r="FA132" i="27"/>
  <c r="FF129" i="27"/>
  <c r="FD129" i="27"/>
  <c r="FD164" i="27"/>
  <c r="FF164" i="27"/>
  <c r="FD156" i="27"/>
  <c r="FF156" i="27"/>
  <c r="AC184" i="145"/>
  <c r="AD184" i="145" s="1"/>
  <c r="FA139" i="27"/>
  <c r="AE184" i="145" s="1"/>
  <c r="AC174" i="145"/>
  <c r="AD174" i="145" s="1"/>
  <c r="FA129" i="27"/>
  <c r="FA152" i="27"/>
  <c r="FE152" i="27"/>
  <c r="AC209" i="145"/>
  <c r="AD209" i="145" s="1"/>
  <c r="FA164" i="27"/>
  <c r="AE209" i="145" s="1"/>
  <c r="Q195" i="145"/>
  <c r="T195" i="145"/>
  <c r="Z195" i="145"/>
  <c r="W195" i="145"/>
  <c r="AC191" i="145"/>
  <c r="AD191" i="145" s="1"/>
  <c r="FA146" i="27"/>
  <c r="AD172" i="145"/>
  <c r="Z172" i="145"/>
  <c r="Q172" i="145"/>
  <c r="T172" i="145"/>
  <c r="W172" i="145"/>
  <c r="FD138" i="27"/>
  <c r="FF138" i="27"/>
  <c r="FH126" i="27"/>
  <c r="FC126" i="27"/>
  <c r="FB126" i="27"/>
  <c r="EZ159" i="27"/>
  <c r="FB159" i="27"/>
  <c r="FE159" i="27" s="1"/>
  <c r="FH159" i="27"/>
  <c r="FC159" i="27"/>
  <c r="FD158" i="27"/>
  <c r="FA158" i="27"/>
  <c r="AF208" i="145"/>
  <c r="AF186" i="145"/>
  <c r="Q186" i="145"/>
  <c r="Z193" i="145"/>
  <c r="AD208" i="145"/>
  <c r="Q208" i="145"/>
  <c r="Z186" i="145"/>
  <c r="AD186" i="145"/>
  <c r="T186" i="145"/>
  <c r="T208" i="145"/>
  <c r="W191" i="145"/>
  <c r="Q191" i="145"/>
  <c r="Z191" i="145"/>
  <c r="T191" i="145"/>
  <c r="Z174" i="145"/>
  <c r="AF174" i="145"/>
  <c r="T174" i="145"/>
  <c r="W174" i="145"/>
  <c r="Q174" i="145"/>
  <c r="Q193" i="145"/>
  <c r="T193" i="145"/>
  <c r="W193" i="145"/>
  <c r="W184" i="145"/>
  <c r="T184" i="145"/>
  <c r="Z184" i="145"/>
  <c r="AF184" i="145"/>
  <c r="AF191" i="145"/>
  <c r="Q184" i="145"/>
  <c r="AF193" i="145"/>
  <c r="W208" i="145"/>
  <c r="M180" i="145"/>
  <c r="Z180" i="145" s="1"/>
  <c r="M204" i="145"/>
  <c r="M182" i="145"/>
  <c r="W182" i="145" s="1"/>
  <c r="M185" i="145"/>
  <c r="T185" i="145" s="1"/>
  <c r="M189" i="145"/>
  <c r="T189" i="145" s="1"/>
  <c r="M170" i="145"/>
  <c r="W170" i="145" s="1"/>
  <c r="M181" i="145"/>
  <c r="Z181" i="145" s="1"/>
  <c r="M199" i="145"/>
  <c r="Q199" i="145" s="1"/>
  <c r="W209" i="145"/>
  <c r="AF209" i="145"/>
  <c r="Z209" i="145"/>
  <c r="T209" i="145"/>
  <c r="Q209" i="145"/>
  <c r="Q205" i="145"/>
  <c r="Z205" i="145"/>
  <c r="T205" i="145"/>
  <c r="W205" i="145"/>
  <c r="T201" i="145"/>
  <c r="W201" i="145"/>
  <c r="AF201" i="145"/>
  <c r="Q201" i="145"/>
  <c r="Z201" i="145"/>
  <c r="N179" i="145"/>
  <c r="N193" i="145"/>
  <c r="N190" i="145"/>
  <c r="N199" i="145"/>
  <c r="AD192" i="145"/>
  <c r="N172" i="145"/>
  <c r="M176" i="145"/>
  <c r="AF176" i="145" s="1"/>
  <c r="M179" i="145"/>
  <c r="T179" i="145" s="1"/>
  <c r="M200" i="145"/>
  <c r="Q200" i="145" s="1"/>
  <c r="N205" i="145"/>
  <c r="Q192" i="145"/>
  <c r="N170" i="145"/>
  <c r="M198" i="145"/>
  <c r="AF198" i="145" s="1"/>
  <c r="AF192" i="145"/>
  <c r="N195" i="145"/>
  <c r="N206" i="145"/>
  <c r="W192" i="145"/>
  <c r="N189" i="145"/>
  <c r="M197" i="145"/>
  <c r="M187" i="145"/>
  <c r="AF187" i="145" s="1"/>
  <c r="M210" i="145"/>
  <c r="AF210" i="145" s="1"/>
  <c r="AF205" i="145"/>
  <c r="N183" i="145"/>
  <c r="T192" i="145"/>
  <c r="M188" i="145"/>
  <c r="AD188" i="145" s="1"/>
  <c r="M173" i="145"/>
  <c r="AD173" i="145" s="1"/>
  <c r="N194" i="145"/>
  <c r="AD205" i="145"/>
  <c r="N209" i="145"/>
  <c r="N207" i="145"/>
  <c r="N198" i="145"/>
  <c r="N208" i="145"/>
  <c r="M183" i="145"/>
  <c r="N182" i="145"/>
  <c r="N186" i="145"/>
  <c r="N171" i="145"/>
  <c r="M177" i="145"/>
  <c r="M203" i="145"/>
  <c r="M207" i="145"/>
  <c r="T207" i="145" s="1"/>
  <c r="M202" i="145"/>
  <c r="T202" i="145" s="1"/>
  <c r="M206" i="145"/>
  <c r="AF206" i="145" s="1"/>
  <c r="M196" i="145"/>
  <c r="AF196" i="145" s="1"/>
  <c r="M211" i="145"/>
  <c r="AF211" i="145" s="1"/>
  <c r="M212" i="145"/>
  <c r="Q212" i="145" s="1"/>
  <c r="AD171" i="145"/>
  <c r="FE166" i="27"/>
  <c r="FE150" i="27"/>
  <c r="FE147" i="27"/>
  <c r="FE142" i="27"/>
  <c r="FE160" i="27"/>
  <c r="FE143" i="27"/>
  <c r="FE128" i="27"/>
  <c r="FE127" i="27"/>
  <c r="FE163" i="27"/>
  <c r="FE161" i="27"/>
  <c r="FE151" i="27"/>
  <c r="FE165" i="27"/>
  <c r="T213" i="145"/>
  <c r="Q213" i="145"/>
  <c r="W213" i="145"/>
  <c r="Z213" i="145"/>
  <c r="Q190" i="145"/>
  <c r="Z190" i="145"/>
  <c r="W190" i="145"/>
  <c r="T190" i="145"/>
  <c r="T178" i="145"/>
  <c r="Q178" i="145"/>
  <c r="W178" i="145"/>
  <c r="Z178" i="145"/>
  <c r="W194" i="145"/>
  <c r="T194" i="145"/>
  <c r="Z194" i="145"/>
  <c r="Q194" i="145"/>
  <c r="Q168" i="145"/>
  <c r="W168" i="145"/>
  <c r="T168" i="145"/>
  <c r="Z168" i="145"/>
  <c r="Q169" i="145"/>
  <c r="W169" i="145"/>
  <c r="Z169" i="145"/>
  <c r="T169" i="145"/>
  <c r="T171" i="145"/>
  <c r="Z171" i="145"/>
  <c r="W171" i="145"/>
  <c r="Q171" i="145"/>
  <c r="T175" i="145"/>
  <c r="W175" i="145"/>
  <c r="Q175" i="145"/>
  <c r="Z175" i="145"/>
  <c r="Y111" i="145"/>
  <c r="Y149" i="145"/>
  <c r="Y152" i="145"/>
  <c r="FA165" i="27"/>
  <c r="FA161" i="27"/>
  <c r="FA160" i="27"/>
  <c r="AE205" i="145" s="1"/>
  <c r="FA150" i="27"/>
  <c r="AE195" i="145" s="1"/>
  <c r="FA166" i="27"/>
  <c r="FA131" i="27"/>
  <c r="FA147" i="27"/>
  <c r="AE192" i="145" s="1"/>
  <c r="S132" i="145"/>
  <c r="S137" i="145"/>
  <c r="S150" i="145"/>
  <c r="Y124" i="145"/>
  <c r="AB130" i="145"/>
  <c r="FC133" i="27"/>
  <c r="FH133" i="27"/>
  <c r="EZ133" i="27"/>
  <c r="AC178" i="145" s="1"/>
  <c r="AD178" i="145" s="1"/>
  <c r="FB133" i="27"/>
  <c r="AF178" i="145" s="1"/>
  <c r="Y120" i="145"/>
  <c r="FD160" i="27"/>
  <c r="FF160" i="27"/>
  <c r="S118" i="145"/>
  <c r="FH134" i="27"/>
  <c r="FB134" i="27"/>
  <c r="FC134" i="27"/>
  <c r="EZ134" i="27"/>
  <c r="AC179" i="145" s="1"/>
  <c r="S159" i="145"/>
  <c r="FA143" i="27"/>
  <c r="Y141" i="145"/>
  <c r="FA142" i="27"/>
  <c r="FF150" i="27"/>
  <c r="FD150" i="27"/>
  <c r="FH167" i="27"/>
  <c r="FB167" i="27"/>
  <c r="FC167" i="27"/>
  <c r="EZ167" i="27"/>
  <c r="AC212" i="145" s="1"/>
  <c r="FF128" i="27"/>
  <c r="FD128" i="27"/>
  <c r="AB137" i="145"/>
  <c r="AB122" i="145"/>
  <c r="FF161" i="27"/>
  <c r="FD161" i="27"/>
  <c r="FF143" i="27"/>
  <c r="FD143" i="27"/>
  <c r="FD142" i="27"/>
  <c r="FF142" i="27"/>
  <c r="Y146" i="145"/>
  <c r="FC144" i="27"/>
  <c r="FH144" i="27"/>
  <c r="FB144" i="27"/>
  <c r="EZ144" i="27"/>
  <c r="AC189" i="145" s="1"/>
  <c r="S131" i="145"/>
  <c r="FB168" i="27"/>
  <c r="AF213" i="145" s="1"/>
  <c r="FH168" i="27"/>
  <c r="FC168" i="27"/>
  <c r="EZ168" i="27"/>
  <c r="AC213" i="145" s="1"/>
  <c r="AD213" i="145" s="1"/>
  <c r="FH157" i="27"/>
  <c r="FC157" i="27"/>
  <c r="FB157" i="27"/>
  <c r="EZ157" i="27"/>
  <c r="AC202" i="145" s="1"/>
  <c r="S135" i="145"/>
  <c r="Y147" i="145"/>
  <c r="S138" i="145"/>
  <c r="FB125" i="27"/>
  <c r="FH125" i="27"/>
  <c r="FC125" i="27"/>
  <c r="EZ125" i="27"/>
  <c r="AC170" i="145" s="1"/>
  <c r="S121" i="145"/>
  <c r="FD127" i="27"/>
  <c r="FF127" i="27"/>
  <c r="FE131" i="27"/>
  <c r="FI131" i="27"/>
  <c r="FH162" i="27"/>
  <c r="FB162" i="27"/>
  <c r="EZ162" i="27"/>
  <c r="AC207" i="145" s="1"/>
  <c r="FC162" i="27"/>
  <c r="FA153" i="27"/>
  <c r="FF147" i="27"/>
  <c r="FD147" i="27"/>
  <c r="S155" i="145"/>
  <c r="FC123" i="27"/>
  <c r="FH123" i="27"/>
  <c r="FB123" i="27"/>
  <c r="AF168" i="145" s="1"/>
  <c r="EZ123" i="27"/>
  <c r="AC168" i="145" s="1"/>
  <c r="AD168" i="145" s="1"/>
  <c r="AB151" i="145"/>
  <c r="FH137" i="27"/>
  <c r="FB137" i="27"/>
  <c r="FC137" i="27"/>
  <c r="EZ137" i="27"/>
  <c r="AC182" i="145" s="1"/>
  <c r="FH155" i="27"/>
  <c r="FC155" i="27"/>
  <c r="FB155" i="27"/>
  <c r="EZ155" i="27"/>
  <c r="AC200" i="145" s="1"/>
  <c r="AB129" i="145"/>
  <c r="FH124" i="27"/>
  <c r="FC124" i="27"/>
  <c r="FB124" i="27"/>
  <c r="AF169" i="145" s="1"/>
  <c r="EZ124" i="27"/>
  <c r="AC169" i="145" s="1"/>
  <c r="AD169" i="145" s="1"/>
  <c r="FF131" i="27"/>
  <c r="FD131" i="27"/>
  <c r="FD153" i="27"/>
  <c r="FF153" i="27"/>
  <c r="S142" i="145"/>
  <c r="Y134" i="145"/>
  <c r="FA163" i="27"/>
  <c r="AE208" i="145" s="1"/>
  <c r="S141" i="145"/>
  <c r="FH135" i="27"/>
  <c r="EZ135" i="27"/>
  <c r="AC180" i="145" s="1"/>
  <c r="FC135" i="27"/>
  <c r="FB135" i="27"/>
  <c r="Y112" i="145"/>
  <c r="FE153" i="27"/>
  <c r="FI153" i="27"/>
  <c r="AB111" i="145"/>
  <c r="Y142" i="145"/>
  <c r="FH136" i="27"/>
  <c r="FC136" i="27"/>
  <c r="EZ136" i="27"/>
  <c r="AC181" i="145" s="1"/>
  <c r="FB136" i="27"/>
  <c r="Y157" i="145"/>
  <c r="FD163" i="27"/>
  <c r="FF163" i="27"/>
  <c r="Y139" i="145"/>
  <c r="FB145" i="27"/>
  <c r="AF190" i="145" s="1"/>
  <c r="FH145" i="27"/>
  <c r="EZ145" i="27"/>
  <c r="AC190" i="145" s="1"/>
  <c r="AD190" i="145" s="1"/>
  <c r="FC145" i="27"/>
  <c r="FF165" i="27"/>
  <c r="FD165" i="27"/>
  <c r="FB140" i="27"/>
  <c r="FH140" i="27"/>
  <c r="EZ140" i="27"/>
  <c r="AC185" i="145" s="1"/>
  <c r="FC140" i="27"/>
  <c r="Y131" i="145"/>
  <c r="FA127" i="27"/>
  <c r="AE172" i="145" s="1"/>
  <c r="AB150" i="145"/>
  <c r="AB146" i="145"/>
  <c r="FA151" i="27"/>
  <c r="FH149" i="27"/>
  <c r="FB149" i="27"/>
  <c r="AF194" i="145" s="1"/>
  <c r="FC149" i="27"/>
  <c r="EZ149" i="27"/>
  <c r="AC194" i="145" s="1"/>
  <c r="AD194" i="145" s="1"/>
  <c r="FH154" i="27"/>
  <c r="EZ154" i="27"/>
  <c r="AC199" i="145" s="1"/>
  <c r="FB154" i="27"/>
  <c r="FC154" i="27"/>
  <c r="S130" i="145"/>
  <c r="S126" i="145"/>
  <c r="FF166" i="27"/>
  <c r="FD166" i="27"/>
  <c r="Y129" i="145"/>
  <c r="FA128" i="27"/>
  <c r="Y137" i="145"/>
  <c r="Y150" i="145"/>
  <c r="FD151" i="27"/>
  <c r="FF151" i="27"/>
  <c r="FB130" i="27"/>
  <c r="AF175" i="145" s="1"/>
  <c r="FH130" i="27"/>
  <c r="EZ130" i="27"/>
  <c r="AC175" i="145" s="1"/>
  <c r="AD175" i="145" s="1"/>
  <c r="FC130" i="27"/>
  <c r="S151" i="145"/>
  <c r="S136" i="145"/>
  <c r="Y114" i="145"/>
  <c r="AE193" i="145" l="1"/>
  <c r="FJ148" i="27"/>
  <c r="FK148" i="27" s="1"/>
  <c r="AE197" i="145"/>
  <c r="AE183" i="145"/>
  <c r="AE177" i="145"/>
  <c r="FJ129" i="27"/>
  <c r="FK129" i="27" s="1"/>
  <c r="AE174" i="145"/>
  <c r="AE191" i="145"/>
  <c r="FJ146" i="27"/>
  <c r="FK146" i="27" s="1"/>
  <c r="FF126" i="27"/>
  <c r="FD126" i="27"/>
  <c r="FE126" i="27"/>
  <c r="FA126" i="27"/>
  <c r="AE171" i="145" s="1"/>
  <c r="AF171" i="145"/>
  <c r="AC204" i="145"/>
  <c r="AD204" i="145" s="1"/>
  <c r="FA159" i="27"/>
  <c r="AE204" i="145" s="1"/>
  <c r="FF159" i="27"/>
  <c r="FD159" i="27"/>
  <c r="AF204" i="145"/>
  <c r="AF181" i="145"/>
  <c r="AD181" i="145"/>
  <c r="T181" i="145"/>
  <c r="AF170" i="145"/>
  <c r="Z170" i="145"/>
  <c r="T170" i="145"/>
  <c r="AD170" i="145"/>
  <c r="Q170" i="145"/>
  <c r="W200" i="145"/>
  <c r="AD200" i="145"/>
  <c r="Z182" i="145"/>
  <c r="Q182" i="145"/>
  <c r="Q181" i="145"/>
  <c r="W181" i="145"/>
  <c r="AE196" i="145"/>
  <c r="T180" i="145"/>
  <c r="AD179" i="145"/>
  <c r="Q180" i="145"/>
  <c r="AF179" i="145"/>
  <c r="W180" i="145"/>
  <c r="Q179" i="145"/>
  <c r="AF180" i="145"/>
  <c r="W179" i="145"/>
  <c r="Z179" i="145"/>
  <c r="AD180" i="145"/>
  <c r="AF199" i="145"/>
  <c r="W189" i="145"/>
  <c r="AD202" i="145"/>
  <c r="AE188" i="145"/>
  <c r="T182" i="145"/>
  <c r="AF202" i="145"/>
  <c r="AE173" i="145"/>
  <c r="AD182" i="145"/>
  <c r="Q202" i="145"/>
  <c r="W202" i="145"/>
  <c r="AF188" i="145"/>
  <c r="AF182" i="145"/>
  <c r="Z202" i="145"/>
  <c r="Q189" i="145"/>
  <c r="Z189" i="145"/>
  <c r="AD189" i="145"/>
  <c r="AF189" i="145"/>
  <c r="AF200" i="145"/>
  <c r="Z200" i="145"/>
  <c r="AD207" i="145"/>
  <c r="T200" i="145"/>
  <c r="Z207" i="145"/>
  <c r="W204" i="145"/>
  <c r="W207" i="145"/>
  <c r="Z204" i="145"/>
  <c r="Q207" i="145"/>
  <c r="Q204" i="145"/>
  <c r="AF207" i="145"/>
  <c r="T204" i="145"/>
  <c r="T199" i="145"/>
  <c r="AD185" i="145"/>
  <c r="W185" i="145"/>
  <c r="Z199" i="145"/>
  <c r="Q185" i="145"/>
  <c r="W199" i="145"/>
  <c r="AF185" i="145"/>
  <c r="Z185" i="145"/>
  <c r="AD199" i="145"/>
  <c r="AD210" i="145"/>
  <c r="AE210" i="145"/>
  <c r="AE176" i="145"/>
  <c r="AD198" i="145"/>
  <c r="AE187" i="145"/>
  <c r="AD176" i="145"/>
  <c r="AE198" i="145"/>
  <c r="AF173" i="145"/>
  <c r="AD187" i="145"/>
  <c r="Z173" i="145"/>
  <c r="W173" i="145"/>
  <c r="T173" i="145"/>
  <c r="Q173" i="145"/>
  <c r="W188" i="145"/>
  <c r="Z188" i="145"/>
  <c r="T188" i="145"/>
  <c r="Q188" i="145"/>
  <c r="T210" i="145"/>
  <c r="W210" i="145"/>
  <c r="Q210" i="145"/>
  <c r="Z210" i="145"/>
  <c r="W187" i="145"/>
  <c r="T187" i="145"/>
  <c r="Z187" i="145"/>
  <c r="Q187" i="145"/>
  <c r="W177" i="145"/>
  <c r="AD177" i="145"/>
  <c r="Q177" i="145"/>
  <c r="AF177" i="145"/>
  <c r="T177" i="145"/>
  <c r="Z177" i="145"/>
  <c r="AD183" i="145"/>
  <c r="W183" i="145"/>
  <c r="T183" i="145"/>
  <c r="Z183" i="145"/>
  <c r="Q183" i="145"/>
  <c r="AF183" i="145"/>
  <c r="Z197" i="145"/>
  <c r="AD197" i="145"/>
  <c r="T197" i="145"/>
  <c r="W197" i="145"/>
  <c r="Q197" i="145"/>
  <c r="AF197" i="145"/>
  <c r="Z198" i="145"/>
  <c r="T198" i="145"/>
  <c r="Q198" i="145"/>
  <c r="W198" i="145"/>
  <c r="Q176" i="145"/>
  <c r="W176" i="145"/>
  <c r="T176" i="145"/>
  <c r="Z176" i="145"/>
  <c r="AE206" i="145"/>
  <c r="AD196" i="145"/>
  <c r="V82" i="207"/>
  <c r="V83" i="207"/>
  <c r="T196" i="145"/>
  <c r="W196" i="145"/>
  <c r="Z196" i="145"/>
  <c r="Q196" i="145"/>
  <c r="V84" i="207"/>
  <c r="AE211" i="145"/>
  <c r="AD203" i="145"/>
  <c r="Q203" i="145"/>
  <c r="W203" i="145"/>
  <c r="T203" i="145"/>
  <c r="AF203" i="145"/>
  <c r="Z203" i="145"/>
  <c r="AD206" i="145"/>
  <c r="W206" i="145"/>
  <c r="Q206" i="145"/>
  <c r="Z206" i="145"/>
  <c r="T206" i="145"/>
  <c r="AE203" i="145"/>
  <c r="T212" i="145"/>
  <c r="AD212" i="145"/>
  <c r="AF212" i="145"/>
  <c r="W212" i="145"/>
  <c r="U40" i="207"/>
  <c r="Z212" i="145"/>
  <c r="Q211" i="145"/>
  <c r="W211" i="145"/>
  <c r="T211" i="145"/>
  <c r="Z211" i="145"/>
  <c r="AD211" i="145"/>
  <c r="FE140" i="27"/>
  <c r="FE130" i="27"/>
  <c r="FJ153" i="27"/>
  <c r="FK153" i="27" s="1"/>
  <c r="FE168" i="27"/>
  <c r="FE154" i="27"/>
  <c r="FE123" i="27"/>
  <c r="FE157" i="27"/>
  <c r="FE162" i="27"/>
  <c r="FE144" i="27"/>
  <c r="FE167" i="27"/>
  <c r="FE133" i="27"/>
  <c r="FE136" i="27"/>
  <c r="FE125" i="27"/>
  <c r="FE134" i="27"/>
  <c r="FJ131" i="27"/>
  <c r="FK131" i="27" s="1"/>
  <c r="FE137" i="27"/>
  <c r="FE149" i="27"/>
  <c r="FE145" i="27"/>
  <c r="FE135" i="27"/>
  <c r="FA145" i="27"/>
  <c r="AE190" i="145" s="1"/>
  <c r="FA124" i="27"/>
  <c r="AE169" i="145" s="1"/>
  <c r="FA134" i="27"/>
  <c r="AE179" i="145" s="1"/>
  <c r="FA136" i="27"/>
  <c r="AE181" i="145" s="1"/>
  <c r="FA162" i="27"/>
  <c r="AE207" i="145" s="1"/>
  <c r="FA144" i="27"/>
  <c r="AE189" i="145" s="1"/>
  <c r="FA140" i="27"/>
  <c r="AE185" i="145" s="1"/>
  <c r="FA154" i="27"/>
  <c r="AE199" i="145" s="1"/>
  <c r="FA123" i="27"/>
  <c r="AE168" i="145" s="1"/>
  <c r="FA157" i="27"/>
  <c r="AE202" i="145" s="1"/>
  <c r="FA155" i="27"/>
  <c r="AE200" i="145" s="1"/>
  <c r="FD134" i="27"/>
  <c r="FF134" i="27"/>
  <c r="FA149" i="27"/>
  <c r="AE194" i="145" s="1"/>
  <c r="FI155" i="27"/>
  <c r="FE155" i="27"/>
  <c r="FD157" i="27"/>
  <c r="FF157" i="27"/>
  <c r="FF130" i="27"/>
  <c r="FD130" i="27"/>
  <c r="FD149" i="27"/>
  <c r="FF149" i="27"/>
  <c r="FD155" i="27"/>
  <c r="FF155" i="27"/>
  <c r="FA133" i="27"/>
  <c r="AE178" i="145" s="1"/>
  <c r="FD136" i="27"/>
  <c r="FF136" i="27"/>
  <c r="FA130" i="27"/>
  <c r="AE175" i="145" s="1"/>
  <c r="FD145" i="27"/>
  <c r="FF145" i="27"/>
  <c r="FI124" i="27"/>
  <c r="FE124" i="27"/>
  <c r="FD162" i="27"/>
  <c r="FF162" i="27"/>
  <c r="FA168" i="27"/>
  <c r="AE213" i="145" s="1"/>
  <c r="FA167" i="27"/>
  <c r="AE212" i="145" s="1"/>
  <c r="FF135" i="27"/>
  <c r="FD135" i="27"/>
  <c r="FF124" i="27"/>
  <c r="FD124" i="27"/>
  <c r="FA137" i="27"/>
  <c r="AE182" i="145" s="1"/>
  <c r="FD168" i="27"/>
  <c r="FF168" i="27"/>
  <c r="FD144" i="27"/>
  <c r="FF144" i="27"/>
  <c r="FF167" i="27"/>
  <c r="FD167" i="27"/>
  <c r="FF133" i="27"/>
  <c r="FD133" i="27"/>
  <c r="FD154" i="27"/>
  <c r="FF154" i="27"/>
  <c r="FF140" i="27"/>
  <c r="FD140" i="27"/>
  <c r="FA135" i="27"/>
  <c r="AE180" i="145" s="1"/>
  <c r="FD137" i="27"/>
  <c r="FF137" i="27"/>
  <c r="FF123" i="27"/>
  <c r="FD123" i="27"/>
  <c r="FA125" i="27"/>
  <c r="AE170" i="145" s="1"/>
  <c r="FD125" i="27"/>
  <c r="FF125" i="27"/>
  <c r="FJ155" i="27" l="1"/>
  <c r="FK155" i="27" s="1"/>
  <c r="FJ124" i="27"/>
  <c r="FK124" i="27" s="1"/>
  <c r="Q126" i="85"/>
  <c r="T126" i="85"/>
  <c r="P126" i="85"/>
  <c r="R126" i="85"/>
  <c r="I126" i="85"/>
  <c r="N126" i="85"/>
  <c r="S126" i="85"/>
  <c r="AL126" i="85"/>
  <c r="K126" i="85"/>
  <c r="J126" i="85"/>
  <c r="H126" i="85"/>
  <c r="C129" i="108" s="1"/>
  <c r="M126" i="85"/>
  <c r="L126" i="85"/>
  <c r="G129" i="108" s="1"/>
  <c r="O126" i="85"/>
  <c r="AY126" i="85" l="1"/>
  <c r="AZ126" i="85"/>
  <c r="BA126" i="85"/>
  <c r="BB126" i="85"/>
  <c r="BC126" i="85"/>
  <c r="BD126" i="85"/>
  <c r="BE126" i="85"/>
  <c r="BF126" i="85"/>
  <c r="BG126" i="85"/>
  <c r="BH126" i="85"/>
  <c r="BI126" i="85"/>
  <c r="BJ126" i="85"/>
  <c r="BK126" i="85"/>
  <c r="AW126" i="85"/>
  <c r="AX126" i="85"/>
  <c r="AO126" i="85"/>
  <c r="AV126" i="85"/>
  <c r="AR126" i="85"/>
  <c r="AQ126" i="85"/>
  <c r="AT126" i="85"/>
  <c r="AP126" i="85"/>
  <c r="AU126" i="85"/>
  <c r="AS126" i="85"/>
  <c r="M129" i="108"/>
  <c r="F129" i="108"/>
  <c r="AN126" i="85"/>
  <c r="N129" i="108" s="1"/>
  <c r="I129" i="108"/>
  <c r="X129" i="108" s="1"/>
  <c r="D129" i="108"/>
  <c r="D81" i="27"/>
  <c r="AM126" i="85"/>
  <c r="H129" i="108"/>
  <c r="F81" i="27"/>
  <c r="E129" i="108"/>
  <c r="G81" i="27"/>
  <c r="FN81" i="27" s="1"/>
  <c r="S129" i="85" l="1"/>
  <c r="R129" i="85"/>
  <c r="T129" i="85"/>
  <c r="Q129" i="85"/>
  <c r="P129" i="85"/>
  <c r="N129" i="85"/>
  <c r="I129" i="85"/>
  <c r="J129" i="85"/>
  <c r="L129" i="85"/>
  <c r="G132" i="108" s="1"/>
  <c r="AL129" i="85"/>
  <c r="H129" i="85"/>
  <c r="C132" i="108" s="1"/>
  <c r="K129" i="85"/>
  <c r="M129" i="85"/>
  <c r="FH81" i="27"/>
  <c r="FB81" i="27"/>
  <c r="FC81" i="27"/>
  <c r="EZ81" i="27"/>
  <c r="O129" i="108"/>
  <c r="O129" i="85"/>
  <c r="R129" i="108"/>
  <c r="U129" i="108"/>
  <c r="AQ129" i="85" l="1"/>
  <c r="AO129" i="85"/>
  <c r="M132" i="108"/>
  <c r="AW129" i="85"/>
  <c r="BG129" i="85"/>
  <c r="BH129" i="85"/>
  <c r="BI129" i="85"/>
  <c r="BJ129" i="85"/>
  <c r="BK129" i="85"/>
  <c r="AX129" i="85"/>
  <c r="BB129" i="85"/>
  <c r="BA129" i="85"/>
  <c r="BF129" i="85"/>
  <c r="BE129" i="85"/>
  <c r="BD129" i="85"/>
  <c r="AZ129" i="85"/>
  <c r="AY129" i="85"/>
  <c r="BC129" i="85"/>
  <c r="AP129" i="85"/>
  <c r="AU129" i="85"/>
  <c r="AT129" i="85"/>
  <c r="AV129" i="85"/>
  <c r="AR129" i="85"/>
  <c r="AS129" i="85"/>
  <c r="FD81" i="27"/>
  <c r="FF81" i="27"/>
  <c r="E132" i="108"/>
  <c r="G84" i="27"/>
  <c r="FN84" i="27" s="1"/>
  <c r="FE81" i="27"/>
  <c r="FI81" i="27"/>
  <c r="D84" i="27"/>
  <c r="D132" i="108"/>
  <c r="AM129" i="85"/>
  <c r="T122" i="85"/>
  <c r="P122" i="85"/>
  <c r="S122" i="85"/>
  <c r="Q122" i="85"/>
  <c r="R122" i="85"/>
  <c r="I122" i="85"/>
  <c r="N122" i="85"/>
  <c r="J122" i="85"/>
  <c r="L122" i="85"/>
  <c r="G125" i="108" s="1"/>
  <c r="AL122" i="85"/>
  <c r="K122" i="85"/>
  <c r="H122" i="85"/>
  <c r="C125" i="108" s="1"/>
  <c r="M122" i="85"/>
  <c r="H132" i="108"/>
  <c r="F84" i="27"/>
  <c r="O122" i="85"/>
  <c r="I132" i="108"/>
  <c r="F132" i="108"/>
  <c r="AN129" i="85"/>
  <c r="N132" i="108" s="1"/>
  <c r="AC126" i="145"/>
  <c r="FA81" i="27"/>
  <c r="O124" i="85"/>
  <c r="U132" i="108"/>
  <c r="M125" i="108" l="1"/>
  <c r="BE122" i="85"/>
  <c r="BD122" i="85"/>
  <c r="BB122" i="85"/>
  <c r="BA122" i="85"/>
  <c r="AZ122" i="85"/>
  <c r="AY122" i="85"/>
  <c r="AX122" i="85"/>
  <c r="BC122" i="85"/>
  <c r="AW122" i="85"/>
  <c r="BK122" i="85"/>
  <c r="BJ122" i="85"/>
  <c r="BI122" i="85"/>
  <c r="BH122" i="85"/>
  <c r="BG122" i="85"/>
  <c r="BF122" i="85"/>
  <c r="AV122" i="85"/>
  <c r="AU122" i="85"/>
  <c r="AR122" i="85"/>
  <c r="AP122" i="85"/>
  <c r="AO122" i="85"/>
  <c r="AQ122" i="85"/>
  <c r="AT122" i="85"/>
  <c r="AS122" i="85"/>
  <c r="FJ81" i="27"/>
  <c r="FK81" i="27" s="1"/>
  <c r="I127" i="108"/>
  <c r="D77" i="27"/>
  <c r="AM122" i="85"/>
  <c r="D125" i="108"/>
  <c r="H125" i="108"/>
  <c r="F77" i="27"/>
  <c r="I125" i="108"/>
  <c r="O132" i="108"/>
  <c r="S124" i="85"/>
  <c r="P124" i="85"/>
  <c r="R124" i="85"/>
  <c r="T124" i="85"/>
  <c r="Q124" i="85"/>
  <c r="I124" i="85"/>
  <c r="N124" i="85"/>
  <c r="H124" i="85"/>
  <c r="C127" i="108" s="1"/>
  <c r="L124" i="85"/>
  <c r="G127" i="108" s="1"/>
  <c r="AL124" i="85"/>
  <c r="K124" i="85"/>
  <c r="J124" i="85"/>
  <c r="M124" i="85"/>
  <c r="F125" i="108"/>
  <c r="AN122" i="85"/>
  <c r="N125" i="108" s="1"/>
  <c r="FH84" i="27"/>
  <c r="EZ84" i="27"/>
  <c r="FC84" i="27"/>
  <c r="FB84" i="27"/>
  <c r="E125" i="108"/>
  <c r="G77" i="27"/>
  <c r="FN77" i="27" s="1"/>
  <c r="X132" i="108"/>
  <c r="R127" i="108"/>
  <c r="R132" i="108"/>
  <c r="R125" i="108"/>
  <c r="AQ124" i="85" l="1"/>
  <c r="BJ124" i="85"/>
  <c r="AX124" i="85"/>
  <c r="BD124" i="85"/>
  <c r="AW124" i="85"/>
  <c r="BA124" i="85"/>
  <c r="BK124" i="85"/>
  <c r="AZ124" i="85"/>
  <c r="BI124" i="85"/>
  <c r="BH124" i="85"/>
  <c r="BC124" i="85"/>
  <c r="BG124" i="85"/>
  <c r="BF124" i="85"/>
  <c r="BE124" i="85"/>
  <c r="BB124" i="85"/>
  <c r="AY124" i="85"/>
  <c r="AT124" i="85"/>
  <c r="AP124" i="85"/>
  <c r="N124" i="145" s="1"/>
  <c r="AU124" i="85"/>
  <c r="AS124" i="85"/>
  <c r="AO124" i="85"/>
  <c r="AV124" i="85"/>
  <c r="AR124" i="85"/>
  <c r="N122" i="145"/>
  <c r="FE84" i="27"/>
  <c r="M127" i="108"/>
  <c r="FD84" i="27"/>
  <c r="FF84" i="27"/>
  <c r="O125" i="108"/>
  <c r="M122" i="145"/>
  <c r="FH77" i="27"/>
  <c r="FC77" i="27"/>
  <c r="EZ77" i="27"/>
  <c r="FB77" i="27"/>
  <c r="F127" i="108"/>
  <c r="AN124" i="85"/>
  <c r="N127" i="108" s="1"/>
  <c r="FA84" i="27"/>
  <c r="AC129" i="145"/>
  <c r="H127" i="108"/>
  <c r="F79" i="27"/>
  <c r="E127" i="108"/>
  <c r="G79" i="27"/>
  <c r="FN79" i="27" s="1"/>
  <c r="AM124" i="85"/>
  <c r="D79" i="27"/>
  <c r="D127" i="108"/>
  <c r="O123" i="85"/>
  <c r="U127" i="108"/>
  <c r="U125" i="108"/>
  <c r="X125" i="108"/>
  <c r="X127" i="108"/>
  <c r="AF122" i="145" l="1"/>
  <c r="FE77" i="27"/>
  <c r="I126" i="108"/>
  <c r="AC122" i="145"/>
  <c r="AD122" i="145" s="1"/>
  <c r="FA77" i="27"/>
  <c r="AE122" i="145" s="1"/>
  <c r="FF77" i="27"/>
  <c r="FD77" i="27"/>
  <c r="FH79" i="27"/>
  <c r="FC79" i="27"/>
  <c r="EZ79" i="27"/>
  <c r="FB79" i="27"/>
  <c r="W122" i="145"/>
  <c r="Q122" i="145"/>
  <c r="T122" i="145"/>
  <c r="Z122" i="145"/>
  <c r="O127" i="108"/>
  <c r="M124" i="145"/>
  <c r="Q123" i="85"/>
  <c r="S123" i="85"/>
  <c r="T123" i="85"/>
  <c r="R123" i="85"/>
  <c r="P123" i="85"/>
  <c r="I123" i="85"/>
  <c r="N123" i="85"/>
  <c r="L123" i="85"/>
  <c r="G126" i="108" s="1"/>
  <c r="J123" i="85"/>
  <c r="H123" i="85"/>
  <c r="C126" i="108" s="1"/>
  <c r="AL123" i="85"/>
  <c r="M123" i="85"/>
  <c r="K123" i="85"/>
  <c r="U126" i="108"/>
  <c r="AQ123" i="85" l="1"/>
  <c r="AX123" i="85"/>
  <c r="AW123" i="85"/>
  <c r="AY123" i="85"/>
  <c r="AZ123" i="85"/>
  <c r="BA123" i="85"/>
  <c r="BB123" i="85"/>
  <c r="BC123" i="85"/>
  <c r="BD123" i="85"/>
  <c r="BE123" i="85"/>
  <c r="BF123" i="85"/>
  <c r="BG123" i="85"/>
  <c r="BH123" i="85"/>
  <c r="BI123" i="85"/>
  <c r="BJ123" i="85"/>
  <c r="BK123" i="85"/>
  <c r="AP123" i="85"/>
  <c r="AO123" i="85"/>
  <c r="AR123" i="85"/>
  <c r="AT123" i="85"/>
  <c r="AS123" i="85"/>
  <c r="AU123" i="85"/>
  <c r="AV123" i="85"/>
  <c r="AF124" i="145"/>
  <c r="FE79" i="27"/>
  <c r="M126" i="108"/>
  <c r="FF79" i="27"/>
  <c r="FD79" i="27"/>
  <c r="F126" i="108"/>
  <c r="AN123" i="85"/>
  <c r="N126" i="108" s="1"/>
  <c r="Q124" i="145"/>
  <c r="T124" i="145"/>
  <c r="Z124" i="145"/>
  <c r="W124" i="145"/>
  <c r="H126" i="108"/>
  <c r="F78" i="27"/>
  <c r="AM123" i="85"/>
  <c r="D126" i="108"/>
  <c r="D78" i="27"/>
  <c r="E126" i="108"/>
  <c r="G78" i="27"/>
  <c r="FN78" i="27" s="1"/>
  <c r="AC124" i="145"/>
  <c r="AD124" i="145" s="1"/>
  <c r="FA79" i="27"/>
  <c r="AE124" i="145" s="1"/>
  <c r="R126" i="108"/>
  <c r="X126" i="108"/>
  <c r="P128" i="85" l="1"/>
  <c r="Q128" i="85"/>
  <c r="R128" i="85"/>
  <c r="S128" i="85"/>
  <c r="T128" i="85"/>
  <c r="I128" i="85"/>
  <c r="N128" i="85"/>
  <c r="AL128" i="85"/>
  <c r="H128" i="85"/>
  <c r="C131" i="108" s="1"/>
  <c r="J128" i="85"/>
  <c r="L128" i="85"/>
  <c r="G131" i="108" s="1"/>
  <c r="K128" i="85"/>
  <c r="M128" i="85"/>
  <c r="O128" i="85"/>
  <c r="O126" i="108"/>
  <c r="FC78" i="27"/>
  <c r="FB78" i="27"/>
  <c r="FH78" i="27"/>
  <c r="EZ78" i="27"/>
  <c r="O133" i="85"/>
  <c r="AO128" i="85" l="1"/>
  <c r="AQ128" i="85"/>
  <c r="M131" i="108"/>
  <c r="BJ128" i="85"/>
  <c r="BK128" i="85"/>
  <c r="AY128" i="85"/>
  <c r="AX128" i="85"/>
  <c r="AW128" i="85"/>
  <c r="BF128" i="85"/>
  <c r="BC128" i="85"/>
  <c r="BD128" i="85"/>
  <c r="BE128" i="85"/>
  <c r="BB128" i="85"/>
  <c r="AZ128" i="85"/>
  <c r="BA128" i="85"/>
  <c r="BG128" i="85"/>
  <c r="BH128" i="85"/>
  <c r="BI128" i="85"/>
  <c r="AT128" i="85"/>
  <c r="AU128" i="85"/>
  <c r="AR128" i="85"/>
  <c r="AS128" i="85"/>
  <c r="AV128" i="85"/>
  <c r="AP128" i="85"/>
  <c r="FE78" i="27"/>
  <c r="I136" i="108"/>
  <c r="D131" i="108"/>
  <c r="D83" i="27"/>
  <c r="AM128" i="85"/>
  <c r="I131" i="108"/>
  <c r="H131" i="108"/>
  <c r="F83" i="27"/>
  <c r="FA78" i="27"/>
  <c r="AC123" i="145"/>
  <c r="F131" i="108"/>
  <c r="AN128" i="85"/>
  <c r="N131" i="108" s="1"/>
  <c r="E131" i="108"/>
  <c r="G83" i="27"/>
  <c r="FN83" i="27" s="1"/>
  <c r="R133" i="85"/>
  <c r="S133" i="85"/>
  <c r="P133" i="85"/>
  <c r="Q133" i="85"/>
  <c r="T133" i="85"/>
  <c r="I133" i="85"/>
  <c r="N133" i="85"/>
  <c r="K133" i="85"/>
  <c r="L133" i="85"/>
  <c r="G136" i="108" s="1"/>
  <c r="AL133" i="85"/>
  <c r="J133" i="85"/>
  <c r="H133" i="85"/>
  <c r="C136" i="108" s="1"/>
  <c r="M133" i="85"/>
  <c r="FF78" i="27"/>
  <c r="FD78" i="27"/>
  <c r="R131" i="108"/>
  <c r="R136" i="108"/>
  <c r="BC133" i="85" l="1"/>
  <c r="AW133" i="85"/>
  <c r="AX133" i="85"/>
  <c r="AY133" i="85"/>
  <c r="AZ133" i="85"/>
  <c r="BA133" i="85"/>
  <c r="BB133" i="85"/>
  <c r="BD133" i="85"/>
  <c r="BE133" i="85"/>
  <c r="BF133" i="85"/>
  <c r="BG133" i="85"/>
  <c r="BH133" i="85"/>
  <c r="BI133" i="85"/>
  <c r="BJ133" i="85"/>
  <c r="BK133" i="85"/>
  <c r="AO133" i="85"/>
  <c r="AR133" i="85"/>
  <c r="AU133" i="85"/>
  <c r="AT133" i="85"/>
  <c r="AS133" i="85"/>
  <c r="AV133" i="85"/>
  <c r="AP133" i="85"/>
  <c r="M136" i="108"/>
  <c r="AQ133" i="85"/>
  <c r="M126" i="145"/>
  <c r="AD126" i="145" s="1"/>
  <c r="N126" i="145"/>
  <c r="EZ83" i="27"/>
  <c r="FC83" i="27"/>
  <c r="FH83" i="27"/>
  <c r="FB83" i="27"/>
  <c r="Q125" i="85"/>
  <c r="S125" i="85"/>
  <c r="R125" i="85"/>
  <c r="T125" i="85"/>
  <c r="P125" i="85"/>
  <c r="I125" i="85"/>
  <c r="N125" i="85"/>
  <c r="J125" i="85"/>
  <c r="L125" i="85"/>
  <c r="G128" i="108" s="1"/>
  <c r="K125" i="85"/>
  <c r="AL125" i="85"/>
  <c r="H125" i="85"/>
  <c r="C128" i="108" s="1"/>
  <c r="M125" i="85"/>
  <c r="D136" i="108"/>
  <c r="D88" i="27"/>
  <c r="AM133" i="85"/>
  <c r="O131" i="108"/>
  <c r="H136" i="108"/>
  <c r="F88" i="27"/>
  <c r="E136" i="108"/>
  <c r="G88" i="27"/>
  <c r="FN88" i="27" s="1"/>
  <c r="O125" i="85"/>
  <c r="F136" i="108"/>
  <c r="AN133" i="85"/>
  <c r="N136" i="108" s="1"/>
  <c r="O118" i="85"/>
  <c r="U136" i="108"/>
  <c r="X136" i="108"/>
  <c r="X131" i="108"/>
  <c r="U131" i="108"/>
  <c r="BG125" i="85" l="1"/>
  <c r="AY125" i="85"/>
  <c r="BK125" i="85"/>
  <c r="BF125" i="85"/>
  <c r="BA125" i="85"/>
  <c r="AW125" i="85"/>
  <c r="AX125" i="85"/>
  <c r="BJ125" i="85"/>
  <c r="BI125" i="85"/>
  <c r="BH125" i="85"/>
  <c r="AZ125" i="85"/>
  <c r="BE125" i="85"/>
  <c r="BD125" i="85"/>
  <c r="BC125" i="85"/>
  <c r="BB125" i="85"/>
  <c r="AT125" i="85"/>
  <c r="AS125" i="85"/>
  <c r="AU125" i="85"/>
  <c r="AR125" i="85"/>
  <c r="AV125" i="85"/>
  <c r="AP125" i="85"/>
  <c r="AO125" i="85"/>
  <c r="AQ125" i="85"/>
  <c r="I121" i="108"/>
  <c r="Q126" i="145"/>
  <c r="AE126" i="145"/>
  <c r="T126" i="145"/>
  <c r="Z126" i="145"/>
  <c r="W126" i="145"/>
  <c r="AF126" i="145"/>
  <c r="FE83" i="27"/>
  <c r="M128" i="108"/>
  <c r="I128" i="108"/>
  <c r="FH88" i="27"/>
  <c r="FB88" i="27"/>
  <c r="FC88" i="27"/>
  <c r="EZ88" i="27"/>
  <c r="F128" i="108"/>
  <c r="AN125" i="85"/>
  <c r="N128" i="108" s="1"/>
  <c r="E128" i="108"/>
  <c r="G80" i="27"/>
  <c r="FN80" i="27" s="1"/>
  <c r="D80" i="27"/>
  <c r="AM125" i="85"/>
  <c r="D128" i="108"/>
  <c r="FD83" i="27"/>
  <c r="FF83" i="27"/>
  <c r="R118" i="85"/>
  <c r="S118" i="85"/>
  <c r="T118" i="85"/>
  <c r="P118" i="85"/>
  <c r="Q118" i="85"/>
  <c r="I118" i="85"/>
  <c r="N118" i="85"/>
  <c r="L118" i="85"/>
  <c r="G121" i="108" s="1"/>
  <c r="AL118" i="85"/>
  <c r="H118" i="85"/>
  <c r="C121" i="108" s="1"/>
  <c r="M118" i="85"/>
  <c r="J118" i="85"/>
  <c r="K118" i="85"/>
  <c r="O136" i="108"/>
  <c r="H128" i="108"/>
  <c r="M123" i="145"/>
  <c r="F80" i="27"/>
  <c r="FA83" i="27"/>
  <c r="AC128" i="145"/>
  <c r="O120" i="85"/>
  <c r="AO118" i="85" l="1"/>
  <c r="AP118" i="85"/>
  <c r="AT118" i="85"/>
  <c r="AS118" i="85"/>
  <c r="AR118" i="85"/>
  <c r="AW118" i="85"/>
  <c r="BA118" i="85"/>
  <c r="BK118" i="85"/>
  <c r="BD118" i="85"/>
  <c r="BB118" i="85"/>
  <c r="BJ118" i="85"/>
  <c r="BH118" i="85"/>
  <c r="BI118" i="85"/>
  <c r="AX118" i="85"/>
  <c r="AZ118" i="85"/>
  <c r="BG118" i="85"/>
  <c r="BE118" i="85"/>
  <c r="BF118" i="85"/>
  <c r="BC118" i="85"/>
  <c r="AY118" i="85"/>
  <c r="AV118" i="85"/>
  <c r="AU118" i="85"/>
  <c r="M121" i="108"/>
  <c r="AQ118" i="85"/>
  <c r="N123" i="145"/>
  <c r="AF123" i="145"/>
  <c r="Q123" i="145"/>
  <c r="Z123" i="145"/>
  <c r="T123" i="145"/>
  <c r="W123" i="145"/>
  <c r="AD123" i="145"/>
  <c r="AE123" i="145"/>
  <c r="FE88" i="27"/>
  <c r="I123" i="108"/>
  <c r="FC80" i="27"/>
  <c r="FB80" i="27"/>
  <c r="FH80" i="27"/>
  <c r="EZ80" i="27"/>
  <c r="O128" i="108"/>
  <c r="AC133" i="145"/>
  <c r="FA88" i="27"/>
  <c r="Q120" i="85"/>
  <c r="P120" i="85"/>
  <c r="S120" i="85"/>
  <c r="R120" i="85"/>
  <c r="I120" i="85"/>
  <c r="T120" i="85"/>
  <c r="J120" i="85"/>
  <c r="N120" i="85"/>
  <c r="AL120" i="85"/>
  <c r="M120" i="85"/>
  <c r="H120" i="85"/>
  <c r="C123" i="108" s="1"/>
  <c r="K120" i="85"/>
  <c r="L120" i="85"/>
  <c r="G123" i="108" s="1"/>
  <c r="AM118" i="85"/>
  <c r="D73" i="27"/>
  <c r="D121" i="108"/>
  <c r="FF88" i="27"/>
  <c r="FD88" i="27"/>
  <c r="F121" i="108"/>
  <c r="AN118" i="85"/>
  <c r="N121" i="108" s="1"/>
  <c r="E121" i="108"/>
  <c r="G73" i="27"/>
  <c r="FN73" i="27" s="1"/>
  <c r="H121" i="108"/>
  <c r="F73" i="27"/>
  <c r="R128" i="108"/>
  <c r="R121" i="108"/>
  <c r="U128" i="108"/>
  <c r="U121" i="108"/>
  <c r="X128" i="108"/>
  <c r="X121" i="108"/>
  <c r="R123" i="108"/>
  <c r="AQ120" i="85" l="1"/>
  <c r="BC120" i="85"/>
  <c r="BJ120" i="85"/>
  <c r="BK120" i="85"/>
  <c r="BG120" i="85"/>
  <c r="BF120" i="85"/>
  <c r="BE120" i="85"/>
  <c r="BD120" i="85"/>
  <c r="BB120" i="85"/>
  <c r="BA120" i="85"/>
  <c r="AZ120" i="85"/>
  <c r="AX120" i="85"/>
  <c r="AW120" i="85"/>
  <c r="BH120" i="85"/>
  <c r="BI120" i="85"/>
  <c r="AY120" i="85"/>
  <c r="AS120" i="85"/>
  <c r="AP120" i="85"/>
  <c r="N120" i="145" s="1"/>
  <c r="AV120" i="85"/>
  <c r="AU120" i="85"/>
  <c r="AR120" i="85"/>
  <c r="AO120" i="85"/>
  <c r="AT120" i="85"/>
  <c r="N118" i="145"/>
  <c r="FE80" i="27"/>
  <c r="M123" i="108"/>
  <c r="E123" i="108"/>
  <c r="G75" i="27"/>
  <c r="FN75" i="27" s="1"/>
  <c r="S121" i="85"/>
  <c r="P121" i="85"/>
  <c r="T121" i="85"/>
  <c r="Q121" i="85"/>
  <c r="R121" i="85"/>
  <c r="I121" i="85"/>
  <c r="N121" i="85"/>
  <c r="J121" i="85"/>
  <c r="L121" i="85"/>
  <c r="G124" i="108" s="1"/>
  <c r="H121" i="85"/>
  <c r="C124" i="108" s="1"/>
  <c r="K121" i="85"/>
  <c r="M121" i="85"/>
  <c r="AL121" i="85"/>
  <c r="AC125" i="145"/>
  <c r="FA80" i="27"/>
  <c r="D123" i="108"/>
  <c r="AM120" i="85"/>
  <c r="D75" i="27"/>
  <c r="O121" i="85"/>
  <c r="F123" i="108"/>
  <c r="AN120" i="85"/>
  <c r="N123" i="108" s="1"/>
  <c r="FC73" i="27"/>
  <c r="FH73" i="27"/>
  <c r="FB73" i="27"/>
  <c r="EZ73" i="27"/>
  <c r="FF80" i="27"/>
  <c r="FD80" i="27"/>
  <c r="O121" i="108"/>
  <c r="M118" i="145"/>
  <c r="H123" i="108"/>
  <c r="F75" i="27"/>
  <c r="U123" i="108"/>
  <c r="X123" i="108"/>
  <c r="M124" i="108" l="1"/>
  <c r="AX121" i="85"/>
  <c r="AY121" i="85"/>
  <c r="BH121" i="85"/>
  <c r="BI121" i="85"/>
  <c r="BE121" i="85"/>
  <c r="BK121" i="85"/>
  <c r="BG121" i="85"/>
  <c r="BF121" i="85"/>
  <c r="BD121" i="85"/>
  <c r="BC121" i="85"/>
  <c r="AZ121" i="85"/>
  <c r="BB121" i="85"/>
  <c r="BJ121" i="85"/>
  <c r="AW121" i="85"/>
  <c r="BA121" i="85"/>
  <c r="AV121" i="85"/>
  <c r="AS121" i="85"/>
  <c r="AT121" i="85"/>
  <c r="AR121" i="85"/>
  <c r="AO121" i="85"/>
  <c r="AQ121" i="85"/>
  <c r="AU121" i="85"/>
  <c r="AP121" i="85"/>
  <c r="N121" i="145" s="1"/>
  <c r="AF118" i="145"/>
  <c r="FE73" i="27"/>
  <c r="FF73" i="27"/>
  <c r="FD73" i="27"/>
  <c r="E124" i="108"/>
  <c r="G76" i="27"/>
  <c r="FN76" i="27" s="1"/>
  <c r="R130" i="85"/>
  <c r="P130" i="85"/>
  <c r="Q130" i="85"/>
  <c r="S130" i="85"/>
  <c r="T130" i="85"/>
  <c r="I130" i="85"/>
  <c r="N130" i="85"/>
  <c r="J130" i="85"/>
  <c r="M130" i="85"/>
  <c r="K130" i="85"/>
  <c r="AL130" i="85"/>
  <c r="L130" i="85"/>
  <c r="G133" i="108" s="1"/>
  <c r="H130" i="85"/>
  <c r="C133" i="108" s="1"/>
  <c r="D124" i="108"/>
  <c r="AM121" i="85"/>
  <c r="D76" i="27"/>
  <c r="I124" i="108"/>
  <c r="O123" i="108"/>
  <c r="M120" i="145"/>
  <c r="W118" i="145"/>
  <c r="T118" i="145"/>
  <c r="Z118" i="145"/>
  <c r="Q118" i="145"/>
  <c r="H124" i="108"/>
  <c r="F76" i="27"/>
  <c r="O130" i="85"/>
  <c r="EZ75" i="27"/>
  <c r="FH75" i="27"/>
  <c r="FC75" i="27"/>
  <c r="FB75" i="27"/>
  <c r="FA73" i="27"/>
  <c r="AE118" i="145" s="1"/>
  <c r="AC118" i="145"/>
  <c r="AD118" i="145" s="1"/>
  <c r="AN121" i="85"/>
  <c r="N124" i="108" s="1"/>
  <c r="F124" i="108"/>
  <c r="U124" i="108"/>
  <c r="AQ130" i="85" l="1"/>
  <c r="M133" i="108"/>
  <c r="BK130" i="85"/>
  <c r="BJ130" i="85"/>
  <c r="BI130" i="85"/>
  <c r="BH130" i="85"/>
  <c r="BG130" i="85"/>
  <c r="BF130" i="85"/>
  <c r="BE130" i="85"/>
  <c r="AW130" i="85"/>
  <c r="BA130" i="85"/>
  <c r="BB130" i="85"/>
  <c r="AZ130" i="85"/>
  <c r="AY130" i="85"/>
  <c r="AX130" i="85"/>
  <c r="BC130" i="85"/>
  <c r="BD130" i="85"/>
  <c r="AT130" i="85"/>
  <c r="AU130" i="85"/>
  <c r="AV130" i="85"/>
  <c r="AP130" i="85"/>
  <c r="AR130" i="85"/>
  <c r="AO130" i="85"/>
  <c r="AS130" i="85"/>
  <c r="AF120" i="145"/>
  <c r="FE75" i="27"/>
  <c r="FD75" i="27"/>
  <c r="FF75" i="27"/>
  <c r="F133" i="108"/>
  <c r="AN130" i="85"/>
  <c r="T127" i="85"/>
  <c r="Q127" i="85"/>
  <c r="P127" i="85"/>
  <c r="R127" i="85"/>
  <c r="S127" i="85"/>
  <c r="I127" i="85"/>
  <c r="N127" i="85"/>
  <c r="L127" i="85"/>
  <c r="G130" i="108" s="1"/>
  <c r="AL127" i="85"/>
  <c r="K127" i="85"/>
  <c r="M127" i="85"/>
  <c r="J127" i="85"/>
  <c r="H127" i="85"/>
  <c r="C130" i="108" s="1"/>
  <c r="H133" i="108"/>
  <c r="F85" i="27"/>
  <c r="O127" i="85"/>
  <c r="E133" i="108"/>
  <c r="G85" i="27"/>
  <c r="FN85" i="27" s="1"/>
  <c r="FA75" i="27"/>
  <c r="AE120" i="145" s="1"/>
  <c r="AC120" i="145"/>
  <c r="AD120" i="145" s="1"/>
  <c r="I133" i="108"/>
  <c r="Z120" i="145"/>
  <c r="T120" i="145"/>
  <c r="Q120" i="145"/>
  <c r="W120" i="145"/>
  <c r="D133" i="108"/>
  <c r="AM130" i="85"/>
  <c r="D85" i="27"/>
  <c r="FH76" i="27"/>
  <c r="FC76" i="27"/>
  <c r="EZ76" i="27"/>
  <c r="FB76" i="27"/>
  <c r="O124" i="108"/>
  <c r="M121" i="145"/>
  <c r="T36" i="190"/>
  <c r="R124" i="108"/>
  <c r="X124" i="108"/>
  <c r="R133" i="108"/>
  <c r="AQ127" i="85" l="1"/>
  <c r="AO127" i="85"/>
  <c r="M130" i="108"/>
  <c r="BJ127" i="85"/>
  <c r="BD127" i="85"/>
  <c r="BF127" i="85"/>
  <c r="AW127" i="85"/>
  <c r="BA127" i="85"/>
  <c r="AY127" i="85"/>
  <c r="BH127" i="85"/>
  <c r="AZ127" i="85"/>
  <c r="BI127" i="85"/>
  <c r="AX127" i="85"/>
  <c r="BG127" i="85"/>
  <c r="BB127" i="85"/>
  <c r="BC127" i="85"/>
  <c r="BK127" i="85"/>
  <c r="BE127" i="85"/>
  <c r="AR127" i="85"/>
  <c r="AS127" i="85"/>
  <c r="AU127" i="85"/>
  <c r="AT127" i="85"/>
  <c r="AP127" i="85"/>
  <c r="AV127" i="85"/>
  <c r="M128" i="145"/>
  <c r="AF128" i="145" s="1"/>
  <c r="N128" i="145"/>
  <c r="AF121" i="145"/>
  <c r="FE76" i="27"/>
  <c r="N133" i="108"/>
  <c r="AN127" i="85"/>
  <c r="N130" i="108" s="1"/>
  <c r="F130" i="108"/>
  <c r="P131" i="85"/>
  <c r="I131" i="85"/>
  <c r="Q131" i="85"/>
  <c r="S131" i="85"/>
  <c r="T131" i="85"/>
  <c r="R131" i="85"/>
  <c r="N131" i="85"/>
  <c r="J131" i="85"/>
  <c r="K131" i="85"/>
  <c r="H131" i="85"/>
  <c r="C134" i="108" s="1"/>
  <c r="L131" i="85"/>
  <c r="G134" i="108" s="1"/>
  <c r="M131" i="85"/>
  <c r="AL131" i="85"/>
  <c r="FB85" i="27"/>
  <c r="FC85" i="27"/>
  <c r="FH85" i="27"/>
  <c r="EZ85" i="27"/>
  <c r="FD76" i="27"/>
  <c r="FF76" i="27"/>
  <c r="W121" i="145"/>
  <c r="T121" i="145"/>
  <c r="Z121" i="145"/>
  <c r="Q121" i="145"/>
  <c r="O133" i="108"/>
  <c r="I130" i="108"/>
  <c r="G82" i="27"/>
  <c r="FN82" i="27" s="1"/>
  <c r="E130" i="108"/>
  <c r="O131" i="85"/>
  <c r="D130" i="108"/>
  <c r="AM127" i="85"/>
  <c r="D82" i="27"/>
  <c r="FA76" i="27"/>
  <c r="AE121" i="145" s="1"/>
  <c r="AC121" i="145"/>
  <c r="AD121" i="145" s="1"/>
  <c r="H130" i="108"/>
  <c r="F82" i="27"/>
  <c r="M125" i="145"/>
  <c r="U133" i="108"/>
  <c r="X133" i="108"/>
  <c r="U130" i="108"/>
  <c r="AQ131" i="85" l="1"/>
  <c r="BD131" i="85"/>
  <c r="BE131" i="85"/>
  <c r="BF131" i="85"/>
  <c r="AY131" i="85"/>
  <c r="BG131" i="85"/>
  <c r="BH131" i="85"/>
  <c r="AW131" i="85"/>
  <c r="BK131" i="85"/>
  <c r="BJ131" i="85"/>
  <c r="BI131" i="85"/>
  <c r="AX131" i="85"/>
  <c r="AZ131" i="85"/>
  <c r="BA131" i="85"/>
  <c r="BB131" i="85"/>
  <c r="BC131" i="85"/>
  <c r="AR131" i="85"/>
  <c r="AT131" i="85"/>
  <c r="AP131" i="85"/>
  <c r="AO131" i="85"/>
  <c r="AS131" i="85"/>
  <c r="AU131" i="85"/>
  <c r="AV131" i="85"/>
  <c r="AE128" i="145"/>
  <c r="Z128" i="145"/>
  <c r="AD128" i="145"/>
  <c r="T128" i="145"/>
  <c r="Q128" i="145"/>
  <c r="W128" i="145"/>
  <c r="N127" i="145"/>
  <c r="N125" i="145"/>
  <c r="T125" i="145"/>
  <c r="W125" i="145"/>
  <c r="Q125" i="145"/>
  <c r="AF125" i="145"/>
  <c r="Z125" i="145"/>
  <c r="AD125" i="145"/>
  <c r="AE125" i="145"/>
  <c r="FE85" i="27"/>
  <c r="M134" i="108"/>
  <c r="G86" i="27"/>
  <c r="FN86" i="27" s="1"/>
  <c r="E134" i="108"/>
  <c r="FD85" i="27"/>
  <c r="FF85" i="27"/>
  <c r="I134" i="108"/>
  <c r="FH82" i="27"/>
  <c r="FC82" i="27"/>
  <c r="FB82" i="27"/>
  <c r="EZ82" i="27"/>
  <c r="H134" i="108"/>
  <c r="F86" i="27"/>
  <c r="I119" i="85"/>
  <c r="R119" i="85"/>
  <c r="P119" i="85"/>
  <c r="T119" i="85"/>
  <c r="S119" i="85"/>
  <c r="Q119" i="85"/>
  <c r="N119" i="85"/>
  <c r="J119" i="85"/>
  <c r="AL119" i="85"/>
  <c r="L119" i="85"/>
  <c r="G122" i="108" s="1"/>
  <c r="K119" i="85"/>
  <c r="H119" i="85"/>
  <c r="C122" i="108" s="1"/>
  <c r="M119" i="85"/>
  <c r="AM131" i="85"/>
  <c r="D86" i="27"/>
  <c r="D134" i="108"/>
  <c r="O119" i="85"/>
  <c r="AC130" i="145"/>
  <c r="FA85" i="27"/>
  <c r="F134" i="108"/>
  <c r="AN131" i="85"/>
  <c r="O130" i="108"/>
  <c r="M127" i="145"/>
  <c r="O132" i="85"/>
  <c r="R134" i="108"/>
  <c r="R130" i="108"/>
  <c r="X130" i="108"/>
  <c r="M122" i="108" l="1"/>
  <c r="BC119" i="85"/>
  <c r="BE119" i="85"/>
  <c r="BB119" i="85"/>
  <c r="AZ119" i="85"/>
  <c r="BA119" i="85"/>
  <c r="BD119" i="85"/>
  <c r="BJ119" i="85"/>
  <c r="AW119" i="85"/>
  <c r="BH119" i="85"/>
  <c r="BF119" i="85"/>
  <c r="BK119" i="85"/>
  <c r="AY119" i="85"/>
  <c r="BI119" i="85"/>
  <c r="AX119" i="85"/>
  <c r="BG119" i="85"/>
  <c r="AO119" i="85"/>
  <c r="AQ119" i="85"/>
  <c r="AT119" i="85"/>
  <c r="AR119" i="85"/>
  <c r="AV119" i="85"/>
  <c r="AU119" i="85"/>
  <c r="AS119" i="85"/>
  <c r="AP119" i="85"/>
  <c r="N119" i="145" s="1"/>
  <c r="M129" i="145"/>
  <c r="AD129" i="145" s="1"/>
  <c r="N131" i="145"/>
  <c r="N129" i="145"/>
  <c r="AF127" i="145"/>
  <c r="FE82" i="27"/>
  <c r="N134" i="108"/>
  <c r="I135" i="108"/>
  <c r="F122" i="108"/>
  <c r="AN119" i="85"/>
  <c r="N122" i="108" s="1"/>
  <c r="FF82" i="27"/>
  <c r="FD82" i="27"/>
  <c r="I122" i="108"/>
  <c r="D74" i="27"/>
  <c r="D122" i="108"/>
  <c r="AM119" i="85"/>
  <c r="G74" i="27"/>
  <c r="FN74" i="27" s="1"/>
  <c r="E122" i="108"/>
  <c r="EZ86" i="27"/>
  <c r="FH86" i="27"/>
  <c r="FB86" i="27"/>
  <c r="FC86" i="27"/>
  <c r="O134" i="108"/>
  <c r="M131" i="145"/>
  <c r="Q132" i="85"/>
  <c r="R132" i="85"/>
  <c r="S132" i="85"/>
  <c r="T132" i="85"/>
  <c r="P132" i="85"/>
  <c r="I132" i="85"/>
  <c r="N132" i="85"/>
  <c r="J132" i="85"/>
  <c r="K132" i="85"/>
  <c r="L132" i="85"/>
  <c r="G135" i="108" s="1"/>
  <c r="H132" i="85"/>
  <c r="C135" i="108" s="1"/>
  <c r="M132" i="85"/>
  <c r="AL132" i="85"/>
  <c r="H122" i="108"/>
  <c r="F74" i="27"/>
  <c r="W127" i="145"/>
  <c r="T127" i="145"/>
  <c r="Z127" i="145"/>
  <c r="Q127" i="145"/>
  <c r="FA82" i="27"/>
  <c r="AE127" i="145" s="1"/>
  <c r="AC127" i="145"/>
  <c r="AD127" i="145" s="1"/>
  <c r="X135" i="108"/>
  <c r="U134" i="108"/>
  <c r="X134" i="108"/>
  <c r="AX132" i="85" l="1"/>
  <c r="BE132" i="85"/>
  <c r="AW132" i="85"/>
  <c r="BC132" i="85"/>
  <c r="BD132" i="85"/>
  <c r="BK132" i="85"/>
  <c r="BG132" i="85"/>
  <c r="BF132" i="85"/>
  <c r="BA132" i="85"/>
  <c r="BJ132" i="85"/>
  <c r="BB132" i="85"/>
  <c r="AZ132" i="85"/>
  <c r="BI132" i="85"/>
  <c r="BH132" i="85"/>
  <c r="AY132" i="85"/>
  <c r="AO132" i="85"/>
  <c r="AV132" i="85"/>
  <c r="AR132" i="85"/>
  <c r="AT132" i="85"/>
  <c r="AS132" i="85"/>
  <c r="AP132" i="85"/>
  <c r="AU132" i="85"/>
  <c r="M135" i="108"/>
  <c r="AQ132" i="85"/>
  <c r="AE129" i="145"/>
  <c r="AF129" i="145"/>
  <c r="T129" i="145"/>
  <c r="Q129" i="145"/>
  <c r="Z129" i="145"/>
  <c r="W129" i="145"/>
  <c r="AF131" i="145"/>
  <c r="FE86" i="27"/>
  <c r="D135" i="108"/>
  <c r="D87" i="27"/>
  <c r="AM132" i="85"/>
  <c r="H135" i="108"/>
  <c r="F87" i="27"/>
  <c r="AC131" i="145"/>
  <c r="AD131" i="145" s="1"/>
  <c r="FA86" i="27"/>
  <c r="AE131" i="145" s="1"/>
  <c r="T114" i="85"/>
  <c r="Q114" i="85"/>
  <c r="P114" i="85"/>
  <c r="R114" i="85"/>
  <c r="S114" i="85"/>
  <c r="I114" i="85"/>
  <c r="N114" i="85"/>
  <c r="L114" i="85"/>
  <c r="G117" i="108" s="1"/>
  <c r="J114" i="85"/>
  <c r="H114" i="85"/>
  <c r="C117" i="108" s="1"/>
  <c r="K114" i="85"/>
  <c r="AL114" i="85"/>
  <c r="M114" i="85"/>
  <c r="EZ74" i="27"/>
  <c r="FH74" i="27"/>
  <c r="FC74" i="27"/>
  <c r="FB74" i="27"/>
  <c r="O114" i="85"/>
  <c r="F135" i="108"/>
  <c r="AN132" i="85"/>
  <c r="E135" i="108"/>
  <c r="G87" i="27"/>
  <c r="FN87" i="27" s="1"/>
  <c r="O122" i="108"/>
  <c r="M119" i="145"/>
  <c r="Z131" i="145"/>
  <c r="T131" i="145"/>
  <c r="W131" i="145"/>
  <c r="Q131" i="145"/>
  <c r="FD86" i="27"/>
  <c r="FF86" i="27"/>
  <c r="O112" i="85"/>
  <c r="U122" i="108"/>
  <c r="R135" i="108"/>
  <c r="R122" i="108"/>
  <c r="U135" i="108"/>
  <c r="X122" i="108"/>
  <c r="M117" i="108" l="1"/>
  <c r="AY114" i="85"/>
  <c r="BA114" i="85"/>
  <c r="BB114" i="85"/>
  <c r="BF114" i="85"/>
  <c r="BC114" i="85"/>
  <c r="BD114" i="85"/>
  <c r="BI114" i="85"/>
  <c r="BK114" i="85"/>
  <c r="AZ114" i="85"/>
  <c r="BJ114" i="85"/>
  <c r="AX114" i="85"/>
  <c r="AW114" i="85"/>
  <c r="BH114" i="85"/>
  <c r="BG114" i="85"/>
  <c r="BE114" i="85"/>
  <c r="AT114" i="85"/>
  <c r="AO114" i="85"/>
  <c r="AQ114" i="85"/>
  <c r="AS114" i="85"/>
  <c r="AU114" i="85"/>
  <c r="AV114" i="85"/>
  <c r="AR114" i="85"/>
  <c r="AP114" i="85"/>
  <c r="M130" i="145"/>
  <c r="AD130" i="145" s="1"/>
  <c r="N130" i="145"/>
  <c r="AF119" i="145"/>
  <c r="FE74" i="27"/>
  <c r="N135" i="108"/>
  <c r="I115" i="108"/>
  <c r="FB87" i="27"/>
  <c r="FH87" i="27"/>
  <c r="EZ87" i="27"/>
  <c r="FC87" i="27"/>
  <c r="D69" i="27"/>
  <c r="D117" i="108"/>
  <c r="AM114" i="85"/>
  <c r="H117" i="108"/>
  <c r="F69" i="27"/>
  <c r="F117" i="108"/>
  <c r="AN114" i="85"/>
  <c r="N117" i="108" s="1"/>
  <c r="O135" i="108"/>
  <c r="E117" i="108"/>
  <c r="G69" i="27"/>
  <c r="FN69" i="27" s="1"/>
  <c r="S112" i="85"/>
  <c r="T112" i="85"/>
  <c r="P112" i="85"/>
  <c r="Q112" i="85"/>
  <c r="R112" i="85"/>
  <c r="I112" i="85"/>
  <c r="N112" i="85"/>
  <c r="J112" i="85"/>
  <c r="H112" i="85"/>
  <c r="C115" i="108" s="1"/>
  <c r="L112" i="85"/>
  <c r="G115" i="108" s="1"/>
  <c r="K112" i="85"/>
  <c r="AL112" i="85"/>
  <c r="M112" i="85"/>
  <c r="T119" i="145"/>
  <c r="Z119" i="145"/>
  <c r="Q119" i="145"/>
  <c r="W119" i="145"/>
  <c r="I117" i="108"/>
  <c r="FD74" i="27"/>
  <c r="FF74" i="27"/>
  <c r="FA74" i="27"/>
  <c r="AE119" i="145" s="1"/>
  <c r="AC119" i="145"/>
  <c r="AD119" i="145" s="1"/>
  <c r="O117" i="85"/>
  <c r="X115" i="108"/>
  <c r="U117" i="108"/>
  <c r="AW112" i="85" l="1"/>
  <c r="BK112" i="85"/>
  <c r="BG112" i="85"/>
  <c r="BF112" i="85"/>
  <c r="BE112" i="85"/>
  <c r="BD112" i="85"/>
  <c r="BI112" i="85"/>
  <c r="BJ112" i="85"/>
  <c r="BH112" i="85"/>
  <c r="BC112" i="85"/>
  <c r="BB112" i="85"/>
  <c r="BA112" i="85"/>
  <c r="AZ112" i="85"/>
  <c r="AY112" i="85"/>
  <c r="AX112" i="85"/>
  <c r="AO112" i="85"/>
  <c r="AP112" i="85"/>
  <c r="AV112" i="85"/>
  <c r="AU112" i="85"/>
  <c r="AR112" i="85"/>
  <c r="AT112" i="85"/>
  <c r="AS112" i="85"/>
  <c r="M115" i="108"/>
  <c r="AQ112" i="85"/>
  <c r="AE130" i="145"/>
  <c r="W130" i="145"/>
  <c r="Q130" i="145"/>
  <c r="Z130" i="145"/>
  <c r="AF130" i="145"/>
  <c r="T130" i="145"/>
  <c r="FE87" i="27"/>
  <c r="I120" i="108"/>
  <c r="H115" i="108"/>
  <c r="F67" i="27"/>
  <c r="F115" i="108"/>
  <c r="AN112" i="85"/>
  <c r="N115" i="108" s="1"/>
  <c r="FD87" i="27"/>
  <c r="FF87" i="27"/>
  <c r="FA87" i="27"/>
  <c r="AC132" i="145"/>
  <c r="O117" i="108"/>
  <c r="Q117" i="85"/>
  <c r="R117" i="85"/>
  <c r="T117" i="85"/>
  <c r="S117" i="85"/>
  <c r="I117" i="85"/>
  <c r="P117" i="85"/>
  <c r="N117" i="85"/>
  <c r="H117" i="85"/>
  <c r="C120" i="108" s="1"/>
  <c r="K117" i="85"/>
  <c r="J117" i="85"/>
  <c r="M117" i="85"/>
  <c r="AL117" i="85"/>
  <c r="L117" i="85"/>
  <c r="G120" i="108" s="1"/>
  <c r="G67" i="27"/>
  <c r="FN67" i="27" s="1"/>
  <c r="E115" i="108"/>
  <c r="FB69" i="27"/>
  <c r="FH69" i="27"/>
  <c r="FC69" i="27"/>
  <c r="EZ69" i="27"/>
  <c r="D67" i="27"/>
  <c r="AM112" i="85"/>
  <c r="D115" i="108"/>
  <c r="O111" i="85"/>
  <c r="X117" i="108"/>
  <c r="U115" i="108"/>
  <c r="R117" i="108"/>
  <c r="R115" i="108"/>
  <c r="U120" i="108"/>
  <c r="AQ117" i="85" l="1"/>
  <c r="BH117" i="85"/>
  <c r="BD117" i="85"/>
  <c r="BG117" i="85"/>
  <c r="AW117" i="85"/>
  <c r="BJ117" i="85"/>
  <c r="BK117" i="85"/>
  <c r="AX117" i="85"/>
  <c r="BC117" i="85"/>
  <c r="BB117" i="85"/>
  <c r="BA117" i="85"/>
  <c r="BE117" i="85"/>
  <c r="BF117" i="85"/>
  <c r="AZ117" i="85"/>
  <c r="AY117" i="85"/>
  <c r="BI117" i="85"/>
  <c r="AO117" i="85"/>
  <c r="AV117" i="85"/>
  <c r="AR117" i="85"/>
  <c r="AT117" i="85"/>
  <c r="AU117" i="85"/>
  <c r="AP117" i="85"/>
  <c r="AS117" i="85"/>
  <c r="M120" i="108"/>
  <c r="N112" i="145"/>
  <c r="I114" i="108"/>
  <c r="AC114" i="145"/>
  <c r="FA69" i="27"/>
  <c r="H120" i="108"/>
  <c r="F72" i="27"/>
  <c r="FD69" i="27"/>
  <c r="FF69" i="27"/>
  <c r="G72" i="27"/>
  <c r="FN72" i="27" s="1"/>
  <c r="E120" i="108"/>
  <c r="FE69" i="27"/>
  <c r="FI69" i="27"/>
  <c r="O115" i="108"/>
  <c r="M112" i="145"/>
  <c r="F120" i="108"/>
  <c r="AN117" i="85"/>
  <c r="FC67" i="27"/>
  <c r="FH67" i="27"/>
  <c r="FB67" i="27"/>
  <c r="EZ67" i="27"/>
  <c r="AM117" i="85"/>
  <c r="D72" i="27"/>
  <c r="D120" i="108"/>
  <c r="T111" i="85"/>
  <c r="S111" i="85"/>
  <c r="P111" i="85"/>
  <c r="I111" i="85"/>
  <c r="Q111" i="85"/>
  <c r="R111" i="85"/>
  <c r="N111" i="85"/>
  <c r="L111" i="85"/>
  <c r="G114" i="108" s="1"/>
  <c r="AL111" i="85"/>
  <c r="H111" i="85"/>
  <c r="C114" i="108" s="1"/>
  <c r="M111" i="85"/>
  <c r="J111" i="85"/>
  <c r="K111" i="85"/>
  <c r="X120" i="108"/>
  <c r="R120" i="108"/>
  <c r="R114" i="108"/>
  <c r="AQ111" i="85" l="1"/>
  <c r="AX111" i="85"/>
  <c r="AY111" i="85"/>
  <c r="BE111" i="85"/>
  <c r="AW111" i="85"/>
  <c r="BH111" i="85"/>
  <c r="BI111" i="85"/>
  <c r="BB111" i="85"/>
  <c r="BC111" i="85"/>
  <c r="BK111" i="85"/>
  <c r="BJ111" i="85"/>
  <c r="AZ111" i="85"/>
  <c r="BF111" i="85"/>
  <c r="BA111" i="85"/>
  <c r="BD111" i="85"/>
  <c r="BG111" i="85"/>
  <c r="AR111" i="85"/>
  <c r="AU111" i="85"/>
  <c r="AO111" i="85"/>
  <c r="AS111" i="85"/>
  <c r="AT111" i="85"/>
  <c r="AP111" i="85"/>
  <c r="AV111" i="85"/>
  <c r="N117" i="145"/>
  <c r="AF112" i="145"/>
  <c r="FE67" i="27"/>
  <c r="FJ69" i="27"/>
  <c r="FK69" i="27" s="1"/>
  <c r="N120" i="108"/>
  <c r="M114" i="108"/>
  <c r="R113" i="85"/>
  <c r="P113" i="85"/>
  <c r="Q113" i="85"/>
  <c r="T113" i="85"/>
  <c r="S113" i="85"/>
  <c r="I113" i="85"/>
  <c r="N113" i="85"/>
  <c r="L113" i="85"/>
  <c r="G116" i="108" s="1"/>
  <c r="H113" i="85"/>
  <c r="C116" i="108" s="1"/>
  <c r="AL113" i="85"/>
  <c r="J113" i="85"/>
  <c r="K113" i="85"/>
  <c r="M113" i="85"/>
  <c r="Z112" i="145"/>
  <c r="Q112" i="145"/>
  <c r="T112" i="145"/>
  <c r="W112" i="145"/>
  <c r="EZ72" i="27"/>
  <c r="FH72" i="27"/>
  <c r="FB72" i="27"/>
  <c r="FC72" i="27"/>
  <c r="O120" i="108"/>
  <c r="M117" i="145"/>
  <c r="F114" i="108"/>
  <c r="AN111" i="85"/>
  <c r="N114" i="108" s="1"/>
  <c r="D114" i="108"/>
  <c r="AM111" i="85"/>
  <c r="D66" i="27"/>
  <c r="FD67" i="27"/>
  <c r="FF67" i="27"/>
  <c r="AC112" i="145"/>
  <c r="AD112" i="145" s="1"/>
  <c r="FA67" i="27"/>
  <c r="AE112" i="145" s="1"/>
  <c r="E114" i="108"/>
  <c r="G66" i="27"/>
  <c r="FN66" i="27" s="1"/>
  <c r="H114" i="108"/>
  <c r="F66" i="27"/>
  <c r="O113" i="85"/>
  <c r="X114" i="108"/>
  <c r="U114" i="108"/>
  <c r="M116" i="108" l="1"/>
  <c r="BE113" i="85"/>
  <c r="BF113" i="85"/>
  <c r="BC113" i="85"/>
  <c r="BG113" i="85"/>
  <c r="BH113" i="85"/>
  <c r="AZ113" i="85"/>
  <c r="BK113" i="85"/>
  <c r="BI113" i="85"/>
  <c r="AW113" i="85"/>
  <c r="BJ113" i="85"/>
  <c r="BA113" i="85"/>
  <c r="AY113" i="85"/>
  <c r="AX113" i="85"/>
  <c r="BB113" i="85"/>
  <c r="BD113" i="85"/>
  <c r="AS113" i="85"/>
  <c r="AV113" i="85"/>
  <c r="AU113" i="85"/>
  <c r="AT113" i="85"/>
  <c r="AP113" i="85"/>
  <c r="AO113" i="85"/>
  <c r="AQ113" i="85"/>
  <c r="AR113" i="85"/>
  <c r="N111" i="145"/>
  <c r="AF117" i="145"/>
  <c r="FE72" i="27"/>
  <c r="T134" i="85"/>
  <c r="Q134" i="85"/>
  <c r="R134" i="85"/>
  <c r="I134" i="85"/>
  <c r="P134" i="85"/>
  <c r="S134" i="85"/>
  <c r="N134" i="85"/>
  <c r="J134" i="85"/>
  <c r="L134" i="85"/>
  <c r="G137" i="108" s="1"/>
  <c r="M134" i="85"/>
  <c r="H134" i="85"/>
  <c r="C137" i="108" s="1"/>
  <c r="K134" i="85"/>
  <c r="AL134" i="85"/>
  <c r="AC117" i="145"/>
  <c r="AD117" i="145" s="1"/>
  <c r="FA72" i="27"/>
  <c r="AE117" i="145" s="1"/>
  <c r="I116" i="108"/>
  <c r="W117" i="145"/>
  <c r="Z117" i="145"/>
  <c r="T117" i="145"/>
  <c r="Q117" i="145"/>
  <c r="AM113" i="85"/>
  <c r="D68" i="27"/>
  <c r="D116" i="108"/>
  <c r="O114" i="108"/>
  <c r="M111" i="145"/>
  <c r="FB66" i="27"/>
  <c r="EZ66" i="27"/>
  <c r="FC66" i="27"/>
  <c r="FH66" i="27"/>
  <c r="FD72" i="27"/>
  <c r="FF72" i="27"/>
  <c r="H116" i="108"/>
  <c r="F68" i="27"/>
  <c r="O134" i="85"/>
  <c r="F116" i="108"/>
  <c r="AN113" i="85"/>
  <c r="N116" i="108" s="1"/>
  <c r="E116" i="108"/>
  <c r="G68" i="27"/>
  <c r="FN68" i="27" s="1"/>
  <c r="O110" i="85"/>
  <c r="R116" i="108"/>
  <c r="BK134" i="85" l="1"/>
  <c r="BH134" i="85"/>
  <c r="BG134" i="85"/>
  <c r="AW134" i="85"/>
  <c r="BF134" i="85"/>
  <c r="BC134" i="85"/>
  <c r="BD134" i="85"/>
  <c r="BA134" i="85"/>
  <c r="AZ134" i="85"/>
  <c r="AY134" i="85"/>
  <c r="BI134" i="85"/>
  <c r="BB134" i="85"/>
  <c r="AX134" i="85"/>
  <c r="BE134" i="85"/>
  <c r="BJ134" i="85"/>
  <c r="AQ134" i="85"/>
  <c r="AS134" i="85"/>
  <c r="AT134" i="85"/>
  <c r="AU134" i="85"/>
  <c r="AO134" i="85"/>
  <c r="AP134" i="85"/>
  <c r="AR134" i="85"/>
  <c r="AV134" i="85"/>
  <c r="M137" i="108"/>
  <c r="AF111" i="145"/>
  <c r="FE66" i="27"/>
  <c r="I113" i="108"/>
  <c r="G89" i="27"/>
  <c r="FN89" i="27" s="1"/>
  <c r="E137" i="108"/>
  <c r="FD66" i="27"/>
  <c r="FF66" i="27"/>
  <c r="O116" i="108"/>
  <c r="FA66" i="27"/>
  <c r="AE111" i="145" s="1"/>
  <c r="AC111" i="145"/>
  <c r="AD111" i="145" s="1"/>
  <c r="F137" i="108"/>
  <c r="AN134" i="85"/>
  <c r="AM134" i="85"/>
  <c r="D89" i="27"/>
  <c r="D137" i="108"/>
  <c r="I137" i="108"/>
  <c r="FB68" i="27"/>
  <c r="EZ68" i="27"/>
  <c r="FH68" i="27"/>
  <c r="FC68" i="27"/>
  <c r="S110" i="85"/>
  <c r="Q110" i="85"/>
  <c r="R110" i="85"/>
  <c r="T110" i="85"/>
  <c r="P110" i="85"/>
  <c r="I110" i="85"/>
  <c r="N110" i="85"/>
  <c r="L110" i="85"/>
  <c r="G113" i="108" s="1"/>
  <c r="H110" i="85"/>
  <c r="C113" i="108" s="1"/>
  <c r="J110" i="85"/>
  <c r="K110" i="85"/>
  <c r="M110" i="85"/>
  <c r="AL110" i="85"/>
  <c r="W111" i="145"/>
  <c r="T111" i="145"/>
  <c r="Q111" i="145"/>
  <c r="Z111" i="145"/>
  <c r="H137" i="108"/>
  <c r="F89" i="27"/>
  <c r="X116" i="108"/>
  <c r="U116" i="108"/>
  <c r="X113" i="108"/>
  <c r="R137" i="108"/>
  <c r="AQ110" i="85" l="1"/>
  <c r="BH110" i="85"/>
  <c r="BK110" i="85"/>
  <c r="BB110" i="85"/>
  <c r="BJ110" i="85"/>
  <c r="BG110" i="85"/>
  <c r="AX110" i="85"/>
  <c r="BA110" i="85"/>
  <c r="BD110" i="85"/>
  <c r="AY110" i="85"/>
  <c r="AW110" i="85"/>
  <c r="BI110" i="85"/>
  <c r="BC110" i="85"/>
  <c r="BE110" i="85"/>
  <c r="BF110" i="85"/>
  <c r="AZ110" i="85"/>
  <c r="AU110" i="85"/>
  <c r="AS110" i="85"/>
  <c r="AT110" i="85"/>
  <c r="AV110" i="85"/>
  <c r="AR110" i="85"/>
  <c r="AP110" i="85"/>
  <c r="N110" i="145" s="1"/>
  <c r="AO110" i="85"/>
  <c r="M132" i="145"/>
  <c r="Z132" i="145" s="1"/>
  <c r="N132" i="145"/>
  <c r="FE68" i="27"/>
  <c r="N137" i="108"/>
  <c r="M113" i="108"/>
  <c r="FD68" i="27"/>
  <c r="FF68" i="27"/>
  <c r="D65" i="27"/>
  <c r="D113" i="108"/>
  <c r="AM110" i="85"/>
  <c r="G65" i="27"/>
  <c r="FN65" i="27" s="1"/>
  <c r="E113" i="108"/>
  <c r="EZ89" i="27"/>
  <c r="FH89" i="27"/>
  <c r="FC89" i="27"/>
  <c r="FB89" i="27"/>
  <c r="AC113" i="145"/>
  <c r="FA68" i="27"/>
  <c r="H113" i="108"/>
  <c r="F65" i="27"/>
  <c r="O137" i="108"/>
  <c r="F113" i="108"/>
  <c r="AN110" i="85"/>
  <c r="N113" i="108" s="1"/>
  <c r="O108" i="85"/>
  <c r="U113" i="108"/>
  <c r="R113" i="108"/>
  <c r="X137" i="108"/>
  <c r="U137" i="108"/>
  <c r="T132" i="145" l="1"/>
  <c r="AE132" i="145"/>
  <c r="Q132" i="145"/>
  <c r="AF132" i="145"/>
  <c r="AD132" i="145"/>
  <c r="W132" i="145"/>
  <c r="FE89" i="27"/>
  <c r="I111" i="108"/>
  <c r="FF89" i="27"/>
  <c r="FD89" i="27"/>
  <c r="O113" i="108"/>
  <c r="M110" i="145"/>
  <c r="EZ65" i="27"/>
  <c r="FC65" i="27"/>
  <c r="FH65" i="27"/>
  <c r="FB65" i="27"/>
  <c r="R108" i="85"/>
  <c r="P108" i="85"/>
  <c r="Q108" i="85"/>
  <c r="S108" i="85"/>
  <c r="I108" i="85"/>
  <c r="N108" i="85"/>
  <c r="T108" i="85"/>
  <c r="AL108" i="85"/>
  <c r="K108" i="85"/>
  <c r="J108" i="85"/>
  <c r="H108" i="85"/>
  <c r="C111" i="108" s="1"/>
  <c r="L108" i="85"/>
  <c r="G111" i="108" s="1"/>
  <c r="M108" i="85"/>
  <c r="AC134" i="145"/>
  <c r="FA89" i="27"/>
  <c r="O116" i="85"/>
  <c r="X111" i="108"/>
  <c r="AQ108" i="85" l="1"/>
  <c r="BF108" i="85"/>
  <c r="BK108" i="85"/>
  <c r="AY108" i="85"/>
  <c r="BA108" i="85"/>
  <c r="BI108" i="85"/>
  <c r="AX108" i="85"/>
  <c r="BD108" i="85"/>
  <c r="BC108" i="85"/>
  <c r="BG108" i="85"/>
  <c r="BB108" i="85"/>
  <c r="AW108" i="85"/>
  <c r="BE108" i="85"/>
  <c r="BJ108" i="85"/>
  <c r="BH108" i="85"/>
  <c r="AZ108" i="85"/>
  <c r="AT108" i="85"/>
  <c r="AR108" i="85"/>
  <c r="AS108" i="85"/>
  <c r="AU108" i="85"/>
  <c r="AP108" i="85"/>
  <c r="AO108" i="85"/>
  <c r="AV108" i="85"/>
  <c r="AF110" i="145"/>
  <c r="FE65" i="27"/>
  <c r="M111" i="108"/>
  <c r="I119" i="108"/>
  <c r="E111" i="108"/>
  <c r="G63" i="27"/>
  <c r="FN63" i="27" s="1"/>
  <c r="F111" i="108"/>
  <c r="AN108" i="85"/>
  <c r="N111" i="108" s="1"/>
  <c r="Z110" i="145"/>
  <c r="Q110" i="145"/>
  <c r="W110" i="145"/>
  <c r="T110" i="145"/>
  <c r="R116" i="85"/>
  <c r="S116" i="85"/>
  <c r="I116" i="85"/>
  <c r="P116" i="85"/>
  <c r="T116" i="85"/>
  <c r="Q116" i="85"/>
  <c r="N116" i="85"/>
  <c r="AL116" i="85"/>
  <c r="K116" i="85"/>
  <c r="J116" i="85"/>
  <c r="H116" i="85"/>
  <c r="C119" i="108" s="1"/>
  <c r="L116" i="85"/>
  <c r="G119" i="108" s="1"/>
  <c r="M116" i="85"/>
  <c r="FF65" i="27"/>
  <c r="FD65" i="27"/>
  <c r="H111" i="108"/>
  <c r="M106" i="145"/>
  <c r="F63" i="27"/>
  <c r="D63" i="27"/>
  <c r="D111" i="108"/>
  <c r="AM108" i="85"/>
  <c r="FA65" i="27"/>
  <c r="AE110" i="145" s="1"/>
  <c r="AC110" i="145"/>
  <c r="AD110" i="145" s="1"/>
  <c r="O135" i="85"/>
  <c r="R111" i="108"/>
  <c r="U111" i="108"/>
  <c r="U119" i="108"/>
  <c r="BJ116" i="85" l="1"/>
  <c r="BD116" i="85"/>
  <c r="BC116" i="85"/>
  <c r="BK116" i="85"/>
  <c r="BB116" i="85"/>
  <c r="BA116" i="85"/>
  <c r="AZ116" i="85"/>
  <c r="BE116" i="85"/>
  <c r="AX116" i="85"/>
  <c r="BF116" i="85"/>
  <c r="BG116" i="85"/>
  <c r="BI116" i="85"/>
  <c r="BH116" i="85"/>
  <c r="AY116" i="85"/>
  <c r="AW116" i="85"/>
  <c r="AO116" i="85"/>
  <c r="AS116" i="85"/>
  <c r="AT116" i="85"/>
  <c r="AV116" i="85"/>
  <c r="AR116" i="85"/>
  <c r="AP116" i="85"/>
  <c r="AU116" i="85"/>
  <c r="M119" i="108"/>
  <c r="AQ116" i="85"/>
  <c r="I138" i="108"/>
  <c r="N108" i="145"/>
  <c r="N106" i="145"/>
  <c r="T106" i="145"/>
  <c r="Q106" i="145"/>
  <c r="W106" i="145"/>
  <c r="Z106" i="145"/>
  <c r="AF106" i="145"/>
  <c r="AD106" i="145"/>
  <c r="AE106" i="145"/>
  <c r="I135" i="85"/>
  <c r="R135" i="85"/>
  <c r="S135" i="85"/>
  <c r="T135" i="85"/>
  <c r="N135" i="85"/>
  <c r="Q135" i="85"/>
  <c r="P135" i="85"/>
  <c r="J135" i="85"/>
  <c r="K135" i="85"/>
  <c r="H135" i="85"/>
  <c r="C138" i="108" s="1"/>
  <c r="L135" i="85"/>
  <c r="G138" i="108" s="1"/>
  <c r="AL135" i="85"/>
  <c r="M135" i="85"/>
  <c r="FH63" i="27"/>
  <c r="EZ63" i="27"/>
  <c r="FB63" i="27"/>
  <c r="FC63" i="27"/>
  <c r="AM116" i="85"/>
  <c r="D119" i="108"/>
  <c r="D71" i="27"/>
  <c r="O111" i="108"/>
  <c r="M108" i="145"/>
  <c r="AN116" i="85"/>
  <c r="N119" i="108" s="1"/>
  <c r="F119" i="108"/>
  <c r="H119" i="108"/>
  <c r="F71" i="27"/>
  <c r="M114" i="145"/>
  <c r="G71" i="27"/>
  <c r="FN71" i="27" s="1"/>
  <c r="E119" i="108"/>
  <c r="N114" i="145"/>
  <c r="X119" i="108"/>
  <c r="U138" i="108"/>
  <c r="R119" i="108"/>
  <c r="AQ135" i="85" l="1"/>
  <c r="BD135" i="85"/>
  <c r="AW135" i="85"/>
  <c r="AX135" i="85"/>
  <c r="AY135" i="85"/>
  <c r="AZ135" i="85"/>
  <c r="BA135" i="85"/>
  <c r="BB135" i="85"/>
  <c r="BC135" i="85"/>
  <c r="BE135" i="85"/>
  <c r="BF135" i="85"/>
  <c r="BG135" i="85"/>
  <c r="BH135" i="85"/>
  <c r="BI135" i="85"/>
  <c r="BJ135" i="85"/>
  <c r="BK135" i="85"/>
  <c r="AV135" i="85"/>
  <c r="AR135" i="85"/>
  <c r="AU135" i="85"/>
  <c r="AP135" i="85"/>
  <c r="AS135" i="85"/>
  <c r="AO135" i="85"/>
  <c r="AT135" i="85"/>
  <c r="M138" i="108"/>
  <c r="Z114" i="145"/>
  <c r="T114" i="145"/>
  <c r="AF114" i="145"/>
  <c r="W114" i="145"/>
  <c r="Q114" i="145"/>
  <c r="AE114" i="145"/>
  <c r="AD114" i="145"/>
  <c r="AF108" i="145"/>
  <c r="FE63" i="27"/>
  <c r="N116" i="145"/>
  <c r="T109" i="85"/>
  <c r="S109" i="85"/>
  <c r="I109" i="85"/>
  <c r="P109" i="85"/>
  <c r="R109" i="85"/>
  <c r="Q109" i="85"/>
  <c r="N109" i="85"/>
  <c r="L109" i="85"/>
  <c r="G112" i="108" s="1"/>
  <c r="AL109" i="85"/>
  <c r="M109" i="85"/>
  <c r="J109" i="85"/>
  <c r="H109" i="85"/>
  <c r="C112" i="108" s="1"/>
  <c r="K109" i="85"/>
  <c r="FF63" i="27"/>
  <c r="FD63" i="27"/>
  <c r="F138" i="108"/>
  <c r="AN135" i="85"/>
  <c r="G90" i="27"/>
  <c r="FN90" i="27" s="1"/>
  <c r="E138" i="108"/>
  <c r="O119" i="108"/>
  <c r="M116" i="145"/>
  <c r="FC71" i="27"/>
  <c r="EZ71" i="27"/>
  <c r="FH71" i="27"/>
  <c r="FB71" i="27"/>
  <c r="FA63" i="27"/>
  <c r="AE108" i="145" s="1"/>
  <c r="AC108" i="145"/>
  <c r="AD108" i="145" s="1"/>
  <c r="O109" i="85"/>
  <c r="Z108" i="145"/>
  <c r="Q108" i="145"/>
  <c r="W108" i="145"/>
  <c r="T108" i="145"/>
  <c r="H138" i="108"/>
  <c r="F90" i="27"/>
  <c r="D90" i="27"/>
  <c r="D138" i="108"/>
  <c r="AM135" i="85"/>
  <c r="O115" i="85"/>
  <c r="X138" i="108"/>
  <c r="R138" i="108"/>
  <c r="AO109" i="85" l="1"/>
  <c r="BH109" i="85"/>
  <c r="BI109" i="85"/>
  <c r="BC109" i="85"/>
  <c r="BK109" i="85"/>
  <c r="BG109" i="85"/>
  <c r="AX109" i="85"/>
  <c r="AY109" i="85"/>
  <c r="BD109" i="85"/>
  <c r="BF109" i="85"/>
  <c r="BB109" i="85"/>
  <c r="BJ109" i="85"/>
  <c r="BA109" i="85"/>
  <c r="BE109" i="85"/>
  <c r="AZ109" i="85"/>
  <c r="AW109" i="85"/>
  <c r="AU109" i="85"/>
  <c r="AR109" i="85"/>
  <c r="AT109" i="85"/>
  <c r="AS109" i="85"/>
  <c r="AQ109" i="85"/>
  <c r="AP109" i="85"/>
  <c r="N109" i="145" s="1"/>
  <c r="AV109" i="85"/>
  <c r="M133" i="145"/>
  <c r="AD133" i="145" s="1"/>
  <c r="N133" i="145"/>
  <c r="AF116" i="145"/>
  <c r="FE71" i="27"/>
  <c r="N138" i="108"/>
  <c r="I118" i="108"/>
  <c r="M112" i="108"/>
  <c r="R115" i="85"/>
  <c r="S115" i="85"/>
  <c r="I115" i="85"/>
  <c r="P115" i="85"/>
  <c r="Q115" i="85"/>
  <c r="T115" i="85"/>
  <c r="N115" i="85"/>
  <c r="L115" i="85"/>
  <c r="G118" i="108" s="1"/>
  <c r="J115" i="85"/>
  <c r="AL115" i="85"/>
  <c r="M115" i="85"/>
  <c r="H115" i="85"/>
  <c r="C118" i="108" s="1"/>
  <c r="K115" i="85"/>
  <c r="O138" i="108"/>
  <c r="AC116" i="145"/>
  <c r="AD116" i="145" s="1"/>
  <c r="FA71" i="27"/>
  <c r="AE116" i="145" s="1"/>
  <c r="E112" i="108"/>
  <c r="G64" i="27"/>
  <c r="FN64" i="27" s="1"/>
  <c r="FH90" i="27"/>
  <c r="FB90" i="27"/>
  <c r="EZ90" i="27"/>
  <c r="FC90" i="27"/>
  <c r="FD71" i="27"/>
  <c r="FF71" i="27"/>
  <c r="T116" i="145"/>
  <c r="Z116" i="145"/>
  <c r="W116" i="145"/>
  <c r="Q116" i="145"/>
  <c r="AN109" i="85"/>
  <c r="N112" i="108" s="1"/>
  <c r="F112" i="108"/>
  <c r="I112" i="108"/>
  <c r="AM109" i="85"/>
  <c r="D64" i="27"/>
  <c r="D112" i="108"/>
  <c r="H112" i="108"/>
  <c r="F64" i="27"/>
  <c r="R112" i="108"/>
  <c r="AO115" i="85" l="1"/>
  <c r="BI115" i="85"/>
  <c r="BK115" i="85"/>
  <c r="BJ115" i="85"/>
  <c r="BA115" i="85"/>
  <c r="AX115" i="85"/>
  <c r="AZ115" i="85"/>
  <c r="BE115" i="85"/>
  <c r="BH115" i="85"/>
  <c r="BD115" i="85"/>
  <c r="BG115" i="85"/>
  <c r="BC115" i="85"/>
  <c r="AW115" i="85"/>
  <c r="BF115" i="85"/>
  <c r="AY115" i="85"/>
  <c r="BB115" i="85"/>
  <c r="AR115" i="85"/>
  <c r="AU115" i="85"/>
  <c r="AT115" i="85"/>
  <c r="AS115" i="85"/>
  <c r="AV115" i="85"/>
  <c r="AP115" i="85"/>
  <c r="M118" i="108"/>
  <c r="AQ115" i="85"/>
  <c r="AE133" i="145"/>
  <c r="Q133" i="145"/>
  <c r="W133" i="145"/>
  <c r="Z133" i="145"/>
  <c r="AF133" i="145"/>
  <c r="T133" i="145"/>
  <c r="FE90" i="27"/>
  <c r="O112" i="108"/>
  <c r="M109" i="145"/>
  <c r="FF90" i="27"/>
  <c r="FD90" i="27"/>
  <c r="FA90" i="27"/>
  <c r="AC135" i="145"/>
  <c r="AN115" i="85"/>
  <c r="F118" i="108"/>
  <c r="H118" i="108"/>
  <c r="F70" i="27"/>
  <c r="M113" i="145"/>
  <c r="D70" i="27"/>
  <c r="D118" i="108"/>
  <c r="AM115" i="85"/>
  <c r="EZ64" i="27"/>
  <c r="FH64" i="27"/>
  <c r="FB64" i="27"/>
  <c r="FC64" i="27"/>
  <c r="G70" i="27"/>
  <c r="FN70" i="27" s="1"/>
  <c r="E118" i="108"/>
  <c r="U112" i="108"/>
  <c r="X112" i="108"/>
  <c r="X118" i="108"/>
  <c r="U118" i="108"/>
  <c r="R118" i="108"/>
  <c r="Q113" i="145" l="1"/>
  <c r="AF113" i="145"/>
  <c r="Z113" i="145"/>
  <c r="W113" i="145"/>
  <c r="T113" i="145"/>
  <c r="AE113" i="145"/>
  <c r="AD113" i="145"/>
  <c r="N115" i="145"/>
  <c r="N113" i="145"/>
  <c r="AF109" i="145"/>
  <c r="FE64" i="27"/>
  <c r="N118" i="108"/>
  <c r="Q136" i="85"/>
  <c r="S136" i="85"/>
  <c r="T136" i="85"/>
  <c r="P136" i="85"/>
  <c r="R136" i="85"/>
  <c r="I136" i="85"/>
  <c r="N136" i="85"/>
  <c r="J136" i="85"/>
  <c r="AL136" i="85"/>
  <c r="L136" i="85"/>
  <c r="G139" i="108" s="1"/>
  <c r="M136" i="85"/>
  <c r="H136" i="85"/>
  <c r="C139" i="108" s="1"/>
  <c r="K136" i="85"/>
  <c r="O136" i="85"/>
  <c r="FA64" i="27"/>
  <c r="AE109" i="145" s="1"/>
  <c r="AC109" i="145"/>
  <c r="AD109" i="145" s="1"/>
  <c r="FD64" i="27"/>
  <c r="FF64" i="27"/>
  <c r="O118" i="108"/>
  <c r="M115" i="145"/>
  <c r="FH70" i="27"/>
  <c r="FB70" i="27"/>
  <c r="EZ70" i="27"/>
  <c r="FC70" i="27"/>
  <c r="Q109" i="145"/>
  <c r="Z109" i="145"/>
  <c r="T109" i="145"/>
  <c r="W109" i="145"/>
  <c r="M139" i="108" l="1"/>
  <c r="BE136" i="85"/>
  <c r="BD136" i="85"/>
  <c r="BG136" i="85"/>
  <c r="BH136" i="85"/>
  <c r="BK136" i="85"/>
  <c r="BI136" i="85"/>
  <c r="AY136" i="85"/>
  <c r="BC136" i="85"/>
  <c r="BB136" i="85"/>
  <c r="BA136" i="85"/>
  <c r="AZ136" i="85"/>
  <c r="BF136" i="85"/>
  <c r="BJ136" i="85"/>
  <c r="AW136" i="85"/>
  <c r="AX136" i="85"/>
  <c r="AQ136" i="85"/>
  <c r="AO136" i="85"/>
  <c r="AT136" i="85"/>
  <c r="AP136" i="85"/>
  <c r="AS136" i="85"/>
  <c r="AV136" i="85"/>
  <c r="AU136" i="85"/>
  <c r="AR136" i="85"/>
  <c r="AF115" i="145"/>
  <c r="FE70" i="27"/>
  <c r="FF70" i="27"/>
  <c r="FD70" i="27"/>
  <c r="E139" i="108"/>
  <c r="G91" i="27"/>
  <c r="FN91" i="27" s="1"/>
  <c r="FA70" i="27"/>
  <c r="AE115" i="145" s="1"/>
  <c r="AC115" i="145"/>
  <c r="AD115" i="145" s="1"/>
  <c r="I139" i="108"/>
  <c r="X139" i="108" s="1"/>
  <c r="AM136" i="85"/>
  <c r="D91" i="27"/>
  <c r="D139" i="108"/>
  <c r="F139" i="108"/>
  <c r="AN136" i="85"/>
  <c r="N139" i="108" s="1"/>
  <c r="Z115" i="145"/>
  <c r="T115" i="145"/>
  <c r="Q115" i="145"/>
  <c r="W115" i="145"/>
  <c r="H139" i="108"/>
  <c r="M134" i="145"/>
  <c r="F91" i="27"/>
  <c r="N134" i="145" l="1"/>
  <c r="W134" i="145"/>
  <c r="AF134" i="145"/>
  <c r="Q134" i="145"/>
  <c r="T134" i="145"/>
  <c r="Z134" i="145"/>
  <c r="AE134" i="145"/>
  <c r="AD134" i="145"/>
  <c r="FH91" i="27"/>
  <c r="EZ91" i="27"/>
  <c r="FC91" i="27"/>
  <c r="FB91" i="27"/>
  <c r="O139" i="108"/>
  <c r="U139" i="108"/>
  <c r="R139" i="108"/>
  <c r="FE91" i="27" l="1"/>
  <c r="FF91" i="27"/>
  <c r="FD91" i="27"/>
  <c r="AC136" i="145"/>
  <c r="FA91" i="27"/>
  <c r="O137" i="85"/>
  <c r="I140" i="108" l="1"/>
  <c r="T137" i="85"/>
  <c r="P137" i="85"/>
  <c r="Q137" i="85"/>
  <c r="R137" i="85"/>
  <c r="S137" i="85"/>
  <c r="I137" i="85"/>
  <c r="N137" i="85"/>
  <c r="AL137" i="85"/>
  <c r="K137" i="85"/>
  <c r="J137" i="85"/>
  <c r="H137" i="85"/>
  <c r="C140" i="108" s="1"/>
  <c r="L137" i="85"/>
  <c r="G140" i="108" s="1"/>
  <c r="M137" i="85"/>
  <c r="L165" i="85"/>
  <c r="L168" i="108" s="1"/>
  <c r="U140" i="108"/>
  <c r="AO137" i="85" l="1"/>
  <c r="AS137" i="85"/>
  <c r="AX137" i="85"/>
  <c r="AW137" i="85"/>
  <c r="BA137" i="85"/>
  <c r="BK137" i="85"/>
  <c r="AZ137" i="85"/>
  <c r="BJ137" i="85"/>
  <c r="BI137" i="85"/>
  <c r="AY137" i="85"/>
  <c r="BB137" i="85"/>
  <c r="BC137" i="85"/>
  <c r="BD137" i="85"/>
  <c r="BE137" i="85"/>
  <c r="BF137" i="85"/>
  <c r="BG137" i="85"/>
  <c r="BH137" i="85"/>
  <c r="AT137" i="85"/>
  <c r="AP137" i="85"/>
  <c r="AR137" i="85"/>
  <c r="AU137" i="85"/>
  <c r="AV137" i="85"/>
  <c r="M140" i="108"/>
  <c r="AQ137" i="85"/>
  <c r="P168" i="108"/>
  <c r="D140" i="108"/>
  <c r="D92" i="27"/>
  <c r="AM137" i="85"/>
  <c r="H140" i="108"/>
  <c r="M135" i="145"/>
  <c r="F92" i="27"/>
  <c r="P165" i="85"/>
  <c r="T165" i="85"/>
  <c r="AL165" i="85"/>
  <c r="Q165" i="85"/>
  <c r="R165" i="85"/>
  <c r="I165" i="85"/>
  <c r="S165" i="85"/>
  <c r="N165" i="85"/>
  <c r="O165" i="85"/>
  <c r="M165" i="85"/>
  <c r="H165" i="85"/>
  <c r="G168" i="108" s="1"/>
  <c r="J165" i="85"/>
  <c r="G120" i="27" s="1"/>
  <c r="FN120" i="27" s="1"/>
  <c r="K165" i="85"/>
  <c r="E140" i="108"/>
  <c r="G92" i="27"/>
  <c r="FN92" i="27" s="1"/>
  <c r="F140" i="108"/>
  <c r="AN137" i="85"/>
  <c r="N140" i="108" s="1"/>
  <c r="N135" i="145"/>
  <c r="L167" i="85"/>
  <c r="L170" i="108" s="1"/>
  <c r="AB168" i="108"/>
  <c r="AD168" i="108"/>
  <c r="AE168" i="108"/>
  <c r="R140" i="108"/>
  <c r="Q168" i="108"/>
  <c r="X140" i="108"/>
  <c r="W168" i="108"/>
  <c r="AA168" i="108"/>
  <c r="T168" i="108"/>
  <c r="T170" i="108"/>
  <c r="S168" i="108" l="1"/>
  <c r="Z168" i="108" s="1"/>
  <c r="AS165" i="85"/>
  <c r="BE165" i="85"/>
  <c r="BA165" i="85"/>
  <c r="AY165" i="85"/>
  <c r="BC165" i="85"/>
  <c r="BG165" i="85"/>
  <c r="BK165" i="85"/>
  <c r="BB165" i="85"/>
  <c r="BF165" i="85"/>
  <c r="BJ165" i="85"/>
  <c r="AW165" i="85"/>
  <c r="BH165" i="85"/>
  <c r="BD165" i="85"/>
  <c r="AX165" i="85"/>
  <c r="AZ165" i="85"/>
  <c r="BI165" i="85"/>
  <c r="AT165" i="85"/>
  <c r="AR165" i="85"/>
  <c r="AQ165" i="85"/>
  <c r="AO165" i="85"/>
  <c r="AV165" i="85"/>
  <c r="AU165" i="85"/>
  <c r="AP165" i="85"/>
  <c r="Z135" i="145"/>
  <c r="W135" i="145"/>
  <c r="AF135" i="145"/>
  <c r="T135" i="145"/>
  <c r="Q135" i="145"/>
  <c r="AE135" i="145"/>
  <c r="AD135" i="145"/>
  <c r="V168" i="108"/>
  <c r="Y168" i="108"/>
  <c r="V170" i="108"/>
  <c r="P170" i="108"/>
  <c r="M168" i="108"/>
  <c r="F120" i="27"/>
  <c r="O140" i="108"/>
  <c r="AM165" i="85"/>
  <c r="D120" i="27"/>
  <c r="H168" i="108"/>
  <c r="AN165" i="85"/>
  <c r="I168" i="108"/>
  <c r="AL167" i="85"/>
  <c r="J167" i="85"/>
  <c r="G122" i="27" s="1"/>
  <c r="FN122" i="27" s="1"/>
  <c r="Q167" i="85"/>
  <c r="T167" i="85"/>
  <c r="R167" i="85"/>
  <c r="S167" i="85"/>
  <c r="I167" i="85"/>
  <c r="P167" i="85"/>
  <c r="H167" i="85"/>
  <c r="G170" i="108" s="1"/>
  <c r="O167" i="85"/>
  <c r="M167" i="85"/>
  <c r="N167" i="85"/>
  <c r="K167" i="85"/>
  <c r="N168" i="108"/>
  <c r="FH92" i="27"/>
  <c r="FC92" i="27"/>
  <c r="EZ92" i="27"/>
  <c r="FB92" i="27"/>
  <c r="L166" i="85"/>
  <c r="L169" i="108" s="1"/>
  <c r="W169" i="108" s="1"/>
  <c r="W170" i="108"/>
  <c r="AD170" i="108"/>
  <c r="AA170" i="108"/>
  <c r="X168" i="108"/>
  <c r="AB170" i="108"/>
  <c r="AE170" i="108"/>
  <c r="Q170" i="108"/>
  <c r="AZ167" i="85" l="1"/>
  <c r="AX167" i="85"/>
  <c r="AW167" i="85"/>
  <c r="BF167" i="85"/>
  <c r="BD167" i="85"/>
  <c r="BH167" i="85"/>
  <c r="BA167" i="85"/>
  <c r="BC167" i="85"/>
  <c r="AY167" i="85"/>
  <c r="BG167" i="85"/>
  <c r="BK167" i="85"/>
  <c r="BI167" i="85"/>
  <c r="BB167" i="85"/>
  <c r="BE167" i="85"/>
  <c r="BJ167" i="85"/>
  <c r="AO167" i="85"/>
  <c r="AP167" i="85"/>
  <c r="AT167" i="85"/>
  <c r="AU167" i="85"/>
  <c r="AQ167" i="85"/>
  <c r="AS167" i="85"/>
  <c r="AV167" i="85"/>
  <c r="AR167" i="85"/>
  <c r="N165" i="145"/>
  <c r="Y170" i="108"/>
  <c r="S170" i="108"/>
  <c r="Z170" i="108" s="1"/>
  <c r="Y169" i="108"/>
  <c r="FE92" i="27"/>
  <c r="FI92" i="27"/>
  <c r="M170" i="108"/>
  <c r="F122" i="27"/>
  <c r="FD92" i="27"/>
  <c r="FF92" i="27"/>
  <c r="FB120" i="27"/>
  <c r="FH120" i="27"/>
  <c r="FC120" i="27"/>
  <c r="EZ120" i="27"/>
  <c r="AC165" i="145" s="1"/>
  <c r="FA92" i="27"/>
  <c r="AC137" i="145"/>
  <c r="N170" i="108"/>
  <c r="P169" i="108"/>
  <c r="S166" i="85"/>
  <c r="R166" i="85"/>
  <c r="AL166" i="85"/>
  <c r="P166" i="85"/>
  <c r="Q166" i="85"/>
  <c r="J166" i="85"/>
  <c r="G121" i="27" s="1"/>
  <c r="FN121" i="27" s="1"/>
  <c r="N166" i="85"/>
  <c r="T166" i="85"/>
  <c r="I166" i="85"/>
  <c r="O166" i="85"/>
  <c r="M166" i="85"/>
  <c r="H166" i="85"/>
  <c r="G169" i="108" s="1"/>
  <c r="K166" i="85"/>
  <c r="D122" i="27"/>
  <c r="H170" i="108"/>
  <c r="AM167" i="85"/>
  <c r="AN167" i="85"/>
  <c r="I170" i="108"/>
  <c r="AB169" i="108"/>
  <c r="AE169" i="108"/>
  <c r="AD169" i="108"/>
  <c r="U168" i="108"/>
  <c r="T169" i="108"/>
  <c r="AA169" i="108"/>
  <c r="Q169" i="108"/>
  <c r="R168" i="108"/>
  <c r="R170" i="108"/>
  <c r="BH166" i="85" l="1"/>
  <c r="BG166" i="85"/>
  <c r="BI166" i="85"/>
  <c r="BC166" i="85"/>
  <c r="AY166" i="85"/>
  <c r="AX166" i="85"/>
  <c r="AZ166" i="85"/>
  <c r="BD166" i="85"/>
  <c r="BK166" i="85"/>
  <c r="BE166" i="85"/>
  <c r="BA166" i="85"/>
  <c r="AW166" i="85"/>
  <c r="BB166" i="85"/>
  <c r="BF166" i="85"/>
  <c r="BJ166" i="85"/>
  <c r="AQ166" i="85"/>
  <c r="AR166" i="85"/>
  <c r="AS166" i="85"/>
  <c r="AP166" i="85"/>
  <c r="N166" i="145" s="1"/>
  <c r="AV166" i="85"/>
  <c r="AO166" i="85"/>
  <c r="M166" i="145" s="1"/>
  <c r="AU166" i="85"/>
  <c r="AT166" i="85"/>
  <c r="M165" i="145"/>
  <c r="Q165" i="145" s="1"/>
  <c r="FE120" i="27"/>
  <c r="FJ92" i="27"/>
  <c r="FK92" i="27" s="1"/>
  <c r="M167" i="145"/>
  <c r="Z167" i="145" s="1"/>
  <c r="N167" i="145"/>
  <c r="V169" i="108"/>
  <c r="S169" i="108"/>
  <c r="Z169" i="108" s="1"/>
  <c r="FA120" i="27"/>
  <c r="FH122" i="27"/>
  <c r="FC122" i="27"/>
  <c r="EZ122" i="27"/>
  <c r="AC167" i="145" s="1"/>
  <c r="FB122" i="27"/>
  <c r="H169" i="108"/>
  <c r="D121" i="27"/>
  <c r="AM166" i="85"/>
  <c r="AN166" i="85"/>
  <c r="I169" i="108"/>
  <c r="R169" i="108" s="1"/>
  <c r="M169" i="108"/>
  <c r="F121" i="27"/>
  <c r="N169" i="108"/>
  <c r="FF120" i="27"/>
  <c r="FD120" i="27"/>
  <c r="U170" i="108"/>
  <c r="X170" i="108"/>
  <c r="T165" i="145" l="1"/>
  <c r="AE165" i="145"/>
  <c r="Z165" i="145"/>
  <c r="AD165" i="145"/>
  <c r="AF165" i="145"/>
  <c r="W165" i="145"/>
  <c r="AD167" i="145"/>
  <c r="AF167" i="145"/>
  <c r="T167" i="145"/>
  <c r="W167" i="145"/>
  <c r="Q167" i="145"/>
  <c r="Z166" i="145"/>
  <c r="T166" i="145"/>
  <c r="Q166" i="145"/>
  <c r="W166" i="145"/>
  <c r="Q138" i="85"/>
  <c r="R138" i="85"/>
  <c r="I138" i="85"/>
  <c r="T138" i="85"/>
  <c r="S138" i="85"/>
  <c r="N138" i="85"/>
  <c r="P138" i="85"/>
  <c r="AL138" i="85"/>
  <c r="L138" i="85"/>
  <c r="G141" i="108" s="1"/>
  <c r="K138" i="85"/>
  <c r="J138" i="85"/>
  <c r="H138" i="85"/>
  <c r="C141" i="108" s="1"/>
  <c r="M138" i="85"/>
  <c r="FE122" i="27"/>
  <c r="FI122" i="27"/>
  <c r="FH121" i="27"/>
  <c r="FC121" i="27"/>
  <c r="FB121" i="27"/>
  <c r="AF166" i="145" s="1"/>
  <c r="EZ121" i="27"/>
  <c r="AC166" i="145" s="1"/>
  <c r="AD166" i="145" s="1"/>
  <c r="FA122" i="27"/>
  <c r="AE167" i="145" s="1"/>
  <c r="O138" i="85"/>
  <c r="FF122" i="27"/>
  <c r="FD122" i="27"/>
  <c r="X169" i="108"/>
  <c r="U169" i="108"/>
  <c r="M141" i="108" l="1"/>
  <c r="BK138" i="85"/>
  <c r="BJ138" i="85"/>
  <c r="BI138" i="85"/>
  <c r="BB138" i="85"/>
  <c r="BH138" i="85"/>
  <c r="BG138" i="85"/>
  <c r="BF138" i="85"/>
  <c r="BE138" i="85"/>
  <c r="BD138" i="85"/>
  <c r="BC138" i="85"/>
  <c r="BA138" i="85"/>
  <c r="AZ138" i="85"/>
  <c r="AY138" i="85"/>
  <c r="AX138" i="85"/>
  <c r="AW138" i="85"/>
  <c r="AO138" i="85"/>
  <c r="AQ138" i="85"/>
  <c r="AS138" i="85"/>
  <c r="AV138" i="85"/>
  <c r="AP138" i="85"/>
  <c r="AR138" i="85"/>
  <c r="AU138" i="85"/>
  <c r="AT138" i="85"/>
  <c r="FJ122" i="27"/>
  <c r="FK122" i="27" s="1"/>
  <c r="FE121" i="27"/>
  <c r="N136" i="145"/>
  <c r="FF121" i="27"/>
  <c r="FD121" i="27"/>
  <c r="I141" i="108"/>
  <c r="H141" i="108"/>
  <c r="F93" i="27"/>
  <c r="M136" i="145"/>
  <c r="AN138" i="85"/>
  <c r="F141" i="108"/>
  <c r="FA121" i="27"/>
  <c r="AE166" i="145" s="1"/>
  <c r="E141" i="108"/>
  <c r="G93" i="27"/>
  <c r="FN93" i="27" s="1"/>
  <c r="AM138" i="85"/>
  <c r="D141" i="108"/>
  <c r="D93" i="27"/>
  <c r="R141" i="108"/>
  <c r="AF136" i="145" l="1"/>
  <c r="W136" i="145"/>
  <c r="Q136" i="145"/>
  <c r="T136" i="145"/>
  <c r="Z136" i="145"/>
  <c r="AD136" i="145"/>
  <c r="AE136" i="145"/>
  <c r="N141" i="108"/>
  <c r="R139" i="85"/>
  <c r="S139" i="85"/>
  <c r="T139" i="85"/>
  <c r="P139" i="85"/>
  <c r="Q139" i="85"/>
  <c r="I139" i="85"/>
  <c r="N139" i="85"/>
  <c r="L139" i="85"/>
  <c r="G142" i="108" s="1"/>
  <c r="AL139" i="85"/>
  <c r="M139" i="85"/>
  <c r="H139" i="85"/>
  <c r="C142" i="108" s="1"/>
  <c r="J139" i="85"/>
  <c r="K139" i="85"/>
  <c r="O139" i="85"/>
  <c r="O141" i="108"/>
  <c r="EZ93" i="27"/>
  <c r="FB93" i="27"/>
  <c r="FH93" i="27"/>
  <c r="FC93" i="27"/>
  <c r="O140" i="85"/>
  <c r="X141" i="108"/>
  <c r="U141" i="108"/>
  <c r="AO139" i="85" l="1"/>
  <c r="M142" i="108"/>
  <c r="BC139" i="85"/>
  <c r="BK139" i="85"/>
  <c r="BJ139" i="85"/>
  <c r="AY139" i="85"/>
  <c r="BI139" i="85"/>
  <c r="BF139" i="85"/>
  <c r="BH139" i="85"/>
  <c r="BG139" i="85"/>
  <c r="BE139" i="85"/>
  <c r="AW139" i="85"/>
  <c r="AX139" i="85"/>
  <c r="BD139" i="85"/>
  <c r="AZ139" i="85"/>
  <c r="BA139" i="85"/>
  <c r="BB139" i="85"/>
  <c r="AQ139" i="85"/>
  <c r="AU139" i="85"/>
  <c r="AR139" i="85"/>
  <c r="AV139" i="85"/>
  <c r="AS139" i="85"/>
  <c r="AT139" i="85"/>
  <c r="AP139" i="85"/>
  <c r="FE93" i="27"/>
  <c r="N137" i="145"/>
  <c r="I143" i="108"/>
  <c r="H142" i="108"/>
  <c r="F94" i="27"/>
  <c r="M137" i="145"/>
  <c r="FA93" i="27"/>
  <c r="AC138" i="145"/>
  <c r="I142" i="108"/>
  <c r="D94" i="27"/>
  <c r="D142" i="108"/>
  <c r="AM139" i="85"/>
  <c r="F142" i="108"/>
  <c r="AN139" i="85"/>
  <c r="Q140" i="85"/>
  <c r="P140" i="85"/>
  <c r="T140" i="85"/>
  <c r="S140" i="85"/>
  <c r="I140" i="85"/>
  <c r="R140" i="85"/>
  <c r="N140" i="85"/>
  <c r="L140" i="85"/>
  <c r="G143" i="108" s="1"/>
  <c r="K140" i="85"/>
  <c r="J140" i="85"/>
  <c r="AL140" i="85"/>
  <c r="M140" i="85"/>
  <c r="H140" i="85"/>
  <c r="C143" i="108" s="1"/>
  <c r="FD93" i="27"/>
  <c r="FF93" i="27"/>
  <c r="E142" i="108"/>
  <c r="G94" i="27"/>
  <c r="FN94" i="27" s="1"/>
  <c r="X142" i="108"/>
  <c r="R143" i="108"/>
  <c r="AO140" i="85" l="1"/>
  <c r="BJ140" i="85"/>
  <c r="BE140" i="85"/>
  <c r="BA140" i="85"/>
  <c r="AX140" i="85"/>
  <c r="BF140" i="85"/>
  <c r="BC140" i="85"/>
  <c r="AZ140" i="85"/>
  <c r="AW140" i="85"/>
  <c r="BK140" i="85"/>
  <c r="BG140" i="85"/>
  <c r="BD140" i="85"/>
  <c r="AY140" i="85"/>
  <c r="BI140" i="85"/>
  <c r="BH140" i="85"/>
  <c r="BB140" i="85"/>
  <c r="AR140" i="85"/>
  <c r="AV140" i="85"/>
  <c r="AU140" i="85"/>
  <c r="AT140" i="85"/>
  <c r="AS140" i="85"/>
  <c r="AP140" i="85"/>
  <c r="M143" i="108"/>
  <c r="AQ140" i="85"/>
  <c r="AF137" i="145"/>
  <c r="T137" i="145"/>
  <c r="W137" i="145"/>
  <c r="Q137" i="145"/>
  <c r="Z137" i="145"/>
  <c r="AD137" i="145"/>
  <c r="AE137" i="145"/>
  <c r="N142" i="108"/>
  <c r="AN140" i="85"/>
  <c r="N143" i="108" s="1"/>
  <c r="F143" i="108"/>
  <c r="D143" i="108"/>
  <c r="D95" i="27"/>
  <c r="AM140" i="85"/>
  <c r="H143" i="108"/>
  <c r="F95" i="27"/>
  <c r="M138" i="145"/>
  <c r="O142" i="108"/>
  <c r="G95" i="27"/>
  <c r="FN95" i="27" s="1"/>
  <c r="E143" i="108"/>
  <c r="EZ94" i="27"/>
  <c r="FB94" i="27"/>
  <c r="FC94" i="27"/>
  <c r="FH94" i="27"/>
  <c r="U143" i="108"/>
  <c r="X143" i="108"/>
  <c r="U142" i="108"/>
  <c r="R142" i="108"/>
  <c r="AF138" i="145" l="1"/>
  <c r="W138" i="145"/>
  <c r="Q138" i="145"/>
  <c r="T138" i="145"/>
  <c r="Z138" i="145"/>
  <c r="N138" i="145"/>
  <c r="AE138" i="145"/>
  <c r="AD138" i="145"/>
  <c r="FE94" i="27"/>
  <c r="FF94" i="27"/>
  <c r="FD94" i="27"/>
  <c r="O143" i="108"/>
  <c r="FH95" i="27"/>
  <c r="EZ95" i="27"/>
  <c r="FC95" i="27"/>
  <c r="FB95" i="27"/>
  <c r="FA94" i="27"/>
  <c r="AC139" i="145"/>
  <c r="O141" i="85"/>
  <c r="FE95" i="27" l="1"/>
  <c r="I144" i="108"/>
  <c r="FF95" i="27"/>
  <c r="FD95" i="27"/>
  <c r="AC140" i="145"/>
  <c r="FA95" i="27"/>
  <c r="T141" i="85"/>
  <c r="R141" i="85"/>
  <c r="S141" i="85"/>
  <c r="P141" i="85"/>
  <c r="Q141" i="85"/>
  <c r="I141" i="85"/>
  <c r="N141" i="85"/>
  <c r="L141" i="85"/>
  <c r="G144" i="108" s="1"/>
  <c r="AL141" i="85"/>
  <c r="K141" i="85"/>
  <c r="J141" i="85"/>
  <c r="M141" i="85"/>
  <c r="H141" i="85"/>
  <c r="C144" i="108" s="1"/>
  <c r="AQ141" i="85" l="1"/>
  <c r="BG141" i="85"/>
  <c r="BF141" i="85"/>
  <c r="BI141" i="85"/>
  <c r="AY141" i="85"/>
  <c r="BJ141" i="85"/>
  <c r="BK141" i="85"/>
  <c r="AW141" i="85"/>
  <c r="AX141" i="85"/>
  <c r="AZ141" i="85"/>
  <c r="BH141" i="85"/>
  <c r="BA141" i="85"/>
  <c r="BE141" i="85"/>
  <c r="BB141" i="85"/>
  <c r="BC141" i="85"/>
  <c r="BD141" i="85"/>
  <c r="AP141" i="85"/>
  <c r="AO141" i="85"/>
  <c r="AS141" i="85"/>
  <c r="AV141" i="85"/>
  <c r="AU141" i="85"/>
  <c r="AR141" i="85"/>
  <c r="AT141" i="85"/>
  <c r="M144" i="108"/>
  <c r="Q142" i="85"/>
  <c r="R142" i="85"/>
  <c r="P142" i="85"/>
  <c r="S142" i="85"/>
  <c r="T142" i="85"/>
  <c r="I142" i="85"/>
  <c r="N142" i="85"/>
  <c r="L142" i="85"/>
  <c r="G145" i="108" s="1"/>
  <c r="AL142" i="85"/>
  <c r="J142" i="85"/>
  <c r="M142" i="85"/>
  <c r="H142" i="85"/>
  <c r="C145" i="108" s="1"/>
  <c r="K142" i="85"/>
  <c r="D144" i="108"/>
  <c r="AM141" i="85"/>
  <c r="D96" i="27"/>
  <c r="E144" i="108"/>
  <c r="G96" i="27"/>
  <c r="FN96" i="27" s="1"/>
  <c r="H144" i="108"/>
  <c r="F96" i="27"/>
  <c r="F144" i="108"/>
  <c r="AN141" i="85"/>
  <c r="O142" i="85"/>
  <c r="X144" i="108"/>
  <c r="U144" i="108"/>
  <c r="R144" i="108"/>
  <c r="M145" i="108" l="1"/>
  <c r="BC142" i="85"/>
  <c r="AW142" i="85"/>
  <c r="AZ142" i="85"/>
  <c r="BI142" i="85"/>
  <c r="BD142" i="85"/>
  <c r="BH142" i="85"/>
  <c r="BA142" i="85"/>
  <c r="BF142" i="85"/>
  <c r="BK142" i="85"/>
  <c r="BB142" i="85"/>
  <c r="BJ142" i="85"/>
  <c r="AY142" i="85"/>
  <c r="BG142" i="85"/>
  <c r="BE142" i="85"/>
  <c r="AX142" i="85"/>
  <c r="AQ142" i="85"/>
  <c r="AS142" i="85"/>
  <c r="AT142" i="85"/>
  <c r="AU142" i="85"/>
  <c r="AV142" i="85"/>
  <c r="AO142" i="85"/>
  <c r="AR142" i="85"/>
  <c r="AP142" i="85"/>
  <c r="M139" i="145"/>
  <c r="AF139" i="145" s="1"/>
  <c r="N139" i="145"/>
  <c r="N144" i="108"/>
  <c r="AM142" i="85"/>
  <c r="D97" i="27"/>
  <c r="D145" i="108"/>
  <c r="O144" i="108"/>
  <c r="F145" i="108"/>
  <c r="AN142" i="85"/>
  <c r="N145" i="108" s="1"/>
  <c r="I143" i="85"/>
  <c r="Q143" i="85"/>
  <c r="R143" i="85"/>
  <c r="S143" i="85"/>
  <c r="P143" i="85"/>
  <c r="T143" i="85"/>
  <c r="J143" i="85"/>
  <c r="K143" i="85"/>
  <c r="M143" i="85"/>
  <c r="N143" i="85"/>
  <c r="H143" i="85"/>
  <c r="C146" i="108" s="1"/>
  <c r="AL143" i="85"/>
  <c r="L143" i="85"/>
  <c r="G146" i="108" s="1"/>
  <c r="EZ96" i="27"/>
  <c r="FH96" i="27"/>
  <c r="FC96" i="27"/>
  <c r="FB96" i="27"/>
  <c r="I145" i="108"/>
  <c r="H145" i="108"/>
  <c r="F97" i="27"/>
  <c r="O143" i="85"/>
  <c r="E145" i="108"/>
  <c r="G97" i="27"/>
  <c r="FN97" i="27" s="1"/>
  <c r="X145" i="108"/>
  <c r="AX143" i="85" l="1"/>
  <c r="BG143" i="85"/>
  <c r="BK143" i="85"/>
  <c r="BF143" i="85"/>
  <c r="BI143" i="85"/>
  <c r="BB143" i="85"/>
  <c r="BH143" i="85"/>
  <c r="BE143" i="85"/>
  <c r="BC143" i="85"/>
  <c r="BA143" i="85"/>
  <c r="BD143" i="85"/>
  <c r="BJ143" i="85"/>
  <c r="AY143" i="85"/>
  <c r="AW143" i="85"/>
  <c r="AZ143" i="85"/>
  <c r="AP143" i="85"/>
  <c r="AU143" i="85"/>
  <c r="AR143" i="85"/>
  <c r="AV143" i="85"/>
  <c r="AO143" i="85"/>
  <c r="AQ143" i="85"/>
  <c r="AS143" i="85"/>
  <c r="AT143" i="85"/>
  <c r="M140" i="145"/>
  <c r="Z140" i="145" s="1"/>
  <c r="AD139" i="145"/>
  <c r="AE139" i="145"/>
  <c r="Q139" i="145"/>
  <c r="T139" i="145"/>
  <c r="Z139" i="145"/>
  <c r="W139" i="145"/>
  <c r="M146" i="108"/>
  <c r="N140" i="145"/>
  <c r="FE96" i="27"/>
  <c r="FF96" i="27"/>
  <c r="FD96" i="27"/>
  <c r="F146" i="108"/>
  <c r="AN143" i="85"/>
  <c r="I146" i="108"/>
  <c r="G98" i="27"/>
  <c r="FN98" i="27" s="1"/>
  <c r="E146" i="108"/>
  <c r="H146" i="108"/>
  <c r="F98" i="27"/>
  <c r="FA96" i="27"/>
  <c r="AC141" i="145"/>
  <c r="O145" i="108"/>
  <c r="D146" i="108"/>
  <c r="AM143" i="85"/>
  <c r="D98" i="27"/>
  <c r="FC97" i="27"/>
  <c r="FH97" i="27"/>
  <c r="EZ97" i="27"/>
  <c r="FB97" i="27"/>
  <c r="R145" i="108"/>
  <c r="U145" i="108"/>
  <c r="R146" i="108"/>
  <c r="T140" i="145" l="1"/>
  <c r="Q140" i="145"/>
  <c r="AE140" i="145"/>
  <c r="AD140" i="145"/>
  <c r="W140" i="145"/>
  <c r="M141" i="145"/>
  <c r="AF141" i="145" s="1"/>
  <c r="AF140" i="145"/>
  <c r="N141" i="145"/>
  <c r="FE97" i="27"/>
  <c r="N146" i="108"/>
  <c r="O146" i="108"/>
  <c r="AC142" i="145"/>
  <c r="FA97" i="27"/>
  <c r="FH98" i="27"/>
  <c r="FB98" i="27"/>
  <c r="EZ98" i="27"/>
  <c r="FC98" i="27"/>
  <c r="FF97" i="27"/>
  <c r="FD97" i="27"/>
  <c r="X146" i="108"/>
  <c r="U146" i="108"/>
  <c r="Z141" i="145" l="1"/>
  <c r="W141" i="145"/>
  <c r="Q141" i="145"/>
  <c r="AD141" i="145"/>
  <c r="AE141" i="145"/>
  <c r="T141" i="145"/>
  <c r="FI98" i="27"/>
  <c r="FE98" i="27"/>
  <c r="FA98" i="27"/>
  <c r="AC143" i="145"/>
  <c r="FD98" i="27"/>
  <c r="FF98" i="27"/>
  <c r="L150" i="85"/>
  <c r="L153" i="108" s="1"/>
  <c r="FJ98" i="27" l="1"/>
  <c r="FK98" i="27" s="1"/>
  <c r="P153" i="108"/>
  <c r="AL150" i="85"/>
  <c r="S150" i="85"/>
  <c r="T150" i="85"/>
  <c r="Q150" i="85"/>
  <c r="P150" i="85"/>
  <c r="R150" i="85"/>
  <c r="I150" i="85"/>
  <c r="N150" i="85"/>
  <c r="H150" i="85"/>
  <c r="G153" i="108" s="1"/>
  <c r="O150" i="85"/>
  <c r="J150" i="85"/>
  <c r="G105" i="27" s="1"/>
  <c r="FN105" i="27" s="1"/>
  <c r="M150" i="85"/>
  <c r="K150" i="85"/>
  <c r="AE153" i="108"/>
  <c r="W153" i="108"/>
  <c r="AD153" i="108"/>
  <c r="AA153" i="108"/>
  <c r="AB153" i="108"/>
  <c r="T153" i="108"/>
  <c r="Q153" i="108"/>
  <c r="AV150" i="85" l="1"/>
  <c r="AR150" i="85"/>
  <c r="AS150" i="85"/>
  <c r="BI150" i="85"/>
  <c r="BK150" i="85"/>
  <c r="BC150" i="85"/>
  <c r="AW150" i="85"/>
  <c r="BD150" i="85"/>
  <c r="AY150" i="85"/>
  <c r="BJ150" i="85"/>
  <c r="BG150" i="85"/>
  <c r="BE150" i="85"/>
  <c r="AZ150" i="85"/>
  <c r="BH150" i="85"/>
  <c r="BA150" i="85"/>
  <c r="BB150" i="85"/>
  <c r="BF150" i="85"/>
  <c r="AX150" i="85"/>
  <c r="AQ150" i="85"/>
  <c r="AU150" i="85"/>
  <c r="AT150" i="85"/>
  <c r="AP150" i="85"/>
  <c r="AO150" i="85"/>
  <c r="Y153" i="108"/>
  <c r="S153" i="108"/>
  <c r="Z153" i="108" s="1"/>
  <c r="V153" i="108"/>
  <c r="M153" i="108"/>
  <c r="F105" i="27"/>
  <c r="N153" i="108"/>
  <c r="AN150" i="85"/>
  <c r="I153" i="108"/>
  <c r="AM150" i="85"/>
  <c r="D105" i="27"/>
  <c r="H153" i="108"/>
  <c r="X153" i="108"/>
  <c r="FH105" i="27" l="1"/>
  <c r="EZ105" i="27"/>
  <c r="FC105" i="27"/>
  <c r="FB105" i="27"/>
  <c r="U153" i="108"/>
  <c r="R153" i="108"/>
  <c r="FI105" i="27" l="1"/>
  <c r="FE105" i="27"/>
  <c r="AC150" i="145"/>
  <c r="FA105" i="27"/>
  <c r="FF105" i="27"/>
  <c r="FD105" i="27"/>
  <c r="FJ105" i="27" l="1"/>
  <c r="FK105" i="27" s="1"/>
  <c r="S151" i="85" l="1"/>
  <c r="AL151" i="85"/>
  <c r="P151" i="85"/>
  <c r="T151" i="85"/>
  <c r="I151" i="85"/>
  <c r="R151" i="85"/>
  <c r="Q151" i="85"/>
  <c r="N151" i="85"/>
  <c r="J151" i="85"/>
  <c r="G106" i="27" s="1"/>
  <c r="FN106" i="27" s="1"/>
  <c r="O151" i="85"/>
  <c r="M151" i="85"/>
  <c r="H151" i="85"/>
  <c r="G154" i="108" s="1"/>
  <c r="K151" i="85"/>
  <c r="L151" i="85"/>
  <c r="L154" i="108" s="1"/>
  <c r="Q154" i="108" s="1"/>
  <c r="AP151" i="85" l="1"/>
  <c r="AQ151" i="85"/>
  <c r="AT151" i="85"/>
  <c r="AS151" i="85"/>
  <c r="BJ151" i="85"/>
  <c r="BC151" i="85"/>
  <c r="AY151" i="85"/>
  <c r="AX151" i="85"/>
  <c r="BK151" i="85"/>
  <c r="AZ151" i="85"/>
  <c r="BH151" i="85"/>
  <c r="BD151" i="85"/>
  <c r="BA151" i="85"/>
  <c r="BE151" i="85"/>
  <c r="BB151" i="85"/>
  <c r="BI151" i="85"/>
  <c r="BF151" i="85"/>
  <c r="AW151" i="85"/>
  <c r="BG151" i="85"/>
  <c r="AO151" i="85"/>
  <c r="AR151" i="85"/>
  <c r="AU151" i="85"/>
  <c r="AV151" i="85"/>
  <c r="S154" i="108"/>
  <c r="Z154" i="108" s="1"/>
  <c r="AM151" i="85"/>
  <c r="D106" i="27"/>
  <c r="H154" i="108"/>
  <c r="M154" i="108"/>
  <c r="F106" i="27"/>
  <c r="N154" i="108"/>
  <c r="P154" i="108"/>
  <c r="AN151" i="85"/>
  <c r="I154" i="108"/>
  <c r="X154" i="108" s="1"/>
  <c r="AA154" i="108"/>
  <c r="AB154" i="108"/>
  <c r="T154" i="108"/>
  <c r="W154" i="108"/>
  <c r="AD154" i="108"/>
  <c r="AE154" i="108"/>
  <c r="Y154" i="108" l="1"/>
  <c r="V154" i="108"/>
  <c r="FH106" i="27"/>
  <c r="EZ106" i="27"/>
  <c r="FC106" i="27"/>
  <c r="FB106" i="27"/>
  <c r="R154" i="108"/>
  <c r="U154" i="108"/>
  <c r="FE106" i="27" l="1"/>
  <c r="FF106" i="27"/>
  <c r="FD106" i="27"/>
  <c r="FA106" i="27"/>
  <c r="AC151" i="145"/>
  <c r="L152" i="85"/>
  <c r="L155" i="108" s="1"/>
  <c r="P155" i="108" l="1"/>
  <c r="R152" i="85"/>
  <c r="AL152" i="85"/>
  <c r="P152" i="85"/>
  <c r="S152" i="85"/>
  <c r="Q152" i="85"/>
  <c r="T152" i="85"/>
  <c r="I152" i="85"/>
  <c r="N152" i="85"/>
  <c r="J152" i="85"/>
  <c r="G107" i="27" s="1"/>
  <c r="FN107" i="27" s="1"/>
  <c r="H152" i="85"/>
  <c r="G155" i="108" s="1"/>
  <c r="O152" i="85"/>
  <c r="M152" i="85"/>
  <c r="K152" i="85"/>
  <c r="AD155" i="108"/>
  <c r="AB155" i="108"/>
  <c r="Q155" i="108"/>
  <c r="T155" i="108"/>
  <c r="AE155" i="108"/>
  <c r="W155" i="108"/>
  <c r="AA155" i="108"/>
  <c r="AP152" i="85" l="1"/>
  <c r="AZ152" i="85"/>
  <c r="BC152" i="85"/>
  <c r="AW152" i="85"/>
  <c r="AX152" i="85"/>
  <c r="BE152" i="85"/>
  <c r="BF152" i="85"/>
  <c r="BB152" i="85"/>
  <c r="BH152" i="85"/>
  <c r="BK152" i="85"/>
  <c r="BA152" i="85"/>
  <c r="BI152" i="85"/>
  <c r="AY152" i="85"/>
  <c r="BD152" i="85"/>
  <c r="BJ152" i="85"/>
  <c r="BG152" i="85"/>
  <c r="AU152" i="85"/>
  <c r="AQ152" i="85"/>
  <c r="AO152" i="85"/>
  <c r="AR152" i="85"/>
  <c r="AV152" i="85"/>
  <c r="AS152" i="85"/>
  <c r="AT152" i="85"/>
  <c r="Y155" i="108"/>
  <c r="V155" i="108"/>
  <c r="S155" i="108"/>
  <c r="Z155" i="108" s="1"/>
  <c r="AN152" i="85"/>
  <c r="I155" i="108"/>
  <c r="M150" i="145"/>
  <c r="M155" i="108"/>
  <c r="F107" i="27"/>
  <c r="N155" i="108"/>
  <c r="N150" i="145"/>
  <c r="AM152" i="85"/>
  <c r="D107" i="27"/>
  <c r="H155" i="108"/>
  <c r="R155" i="108"/>
  <c r="T150" i="145" l="1"/>
  <c r="Z150" i="145"/>
  <c r="Q150" i="145"/>
  <c r="AF150" i="145"/>
  <c r="W150" i="145"/>
  <c r="AD150" i="145"/>
  <c r="AE150" i="145"/>
  <c r="FH107" i="27"/>
  <c r="EZ107" i="27"/>
  <c r="FC107" i="27"/>
  <c r="FB107" i="27"/>
  <c r="X155" i="108"/>
  <c r="U155" i="108"/>
  <c r="FF107" i="27" l="1"/>
  <c r="FD107" i="27"/>
  <c r="FE107" i="27"/>
  <c r="FI107" i="27"/>
  <c r="AC152" i="145"/>
  <c r="FA107" i="27"/>
  <c r="FJ107" i="27" l="1"/>
  <c r="FK107" i="27" s="1"/>
  <c r="P153" i="85"/>
  <c r="Q153" i="85"/>
  <c r="AL153" i="85"/>
  <c r="S153" i="85"/>
  <c r="T153" i="85"/>
  <c r="I153" i="85"/>
  <c r="R153" i="85"/>
  <c r="H153" i="85"/>
  <c r="G156" i="108" s="1"/>
  <c r="O153" i="85"/>
  <c r="N153" i="85"/>
  <c r="J153" i="85"/>
  <c r="G108" i="27" s="1"/>
  <c r="FN108" i="27" s="1"/>
  <c r="M153" i="85"/>
  <c r="K153" i="85"/>
  <c r="L153" i="85"/>
  <c r="L156" i="108" s="1"/>
  <c r="T156" i="108" s="1"/>
  <c r="AQ153" i="85" l="1"/>
  <c r="AY153" i="85"/>
  <c r="BF153" i="85"/>
  <c r="AZ153" i="85"/>
  <c r="BD153" i="85"/>
  <c r="AW153" i="85"/>
  <c r="BK153" i="85"/>
  <c r="BE153" i="85"/>
  <c r="BH153" i="85"/>
  <c r="BC153" i="85"/>
  <c r="BI153" i="85"/>
  <c r="BB153" i="85"/>
  <c r="BG153" i="85"/>
  <c r="AX153" i="85"/>
  <c r="BJ153" i="85"/>
  <c r="BA153" i="85"/>
  <c r="AV153" i="85"/>
  <c r="AP153" i="85"/>
  <c r="AS153" i="85"/>
  <c r="AU153" i="85"/>
  <c r="AT153" i="85"/>
  <c r="AO153" i="85"/>
  <c r="AR153" i="85"/>
  <c r="V156" i="108"/>
  <c r="H156" i="108"/>
  <c r="AM153" i="85"/>
  <c r="D108" i="27"/>
  <c r="P156" i="108"/>
  <c r="AN153" i="85"/>
  <c r="I156" i="108"/>
  <c r="M156" i="108"/>
  <c r="F108" i="27"/>
  <c r="N156" i="108"/>
  <c r="W156" i="108"/>
  <c r="AA156" i="108"/>
  <c r="AB156" i="108"/>
  <c r="AD156" i="108"/>
  <c r="AE156" i="108"/>
  <c r="Q156" i="108"/>
  <c r="R156" i="108"/>
  <c r="M151" i="145" l="1"/>
  <c r="N151" i="145"/>
  <c r="Y156" i="108"/>
  <c r="S156" i="108"/>
  <c r="Z156" i="108" s="1"/>
  <c r="FC108" i="27"/>
  <c r="FH108" i="27"/>
  <c r="FB108" i="27"/>
  <c r="EZ108" i="27"/>
  <c r="U156" i="108"/>
  <c r="X156" i="108"/>
  <c r="Z151" i="145" l="1"/>
  <c r="AF151" i="145"/>
  <c r="T151" i="145"/>
  <c r="Q151" i="145"/>
  <c r="W151" i="145"/>
  <c r="AD151" i="145"/>
  <c r="AE151" i="145"/>
  <c r="FE108" i="27"/>
  <c r="FA108" i="27"/>
  <c r="AC153" i="145"/>
  <c r="AL154" i="85"/>
  <c r="Q154" i="85"/>
  <c r="R154" i="85"/>
  <c r="T154" i="85"/>
  <c r="S154" i="85"/>
  <c r="P154" i="85"/>
  <c r="I154" i="85"/>
  <c r="H154" i="85"/>
  <c r="G157" i="108" s="1"/>
  <c r="N154" i="85"/>
  <c r="J154" i="85"/>
  <c r="G109" i="27" s="1"/>
  <c r="FN109" i="27" s="1"/>
  <c r="O154" i="85"/>
  <c r="M154" i="85"/>
  <c r="K154" i="85"/>
  <c r="FD108" i="27"/>
  <c r="FF108" i="27"/>
  <c r="L154" i="85"/>
  <c r="L157" i="108" s="1"/>
  <c r="AE157" i="108" s="1"/>
  <c r="BF154" i="85" l="1"/>
  <c r="BC154" i="85"/>
  <c r="BA154" i="85"/>
  <c r="BI154" i="85"/>
  <c r="BB154" i="85"/>
  <c r="BG154" i="85"/>
  <c r="AZ154" i="85"/>
  <c r="BH154" i="85"/>
  <c r="AY154" i="85"/>
  <c r="BE154" i="85"/>
  <c r="BK154" i="85"/>
  <c r="BD154" i="85"/>
  <c r="AW154" i="85"/>
  <c r="BJ154" i="85"/>
  <c r="AX154" i="85"/>
  <c r="AT154" i="85"/>
  <c r="AV154" i="85"/>
  <c r="AU154" i="85"/>
  <c r="AS154" i="85"/>
  <c r="AR154" i="85"/>
  <c r="AP154" i="85"/>
  <c r="AQ154" i="85"/>
  <c r="AO154" i="85"/>
  <c r="AN154" i="85"/>
  <c r="I157" i="108"/>
  <c r="M157" i="108"/>
  <c r="F109" i="27"/>
  <c r="N157" i="108"/>
  <c r="P157" i="108"/>
  <c r="D109" i="27"/>
  <c r="H157" i="108"/>
  <c r="AM154" i="85"/>
  <c r="U157" i="108"/>
  <c r="AD157" i="108"/>
  <c r="AB157" i="108"/>
  <c r="W157" i="108"/>
  <c r="AA157" i="108"/>
  <c r="Q157" i="108"/>
  <c r="T157" i="108"/>
  <c r="M152" i="145" l="1"/>
  <c r="N152" i="145"/>
  <c r="S157" i="108"/>
  <c r="Z157" i="108" s="1"/>
  <c r="Y157" i="108"/>
  <c r="V157" i="108"/>
  <c r="FC109" i="27"/>
  <c r="EZ109" i="27"/>
  <c r="FH109" i="27"/>
  <c r="FB109" i="27"/>
  <c r="X157" i="108"/>
  <c r="R157" i="108"/>
  <c r="Q152" i="145" l="1"/>
  <c r="AF152" i="145"/>
  <c r="Z152" i="145"/>
  <c r="W152" i="145"/>
  <c r="T152" i="145"/>
  <c r="AE152" i="145"/>
  <c r="AD152" i="145"/>
  <c r="FE109" i="27"/>
  <c r="FA109" i="27"/>
  <c r="AC154" i="145"/>
  <c r="FD109" i="27"/>
  <c r="FF109" i="27"/>
  <c r="R155" i="85" l="1"/>
  <c r="Q155" i="85"/>
  <c r="AL155" i="85"/>
  <c r="S155" i="85"/>
  <c r="T155" i="85"/>
  <c r="I155" i="85"/>
  <c r="P155" i="85"/>
  <c r="N155" i="85"/>
  <c r="J155" i="85"/>
  <c r="G110" i="27" s="1"/>
  <c r="FN110" i="27" s="1"/>
  <c r="O155" i="85"/>
  <c r="H155" i="85"/>
  <c r="G158" i="108" s="1"/>
  <c r="M155" i="85"/>
  <c r="K155" i="85"/>
  <c r="L155" i="85"/>
  <c r="L158" i="108" s="1"/>
  <c r="AA158" i="108" s="1"/>
  <c r="BB155" i="85" l="1"/>
  <c r="BG155" i="85"/>
  <c r="BD155" i="85"/>
  <c r="BK155" i="85"/>
  <c r="BH155" i="85"/>
  <c r="BJ155" i="85"/>
  <c r="AY155" i="85"/>
  <c r="BF155" i="85"/>
  <c r="AX155" i="85"/>
  <c r="BA155" i="85"/>
  <c r="BC155" i="85"/>
  <c r="AW155" i="85"/>
  <c r="BI155" i="85"/>
  <c r="AZ155" i="85"/>
  <c r="BE155" i="85"/>
  <c r="AV155" i="85"/>
  <c r="AR155" i="85"/>
  <c r="AP155" i="85"/>
  <c r="AO155" i="85"/>
  <c r="AS155" i="85"/>
  <c r="AU155" i="85"/>
  <c r="AQ155" i="85"/>
  <c r="AT155" i="85"/>
  <c r="AM155" i="85"/>
  <c r="D110" i="27"/>
  <c r="H158" i="108"/>
  <c r="P158" i="108"/>
  <c r="N158" i="108"/>
  <c r="AN155" i="85"/>
  <c r="I158" i="108"/>
  <c r="M158" i="108"/>
  <c r="F110" i="27"/>
  <c r="Q158" i="108"/>
  <c r="AE158" i="108"/>
  <c r="T158" i="108"/>
  <c r="U158" i="108"/>
  <c r="W158" i="108"/>
  <c r="AB158" i="108"/>
  <c r="AD158" i="108"/>
  <c r="M153" i="145" l="1"/>
  <c r="N153" i="145"/>
  <c r="Y158" i="108"/>
  <c r="V158" i="108"/>
  <c r="S158" i="108"/>
  <c r="Z158" i="108" s="1"/>
  <c r="FH110" i="27"/>
  <c r="FC110" i="27"/>
  <c r="EZ110" i="27"/>
  <c r="FB110" i="27"/>
  <c r="X158" i="108"/>
  <c r="R158" i="108"/>
  <c r="W153" i="145" l="1"/>
  <c r="T153" i="145"/>
  <c r="Q153" i="145"/>
  <c r="Z153" i="145"/>
  <c r="AF153" i="145"/>
  <c r="AE153" i="145"/>
  <c r="AD153" i="145"/>
  <c r="FE110" i="27"/>
  <c r="FD110" i="27"/>
  <c r="FF110" i="27"/>
  <c r="AC155" i="145"/>
  <c r="FA110" i="27"/>
  <c r="T156" i="85" l="1"/>
  <c r="S156" i="85"/>
  <c r="P156" i="85"/>
  <c r="Q156" i="85"/>
  <c r="AL156" i="85"/>
  <c r="R156" i="85"/>
  <c r="I156" i="85"/>
  <c r="N156" i="85"/>
  <c r="O156" i="85"/>
  <c r="J156" i="85"/>
  <c r="G111" i="27" s="1"/>
  <c r="FN111" i="27" s="1"/>
  <c r="H156" i="85"/>
  <c r="G159" i="108" s="1"/>
  <c r="M156" i="85"/>
  <c r="K156" i="85"/>
  <c r="L156" i="85"/>
  <c r="L159" i="108" s="1"/>
  <c r="AT156" i="85" l="1"/>
  <c r="BB156" i="85"/>
  <c r="AX156" i="85"/>
  <c r="AW156" i="85"/>
  <c r="BJ156" i="85"/>
  <c r="BC156" i="85"/>
  <c r="BE156" i="85"/>
  <c r="AZ156" i="85"/>
  <c r="BI156" i="85"/>
  <c r="BF156" i="85"/>
  <c r="BA156" i="85"/>
  <c r="BH156" i="85"/>
  <c r="BD156" i="85"/>
  <c r="AY156" i="85"/>
  <c r="BK156" i="85"/>
  <c r="BG156" i="85"/>
  <c r="AP156" i="85"/>
  <c r="AV156" i="85"/>
  <c r="AU156" i="85"/>
  <c r="AR156" i="85"/>
  <c r="AS156" i="85"/>
  <c r="AQ156" i="85"/>
  <c r="AO156" i="85"/>
  <c r="AN156" i="85"/>
  <c r="I159" i="108"/>
  <c r="P159" i="108"/>
  <c r="AM156" i="85"/>
  <c r="D111" i="27"/>
  <c r="H159" i="108"/>
  <c r="M159" i="108"/>
  <c r="F111" i="27"/>
  <c r="N159" i="108"/>
  <c r="AB159" i="108"/>
  <c r="T159" i="108"/>
  <c r="AD159" i="108"/>
  <c r="Q159" i="108"/>
  <c r="AA159" i="108"/>
  <c r="W159" i="108"/>
  <c r="AE159" i="108"/>
  <c r="R159" i="108"/>
  <c r="V159" i="108" l="1"/>
  <c r="N154" i="145"/>
  <c r="M154" i="145"/>
  <c r="S159" i="108"/>
  <c r="Z159" i="108" s="1"/>
  <c r="Y159" i="108"/>
  <c r="EZ111" i="27"/>
  <c r="FH111" i="27"/>
  <c r="FC111" i="27"/>
  <c r="FB111" i="27"/>
  <c r="L157" i="85"/>
  <c r="L160" i="108" s="1"/>
  <c r="Q160" i="108" s="1"/>
  <c r="X159" i="108"/>
  <c r="U159" i="108"/>
  <c r="T154" i="145" l="1"/>
  <c r="Q154" i="145"/>
  <c r="W154" i="145"/>
  <c r="Z154" i="145"/>
  <c r="AF154" i="145"/>
  <c r="AD154" i="145"/>
  <c r="AE154" i="145"/>
  <c r="FE111" i="27"/>
  <c r="P160" i="108"/>
  <c r="FD111" i="27"/>
  <c r="FF111" i="27"/>
  <c r="AL157" i="85"/>
  <c r="T157" i="85"/>
  <c r="I157" i="85"/>
  <c r="S157" i="85"/>
  <c r="P157" i="85"/>
  <c r="Q157" i="85"/>
  <c r="R157" i="85"/>
  <c r="N157" i="85"/>
  <c r="H157" i="85"/>
  <c r="G160" i="108" s="1"/>
  <c r="J157" i="85"/>
  <c r="G112" i="27" s="1"/>
  <c r="FN112" i="27" s="1"/>
  <c r="O157" i="85"/>
  <c r="M157" i="85"/>
  <c r="K157" i="85"/>
  <c r="FA111" i="27"/>
  <c r="AC156" i="145"/>
  <c r="S160" i="108"/>
  <c r="Z160" i="108" s="1"/>
  <c r="W160" i="108"/>
  <c r="AB160" i="108"/>
  <c r="AE160" i="108"/>
  <c r="T160" i="108"/>
  <c r="AD160" i="108"/>
  <c r="AA160" i="108"/>
  <c r="AU157" i="85" l="1"/>
  <c r="BG157" i="85"/>
  <c r="BD157" i="85"/>
  <c r="BK157" i="85"/>
  <c r="AY157" i="85"/>
  <c r="BI157" i="85"/>
  <c r="AX157" i="85"/>
  <c r="AZ157" i="85"/>
  <c r="BE157" i="85"/>
  <c r="AW157" i="85"/>
  <c r="BB157" i="85"/>
  <c r="BC157" i="85"/>
  <c r="BA157" i="85"/>
  <c r="BJ157" i="85"/>
  <c r="BH157" i="85"/>
  <c r="BF157" i="85"/>
  <c r="AV157" i="85"/>
  <c r="AR157" i="85"/>
  <c r="AP157" i="85"/>
  <c r="AQ157" i="85"/>
  <c r="AO157" i="85"/>
  <c r="AS157" i="85"/>
  <c r="AT157" i="85"/>
  <c r="Y160" i="108"/>
  <c r="V160" i="108"/>
  <c r="AM157" i="85"/>
  <c r="D112" i="27"/>
  <c r="H160" i="108"/>
  <c r="N160" i="108"/>
  <c r="AN157" i="85"/>
  <c r="I160" i="108"/>
  <c r="R160" i="108" s="1"/>
  <c r="M160" i="108"/>
  <c r="F112" i="27"/>
  <c r="N155" i="145" l="1"/>
  <c r="M155" i="145"/>
  <c r="FC112" i="27"/>
  <c r="FH112" i="27"/>
  <c r="EZ112" i="27"/>
  <c r="FB112" i="27"/>
  <c r="X160" i="108"/>
  <c r="U160" i="108"/>
  <c r="T155" i="145" l="1"/>
  <c r="Z155" i="145"/>
  <c r="Q155" i="145"/>
  <c r="W155" i="145"/>
  <c r="AF155" i="145"/>
  <c r="AE155" i="145"/>
  <c r="AD155" i="145"/>
  <c r="FE112" i="27"/>
  <c r="AC157" i="145"/>
  <c r="FA112" i="27"/>
  <c r="FD112" i="27"/>
  <c r="FF112" i="27"/>
  <c r="L158" i="85"/>
  <c r="L161" i="108" s="1"/>
  <c r="AE161" i="108" s="1"/>
  <c r="P161" i="108" l="1"/>
  <c r="T158" i="85"/>
  <c r="R158" i="85"/>
  <c r="AL158" i="85"/>
  <c r="Q158" i="85"/>
  <c r="P158" i="85"/>
  <c r="S158" i="85"/>
  <c r="I158" i="85"/>
  <c r="N158" i="85"/>
  <c r="O158" i="85"/>
  <c r="M158" i="85"/>
  <c r="H158" i="85"/>
  <c r="G161" i="108" s="1"/>
  <c r="J158" i="85"/>
  <c r="G113" i="27" s="1"/>
  <c r="FN113" i="27" s="1"/>
  <c r="K158" i="85"/>
  <c r="T161" i="108"/>
  <c r="AD161" i="108"/>
  <c r="Q161" i="108"/>
  <c r="W161" i="108"/>
  <c r="AA161" i="108"/>
  <c r="AB161" i="108"/>
  <c r="AR158" i="85" l="1"/>
  <c r="AU158" i="85"/>
  <c r="AQ158" i="85"/>
  <c r="AS158" i="85"/>
  <c r="AV158" i="85"/>
  <c r="AT158" i="85"/>
  <c r="AP158" i="85"/>
  <c r="BD158" i="85"/>
  <c r="BK158" i="85"/>
  <c r="AX158" i="85"/>
  <c r="BC158" i="85"/>
  <c r="BH158" i="85"/>
  <c r="AZ158" i="85"/>
  <c r="AY158" i="85"/>
  <c r="BE158" i="85"/>
  <c r="BB158" i="85"/>
  <c r="BF158" i="85"/>
  <c r="BJ158" i="85"/>
  <c r="BA158" i="85"/>
  <c r="BI158" i="85"/>
  <c r="AW158" i="85"/>
  <c r="BG158" i="85"/>
  <c r="AO158" i="85"/>
  <c r="S161" i="108"/>
  <c r="Z161" i="108" s="1"/>
  <c r="V161" i="108"/>
  <c r="Y161" i="108"/>
  <c r="AN158" i="85"/>
  <c r="I161" i="108"/>
  <c r="H161" i="108"/>
  <c r="AM158" i="85"/>
  <c r="D113" i="27"/>
  <c r="M161" i="108"/>
  <c r="F113" i="27"/>
  <c r="N161" i="108"/>
  <c r="R161" i="108"/>
  <c r="M156" i="145" l="1"/>
  <c r="N156" i="145"/>
  <c r="FH113" i="27"/>
  <c r="EZ113" i="27"/>
  <c r="FC113" i="27"/>
  <c r="FB113" i="27"/>
  <c r="X161" i="108"/>
  <c r="U161" i="108"/>
  <c r="T156" i="145" l="1"/>
  <c r="Z156" i="145"/>
  <c r="W156" i="145"/>
  <c r="Q156" i="145"/>
  <c r="AF156" i="145"/>
  <c r="AD156" i="145"/>
  <c r="AE156" i="145"/>
  <c r="FE113" i="27"/>
  <c r="FF113" i="27"/>
  <c r="FD113" i="27"/>
  <c r="AC158" i="145"/>
  <c r="FA113" i="27"/>
  <c r="R159" i="85" l="1"/>
  <c r="S159" i="85"/>
  <c r="AL159" i="85"/>
  <c r="P159" i="85"/>
  <c r="Q159" i="85"/>
  <c r="T159" i="85"/>
  <c r="I159" i="85"/>
  <c r="N159" i="85"/>
  <c r="O159" i="85"/>
  <c r="M159" i="85"/>
  <c r="H159" i="85"/>
  <c r="G162" i="108" s="1"/>
  <c r="J159" i="85"/>
  <c r="G114" i="27" s="1"/>
  <c r="FN114" i="27" s="1"/>
  <c r="K159" i="85"/>
  <c r="L159" i="85"/>
  <c r="L162" i="108" s="1"/>
  <c r="W162" i="108" s="1"/>
  <c r="AV159" i="85" l="1"/>
  <c r="BI159" i="85"/>
  <c r="BD159" i="85"/>
  <c r="BC159" i="85"/>
  <c r="AY159" i="85"/>
  <c r="BJ159" i="85"/>
  <c r="AZ159" i="85"/>
  <c r="AW159" i="85"/>
  <c r="BE159" i="85"/>
  <c r="BH159" i="85"/>
  <c r="BB159" i="85"/>
  <c r="BF159" i="85"/>
  <c r="BA159" i="85"/>
  <c r="BG159" i="85"/>
  <c r="AX159" i="85"/>
  <c r="BK159" i="85"/>
  <c r="AP159" i="85"/>
  <c r="AQ159" i="85"/>
  <c r="AS159" i="85"/>
  <c r="AO159" i="85"/>
  <c r="AU159" i="85"/>
  <c r="AR159" i="85"/>
  <c r="AT159" i="85"/>
  <c r="Y162" i="108"/>
  <c r="D114" i="27"/>
  <c r="AM159" i="85"/>
  <c r="H162" i="108"/>
  <c r="AN159" i="85"/>
  <c r="I162" i="108"/>
  <c r="P162" i="108"/>
  <c r="M162" i="108"/>
  <c r="F114" i="27"/>
  <c r="N162" i="108"/>
  <c r="T162" i="108"/>
  <c r="R162" i="108"/>
  <c r="AB162" i="108"/>
  <c r="Q162" i="108"/>
  <c r="AE162" i="108"/>
  <c r="AA162" i="108"/>
  <c r="AD162" i="108"/>
  <c r="M157" i="145" l="1"/>
  <c r="N157" i="145"/>
  <c r="V162" i="108"/>
  <c r="S162" i="108"/>
  <c r="Z162" i="108" s="1"/>
  <c r="FC114" i="27"/>
  <c r="FH114" i="27"/>
  <c r="FB114" i="27"/>
  <c r="EZ114" i="27"/>
  <c r="X162" i="108"/>
  <c r="U162" i="108"/>
  <c r="Z157" i="145" l="1"/>
  <c r="W157" i="145"/>
  <c r="Q157" i="145"/>
  <c r="T157" i="145"/>
  <c r="AF157" i="145"/>
  <c r="AD157" i="145"/>
  <c r="AE157" i="145"/>
  <c r="FE114" i="27"/>
  <c r="AC159" i="145"/>
  <c r="FA114" i="27"/>
  <c r="FD114" i="27"/>
  <c r="FF114" i="27"/>
  <c r="L163" i="85"/>
  <c r="L166" i="108" s="1"/>
  <c r="P166" i="108" l="1"/>
  <c r="AL163" i="85"/>
  <c r="T163" i="85"/>
  <c r="R163" i="85"/>
  <c r="P163" i="85"/>
  <c r="S163" i="85"/>
  <c r="Q163" i="85"/>
  <c r="I163" i="85"/>
  <c r="N163" i="85"/>
  <c r="O163" i="85"/>
  <c r="H163" i="85"/>
  <c r="G166" i="108" s="1"/>
  <c r="M163" i="85"/>
  <c r="J163" i="85"/>
  <c r="G118" i="27" s="1"/>
  <c r="FN118" i="27" s="1"/>
  <c r="K163" i="85"/>
  <c r="AD166" i="108"/>
  <c r="Q166" i="108"/>
  <c r="AA166" i="108"/>
  <c r="W166" i="108"/>
  <c r="AE166" i="108"/>
  <c r="AB166" i="108"/>
  <c r="T166" i="108"/>
  <c r="AV163" i="85" l="1"/>
  <c r="AZ163" i="85"/>
  <c r="AY163" i="85"/>
  <c r="BI163" i="85"/>
  <c r="BK163" i="85"/>
  <c r="BH163" i="85"/>
  <c r="BF163" i="85"/>
  <c r="BA163" i="85"/>
  <c r="BE163" i="85"/>
  <c r="BJ163" i="85"/>
  <c r="BD163" i="85"/>
  <c r="AW163" i="85"/>
  <c r="BB163" i="85"/>
  <c r="BG163" i="85"/>
  <c r="AX163" i="85"/>
  <c r="BC163" i="85"/>
  <c r="AT163" i="85"/>
  <c r="AR163" i="85"/>
  <c r="AU163" i="85"/>
  <c r="AP163" i="85"/>
  <c r="AQ163" i="85"/>
  <c r="AO163" i="85"/>
  <c r="AS163" i="85"/>
  <c r="S166" i="108"/>
  <c r="Z166" i="108" s="1"/>
  <c r="V166" i="108"/>
  <c r="Y166" i="108"/>
  <c r="M166" i="108"/>
  <c r="F118" i="27"/>
  <c r="AN163" i="85"/>
  <c r="I166" i="108"/>
  <c r="N166" i="108"/>
  <c r="AM163" i="85"/>
  <c r="D118" i="27"/>
  <c r="H166" i="108"/>
  <c r="L164" i="85"/>
  <c r="L167" i="108" s="1"/>
  <c r="R166" i="108"/>
  <c r="N163" i="145" l="1"/>
  <c r="M163" i="145"/>
  <c r="Q163" i="145" s="1"/>
  <c r="P167" i="108"/>
  <c r="Q164" i="85"/>
  <c r="AL164" i="85"/>
  <c r="P164" i="85"/>
  <c r="T164" i="85"/>
  <c r="S164" i="85"/>
  <c r="R164" i="85"/>
  <c r="I164" i="85"/>
  <c r="N164" i="85"/>
  <c r="J164" i="85"/>
  <c r="G119" i="27" s="1"/>
  <c r="FN119" i="27" s="1"/>
  <c r="M164" i="85"/>
  <c r="O164" i="85"/>
  <c r="H164" i="85"/>
  <c r="G167" i="108" s="1"/>
  <c r="K164" i="85"/>
  <c r="FH118" i="27"/>
  <c r="FC118" i="27"/>
  <c r="EZ118" i="27"/>
  <c r="AC163" i="145" s="1"/>
  <c r="FB118" i="27"/>
  <c r="AE167" i="108"/>
  <c r="W167" i="108"/>
  <c r="Q167" i="108"/>
  <c r="AB167" i="108"/>
  <c r="U166" i="108"/>
  <c r="AA167" i="108"/>
  <c r="AD167" i="108"/>
  <c r="T167" i="108"/>
  <c r="X166" i="108"/>
  <c r="AX164" i="85" l="1"/>
  <c r="AZ164" i="85"/>
  <c r="BC164" i="85"/>
  <c r="BG164" i="85"/>
  <c r="AW164" i="85"/>
  <c r="BA164" i="85"/>
  <c r="BK164" i="85"/>
  <c r="BF164" i="85"/>
  <c r="BI164" i="85"/>
  <c r="AY164" i="85"/>
  <c r="BB164" i="85"/>
  <c r="BJ164" i="85"/>
  <c r="BD164" i="85"/>
  <c r="BE164" i="85"/>
  <c r="BH164" i="85"/>
  <c r="AO164" i="85"/>
  <c r="AQ164" i="85"/>
  <c r="AR164" i="85"/>
  <c r="AV164" i="85"/>
  <c r="AU164" i="85"/>
  <c r="AP164" i="85"/>
  <c r="AT164" i="85"/>
  <c r="AS164" i="85"/>
  <c r="AD163" i="145"/>
  <c r="AF163" i="145"/>
  <c r="FE118" i="27"/>
  <c r="T163" i="145"/>
  <c r="W163" i="145"/>
  <c r="Z163" i="145"/>
  <c r="Y167" i="108"/>
  <c r="V167" i="108"/>
  <c r="S167" i="108"/>
  <c r="Z167" i="108" s="1"/>
  <c r="FF118" i="27"/>
  <c r="FD118" i="27"/>
  <c r="AN164" i="85"/>
  <c r="I167" i="108"/>
  <c r="N167" i="108"/>
  <c r="M167" i="108"/>
  <c r="F119" i="27"/>
  <c r="FA118" i="27"/>
  <c r="AE163" i="145" s="1"/>
  <c r="AM164" i="85"/>
  <c r="D119" i="27"/>
  <c r="H167" i="108"/>
  <c r="L144" i="85"/>
  <c r="L147" i="108" s="1"/>
  <c r="R167" i="108"/>
  <c r="N164" i="145" l="1"/>
  <c r="M164" i="145"/>
  <c r="W164" i="145" s="1"/>
  <c r="P147" i="108"/>
  <c r="AL144" i="85"/>
  <c r="R144" i="85"/>
  <c r="P144" i="85"/>
  <c r="Q144" i="85"/>
  <c r="T144" i="85"/>
  <c r="S144" i="85"/>
  <c r="N144" i="85"/>
  <c r="I144" i="85"/>
  <c r="J144" i="85"/>
  <c r="G99" i="27" s="1"/>
  <c r="FN99" i="27" s="1"/>
  <c r="H144" i="85"/>
  <c r="G147" i="108" s="1"/>
  <c r="M144" i="85"/>
  <c r="O144" i="85"/>
  <c r="K144" i="85"/>
  <c r="FH119" i="27"/>
  <c r="FB119" i="27"/>
  <c r="FC119" i="27"/>
  <c r="EZ119" i="27"/>
  <c r="AC164" i="145" s="1"/>
  <c r="AA147" i="108"/>
  <c r="AB147" i="108"/>
  <c r="AE147" i="108"/>
  <c r="AD147" i="108"/>
  <c r="Q147" i="108"/>
  <c r="U167" i="108"/>
  <c r="X167" i="108"/>
  <c r="W147" i="108"/>
  <c r="T147" i="108"/>
  <c r="AR144" i="85" l="1"/>
  <c r="AT144" i="85"/>
  <c r="AV144" i="85"/>
  <c r="BB144" i="85"/>
  <c r="BE144" i="85"/>
  <c r="BK144" i="85"/>
  <c r="BH144" i="85"/>
  <c r="BA144" i="85"/>
  <c r="BD144" i="85"/>
  <c r="AY144" i="85"/>
  <c r="AW144" i="85"/>
  <c r="BJ144" i="85"/>
  <c r="AX144" i="85"/>
  <c r="BC144" i="85"/>
  <c r="BI144" i="85"/>
  <c r="BG144" i="85"/>
  <c r="BF144" i="85"/>
  <c r="AZ144" i="85"/>
  <c r="AU144" i="85"/>
  <c r="AP144" i="85"/>
  <c r="AO144" i="85"/>
  <c r="AQ144" i="85"/>
  <c r="AS144" i="85"/>
  <c r="AF164" i="145"/>
  <c r="Z164" i="145"/>
  <c r="Q164" i="145"/>
  <c r="T164" i="145"/>
  <c r="AD164" i="145"/>
  <c r="FE119" i="27"/>
  <c r="V147" i="108"/>
  <c r="Y147" i="108"/>
  <c r="S147" i="108"/>
  <c r="Z147" i="108" s="1"/>
  <c r="FA119" i="27"/>
  <c r="AE164" i="145" s="1"/>
  <c r="AN144" i="85"/>
  <c r="I147" i="108"/>
  <c r="N147" i="108"/>
  <c r="M147" i="108"/>
  <c r="F99" i="27"/>
  <c r="FF119" i="27"/>
  <c r="FD119" i="27"/>
  <c r="AM144" i="85"/>
  <c r="D99" i="27"/>
  <c r="H147" i="108"/>
  <c r="L161" i="85"/>
  <c r="L164" i="108" s="1"/>
  <c r="U147" i="108"/>
  <c r="N142" i="145" l="1"/>
  <c r="M142" i="145"/>
  <c r="P164" i="108"/>
  <c r="FC99" i="27"/>
  <c r="FB99" i="27"/>
  <c r="EZ99" i="27"/>
  <c r="FH99" i="27"/>
  <c r="AL161" i="85"/>
  <c r="P161" i="85"/>
  <c r="R161" i="85"/>
  <c r="Q161" i="85"/>
  <c r="T161" i="85"/>
  <c r="I161" i="85"/>
  <c r="S161" i="85"/>
  <c r="N161" i="85"/>
  <c r="H161" i="85"/>
  <c r="G164" i="108" s="1"/>
  <c r="J161" i="85"/>
  <c r="G116" i="27" s="1"/>
  <c r="FN116" i="27" s="1"/>
  <c r="O161" i="85"/>
  <c r="M161" i="85"/>
  <c r="K161" i="85"/>
  <c r="T164" i="108"/>
  <c r="AB164" i="108"/>
  <c r="AA164" i="108"/>
  <c r="AD164" i="108"/>
  <c r="Q164" i="108"/>
  <c r="W164" i="108"/>
  <c r="AE164" i="108"/>
  <c r="X147" i="108"/>
  <c r="R147" i="108"/>
  <c r="V164" i="108" l="1"/>
  <c r="AT161" i="85"/>
  <c r="BJ161" i="85"/>
  <c r="AY161" i="85"/>
  <c r="AX161" i="85"/>
  <c r="BD161" i="85"/>
  <c r="BH161" i="85"/>
  <c r="BG161" i="85"/>
  <c r="AZ161" i="85"/>
  <c r="BI161" i="85"/>
  <c r="BA161" i="85"/>
  <c r="BF161" i="85"/>
  <c r="BK161" i="85"/>
  <c r="BC161" i="85"/>
  <c r="BE161" i="85"/>
  <c r="BB161" i="85"/>
  <c r="AW161" i="85"/>
  <c r="AQ161" i="85"/>
  <c r="AO161" i="85"/>
  <c r="AS161" i="85"/>
  <c r="AV161" i="85"/>
  <c r="AU161" i="85"/>
  <c r="AP161" i="85"/>
  <c r="AR161" i="85"/>
  <c r="T142" i="145"/>
  <c r="Z142" i="145"/>
  <c r="W142" i="145"/>
  <c r="AF142" i="145"/>
  <c r="Q142" i="145"/>
  <c r="AE142" i="145"/>
  <c r="AD142" i="145"/>
  <c r="FE99" i="27"/>
  <c r="Y164" i="108"/>
  <c r="S164" i="108"/>
  <c r="Z164" i="108" s="1"/>
  <c r="AN161" i="85"/>
  <c r="I164" i="108"/>
  <c r="M164" i="108"/>
  <c r="M159" i="145"/>
  <c r="F116" i="27"/>
  <c r="N164" i="108"/>
  <c r="AC144" i="145"/>
  <c r="FA99" i="27"/>
  <c r="H164" i="108"/>
  <c r="D116" i="27"/>
  <c r="AM161" i="85"/>
  <c r="FD99" i="27"/>
  <c r="FF99" i="27"/>
  <c r="N159" i="145"/>
  <c r="L148" i="85"/>
  <c r="L151" i="108" s="1"/>
  <c r="X164" i="108"/>
  <c r="T159" i="145" l="1"/>
  <c r="Z159" i="145"/>
  <c r="W159" i="145"/>
  <c r="Q159" i="145"/>
  <c r="AF159" i="145"/>
  <c r="AE159" i="145"/>
  <c r="AD159" i="145"/>
  <c r="N161" i="145"/>
  <c r="M161" i="145"/>
  <c r="Q161" i="145" s="1"/>
  <c r="P151" i="108"/>
  <c r="FH116" i="27"/>
  <c r="EZ116" i="27"/>
  <c r="AC161" i="145" s="1"/>
  <c r="FB116" i="27"/>
  <c r="FC116" i="27"/>
  <c r="S148" i="85"/>
  <c r="T148" i="85"/>
  <c r="AL148" i="85"/>
  <c r="P148" i="85"/>
  <c r="R148" i="85"/>
  <c r="I148" i="85"/>
  <c r="Q148" i="85"/>
  <c r="N148" i="85"/>
  <c r="J148" i="85"/>
  <c r="G103" i="27" s="1"/>
  <c r="FN103" i="27" s="1"/>
  <c r="M148" i="85"/>
  <c r="H148" i="85"/>
  <c r="G151" i="108" s="1"/>
  <c r="O148" i="85"/>
  <c r="K148" i="85"/>
  <c r="AB151" i="108"/>
  <c r="U164" i="108"/>
  <c r="W151" i="108"/>
  <c r="AE151" i="108"/>
  <c r="AA151" i="108"/>
  <c r="T151" i="108"/>
  <c r="AD151" i="108"/>
  <c r="R164" i="108"/>
  <c r="Q151" i="108"/>
  <c r="Y151" i="108" l="1"/>
  <c r="AR148" i="85"/>
  <c r="AT148" i="85"/>
  <c r="AS148" i="85"/>
  <c r="AP148" i="85"/>
  <c r="N148" i="145" s="1"/>
  <c r="BK148" i="85"/>
  <c r="BC148" i="85"/>
  <c r="BD148" i="85"/>
  <c r="BB148" i="85"/>
  <c r="BF148" i="85"/>
  <c r="BG148" i="85"/>
  <c r="AX148" i="85"/>
  <c r="BH148" i="85"/>
  <c r="BA148" i="85"/>
  <c r="AZ148" i="85"/>
  <c r="AW148" i="85"/>
  <c r="BJ148" i="85"/>
  <c r="BE148" i="85"/>
  <c r="BI148" i="85"/>
  <c r="AY148" i="85"/>
  <c r="AV148" i="85"/>
  <c r="AO148" i="85"/>
  <c r="AU148" i="85"/>
  <c r="AQ148" i="85"/>
  <c r="AD161" i="145"/>
  <c r="AF161" i="145"/>
  <c r="FE116" i="27"/>
  <c r="W161" i="145"/>
  <c r="T161" i="145"/>
  <c r="Z161" i="145"/>
  <c r="S151" i="108"/>
  <c r="Z151" i="108" s="1"/>
  <c r="V151" i="108"/>
  <c r="FF116" i="27"/>
  <c r="FD116" i="27"/>
  <c r="D103" i="27"/>
  <c r="AM148" i="85"/>
  <c r="H151" i="108"/>
  <c r="FA116" i="27"/>
  <c r="AE161" i="145" s="1"/>
  <c r="AN148" i="85"/>
  <c r="I151" i="108"/>
  <c r="N151" i="108"/>
  <c r="M151" i="108"/>
  <c r="F103" i="27"/>
  <c r="X151" i="108"/>
  <c r="M148" i="145" l="1"/>
  <c r="T148" i="145" s="1"/>
  <c r="Q146" i="85"/>
  <c r="T146" i="85"/>
  <c r="P146" i="85"/>
  <c r="S146" i="85"/>
  <c r="AL146" i="85"/>
  <c r="I146" i="85"/>
  <c r="R146" i="85"/>
  <c r="N146" i="85"/>
  <c r="M146" i="85"/>
  <c r="H146" i="85"/>
  <c r="G149" i="108" s="1"/>
  <c r="J146" i="85"/>
  <c r="G101" i="27" s="1"/>
  <c r="FN101" i="27" s="1"/>
  <c r="O146" i="85"/>
  <c r="K146" i="85"/>
  <c r="L146" i="85"/>
  <c r="L149" i="108" s="1"/>
  <c r="FC103" i="27"/>
  <c r="FH103" i="27"/>
  <c r="FB103" i="27"/>
  <c r="EZ103" i="27"/>
  <c r="R151" i="108"/>
  <c r="U151" i="108"/>
  <c r="AA149" i="108"/>
  <c r="AP146" i="85" l="1"/>
  <c r="AO146" i="85"/>
  <c r="BI146" i="85"/>
  <c r="BG146" i="85"/>
  <c r="BE146" i="85"/>
  <c r="AY146" i="85"/>
  <c r="BC146" i="85"/>
  <c r="AX146" i="85"/>
  <c r="BB146" i="85"/>
  <c r="BH146" i="85"/>
  <c r="BD146" i="85"/>
  <c r="BJ146" i="85"/>
  <c r="AZ146" i="85"/>
  <c r="BF146" i="85"/>
  <c r="BK146" i="85"/>
  <c r="AW146" i="85"/>
  <c r="BA146" i="85"/>
  <c r="AQ146" i="85"/>
  <c r="AR146" i="85"/>
  <c r="AT146" i="85"/>
  <c r="AV146" i="85"/>
  <c r="AU146" i="85"/>
  <c r="AS146" i="85"/>
  <c r="AF148" i="145"/>
  <c r="Z148" i="145"/>
  <c r="Q148" i="145"/>
  <c r="W148" i="145"/>
  <c r="FE103" i="27"/>
  <c r="AC148" i="145"/>
  <c r="AD148" i="145" s="1"/>
  <c r="FA103" i="27"/>
  <c r="AE148" i="145" s="1"/>
  <c r="M144" i="145"/>
  <c r="M149" i="108"/>
  <c r="F101" i="27"/>
  <c r="FF103" i="27"/>
  <c r="FD103" i="27"/>
  <c r="P149" i="108"/>
  <c r="AM146" i="85"/>
  <c r="D101" i="27"/>
  <c r="H149" i="108"/>
  <c r="AN146" i="85"/>
  <c r="I149" i="108"/>
  <c r="N149" i="108"/>
  <c r="T149" i="108"/>
  <c r="W149" i="108"/>
  <c r="X149" i="108"/>
  <c r="AB149" i="108"/>
  <c r="Q149" i="108"/>
  <c r="AE149" i="108"/>
  <c r="AD149" i="108"/>
  <c r="W144" i="145" l="1"/>
  <c r="T144" i="145"/>
  <c r="Z144" i="145"/>
  <c r="Q144" i="145"/>
  <c r="AF144" i="145"/>
  <c r="AE144" i="145"/>
  <c r="AD144" i="145"/>
  <c r="N146" i="145"/>
  <c r="N144" i="145"/>
  <c r="M146" i="145"/>
  <c r="Z146" i="145" s="1"/>
  <c r="Y149" i="108"/>
  <c r="S149" i="108"/>
  <c r="Z149" i="108" s="1"/>
  <c r="V149" i="108"/>
  <c r="FH101" i="27"/>
  <c r="FC101" i="27"/>
  <c r="EZ101" i="27"/>
  <c r="FB101" i="27"/>
  <c r="S160" i="85"/>
  <c r="AL160" i="85"/>
  <c r="T160" i="85"/>
  <c r="I160" i="85"/>
  <c r="P160" i="85"/>
  <c r="Q160" i="85"/>
  <c r="R160" i="85"/>
  <c r="N160" i="85"/>
  <c r="O160" i="85"/>
  <c r="H160" i="85"/>
  <c r="G163" i="108" s="1"/>
  <c r="M160" i="85"/>
  <c r="J160" i="85"/>
  <c r="G115" i="27" s="1"/>
  <c r="FN115" i="27" s="1"/>
  <c r="K160" i="85"/>
  <c r="L160" i="85"/>
  <c r="L163" i="108" s="1"/>
  <c r="U149" i="108"/>
  <c r="R149" i="108"/>
  <c r="AB163" i="108"/>
  <c r="AR160" i="85" l="1"/>
  <c r="AS160" i="85"/>
  <c r="AW160" i="85"/>
  <c r="BI160" i="85"/>
  <c r="BA160" i="85"/>
  <c r="BE160" i="85"/>
  <c r="AZ160" i="85"/>
  <c r="BH160" i="85"/>
  <c r="BK160" i="85"/>
  <c r="BF160" i="85"/>
  <c r="BC160" i="85"/>
  <c r="BG160" i="85"/>
  <c r="AX160" i="85"/>
  <c r="AY160" i="85"/>
  <c r="BB160" i="85"/>
  <c r="BD160" i="85"/>
  <c r="BJ160" i="85"/>
  <c r="AV160" i="85"/>
  <c r="AU160" i="85"/>
  <c r="AT160" i="85"/>
  <c r="AP160" i="85"/>
  <c r="AQ160" i="85"/>
  <c r="AO160" i="85"/>
  <c r="AF146" i="145"/>
  <c r="FE101" i="27"/>
  <c r="W146" i="145"/>
  <c r="Q146" i="145"/>
  <c r="T146" i="145"/>
  <c r="FD101" i="27"/>
  <c r="FF101" i="27"/>
  <c r="H163" i="108"/>
  <c r="AM160" i="85"/>
  <c r="D115" i="27"/>
  <c r="M163" i="108"/>
  <c r="F115" i="27"/>
  <c r="N163" i="108"/>
  <c r="AC146" i="145"/>
  <c r="AD146" i="145" s="1"/>
  <c r="FA101" i="27"/>
  <c r="AE146" i="145" s="1"/>
  <c r="P163" i="108"/>
  <c r="AN160" i="85"/>
  <c r="I163" i="108"/>
  <c r="L149" i="85"/>
  <c r="L152" i="108" s="1"/>
  <c r="AA152" i="108" s="1"/>
  <c r="W163" i="108"/>
  <c r="X163" i="108"/>
  <c r="AE163" i="108"/>
  <c r="Q163" i="108"/>
  <c r="T163" i="108"/>
  <c r="AA163" i="108"/>
  <c r="AD163" i="108"/>
  <c r="M158" i="145" l="1"/>
  <c r="N158" i="145"/>
  <c r="V163" i="108"/>
  <c r="S163" i="108"/>
  <c r="Z163" i="108" s="1"/>
  <c r="Y163" i="108"/>
  <c r="P152" i="108"/>
  <c r="S149" i="85"/>
  <c r="I149" i="85"/>
  <c r="AL149" i="85"/>
  <c r="P149" i="85"/>
  <c r="Q149" i="85"/>
  <c r="R149" i="85"/>
  <c r="T149" i="85"/>
  <c r="N149" i="85"/>
  <c r="H149" i="85"/>
  <c r="G152" i="108" s="1"/>
  <c r="O149" i="85"/>
  <c r="M149" i="85"/>
  <c r="J149" i="85"/>
  <c r="G104" i="27" s="1"/>
  <c r="FN104" i="27" s="1"/>
  <c r="K149" i="85"/>
  <c r="FH115" i="27"/>
  <c r="FC115" i="27"/>
  <c r="FB115" i="27"/>
  <c r="EZ115" i="27"/>
  <c r="AC160" i="145" s="1"/>
  <c r="AD152" i="108"/>
  <c r="Q152" i="108"/>
  <c r="W152" i="108"/>
  <c r="AE152" i="108"/>
  <c r="T152" i="108"/>
  <c r="R163" i="108"/>
  <c r="U163" i="108"/>
  <c r="AB152" i="108"/>
  <c r="AO149" i="85" l="1"/>
  <c r="M149" i="145" s="1"/>
  <c r="AZ149" i="85"/>
  <c r="BA149" i="85"/>
  <c r="BC149" i="85"/>
  <c r="BH149" i="85"/>
  <c r="BK149" i="85"/>
  <c r="BI149" i="85"/>
  <c r="BJ149" i="85"/>
  <c r="BD149" i="85"/>
  <c r="AW149" i="85"/>
  <c r="BB149" i="85"/>
  <c r="BG149" i="85"/>
  <c r="BE149" i="85"/>
  <c r="AX149" i="85"/>
  <c r="BF149" i="85"/>
  <c r="AY149" i="85"/>
  <c r="AT149" i="85"/>
  <c r="AV149" i="85"/>
  <c r="AP149" i="85"/>
  <c r="N149" i="145" s="1"/>
  <c r="AQ149" i="85"/>
  <c r="AR149" i="85"/>
  <c r="AU149" i="85"/>
  <c r="AS149" i="85"/>
  <c r="W158" i="145"/>
  <c r="T158" i="145"/>
  <c r="Q158" i="145"/>
  <c r="Z158" i="145"/>
  <c r="AF158" i="145"/>
  <c r="AE158" i="145"/>
  <c r="AD158" i="145"/>
  <c r="FE115" i="27"/>
  <c r="V24" i="207"/>
  <c r="V30" i="207"/>
  <c r="Y152" i="108"/>
  <c r="S152" i="108"/>
  <c r="Z152" i="108" s="1"/>
  <c r="V152" i="108"/>
  <c r="FD115" i="27"/>
  <c r="FF115" i="27"/>
  <c r="AN149" i="85"/>
  <c r="I152" i="108"/>
  <c r="D104" i="27"/>
  <c r="H152" i="108"/>
  <c r="AM149" i="85"/>
  <c r="M152" i="108"/>
  <c r="F104" i="27"/>
  <c r="N152" i="108"/>
  <c r="FA115" i="27"/>
  <c r="U152" i="108"/>
  <c r="AL145" i="85" l="1"/>
  <c r="S145" i="85"/>
  <c r="P145" i="85"/>
  <c r="Q145" i="85"/>
  <c r="R145" i="85"/>
  <c r="T145" i="85"/>
  <c r="I145" i="85"/>
  <c r="N145" i="85"/>
  <c r="H145" i="85"/>
  <c r="G148" i="108" s="1"/>
  <c r="J145" i="85"/>
  <c r="G100" i="27" s="1"/>
  <c r="FN100" i="27" s="1"/>
  <c r="O145" i="85"/>
  <c r="M145" i="85"/>
  <c r="K145" i="85"/>
  <c r="L145" i="85"/>
  <c r="L148" i="108" s="1"/>
  <c r="T149" i="145"/>
  <c r="Z149" i="145"/>
  <c r="Q149" i="145"/>
  <c r="W149" i="145"/>
  <c r="EZ104" i="27"/>
  <c r="FH104" i="27"/>
  <c r="FC104" i="27"/>
  <c r="FB104" i="27"/>
  <c r="AF149" i="145" s="1"/>
  <c r="R152" i="108"/>
  <c r="X152" i="108"/>
  <c r="W148" i="108"/>
  <c r="AR145" i="85" l="1"/>
  <c r="BK145" i="85"/>
  <c r="BG145" i="85"/>
  <c r="BB145" i="85"/>
  <c r="BE145" i="85"/>
  <c r="BH145" i="85"/>
  <c r="BA145" i="85"/>
  <c r="AZ145" i="85"/>
  <c r="BC145" i="85"/>
  <c r="BF145" i="85"/>
  <c r="AX145" i="85"/>
  <c r="AY145" i="85"/>
  <c r="BJ145" i="85"/>
  <c r="AW145" i="85"/>
  <c r="BI145" i="85"/>
  <c r="BD145" i="85"/>
  <c r="AU145" i="85"/>
  <c r="AS145" i="85"/>
  <c r="AT145" i="85"/>
  <c r="AP145" i="85"/>
  <c r="AQ145" i="85"/>
  <c r="AV145" i="85"/>
  <c r="AO145" i="85"/>
  <c r="FE104" i="27"/>
  <c r="Y148" i="108"/>
  <c r="H148" i="108"/>
  <c r="D100" i="27"/>
  <c r="AM145" i="85"/>
  <c r="P148" i="108"/>
  <c r="FF104" i="27"/>
  <c r="FD104" i="27"/>
  <c r="AN145" i="85"/>
  <c r="I148" i="108"/>
  <c r="M148" i="108"/>
  <c r="F100" i="27"/>
  <c r="AC149" i="145"/>
  <c r="AD149" i="145" s="1"/>
  <c r="FA104" i="27"/>
  <c r="AE149" i="145" s="1"/>
  <c r="N148" i="108"/>
  <c r="L162" i="85"/>
  <c r="L165" i="108" s="1"/>
  <c r="T165" i="108" s="1"/>
  <c r="AA148" i="108"/>
  <c r="Q148" i="108"/>
  <c r="T148" i="108"/>
  <c r="AD148" i="108"/>
  <c r="AE148" i="108"/>
  <c r="AB148" i="108"/>
  <c r="U148" i="108"/>
  <c r="M143" i="145" l="1"/>
  <c r="N143" i="145"/>
  <c r="S148" i="108"/>
  <c r="Z148" i="108" s="1"/>
  <c r="V148" i="108"/>
  <c r="V165" i="108"/>
  <c r="P165" i="108"/>
  <c r="FH100" i="27"/>
  <c r="EZ100" i="27"/>
  <c r="FC100" i="27"/>
  <c r="FB100" i="27"/>
  <c r="S162" i="85"/>
  <c r="P162" i="85"/>
  <c r="AL162" i="85"/>
  <c r="Q162" i="85"/>
  <c r="R162" i="85"/>
  <c r="T162" i="85"/>
  <c r="I162" i="85"/>
  <c r="N162" i="85"/>
  <c r="J162" i="85"/>
  <c r="G117" i="27" s="1"/>
  <c r="FN117" i="27" s="1"/>
  <c r="O162" i="85"/>
  <c r="H162" i="85"/>
  <c r="G165" i="108" s="1"/>
  <c r="M162" i="85"/>
  <c r="K162" i="85"/>
  <c r="W165" i="108"/>
  <c r="Q165" i="108"/>
  <c r="AE165" i="108"/>
  <c r="AA165" i="108"/>
  <c r="X148" i="108"/>
  <c r="AD165" i="108"/>
  <c r="R148" i="108"/>
  <c r="AB165" i="108"/>
  <c r="AZ162" i="85" l="1"/>
  <c r="BE162" i="85"/>
  <c r="BJ162" i="85"/>
  <c r="BF162" i="85"/>
  <c r="BA162" i="85"/>
  <c r="BK162" i="85"/>
  <c r="BG162" i="85"/>
  <c r="AW162" i="85"/>
  <c r="BB162" i="85"/>
  <c r="BD162" i="85"/>
  <c r="BI162" i="85"/>
  <c r="AY162" i="85"/>
  <c r="BC162" i="85"/>
  <c r="BH162" i="85"/>
  <c r="AX162" i="85"/>
  <c r="AS162" i="85"/>
  <c r="AP162" i="85"/>
  <c r="AO162" i="85"/>
  <c r="AU162" i="85"/>
  <c r="AT162" i="85"/>
  <c r="AQ162" i="85"/>
  <c r="AR162" i="85"/>
  <c r="AV162" i="85"/>
  <c r="Z143" i="145"/>
  <c r="AF143" i="145"/>
  <c r="W143" i="145"/>
  <c r="T143" i="145"/>
  <c r="Q143" i="145"/>
  <c r="AE143" i="145"/>
  <c r="AD143" i="145"/>
  <c r="S165" i="108"/>
  <c r="Z165" i="108" s="1"/>
  <c r="Y165" i="108"/>
  <c r="AN162" i="85"/>
  <c r="I165" i="108"/>
  <c r="FE100" i="27"/>
  <c r="FI100" i="27"/>
  <c r="M165" i="108"/>
  <c r="F117" i="27"/>
  <c r="N165" i="108"/>
  <c r="FA100" i="27"/>
  <c r="AC145" i="145"/>
  <c r="FD100" i="27"/>
  <c r="FF100" i="27"/>
  <c r="D117" i="27"/>
  <c r="AM162" i="85"/>
  <c r="H165" i="108"/>
  <c r="L147" i="85"/>
  <c r="L150" i="108" s="1"/>
  <c r="U165" i="108"/>
  <c r="N162" i="145" l="1"/>
  <c r="N160" i="145"/>
  <c r="M162" i="145"/>
  <c r="T162" i="145" s="1"/>
  <c r="M160" i="145"/>
  <c r="FJ100" i="27"/>
  <c r="FK100" i="27" s="1"/>
  <c r="P150" i="108"/>
  <c r="FB117" i="27"/>
  <c r="FC117" i="27"/>
  <c r="FH117" i="27"/>
  <c r="EZ117" i="27"/>
  <c r="AC162" i="145" s="1"/>
  <c r="AL147" i="85"/>
  <c r="P147" i="85"/>
  <c r="S147" i="85"/>
  <c r="Q147" i="85"/>
  <c r="T147" i="85"/>
  <c r="R147" i="85"/>
  <c r="I147" i="85"/>
  <c r="N147" i="85"/>
  <c r="H147" i="85"/>
  <c r="G150" i="108" s="1"/>
  <c r="J147" i="85"/>
  <c r="G102" i="27" s="1"/>
  <c r="FN102" i="27" s="1"/>
  <c r="M147" i="85"/>
  <c r="O147" i="85"/>
  <c r="K147" i="85"/>
  <c r="C107" i="85"/>
  <c r="I38" i="207" s="1"/>
  <c r="C107" i="145"/>
  <c r="AD150" i="108"/>
  <c r="W150" i="108"/>
  <c r="AE150" i="108"/>
  <c r="X165" i="108"/>
  <c r="R165" i="108"/>
  <c r="AA150" i="108"/>
  <c r="T150" i="108"/>
  <c r="Q150" i="108"/>
  <c r="AB150" i="108"/>
  <c r="AR147" i="85" l="1"/>
  <c r="BG147" i="85"/>
  <c r="BI147" i="85"/>
  <c r="BK147" i="85"/>
  <c r="BD147" i="85"/>
  <c r="BA147" i="85"/>
  <c r="BE147" i="85"/>
  <c r="BB147" i="85"/>
  <c r="BF147" i="85"/>
  <c r="BJ147" i="85"/>
  <c r="AX147" i="85"/>
  <c r="BH147" i="85"/>
  <c r="AZ147" i="85"/>
  <c r="AW147" i="85"/>
  <c r="BC147" i="85"/>
  <c r="AY147" i="85"/>
  <c r="AQ147" i="85"/>
  <c r="AU147" i="85"/>
  <c r="AS147" i="85"/>
  <c r="AV147" i="85"/>
  <c r="AT147" i="85"/>
  <c r="AP147" i="85"/>
  <c r="AO147" i="85"/>
  <c r="P38" i="207"/>
  <c r="Z38" i="207"/>
  <c r="AF162" i="145"/>
  <c r="Z162" i="145"/>
  <c r="Q162" i="145"/>
  <c r="AD162" i="145"/>
  <c r="W162" i="145"/>
  <c r="I65" i="207"/>
  <c r="I54" i="207"/>
  <c r="I49" i="207"/>
  <c r="I41" i="207"/>
  <c r="I57" i="207"/>
  <c r="I61" i="207"/>
  <c r="I48" i="207"/>
  <c r="I64" i="207"/>
  <c r="I59" i="207"/>
  <c r="I47" i="207"/>
  <c r="I56" i="207"/>
  <c r="I58" i="207"/>
  <c r="I46" i="207"/>
  <c r="I60" i="207"/>
  <c r="I51" i="207"/>
  <c r="I45" i="207"/>
  <c r="I63" i="207"/>
  <c r="I50" i="207"/>
  <c r="I44" i="207"/>
  <c r="I55" i="207"/>
  <c r="I53" i="207"/>
  <c r="I43" i="207"/>
  <c r="I62" i="207"/>
  <c r="I52" i="207"/>
  <c r="I42" i="207"/>
  <c r="J64" i="207"/>
  <c r="U64" i="207" s="1"/>
  <c r="W64" i="207" s="1"/>
  <c r="J54" i="207"/>
  <c r="V54" i="207" s="1"/>
  <c r="W54" i="207" s="1"/>
  <c r="K58" i="207"/>
  <c r="L65" i="207"/>
  <c r="L57" i="207"/>
  <c r="K53" i="207"/>
  <c r="J48" i="207"/>
  <c r="V48" i="207" s="1"/>
  <c r="W48" i="207" s="1"/>
  <c r="L49" i="207"/>
  <c r="K45" i="207"/>
  <c r="J41" i="207"/>
  <c r="V41" i="207" s="1"/>
  <c r="W41" i="207" s="1"/>
  <c r="J62" i="207"/>
  <c r="V62" i="207" s="1"/>
  <c r="W62" i="207" s="1"/>
  <c r="J65" i="207"/>
  <c r="U65" i="207" s="1"/>
  <c r="W65" i="207" s="1"/>
  <c r="K57" i="207"/>
  <c r="L64" i="207"/>
  <c r="L56" i="207"/>
  <c r="K52" i="207"/>
  <c r="J46" i="207"/>
  <c r="U46" i="207" s="1"/>
  <c r="W46" i="207" s="1"/>
  <c r="L48" i="207"/>
  <c r="K44" i="207"/>
  <c r="K41" i="207"/>
  <c r="J61" i="207"/>
  <c r="U61" i="207" s="1"/>
  <c r="W61" i="207" s="1"/>
  <c r="J63" i="207"/>
  <c r="V63" i="207" s="1"/>
  <c r="W63" i="207" s="1"/>
  <c r="K56" i="207"/>
  <c r="L63" i="207"/>
  <c r="L55" i="207"/>
  <c r="K51" i="207"/>
  <c r="J49" i="207"/>
  <c r="U49" i="207" s="1"/>
  <c r="W49" i="207" s="1"/>
  <c r="L47" i="207"/>
  <c r="K43" i="207"/>
  <c r="L41" i="207"/>
  <c r="J60" i="207"/>
  <c r="U60" i="207" s="1"/>
  <c r="W60" i="207" s="1"/>
  <c r="J58" i="207"/>
  <c r="U58" i="207" s="1"/>
  <c r="W58" i="207" s="1"/>
  <c r="K55" i="207"/>
  <c r="L62" i="207"/>
  <c r="L54" i="207"/>
  <c r="K50" i="207"/>
  <c r="J47" i="207"/>
  <c r="U47" i="207" s="1"/>
  <c r="W47" i="207" s="1"/>
  <c r="L46" i="207"/>
  <c r="K42" i="207"/>
  <c r="K38" i="207"/>
  <c r="J59" i="207"/>
  <c r="U59" i="207" s="1"/>
  <c r="W59" i="207" s="1"/>
  <c r="K63" i="207"/>
  <c r="K59" i="207"/>
  <c r="L61" i="207"/>
  <c r="J53" i="207"/>
  <c r="U53" i="207" s="1"/>
  <c r="W53" i="207" s="1"/>
  <c r="L53" i="207"/>
  <c r="K49" i="207"/>
  <c r="J45" i="207"/>
  <c r="U45" i="207" s="1"/>
  <c r="W45" i="207" s="1"/>
  <c r="L45" i="207"/>
  <c r="L38" i="207"/>
  <c r="J57" i="207"/>
  <c r="V57" i="207" s="1"/>
  <c r="W57" i="207" s="1"/>
  <c r="K62" i="207"/>
  <c r="K54" i="207"/>
  <c r="L60" i="207"/>
  <c r="J52" i="207"/>
  <c r="V52" i="207" s="1"/>
  <c r="W52" i="207" s="1"/>
  <c r="L52" i="207"/>
  <c r="K48" i="207"/>
  <c r="J44" i="207"/>
  <c r="V44" i="207" s="1"/>
  <c r="W44" i="207" s="1"/>
  <c r="L44" i="207"/>
  <c r="J38" i="207"/>
  <c r="V38" i="207" s="1"/>
  <c r="W38" i="207" s="1"/>
  <c r="J56" i="207"/>
  <c r="U56" i="207" s="1"/>
  <c r="W56" i="207" s="1"/>
  <c r="K61" i="207"/>
  <c r="K65" i="207"/>
  <c r="L59" i="207"/>
  <c r="J51" i="207"/>
  <c r="V51" i="207" s="1"/>
  <c r="W51" i="207" s="1"/>
  <c r="L51" i="207"/>
  <c r="K47" i="207"/>
  <c r="J43" i="207"/>
  <c r="V43" i="207" s="1"/>
  <c r="W43" i="207" s="1"/>
  <c r="L43" i="207"/>
  <c r="J55" i="207"/>
  <c r="V55" i="207" s="1"/>
  <c r="W55" i="207" s="1"/>
  <c r="K60" i="207"/>
  <c r="K64" i="207"/>
  <c r="L58" i="207"/>
  <c r="J50" i="207"/>
  <c r="V50" i="207" s="1"/>
  <c r="W50" i="207" s="1"/>
  <c r="L50" i="207"/>
  <c r="K46" i="207"/>
  <c r="J42" i="207"/>
  <c r="V42" i="207" s="1"/>
  <c r="W42" i="207" s="1"/>
  <c r="L42" i="207"/>
  <c r="L84" i="207"/>
  <c r="I84" i="207"/>
  <c r="I86" i="207"/>
  <c r="L86" i="207"/>
  <c r="I39" i="207"/>
  <c r="I85" i="207"/>
  <c r="I83" i="207"/>
  <c r="K40" i="207"/>
  <c r="I82" i="207"/>
  <c r="L85" i="207"/>
  <c r="L82" i="207"/>
  <c r="K85" i="207"/>
  <c r="L83" i="207"/>
  <c r="L39" i="207"/>
  <c r="I40" i="207"/>
  <c r="K84" i="207"/>
  <c r="K86" i="207"/>
  <c r="L40" i="207"/>
  <c r="K82" i="207"/>
  <c r="J39" i="207"/>
  <c r="U39" i="207" s="1"/>
  <c r="W39" i="207" s="1"/>
  <c r="J83" i="207"/>
  <c r="U83" i="207" s="1"/>
  <c r="W83" i="207" s="1"/>
  <c r="J82" i="207"/>
  <c r="U82" i="207" s="1"/>
  <c r="W82" i="207" s="1"/>
  <c r="J84" i="207"/>
  <c r="U84" i="207" s="1"/>
  <c r="W84" i="207" s="1"/>
  <c r="K83" i="207"/>
  <c r="J40" i="207"/>
  <c r="V40" i="207" s="1"/>
  <c r="W40" i="207" s="1"/>
  <c r="J85" i="207"/>
  <c r="V85" i="207" s="1"/>
  <c r="W85" i="207" s="1"/>
  <c r="K39" i="207"/>
  <c r="J86" i="207"/>
  <c r="U86" i="207" s="1"/>
  <c r="W86" i="207" s="1"/>
  <c r="W160" i="145"/>
  <c r="T160" i="145"/>
  <c r="Z160" i="145"/>
  <c r="Q160" i="145"/>
  <c r="AD160" i="145"/>
  <c r="AF160" i="145"/>
  <c r="AE160" i="145"/>
  <c r="F107" i="145"/>
  <c r="E107" i="145"/>
  <c r="FE117" i="27"/>
  <c r="I20" i="207"/>
  <c r="Z20" i="207" s="1"/>
  <c r="E107" i="85"/>
  <c r="F107" i="85"/>
  <c r="AJ107" i="85" s="1" a="1"/>
  <c r="AJ53" i="85" s="1"/>
  <c r="I18" i="207"/>
  <c r="I22" i="207"/>
  <c r="I17" i="207"/>
  <c r="I21" i="207"/>
  <c r="I19" i="207"/>
  <c r="I75" i="207"/>
  <c r="I78" i="207"/>
  <c r="I72" i="207"/>
  <c r="I81" i="207"/>
  <c r="I73" i="207"/>
  <c r="I80" i="207"/>
  <c r="I71" i="207"/>
  <c r="I79" i="207"/>
  <c r="I74" i="207"/>
  <c r="I70" i="207"/>
  <c r="I76" i="207"/>
  <c r="I77" i="207"/>
  <c r="L74" i="207"/>
  <c r="L78" i="207"/>
  <c r="L73" i="207"/>
  <c r="L76" i="207"/>
  <c r="L72" i="207"/>
  <c r="L75" i="207"/>
  <c r="K79" i="207"/>
  <c r="L71" i="207"/>
  <c r="L70" i="207"/>
  <c r="L81" i="207"/>
  <c r="L80" i="207"/>
  <c r="L77" i="207"/>
  <c r="L79" i="207"/>
  <c r="K73" i="207"/>
  <c r="K77" i="207"/>
  <c r="J78" i="207"/>
  <c r="J74" i="207"/>
  <c r="K72" i="207"/>
  <c r="J81" i="207"/>
  <c r="J70" i="207"/>
  <c r="K70" i="207"/>
  <c r="K78" i="207"/>
  <c r="J75" i="207"/>
  <c r="K71" i="207"/>
  <c r="K80" i="207"/>
  <c r="J80" i="207"/>
  <c r="J71" i="207"/>
  <c r="K76" i="207"/>
  <c r="K81" i="207"/>
  <c r="J73" i="207"/>
  <c r="J79" i="207"/>
  <c r="J72" i="207"/>
  <c r="K74" i="207"/>
  <c r="J77" i="207"/>
  <c r="J76" i="207"/>
  <c r="V76" i="207" s="1"/>
  <c r="W76" i="207" s="1"/>
  <c r="K75" i="207"/>
  <c r="D107" i="85"/>
  <c r="B107" i="85"/>
  <c r="I6" i="207"/>
  <c r="I69" i="207"/>
  <c r="L69" i="207"/>
  <c r="K69" i="207"/>
  <c r="K37" i="207"/>
  <c r="L37" i="207"/>
  <c r="J37" i="207"/>
  <c r="U37" i="207" s="1"/>
  <c r="J69" i="207"/>
  <c r="V69" i="207" s="1"/>
  <c r="I37" i="207"/>
  <c r="I25" i="207"/>
  <c r="I26" i="207"/>
  <c r="I30" i="207"/>
  <c r="I34" i="207"/>
  <c r="I32" i="207"/>
  <c r="I27" i="207"/>
  <c r="I28" i="207"/>
  <c r="I33" i="207"/>
  <c r="I24" i="207"/>
  <c r="I31" i="207"/>
  <c r="I29" i="207"/>
  <c r="K87" i="207"/>
  <c r="I66" i="207"/>
  <c r="I87" i="207"/>
  <c r="L87" i="207"/>
  <c r="J87" i="207"/>
  <c r="J28" i="207"/>
  <c r="J23" i="207"/>
  <c r="J34" i="207"/>
  <c r="J66" i="207"/>
  <c r="U66" i="207" s="1"/>
  <c r="J33" i="207"/>
  <c r="V33" i="207" s="1"/>
  <c r="W33" i="207" s="1"/>
  <c r="J27" i="207"/>
  <c r="V27" i="207" s="1"/>
  <c r="W27" i="207" s="1"/>
  <c r="J24" i="207"/>
  <c r="U24" i="207" s="1"/>
  <c r="W24" i="207" s="1"/>
  <c r="J31" i="207"/>
  <c r="J21" i="207"/>
  <c r="V21" i="207" s="1"/>
  <c r="W21" i="207" s="1"/>
  <c r="J18" i="207"/>
  <c r="J17" i="207"/>
  <c r="U17" i="207" s="1"/>
  <c r="J19" i="207"/>
  <c r="J20" i="207"/>
  <c r="V20" i="207" s="1"/>
  <c r="W20" i="207" s="1"/>
  <c r="J22" i="207"/>
  <c r="V22" i="207" s="1"/>
  <c r="W22" i="207" s="1"/>
  <c r="J29" i="207"/>
  <c r="J26" i="207"/>
  <c r="V26" i="207" s="1"/>
  <c r="W26" i="207" s="1"/>
  <c r="J32" i="207"/>
  <c r="V32" i="207" s="1"/>
  <c r="W32" i="207" s="1"/>
  <c r="J30" i="207"/>
  <c r="U30" i="207" s="1"/>
  <c r="W30" i="207" s="1"/>
  <c r="J25" i="207"/>
  <c r="L20" i="207"/>
  <c r="L31" i="207"/>
  <c r="L19" i="207"/>
  <c r="K26" i="207"/>
  <c r="L26" i="207"/>
  <c r="K23" i="207"/>
  <c r="L29" i="207"/>
  <c r="L30" i="207"/>
  <c r="K33" i="207"/>
  <c r="K31" i="207"/>
  <c r="K30" i="207"/>
  <c r="L18" i="207"/>
  <c r="K29" i="207"/>
  <c r="L34" i="207"/>
  <c r="L32" i="207"/>
  <c r="L23" i="207"/>
  <c r="K25" i="207"/>
  <c r="L66" i="207"/>
  <c r="K24" i="207"/>
  <c r="K66" i="207"/>
  <c r="K19" i="207"/>
  <c r="K27" i="207"/>
  <c r="K20" i="207"/>
  <c r="K32" i="207"/>
  <c r="K18" i="207"/>
  <c r="L21" i="207"/>
  <c r="K17" i="207"/>
  <c r="K22" i="207"/>
  <c r="L24" i="207"/>
  <c r="K21" i="207"/>
  <c r="L33" i="207"/>
  <c r="L22" i="207"/>
  <c r="K28" i="207"/>
  <c r="L28" i="207"/>
  <c r="L25" i="207"/>
  <c r="L17" i="207"/>
  <c r="K34" i="207"/>
  <c r="L27" i="207"/>
  <c r="S150" i="108"/>
  <c r="Z150" i="108" s="1"/>
  <c r="V150" i="108"/>
  <c r="Y150" i="108"/>
  <c r="B107" i="145"/>
  <c r="K107" i="145" s="1"/>
  <c r="FA117" i="27"/>
  <c r="AE162" i="145" s="1"/>
  <c r="G107" i="85"/>
  <c r="B62" i="27"/>
  <c r="FM62" i="27" s="1"/>
  <c r="B110" i="108"/>
  <c r="AM147" i="85"/>
  <c r="H150" i="108"/>
  <c r="D102" i="27"/>
  <c r="G107" i="145"/>
  <c r="D107" i="145"/>
  <c r="FD117" i="27"/>
  <c r="FF117" i="27"/>
  <c r="AN147" i="85"/>
  <c r="I150" i="108"/>
  <c r="N150" i="108"/>
  <c r="M150" i="108"/>
  <c r="F102" i="27"/>
  <c r="P110" i="108"/>
  <c r="AD110" i="108"/>
  <c r="U150" i="108"/>
  <c r="T110" i="108"/>
  <c r="N23" i="145" l="1"/>
  <c r="AA23" i="145" s="1"/>
  <c r="V23" i="145"/>
  <c r="N14" i="145"/>
  <c r="AA14" i="145" s="1"/>
  <c r="V24" i="145"/>
  <c r="S20" i="145"/>
  <c r="S13" i="145"/>
  <c r="N26" i="145"/>
  <c r="AA26" i="145" s="1"/>
  <c r="AB14" i="145"/>
  <c r="N33" i="145"/>
  <c r="Y23" i="145"/>
  <c r="AB15" i="145"/>
  <c r="N10" i="145"/>
  <c r="V33" i="145"/>
  <c r="Y24" i="145"/>
  <c r="Y15" i="145"/>
  <c r="V13" i="145"/>
  <c r="AB23" i="145"/>
  <c r="V15" i="145"/>
  <c r="Y33" i="145"/>
  <c r="S24" i="145"/>
  <c r="AB13" i="145"/>
  <c r="N24" i="145"/>
  <c r="S33" i="145"/>
  <c r="S10" i="145"/>
  <c r="N37" i="145"/>
  <c r="AB24" i="145"/>
  <c r="V14" i="145"/>
  <c r="S26" i="145"/>
  <c r="S43" i="145" s="1"/>
  <c r="AB10" i="145"/>
  <c r="Y13" i="145"/>
  <c r="V26" i="145"/>
  <c r="V43" i="145" s="1"/>
  <c r="Y10" i="145"/>
  <c r="AB26" i="145"/>
  <c r="AB43" i="145" s="1"/>
  <c r="AB20" i="145"/>
  <c r="Y14" i="145"/>
  <c r="Y26" i="145"/>
  <c r="Y43" i="145" s="1"/>
  <c r="V20" i="145"/>
  <c r="V10" i="145"/>
  <c r="N29" i="145"/>
  <c r="Y20" i="145"/>
  <c r="N15" i="145"/>
  <c r="N39" i="145"/>
  <c r="N30" i="145"/>
  <c r="N20" i="145"/>
  <c r="AA20" i="145" s="1"/>
  <c r="S15" i="145"/>
  <c r="AB33" i="145"/>
  <c r="S23" i="145"/>
  <c r="N13" i="145"/>
  <c r="AA13" i="145" s="1"/>
  <c r="S14" i="145"/>
  <c r="V21" i="145"/>
  <c r="V16" i="145"/>
  <c r="V34" i="145"/>
  <c r="V12" i="145"/>
  <c r="AB21" i="145"/>
  <c r="AB34" i="145"/>
  <c r="AB12" i="145"/>
  <c r="AB16" i="145"/>
  <c r="Y21" i="145"/>
  <c r="Y34" i="145"/>
  <c r="Y16" i="145"/>
  <c r="Y12" i="145"/>
  <c r="N16" i="145"/>
  <c r="S21" i="145"/>
  <c r="S12" i="145"/>
  <c r="S34" i="145"/>
  <c r="S16" i="145"/>
  <c r="N34" i="145"/>
  <c r="AA34" i="145" s="1"/>
  <c r="N12" i="145"/>
  <c r="N21" i="145"/>
  <c r="V28" i="145"/>
  <c r="V27" i="145"/>
  <c r="V45" i="145" s="1"/>
  <c r="V35" i="145"/>
  <c r="AB27" i="145"/>
  <c r="AB45" i="145" s="1"/>
  <c r="Y27" i="145"/>
  <c r="Y45" i="145" s="1"/>
  <c r="AB28" i="145"/>
  <c r="AB35" i="145"/>
  <c r="AB46" i="145" s="1"/>
  <c r="S28" i="145"/>
  <c r="S27" i="145"/>
  <c r="S45" i="145" s="1"/>
  <c r="Y18" i="145"/>
  <c r="Y35" i="145"/>
  <c r="AB19" i="145"/>
  <c r="V19" i="145"/>
  <c r="Y28" i="145"/>
  <c r="S35" i="145"/>
  <c r="S46" i="145" s="1"/>
  <c r="S19" i="145"/>
  <c r="AB18" i="145"/>
  <c r="S18" i="145"/>
  <c r="V18" i="145"/>
  <c r="Y19" i="145"/>
  <c r="N38" i="145"/>
  <c r="N28" i="145"/>
  <c r="AA28" i="145" s="1"/>
  <c r="N27" i="145"/>
  <c r="N45" i="145" s="1"/>
  <c r="N18" i="145"/>
  <c r="AA18" i="145" s="1"/>
  <c r="AE27" i="145"/>
  <c r="AF27" i="145"/>
  <c r="AE23" i="145"/>
  <c r="AF23" i="145"/>
  <c r="M24" i="85"/>
  <c r="M29" i="85"/>
  <c r="P107" i="85"/>
  <c r="P53" i="85" s="1"/>
  <c r="AF107" i="85"/>
  <c r="Z107" i="85"/>
  <c r="U107" i="85"/>
  <c r="AI107" i="85"/>
  <c r="AA107" i="85"/>
  <c r="AC107" i="85"/>
  <c r="Y107" i="85"/>
  <c r="AE107" i="85"/>
  <c r="AH107" i="85"/>
  <c r="X107" i="85"/>
  <c r="AG107" i="85"/>
  <c r="AD107" i="85"/>
  <c r="W107" i="85"/>
  <c r="V107" i="85"/>
  <c r="AB107" i="85"/>
  <c r="C62" i="27"/>
  <c r="F20" i="86"/>
  <c r="G20" i="86"/>
  <c r="G21" i="86"/>
  <c r="K21" i="86"/>
  <c r="J20" i="86"/>
  <c r="F21" i="86"/>
  <c r="M30" i="86"/>
  <c r="H21" i="86"/>
  <c r="I24" i="86"/>
  <c r="H27" i="86"/>
  <c r="I30" i="86"/>
  <c r="M25" i="86"/>
  <c r="M29" i="86"/>
  <c r="H23" i="86"/>
  <c r="I26" i="86"/>
  <c r="L31" i="86"/>
  <c r="H22" i="86"/>
  <c r="H28" i="86"/>
  <c r="L22" i="86"/>
  <c r="H24" i="86"/>
  <c r="I28" i="86"/>
  <c r="L24" i="86"/>
  <c r="M21" i="86"/>
  <c r="L25" i="86"/>
  <c r="I21" i="86"/>
  <c r="I27" i="86"/>
  <c r="L21" i="86"/>
  <c r="H25" i="86"/>
  <c r="M24" i="86"/>
  <c r="M22" i="86"/>
  <c r="H29" i="86"/>
  <c r="H31" i="86"/>
  <c r="M26" i="86"/>
  <c r="M31" i="86"/>
  <c r="I31" i="86"/>
  <c r="I29" i="86"/>
  <c r="I23" i="86"/>
  <c r="M23" i="86"/>
  <c r="I22" i="86"/>
  <c r="L28" i="86"/>
  <c r="L30" i="86"/>
  <c r="I25" i="86"/>
  <c r="L29" i="86"/>
  <c r="L23" i="86"/>
  <c r="L26" i="86"/>
  <c r="L27" i="86"/>
  <c r="H26" i="86"/>
  <c r="H30" i="86"/>
  <c r="M27" i="86"/>
  <c r="M28" i="86"/>
  <c r="L16" i="86"/>
  <c r="H16" i="86"/>
  <c r="I16" i="86"/>
  <c r="M16" i="86"/>
  <c r="J15" i="86"/>
  <c r="L15" i="86"/>
  <c r="I15" i="86"/>
  <c r="M15" i="86"/>
  <c r="H15" i="86"/>
  <c r="H20" i="86"/>
  <c r="I20" i="86"/>
  <c r="L20" i="86"/>
  <c r="M20" i="86"/>
  <c r="J31" i="86"/>
  <c r="O31" i="86"/>
  <c r="O29" i="86"/>
  <c r="O24" i="86"/>
  <c r="J24" i="86"/>
  <c r="J29" i="86"/>
  <c r="O30" i="86"/>
  <c r="J30" i="86"/>
  <c r="J28" i="86"/>
  <c r="O27" i="86"/>
  <c r="J27" i="86"/>
  <c r="O28" i="86"/>
  <c r="J26" i="86"/>
  <c r="J22" i="86"/>
  <c r="J23" i="86"/>
  <c r="J25" i="86"/>
  <c r="O25" i="86"/>
  <c r="O23" i="86"/>
  <c r="O26" i="86"/>
  <c r="O22" i="86"/>
  <c r="O15" i="86"/>
  <c r="J21" i="86"/>
  <c r="O21" i="86"/>
  <c r="O20" i="86"/>
  <c r="N20" i="86"/>
  <c r="Z40" i="207"/>
  <c r="P40" i="207"/>
  <c r="P83" i="207"/>
  <c r="Z83" i="207"/>
  <c r="P43" i="207"/>
  <c r="Z43" i="207"/>
  <c r="P60" i="207"/>
  <c r="Z60" i="207"/>
  <c r="P61" i="207"/>
  <c r="Z61" i="207"/>
  <c r="Z85" i="207"/>
  <c r="P85" i="207"/>
  <c r="Z53" i="207"/>
  <c r="P53" i="207"/>
  <c r="P46" i="207"/>
  <c r="Z46" i="207"/>
  <c r="Z57" i="207"/>
  <c r="P57" i="207"/>
  <c r="M147" i="145"/>
  <c r="Q147" i="145" s="1"/>
  <c r="M145" i="145"/>
  <c r="P39" i="207"/>
  <c r="Z39" i="207"/>
  <c r="Z55" i="207"/>
  <c r="P55" i="207"/>
  <c r="P58" i="207"/>
  <c r="Z58" i="207"/>
  <c r="Z41" i="207"/>
  <c r="P41" i="207"/>
  <c r="P44" i="207"/>
  <c r="Z44" i="207"/>
  <c r="Z56" i="207"/>
  <c r="P56" i="207"/>
  <c r="Z49" i="207"/>
  <c r="P49" i="207"/>
  <c r="Z86" i="207"/>
  <c r="P86" i="207"/>
  <c r="Z50" i="207"/>
  <c r="P50" i="207"/>
  <c r="Z47" i="207"/>
  <c r="P47" i="207"/>
  <c r="Z54" i="207"/>
  <c r="P54" i="207"/>
  <c r="Z84" i="207"/>
  <c r="P84" i="207"/>
  <c r="P42" i="207"/>
  <c r="Z42" i="207"/>
  <c r="Z63" i="207"/>
  <c r="P63" i="207"/>
  <c r="P59" i="207"/>
  <c r="Z59" i="207"/>
  <c r="Z65" i="207"/>
  <c r="P65" i="207"/>
  <c r="P82" i="207"/>
  <c r="Z82" i="207"/>
  <c r="Z52" i="207"/>
  <c r="P52" i="207"/>
  <c r="P45" i="207"/>
  <c r="Z45" i="207"/>
  <c r="Z64" i="207"/>
  <c r="P64" i="207"/>
  <c r="N147" i="145"/>
  <c r="N145" i="145"/>
  <c r="Z62" i="207"/>
  <c r="P62" i="207"/>
  <c r="Z51" i="207"/>
  <c r="P51" i="207"/>
  <c r="Z48" i="207"/>
  <c r="P48" i="207"/>
  <c r="V74" i="207"/>
  <c r="U74" i="207"/>
  <c r="U72" i="207"/>
  <c r="V72" i="207"/>
  <c r="V78" i="207"/>
  <c r="U78" i="207"/>
  <c r="V87" i="207"/>
  <c r="U87" i="207"/>
  <c r="V79" i="207"/>
  <c r="U79" i="207"/>
  <c r="U75" i="207"/>
  <c r="V75" i="207"/>
  <c r="U73" i="207"/>
  <c r="V73" i="207"/>
  <c r="V70" i="207"/>
  <c r="U70" i="207"/>
  <c r="V71" i="207"/>
  <c r="U71" i="207"/>
  <c r="V81" i="207"/>
  <c r="U81" i="207"/>
  <c r="V77" i="207"/>
  <c r="U77" i="207"/>
  <c r="U80" i="207"/>
  <c r="V80" i="207"/>
  <c r="U18" i="207"/>
  <c r="V18" i="207"/>
  <c r="V23" i="207"/>
  <c r="U23" i="207"/>
  <c r="V28" i="207"/>
  <c r="U28" i="207"/>
  <c r="V31" i="207"/>
  <c r="U31" i="207"/>
  <c r="V29" i="207"/>
  <c r="U29" i="207"/>
  <c r="V19" i="207"/>
  <c r="U19" i="207"/>
  <c r="V25" i="207"/>
  <c r="U25" i="207"/>
  <c r="V34" i="207"/>
  <c r="U34" i="207"/>
  <c r="H47" i="85"/>
  <c r="Q47" i="85"/>
  <c r="P45" i="85"/>
  <c r="S45" i="85"/>
  <c r="M45" i="85"/>
  <c r="R42" i="85"/>
  <c r="K42" i="85"/>
  <c r="P42" i="85"/>
  <c r="M47" i="85"/>
  <c r="S47" i="85"/>
  <c r="P47" i="85"/>
  <c r="Q45" i="85"/>
  <c r="R45" i="85"/>
  <c r="H45" i="85"/>
  <c r="N45" i="85"/>
  <c r="S42" i="85"/>
  <c r="N42" i="85"/>
  <c r="H42" i="85"/>
  <c r="M42" i="85"/>
  <c r="Q42" i="85"/>
  <c r="K47" i="85"/>
  <c r="K45" i="85"/>
  <c r="N47" i="85"/>
  <c r="R47" i="85"/>
  <c r="M46" i="85"/>
  <c r="N46" i="85"/>
  <c r="H46" i="85"/>
  <c r="P46" i="85"/>
  <c r="R46" i="85"/>
  <c r="S46" i="85"/>
  <c r="Q46" i="85"/>
  <c r="K46" i="85"/>
  <c r="Q44" i="85"/>
  <c r="K44" i="85"/>
  <c r="H44" i="85"/>
  <c r="S44" i="85"/>
  <c r="M43" i="85"/>
  <c r="M44" i="85"/>
  <c r="S43" i="85"/>
  <c r="K43" i="85"/>
  <c r="P43" i="85"/>
  <c r="N44" i="85"/>
  <c r="N43" i="85"/>
  <c r="H43" i="85"/>
  <c r="P44" i="85"/>
  <c r="R44" i="85"/>
  <c r="Q43" i="85"/>
  <c r="R43" i="85"/>
  <c r="L36" i="207"/>
  <c r="P20" i="207"/>
  <c r="N31" i="86"/>
  <c r="N29" i="86"/>
  <c r="N24" i="86"/>
  <c r="N30" i="86"/>
  <c r="N28" i="86"/>
  <c r="N27" i="86"/>
  <c r="N22" i="86"/>
  <c r="N25" i="86"/>
  <c r="N26" i="86"/>
  <c r="N23" i="86"/>
  <c r="N15" i="86"/>
  <c r="N21" i="86"/>
  <c r="F31" i="86"/>
  <c r="F24" i="86"/>
  <c r="F29" i="86"/>
  <c r="F27" i="86"/>
  <c r="F30" i="86"/>
  <c r="G24" i="86"/>
  <c r="G27" i="86"/>
  <c r="G28" i="86"/>
  <c r="G30" i="86"/>
  <c r="G31" i="86"/>
  <c r="G29" i="86"/>
  <c r="F28" i="86"/>
  <c r="K30" i="86"/>
  <c r="K24" i="86"/>
  <c r="K27" i="86"/>
  <c r="K31" i="86"/>
  <c r="K28" i="86"/>
  <c r="K29" i="86"/>
  <c r="G26" i="86"/>
  <c r="F26" i="86"/>
  <c r="G25" i="86"/>
  <c r="F25" i="86"/>
  <c r="K25" i="86"/>
  <c r="K26" i="86"/>
  <c r="K20" i="86"/>
  <c r="F22" i="86"/>
  <c r="F23" i="86"/>
  <c r="G22" i="86"/>
  <c r="G23" i="86"/>
  <c r="K23" i="86"/>
  <c r="K22" i="86"/>
  <c r="P76" i="207"/>
  <c r="Z76" i="207"/>
  <c r="P72" i="207"/>
  <c r="Z72" i="207"/>
  <c r="P70" i="207"/>
  <c r="Z70" i="207"/>
  <c r="Z78" i="207"/>
  <c r="P78" i="207"/>
  <c r="P74" i="207"/>
  <c r="Z74" i="207"/>
  <c r="Z75" i="207"/>
  <c r="P75" i="207"/>
  <c r="Z79" i="207"/>
  <c r="P79" i="207"/>
  <c r="P19" i="207"/>
  <c r="Z19" i="207"/>
  <c r="O107" i="145"/>
  <c r="P71" i="207"/>
  <c r="Z71" i="207"/>
  <c r="P21" i="207"/>
  <c r="Z21" i="207"/>
  <c r="Z80" i="207"/>
  <c r="P80" i="207"/>
  <c r="P17" i="207"/>
  <c r="Z17" i="207"/>
  <c r="P73" i="207"/>
  <c r="Z73" i="207"/>
  <c r="P22" i="207"/>
  <c r="Z22" i="207"/>
  <c r="Z77" i="207"/>
  <c r="P77" i="207"/>
  <c r="Z81" i="207"/>
  <c r="P81" i="207"/>
  <c r="Z18" i="207"/>
  <c r="P18" i="207"/>
  <c r="K68" i="207"/>
  <c r="O68" i="207" s="1"/>
  <c r="P36" i="85"/>
  <c r="R39" i="85"/>
  <c r="R38" i="85"/>
  <c r="P24" i="85"/>
  <c r="P33" i="85"/>
  <c r="P39" i="85"/>
  <c r="R36" i="85"/>
  <c r="P38" i="85"/>
  <c r="R24" i="85"/>
  <c r="P35" i="85"/>
  <c r="P32" i="85"/>
  <c r="R32" i="85"/>
  <c r="P26" i="85"/>
  <c r="R33" i="85"/>
  <c r="R26" i="85"/>
  <c r="R35" i="85"/>
  <c r="Q32" i="85"/>
  <c r="Q36" i="85"/>
  <c r="S39" i="85"/>
  <c r="Q24" i="85"/>
  <c r="Q33" i="85"/>
  <c r="S35" i="85"/>
  <c r="S36" i="85"/>
  <c r="Q38" i="85"/>
  <c r="S38" i="85"/>
  <c r="S24" i="85"/>
  <c r="Q35" i="85"/>
  <c r="S33" i="85"/>
  <c r="S32" i="85"/>
  <c r="Q39" i="85"/>
  <c r="Q26" i="85"/>
  <c r="S26" i="85"/>
  <c r="S28" i="85"/>
  <c r="R28" i="85"/>
  <c r="P28" i="85"/>
  <c r="Q28" i="85"/>
  <c r="R30" i="85"/>
  <c r="Q30" i="85"/>
  <c r="S30" i="85"/>
  <c r="P30" i="85"/>
  <c r="S29" i="85"/>
  <c r="S40" i="85"/>
  <c r="Q40" i="85"/>
  <c r="P40" i="85"/>
  <c r="R40" i="85"/>
  <c r="P29" i="85"/>
  <c r="Q29" i="85"/>
  <c r="R29" i="85"/>
  <c r="S37" i="85"/>
  <c r="P37" i="85"/>
  <c r="Q37" i="85"/>
  <c r="R37" i="85"/>
  <c r="R25" i="85"/>
  <c r="S25" i="85"/>
  <c r="Q25" i="85"/>
  <c r="P25" i="85"/>
  <c r="L68" i="207"/>
  <c r="K36" i="207"/>
  <c r="O36" i="207" s="1"/>
  <c r="L16" i="207"/>
  <c r="L15" i="207" s="1"/>
  <c r="K16" i="207"/>
  <c r="K15" i="207" s="1"/>
  <c r="O15" i="207" s="1"/>
  <c r="V17" i="207"/>
  <c r="AH17" i="207"/>
  <c r="AJ17" i="207" s="1"/>
  <c r="AM17" i="207" s="1"/>
  <c r="AO17" i="207" s="1"/>
  <c r="AO16" i="207" s="1"/>
  <c r="J16" i="207"/>
  <c r="P66" i="207"/>
  <c r="Z66" i="207"/>
  <c r="Z32" i="207"/>
  <c r="P32" i="207"/>
  <c r="Z34" i="207"/>
  <c r="P34" i="207"/>
  <c r="Z29" i="207"/>
  <c r="P29" i="207"/>
  <c r="Z30" i="207"/>
  <c r="P30" i="207"/>
  <c r="Z31" i="207"/>
  <c r="P31" i="207"/>
  <c r="P26" i="207"/>
  <c r="Z26" i="207"/>
  <c r="Z24" i="207"/>
  <c r="P24" i="207"/>
  <c r="Z25" i="207"/>
  <c r="P25" i="207"/>
  <c r="Z69" i="207"/>
  <c r="P69" i="207"/>
  <c r="Z33" i="207"/>
  <c r="P33" i="207"/>
  <c r="Z37" i="207"/>
  <c r="P37" i="207"/>
  <c r="J36" i="207"/>
  <c r="N36" i="207" s="1"/>
  <c r="V66" i="207"/>
  <c r="Z28" i="207"/>
  <c r="P28" i="207"/>
  <c r="U69" i="207"/>
  <c r="J68" i="207"/>
  <c r="N68" i="207" s="1"/>
  <c r="P87" i="207"/>
  <c r="Z87" i="207"/>
  <c r="Z27" i="207"/>
  <c r="P27" i="207"/>
  <c r="U36" i="207"/>
  <c r="W37" i="207"/>
  <c r="L107" i="85"/>
  <c r="R107" i="85"/>
  <c r="R53" i="85" s="1"/>
  <c r="H107" i="85"/>
  <c r="C110" i="108" s="1"/>
  <c r="S107" i="85"/>
  <c r="S53" i="85" s="1"/>
  <c r="M107" i="85"/>
  <c r="F19" i="86" s="1"/>
  <c r="T107" i="85"/>
  <c r="T53" i="85" s="1"/>
  <c r="N107" i="85"/>
  <c r="N53" i="85" s="1"/>
  <c r="AL107" i="85"/>
  <c r="AL53" i="85" s="1"/>
  <c r="I107" i="85"/>
  <c r="D62" i="27" s="1"/>
  <c r="Q107" i="85"/>
  <c r="Q53" i="85" s="1"/>
  <c r="O107" i="85"/>
  <c r="J107" i="85"/>
  <c r="G62" i="27" s="1"/>
  <c r="FN62" i="27" s="1"/>
  <c r="K107" i="85"/>
  <c r="F110" i="108" s="1"/>
  <c r="H107" i="145"/>
  <c r="U107" i="145"/>
  <c r="U24" i="145" s="1"/>
  <c r="T24" i="145" s="1"/>
  <c r="J107" i="145"/>
  <c r="P107" i="145"/>
  <c r="AA107" i="145" s="1"/>
  <c r="L107" i="145"/>
  <c r="I107" i="145"/>
  <c r="V110" i="108"/>
  <c r="M35" i="85"/>
  <c r="M33" i="85"/>
  <c r="N36" i="85"/>
  <c r="M40" i="85"/>
  <c r="M37" i="85"/>
  <c r="K25" i="85"/>
  <c r="K24" i="85"/>
  <c r="K37" i="85"/>
  <c r="N26" i="85"/>
  <c r="M30" i="85"/>
  <c r="K28" i="85"/>
  <c r="K29" i="85"/>
  <c r="M38" i="85"/>
  <c r="M28" i="85"/>
  <c r="N24" i="85"/>
  <c r="K38" i="85"/>
  <c r="K32" i="85"/>
  <c r="N29" i="85"/>
  <c r="M25" i="85"/>
  <c r="M39" i="85"/>
  <c r="M36" i="85"/>
  <c r="K39" i="85"/>
  <c r="K33" i="85"/>
  <c r="N38" i="85"/>
  <c r="M26" i="85"/>
  <c r="M32" i="85"/>
  <c r="K35" i="85"/>
  <c r="N37" i="85"/>
  <c r="K26" i="85"/>
  <c r="K36" i="85"/>
  <c r="N40" i="85"/>
  <c r="H32" i="85"/>
  <c r="H29" i="85"/>
  <c r="K40" i="85"/>
  <c r="N39" i="85"/>
  <c r="H28" i="85"/>
  <c r="N33" i="85"/>
  <c r="H26" i="85"/>
  <c r="N35" i="85"/>
  <c r="K30" i="85"/>
  <c r="N32" i="85"/>
  <c r="N30" i="85"/>
  <c r="H40" i="85"/>
  <c r="N28" i="85"/>
  <c r="H39" i="85"/>
  <c r="H33" i="85"/>
  <c r="H37" i="85"/>
  <c r="D91" i="86" s="1"/>
  <c r="N25" i="85"/>
  <c r="H30" i="85"/>
  <c r="H35" i="85"/>
  <c r="H38" i="85"/>
  <c r="H25" i="85"/>
  <c r="H36" i="85"/>
  <c r="D90" i="86" s="1"/>
  <c r="H24" i="85"/>
  <c r="FH102" i="27"/>
  <c r="FC102" i="27"/>
  <c r="FB102" i="27"/>
  <c r="EZ102" i="27"/>
  <c r="AE110" i="108"/>
  <c r="AB110" i="108"/>
  <c r="AA110" i="108"/>
  <c r="W110" i="108"/>
  <c r="R150" i="108"/>
  <c r="Q110" i="108"/>
  <c r="X150" i="108"/>
  <c r="AF12" i="145" l="1"/>
  <c r="AE12" i="145"/>
  <c r="AE21" i="145"/>
  <c r="AF21" i="145"/>
  <c r="N40" i="145"/>
  <c r="N43" i="145"/>
  <c r="AE26" i="145"/>
  <c r="AF26" i="145"/>
  <c r="AE33" i="145"/>
  <c r="AF33" i="145"/>
  <c r="AE10" i="145"/>
  <c r="AF10" i="145"/>
  <c r="AE37" i="145"/>
  <c r="AF37" i="145"/>
  <c r="AF29" i="145"/>
  <c r="AE29" i="145"/>
  <c r="AE15" i="145"/>
  <c r="AF15" i="145"/>
  <c r="AF39" i="145"/>
  <c r="AE39" i="145"/>
  <c r="AG39" i="145" s="1"/>
  <c r="AE30" i="145"/>
  <c r="AF30" i="145"/>
  <c r="AF16" i="145"/>
  <c r="AE16" i="145"/>
  <c r="AE34" i="145"/>
  <c r="AF34" i="145"/>
  <c r="AE38" i="145"/>
  <c r="AF38" i="145"/>
  <c r="AG12" i="145"/>
  <c r="AG16" i="145"/>
  <c r="AG29" i="145"/>
  <c r="AG27" i="145"/>
  <c r="AG15" i="145"/>
  <c r="AG30" i="145"/>
  <c r="AG23" i="145"/>
  <c r="AE24" i="145"/>
  <c r="AF24" i="145"/>
  <c r="AF13" i="145"/>
  <c r="AE13" i="145"/>
  <c r="AE18" i="145"/>
  <c r="AF18" i="145"/>
  <c r="N25" i="145"/>
  <c r="G19" i="86"/>
  <c r="AA9" i="145"/>
  <c r="AA24" i="145"/>
  <c r="F35" i="86"/>
  <c r="S21" i="86"/>
  <c r="AF53" i="85"/>
  <c r="BH107" i="85"/>
  <c r="Z53" i="85"/>
  <c r="BB107" i="85"/>
  <c r="U53" i="85"/>
  <c r="AW107" i="85"/>
  <c r="AI53" i="85"/>
  <c r="BK107" i="85"/>
  <c r="AA53" i="85"/>
  <c r="BC107" i="85"/>
  <c r="AC53" i="85"/>
  <c r="BE107" i="85"/>
  <c r="Y53" i="85"/>
  <c r="BA107" i="85"/>
  <c r="AE53" i="85"/>
  <c r="BG107" i="85"/>
  <c r="AH53" i="85"/>
  <c r="BJ107" i="85"/>
  <c r="X53" i="85"/>
  <c r="AZ107" i="85"/>
  <c r="AG53" i="85"/>
  <c r="BI107" i="85"/>
  <c r="AD53" i="85"/>
  <c r="BF107" i="85"/>
  <c r="W53" i="85"/>
  <c r="AY107" i="85"/>
  <c r="V53" i="85"/>
  <c r="AX107" i="85"/>
  <c r="AB53" i="85"/>
  <c r="BD107" i="85"/>
  <c r="AO107" i="85"/>
  <c r="AV107" i="85"/>
  <c r="AP107" i="85"/>
  <c r="AQ107" i="85"/>
  <c r="O53" i="85"/>
  <c r="AR107" i="85"/>
  <c r="N41" i="85" s="1"/>
  <c r="AT107" i="85"/>
  <c r="AU107" i="85"/>
  <c r="AS107" i="85"/>
  <c r="Q21" i="86"/>
  <c r="P21" i="86"/>
  <c r="M53" i="85"/>
  <c r="F17" i="86"/>
  <c r="G17" i="86"/>
  <c r="Z147" i="145"/>
  <c r="L45" i="85"/>
  <c r="Y110" i="108"/>
  <c r="S110" i="108"/>
  <c r="Z110" i="108" s="1"/>
  <c r="W18" i="207"/>
  <c r="U16" i="207"/>
  <c r="AF147" i="145"/>
  <c r="W147" i="145"/>
  <c r="T147" i="145"/>
  <c r="G9" i="110"/>
  <c r="W36" i="85"/>
  <c r="W87" i="207"/>
  <c r="Q145" i="145"/>
  <c r="W145" i="145"/>
  <c r="Z145" i="145"/>
  <c r="T145" i="145"/>
  <c r="AF145" i="145"/>
  <c r="AD145" i="145"/>
  <c r="AE145" i="145"/>
  <c r="V68" i="207"/>
  <c r="W80" i="207"/>
  <c r="W70" i="207"/>
  <c r="W77" i="207"/>
  <c r="W73" i="207"/>
  <c r="W78" i="207"/>
  <c r="W81" i="207"/>
  <c r="W75" i="207"/>
  <c r="W72" i="207"/>
  <c r="W71" i="207"/>
  <c r="W79" i="207"/>
  <c r="W74" i="207"/>
  <c r="N86" i="207"/>
  <c r="N85" i="207"/>
  <c r="N84" i="207"/>
  <c r="N83" i="207"/>
  <c r="N82" i="207"/>
  <c r="O77" i="207"/>
  <c r="O86" i="207"/>
  <c r="O85" i="207"/>
  <c r="O84" i="207"/>
  <c r="O83" i="207"/>
  <c r="O82" i="207"/>
  <c r="O65" i="207"/>
  <c r="O64" i="207"/>
  <c r="O63" i="207"/>
  <c r="O62" i="207"/>
  <c r="O61" i="207"/>
  <c r="O60" i="207"/>
  <c r="O59" i="207"/>
  <c r="O58" i="207"/>
  <c r="O57" i="207"/>
  <c r="O56" i="207"/>
  <c r="O55" i="207"/>
  <c r="O54" i="207"/>
  <c r="N65" i="207"/>
  <c r="N64" i="207"/>
  <c r="N63" i="207"/>
  <c r="N62" i="207"/>
  <c r="N61" i="207"/>
  <c r="N60" i="207"/>
  <c r="N59" i="207"/>
  <c r="N58" i="207"/>
  <c r="N57" i="207"/>
  <c r="N56" i="207"/>
  <c r="N55" i="207"/>
  <c r="N54" i="207"/>
  <c r="O53" i="207"/>
  <c r="O52" i="207"/>
  <c r="O51" i="207"/>
  <c r="O50" i="207"/>
  <c r="N53" i="207"/>
  <c r="N52" i="207"/>
  <c r="N51" i="207"/>
  <c r="N50" i="207"/>
  <c r="O49" i="207"/>
  <c r="O48" i="207"/>
  <c r="O47" i="207"/>
  <c r="O46" i="207"/>
  <c r="N49" i="207"/>
  <c r="N48" i="207"/>
  <c r="N47" i="207"/>
  <c r="N46" i="207"/>
  <c r="O45" i="207"/>
  <c r="O44" i="207"/>
  <c r="O43" i="207"/>
  <c r="O42" i="207"/>
  <c r="N45" i="207"/>
  <c r="N44" i="207"/>
  <c r="N43" i="207"/>
  <c r="N42" i="207"/>
  <c r="O39" i="207"/>
  <c r="O41" i="207"/>
  <c r="O40" i="207"/>
  <c r="N41" i="207"/>
  <c r="N40" i="207"/>
  <c r="N38" i="207"/>
  <c r="N39" i="207"/>
  <c r="O37" i="207"/>
  <c r="O38" i="207"/>
  <c r="W34" i="207"/>
  <c r="W31" i="207"/>
  <c r="W19" i="207"/>
  <c r="W23" i="207"/>
  <c r="W25" i="207"/>
  <c r="W28" i="207"/>
  <c r="W29" i="207"/>
  <c r="L47" i="85"/>
  <c r="O47" i="85"/>
  <c r="O44" i="85"/>
  <c r="O46" i="85"/>
  <c r="O45" i="85"/>
  <c r="O43" i="85"/>
  <c r="L46" i="85"/>
  <c r="L44" i="85"/>
  <c r="L43" i="85"/>
  <c r="L42" i="85"/>
  <c r="U45" i="85"/>
  <c r="W45" i="85"/>
  <c r="AH52" i="207"/>
  <c r="AJ52" i="207" s="1"/>
  <c r="AM52" i="207" s="1"/>
  <c r="AO52" i="207" s="1"/>
  <c r="AR52" i="207" s="1"/>
  <c r="AH81" i="207"/>
  <c r="AJ81" i="207" s="1"/>
  <c r="AM81" i="207" s="1"/>
  <c r="AO81" i="207" s="1"/>
  <c r="AR81" i="207" s="1"/>
  <c r="AH108" i="207"/>
  <c r="AJ108" i="207" s="1"/>
  <c r="AM108" i="207" s="1"/>
  <c r="AO108" i="207" s="1"/>
  <c r="AR108" i="207" s="1"/>
  <c r="AH44" i="205"/>
  <c r="AJ44" i="205" s="1"/>
  <c r="AM44" i="205" s="1"/>
  <c r="AO44" i="205" s="1"/>
  <c r="AR44" i="205" s="1"/>
  <c r="W43" i="85"/>
  <c r="U43" i="85"/>
  <c r="W44" i="85"/>
  <c r="U44" i="85"/>
  <c r="U46" i="85"/>
  <c r="W46" i="85"/>
  <c r="AH107" i="207"/>
  <c r="AJ107" i="207" s="1"/>
  <c r="AM107" i="207" s="1"/>
  <c r="AO107" i="207" s="1"/>
  <c r="AR107" i="207" s="1"/>
  <c r="AH80" i="207"/>
  <c r="AJ80" i="207" s="1"/>
  <c r="AM80" i="207" s="1"/>
  <c r="AO80" i="207" s="1"/>
  <c r="AR80" i="207" s="1"/>
  <c r="AH51" i="207"/>
  <c r="AJ51" i="207" s="1"/>
  <c r="AM51" i="207" s="1"/>
  <c r="AO51" i="207" s="1"/>
  <c r="AR51" i="207" s="1"/>
  <c r="W42" i="85"/>
  <c r="U42" i="85"/>
  <c r="O42" i="85"/>
  <c r="W47" i="85"/>
  <c r="U47" i="85"/>
  <c r="U14" i="145"/>
  <c r="T14" i="145" s="1"/>
  <c r="U13" i="145"/>
  <c r="T13" i="145" s="1"/>
  <c r="P28" i="86"/>
  <c r="R24" i="86"/>
  <c r="FE102" i="27"/>
  <c r="Q31" i="86"/>
  <c r="Q28" i="86"/>
  <c r="W35" i="85"/>
  <c r="AH46" i="205"/>
  <c r="AJ46" i="205" s="1"/>
  <c r="AM46" i="205" s="1"/>
  <c r="AO46" i="205" s="1"/>
  <c r="AR46" i="205" s="1"/>
  <c r="AH53" i="207"/>
  <c r="AJ53" i="207" s="1"/>
  <c r="AM53" i="207" s="1"/>
  <c r="AO53" i="207" s="1"/>
  <c r="AR53" i="207" s="1"/>
  <c r="AH82" i="207"/>
  <c r="AJ82" i="207" s="1"/>
  <c r="AM82" i="207" s="1"/>
  <c r="AO82" i="207" s="1"/>
  <c r="AR82" i="207" s="1"/>
  <c r="AH109" i="207"/>
  <c r="AJ109" i="207" s="1"/>
  <c r="AM109" i="207" s="1"/>
  <c r="AO109" i="207" s="1"/>
  <c r="AR109" i="207" s="1"/>
  <c r="AH32" i="205"/>
  <c r="AJ32" i="205" s="1"/>
  <c r="AM32" i="205" s="1"/>
  <c r="AO32" i="205" s="1"/>
  <c r="AR32" i="205" s="1"/>
  <c r="P20" i="86"/>
  <c r="Q20" i="86"/>
  <c r="R20" i="86"/>
  <c r="Q26" i="86"/>
  <c r="AH47" i="205"/>
  <c r="AJ47" i="205" s="1"/>
  <c r="AM47" i="205" s="1"/>
  <c r="AO47" i="205" s="1"/>
  <c r="AR47" i="205" s="1"/>
  <c r="AH37" i="207"/>
  <c r="AJ37" i="207" s="1"/>
  <c r="AM37" i="207" s="1"/>
  <c r="AO37" i="207" s="1"/>
  <c r="AR37" i="207" s="1"/>
  <c r="AH66" i="207"/>
  <c r="AJ66" i="207" s="1"/>
  <c r="AM66" i="207" s="1"/>
  <c r="AO66" i="207" s="1"/>
  <c r="AR66" i="207" s="1"/>
  <c r="P24" i="86"/>
  <c r="R27" i="86"/>
  <c r="P31" i="86"/>
  <c r="S26" i="86"/>
  <c r="P26" i="86"/>
  <c r="Q29" i="86"/>
  <c r="S20" i="86"/>
  <c r="Q24" i="86"/>
  <c r="Q25" i="86"/>
  <c r="S31" i="86"/>
  <c r="Q27" i="86"/>
  <c r="S25" i="86"/>
  <c r="R31" i="86"/>
  <c r="P25" i="86"/>
  <c r="P27" i="86"/>
  <c r="S30" i="86"/>
  <c r="R29" i="86"/>
  <c r="Q30" i="86"/>
  <c r="R25" i="86"/>
  <c r="R30" i="86"/>
  <c r="S24" i="86"/>
  <c r="P30" i="86"/>
  <c r="R26" i="86"/>
  <c r="R28" i="86"/>
  <c r="P29" i="86"/>
  <c r="S27" i="86"/>
  <c r="S29" i="86"/>
  <c r="S28" i="86"/>
  <c r="R23" i="86"/>
  <c r="P23" i="86"/>
  <c r="S23" i="86"/>
  <c r="R21" i="86"/>
  <c r="Q22" i="86"/>
  <c r="P22" i="86"/>
  <c r="R22" i="86"/>
  <c r="S22" i="86"/>
  <c r="Q23" i="86"/>
  <c r="I110" i="108"/>
  <c r="F15" i="86"/>
  <c r="F16" i="86"/>
  <c r="G15" i="86"/>
  <c r="G16" i="86"/>
  <c r="O79" i="207"/>
  <c r="O73" i="207"/>
  <c r="O78" i="207"/>
  <c r="O71" i="207"/>
  <c r="O81" i="207"/>
  <c r="O75" i="207"/>
  <c r="O69" i="207"/>
  <c r="O72" i="207"/>
  <c r="O70" i="207"/>
  <c r="O76" i="207"/>
  <c r="O74" i="207"/>
  <c r="O80" i="207"/>
  <c r="O87" i="207"/>
  <c r="N69" i="207"/>
  <c r="N78" i="207"/>
  <c r="N70" i="207"/>
  <c r="N81" i="207"/>
  <c r="N77" i="207"/>
  <c r="N73" i="207"/>
  <c r="N74" i="207"/>
  <c r="N80" i="207"/>
  <c r="N76" i="207"/>
  <c r="N72" i="207"/>
  <c r="N87" i="207"/>
  <c r="N79" i="207"/>
  <c r="N75" i="207"/>
  <c r="N71" i="207"/>
  <c r="AH40" i="207"/>
  <c r="AJ40" i="207" s="1"/>
  <c r="AM40" i="207" s="1"/>
  <c r="AO40" i="207" s="1"/>
  <c r="AR40" i="207" s="1"/>
  <c r="AH69" i="207"/>
  <c r="AJ69" i="207" s="1"/>
  <c r="AM69" i="207" s="1"/>
  <c r="AO69" i="207" s="1"/>
  <c r="AR69" i="207" s="1"/>
  <c r="AH96" i="207"/>
  <c r="AJ96" i="207" s="1"/>
  <c r="AM96" i="207" s="1"/>
  <c r="AO96" i="207" s="1"/>
  <c r="AR96" i="207" s="1"/>
  <c r="AH79" i="207"/>
  <c r="AJ79" i="207" s="1"/>
  <c r="AM79" i="207" s="1"/>
  <c r="AO79" i="207" s="1"/>
  <c r="AR79" i="207" s="1"/>
  <c r="AH106" i="207"/>
  <c r="AJ106" i="207" s="1"/>
  <c r="AM106" i="207" s="1"/>
  <c r="AO106" i="207" s="1"/>
  <c r="AR106" i="207" s="1"/>
  <c r="AH50" i="207"/>
  <c r="AJ50" i="207" s="1"/>
  <c r="AM50" i="207" s="1"/>
  <c r="AO50" i="207" s="1"/>
  <c r="AR50" i="207" s="1"/>
  <c r="AH67" i="207"/>
  <c r="AJ67" i="207" s="1"/>
  <c r="AM67" i="207" s="1"/>
  <c r="AO67" i="207" s="1"/>
  <c r="AR67" i="207" s="1"/>
  <c r="AH38" i="207"/>
  <c r="AJ38" i="207" s="1"/>
  <c r="AM38" i="207" s="1"/>
  <c r="AO38" i="207" s="1"/>
  <c r="AR38" i="207" s="1"/>
  <c r="AH94" i="207"/>
  <c r="AJ94" i="207" s="1"/>
  <c r="AM94" i="207" s="1"/>
  <c r="AO94" i="207" s="1"/>
  <c r="AR94" i="207" s="1"/>
  <c r="AH62" i="207"/>
  <c r="AH90" i="207"/>
  <c r="AH33" i="207"/>
  <c r="AH70" i="207"/>
  <c r="AJ70" i="207" s="1"/>
  <c r="AM70" i="207" s="1"/>
  <c r="AO70" i="207" s="1"/>
  <c r="AR70" i="207" s="1"/>
  <c r="AH97" i="207"/>
  <c r="AJ97" i="207" s="1"/>
  <c r="AM97" i="207" s="1"/>
  <c r="AO97" i="207" s="1"/>
  <c r="AR97" i="207" s="1"/>
  <c r="AH41" i="207"/>
  <c r="AJ41" i="207" s="1"/>
  <c r="AM41" i="207" s="1"/>
  <c r="AO41" i="207" s="1"/>
  <c r="AR41" i="207" s="1"/>
  <c r="AH93" i="207"/>
  <c r="AH36" i="207"/>
  <c r="AH65" i="207"/>
  <c r="AH63" i="207"/>
  <c r="AJ63" i="207" s="1"/>
  <c r="AM63" i="207" s="1"/>
  <c r="AO63" i="207" s="1"/>
  <c r="AR63" i="207" s="1"/>
  <c r="AH34" i="207"/>
  <c r="AJ34" i="207" s="1"/>
  <c r="AM34" i="207" s="1"/>
  <c r="AO34" i="207" s="1"/>
  <c r="AR34" i="207" s="1"/>
  <c r="AH44" i="207"/>
  <c r="AJ44" i="207" s="1"/>
  <c r="AM44" i="207" s="1"/>
  <c r="AO44" i="207" s="1"/>
  <c r="AR44" i="207" s="1"/>
  <c r="AH100" i="207"/>
  <c r="AJ100" i="207" s="1"/>
  <c r="AM100" i="207" s="1"/>
  <c r="AO100" i="207" s="1"/>
  <c r="AR100" i="207" s="1"/>
  <c r="AH73" i="207"/>
  <c r="AJ73" i="207" s="1"/>
  <c r="AM73" i="207" s="1"/>
  <c r="AO73" i="207" s="1"/>
  <c r="AR73" i="207" s="1"/>
  <c r="AH99" i="207"/>
  <c r="AJ99" i="207" s="1"/>
  <c r="AM99" i="207" s="1"/>
  <c r="AO99" i="207" s="1"/>
  <c r="AR99" i="207" s="1"/>
  <c r="AH43" i="207"/>
  <c r="AJ43" i="207" s="1"/>
  <c r="AM43" i="207" s="1"/>
  <c r="AO43" i="207" s="1"/>
  <c r="AR43" i="207" s="1"/>
  <c r="AH72" i="207"/>
  <c r="AJ72" i="207" s="1"/>
  <c r="AM72" i="207" s="1"/>
  <c r="AO72" i="207" s="1"/>
  <c r="AR72" i="207" s="1"/>
  <c r="AH105" i="207"/>
  <c r="AJ105" i="207" s="1"/>
  <c r="AM105" i="207" s="1"/>
  <c r="AO105" i="207" s="1"/>
  <c r="AR105" i="207" s="1"/>
  <c r="AH78" i="207"/>
  <c r="AJ78" i="207" s="1"/>
  <c r="AM78" i="207" s="1"/>
  <c r="AO78" i="207" s="1"/>
  <c r="AR78" i="207" s="1"/>
  <c r="AH49" i="207"/>
  <c r="AJ49" i="207" s="1"/>
  <c r="AM49" i="207" s="1"/>
  <c r="AO49" i="207" s="1"/>
  <c r="AR49" i="207" s="1"/>
  <c r="AH48" i="207"/>
  <c r="AJ48" i="207" s="1"/>
  <c r="AM48" i="207" s="1"/>
  <c r="AO48" i="207" s="1"/>
  <c r="AR48" i="207" s="1"/>
  <c r="AH77" i="207"/>
  <c r="AJ77" i="207" s="1"/>
  <c r="AM77" i="207" s="1"/>
  <c r="AO77" i="207" s="1"/>
  <c r="AR77" i="207" s="1"/>
  <c r="AH104" i="207"/>
  <c r="AJ104" i="207" s="1"/>
  <c r="AM104" i="207" s="1"/>
  <c r="AO104" i="207" s="1"/>
  <c r="AR104" i="207" s="1"/>
  <c r="AH92" i="207"/>
  <c r="AJ92" i="207" s="1"/>
  <c r="AM92" i="207" s="1"/>
  <c r="AO92" i="207" s="1"/>
  <c r="AR92" i="207" s="1"/>
  <c r="AH35" i="207"/>
  <c r="AJ35" i="207" s="1"/>
  <c r="AM35" i="207" s="1"/>
  <c r="AO35" i="207" s="1"/>
  <c r="AR35" i="207" s="1"/>
  <c r="AH64" i="207"/>
  <c r="AJ64" i="207" s="1"/>
  <c r="AM64" i="207" s="1"/>
  <c r="AO64" i="207" s="1"/>
  <c r="AR64" i="207" s="1"/>
  <c r="W30" i="85"/>
  <c r="W25" i="85"/>
  <c r="W38" i="85"/>
  <c r="P68" i="207"/>
  <c r="Z68" i="207"/>
  <c r="O16" i="207"/>
  <c r="W69" i="207"/>
  <c r="U68" i="207"/>
  <c r="W66" i="207"/>
  <c r="W36" i="207" s="1"/>
  <c r="V36" i="207"/>
  <c r="Z36" i="207"/>
  <c r="N16" i="207"/>
  <c r="J15" i="207"/>
  <c r="N15" i="207" s="1"/>
  <c r="N37" i="207"/>
  <c r="P36" i="207"/>
  <c r="V16" i="207"/>
  <c r="W17" i="207"/>
  <c r="I23" i="207"/>
  <c r="P23" i="207" s="1"/>
  <c r="G18" i="86"/>
  <c r="H110" i="108"/>
  <c r="M110" i="108"/>
  <c r="G110" i="108"/>
  <c r="J17" i="205"/>
  <c r="E110" i="108"/>
  <c r="AA45" i="108" s="1"/>
  <c r="K31" i="85"/>
  <c r="U37" i="85"/>
  <c r="W37" i="85"/>
  <c r="U33" i="85"/>
  <c r="W33" i="85"/>
  <c r="U39" i="85"/>
  <c r="W39" i="85"/>
  <c r="U26" i="85"/>
  <c r="W26" i="85"/>
  <c r="U29" i="85"/>
  <c r="W29" i="85"/>
  <c r="U32" i="85"/>
  <c r="W32" i="85"/>
  <c r="U40" i="85"/>
  <c r="W40" i="85"/>
  <c r="U28" i="85"/>
  <c r="W28" i="85"/>
  <c r="N22" i="108"/>
  <c r="N33" i="108"/>
  <c r="U36" i="85"/>
  <c r="H9" i="85"/>
  <c r="N23" i="108"/>
  <c r="N35" i="108"/>
  <c r="U38" i="85"/>
  <c r="N32" i="108"/>
  <c r="U35" i="85"/>
  <c r="AH41" i="205"/>
  <c r="AJ41" i="205" s="1"/>
  <c r="AM41" i="205" s="1"/>
  <c r="AO41" i="205" s="1"/>
  <c r="AR41" i="205" s="1"/>
  <c r="U30" i="85"/>
  <c r="AN107" i="85"/>
  <c r="AM107" i="85"/>
  <c r="D110" i="108"/>
  <c r="F18" i="86"/>
  <c r="F62" i="27"/>
  <c r="FH62" i="27" s="1"/>
  <c r="AA35" i="145"/>
  <c r="Z35" i="145" s="1"/>
  <c r="AL35" i="145" s="1"/>
  <c r="AA12" i="145"/>
  <c r="AA27" i="145"/>
  <c r="AA37" i="145"/>
  <c r="AA15" i="145"/>
  <c r="Z15" i="145" s="1"/>
  <c r="AA33" i="145"/>
  <c r="Z33" i="145" s="1"/>
  <c r="AL33" i="145" s="1"/>
  <c r="AA29" i="145"/>
  <c r="Z29" i="145" s="1"/>
  <c r="AA10" i="145"/>
  <c r="Z10" i="145" s="1"/>
  <c r="AA38" i="145"/>
  <c r="Z38" i="145" s="1"/>
  <c r="AA43" i="145"/>
  <c r="Z43" i="145" s="1"/>
  <c r="AA30" i="145"/>
  <c r="Z30" i="145" s="1"/>
  <c r="AL30" i="145" s="1"/>
  <c r="AA39" i="145"/>
  <c r="Z39" i="145" s="1"/>
  <c r="AL39" i="145" s="1"/>
  <c r="AA16" i="145"/>
  <c r="Z16" i="145" s="1"/>
  <c r="AA21" i="145"/>
  <c r="V107" i="145"/>
  <c r="U35" i="145"/>
  <c r="T35" i="145" s="1"/>
  <c r="U37" i="145"/>
  <c r="U18" i="145"/>
  <c r="U27" i="145"/>
  <c r="U29" i="145"/>
  <c r="T29" i="145" s="1"/>
  <c r="U15" i="145"/>
  <c r="U20" i="145"/>
  <c r="T20" i="145" s="1"/>
  <c r="U23" i="145"/>
  <c r="U10" i="145"/>
  <c r="T10" i="145" s="1"/>
  <c r="U38" i="145"/>
  <c r="T38" i="145" s="1"/>
  <c r="U30" i="145"/>
  <c r="T30" i="145" s="1"/>
  <c r="U12" i="145"/>
  <c r="U9" i="145"/>
  <c r="U34" i="145"/>
  <c r="T34" i="145" s="1"/>
  <c r="U28" i="145"/>
  <c r="U32" i="145"/>
  <c r="U26" i="145"/>
  <c r="U43" i="145" s="1"/>
  <c r="T43" i="145" s="1"/>
  <c r="U33" i="145"/>
  <c r="T33" i="145" s="1"/>
  <c r="U19" i="145"/>
  <c r="T19" i="145" s="1"/>
  <c r="U21" i="145"/>
  <c r="U16" i="145"/>
  <c r="T16" i="145" s="1"/>
  <c r="U39" i="145"/>
  <c r="T39" i="145" s="1"/>
  <c r="X107" i="145"/>
  <c r="X24" i="145" s="1"/>
  <c r="R107" i="145"/>
  <c r="R24" i="145" s="1"/>
  <c r="Q24" i="145" s="1"/>
  <c r="AB107" i="145"/>
  <c r="O33" i="85"/>
  <c r="O35" i="85"/>
  <c r="O40" i="85"/>
  <c r="O25" i="85"/>
  <c r="O28" i="85"/>
  <c r="O38" i="85"/>
  <c r="O30" i="85"/>
  <c r="O37" i="85"/>
  <c r="FA102" i="27"/>
  <c r="AE147" i="145" s="1"/>
  <c r="AC147" i="145"/>
  <c r="AD147" i="145" s="1"/>
  <c r="N34" i="108"/>
  <c r="AH40" i="205"/>
  <c r="O24" i="85"/>
  <c r="O26" i="85"/>
  <c r="O36" i="85"/>
  <c r="H10" i="85"/>
  <c r="AH34" i="205"/>
  <c r="AJ34" i="205" s="1"/>
  <c r="AM34" i="205" s="1"/>
  <c r="AO34" i="205" s="1"/>
  <c r="AR34" i="205" s="1"/>
  <c r="N30" i="108"/>
  <c r="O39" i="85"/>
  <c r="L35" i="85"/>
  <c r="L39" i="85"/>
  <c r="L37" i="85"/>
  <c r="FD102" i="27"/>
  <c r="FF102" i="27"/>
  <c r="N36" i="108"/>
  <c r="AH43" i="205"/>
  <c r="AJ43" i="205" s="1"/>
  <c r="AM43" i="205" s="1"/>
  <c r="AO43" i="205" s="1"/>
  <c r="AR43" i="205" s="1"/>
  <c r="G15" i="193"/>
  <c r="H15" i="193" s="1"/>
  <c r="N24" i="108"/>
  <c r="AH45" i="205"/>
  <c r="AJ45" i="205" s="1"/>
  <c r="AM45" i="205" s="1"/>
  <c r="AO45" i="205" s="1"/>
  <c r="AR45" i="205" s="1"/>
  <c r="L40" i="85"/>
  <c r="N27" i="108"/>
  <c r="L29" i="85"/>
  <c r="N37" i="108"/>
  <c r="AH38" i="205"/>
  <c r="AJ38" i="205" s="1"/>
  <c r="AM38" i="205" s="1"/>
  <c r="AO38" i="205" s="1"/>
  <c r="AR38" i="205" s="1"/>
  <c r="N26" i="108"/>
  <c r="AH36" i="205"/>
  <c r="AJ36" i="205" s="1"/>
  <c r="AM36" i="205" s="1"/>
  <c r="AO36" i="205" s="1"/>
  <c r="AR36" i="205" s="1"/>
  <c r="N29" i="108"/>
  <c r="L24" i="85"/>
  <c r="O29" i="85"/>
  <c r="L28" i="85"/>
  <c r="L25" i="85"/>
  <c r="O32" i="85"/>
  <c r="L36" i="85"/>
  <c r="L32" i="85"/>
  <c r="AH37" i="205"/>
  <c r="AJ37" i="205" s="1"/>
  <c r="AM37" i="205" s="1"/>
  <c r="AO37" i="205" s="1"/>
  <c r="AR37" i="205" s="1"/>
  <c r="L30" i="85"/>
  <c r="L26" i="85"/>
  <c r="L33" i="85"/>
  <c r="L38" i="85"/>
  <c r="U110" i="108"/>
  <c r="AG26" i="145" l="1"/>
  <c r="AO53" i="85"/>
  <c r="H41" i="85"/>
  <c r="AP53" i="85"/>
  <c r="K41" i="85"/>
  <c r="L41" i="85" s="1"/>
  <c r="M5" i="85"/>
  <c r="M41" i="85"/>
  <c r="O41" i="85" s="1"/>
  <c r="Q41" i="85"/>
  <c r="R41" i="85"/>
  <c r="S41" i="85"/>
  <c r="P41" i="85"/>
  <c r="V9" i="145"/>
  <c r="V32" i="145"/>
  <c r="AB9" i="145"/>
  <c r="AB32" i="145"/>
  <c r="AG34" i="145"/>
  <c r="AG21" i="145"/>
  <c r="AG33" i="145"/>
  <c r="AG37" i="145"/>
  <c r="AG10" i="145"/>
  <c r="AG38" i="145"/>
  <c r="AG13" i="145"/>
  <c r="AG24" i="145"/>
  <c r="AG18" i="145"/>
  <c r="AE20" i="145"/>
  <c r="AF20" i="145"/>
  <c r="AA25" i="145"/>
  <c r="Z25" i="145" s="1"/>
  <c r="AN53" i="85"/>
  <c r="N19" i="86"/>
  <c r="J19" i="86"/>
  <c r="AM53" i="85"/>
  <c r="I19" i="86"/>
  <c r="H19" i="86"/>
  <c r="O19" i="86"/>
  <c r="L19" i="86"/>
  <c r="K19" i="86"/>
  <c r="M19" i="86"/>
  <c r="T23" i="145"/>
  <c r="U25" i="145"/>
  <c r="T21" i="145"/>
  <c r="Z21" i="145"/>
  <c r="AP21" i="145" s="1"/>
  <c r="AJ24" i="145"/>
  <c r="AK24" i="145" s="1"/>
  <c r="W24" i="145"/>
  <c r="Z24" i="145"/>
  <c r="AL24" i="145" s="1"/>
  <c r="BH53" i="85"/>
  <c r="N7" i="85"/>
  <c r="BB53" i="85"/>
  <c r="S7" i="85"/>
  <c r="AW53" i="85"/>
  <c r="O5" i="85"/>
  <c r="BK53" i="85"/>
  <c r="Q7" i="85"/>
  <c r="BC53" i="85"/>
  <c r="P5" i="85"/>
  <c r="BE53" i="85"/>
  <c r="P7" i="85"/>
  <c r="BA53" i="85"/>
  <c r="O7" i="85"/>
  <c r="BG53" i="85"/>
  <c r="N6" i="85"/>
  <c r="BJ53" i="85"/>
  <c r="Q6" i="85"/>
  <c r="AZ53" i="85"/>
  <c r="S6" i="85"/>
  <c r="BI53" i="85"/>
  <c r="Q5" i="85"/>
  <c r="BF53" i="85"/>
  <c r="N5" i="85"/>
  <c r="AY53" i="85"/>
  <c r="O6" i="85"/>
  <c r="AX53" i="85"/>
  <c r="S5" i="85"/>
  <c r="BD53" i="85"/>
  <c r="P6" i="85"/>
  <c r="AV53" i="85"/>
  <c r="R7" i="85"/>
  <c r="AQ53" i="85"/>
  <c r="AR53" i="85"/>
  <c r="R5" i="85"/>
  <c r="AT53" i="85"/>
  <c r="R6" i="85"/>
  <c r="AU53" i="85"/>
  <c r="M7" i="85"/>
  <c r="AS53" i="85"/>
  <c r="M6" i="85"/>
  <c r="J17" i="86"/>
  <c r="N17" i="86"/>
  <c r="K17" i="86"/>
  <c r="L17" i="86"/>
  <c r="H17" i="86"/>
  <c r="M17" i="86"/>
  <c r="I17" i="86"/>
  <c r="O17" i="86"/>
  <c r="AA46" i="145"/>
  <c r="J9" i="110"/>
  <c r="J10" i="110"/>
  <c r="K10" i="110" s="1"/>
  <c r="J11" i="110"/>
  <c r="T11" i="110" s="1"/>
  <c r="H18" i="86"/>
  <c r="I18" i="86"/>
  <c r="L18" i="86"/>
  <c r="M18" i="86"/>
  <c r="G16" i="110"/>
  <c r="J16" i="110" s="1"/>
  <c r="AA11" i="145"/>
  <c r="AA44" i="145"/>
  <c r="AP20" i="145"/>
  <c r="O18" i="86"/>
  <c r="N18" i="86"/>
  <c r="J18" i="86"/>
  <c r="N31" i="85"/>
  <c r="M31" i="85"/>
  <c r="H31" i="85"/>
  <c r="D88" i="86" s="1"/>
  <c r="P31" i="85"/>
  <c r="Q31" i="85"/>
  <c r="S31" i="85"/>
  <c r="R31" i="85"/>
  <c r="G15" i="110"/>
  <c r="G17" i="110"/>
  <c r="J17" i="110" s="1"/>
  <c r="Z27" i="145"/>
  <c r="AA45" i="145"/>
  <c r="Z45" i="145" s="1"/>
  <c r="T27" i="145"/>
  <c r="U45" i="145"/>
  <c r="T45" i="145" s="1"/>
  <c r="U44" i="145"/>
  <c r="J16" i="86"/>
  <c r="O16" i="86"/>
  <c r="N105" i="145"/>
  <c r="AE41" i="108"/>
  <c r="AD41" i="108"/>
  <c r="AB41" i="108"/>
  <c r="AA41" i="108"/>
  <c r="Y41" i="108"/>
  <c r="S41" i="108"/>
  <c r="V41" i="108"/>
  <c r="M105" i="145"/>
  <c r="W16" i="207"/>
  <c r="Y16" i="207" s="1"/>
  <c r="W68" i="207"/>
  <c r="X68" i="207" s="1"/>
  <c r="N16" i="86"/>
  <c r="K27" i="85"/>
  <c r="M27" i="85"/>
  <c r="U48" i="145"/>
  <c r="X14" i="145"/>
  <c r="X13" i="145"/>
  <c r="R14" i="145"/>
  <c r="R13" i="145"/>
  <c r="Q13" i="145" s="1"/>
  <c r="I47" i="85"/>
  <c r="J47" i="85"/>
  <c r="I45" i="85"/>
  <c r="J45" i="85"/>
  <c r="J46" i="85"/>
  <c r="I46" i="85"/>
  <c r="J42" i="85"/>
  <c r="I42" i="85"/>
  <c r="I43" i="85"/>
  <c r="J44" i="85"/>
  <c r="J41" i="85"/>
  <c r="J43" i="85"/>
  <c r="I41" i="85"/>
  <c r="I44" i="85"/>
  <c r="H34" i="85"/>
  <c r="H27" i="85"/>
  <c r="N34" i="85"/>
  <c r="N27" i="85"/>
  <c r="R27" i="85"/>
  <c r="Q27" i="85"/>
  <c r="P27" i="85"/>
  <c r="S27" i="85"/>
  <c r="I23" i="85"/>
  <c r="F32" i="86"/>
  <c r="G32" i="86"/>
  <c r="AH42" i="205"/>
  <c r="AJ42" i="205" s="1"/>
  <c r="AM42" i="205" s="1"/>
  <c r="AO42" i="205" s="1"/>
  <c r="AR42" i="205" s="1"/>
  <c r="H11" i="85"/>
  <c r="M34" i="85"/>
  <c r="K16" i="86"/>
  <c r="AH46" i="207"/>
  <c r="AJ46" i="207" s="1"/>
  <c r="AM46" i="207" s="1"/>
  <c r="AO46" i="207" s="1"/>
  <c r="AR46" i="207" s="1"/>
  <c r="AH102" i="207"/>
  <c r="AJ102" i="207" s="1"/>
  <c r="AM102" i="207" s="1"/>
  <c r="AO102" i="207" s="1"/>
  <c r="AR102" i="207" s="1"/>
  <c r="AH75" i="207"/>
  <c r="AJ75" i="207" s="1"/>
  <c r="AM75" i="207" s="1"/>
  <c r="AO75" i="207" s="1"/>
  <c r="AR75" i="207" s="1"/>
  <c r="K15" i="86"/>
  <c r="R34" i="85"/>
  <c r="S34" i="85"/>
  <c r="P34" i="85"/>
  <c r="Q34" i="85"/>
  <c r="K23" i="85"/>
  <c r="K34" i="85"/>
  <c r="V29" i="108"/>
  <c r="Y23" i="108"/>
  <c r="Y45" i="108"/>
  <c r="N45" i="108"/>
  <c r="S33" i="108"/>
  <c r="S22" i="108"/>
  <c r="S24" i="108"/>
  <c r="S29" i="108"/>
  <c r="V31" i="108"/>
  <c r="S45" i="108"/>
  <c r="S30" i="108"/>
  <c r="S23" i="108"/>
  <c r="S27" i="108"/>
  <c r="S36" i="108"/>
  <c r="S25" i="108"/>
  <c r="S44" i="108"/>
  <c r="V35" i="108"/>
  <c r="S28" i="108"/>
  <c r="S32" i="108"/>
  <c r="S21" i="108"/>
  <c r="S31" i="108"/>
  <c r="S34" i="108"/>
  <c r="V34" i="108"/>
  <c r="S26" i="108"/>
  <c r="V28" i="108"/>
  <c r="V21" i="108"/>
  <c r="V36" i="108"/>
  <c r="Y32" i="108"/>
  <c r="Y21" i="108"/>
  <c r="AA44" i="108"/>
  <c r="V25" i="108"/>
  <c r="S35" i="108"/>
  <c r="Y26" i="108"/>
  <c r="V23" i="108"/>
  <c r="V44" i="108"/>
  <c r="Y36" i="108"/>
  <c r="Y35" i="108"/>
  <c r="N44" i="108"/>
  <c r="Y31" i="108"/>
  <c r="Y22" i="108"/>
  <c r="M45" i="108"/>
  <c r="Y25" i="108"/>
  <c r="M44" i="108"/>
  <c r="Y33" i="108"/>
  <c r="V27" i="108"/>
  <c r="V24" i="108"/>
  <c r="O45" i="108"/>
  <c r="V22" i="108"/>
  <c r="V30" i="108"/>
  <c r="V33" i="108"/>
  <c r="V26" i="108"/>
  <c r="V45" i="108"/>
  <c r="Y29" i="108"/>
  <c r="Y44" i="108"/>
  <c r="V32" i="108"/>
  <c r="Y30" i="108"/>
  <c r="Y28" i="108"/>
  <c r="Y34" i="108"/>
  <c r="Y24" i="108"/>
  <c r="Y27" i="108"/>
  <c r="O44" i="108"/>
  <c r="R23" i="85"/>
  <c r="S23" i="85"/>
  <c r="P23" i="85"/>
  <c r="Q23" i="85"/>
  <c r="AJ65" i="207"/>
  <c r="AM65" i="207" s="1"/>
  <c r="AO65" i="207" s="1"/>
  <c r="AP65" i="207"/>
  <c r="AP36" i="207"/>
  <c r="AJ36" i="207"/>
  <c r="AM36" i="207" s="1"/>
  <c r="AO36" i="207" s="1"/>
  <c r="AJ93" i="207"/>
  <c r="AM93" i="207" s="1"/>
  <c r="AO93" i="207" s="1"/>
  <c r="AP93" i="207"/>
  <c r="N41" i="108"/>
  <c r="O28" i="207"/>
  <c r="O22" i="207"/>
  <c r="O34" i="207"/>
  <c r="O31" i="207"/>
  <c r="O33" i="207"/>
  <c r="O32" i="207"/>
  <c r="O24" i="207"/>
  <c r="O27" i="207"/>
  <c r="O19" i="207"/>
  <c r="O29" i="207"/>
  <c r="O25" i="207"/>
  <c r="O30" i="207"/>
  <c r="O20" i="207"/>
  <c r="O18" i="207"/>
  <c r="O17" i="207"/>
  <c r="O21" i="207"/>
  <c r="O23" i="207"/>
  <c r="O66" i="207"/>
  <c r="O26" i="207"/>
  <c r="N31" i="207"/>
  <c r="N21" i="207"/>
  <c r="N26" i="207"/>
  <c r="N18" i="207"/>
  <c r="N33" i="207"/>
  <c r="N22" i="207"/>
  <c r="N23" i="207"/>
  <c r="N24" i="207"/>
  <c r="N30" i="207"/>
  <c r="N17" i="207"/>
  <c r="N28" i="207"/>
  <c r="N32" i="207"/>
  <c r="N29" i="207"/>
  <c r="N34" i="207"/>
  <c r="N20" i="207"/>
  <c r="N27" i="207"/>
  <c r="N66" i="207"/>
  <c r="N25" i="207"/>
  <c r="N19" i="207"/>
  <c r="X36" i="207"/>
  <c r="Y36" i="207"/>
  <c r="O41" i="108"/>
  <c r="AD42" i="108"/>
  <c r="AA42" i="108"/>
  <c r="AD44" i="108" s="1"/>
  <c r="V42" i="108"/>
  <c r="AB42" i="108"/>
  <c r="Y42" i="108"/>
  <c r="Z23" i="207"/>
  <c r="Z16" i="207" s="1"/>
  <c r="N110" i="108"/>
  <c r="M41" i="108" s="1"/>
  <c r="N107" i="145"/>
  <c r="O110" i="108"/>
  <c r="N23" i="85"/>
  <c r="J29" i="85"/>
  <c r="M23" i="85"/>
  <c r="R15" i="86"/>
  <c r="FB62" i="27"/>
  <c r="EZ62" i="27"/>
  <c r="AC107" i="145" s="1"/>
  <c r="FC62" i="27"/>
  <c r="F10" i="27"/>
  <c r="F8" i="27"/>
  <c r="S42" i="108"/>
  <c r="N42" i="108"/>
  <c r="D130" i="202" s="1"/>
  <c r="P16" i="207"/>
  <c r="P15" i="207" s="1"/>
  <c r="M42" i="108"/>
  <c r="AE42" i="108"/>
  <c r="O42" i="108"/>
  <c r="L17" i="205"/>
  <c r="L16" i="205" s="1"/>
  <c r="L15" i="205" s="1"/>
  <c r="J16" i="205"/>
  <c r="AH17" i="205"/>
  <c r="AJ17" i="205" s="1"/>
  <c r="AM17" i="205" s="1"/>
  <c r="AO17" i="205" s="1"/>
  <c r="AO16" i="205" s="1"/>
  <c r="V17" i="205"/>
  <c r="H23" i="85"/>
  <c r="M107" i="145"/>
  <c r="N32" i="145" s="1"/>
  <c r="I25" i="85"/>
  <c r="I39" i="85"/>
  <c r="I38" i="85"/>
  <c r="J32" i="85"/>
  <c r="I28" i="85"/>
  <c r="I36" i="85"/>
  <c r="E90" i="86" s="1"/>
  <c r="I24" i="85"/>
  <c r="I31" i="85"/>
  <c r="J37" i="85"/>
  <c r="F91" i="86" s="1"/>
  <c r="J39" i="85"/>
  <c r="J27" i="85"/>
  <c r="J26" i="85"/>
  <c r="I27" i="85"/>
  <c r="J30" i="85"/>
  <c r="J31" i="85"/>
  <c r="I37" i="85"/>
  <c r="E91" i="86" s="1"/>
  <c r="I33" i="85"/>
  <c r="J33" i="85"/>
  <c r="J23" i="85"/>
  <c r="I32" i="85"/>
  <c r="J24" i="85"/>
  <c r="J34" i="85"/>
  <c r="J35" i="85"/>
  <c r="J28" i="85"/>
  <c r="J38" i="85"/>
  <c r="I29" i="85"/>
  <c r="I35" i="85"/>
  <c r="I30" i="85"/>
  <c r="I26" i="85"/>
  <c r="J25" i="85"/>
  <c r="I34" i="85"/>
  <c r="J36" i="85"/>
  <c r="F90" i="86" s="1"/>
  <c r="I40" i="85"/>
  <c r="J40" i="85"/>
  <c r="K18" i="86"/>
  <c r="AA40" i="145"/>
  <c r="Z40" i="145" s="1"/>
  <c r="Z37" i="145"/>
  <c r="AA31" i="145"/>
  <c r="AP18" i="145"/>
  <c r="Z12" i="145"/>
  <c r="AA17" i="145"/>
  <c r="X35" i="145"/>
  <c r="W35" i="145" s="1"/>
  <c r="X26" i="145"/>
  <c r="X23" i="145"/>
  <c r="X27" i="145"/>
  <c r="X45" i="145" s="1"/>
  <c r="X21" i="145"/>
  <c r="X20" i="145"/>
  <c r="W20" i="145" s="1"/>
  <c r="X32" i="145"/>
  <c r="X39" i="145"/>
  <c r="W39" i="145" s="1"/>
  <c r="X38" i="145"/>
  <c r="W38" i="145" s="1"/>
  <c r="X28" i="145"/>
  <c r="X19" i="145"/>
  <c r="X18" i="145"/>
  <c r="X30" i="145"/>
  <c r="W30" i="145" s="1"/>
  <c r="X16" i="145"/>
  <c r="W16" i="145" s="1"/>
  <c r="X15" i="145"/>
  <c r="W15" i="145" s="1"/>
  <c r="X12" i="145"/>
  <c r="X37" i="145"/>
  <c r="X10" i="145"/>
  <c r="W10" i="145" s="1"/>
  <c r="X9" i="145"/>
  <c r="X34" i="145"/>
  <c r="W34" i="145" s="1"/>
  <c r="X33" i="145"/>
  <c r="W33" i="145" s="1"/>
  <c r="X29" i="145"/>
  <c r="W29" i="145" s="1"/>
  <c r="T28" i="145"/>
  <c r="U31" i="145"/>
  <c r="T31" i="145" s="1"/>
  <c r="T15" i="145"/>
  <c r="T9" i="145"/>
  <c r="U11" i="145"/>
  <c r="T11" i="145" s="1"/>
  <c r="T12" i="145"/>
  <c r="U17" i="145"/>
  <c r="T17" i="145" s="1"/>
  <c r="U22" i="145"/>
  <c r="T22" i="145" s="1"/>
  <c r="T18" i="145"/>
  <c r="U40" i="145"/>
  <c r="T40" i="145" s="1"/>
  <c r="T37" i="145"/>
  <c r="T26" i="145"/>
  <c r="T32" i="145"/>
  <c r="U36" i="145"/>
  <c r="T36" i="145" s="1"/>
  <c r="AK39" i="145"/>
  <c r="R37" i="145"/>
  <c r="R39" i="145"/>
  <c r="Q39" i="145" s="1"/>
  <c r="R38" i="145"/>
  <c r="Q38" i="145" s="1"/>
  <c r="R35" i="145"/>
  <c r="Q35" i="145" s="1"/>
  <c r="R34" i="145"/>
  <c r="R33" i="145"/>
  <c r="Q33" i="145" s="1"/>
  <c r="R32" i="145"/>
  <c r="R29" i="145"/>
  <c r="Q29" i="145" s="1"/>
  <c r="AL29" i="145" s="1"/>
  <c r="R28" i="145"/>
  <c r="R27" i="145"/>
  <c r="R26" i="145"/>
  <c r="R43" i="145" s="1"/>
  <c r="Q43" i="145" s="1"/>
  <c r="R23" i="145"/>
  <c r="R25" i="145" s="1"/>
  <c r="R30" i="145"/>
  <c r="R20" i="145"/>
  <c r="Q20" i="145" s="1"/>
  <c r="R19" i="145"/>
  <c r="R18" i="145"/>
  <c r="R21" i="145"/>
  <c r="R16" i="145"/>
  <c r="Q16" i="145" s="1"/>
  <c r="AL16" i="145" s="1"/>
  <c r="R15" i="145"/>
  <c r="Q15" i="145" s="1"/>
  <c r="AL15" i="145" s="1"/>
  <c r="R12" i="145"/>
  <c r="R9" i="145"/>
  <c r="R10" i="145"/>
  <c r="Q10" i="145" s="1"/>
  <c r="S107" i="145"/>
  <c r="X53" i="145"/>
  <c r="AL38" i="145"/>
  <c r="AK38" i="145"/>
  <c r="Y107" i="145"/>
  <c r="O15" i="193"/>
  <c r="I15" i="193"/>
  <c r="L15" i="193" s="1"/>
  <c r="AR40" i="205"/>
  <c r="AJ40" i="205"/>
  <c r="AM40" i="205" s="1"/>
  <c r="AO40" i="205" s="1"/>
  <c r="R110" i="108"/>
  <c r="X110" i="108"/>
  <c r="AH33" i="205" l="1"/>
  <c r="AJ33" i="205" s="1"/>
  <c r="AM33" i="205" s="1"/>
  <c r="AO33" i="205" s="1"/>
  <c r="AR33" i="205" s="1"/>
  <c r="H12" i="85"/>
  <c r="AH103" i="207"/>
  <c r="AJ103" i="207" s="1"/>
  <c r="AM103" i="207" s="1"/>
  <c r="AO103" i="207" s="1"/>
  <c r="AR103" i="207" s="1"/>
  <c r="AH47" i="207"/>
  <c r="AJ47" i="207" s="1"/>
  <c r="AM47" i="207" s="1"/>
  <c r="AO47" i="207" s="1"/>
  <c r="AR47" i="207" s="1"/>
  <c r="AH76" i="207"/>
  <c r="AJ76" i="207" s="1"/>
  <c r="AM76" i="207" s="1"/>
  <c r="AO76" i="207" s="1"/>
  <c r="AR76" i="207" s="1"/>
  <c r="U41" i="85"/>
  <c r="W41" i="85"/>
  <c r="D89" i="86"/>
  <c r="N35" i="145"/>
  <c r="N19" i="145"/>
  <c r="AA32" i="145"/>
  <c r="AA36" i="145" s="1"/>
  <c r="S9" i="145"/>
  <c r="S32" i="145"/>
  <c r="Y9" i="145"/>
  <c r="Y32" i="145"/>
  <c r="AL13" i="145"/>
  <c r="N9" i="145"/>
  <c r="AG20" i="145"/>
  <c r="AP19" i="145"/>
  <c r="D113" i="202" a="1"/>
  <c r="D112" i="202" a="1"/>
  <c r="X25" i="145"/>
  <c r="W25" i="145" s="1"/>
  <c r="D10" i="202"/>
  <c r="O38" i="202" s="1"/>
  <c r="D8" i="202"/>
  <c r="E101" i="202" s="1"/>
  <c r="R19" i="86"/>
  <c r="S19" i="86"/>
  <c r="P19" i="86"/>
  <c r="Q19" i="86"/>
  <c r="D86" i="86"/>
  <c r="D9" i="202"/>
  <c r="K49" i="202" s="1"/>
  <c r="X44" i="145"/>
  <c r="X43" i="145"/>
  <c r="W43" i="145" s="1"/>
  <c r="W23" i="145"/>
  <c r="W21" i="145"/>
  <c r="Q21" i="145"/>
  <c r="AL21" i="145" s="1"/>
  <c r="T25" i="145"/>
  <c r="D87" i="86"/>
  <c r="E87" i="86"/>
  <c r="F88" i="86"/>
  <c r="F89" i="86"/>
  <c r="E89" i="86"/>
  <c r="F87" i="86"/>
  <c r="E88" i="86"/>
  <c r="E86" i="86"/>
  <c r="F86" i="86"/>
  <c r="H5" i="85"/>
  <c r="S17" i="86"/>
  <c r="R9" i="85"/>
  <c r="R8" i="85"/>
  <c r="M8" i="85"/>
  <c r="P17" i="86"/>
  <c r="Q17" i="86"/>
  <c r="R17" i="86"/>
  <c r="R46" i="145"/>
  <c r="L9" i="110"/>
  <c r="M9" i="110" s="1"/>
  <c r="T9" i="110"/>
  <c r="K11" i="110"/>
  <c r="L10" i="110"/>
  <c r="M10" i="110" s="1"/>
  <c r="T10" i="110"/>
  <c r="X9" i="110"/>
  <c r="X12" i="110" s="1"/>
  <c r="K9" i="110"/>
  <c r="C79" i="86"/>
  <c r="G78" i="86"/>
  <c r="G81" i="86" s="1"/>
  <c r="F80" i="86"/>
  <c r="H80" i="86" s="1"/>
  <c r="C77" i="86"/>
  <c r="H77" i="86" s="1"/>
  <c r="C78" i="86" a="1"/>
  <c r="F79" i="86"/>
  <c r="E78" i="86"/>
  <c r="E81" i="86" s="1"/>
  <c r="F78" i="86" a="1"/>
  <c r="D78" i="86" a="1"/>
  <c r="D10" i="210"/>
  <c r="S16" i="110"/>
  <c r="X16" i="110"/>
  <c r="Z16" i="110" s="1"/>
  <c r="AB48" i="145"/>
  <c r="E3" i="214" s="1"/>
  <c r="AB44" i="145"/>
  <c r="J32" i="86"/>
  <c r="N32" i="86"/>
  <c r="O31" i="85"/>
  <c r="AH95" i="207"/>
  <c r="AJ95" i="207" s="1"/>
  <c r="AM95" i="207" s="1"/>
  <c r="AO95" i="207" s="1"/>
  <c r="AR95" i="207" s="1"/>
  <c r="AH39" i="205"/>
  <c r="AJ39" i="205" s="1"/>
  <c r="AM39" i="205" s="1"/>
  <c r="AO39" i="205" s="1"/>
  <c r="AR39" i="205" s="1"/>
  <c r="H7" i="85"/>
  <c r="L31" i="85"/>
  <c r="N28" i="108"/>
  <c r="AH39" i="207"/>
  <c r="AJ39" i="207" s="1"/>
  <c r="AM39" i="207" s="1"/>
  <c r="AO39" i="207" s="1"/>
  <c r="AR39" i="207" s="1"/>
  <c r="AH68" i="207"/>
  <c r="AJ68" i="207" s="1"/>
  <c r="AM68" i="207" s="1"/>
  <c r="AO68" i="207" s="1"/>
  <c r="AR68" i="207" s="1"/>
  <c r="U31" i="85"/>
  <c r="W31" i="85"/>
  <c r="D11" i="210"/>
  <c r="S17" i="110"/>
  <c r="X17" i="110"/>
  <c r="Z17" i="110" s="1"/>
  <c r="U47" i="145"/>
  <c r="W27" i="145"/>
  <c r="W45" i="145"/>
  <c r="Q27" i="145"/>
  <c r="AL27" i="145" s="1"/>
  <c r="R45" i="145"/>
  <c r="Q45" i="145" s="1"/>
  <c r="V44" i="145"/>
  <c r="R44" i="145"/>
  <c r="X16" i="207"/>
  <c r="Y68" i="207"/>
  <c r="U34" i="85"/>
  <c r="V43" i="108"/>
  <c r="S43" i="108"/>
  <c r="Z41" i="108"/>
  <c r="Y43" i="108"/>
  <c r="AA43" i="108"/>
  <c r="AC41" i="108"/>
  <c r="AB43" i="108"/>
  <c r="AD43" i="108"/>
  <c r="AF41" i="108"/>
  <c r="AE43" i="108"/>
  <c r="T105" i="145"/>
  <c r="Z105" i="145"/>
  <c r="W105" i="145"/>
  <c r="Q105" i="145"/>
  <c r="AF105" i="145"/>
  <c r="AD105" i="145"/>
  <c r="AE105" i="145"/>
  <c r="O27" i="85"/>
  <c r="E7" i="208"/>
  <c r="R48" i="145"/>
  <c r="X48" i="145"/>
  <c r="V48" i="145"/>
  <c r="Q26" i="145"/>
  <c r="AL26" i="145" s="1"/>
  <c r="W26" i="145"/>
  <c r="AJ13" i="145"/>
  <c r="AK13" i="145" s="1"/>
  <c r="W13" i="145"/>
  <c r="M53" i="145"/>
  <c r="W53" i="145" s="1"/>
  <c r="AD107" i="145"/>
  <c r="AF107" i="145"/>
  <c r="AF32" i="145" s="1"/>
  <c r="FE62" i="27"/>
  <c r="O34" i="85"/>
  <c r="L34" i="85"/>
  <c r="N31" i="108"/>
  <c r="N25" i="108"/>
  <c r="L27" i="85"/>
  <c r="W34" i="85"/>
  <c r="AH71" i="207"/>
  <c r="AJ71" i="207" s="1"/>
  <c r="AM71" i="207" s="1"/>
  <c r="AO71" i="207" s="1"/>
  <c r="AR71" i="207" s="1"/>
  <c r="AH98" i="207"/>
  <c r="AJ98" i="207" s="1"/>
  <c r="AM98" i="207" s="1"/>
  <c r="AO98" i="207" s="1"/>
  <c r="AR98" i="207" s="1"/>
  <c r="AH42" i="207"/>
  <c r="AJ42" i="207" s="1"/>
  <c r="AM42" i="207" s="1"/>
  <c r="AO42" i="207" s="1"/>
  <c r="AR42" i="207" s="1"/>
  <c r="H8" i="85"/>
  <c r="I32" i="86"/>
  <c r="R48" i="85"/>
  <c r="S48" i="85"/>
  <c r="N53" i="145"/>
  <c r="P48" i="85"/>
  <c r="O32" i="86"/>
  <c r="S16" i="86"/>
  <c r="S15" i="86"/>
  <c r="Q16" i="86"/>
  <c r="L32" i="86"/>
  <c r="P16" i="86"/>
  <c r="R16" i="86"/>
  <c r="M32" i="86"/>
  <c r="K32" i="86"/>
  <c r="Q48" i="85"/>
  <c r="Q15" i="86"/>
  <c r="P15" i="86"/>
  <c r="W107" i="145"/>
  <c r="M43" i="108"/>
  <c r="K48" i="85"/>
  <c r="D114" i="202" s="1" a="1"/>
  <c r="Z28" i="108"/>
  <c r="Z22" i="108"/>
  <c r="Z30" i="108"/>
  <c r="Z26" i="108"/>
  <c r="Z44" i="108"/>
  <c r="Z29" i="108"/>
  <c r="Z45" i="108"/>
  <c r="Z33" i="108"/>
  <c r="Z23" i="108"/>
  <c r="Z32" i="108"/>
  <c r="Z24" i="108"/>
  <c r="Z36" i="108"/>
  <c r="Z21" i="108"/>
  <c r="Z35" i="108"/>
  <c r="Z27" i="108"/>
  <c r="Z31" i="108"/>
  <c r="Z34" i="108"/>
  <c r="Z25" i="108"/>
  <c r="AR36" i="207"/>
  <c r="AR93" i="207"/>
  <c r="AR65" i="207"/>
  <c r="Z107" i="145"/>
  <c r="Z42" i="108"/>
  <c r="AG42" i="108" s="1"/>
  <c r="T107" i="145"/>
  <c r="FA62" i="27"/>
  <c r="AE107" i="145" s="1"/>
  <c r="AE32" i="145" s="1"/>
  <c r="Q107" i="145"/>
  <c r="FD62" i="27"/>
  <c r="FF62" i="27"/>
  <c r="O23" i="85"/>
  <c r="L23" i="85"/>
  <c r="E78" i="105"/>
  <c r="H48" i="85"/>
  <c r="N21" i="108"/>
  <c r="AH35" i="205"/>
  <c r="N43" i="108"/>
  <c r="AC42" i="108"/>
  <c r="AF42" i="108"/>
  <c r="D131" i="202"/>
  <c r="O43" i="108"/>
  <c r="V16" i="205"/>
  <c r="W17" i="205"/>
  <c r="W16" i="205" s="1"/>
  <c r="N16" i="205"/>
  <c r="J15" i="205"/>
  <c r="N15" i="205" s="1"/>
  <c r="R18" i="86"/>
  <c r="Q18" i="86"/>
  <c r="I48" i="85"/>
  <c r="J48" i="85"/>
  <c r="P18" i="86"/>
  <c r="H32" i="86"/>
  <c r="S18" i="86"/>
  <c r="W12" i="145"/>
  <c r="X17" i="145"/>
  <c r="W32" i="145"/>
  <c r="X36" i="145"/>
  <c r="X22" i="145"/>
  <c r="W18" i="145"/>
  <c r="X11" i="145"/>
  <c r="Y53" i="145"/>
  <c r="X31" i="145"/>
  <c r="X40" i="145"/>
  <c r="W40" i="145" s="1"/>
  <c r="W37" i="145"/>
  <c r="Q37" i="145"/>
  <c r="AL37" i="145" s="1"/>
  <c r="R40" i="145"/>
  <c r="R31" i="145"/>
  <c r="Q34" i="145"/>
  <c r="AL34" i="145" s="1"/>
  <c r="AL20" i="145"/>
  <c r="Q32" i="145"/>
  <c r="AL32" i="145" s="1"/>
  <c r="R36" i="145"/>
  <c r="Q30" i="145"/>
  <c r="Q23" i="145"/>
  <c r="AL23" i="145" s="1"/>
  <c r="Q18" i="145"/>
  <c r="AL18" i="145" s="1"/>
  <c r="R22" i="145"/>
  <c r="Q25" i="145" s="1"/>
  <c r="R17" i="145"/>
  <c r="Q12" i="145"/>
  <c r="AL12" i="145" s="1"/>
  <c r="AJ37" i="145"/>
  <c r="AJ40" i="145" s="1"/>
  <c r="AJ35" i="145"/>
  <c r="AK35" i="145" s="1"/>
  <c r="AJ32" i="145"/>
  <c r="AJ33" i="145"/>
  <c r="AK33" i="145" s="1"/>
  <c r="AJ34" i="145"/>
  <c r="AK34" i="145" s="1"/>
  <c r="AJ26" i="145"/>
  <c r="AK26" i="145" s="1"/>
  <c r="AJ27" i="145"/>
  <c r="AK27" i="145" s="1"/>
  <c r="AJ29" i="145"/>
  <c r="AK29" i="145" s="1"/>
  <c r="AJ30" i="145"/>
  <c r="AK30" i="145" s="1"/>
  <c r="AJ23" i="145"/>
  <c r="AJ20" i="145"/>
  <c r="AK20" i="145" s="1"/>
  <c r="AJ18" i="145"/>
  <c r="AJ21" i="145"/>
  <c r="AJ12" i="145"/>
  <c r="AJ16" i="145"/>
  <c r="AK16" i="145" s="1"/>
  <c r="AJ15" i="145"/>
  <c r="AK15" i="145" s="1"/>
  <c r="AJ10" i="145"/>
  <c r="R11" i="145"/>
  <c r="Z12" i="110" l="1"/>
  <c r="E6" i="214"/>
  <c r="Q19" i="145"/>
  <c r="AL19" i="145" s="1"/>
  <c r="N22" i="145"/>
  <c r="W22" i="145" s="1"/>
  <c r="W19" i="145"/>
  <c r="AJ19" i="145"/>
  <c r="AJ22" i="145" s="1"/>
  <c r="AF35" i="145"/>
  <c r="AE35" i="145"/>
  <c r="N46" i="145"/>
  <c r="N36" i="145"/>
  <c r="AA19" i="145"/>
  <c r="AK19" i="145" s="1"/>
  <c r="AF19" i="145"/>
  <c r="AE19" i="145"/>
  <c r="AG32" i="145"/>
  <c r="E6" i="208"/>
  <c r="E10" i="208"/>
  <c r="AJ25" i="145"/>
  <c r="AI25" i="145" s="1"/>
  <c r="AE28" i="145"/>
  <c r="AF28" i="145"/>
  <c r="AF14" i="145"/>
  <c r="AE14" i="145"/>
  <c r="AF9" i="145"/>
  <c r="AE9" i="145"/>
  <c r="E102" i="202"/>
  <c r="F102" i="202" s="1"/>
  <c r="O43" i="202"/>
  <c r="K46" i="202"/>
  <c r="K43" i="202"/>
  <c r="O46" i="202"/>
  <c r="K38" i="202"/>
  <c r="E100" i="202"/>
  <c r="F100" i="202" s="1"/>
  <c r="K32" i="202"/>
  <c r="O32" i="202"/>
  <c r="F101" i="202"/>
  <c r="D92" i="86"/>
  <c r="X47" i="145"/>
  <c r="AK23" i="145"/>
  <c r="AK21" i="145"/>
  <c r="AD24" i="145"/>
  <c r="AH24" i="145" s="1"/>
  <c r="E92" i="86"/>
  <c r="F92" i="86"/>
  <c r="Z9" i="145"/>
  <c r="N48" i="145"/>
  <c r="L12" i="110"/>
  <c r="S12" i="110"/>
  <c r="H79" i="86"/>
  <c r="N3" i="105"/>
  <c r="M81" i="105"/>
  <c r="M82" i="105" s="1"/>
  <c r="P32" i="86"/>
  <c r="H13" i="85"/>
  <c r="H14" i="85" s="1"/>
  <c r="D33" i="210"/>
  <c r="D13" i="210"/>
  <c r="D14" i="210" s="1"/>
  <c r="D15" i="210" s="1"/>
  <c r="D16" i="210" s="1"/>
  <c r="D17" i="210" s="1"/>
  <c r="D18" i="210" s="1"/>
  <c r="R47" i="145"/>
  <c r="AB47" i="145"/>
  <c r="V47" i="145"/>
  <c r="Y44" i="145"/>
  <c r="S44" i="145"/>
  <c r="N44" i="145"/>
  <c r="Z44" i="145" s="1"/>
  <c r="X23" i="85"/>
  <c r="X46" i="85"/>
  <c r="X30" i="85"/>
  <c r="X41" i="85"/>
  <c r="X37" i="85"/>
  <c r="X38" i="85"/>
  <c r="X26" i="85"/>
  <c r="X35" i="85"/>
  <c r="X43" i="85"/>
  <c r="X33" i="85"/>
  <c r="X39" i="85"/>
  <c r="X47" i="85"/>
  <c r="X42" i="85"/>
  <c r="X40" i="85"/>
  <c r="X45" i="85"/>
  <c r="X32" i="85"/>
  <c r="X24" i="85"/>
  <c r="X25" i="85"/>
  <c r="X36" i="85"/>
  <c r="X31" i="85"/>
  <c r="X44" i="85"/>
  <c r="X28" i="85"/>
  <c r="X29" i="85"/>
  <c r="X27" i="85"/>
  <c r="X34" i="85"/>
  <c r="AD45" i="108"/>
  <c r="AC43" i="108"/>
  <c r="Z43" i="108"/>
  <c r="AG43" i="108" s="1"/>
  <c r="AG41" i="108"/>
  <c r="AF43" i="108"/>
  <c r="W28" i="145"/>
  <c r="E7" i="190"/>
  <c r="J44" i="190" s="1"/>
  <c r="K44" i="190" s="1"/>
  <c r="E79" i="105"/>
  <c r="AM45" i="145"/>
  <c r="Y48" i="145"/>
  <c r="S48" i="145"/>
  <c r="B3" i="214" s="1"/>
  <c r="AD14" i="145"/>
  <c r="AC14" i="145" s="1"/>
  <c r="AD13" i="145"/>
  <c r="AH13" i="145" s="1"/>
  <c r="N17" i="145"/>
  <c r="Q14" i="145"/>
  <c r="AJ14" i="145"/>
  <c r="AK14" i="145" s="1"/>
  <c r="W14" i="145"/>
  <c r="AD20" i="145"/>
  <c r="AH20" i="145" s="1"/>
  <c r="AD18" i="145"/>
  <c r="AH18" i="145" s="1"/>
  <c r="AD29" i="145"/>
  <c r="AH29" i="145" s="1"/>
  <c r="AD9" i="145"/>
  <c r="AC9" i="145" s="1"/>
  <c r="AD15" i="145"/>
  <c r="AH15" i="145" s="1"/>
  <c r="AD19" i="145"/>
  <c r="AC19" i="145" s="1"/>
  <c r="AD37" i="145"/>
  <c r="AH37" i="145" s="1"/>
  <c r="AD35" i="145"/>
  <c r="AD38" i="145"/>
  <c r="AH38" i="145" s="1"/>
  <c r="AD26" i="145"/>
  <c r="AH26" i="145" s="1"/>
  <c r="AD28" i="145"/>
  <c r="AC28" i="145" s="1"/>
  <c r="AD30" i="145"/>
  <c r="AH30" i="145" s="1"/>
  <c r="AD21" i="145"/>
  <c r="AH21" i="145" s="1"/>
  <c r="AD10" i="145"/>
  <c r="AH10" i="145" s="1"/>
  <c r="AD34" i="145"/>
  <c r="AH34" i="145" s="1"/>
  <c r="AD12" i="145"/>
  <c r="AH12" i="145" s="1"/>
  <c r="AD33" i="145"/>
  <c r="AH33" i="145" s="1"/>
  <c r="AD27" i="145"/>
  <c r="AH27" i="145" s="1"/>
  <c r="AD39" i="145"/>
  <c r="AH39" i="145" s="1"/>
  <c r="AD16" i="145"/>
  <c r="AH16" i="145" s="1"/>
  <c r="AD23" i="145"/>
  <c r="AH23" i="145" s="1"/>
  <c r="AD32" i="145"/>
  <c r="AH32" i="145" s="1"/>
  <c r="S32" i="86"/>
  <c r="R32" i="86"/>
  <c r="Q32" i="86"/>
  <c r="N31" i="145"/>
  <c r="Q28" i="145"/>
  <c r="AJ28" i="145"/>
  <c r="AK28" i="145" s="1"/>
  <c r="O37" i="202"/>
  <c r="P66" i="202"/>
  <c r="Q9" i="145"/>
  <c r="AJ9" i="145"/>
  <c r="AJ11" i="145" s="1"/>
  <c r="N11" i="145"/>
  <c r="W9" i="145"/>
  <c r="D129" i="202"/>
  <c r="E81" i="105"/>
  <c r="O49" i="202"/>
  <c r="H80" i="202"/>
  <c r="H82" i="202" s="1"/>
  <c r="O31" i="202"/>
  <c r="K37" i="202"/>
  <c r="K31" i="202"/>
  <c r="N19" i="205"/>
  <c r="N51" i="205"/>
  <c r="N83" i="205"/>
  <c r="N30" i="205"/>
  <c r="N62" i="205"/>
  <c r="N21" i="205"/>
  <c r="N53" i="205"/>
  <c r="N85" i="205"/>
  <c r="N48" i="205"/>
  <c r="N80" i="205"/>
  <c r="N102" i="205"/>
  <c r="N17" i="205"/>
  <c r="N49" i="205"/>
  <c r="N23" i="205"/>
  <c r="N55" i="205"/>
  <c r="N87" i="205"/>
  <c r="N34" i="205"/>
  <c r="N66" i="205"/>
  <c r="N25" i="205"/>
  <c r="N57" i="205"/>
  <c r="N20" i="205"/>
  <c r="N52" i="205"/>
  <c r="N84" i="205"/>
  <c r="N104" i="205"/>
  <c r="N42" i="205"/>
  <c r="N33" i="205"/>
  <c r="N65" i="205"/>
  <c r="N28" i="205"/>
  <c r="N101" i="205"/>
  <c r="N96" i="205"/>
  <c r="N27" i="205"/>
  <c r="N59" i="205"/>
  <c r="N91" i="205"/>
  <c r="N38" i="205"/>
  <c r="N70" i="205"/>
  <c r="N29" i="205"/>
  <c r="N61" i="205"/>
  <c r="N24" i="205"/>
  <c r="N56" i="205"/>
  <c r="N88" i="205"/>
  <c r="N93" i="205"/>
  <c r="N73" i="205"/>
  <c r="N31" i="205"/>
  <c r="N63" i="205"/>
  <c r="N95" i="205"/>
  <c r="N74" i="205"/>
  <c r="N60" i="205"/>
  <c r="N68" i="205"/>
  <c r="N22" i="205"/>
  <c r="N40" i="205"/>
  <c r="N92" i="205"/>
  <c r="N81" i="205"/>
  <c r="N94" i="205"/>
  <c r="N35" i="205"/>
  <c r="N67" i="205"/>
  <c r="N99" i="205"/>
  <c r="N46" i="205"/>
  <c r="N78" i="205"/>
  <c r="N37" i="205"/>
  <c r="N69" i="205"/>
  <c r="N32" i="205"/>
  <c r="N64" i="205"/>
  <c r="N89" i="205"/>
  <c r="N98" i="205"/>
  <c r="N41" i="205"/>
  <c r="N103" i="205"/>
  <c r="N54" i="205"/>
  <c r="N77" i="205"/>
  <c r="N97" i="205"/>
  <c r="N90" i="205"/>
  <c r="N100" i="205"/>
  <c r="N39" i="205"/>
  <c r="N71" i="205"/>
  <c r="N18" i="205"/>
  <c r="N50" i="205"/>
  <c r="N82" i="205"/>
  <c r="N36" i="205"/>
  <c r="N105" i="205"/>
  <c r="N86" i="205"/>
  <c r="N72" i="205"/>
  <c r="N43" i="205"/>
  <c r="N75" i="205"/>
  <c r="N45" i="205"/>
  <c r="N76" i="205"/>
  <c r="N47" i="205"/>
  <c r="N79" i="205"/>
  <c r="N26" i="205"/>
  <c r="N58" i="205"/>
  <c r="N44" i="205"/>
  <c r="Y16" i="205"/>
  <c r="X16" i="205"/>
  <c r="AK37" i="145"/>
  <c r="Q40" i="145"/>
  <c r="AL40" i="145" s="1"/>
  <c r="AK32" i="145"/>
  <c r="AJ36" i="145"/>
  <c r="AK36" i="145" s="1"/>
  <c r="AK18" i="145"/>
  <c r="AK12" i="145"/>
  <c r="AN22" i="145" l="1"/>
  <c r="AN25" i="145" s="1"/>
  <c r="Q22" i="145"/>
  <c r="AH35" i="145"/>
  <c r="AG35" i="145"/>
  <c r="AG19" i="145"/>
  <c r="Z46" i="145"/>
  <c r="Q46" i="145"/>
  <c r="Q36" i="145"/>
  <c r="W36" i="145"/>
  <c r="Z36" i="145"/>
  <c r="AA22" i="145"/>
  <c r="AA48" i="145"/>
  <c r="L69" i="208"/>
  <c r="L71" i="208" s="1"/>
  <c r="P69" i="208"/>
  <c r="P71" i="208" s="1"/>
  <c r="AG9" i="145"/>
  <c r="AG14" i="145"/>
  <c r="AH9" i="145"/>
  <c r="AG28" i="145"/>
  <c r="AH14" i="145"/>
  <c r="AH19" i="145"/>
  <c r="AH28" i="145"/>
  <c r="AC12" i="145"/>
  <c r="AC13" i="145"/>
  <c r="AC24" i="145"/>
  <c r="AD43" i="145"/>
  <c r="AC43" i="145" s="1"/>
  <c r="AC35" i="145"/>
  <c r="AC21" i="145"/>
  <c r="AC33" i="145"/>
  <c r="AC30" i="145"/>
  <c r="AC38" i="145"/>
  <c r="AC15" i="145"/>
  <c r="AC10" i="145"/>
  <c r="AC29" i="145"/>
  <c r="AC34" i="145"/>
  <c r="AC18" i="145"/>
  <c r="AC23" i="145"/>
  <c r="AC20" i="145"/>
  <c r="AC16" i="145"/>
  <c r="AC39" i="145"/>
  <c r="AL9" i="145"/>
  <c r="AK25" i="145"/>
  <c r="M44" i="190"/>
  <c r="K32" i="190"/>
  <c r="AL28" i="145"/>
  <c r="N47" i="145"/>
  <c r="W47" i="145" s="1"/>
  <c r="AC37" i="145"/>
  <c r="AD46" i="145"/>
  <c r="AC46" i="145" s="1"/>
  <c r="T12" i="110"/>
  <c r="AE9" i="110" s="1"/>
  <c r="AE10" i="110" s="1"/>
  <c r="N6" i="105"/>
  <c r="P65" i="202"/>
  <c r="P68" i="202" s="1"/>
  <c r="S33" i="86"/>
  <c r="D35" i="210"/>
  <c r="D40" i="210"/>
  <c r="D42" i="210" s="1"/>
  <c r="K28" i="190"/>
  <c r="S47" i="145"/>
  <c r="Y47" i="145"/>
  <c r="W48" i="145"/>
  <c r="AC27" i="145"/>
  <c r="AD45" i="145"/>
  <c r="AC45" i="145" s="1"/>
  <c r="AD44" i="145"/>
  <c r="AC44" i="145" s="1"/>
  <c r="Y43" i="85"/>
  <c r="Y28" i="85"/>
  <c r="Y31" i="85"/>
  <c r="Y36" i="85"/>
  <c r="Y40" i="85"/>
  <c r="Y29" i="85"/>
  <c r="Y42" i="85"/>
  <c r="Y33" i="85"/>
  <c r="Y39" i="85"/>
  <c r="Y35" i="85"/>
  <c r="Y37" i="85"/>
  <c r="Y47" i="85"/>
  <c r="Y30" i="85"/>
  <c r="Y32" i="85"/>
  <c r="Y26" i="85"/>
  <c r="Y41" i="85"/>
  <c r="Y44" i="85"/>
  <c r="Y45" i="85"/>
  <c r="Y46" i="85"/>
  <c r="Y38" i="85"/>
  <c r="Y34" i="85"/>
  <c r="N32" i="190"/>
  <c r="N41" i="190"/>
  <c r="K35" i="190"/>
  <c r="N26" i="190"/>
  <c r="K33" i="190"/>
  <c r="K40" i="190"/>
  <c r="N31" i="190"/>
  <c r="N36" i="190"/>
  <c r="K34" i="190"/>
  <c r="N27" i="190"/>
  <c r="K39" i="190"/>
  <c r="K38" i="190"/>
  <c r="N34" i="190"/>
  <c r="N39" i="190"/>
  <c r="K37" i="190"/>
  <c r="K43" i="190"/>
  <c r="K29" i="190"/>
  <c r="K36" i="190"/>
  <c r="K41" i="190"/>
  <c r="N35" i="190"/>
  <c r="N28" i="190"/>
  <c r="N37" i="190"/>
  <c r="K31" i="190"/>
  <c r="K26" i="190"/>
  <c r="N43" i="190"/>
  <c r="N38" i="190"/>
  <c r="K30" i="190"/>
  <c r="N30" i="190"/>
  <c r="K27" i="190"/>
  <c r="N29" i="190"/>
  <c r="K106" i="190"/>
  <c r="K108" i="190" s="1"/>
  <c r="N33" i="190"/>
  <c r="N40" i="190"/>
  <c r="W11" i="145"/>
  <c r="Q31" i="145"/>
  <c r="W17" i="145"/>
  <c r="L96" i="208"/>
  <c r="V31" i="208"/>
  <c r="X31" i="208"/>
  <c r="V25" i="208"/>
  <c r="X25" i="208"/>
  <c r="V22" i="208"/>
  <c r="X22" i="208"/>
  <c r="V21" i="208"/>
  <c r="X21" i="208"/>
  <c r="V20" i="208"/>
  <c r="X20" i="208"/>
  <c r="V19" i="208"/>
  <c r="X19" i="208"/>
  <c r="V18" i="208"/>
  <c r="X18" i="208"/>
  <c r="V17" i="208"/>
  <c r="X17" i="208"/>
  <c r="AM46" i="145"/>
  <c r="Q17" i="145"/>
  <c r="Q48" i="145"/>
  <c r="T44" i="145"/>
  <c r="Q44" i="145"/>
  <c r="AD48" i="145"/>
  <c r="W44" i="145"/>
  <c r="T48" i="145"/>
  <c r="AC26" i="145"/>
  <c r="AL14" i="145"/>
  <c r="Z17" i="145"/>
  <c r="AJ17" i="145"/>
  <c r="AK17" i="145" s="1"/>
  <c r="F25" i="203"/>
  <c r="F34" i="86"/>
  <c r="AC32" i="145"/>
  <c r="AJ31" i="145"/>
  <c r="AI31" i="145" s="1"/>
  <c r="G14" i="193"/>
  <c r="H14" i="193" s="1"/>
  <c r="O14" i="193" s="1"/>
  <c r="L106" i="190"/>
  <c r="H108" i="190" s="1"/>
  <c r="F23" i="203"/>
  <c r="Z31" i="145"/>
  <c r="W31" i="145"/>
  <c r="Z11" i="145"/>
  <c r="Q11" i="145"/>
  <c r="AI11" i="145"/>
  <c r="AI40" i="145"/>
  <c r="AK40" i="145"/>
  <c r="AI36" i="145"/>
  <c r="AI22" i="145"/>
  <c r="AL36" i="145" l="1"/>
  <c r="AA47" i="145"/>
  <c r="Z47" i="145" s="1"/>
  <c r="Z48" i="145"/>
  <c r="Z22" i="145"/>
  <c r="AK22" i="145"/>
  <c r="N44" i="190"/>
  <c r="N46" i="190" s="1"/>
  <c r="H42" i="86" s="1"/>
  <c r="L42" i="86" s="1"/>
  <c r="T23" i="85" s="1"/>
  <c r="Y23" i="85" s="1"/>
  <c r="M46" i="190"/>
  <c r="AL25" i="145"/>
  <c r="K46" i="190"/>
  <c r="I42" i="86" s="1"/>
  <c r="M42" i="86" s="1"/>
  <c r="V23" i="85" s="1"/>
  <c r="W23" i="85" s="1"/>
  <c r="J46" i="190"/>
  <c r="AL31" i="145"/>
  <c r="D45" i="210"/>
  <c r="D46" i="210" s="1"/>
  <c r="D47" i="210" s="1"/>
  <c r="D37" i="210"/>
  <c r="AD47" i="145"/>
  <c r="AC47" i="145" s="1"/>
  <c r="M107" i="190"/>
  <c r="AL17" i="145"/>
  <c r="Q47" i="145"/>
  <c r="AC48" i="145"/>
  <c r="T47" i="145"/>
  <c r="AI17" i="145"/>
  <c r="F27" i="203"/>
  <c r="H113" i="190"/>
  <c r="H16" i="193"/>
  <c r="O16" i="193" s="1"/>
  <c r="I14" i="193"/>
  <c r="I16" i="193" s="1"/>
  <c r="L16" i="193" s="1"/>
  <c r="AJ41" i="145"/>
  <c r="H112" i="190"/>
  <c r="AK31" i="145"/>
  <c r="G16" i="193"/>
  <c r="S16" i="193" s="1"/>
  <c r="N107" i="190"/>
  <c r="H107" i="190"/>
  <c r="H109" i="190"/>
  <c r="H114" i="190"/>
  <c r="AL10" i="145"/>
  <c r="AP22" i="145" l="1"/>
  <c r="AL22" i="145"/>
  <c r="D48" i="210"/>
  <c r="U23" i="85"/>
  <c r="H43" i="86"/>
  <c r="L43" i="86" s="1"/>
  <c r="T24" i="85" s="1"/>
  <c r="N50" i="190"/>
  <c r="I43" i="86"/>
  <c r="M43" i="86" s="1"/>
  <c r="V24" i="85" s="1"/>
  <c r="W24" i="85" s="1"/>
  <c r="Q16" i="193"/>
  <c r="Q17" i="193" s="1"/>
  <c r="L14" i="193"/>
  <c r="H111" i="190"/>
  <c r="H106" i="190"/>
  <c r="AK41" i="145"/>
  <c r="AL11" i="145"/>
  <c r="U24" i="85" l="1"/>
  <c r="Y24" i="85"/>
  <c r="H115" i="190"/>
  <c r="E34" i="208" l="1"/>
  <c r="M34" i="208" s="1"/>
  <c r="X34" i="208" s="1"/>
  <c r="F36" i="86" l="1"/>
  <c r="J34" i="208"/>
  <c r="N30" i="208"/>
  <c r="N21" i="208"/>
  <c r="K96" i="208"/>
  <c r="N24" i="208"/>
  <c r="N27" i="208"/>
  <c r="N17" i="208"/>
  <c r="K32" i="208"/>
  <c r="K29" i="208"/>
  <c r="K20" i="208"/>
  <c r="N28" i="208"/>
  <c r="K24" i="208"/>
  <c r="N22" i="208"/>
  <c r="N32" i="208"/>
  <c r="N25" i="208"/>
  <c r="K26" i="208"/>
  <c r="K21" i="208"/>
  <c r="K19" i="208"/>
  <c r="K17" i="208"/>
  <c r="N23" i="208"/>
  <c r="N29" i="208"/>
  <c r="K30" i="208"/>
  <c r="N20" i="208"/>
  <c r="K18" i="208"/>
  <c r="K23" i="208"/>
  <c r="N18" i="208"/>
  <c r="N19" i="208"/>
  <c r="N31" i="208"/>
  <c r="N26" i="208"/>
  <c r="K28" i="208"/>
  <c r="K31" i="208"/>
  <c r="K22" i="208"/>
  <c r="K27" i="208"/>
  <c r="K25" i="208"/>
  <c r="N34" i="208"/>
  <c r="N40" i="208"/>
  <c r="N41" i="208"/>
  <c r="M39" i="208"/>
  <c r="J15" i="110" l="1"/>
  <c r="G12" i="110"/>
  <c r="K34" i="208"/>
  <c r="K39" i="208" s="1"/>
  <c r="I46" i="86" s="1"/>
  <c r="V34" i="208"/>
  <c r="K41" i="208"/>
  <c r="J39" i="208"/>
  <c r="K40" i="208"/>
  <c r="N39" i="208"/>
  <c r="H46" i="86" s="1"/>
  <c r="N42" i="208"/>
  <c r="K98" i="208"/>
  <c r="M97" i="208"/>
  <c r="M46" i="86" l="1"/>
  <c r="V27" i="85" s="1"/>
  <c r="W27" i="85" s="1"/>
  <c r="W48" i="85" s="1"/>
  <c r="E15" i="190" s="1"/>
  <c r="E19" i="190" s="1"/>
  <c r="L46" i="86"/>
  <c r="T27" i="85" s="1"/>
  <c r="K12" i="110"/>
  <c r="M12" i="110"/>
  <c r="S15" i="110"/>
  <c r="X15" i="110"/>
  <c r="Q7" i="208"/>
  <c r="Q8" i="208" s="1"/>
  <c r="Q9" i="208" s="1"/>
  <c r="K42" i="208"/>
  <c r="Z15" i="110" l="1"/>
  <c r="B6" i="214"/>
  <c r="E21" i="190"/>
  <c r="B4" i="214"/>
  <c r="U27" i="85"/>
  <c r="Y27" i="85"/>
  <c r="K35" i="75"/>
  <c r="K36" i="75" l="1"/>
  <c r="K37" i="75" l="1"/>
  <c r="K38" i="75" l="1"/>
  <c r="K39" i="75" l="1"/>
  <c r="K31" i="75" l="1"/>
  <c r="K29" i="75" l="1"/>
  <c r="K33" i="75"/>
  <c r="K34" i="75"/>
  <c r="K30" i="75"/>
  <c r="K32" i="75"/>
  <c r="K16" i="75" l="1"/>
  <c r="K15" i="75"/>
  <c r="K27" i="75"/>
  <c r="K23" i="75"/>
  <c r="K19" i="75"/>
  <c r="K21" i="75"/>
  <c r="K20" i="75"/>
  <c r="K26" i="75"/>
  <c r="K24" i="75"/>
  <c r="K22" i="75"/>
  <c r="K28" i="75"/>
  <c r="K25" i="75"/>
  <c r="K18" i="75"/>
  <c r="K9" i="75" l="1"/>
  <c r="K8" i="75"/>
  <c r="K17" i="75"/>
  <c r="K66" i="75" l="1"/>
  <c r="H102" i="208" l="1"/>
  <c r="H97" i="208"/>
  <c r="N97" i="208"/>
  <c r="H98" i="208"/>
  <c r="H103" i="208"/>
  <c r="H104" i="208"/>
  <c r="H99" i="208"/>
  <c r="H96" i="208" l="1"/>
  <c r="H101" i="208"/>
  <c r="H105" i="208" l="1"/>
  <c r="T25" i="85" l="1"/>
  <c r="U25" i="85" l="1"/>
  <c r="U48" i="85" s="1"/>
  <c r="F15" i="190" s="1"/>
  <c r="Y25" i="85"/>
  <c r="F19" i="190" l="1"/>
  <c r="F21" i="190" s="1"/>
  <c r="F84" i="188" l="1"/>
  <c r="F95" i="188" s="1"/>
  <c r="F99" i="188" s="1"/>
  <c r="F101" i="188" s="1"/>
  <c r="G84" i="188" l="1"/>
  <c r="M84" i="188" s="1"/>
  <c r="M99" i="188" s="1"/>
  <c r="N100" i="188" s="1"/>
  <c r="G95" i="188" l="1"/>
  <c r="G99" i="188" s="1"/>
  <c r="F81" i="86" s="1"/>
  <c r="F82" i="86" s="1"/>
  <c r="D81" i="86" s="1"/>
  <c r="AG3" i="213" l="1"/>
  <c r="AH3" i="213"/>
  <c r="D118" i="202"/>
  <c r="E118" i="202"/>
  <c r="D109" i="202"/>
  <c r="D85" i="202" s="1"/>
  <c r="E98" i="202"/>
  <c r="E99" i="202"/>
  <c r="H118" i="202" s="1"/>
  <c r="H78" i="86"/>
  <c r="H81" i="86" s="1"/>
  <c r="C81" i="86"/>
  <c r="C82" i="86" s="1"/>
  <c r="H82" i="86" s="1"/>
  <c r="F99" i="202" l="1"/>
  <c r="F98" i="202"/>
  <c r="I118" i="202"/>
  <c r="O82" i="202"/>
  <c r="O84" i="202" s="1"/>
  <c r="O86" i="202" s="1"/>
  <c r="O81" i="202"/>
  <c r="O83" i="202" s="1"/>
  <c r="O85" i="20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Jireh Peng</author>
  </authors>
  <commentList>
    <comment ref="E13" authorId="0" shapeId="0" xr:uid="{AB541452-0288-4B9B-9F45-737937454622}">
      <text>
        <r>
          <rPr>
            <b/>
            <sz val="9"/>
            <color indexed="81"/>
            <rFont val="Tahoma"/>
            <family val="2"/>
          </rPr>
          <t>Jireh Peng:</t>
        </r>
        <r>
          <rPr>
            <sz val="9"/>
            <color indexed="81"/>
            <rFont val="Tahoma"/>
            <family val="2"/>
          </rPr>
          <t xml:space="preserve">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Ryan Guan</author>
    <author>David Reddy</author>
  </authors>
  <commentList>
    <comment ref="AO2" authorId="0" shapeId="0" xr:uid="{529D7C9B-4188-497F-8DA0-96AA170793CC}">
      <text>
        <r>
          <rPr>
            <b/>
            <sz val="9"/>
            <color indexed="81"/>
            <rFont val="Tahoma"/>
            <family val="2"/>
          </rPr>
          <t>Ryan Guan:</t>
        </r>
        <r>
          <rPr>
            <sz val="9"/>
            <color indexed="81"/>
            <rFont val="Tahoma"/>
            <family val="2"/>
          </rPr>
          <t xml:space="preserve">
The cutsheet doesn't provide enough information to estimate fan power</t>
        </r>
      </text>
    </comment>
    <comment ref="AH16" authorId="1" shapeId="0" xr:uid="{00000000-0006-0000-0300-000001000000}">
      <text>
        <r>
          <rPr>
            <b/>
            <sz val="9"/>
            <color indexed="81"/>
            <rFont val="Tahoma"/>
            <family val="2"/>
          </rPr>
          <t>David Reddy:</t>
        </r>
        <r>
          <rPr>
            <sz val="9"/>
            <color indexed="81"/>
            <rFont val="Tahoma"/>
            <family val="2"/>
          </rPr>
          <t xml:space="preserve">
Equation 4.1a
</t>
        </r>
      </text>
    </comment>
    <comment ref="AH17" authorId="0" shapeId="0" xr:uid="{C480A3FC-2801-41C6-B9E2-9DDEC8F299E1}">
      <text>
        <r>
          <rPr>
            <b/>
            <sz val="9"/>
            <color indexed="81"/>
            <rFont val="Tahoma"/>
            <family val="2"/>
          </rPr>
          <t>Ryan Guan:</t>
        </r>
        <r>
          <rPr>
            <sz val="9"/>
            <color indexed="81"/>
            <rFont val="Tahoma"/>
            <family val="2"/>
          </rPr>
          <t xml:space="preserve">
Please update the equation accordingly:
- 62.2-2010: </t>
        </r>
        <r>
          <rPr>
            <u/>
            <sz val="9"/>
            <color indexed="81"/>
            <rFont val="Tahoma"/>
            <family val="2"/>
          </rPr>
          <t>0.01</t>
        </r>
        <r>
          <rPr>
            <sz val="9"/>
            <color indexed="81"/>
            <rFont val="Tahoma"/>
            <family val="2"/>
          </rPr>
          <t xml:space="preserve"> x Area + 7.5 x ( N_br + 1 )
- 62.2-2016: </t>
        </r>
        <r>
          <rPr>
            <u/>
            <sz val="9"/>
            <color indexed="81"/>
            <rFont val="Tahoma"/>
            <family val="2"/>
          </rPr>
          <t>0.03</t>
        </r>
        <r>
          <rPr>
            <sz val="9"/>
            <color indexed="81"/>
            <rFont val="Tahoma"/>
            <family val="2"/>
          </rPr>
          <t xml:space="preserve"> x Area + 7.5 x ( N_br + 1 )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AH16" authorId="0" shapeId="0" xr:uid="{60BA1EA3-DE3C-48EC-9233-5215DCE7FBBC}">
      <text>
        <r>
          <rPr>
            <b/>
            <sz val="9"/>
            <color indexed="81"/>
            <rFont val="Tahoma"/>
            <family val="2"/>
          </rPr>
          <t>David Reddy:</t>
        </r>
        <r>
          <rPr>
            <sz val="9"/>
            <color indexed="81"/>
            <rFont val="Tahoma"/>
            <family val="2"/>
          </rPr>
          <t xml:space="preserve">
Equation 4.1a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AN54" authorId="0" shapeId="0" xr:uid="{00000000-0006-0000-0500-000001000000}">
      <text>
        <r>
          <rPr>
            <b/>
            <sz val="9"/>
            <color indexed="81"/>
            <rFont val="Tahoma"/>
            <family val="2"/>
          </rPr>
          <t>FOR LEED:</t>
        </r>
        <r>
          <rPr>
            <sz val="9"/>
            <color indexed="81"/>
            <rFont val="Tahoma"/>
            <family val="2"/>
          </rPr>
          <t xml:space="preserve">
Uses strict 90.1 definition, where residential is only spaces used primarily for living and sleeping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K55" authorId="0" shapeId="0" xr:uid="{00000000-0006-0000-1000-000001000000}">
      <text>
        <r>
          <rPr>
            <b/>
            <sz val="9"/>
            <color indexed="81"/>
            <rFont val="Tahoma"/>
            <family val="2"/>
          </rPr>
          <t>David Reddy:</t>
        </r>
        <r>
          <rPr>
            <sz val="9"/>
            <color indexed="81"/>
            <rFont val="Tahoma"/>
            <family val="2"/>
          </rPr>
          <t xml:space="preserve">
Must be copied in spreadsheet view of eQ v3.63b and pasted in col BR of SpaceExpCsv</t>
        </r>
      </text>
    </comment>
    <comment ref="M55" authorId="0" shapeId="0" xr:uid="{00000000-0006-0000-1000-000002000000}">
      <text>
        <r>
          <rPr>
            <b/>
            <sz val="9"/>
            <color indexed="81"/>
            <rFont val="Tahoma"/>
            <family val="2"/>
          </rPr>
          <t>FOR LEED:</t>
        </r>
        <r>
          <rPr>
            <sz val="9"/>
            <color indexed="81"/>
            <rFont val="Tahoma"/>
            <family val="2"/>
          </rPr>
          <t xml:space="preserve">
Uses strict 90.1 definition, where residential is only spaces used primarily for living and sleeping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Callan Reckinger</author>
  </authors>
  <commentList>
    <comment ref="R84" authorId="0" shapeId="0" xr:uid="{D27829D8-C827-443A-BFD4-5A5C1BCEDA73}">
      <text>
        <r>
          <rPr>
            <b/>
            <sz val="9"/>
            <color indexed="81"/>
            <rFont val="Tahoma"/>
            <family val="2"/>
          </rPr>
          <t>Callan Reckinger:</t>
        </r>
        <r>
          <rPr>
            <sz val="9"/>
            <color indexed="81"/>
            <rFont val="Tahoma"/>
            <family val="2"/>
          </rPr>
          <t xml:space="preserve">
90.1-204 has a base site allowance of 5% of the total sum of baseline lighting power. See 90.1-2004 9.4.5 (snip to right)</t>
        </r>
      </text>
    </comment>
    <comment ref="R89" authorId="0" shapeId="0" xr:uid="{DCD8EE10-4627-4866-B998-C4A51CFDD3BD}">
      <text>
        <r>
          <rPr>
            <b/>
            <sz val="9"/>
            <color indexed="81"/>
            <rFont val="Tahoma"/>
            <family val="2"/>
          </rPr>
          <t>Callan Reckinger:</t>
        </r>
        <r>
          <rPr>
            <sz val="9"/>
            <color indexed="81"/>
            <rFont val="Tahoma"/>
            <family val="2"/>
          </rPr>
          <t xml:space="preserve">
See "Building Grounds: Special Features"</t>
        </r>
      </text>
    </comment>
    <comment ref="Q92" authorId="0" shapeId="0" xr:uid="{40E4898A-6EF8-4E17-B327-2B6E6E640173}">
      <text>
        <r>
          <rPr>
            <b/>
            <sz val="9"/>
            <color indexed="81"/>
            <rFont val="Tahoma"/>
            <family val="2"/>
          </rPr>
          <t>Callan Reckinger:</t>
        </r>
        <r>
          <rPr>
            <sz val="9"/>
            <color indexed="81"/>
            <rFont val="Tahoma"/>
            <family val="2"/>
          </rPr>
          <t xml:space="preserve">
See "Building Entrances and Exits : Entry Canopies"</t>
        </r>
      </text>
    </comment>
    <comment ref="U94" authorId="0" shapeId="0" xr:uid="{41682ED0-FF42-4FA8-8468-A61A7C267929}">
      <text>
        <r>
          <rPr>
            <b/>
            <sz val="9"/>
            <color indexed="81"/>
            <rFont val="Tahoma"/>
            <family val="2"/>
          </rPr>
          <t>Callan Reckinger:</t>
        </r>
        <r>
          <rPr>
            <sz val="9"/>
            <color indexed="81"/>
            <rFont val="Tahoma"/>
            <family val="2"/>
          </rPr>
          <t xml:space="preserve">
2021 WSEC allowance is 0.075 W/AG Wall Area. Mulltiply by 25, which is the conversion factor for 90.1 building façade allowances from W/AG Wall Area to W/LF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360LDH</author>
  </authors>
  <commentList>
    <comment ref="I101" authorId="0" shapeId="0" xr:uid="{00000000-0006-0000-0F00-000001000000}">
      <text>
        <r>
          <rPr>
            <b/>
            <sz val="9"/>
            <color indexed="81"/>
            <rFont val="Tahoma"/>
            <family val="2"/>
          </rPr>
          <t>360LDH:</t>
        </r>
        <r>
          <rPr>
            <sz val="9"/>
            <color indexed="81"/>
            <rFont val="Tahoma"/>
            <family val="2"/>
          </rPr>
          <t xml:space="preserve">
HIDE For Report Summary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Reddy</author>
    <author>Nick Caton</author>
    <author>tc={4378306F-57FE-4E2C-B139-C585B4C41E9D}</author>
    <author>Ryan Guan</author>
    <author>Sandeep</author>
    <author>Callan Reckinger</author>
  </authors>
  <commentList>
    <comment ref="D8" authorId="0" shapeId="0" xr:uid="{9EC055AE-0482-4A92-B600-56B954470AA8}">
      <text>
        <r>
          <rPr>
            <sz val="9"/>
            <color indexed="81"/>
            <rFont val="Tahoma"/>
            <family val="2"/>
          </rPr>
          <t>Modify envelope parameters if different than those calculated on Envelope/Space tabs</t>
        </r>
      </text>
    </comment>
    <comment ref="F16" authorId="1" shapeId="0" xr:uid="{6248EE86-F968-4599-9E0D-74597AA79CAB}">
      <text>
        <r>
          <rPr>
            <b/>
            <sz val="9"/>
            <color indexed="81"/>
            <rFont val="Tahoma"/>
            <family val="2"/>
          </rPr>
          <t>Nick Caton:</t>
        </r>
        <r>
          <rPr>
            <sz val="9"/>
            <color indexed="81"/>
            <rFont val="Tahoma"/>
            <family val="2"/>
          </rPr>
          <t xml:space="preserve">
Revised this column to have it reference the already defined flows on Unit Summary Tab
</t>
        </r>
      </text>
    </comment>
    <comment ref="N17" authorId="2" shapeId="0" xr:uid="{4378306F-57FE-4E2C-B139-C585B4C41E9D}">
      <text>
        <t>[Threaded comment]
Your version of Excel allows you to read this threaded comment; however, any edits to it will get removed if the file is opened in a newer version of Excel. Learn more: https://go.microsoft.com/fwlink/?linkid=870924
Comment:
    Calculates the difference between Full Flow power and Low Flow power</t>
      </text>
    </comment>
    <comment ref="K42" authorId="3" shapeId="0" xr:uid="{EB094517-27C4-428D-8FE4-868E6CFDEAF3}">
      <text>
        <r>
          <rPr>
            <b/>
            <sz val="9"/>
            <color indexed="81"/>
            <rFont val="Tahoma"/>
            <family val="2"/>
          </rPr>
          <t>Ryan Guan:</t>
        </r>
        <r>
          <rPr>
            <sz val="9"/>
            <color indexed="81"/>
            <rFont val="Tahoma"/>
            <family val="2"/>
          </rPr>
          <t xml:space="preserve">
Calculated based on "Unit_Sum" Min Vent Calc</t>
        </r>
      </text>
    </comment>
    <comment ref="H66" authorId="4" shapeId="0" xr:uid="{83AC04C2-080B-4618-9A12-3D8CDD993F5B}">
      <text>
        <r>
          <rPr>
            <b/>
            <sz val="9"/>
            <color indexed="81"/>
            <rFont val="Tahoma"/>
            <family val="2"/>
          </rPr>
          <t>Nick Caton:</t>
        </r>
        <r>
          <rPr>
            <sz val="9"/>
            <color indexed="81"/>
            <rFont val="Tahoma"/>
            <family val="2"/>
          </rPr>
          <t xml:space="preserve">
1) Reset value to 1
2) Calc Load Sch Adj by the following formula:
=K31/(value of cell AD53)  &lt;-- Same brown formatting!
Purpose: Factor applied to Baseline Fan power inputs (in the model) to ensure baseline fans consume the correct annual kWh, when using a fan power schedule based on the weighting/operation with the proposed fan powers.
</t>
        </r>
      </text>
    </comment>
    <comment ref="H69" authorId="4" shapeId="0" xr:uid="{08A636AD-1259-4F04-8167-3F8B831D0CFC}">
      <text>
        <r>
          <rPr>
            <b/>
            <sz val="9"/>
            <color indexed="81"/>
            <rFont val="Tahoma"/>
            <family val="2"/>
          </rPr>
          <t>Nick Caton:</t>
        </r>
        <r>
          <rPr>
            <sz val="9"/>
            <color indexed="81"/>
            <rFont val="Tahoma"/>
            <family val="2"/>
          </rPr>
          <t xml:space="preserve">
1) Reset value to 1
2) Calc Load Sch Adj by the following formula:
=K31/(value of cell AD53)  &lt;-- Same brown formatting!
Purpose: Factor applied to Baseline Fan power inputs (in the model) to ensure baseline fans consume the correct annual kWh, when using a fan power schedule based on the weighting/operation with the proposed fan powers.
</t>
        </r>
      </text>
    </comment>
    <comment ref="I75" authorId="4" shapeId="0" xr:uid="{3F5B80AA-9756-4035-8F95-03E20661857F}">
      <text>
        <r>
          <rPr>
            <b/>
            <sz val="9"/>
            <color indexed="81"/>
            <rFont val="Tahoma"/>
            <family val="2"/>
          </rPr>
          <t>Sandeep:</t>
        </r>
        <r>
          <rPr>
            <sz val="9"/>
            <color indexed="81"/>
            <rFont val="Tahoma"/>
            <family val="2"/>
          </rPr>
          <t xml:space="preserve">
Report - 'PS-F': ResVentFans Esub</t>
        </r>
      </text>
    </comment>
    <comment ref="D98" authorId="5" shapeId="0" xr:uid="{139562F4-9F93-4D50-9119-F84BEA6E7A6B}">
      <text>
        <r>
          <rPr>
            <b/>
            <sz val="9"/>
            <color indexed="81"/>
            <rFont val="Tahoma"/>
            <family val="2"/>
          </rPr>
          <t>Callan Reckinger:</t>
        </r>
        <r>
          <rPr>
            <sz val="9"/>
            <color indexed="81"/>
            <rFont val="Tahoma"/>
            <family val="2"/>
          </rPr>
          <t xml:space="preserve">
90.1-2010 LEED: base inf = proposed
90.1-2019: base = 1.0, proposed = design</t>
        </r>
      </text>
    </comment>
    <comment ref="D111" authorId="5" shapeId="0" xr:uid="{6B9FC6A6-9351-4CE5-81F3-BACCF00C8FA4}">
      <text>
        <r>
          <rPr>
            <b/>
            <sz val="9"/>
            <color indexed="81"/>
            <rFont val="Tahoma"/>
            <family val="2"/>
          </rPr>
          <t>Callan Reckinger:</t>
        </r>
        <r>
          <rPr>
            <sz val="9"/>
            <color indexed="81"/>
            <rFont val="Tahoma"/>
            <family val="2"/>
          </rPr>
          <t xml:space="preserve">
LEED: Mfam
90.1-2019: Whole Bldg
This input determines what areas to pull for cells C112, C113, C114
</t>
        </r>
      </text>
    </comment>
    <comment ref="C118" authorId="3" shapeId="0" xr:uid="{61286617-FE9D-4CB8-A5C8-0F23C08FBC4C}">
      <text>
        <r>
          <rPr>
            <b/>
            <sz val="9"/>
            <color indexed="81"/>
            <rFont val="Tahoma"/>
            <family val="2"/>
          </rPr>
          <t>Ryan Guan:</t>
        </r>
        <r>
          <rPr>
            <sz val="9"/>
            <color indexed="81"/>
            <rFont val="Tahoma"/>
            <family val="2"/>
          </rPr>
          <t xml:space="preserve">
Total Inf = Inf Rate at Natural Condition x AG Wall Area</t>
        </r>
      </text>
    </comment>
    <comment ref="D129" authorId="0" shapeId="0" xr:uid="{E90BDFCC-72DE-42EB-AACD-D59DDD3C14ED}">
      <text>
        <r>
          <rPr>
            <sz val="9"/>
            <color indexed="81"/>
            <rFont val="Tahoma"/>
            <family val="2"/>
          </rPr>
          <t>Modify envelope parameters if different than those calculated on Envelope/Space tabs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Callan Reckinger</author>
    <author>Ryan</author>
  </authors>
  <commentList>
    <comment ref="L13" authorId="0" shapeId="0" xr:uid="{D53758F6-3E3D-4C44-808D-820875A80F99}">
      <text>
        <r>
          <rPr>
            <b/>
            <sz val="9"/>
            <color indexed="81"/>
            <rFont val="Tahoma"/>
            <family val="2"/>
          </rPr>
          <t xml:space="preserve">Callan Reckinger:
</t>
        </r>
        <r>
          <rPr>
            <sz val="9"/>
            <color indexed="81"/>
            <rFont val="Tahoma"/>
            <family val="2"/>
          </rPr>
          <t>Table B1
Y:\Shared\OB360_ReferenceLib\01_Standards\LEED\v4 Homes\EA\Multifamily Energy Model Guide - 202207 (Current).pdf</t>
        </r>
      </text>
    </comment>
    <comment ref="L14" authorId="0" shapeId="0" xr:uid="{0ACD2883-C79F-47E8-AA12-A639CAD43D57}">
      <text>
        <r>
          <rPr>
            <b/>
            <sz val="9"/>
            <color indexed="81"/>
            <rFont val="Tahoma"/>
            <family val="2"/>
          </rPr>
          <t>Callan Reckinger:</t>
        </r>
        <r>
          <rPr>
            <sz val="9"/>
            <color indexed="81"/>
            <rFont val="Tahoma"/>
            <family val="2"/>
          </rPr>
          <t xml:space="preserve">
Section 3.11.4
Y:\Shared\OB360_ReferenceLib\01_Standards\ENERGY STAR\MFHR Guidelines inc Simulation\ENERGY_STAR_MFNC_Simulation_Guidelines_V1_May2019.pdf</t>
        </r>
      </text>
    </comment>
    <comment ref="L15" authorId="1" shapeId="0" xr:uid="{BF1C93BC-753C-4EB0-9B70-BA9D093F4200}">
      <text>
        <r>
          <rPr>
            <b/>
            <sz val="9"/>
            <color indexed="81"/>
            <rFont val="Tahoma"/>
            <family val="2"/>
          </rPr>
          <t>Ryan:</t>
        </r>
        <r>
          <rPr>
            <sz val="9"/>
            <color indexed="81"/>
            <rFont val="Tahoma"/>
            <family val="2"/>
          </rPr>
          <t xml:space="preserve">
Assume the elevator is operating 24/7. For LEED the average operation fraction is 0.0519. For 90.1-2019 the operationg fraction is 1.0)
</t>
        </r>
      </text>
    </comment>
    <comment ref="E24" authorId="0" shapeId="0" xr:uid="{3CF8EE7E-3EE8-4E1B-88DB-24B91823F6F2}">
      <text>
        <r>
          <rPr>
            <b/>
            <sz val="9"/>
            <color indexed="81"/>
            <rFont val="Tahoma"/>
            <family val="2"/>
          </rPr>
          <t>Callan Reckinger:</t>
        </r>
        <r>
          <rPr>
            <sz val="9"/>
            <color indexed="81"/>
            <rFont val="Tahoma"/>
            <family val="2"/>
          </rPr>
          <t xml:space="preserve">
Go to Proj_Sum and select compliance model type. Cells in this column will update automatically per that selection.</t>
        </r>
      </text>
    </comment>
    <comment ref="H24" authorId="0" shapeId="0" xr:uid="{4EEF512D-4B0E-4193-AE4D-C3BD4EF28B13}">
      <text>
        <r>
          <rPr>
            <b/>
            <sz val="9"/>
            <color indexed="81"/>
            <rFont val="Tahoma"/>
            <family val="2"/>
          </rPr>
          <t>Callan Reckinger:</t>
        </r>
        <r>
          <rPr>
            <sz val="9"/>
            <color indexed="81"/>
            <rFont val="Tahoma"/>
            <family val="2"/>
          </rPr>
          <t xml:space="preserve">
Got to Proj_Sum and select compliance model type. Cells in this column will update automatically per that selection.
90.1-2010: 3285 EFLH
90.1-2019: 2117 EFLH</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Callan Reckinger</author>
  </authors>
  <commentList>
    <comment ref="F20" authorId="0" shapeId="0" xr:uid="{21C14EEF-B9C4-4113-A0E8-27EA32B16024}">
      <text>
        <r>
          <rPr>
            <b/>
            <sz val="9"/>
            <color indexed="81"/>
            <rFont val="Tahoma"/>
            <family val="2"/>
          </rPr>
          <t>Callan Reckinger:</t>
        </r>
        <r>
          <rPr>
            <sz val="9"/>
            <color indexed="81"/>
            <rFont val="Tahoma"/>
            <family val="2"/>
          </rPr>
          <t xml:space="preserve">
See workbook below for source of interpolation
Y:\Shared\OB360_ProjectsActive\2364-Mercy Burien\1_Docs\Submittals\Mechanical Cutsheets\In-unit ERV\Broan BLP SRE Calc.xlsx</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<sst xmlns="http://schemas.openxmlformats.org/spreadsheetml/2006/main" count="6998" uniqueCount="2446">
  <si>
    <t>Daylight Watts</t>
  </si>
  <si>
    <t>OS Watts</t>
  </si>
  <si>
    <t>Daylight Fraction</t>
  </si>
  <si>
    <t>Daylight LPD</t>
  </si>
  <si>
    <t>Occ Sens LPD</t>
  </si>
  <si>
    <t>Regular LPD</t>
  </si>
  <si>
    <t>Total LPD</t>
  </si>
  <si>
    <t>Total Watts</t>
  </si>
  <si>
    <t>Exit Fixture Qty</t>
  </si>
  <si>
    <t>Exit</t>
  </si>
  <si>
    <t>Activity Desc.</t>
  </si>
  <si>
    <t>Area</t>
  </si>
  <si>
    <t>HVAC Zone Type</t>
  </si>
  <si>
    <t>Space Type</t>
  </si>
  <si>
    <t>Floor</t>
  </si>
  <si>
    <t>Space</t>
  </si>
  <si>
    <t>Fixture wattage not known</t>
  </si>
  <si>
    <t>Fixture not listed in schedule</t>
  </si>
  <si>
    <t>Need to confirm fixtures</t>
  </si>
  <si>
    <t>Legend</t>
  </si>
  <si>
    <t>Building Facades</t>
  </si>
  <si>
    <t>sf</t>
  </si>
  <si>
    <t>Canopies and overhangs</t>
  </si>
  <si>
    <t>LF</t>
  </si>
  <si>
    <t>Other doors</t>
  </si>
  <si>
    <t>Main entries</t>
  </si>
  <si>
    <t>Stairways</t>
  </si>
  <si>
    <t>Walkways &gt; 10ft, Plaza, etc</t>
  </si>
  <si>
    <t>Walkways &lt; 10ft</t>
  </si>
  <si>
    <t>Parking lots and drives</t>
  </si>
  <si>
    <t>Allowed Watts /ft or /ft^2</t>
  </si>
  <si>
    <t>Area/LF</t>
  </si>
  <si>
    <t>Criteria</t>
  </si>
  <si>
    <t>Name</t>
  </si>
  <si>
    <t>Area/Length</t>
  </si>
  <si>
    <t>Lobby</t>
  </si>
  <si>
    <t>Floor Mult</t>
  </si>
  <si>
    <t>Space Name</t>
  </si>
  <si>
    <t>^^^ insert above ^^^</t>
  </si>
  <si>
    <t>vvv insert below vvv</t>
  </si>
  <si>
    <t>Tag</t>
  </si>
  <si>
    <t>Total</t>
  </si>
  <si>
    <t>kWh</t>
  </si>
  <si>
    <t>kW</t>
  </si>
  <si>
    <t>Type</t>
  </si>
  <si>
    <t>MBtu</t>
  </si>
  <si>
    <t>Description</t>
  </si>
  <si>
    <t>Baseline</t>
  </si>
  <si>
    <t>Notes</t>
  </si>
  <si>
    <t>CORR</t>
  </si>
  <si>
    <t>Office</t>
  </si>
  <si>
    <t>MFAM</t>
  </si>
  <si>
    <t>Lamp Watts</t>
  </si>
  <si>
    <t>BF</t>
  </si>
  <si>
    <t>No. Lamps</t>
  </si>
  <si>
    <t>Exit Watts</t>
  </si>
  <si>
    <t>MPRP</t>
  </si>
  <si>
    <t>Retail</t>
  </si>
  <si>
    <t>Nameplate HP</t>
  </si>
  <si>
    <t>(hp)</t>
  </si>
  <si>
    <t>%</t>
  </si>
  <si>
    <t>(kW)</t>
  </si>
  <si>
    <t>Flow</t>
  </si>
  <si>
    <t>ESP</t>
  </si>
  <si>
    <t>(in w.g.)</t>
  </si>
  <si>
    <t>(cfm)</t>
  </si>
  <si>
    <t>ACH</t>
  </si>
  <si>
    <t>A</t>
  </si>
  <si>
    <t>Roof</t>
  </si>
  <si>
    <t>Conditioned</t>
  </si>
  <si>
    <t>Unconditioned</t>
  </si>
  <si>
    <t>Category</t>
  </si>
  <si>
    <t>Night Time Watts</t>
  </si>
  <si>
    <t>24Hr Watts</t>
  </si>
  <si>
    <t>BHP</t>
  </si>
  <si>
    <t>Activity Desc 1</t>
  </si>
  <si>
    <t>Location</t>
  </si>
  <si>
    <t>Volume</t>
  </si>
  <si>
    <t>Kitchen</t>
  </si>
  <si>
    <t>Bath</t>
  </si>
  <si>
    <t>Mark</t>
  </si>
  <si>
    <t>Proposed</t>
  </si>
  <si>
    <t>TOTAL</t>
  </si>
  <si>
    <t>Bathroom</t>
  </si>
  <si>
    <t>Nameplate Motor Eff</t>
  </si>
  <si>
    <t>Exterior Lighting</t>
  </si>
  <si>
    <t># of Fixtures</t>
  </si>
  <si>
    <t>Watts/
fixture</t>
  </si>
  <si>
    <t>Activity Desc 2</t>
  </si>
  <si>
    <t>cfm</t>
  </si>
  <si>
    <t>MODEL DATA ---&gt;</t>
  </si>
  <si>
    <t>Calculated Motor Pwr</t>
  </si>
  <si>
    <t>Volume 
(Incl FloorMult)</t>
  </si>
  <si>
    <t>Area 
(Incl FloorMult)</t>
  </si>
  <si>
    <t>Closet</t>
  </si>
  <si>
    <t>Living Room</t>
  </si>
  <si>
    <t>Unit Type</t>
  </si>
  <si>
    <t>Qty</t>
  </si>
  <si>
    <t>W/sf</t>
  </si>
  <si>
    <t>Floor Area</t>
  </si>
  <si>
    <t>Parking</t>
  </si>
  <si>
    <t>Model</t>
  </si>
  <si>
    <t>Total Power</t>
  </si>
  <si>
    <t>Parking Garage</t>
  </si>
  <si>
    <t>Mfg</t>
  </si>
  <si>
    <t>S</t>
  </si>
  <si>
    <t>L1</t>
  </si>
  <si>
    <t>Den</t>
  </si>
  <si>
    <t>ft^3</t>
  </si>
  <si>
    <t>Savings</t>
  </si>
  <si>
    <t>Building Parameters</t>
  </si>
  <si>
    <t>Perimeter Space Volume</t>
  </si>
  <si>
    <t>Air Leakage @ dP (CFM)</t>
  </si>
  <si>
    <t>Pressure Coeff (Cp)</t>
  </si>
  <si>
    <t>Pressure exp (n)</t>
  </si>
  <si>
    <t>Cs_avg</t>
  </si>
  <si>
    <t>mph</t>
  </si>
  <si>
    <t>m/s</t>
  </si>
  <si>
    <t>Air density</t>
  </si>
  <si>
    <t>Watts</t>
  </si>
  <si>
    <t>In-Unit Lighting</t>
  </si>
  <si>
    <t>Energy Star?</t>
  </si>
  <si>
    <t>Bulb Type</t>
  </si>
  <si>
    <t>Studio</t>
  </si>
  <si>
    <t>Total Units</t>
  </si>
  <si>
    <t>reduction</t>
  </si>
  <si>
    <t>gpm</t>
  </si>
  <si>
    <t>Capacity</t>
  </si>
  <si>
    <t>Reduction</t>
  </si>
  <si>
    <t>Refrigerator</t>
  </si>
  <si>
    <t>CFM</t>
  </si>
  <si>
    <t>Occupants</t>
  </si>
  <si>
    <t>No</t>
  </si>
  <si>
    <t>Annual</t>
  </si>
  <si>
    <t>Thermal Zone</t>
  </si>
  <si>
    <t>(people)</t>
  </si>
  <si>
    <t>(ft2)</t>
  </si>
  <si>
    <t>(W/ft2)</t>
  </si>
  <si>
    <t>(kBtu)</t>
  </si>
  <si>
    <t>(ACH)</t>
  </si>
  <si>
    <t>(cfm/ft2)</t>
  </si>
  <si>
    <t>(ft)</t>
  </si>
  <si>
    <t>Windows</t>
  </si>
  <si>
    <t>ft^2</t>
  </si>
  <si>
    <t>AREA CALCULATIONS</t>
  </si>
  <si>
    <t>Activity Desc 3</t>
  </si>
  <si>
    <t>Activity Desc 4</t>
  </si>
  <si>
    <t xml:space="preserve">Volume </t>
  </si>
  <si>
    <t>Vertical Glazing Area</t>
  </si>
  <si>
    <t>Gross AG Wall Area</t>
  </si>
  <si>
    <t>Overhead Glazing Area</t>
  </si>
  <si>
    <t>AG Envelope Area</t>
  </si>
  <si>
    <t>L2</t>
  </si>
  <si>
    <t>Restroom</t>
  </si>
  <si>
    <t>Corridor</t>
  </si>
  <si>
    <t>Multifamily</t>
  </si>
  <si>
    <t>Workshop</t>
  </si>
  <si>
    <t>C-ACT-DESC</t>
  </si>
  <si>
    <t>Floor Prefix</t>
  </si>
  <si>
    <t>Occupancy</t>
  </si>
  <si>
    <t>sf/per</t>
  </si>
  <si>
    <t xml:space="preserve">Proposed </t>
  </si>
  <si>
    <t>Multiplier</t>
  </si>
  <si>
    <t>Area x FlrMult</t>
  </si>
  <si>
    <t>Vol x FlrMult</t>
  </si>
  <si>
    <t>Residential</t>
  </si>
  <si>
    <t>Nonresidential</t>
  </si>
  <si>
    <t>Paste here &gt;&gt;</t>
  </si>
  <si>
    <t>ft</t>
  </si>
  <si>
    <t>&lt;0.3</t>
  </si>
  <si>
    <t>N/A</t>
  </si>
  <si>
    <t>Speed</t>
  </si>
  <si>
    <t>Current</t>
  </si>
  <si>
    <t>Static Pressure (in w.g.)</t>
  </si>
  <si>
    <t>Air (CFM)</t>
  </si>
  <si>
    <t>Noise (sones)</t>
  </si>
  <si>
    <t>Power (watts)</t>
  </si>
  <si>
    <t>Efficiency (CFM/watts)</t>
  </si>
  <si>
    <t>FV-05VQ5</t>
  </si>
  <si>
    <t>FV-08VKS3/08VKM3</t>
  </si>
  <si>
    <t>FV-13VKS3/13VKM3</t>
  </si>
  <si>
    <t>FV-05VK3</t>
  </si>
  <si>
    <t>FV-08VK3</t>
  </si>
  <si>
    <t>FV-13VK3</t>
  </si>
  <si>
    <t>Wind Speed Probability Density Function (PDF)</t>
  </si>
  <si>
    <t>Weather File Wind Speed Adjustment</t>
  </si>
  <si>
    <t>TERRAIN-PAR1</t>
  </si>
  <si>
    <t>Rural area with low buildings, trees, etc.</t>
  </si>
  <si>
    <t>2009, Based on NCDC Data for Bellingham AP</t>
  </si>
  <si>
    <t>TERRAIN-PAR2 (αBLDG)</t>
  </si>
  <si>
    <t>WS-TERRAIN-PAR1</t>
  </si>
  <si>
    <t>WS-TERRAIN-PAR2 (αWS)</t>
  </si>
  <si>
    <t>WS-HEIGHT</t>
  </si>
  <si>
    <t>TMY3 for Bellingham AP</t>
  </si>
  <si>
    <t>TERRAIN-PAR2</t>
  </si>
  <si>
    <t>WS-TERRAIN-PAR2</t>
  </si>
  <si>
    <t>Ocean or other body of water with at least 5km of unrestricted expanse.</t>
  </si>
  <si>
    <t>Flat terrain with some isolated obstacles, e.g., buildings or trees well separated from each other</t>
  </si>
  <si>
    <t>Urban, industrial, or forest area.</t>
  </si>
  <si>
    <t>Center of a big city (Manhattan).</t>
  </si>
  <si>
    <t>αBLDG</t>
  </si>
  <si>
    <t>ft^3 space</t>
  </si>
  <si>
    <t>ft^2 floor area</t>
  </si>
  <si>
    <t>dP 
(in wc)</t>
  </si>
  <si>
    <t>dP 
(Pa)</t>
  </si>
  <si>
    <t>Total Conditioned</t>
  </si>
  <si>
    <t>Total By Category</t>
  </si>
  <si>
    <t>Spc Area</t>
  </si>
  <si>
    <t>Z-cord</t>
  </si>
  <si>
    <t>Total Building</t>
  </si>
  <si>
    <t>VertGlzg</t>
  </si>
  <si>
    <t>Spc Vol</t>
  </si>
  <si>
    <t>L3</t>
  </si>
  <si>
    <t>Total Watts (no Exit)</t>
  </si>
  <si>
    <t>Total LPD w/ Exit</t>
  </si>
  <si>
    <t>AG Wall</t>
  </si>
  <si>
    <t>L4</t>
  </si>
  <si>
    <t>Floors</t>
  </si>
  <si>
    <t>Commercial</t>
  </si>
  <si>
    <t>Other</t>
  </si>
  <si>
    <t>gal/day</t>
  </si>
  <si>
    <t>Lighting</t>
  </si>
  <si>
    <t>FLH/day</t>
  </si>
  <si>
    <t>kWh/yr</t>
  </si>
  <si>
    <t>DWG Area</t>
  </si>
  <si>
    <t>Conversion</t>
  </si>
  <si>
    <t>Sch Name</t>
  </si>
  <si>
    <t>Source</t>
  </si>
  <si>
    <t>WWR</t>
  </si>
  <si>
    <t>Flr-to-flr Ht</t>
  </si>
  <si>
    <t>na</t>
  </si>
  <si>
    <t>Interior Lighting Schedule</t>
  </si>
  <si>
    <t>Exterior Lighting Schedule</t>
  </si>
  <si>
    <t>Total Watts Here</t>
  </si>
  <si>
    <t>Total Watts from IntTakeoffs</t>
  </si>
  <si>
    <t>Efficiency</t>
  </si>
  <si>
    <t>gal/person</t>
  </si>
  <si>
    <t>Plan TakeOffs Ltg</t>
  </si>
  <si>
    <t>Building/Floor Summary</t>
  </si>
  <si>
    <t>Unit Summary</t>
  </si>
  <si>
    <t># Units</t>
  </si>
  <si>
    <t>Common Area Lighting Power</t>
  </si>
  <si>
    <t>Proposed values based on takeoffs of lighting plans. Fixture counts shown on 'Ltg_IntTakeoffs' sheet</t>
  </si>
  <si>
    <t>Summarizes the baseline and proposed lighting power inputs for each model space</t>
  </si>
  <si>
    <t>C-Act-Desc</t>
  </si>
  <si>
    <t>Space Category</t>
  </si>
  <si>
    <t>Space Area Calculations</t>
  </si>
  <si>
    <t>Area w/ Mult</t>
  </si>
  <si>
    <t>Summarizes the model conditioning, floor, space area and volume</t>
  </si>
  <si>
    <t>Wall and Glazing Area Calculations</t>
  </si>
  <si>
    <t>Exterior Floor Area</t>
  </si>
  <si>
    <t>Exposed Int Floor Area</t>
  </si>
  <si>
    <t>Gross AG Floor Area</t>
  </si>
  <si>
    <t>Summarizes the model space information, include conditioning, area and volume</t>
  </si>
  <si>
    <t>Summarizes dwelling unit exhaust fans and infiltration rates</t>
  </si>
  <si>
    <t>Common Area Fan Power Summary</t>
  </si>
  <si>
    <t>^^^ Insert Above ^^^</t>
  </si>
  <si>
    <t>From A0.00</t>
  </si>
  <si>
    <t>From table</t>
  </si>
  <si>
    <t>Diff</t>
  </si>
  <si>
    <t>Res=1/ Nres=2</t>
  </si>
  <si>
    <t>C=1/
UC=0</t>
  </si>
  <si>
    <t>Exterior AG Wall Area</t>
  </si>
  <si>
    <t xml:space="preserve">Exposed Int AG Wall Area </t>
  </si>
  <si>
    <t>Spaces_Ref</t>
  </si>
  <si>
    <t>Envelope_Ref</t>
  </si>
  <si>
    <t>IWallSpShtRef</t>
  </si>
  <si>
    <t>ft^2 wall+window+roof+floor</t>
  </si>
  <si>
    <t>Unit Qtys per Floor</t>
  </si>
  <si>
    <t>Exhaust Fans</t>
  </si>
  <si>
    <t>Flow (cfm)</t>
  </si>
  <si>
    <t xml:space="preserve"> Occupants per Unit </t>
  </si>
  <si>
    <t>Total/flr</t>
  </si>
  <si>
    <t>DWG Totals</t>
  </si>
  <si>
    <t>MDL Totals</t>
  </si>
  <si>
    <t>DWG Avg</t>
  </si>
  <si>
    <t>MDL Avg</t>
  </si>
  <si>
    <t>Btu/h</t>
  </si>
  <si>
    <t>Sum</t>
  </si>
  <si>
    <t>Number</t>
  </si>
  <si>
    <t>Row Offset</t>
  </si>
  <si>
    <t>Sum Col</t>
  </si>
  <si>
    <t>Criteria1 Col</t>
  </si>
  <si>
    <t>Criteria2 Col</t>
  </si>
  <si>
    <t>AREA CALCULATIONS ---&gt;</t>
  </si>
  <si>
    <t>Exterior Roof Area</t>
  </si>
  <si>
    <t>Exposed Int Roof Area</t>
  </si>
  <si>
    <t>Gross Roof Area</t>
  </si>
  <si>
    <t>LVDProp_Ref</t>
  </si>
  <si>
    <t>CmnLtg_Ref</t>
  </si>
  <si>
    <t>UnitSummary_Ref</t>
  </si>
  <si>
    <t>Nameplate Fraction</t>
  </si>
  <si>
    <t>Glazing</t>
  </si>
  <si>
    <t>Wall Area</t>
  </si>
  <si>
    <t>Ref</t>
  </si>
  <si>
    <t>LVDBase_Ref</t>
  </si>
  <si>
    <t>SF/person</t>
  </si>
  <si>
    <t>ASHRAE 62.2</t>
  </si>
  <si>
    <t>Qty ADA</t>
  </si>
  <si>
    <t>Std</t>
  </si>
  <si>
    <t>ADA</t>
  </si>
  <si>
    <t>Bedroom</t>
  </si>
  <si>
    <t>ft2</t>
  </si>
  <si>
    <t>W/ft2</t>
  </si>
  <si>
    <t xml:space="preserve"> Conditioned SF</t>
  </si>
  <si>
    <t>All SF</t>
  </si>
  <si>
    <t>ESMFHR ResPlug</t>
  </si>
  <si>
    <t>O</t>
  </si>
  <si>
    <t>Hourly average CFM</t>
  </si>
  <si>
    <t>LW</t>
  </si>
  <si>
    <t>LiveWork</t>
  </si>
  <si>
    <t>Ventilation Calculations</t>
  </si>
  <si>
    <t>All</t>
  </si>
  <si>
    <t>Prop Vent Rate</t>
  </si>
  <si>
    <t>(W/dfm)</t>
  </si>
  <si>
    <t>Project</t>
  </si>
  <si>
    <t>Avg Wind Speed</t>
  </si>
  <si>
    <t>HDH</t>
  </si>
  <si>
    <t>FV-11VK3</t>
  </si>
  <si>
    <t>Sanity Check</t>
  </si>
  <si>
    <t>Hand Calcs</t>
  </si>
  <si>
    <t>eQuest Results</t>
  </si>
  <si>
    <t>AG Wall &amp; Floor</t>
  </si>
  <si>
    <t>BG Surf</t>
  </si>
  <si>
    <t>Run</t>
  </si>
  <si>
    <t>HDD</t>
  </si>
  <si>
    <t>Gnd. HDD</t>
  </si>
  <si>
    <t>U-Factor</t>
  </si>
  <si>
    <t>Heat Loss</t>
  </si>
  <si>
    <t>System Efficiency</t>
  </si>
  <si>
    <t>Heating Energy</t>
  </si>
  <si>
    <t>Seattle</t>
  </si>
  <si>
    <t>LV-D</t>
  </si>
  <si>
    <t>Calc</t>
  </si>
  <si>
    <t>Estimate</t>
  </si>
  <si>
    <t>(day.degF)</t>
  </si>
  <si>
    <t>(Btu/ft2.hr.degF)</t>
  </si>
  <si>
    <t>(MBtu)</t>
  </si>
  <si>
    <t>PMD</t>
  </si>
  <si>
    <t>90.1 OPQ Env</t>
  </si>
  <si>
    <t>90.1 Glazing</t>
  </si>
  <si>
    <t>% Diff</t>
  </si>
  <si>
    <t>TakeOffs</t>
  </si>
  <si>
    <t>Hand Calc</t>
  </si>
  <si>
    <t>Elevator</t>
  </si>
  <si>
    <t>(kWh/yr)</t>
  </si>
  <si>
    <t>(ft3)</t>
  </si>
  <si>
    <t>901OFFC_Ltg/Plug Sch</t>
  </si>
  <si>
    <t>LED</t>
  </si>
  <si>
    <t>ILtgCountRef</t>
  </si>
  <si>
    <t>In Progress, not yet functional</t>
  </si>
  <si>
    <t>Amenity Ltg Sch</t>
  </si>
  <si>
    <t>Yes</t>
  </si>
  <si>
    <t>Elevator Loads</t>
  </si>
  <si>
    <t>DHW</t>
  </si>
  <si>
    <t>Fans</t>
  </si>
  <si>
    <t>Plugs</t>
  </si>
  <si>
    <t>End-use</t>
  </si>
  <si>
    <t>ESMFHR</t>
  </si>
  <si>
    <t>Constant</t>
  </si>
  <si>
    <t>Per Bedroom</t>
  </si>
  <si>
    <t>Occupancy assumption that DHW calcs are based on</t>
  </si>
  <si>
    <t>Person/Bdrm</t>
  </si>
  <si>
    <t>Person/Unit</t>
  </si>
  <si>
    <t>ESMFHR ResDHW Sch</t>
  </si>
  <si>
    <t>Annual average ACH</t>
  </si>
  <si>
    <t># Bdrms</t>
  </si>
  <si>
    <t>Unit Descrip</t>
  </si>
  <si>
    <t>No. People</t>
  </si>
  <si>
    <t>No. Units</t>
  </si>
  <si>
    <t>cfm/W*</t>
  </si>
  <si>
    <t>Booster Pump</t>
  </si>
  <si>
    <t>Case Study Results</t>
  </si>
  <si>
    <t># Floors</t>
  </si>
  <si>
    <t>Street Pressure</t>
  </si>
  <si>
    <t>psi</t>
  </si>
  <si>
    <t>hp</t>
  </si>
  <si>
    <t>Daily kWh</t>
  </si>
  <si>
    <t>Annual kWh</t>
  </si>
  <si>
    <t>35 High Park</t>
  </si>
  <si>
    <t xml:space="preserve">65 High Park </t>
  </si>
  <si>
    <t>95 High Park</t>
  </si>
  <si>
    <t>66 Pacific Ave</t>
  </si>
  <si>
    <t>111 Pacific Ave</t>
  </si>
  <si>
    <t>66 Oakmount Ave</t>
  </si>
  <si>
    <t>255 Glenlake Ave</t>
  </si>
  <si>
    <t>Actual Units</t>
  </si>
  <si>
    <t>Actual Floors</t>
  </si>
  <si>
    <t>Actual Pump Power</t>
  </si>
  <si>
    <t>Elevators</t>
  </si>
  <si>
    <t>Based on Domestic Cold Water Booster Pump Control Monitoring Pilot Program study dated February 2001</t>
  </si>
  <si>
    <t>by Veritec Consulting Inc: http://dsp-psd.pwgsc.gc.ca/Collection/NH17-53-2001E.pdf</t>
  </si>
  <si>
    <t>Constant Speed</t>
  </si>
  <si>
    <t>Variable Speed</t>
  </si>
  <si>
    <t>Address</t>
  </si>
  <si>
    <r>
      <t>Regression: Annual kWh = A*NumFlrs</t>
    </r>
    <r>
      <rPr>
        <vertAlign val="superscript"/>
        <sz val="11"/>
        <color theme="1"/>
        <rFont val="Calibri"/>
        <family val="2"/>
        <scheme val="minor"/>
      </rPr>
      <t>n</t>
    </r>
  </si>
  <si>
    <t>n</t>
  </si>
  <si>
    <t>Pump Control</t>
  </si>
  <si>
    <t>2 x 15</t>
  </si>
  <si>
    <t>Pumps</t>
  </si>
  <si>
    <t>CW Booster</t>
  </si>
  <si>
    <t>Annual Sch FLH</t>
  </si>
  <si>
    <t>Peak Demand</t>
  </si>
  <si>
    <t>CW Booster Sch</t>
  </si>
  <si>
    <t>PrkgFan_VFD#3</t>
  </si>
  <si>
    <t>PrkgFan_VFD#1</t>
  </si>
  <si>
    <t>PrkgFan_VFD#2</t>
  </si>
  <si>
    <t>VFD fan control, profile #1</t>
  </si>
  <si>
    <t>VFD fan control, profile #2</t>
  </si>
  <si>
    <t>VFD fan control, profile #3</t>
  </si>
  <si>
    <t>PrkgFan_OnOff#1</t>
  </si>
  <si>
    <t>On/Off fan control, profile #1</t>
  </si>
  <si>
    <t>PrkgFan_OnOff#2</t>
  </si>
  <si>
    <t>On/Off fan control, profile #2</t>
  </si>
  <si>
    <t>PrkgFan_OnOff#3</t>
  </si>
  <si>
    <t>On/Off fan control, profile #3</t>
  </si>
  <si>
    <t>CV fan control, profile #4</t>
  </si>
  <si>
    <t>PrkgFan_CV</t>
  </si>
  <si>
    <t>Annual Sch Name</t>
  </si>
  <si>
    <t>CFM/ft2</t>
  </si>
  <si>
    <t>Motor HP</t>
  </si>
  <si>
    <t>Average</t>
  </si>
  <si>
    <t>Travel</t>
  </si>
  <si>
    <t>FL  Motor Output</t>
  </si>
  <si>
    <t>Martin</t>
  </si>
  <si>
    <t>Gearless traction</t>
  </si>
  <si>
    <t>Regen?</t>
  </si>
  <si>
    <t>Application</t>
  </si>
  <si>
    <t>Standby</t>
  </si>
  <si>
    <t>Running</t>
  </si>
  <si>
    <t>/yr</t>
  </si>
  <si>
    <t>Starts</t>
  </si>
  <si>
    <t>(m)</t>
  </si>
  <si>
    <t>Regenerated</t>
  </si>
  <si>
    <t>Saved (Running)</t>
  </si>
  <si>
    <t>hrs</t>
  </si>
  <si>
    <t>Target FLH</t>
  </si>
  <si>
    <t>Schedule values to adjust</t>
  </si>
  <si>
    <t>LEED-NC</t>
  </si>
  <si>
    <t>°F</t>
  </si>
  <si>
    <t>Fraction</t>
  </si>
  <si>
    <t>Default # Occupants/Beds</t>
  </si>
  <si>
    <t>24hr Schedule, House Meter Load</t>
  </si>
  <si>
    <t>No. of Ppl Total</t>
  </si>
  <si>
    <t>Plug</t>
  </si>
  <si>
    <t xml:space="preserve"> MFAM Misc WD</t>
  </si>
  <si>
    <t xml:space="preserve"> MFAM Misc WEH</t>
  </si>
  <si>
    <t>Year</t>
  </si>
  <si>
    <t>Days in the year</t>
  </si>
  <si>
    <t>Year of simulation</t>
  </si>
  <si>
    <t>Weekday</t>
  </si>
  <si>
    <t>Start Date</t>
  </si>
  <si>
    <t>Saturday</t>
  </si>
  <si>
    <t>End date</t>
  </si>
  <si>
    <t>Weekend/Holiday</t>
  </si>
  <si>
    <t>Sunday/Holiday</t>
  </si>
  <si>
    <t>Ltg</t>
  </si>
  <si>
    <t xml:space="preserve"> MFAM Misc Sch</t>
  </si>
  <si>
    <t>Amenity</t>
  </si>
  <si>
    <t>Amenity Ltg WD</t>
  </si>
  <si>
    <t>Amenity Ltg WEH</t>
  </si>
  <si>
    <t xml:space="preserve">Corrected Annual </t>
  </si>
  <si>
    <t>A1</t>
  </si>
  <si>
    <t>A2</t>
  </si>
  <si>
    <t>A3</t>
  </si>
  <si>
    <t>A4</t>
  </si>
  <si>
    <t>Take-Off's for the following Spaces below need to be performed.</t>
  </si>
  <si>
    <t>Instructions:</t>
  </si>
  <si>
    <r>
      <t xml:space="preserve">Include all in-unit hard-wired lighting in this table. Rated wattage must include ballast (follow 90.1 User's manual or Appendix B of </t>
    </r>
    <r>
      <rPr>
        <i/>
        <sz val="10"/>
        <rFont val="Arial"/>
        <family val="2"/>
      </rPr>
      <t>Performance Path</t>
    </r>
    <r>
      <rPr>
        <sz val="10"/>
        <rFont val="Arial"/>
        <family val="2"/>
      </rPr>
      <t>).</t>
    </r>
  </si>
  <si>
    <r>
      <t xml:space="preserve">Per ASHRAE 9.1.4, screw-based fixtures must be entered using the maximum rated wattage of the </t>
    </r>
    <r>
      <rPr>
        <b/>
        <u/>
        <sz val="10"/>
        <rFont val="Arial"/>
        <family val="2"/>
      </rPr>
      <t>fixture</t>
    </r>
    <r>
      <rPr>
        <sz val="10"/>
        <rFont val="Arial"/>
        <family val="2"/>
      </rPr>
      <t>, even if a screw-based CFL or LED is installed. As this requirement is waived for this program, screw-base fixtures may be entered using the installed lamp and ballast wattage or the maximum rated wattage of the fixture.</t>
    </r>
  </si>
  <si>
    <t>Only the rooms for which there are specified hard-wired lighting fixtures should be entered in this table. Therefore, the total square feet that you list in this table might be smaller than the total square feet of the Apartments. If there are multiple fixtures per room, distribute area accordingly.</t>
  </si>
  <si>
    <t>Likewise, for some rooms, the areas for which lighting is specified may be LESS than the total area of the room. If the specified fixtures are intended to light only a portion of the room, enter the square feet of the lighted area only, per your own estimation, but not to exceed 2 square feet per Watt. (Ex. A 13 Watt wall sconce in a bedroom can light at most 26 square feet and should not be modeled as lighting the entire space.)</t>
  </si>
  <si>
    <t>Cells highlighted in red indicate spaces where estimated lumen output of fixture does not provide minimum illumination (16 lumens/SqFt) per IESNA.</t>
  </si>
  <si>
    <t xml:space="preserve">Enter data in the cells highlighted in this color. </t>
  </si>
  <si>
    <t>Plug Wired LPD</t>
  </si>
  <si>
    <t>Do not edit cells highlighted in this color.</t>
  </si>
  <si>
    <t>Min Illumination</t>
  </si>
  <si>
    <t>Lum/ft2</t>
  </si>
  <si>
    <t>Max Hardwired Eff</t>
  </si>
  <si>
    <t>In-Unit Lighting Table</t>
  </si>
  <si>
    <t>lookup value</t>
  </si>
  <si>
    <t>Total Unit Area</t>
  </si>
  <si>
    <t>Total Units in building</t>
  </si>
  <si>
    <t>Room Name</t>
  </si>
  <si>
    <t>Total Room Area</t>
  </si>
  <si>
    <t>Lightable Room Area</t>
  </si>
  <si>
    <t>Fixture 1
Code</t>
  </si>
  <si>
    <t>Fixture 1
QTY/ Space</t>
  </si>
  <si>
    <t>Fixture 2
Code</t>
  </si>
  <si>
    <t>Fixture 2
QTY/ Space</t>
  </si>
  <si>
    <t>Fixture 1
Wattage</t>
  </si>
  <si>
    <t>Fixture 1
Lumens/Fixture</t>
  </si>
  <si>
    <t>Fixture 2
Wattage</t>
  </si>
  <si>
    <t>Fixture 2
Lumens/Fixture</t>
  </si>
  <si>
    <t>Unit Hard Wired
Wattage</t>
  </si>
  <si>
    <t>Unit Hard Wired Lumens</t>
  </si>
  <si>
    <t>MAX Hardwired Illuminated Area @ 16 Lum/ft2</t>
  </si>
  <si>
    <t>MAX Hardwired Illuminated Area @ 0.5 W/ft2</t>
  </si>
  <si>
    <t>Hard Wired Illuminated Area</t>
  </si>
  <si>
    <t>Hard Wired LPD</t>
  </si>
  <si>
    <t>Plug Wired Illuminated Area</t>
  </si>
  <si>
    <t>Total Unit LPD</t>
  </si>
  <si>
    <t>CHECK</t>
  </si>
  <si>
    <t>Extended Total Unit Area</t>
  </si>
  <si>
    <t>Extended Hard Wired Lighting Area</t>
  </si>
  <si>
    <t>Extended Hardwired Lighting</t>
  </si>
  <si>
    <t>(qty)</t>
  </si>
  <si>
    <t>(W)</t>
  </si>
  <si>
    <t>(lum/fixt)</t>
  </si>
  <si>
    <t>(lum)</t>
  </si>
  <si>
    <t>(Lum/ft2)</t>
  </si>
  <si>
    <t>(Lum/ W)</t>
  </si>
  <si>
    <t>-</t>
  </si>
  <si>
    <t>Studio - LVNG/BDRM</t>
  </si>
  <si>
    <t>^^^Add rooms above^^^</t>
  </si>
  <si>
    <t>Mezzanine_BDRM</t>
  </si>
  <si>
    <t xml:space="preserve">Den </t>
  </si>
  <si>
    <t>^^^ADD UNITS ABOVE^^^</t>
  </si>
  <si>
    <t>Summary</t>
  </si>
  <si>
    <t>Tot Dwg MFAM Area</t>
  </si>
  <si>
    <t>Included in-unit area with hard wired lighting (ft2)</t>
  </si>
  <si>
    <t>Missing unit area</t>
  </si>
  <si>
    <t>Included hard wired lighting (W)</t>
  </si>
  <si>
    <t>Included total unit area (ft2)</t>
  </si>
  <si>
    <t>MFAM Area,@1.1w/Sqft</t>
  </si>
  <si>
    <t>Hard wired lighting power density (W/ft2)</t>
  </si>
  <si>
    <t>ESMFHR lighting power density (W/ft2)</t>
  </si>
  <si>
    <t>Baseline lighting power density (W/ft2)</t>
  </si>
  <si>
    <t>LPD of Illuminated areas of the spaces</t>
  </si>
  <si>
    <t>Room Types</t>
  </si>
  <si>
    <t>Family Room</t>
  </si>
  <si>
    <t>Utility Room</t>
  </si>
  <si>
    <t>Lumens per Fixture</t>
  </si>
  <si>
    <t>Source/Notes</t>
  </si>
  <si>
    <t>Default Assumption</t>
  </si>
  <si>
    <t>Area - ft2</t>
  </si>
  <si>
    <t>Area weighted average LPD for the Project using representative unit's take-off's</t>
  </si>
  <si>
    <t>Total Area</t>
  </si>
  <si>
    <t>General Exhaust Fans</t>
  </si>
  <si>
    <t>Annual FLH</t>
  </si>
  <si>
    <t>Elevator Power</t>
  </si>
  <si>
    <t>(FLH/day)</t>
  </si>
  <si>
    <t>.</t>
  </si>
  <si>
    <t>Check</t>
  </si>
  <si>
    <t>Base</t>
  </si>
  <si>
    <t>ESMFHR Guidelines</t>
  </si>
  <si>
    <t>Dishwashers</t>
  </si>
  <si>
    <t>Clothes Washers</t>
  </si>
  <si>
    <t>No. Bath</t>
  </si>
  <si>
    <t>Qty ADA Baths</t>
  </si>
  <si>
    <t>FV-08VKS3</t>
  </si>
  <si>
    <r>
      <t xml:space="preserve">Lumenaire Efficacy
</t>
    </r>
    <r>
      <rPr>
        <sz val="8"/>
        <rFont val="Calibri"/>
        <family val="2"/>
        <scheme val="minor"/>
      </rPr>
      <t>(Lum/watt)</t>
    </r>
  </si>
  <si>
    <t>Total number of units.</t>
  </si>
  <si>
    <t>Total Watts - Hard Wired and Plug-in.</t>
  </si>
  <si>
    <t>No of units</t>
  </si>
  <si>
    <t>n.a.</t>
  </si>
  <si>
    <t>Allowance Multiplier -----&gt;</t>
  </si>
  <si>
    <t>Full Load Hours</t>
  </si>
  <si>
    <t>Annual Energy</t>
  </si>
  <si>
    <t>non-residential - retail</t>
  </si>
  <si>
    <t>Storage</t>
  </si>
  <si>
    <t>residential (in-unit)</t>
  </si>
  <si>
    <t>res-associated (shared spaces)</t>
  </si>
  <si>
    <t>lobbies / corridors / stairs</t>
  </si>
  <si>
    <t>non-residential - offices</t>
  </si>
  <si>
    <t>Parking garage</t>
  </si>
  <si>
    <t>storage</t>
  </si>
  <si>
    <t>support (mechanical / electrical)</t>
  </si>
  <si>
    <t>901OFFC_Ltg/Plug WD</t>
  </si>
  <si>
    <t>901OFFC_Ltg/Plug Sat</t>
  </si>
  <si>
    <t>901OFFC_Ltg/Plug Sun</t>
  </si>
  <si>
    <t>Rep. Unit</t>
  </si>
  <si>
    <t>Hardwired Watts (W)</t>
  </si>
  <si>
    <t>Hardwired Area (ft2)</t>
  </si>
  <si>
    <t>Plug Ltg. Watts (W)</t>
  </si>
  <si>
    <t>Plug Ltg. Area (ft2)</t>
  </si>
  <si>
    <t>Total Watts (W)</t>
  </si>
  <si>
    <t>Total LPD (W/ft2)</t>
  </si>
  <si>
    <t>Rep. Unit Area (ft2)</t>
  </si>
  <si>
    <t>area check</t>
  </si>
  <si>
    <t>Plug Ltg. LPD (W/ft2)</t>
  </si>
  <si>
    <t>Hardwired LPD (W/ft2)</t>
  </si>
  <si>
    <t>ALL</t>
  </si>
  <si>
    <t>w/o Multiplier</t>
  </si>
  <si>
    <t>Simulated Lighting Power</t>
  </si>
  <si>
    <t>Residential (in-unit)</t>
  </si>
  <si>
    <t>Lobbies / corridors / stairs</t>
  </si>
  <si>
    <t>Non-residential - offices</t>
  </si>
  <si>
    <t>Non-residential - retail</t>
  </si>
  <si>
    <t>Support (mechanical / electrical)</t>
  </si>
  <si>
    <t>Reporting Category</t>
  </si>
  <si>
    <t>Reporting Categoies</t>
  </si>
  <si>
    <t>Rep. Cat</t>
  </si>
  <si>
    <t>Rep Cat</t>
  </si>
  <si>
    <t>A5</t>
  </si>
  <si>
    <t>A6</t>
  </si>
  <si>
    <t>A8</t>
  </si>
  <si>
    <t>A10</t>
  </si>
  <si>
    <t>S1</t>
  </si>
  <si>
    <t>A11</t>
  </si>
  <si>
    <t>A12</t>
  </si>
  <si>
    <t>S2</t>
  </si>
  <si>
    <t>S3</t>
  </si>
  <si>
    <t>LT-1</t>
  </si>
  <si>
    <t>LT-2</t>
  </si>
  <si>
    <t>LT-3</t>
  </si>
  <si>
    <t>LT-4</t>
  </si>
  <si>
    <t>LT-5</t>
  </si>
  <si>
    <t>EX</t>
  </si>
  <si>
    <t>Kitchen/Living</t>
  </si>
  <si>
    <t>Supply/Exhaust Fan and Infiltration Calculations</t>
  </si>
  <si>
    <t>Multifamily Ventilation/Infiltration</t>
  </si>
  <si>
    <t>ft2 wall+window+roof+floor</t>
  </si>
  <si>
    <t>ft2 floor area</t>
  </si>
  <si>
    <t>ft3 space</t>
  </si>
  <si>
    <t>Total MFAM Dwelling Units</t>
  </si>
  <si>
    <t>Equest Results</t>
  </si>
  <si>
    <t>Infiltration (Uncontrolled Air Leakage) Data</t>
  </si>
  <si>
    <t>Leakage @ Pressure</t>
  </si>
  <si>
    <t>Tested CFM/ft2 @ dP</t>
  </si>
  <si>
    <t>Air Changes @ dP (ACH)</t>
  </si>
  <si>
    <t>Referance wind speed</t>
  </si>
  <si>
    <t>lbs/ft3</t>
  </si>
  <si>
    <t xml:space="preserve"> kg/m3</t>
  </si>
  <si>
    <t>CFM/ft2_Natural</t>
  </si>
  <si>
    <t>cfm/ft2</t>
  </si>
  <si>
    <t>Ratio of CFM/ft2_Nat / CFM/ft2_75</t>
  </si>
  <si>
    <t>WindACH_Natural(@ 10mph)</t>
  </si>
  <si>
    <t>Other Building Areas</t>
  </si>
  <si>
    <t>Other Gross AG Envelope Area</t>
  </si>
  <si>
    <t>Other Perimeter Floor Area</t>
  </si>
  <si>
    <t>Other Perimeter Space Volume</t>
  </si>
  <si>
    <t>OtherACH</t>
  </si>
  <si>
    <t>ACH_average</t>
  </si>
  <si>
    <t>Btu/ft2</t>
  </si>
  <si>
    <t>References</t>
  </si>
  <si>
    <t>PNNL Infiltration Modeling Guidelines</t>
  </si>
  <si>
    <t>DOE-2 HELP REFERENCE for Site parameters</t>
  </si>
  <si>
    <t>Conditioned Volume</t>
  </si>
  <si>
    <t>TEST</t>
  </si>
  <si>
    <t>(W/cfm)</t>
  </si>
  <si>
    <t>LT1-Alt</t>
  </si>
  <si>
    <t>LT5-Alt</t>
  </si>
  <si>
    <t>Bulb Switched to - LBR301027KND6</t>
  </si>
  <si>
    <t>ESMFHR Occ all</t>
  </si>
  <si>
    <t>Amenity Occ WD</t>
  </si>
  <si>
    <t>Amenity Occ WEH</t>
  </si>
  <si>
    <t>Installed Lighting Power</t>
  </si>
  <si>
    <t>Typical  Halogen lamps 50W PAR30.</t>
  </si>
  <si>
    <t>Typical  Halogen lamps 75W PAR30.</t>
  </si>
  <si>
    <t>Unconditioned Exterior AG Wall Area</t>
  </si>
  <si>
    <t>Exhaust Fan Parameters</t>
  </si>
  <si>
    <t>cfm/W**</t>
  </si>
  <si>
    <t>Local Exhaust</t>
  </si>
  <si>
    <t>Ventilation</t>
  </si>
  <si>
    <t>* @ 0.25" w.g. Static</t>
  </si>
  <si>
    <t>** ENERGY STAR MFHR Simulation Guidelines Version 1.0, Revision 02, Section 3.14.3</t>
  </si>
  <si>
    <t>Power Summary</t>
  </si>
  <si>
    <t>Peak Bldg Demand, Local Exhaust (kW)</t>
  </si>
  <si>
    <t>Load Schedule Correction Factor</t>
  </si>
  <si>
    <t>Annual Local Exhaust Fan Energy (kWh)</t>
  </si>
  <si>
    <t>Peak Bldg Demand, Ventilation (kW)</t>
  </si>
  <si>
    <t>Annual Cont Fan Energy (kWh)</t>
  </si>
  <si>
    <t>Peak Bldg Demand, Total (kW)</t>
  </si>
  <si>
    <t>Total - Load Schedule Correction Factor</t>
  </si>
  <si>
    <t>Annual Total Fan Energy (kWh)</t>
  </si>
  <si>
    <t>Check: within 2%?</t>
  </si>
  <si>
    <t>Flow Summary</t>
  </si>
  <si>
    <t>Local Exhaust Peak Flow</t>
  </si>
  <si>
    <t>ExhaustfanRef</t>
  </si>
  <si>
    <t>Exhaust Flow</t>
  </si>
  <si>
    <t>Total Peak Exhaust Flow</t>
  </si>
  <si>
    <t>Total Peak Exhaust, in ACH</t>
  </si>
  <si>
    <t>Net Infiltration Flow</t>
  </si>
  <si>
    <t>Ventilation (Whole-house fan) Peak Flow</t>
  </si>
  <si>
    <t>Minimal Conditions (no wind, local exhaust fans OFF)</t>
  </si>
  <si>
    <t>Area of that space</t>
  </si>
  <si>
    <t>knots</t>
  </si>
  <si>
    <t>Annual Average Infiltration</t>
  </si>
  <si>
    <t>MAX Space (wind-driven) infiltration:</t>
  </si>
  <si>
    <t>Wind-Driven Infiltration Flow</t>
  </si>
  <si>
    <t>Volume of that space</t>
  </si>
  <si>
    <t>ft3</t>
  </si>
  <si>
    <t>AVG Zone (net) OA infiltration:</t>
  </si>
  <si>
    <t>MAX local wind speed, per Hourly Report:</t>
  </si>
  <si>
    <t>&lt;-- Double click the space selected for area/volume</t>
  </si>
  <si>
    <t>Date</t>
  </si>
  <si>
    <t>CFM/unit</t>
  </si>
  <si>
    <t>Ventilation Rate</t>
  </si>
  <si>
    <t>Total Residential Area</t>
  </si>
  <si>
    <t>units</t>
  </si>
  <si>
    <t>Number of Residential Units</t>
  </si>
  <si>
    <t>Design CFM per unit</t>
  </si>
  <si>
    <t>ASHRAE 62.1 Min Ventilation Rate (1 bd, &lt; 1500 ft2)</t>
  </si>
  <si>
    <t/>
  </si>
  <si>
    <t>Workbook Version Info</t>
  </si>
  <si>
    <t>Building Type</t>
  </si>
  <si>
    <t>Update Author</t>
  </si>
  <si>
    <t>Update Notes</t>
  </si>
  <si>
    <t>SDS</t>
  </si>
  <si>
    <t>General clean Clean-up,
Interior wall assignment to 'unconditioned' spaces corrected
DHW and In-Unit Loads tabs have been updated to facilitate calc of both 360 and ESMFHR calculation methods.</t>
  </si>
  <si>
    <r>
      <t>This workbook was based on the template of file - '</t>
    </r>
    <r>
      <rPr>
        <b/>
        <sz val="11"/>
        <color theme="1"/>
        <rFont val="Calibri"/>
        <family val="2"/>
        <scheme val="minor"/>
      </rPr>
      <t>078_3266 Avalon_LEEDMFamCalcs.xlsx</t>
    </r>
    <r>
      <rPr>
        <sz val="11"/>
        <color theme="1"/>
        <rFont val="Calibri"/>
        <family val="2"/>
        <scheme val="minor"/>
      </rPr>
      <t>', placed in the same folder as of 05/08/2014.</t>
    </r>
  </si>
  <si>
    <t>`- Updates to Lighting Tabs and  Space Tabs, aggregation of data for LEED.
 - Updated MFAM Infiltration calculation method
 - Uwall/Floor Performance calculations</t>
  </si>
  <si>
    <t>Based on the Junction Flats and Irondale LEED CD phase submittal model workbook templates</t>
  </si>
  <si>
    <t>Based on the 14th and Republican CD phase Review response submittal model workbook template.</t>
  </si>
  <si>
    <t>*** Initial Commit to Repo ***
'IntLighting' tab - summary table updated
Updates to 'MFAM ExhFan-Inf' tab, 
System Efficiencies tabs updated</t>
  </si>
  <si>
    <t>Fan Flow</t>
  </si>
  <si>
    <t>Fan Flow Rate</t>
  </si>
  <si>
    <t>Ventilation Flow</t>
  </si>
  <si>
    <t xml:space="preserve">Total </t>
  </si>
  <si>
    <t>Parking Garage, Level P1</t>
  </si>
  <si>
    <t>No Co Sensors</t>
  </si>
  <si>
    <t>Ventilation  Flow Rate</t>
  </si>
  <si>
    <t>Area W/No Lighting</t>
  </si>
  <si>
    <t>Previous workbook updated</t>
  </si>
  <si>
    <t>- IntLighting tab: Additional formula added to lighting summary table cells M21:M43, to calculate area of the corresponding spaces with no proposed lighting.
- Formula in cells N21:N43 updated to deduct the area of the corresponding spaces that have no proposed lighting.
- Updated references in DHW loads tab, Occupant HW consumption and unit qty's
- Updated the commercial clothes washer loads/yr</t>
  </si>
  <si>
    <t>Qty Std Baths</t>
  </si>
  <si>
    <t>TakeOffs Ltg
Regular</t>
  </si>
  <si>
    <t xml:space="preserve">TakeOffs Ltg
Occ Sensor </t>
  </si>
  <si>
    <t>Plan TakeOffs Ltg
Regular</t>
  </si>
  <si>
    <t xml:space="preserve">Plan TakeOffs Ltg
Occ Sensor </t>
  </si>
  <si>
    <t>ELtgCountRef</t>
  </si>
  <si>
    <t>ExtLtgBaseline</t>
  </si>
  <si>
    <t>L1 Sq Ft</t>
  </si>
  <si>
    <t>L1 Perim</t>
  </si>
  <si>
    <t>Base Watts</t>
  </si>
  <si>
    <t>Prop Watts</t>
  </si>
  <si>
    <t>Base W/ft2</t>
  </si>
  <si>
    <t>Base W/ft</t>
  </si>
  <si>
    <t>Prop W/ft2</t>
  </si>
  <si>
    <t>Prop W/ft</t>
  </si>
  <si>
    <t>% Reduction</t>
  </si>
  <si>
    <t>Market St</t>
  </si>
  <si>
    <t>IronDale</t>
  </si>
  <si>
    <t xml:space="preserve">220 10th </t>
  </si>
  <si>
    <t>4743 Studios</t>
  </si>
  <si>
    <t>Traid12th</t>
  </si>
  <si>
    <t>Traid41st</t>
  </si>
  <si>
    <t>3266 Avalon</t>
  </si>
  <si>
    <r>
      <rPr>
        <b/>
        <sz val="11"/>
        <color theme="1"/>
        <rFont val="Calibri"/>
        <family val="2"/>
        <scheme val="minor"/>
      </rPr>
      <t>Int Ltg Tab:</t>
    </r>
    <r>
      <rPr>
        <sz val="11"/>
        <color theme="1"/>
        <rFont val="Calibri"/>
        <family val="2"/>
        <scheme val="minor"/>
      </rPr>
      <t xml:space="preserve"> Area W/No Lighting column updated (Formula copied down into all cells)</t>
    </r>
  </si>
  <si>
    <r>
      <rPr>
        <b/>
        <sz val="11"/>
        <color theme="1"/>
        <rFont val="Calibri"/>
        <family val="2"/>
        <scheme val="minor"/>
      </rPr>
      <t>Int Ltg Tab:</t>
    </r>
    <r>
      <rPr>
        <sz val="11"/>
        <color theme="1"/>
        <rFont val="Calibri"/>
        <family val="2"/>
        <scheme val="minor"/>
      </rPr>
      <t xml:space="preserve"> Columns for TakeOffs Ltg Regular, TakeOffs Ltg Occ Sensors  added (helps input Take-off LPD by Space Type into the model, accounting for reg and OS controlled LPD's)
</t>
    </r>
    <r>
      <rPr>
        <b/>
        <sz val="11"/>
        <color theme="1"/>
        <rFont val="Calibri"/>
        <family val="2"/>
        <scheme val="minor"/>
      </rPr>
      <t>Ltg ExtTakeoff's:</t>
    </r>
    <r>
      <rPr>
        <sz val="11"/>
        <color theme="1"/>
        <rFont val="Calibri"/>
        <family val="2"/>
        <scheme val="minor"/>
      </rPr>
      <t xml:space="preserve"> Switch added to toggle between 90.1 and WSEC baselines.
Formulae corrected to use the same ratio in the baseline for the night-only and 24hrs LPD as in the proposed design.</t>
    </r>
  </si>
  <si>
    <t>SmartExhaust calc added to the 'MFAM ExhFan-Inf' tab</t>
  </si>
  <si>
    <t>Tradable surfaces</t>
  </si>
  <si>
    <t>Non-Tradable surfaces</t>
  </si>
  <si>
    <t xml:space="preserve">TakeOffs Ltg
LPD with Occ Sensor </t>
  </si>
  <si>
    <t>Utility/ Submeters</t>
  </si>
  <si>
    <t>kWh/sf</t>
  </si>
  <si>
    <t>Stairs</t>
  </si>
  <si>
    <t>vvv Update to relevant systems/project vvv</t>
  </si>
  <si>
    <t>Updates to 'IntLighting' Tab (calcs for % better than LEED and SEC 2012 added)
Updates to 'Project Summary' and 'Spaces' tabs to track the installed EPD of the spaces.
'Ltg Schedule' tab - fixture count formulae corrected
'eQ const' tab updated.
'90.1 PTAC,PTHP Effi_COMM' added.</t>
  </si>
  <si>
    <t>Baseline Lighting Power
(Whole Building)</t>
  </si>
  <si>
    <t>Baseline Lighting Power
(Spc-By-Spc)</t>
  </si>
  <si>
    <t>Updated on:</t>
  </si>
  <si>
    <t>Status:</t>
  </si>
  <si>
    <t>Arch Unit Type</t>
  </si>
  <si>
    <t>Reference Unit Type</t>
  </si>
  <si>
    <t>Bedrooms</t>
  </si>
  <si>
    <t>In-unit Lighting Calculations</t>
  </si>
  <si>
    <t>Interior Lighting Calculations</t>
  </si>
  <si>
    <t>Ventilation Calculation</t>
  </si>
  <si>
    <t>Envelope Calculations</t>
  </si>
  <si>
    <t>Project Spaces</t>
  </si>
  <si>
    <t>Schedules</t>
  </si>
  <si>
    <t>Design Day Infiltration Correction.</t>
  </si>
  <si>
    <t>Wind Speed under Cooling Design Day (6.5 Knots)</t>
  </si>
  <si>
    <t>Wind Speed under Heating Design Day (13 Knots)</t>
  </si>
  <si>
    <t>Adjusted WindACH - CDD</t>
  </si>
  <si>
    <t>Adjusted WindACH - HDD</t>
  </si>
  <si>
    <t>MFAM Infiltration CDD (Ventilation+Wind Infiltration)</t>
  </si>
  <si>
    <t>MFAM Infiltration HDD (Ventilation+Wind Infiltration)</t>
  </si>
  <si>
    <t xml:space="preserve">Adjusted MFAM Inf CDD (Hourly value) </t>
  </si>
  <si>
    <t>eQuest Input</t>
  </si>
  <si>
    <t xml:space="preserve">Adjusted MFAM Inf HDD (Hourly value) </t>
  </si>
  <si>
    <t>vvv Make an hourly report for one specific apartment space/zone.  Tick these boxes: vvv</t>
  </si>
  <si>
    <t>Variable Type: Space; Local Wind Speed</t>
  </si>
  <si>
    <t>Variable Type: Space; Infiltration flowrate (cfm)</t>
  </si>
  <si>
    <t>Variable Type: Zone; Outdoor air infiltration rate</t>
  </si>
  <si>
    <t xml:space="preserve">Project Summary </t>
  </si>
  <si>
    <t>Space Areas</t>
  </si>
  <si>
    <t xml:space="preserve">Conditioned </t>
  </si>
  <si>
    <t xml:space="preserve">UnConditioned </t>
  </si>
  <si>
    <t>Energy Use Intensity</t>
  </si>
  <si>
    <t>EUI</t>
  </si>
  <si>
    <t>(kBtu/sf)</t>
  </si>
  <si>
    <t>Open to Below</t>
  </si>
  <si>
    <t>BuiltGreen</t>
  </si>
  <si>
    <t>G</t>
  </si>
  <si>
    <t>TT</t>
  </si>
  <si>
    <t>U</t>
  </si>
  <si>
    <t>WW</t>
  </si>
  <si>
    <t>YY</t>
  </si>
  <si>
    <t>OS notes (requirement)</t>
  </si>
  <si>
    <t>Proj:123; Updated by SDS</t>
  </si>
  <si>
    <t>FV-05-11VKS1</t>
  </si>
  <si>
    <t>Apartment Balcony Lighting</t>
  </si>
  <si>
    <t>SUB TOTAL WATTS</t>
  </si>
  <si>
    <t xml:space="preserve"> TOTAL WATTS</t>
  </si>
  <si>
    <t>Exhaust</t>
  </si>
  <si>
    <t>CodeVent Mult</t>
  </si>
  <si>
    <t>ExhVent Mult</t>
  </si>
  <si>
    <t>Design Inputs</t>
  </si>
  <si>
    <t>Minimum Req.</t>
  </si>
  <si>
    <t>Adjustments</t>
  </si>
  <si>
    <t>Simulated</t>
  </si>
  <si>
    <t>ForBalance</t>
  </si>
  <si>
    <t>Story Name</t>
  </si>
  <si>
    <t>Condg Type</t>
  </si>
  <si>
    <t>Space Function</t>
  </si>
  <si>
    <t>Dsgn</t>
  </si>
  <si>
    <t>Min</t>
  </si>
  <si>
    <t>Spec. Method</t>
  </si>
  <si>
    <t>Control</t>
  </si>
  <si>
    <t>Zone Eff (Ez)</t>
  </si>
  <si>
    <t>SysEff (Ev)</t>
  </si>
  <si>
    <t>Per Area</t>
  </si>
  <si>
    <t>Per Occupant</t>
  </si>
  <si>
    <t>Per Volume</t>
  </si>
  <si>
    <t>Per Space</t>
  </si>
  <si>
    <t>Calculated Flow (incl Mult and Ez)</t>
  </si>
  <si>
    <t>TARGET Flow (incl Mult and Ez)</t>
  </si>
  <si>
    <t>Calculated Flow</t>
  </si>
  <si>
    <t>Lab Exh Type</t>
  </si>
  <si>
    <t>Max Kitchen</t>
  </si>
  <si>
    <t>(ppl/1000ft2)</t>
  </si>
  <si>
    <t>(cfm/person)</t>
  </si>
  <si>
    <t>DirectlyConditioned</t>
  </si>
  <si>
    <t>Office - Open Plan</t>
  </si>
  <si>
    <t>Fixed</t>
  </si>
  <si>
    <t>UNDEFINED</t>
  </si>
  <si>
    <t>Unoccupied-Exclude from Gross Floor Area</t>
  </si>
  <si>
    <t>IAJ</t>
  </si>
  <si>
    <t>Initiated CBECC Specific MFAM Workbook</t>
  </si>
  <si>
    <t>Story</t>
  </si>
  <si>
    <t>Conditioning Type</t>
  </si>
  <si>
    <t>Unoccupied-Include in Gross Floor Area</t>
  </si>
  <si>
    <t>Conference/Meeting/Multipurpose</t>
  </si>
  <si>
    <t>Corridor/Transition</t>
  </si>
  <si>
    <t>Electrical/Mechanical</t>
  </si>
  <si>
    <t>Lounge/Recreation</t>
  </si>
  <si>
    <t>Office - Enclosed</t>
  </si>
  <si>
    <t>Restrooms</t>
  </si>
  <si>
    <t>Stairway</t>
  </si>
  <si>
    <t>Multifamily - Dwelling/Sleeping Units</t>
  </si>
  <si>
    <t>Parking Garage - Garage Area</t>
  </si>
  <si>
    <t>IndirectlyConditioned</t>
  </si>
  <si>
    <t xml:space="preserve">REFERENCE </t>
  </si>
  <si>
    <t>Occ Class</t>
  </si>
  <si>
    <t>360 Space Loads</t>
  </si>
  <si>
    <t>Reg Inst Pwr</t>
  </si>
  <si>
    <t>Reg Sim Pwr</t>
  </si>
  <si>
    <t>Reg Ltg Sch Hrs</t>
  </si>
  <si>
    <t>NonReg Sim Pwr</t>
  </si>
  <si>
    <t>NonReg Ltg Sch Hrs</t>
  </si>
  <si>
    <t>(Watts)</t>
  </si>
  <si>
    <t>(hrs.)</t>
  </si>
  <si>
    <t>360 Spc Type</t>
  </si>
  <si>
    <t>360 Bldg Occ</t>
  </si>
  <si>
    <t>360 HVAC Abv</t>
  </si>
  <si>
    <t>360 Level</t>
  </si>
  <si>
    <t>L02</t>
  </si>
  <si>
    <t>Mfam</t>
  </si>
  <si>
    <t>Corr</t>
  </si>
  <si>
    <t>Strs</t>
  </si>
  <si>
    <t>Lbby</t>
  </si>
  <si>
    <t>Lnge</t>
  </si>
  <si>
    <t>Ofce</t>
  </si>
  <si>
    <t>Fitn</t>
  </si>
  <si>
    <t>Rest</t>
  </si>
  <si>
    <t>Vest</t>
  </si>
  <si>
    <t>Prkg</t>
  </si>
  <si>
    <t>Mech</t>
  </si>
  <si>
    <t>Elev</t>
  </si>
  <si>
    <t>Asto</t>
  </si>
  <si>
    <t>Isto</t>
  </si>
  <si>
    <t>Trsh</t>
  </si>
  <si>
    <t>Open</t>
  </si>
  <si>
    <t>Loft</t>
  </si>
  <si>
    <t>Lounge</t>
  </si>
  <si>
    <t>Active Storage</t>
  </si>
  <si>
    <t>Inactive Storage</t>
  </si>
  <si>
    <t>90.1 Space Type</t>
  </si>
  <si>
    <t>LEED Area Classification</t>
  </si>
  <si>
    <t>Miscellaneous Electric Loads</t>
  </si>
  <si>
    <t>Major Appliance</t>
  </si>
  <si>
    <t>Total In Unit Electrical Loads</t>
  </si>
  <si>
    <t>Plug Loads</t>
  </si>
  <si>
    <t>Residential Unit Internal Load Calcs</t>
  </si>
  <si>
    <t>kWh/yr/unit</t>
  </si>
  <si>
    <t>L04</t>
  </si>
  <si>
    <t>L06</t>
  </si>
  <si>
    <t xml:space="preserve"> Space</t>
  </si>
  <si>
    <t>Envelope</t>
  </si>
  <si>
    <t xml:space="preserve"> Thermal Zone</t>
  </si>
  <si>
    <t>Reg Base Pwr</t>
  </si>
  <si>
    <t>Res Win Area</t>
  </si>
  <si>
    <t>Non Res Win Area</t>
  </si>
  <si>
    <t>Semi Cond Win Area</t>
  </si>
  <si>
    <t>Residential Unit ACTUAL Floor Area</t>
  </si>
  <si>
    <t>Residential Unit MODEL Floor Area</t>
  </si>
  <si>
    <t>Subtotals</t>
  </si>
  <si>
    <t>Total Number Bedrooms</t>
  </si>
  <si>
    <t>Total Number of Occupants</t>
  </si>
  <si>
    <t>Proposed Design</t>
  </si>
  <si>
    <t>Energy Star Refrigerator</t>
  </si>
  <si>
    <t>Non Energy Star Refrigerator</t>
  </si>
  <si>
    <t>423 kWh/yr</t>
  </si>
  <si>
    <t>529 kWh/yr</t>
  </si>
  <si>
    <t>Energy Star Dishwasher</t>
  </si>
  <si>
    <t>NonEnergyStar Dishwasher</t>
  </si>
  <si>
    <t>164 kWh/yr</t>
  </si>
  <si>
    <t>206 kWh/yr</t>
  </si>
  <si>
    <t>Energy Star In Unit Clothes Washer</t>
  </si>
  <si>
    <t>Non Energy Star In Unit Clothes Washer</t>
  </si>
  <si>
    <t>Energy Star Common Clothes Washer</t>
  </si>
  <si>
    <t>Non Energy Star Common  Clothes Washer</t>
  </si>
  <si>
    <t>Electric In Unit Clothes Dryer</t>
  </si>
  <si>
    <t xml:space="preserve">Electric Cooking Range </t>
  </si>
  <si>
    <t xml:space="preserve">Gas Cooking Range </t>
  </si>
  <si>
    <t>57 kWh/yr</t>
  </si>
  <si>
    <t>81 kWh/yr</t>
  </si>
  <si>
    <t>138 kWh/yr</t>
  </si>
  <si>
    <t>196 kWh/yr</t>
  </si>
  <si>
    <t>418+139*Nbr kWh/yr</t>
  </si>
  <si>
    <t>Gas In Unit Clothes Dryer (Gas)</t>
  </si>
  <si>
    <t>Gas In Unit Clothes Dryer (Electric)</t>
  </si>
  <si>
    <t>Gas Common  Clothes Washer (Electric)</t>
  </si>
  <si>
    <t>Gas Common  Clothes Washer (Gas)</t>
  </si>
  <si>
    <r>
      <t xml:space="preserve">1.05 kWh/yr/ft2 (finished floor area) </t>
    </r>
    <r>
      <rPr>
        <sz val="11"/>
        <rFont val="Open Sans Light"/>
        <family val="2"/>
      </rPr>
      <t> </t>
    </r>
  </si>
  <si>
    <t>Sensible Frac</t>
  </si>
  <si>
    <t>Latent Frac</t>
  </si>
  <si>
    <t>Quantity</t>
  </si>
  <si>
    <t>Total Energy (kWh/yr)</t>
  </si>
  <si>
    <t>Power Density (W/ft2)</t>
  </si>
  <si>
    <t>Sens Frac -&gt;&gt;</t>
  </si>
  <si>
    <t>Lat Frac -&gt;&gt;</t>
  </si>
  <si>
    <t>Baseline Design</t>
  </si>
  <si>
    <t>ft2 floor area - Finished Floor Area</t>
  </si>
  <si>
    <t>Residential Misc Loads</t>
  </si>
  <si>
    <t>Energy Star MFHR Guidelines Version 1 Revision 03 (Jan 2015)</t>
  </si>
  <si>
    <t>Detail</t>
  </si>
  <si>
    <t>Showerhead 1</t>
  </si>
  <si>
    <t>Ave Showerhead</t>
  </si>
  <si>
    <t>Lavatory 1</t>
  </si>
  <si>
    <t>Kitchen 1</t>
  </si>
  <si>
    <t>Average Faucet</t>
  </si>
  <si>
    <t>Total Number of Bathrooms</t>
  </si>
  <si>
    <t>Total Occupant Water Usage</t>
  </si>
  <si>
    <t>Energy Star In-Unit</t>
  </si>
  <si>
    <t>Non Energy Star In-Unit</t>
  </si>
  <si>
    <t>Energy Star Common</t>
  </si>
  <si>
    <t>Non Energy Star Common</t>
  </si>
  <si>
    <t>Energy Star</t>
  </si>
  <si>
    <t>Non Energy Star</t>
  </si>
  <si>
    <t>0.2*12,179 gallons/yr/washer</t>
  </si>
  <si>
    <t>0.2*5,637 gallons/yr/washer</t>
  </si>
  <si>
    <t>0.2*13,661 gallons/yr/washer</t>
  </si>
  <si>
    <t>0.2*29,515 gallons/yr/washer</t>
  </si>
  <si>
    <t>860 gallons/yr/washer</t>
  </si>
  <si>
    <t>1290 gallons/yr/washer</t>
  </si>
  <si>
    <t>Total Consumption (gal/yr)</t>
  </si>
  <si>
    <t>Peak Flow Rate (gpm)</t>
  </si>
  <si>
    <t>Sch FLH (hrs.yr)</t>
  </si>
  <si>
    <t>Tot Consump (gal/yr)</t>
  </si>
  <si>
    <t>Peak Flow (gpm)</t>
  </si>
  <si>
    <t>gallons/yr/ washer</t>
  </si>
  <si>
    <t>proposed fixture gpm</t>
  </si>
  <si>
    <t>Gal/Occ/Day -&gt;&gt;</t>
  </si>
  <si>
    <t>Occupant DHW Loads</t>
  </si>
  <si>
    <t>Appliance DHW Loads</t>
  </si>
  <si>
    <t>Total Appliance DHW Loads</t>
  </si>
  <si>
    <t>Total DHW Consumption/Load -&gt;&gt;&gt;</t>
  </si>
  <si>
    <t>Total Misc Elec Consumption/Load -&gt;&gt;&gt;</t>
  </si>
  <si>
    <t>Total Ventilation</t>
  </si>
  <si>
    <t>Areas</t>
  </si>
  <si>
    <t>Total Corridor HVAC</t>
  </si>
  <si>
    <t>SpcFunc</t>
  </si>
  <si>
    <t>FT</t>
  </si>
  <si>
    <t>Unoccupied-Exclude</t>
  </si>
  <si>
    <t>kWh/ft2</t>
  </si>
  <si>
    <t>ResidentialLivingReceptacle</t>
  </si>
  <si>
    <t>Residential CommonReceptacle</t>
  </si>
  <si>
    <t>OfficeReceptacle</t>
  </si>
  <si>
    <t>ParkingReceptacle</t>
  </si>
  <si>
    <t>On</t>
  </si>
  <si>
    <t>VFD with CO sensors.</t>
  </si>
  <si>
    <t>person/1000 ft2</t>
  </si>
  <si>
    <t>Peak Flow Rate
(gal/hr/occ)</t>
  </si>
  <si>
    <t>Total DHW Energy -&gt;&gt;&gt;</t>
  </si>
  <si>
    <t>from EaP2-4 html file</t>
  </si>
  <si>
    <t>Difference</t>
  </si>
  <si>
    <t>Specific Mass Water</t>
  </si>
  <si>
    <t>Specific Heat Water</t>
  </si>
  <si>
    <t>lbm/gal</t>
  </si>
  <si>
    <t>Btu/lbm-°F</t>
  </si>
  <si>
    <t>Showerhead 2 - ADA</t>
  </si>
  <si>
    <t>Lavatory 2 - ADA</t>
  </si>
  <si>
    <t>Kitchen 2 -ADA</t>
  </si>
  <si>
    <t>Res floor area</t>
  </si>
  <si>
    <t xml:space="preserve">Occupants </t>
  </si>
  <si>
    <t>Occ dens</t>
  </si>
  <si>
    <t>gal/sf</t>
  </si>
  <si>
    <t>therms/pers</t>
  </si>
  <si>
    <t>base</t>
  </si>
  <si>
    <t>prop</t>
  </si>
  <si>
    <t>Water Heating Energy -&gt;&gt;&gt;</t>
  </si>
  <si>
    <t>Standby Loss Energy -&gt;&gt;&gt;</t>
  </si>
  <si>
    <t>Standby Loss</t>
  </si>
  <si>
    <t>Tank Vol</t>
  </si>
  <si>
    <t>gal</t>
  </si>
  <si>
    <t>Fantech</t>
  </si>
  <si>
    <t>Res-associated</t>
  </si>
  <si>
    <t>Coml</t>
  </si>
  <si>
    <t>C406.3</t>
  </si>
  <si>
    <t>C406.5</t>
  </si>
  <si>
    <t>Onsite Renewable Energy</t>
  </si>
  <si>
    <t>Area Type</t>
  </si>
  <si>
    <t>Multifamily Residential</t>
  </si>
  <si>
    <t>$/Watt</t>
  </si>
  <si>
    <t>$</t>
  </si>
  <si>
    <t>kBtu</t>
  </si>
  <si>
    <t>Adj Occ Sens LPD</t>
  </si>
  <si>
    <t>Adj Tot LPD</t>
  </si>
  <si>
    <t>Non Occ Sens LPD</t>
  </si>
  <si>
    <t>Project Specific Calculation</t>
  </si>
  <si>
    <t>L5</t>
  </si>
  <si>
    <t>Electric Common Clothes Dryer</t>
  </si>
  <si>
    <t>1,013+337*Nbr kWh/yr</t>
  </si>
  <si>
    <t>ESMFHRReceptacle</t>
  </si>
  <si>
    <t>Bedroom #</t>
  </si>
  <si>
    <t>38 + 12.7*Nbr kWh/yr</t>
  </si>
  <si>
    <t>26.5+8.8*Nbr therms/yr</t>
  </si>
  <si>
    <t>92 + 30.8*Nbr kWh/yr</t>
  </si>
  <si>
    <t>61 + 21.3*Nbr therms/yr</t>
  </si>
  <si>
    <t>Weighted kW</t>
  </si>
  <si>
    <t>Weighted Total Power:</t>
  </si>
  <si>
    <t>Weighted CFM</t>
  </si>
  <si>
    <t>Weighted Total Ventilation:</t>
  </si>
  <si>
    <t>CFM/sf</t>
  </si>
  <si>
    <t>Fan:PwrIdx:</t>
  </si>
  <si>
    <t>W/CFM</t>
  </si>
  <si>
    <t>Saving:</t>
  </si>
  <si>
    <t>CBECC-Com Inputs:</t>
  </si>
  <si>
    <t>Model Output:</t>
  </si>
  <si>
    <t>Annual Fan Energy Consumption:</t>
  </si>
  <si>
    <t>Hand-Cal:</t>
  </si>
  <si>
    <t>Diff %</t>
  </si>
  <si>
    <t>Weighted ACH:</t>
  </si>
  <si>
    <t>PTAC System Supply</t>
  </si>
  <si>
    <t>Local Exh</t>
  </si>
  <si>
    <t>Assigned Space:</t>
  </si>
  <si>
    <t>Spc:CommRfrgEPD:</t>
  </si>
  <si>
    <t>Spc:BaseCommRfrgEPD:</t>
  </si>
  <si>
    <t>Spc:Area:</t>
  </si>
  <si>
    <t>Ventilation Inputs:</t>
  </si>
  <si>
    <t>Local Exh Fan Inputs:</t>
  </si>
  <si>
    <t>Spc:CommRfrgEqpSchRef:</t>
  </si>
  <si>
    <t>Spc:BaseCommRfrgEqpSchRef:</t>
  </si>
  <si>
    <t>Hot Water Temp</t>
  </si>
  <si>
    <t>W</t>
  </si>
  <si>
    <t>Mains Water Temp</t>
  </si>
  <si>
    <t>Standby Loss Frac</t>
  </si>
  <si>
    <t>frac</t>
  </si>
  <si>
    <t>Num WH</t>
  </si>
  <si>
    <t>Thermal Efficiency</t>
  </si>
  <si>
    <t>W/K</t>
  </si>
  <si>
    <t>Btu/h -&gt; W</t>
  </si>
  <si>
    <t>W/(Bth/h)</t>
  </si>
  <si>
    <t>°F -&gt; °K</t>
  </si>
  <si>
    <t>°F/°K</t>
  </si>
  <si>
    <t>Mains Water Temp Sch</t>
  </si>
  <si>
    <t>Temp °C</t>
  </si>
  <si>
    <t>Temp °F</t>
  </si>
  <si>
    <t>Days</t>
  </si>
  <si>
    <t>Jan</t>
  </si>
  <si>
    <t>Feb</t>
  </si>
  <si>
    <t>Mar</t>
  </si>
  <si>
    <t>Apr</t>
  </si>
  <si>
    <t>May</t>
  </si>
  <si>
    <t>Jun</t>
  </si>
  <si>
    <t>Jul</t>
  </si>
  <si>
    <t>Aug</t>
  </si>
  <si>
    <t>Sep</t>
  </si>
  <si>
    <t>Oct</t>
  </si>
  <si>
    <t>Nov</t>
  </si>
  <si>
    <t>Dec</t>
  </si>
  <si>
    <t>Class</t>
  </si>
  <si>
    <t>Hydraulic
(1-6 stories)</t>
  </si>
  <si>
    <t>Geared Traction
(7-20 stories)</t>
  </si>
  <si>
    <t>Gearless Traction
(21+ stories)</t>
  </si>
  <si>
    <t>1: Up to 6 Dwelling Units</t>
  </si>
  <si>
    <t>(MWh)</t>
  </si>
  <si>
    <t>2: 7 to 20 Dwelling Units</t>
  </si>
  <si>
    <t>3: 21 to 50 Dwelling Units</t>
  </si>
  <si>
    <t>4: More than 50 Dwelling Units</t>
  </si>
  <si>
    <t>Dwelling Units #:</t>
  </si>
  <si>
    <t>Story:</t>
  </si>
  <si>
    <t>Elevator Loads:</t>
  </si>
  <si>
    <t>MWh</t>
  </si>
  <si>
    <t>Elevator Count:</t>
  </si>
  <si>
    <t>CBECC Default</t>
  </si>
  <si>
    <t>W/elevator</t>
  </si>
  <si>
    <t>Elevator Sch</t>
  </si>
  <si>
    <t>Hrs/day</t>
  </si>
  <si>
    <t>Effective # Bdrms</t>
  </si>
  <si>
    <t>L06-09_StrsRaccIncd</t>
  </si>
  <si>
    <t>s</t>
  </si>
  <si>
    <t>Laundry Fan</t>
  </si>
  <si>
    <t>Loss Frac -&gt;&gt;</t>
  </si>
  <si>
    <t>Fuel Type:</t>
  </si>
  <si>
    <t>Fuel Type</t>
  </si>
  <si>
    <t>Gas</t>
  </si>
  <si>
    <t>Elec</t>
  </si>
  <si>
    <t>Unit</t>
  </si>
  <si>
    <t>Therms</t>
  </si>
  <si>
    <t>Room Description</t>
  </si>
  <si>
    <r>
      <rPr>
        <b/>
        <sz val="11"/>
        <rFont val="Calibri"/>
        <family val="2"/>
        <scheme val="minor"/>
      </rPr>
      <t>Az</t>
    </r>
    <r>
      <rPr>
        <sz val="11"/>
        <rFont val="Calibri"/>
        <family val="2"/>
        <scheme val="minor"/>
      </rPr>
      <t xml:space="preserve"> 
(Area)</t>
    </r>
  </si>
  <si>
    <t>Occ. Dens/1000</t>
  </si>
  <si>
    <r>
      <rPr>
        <b/>
        <sz val="11"/>
        <rFont val="Calibri"/>
        <family val="2"/>
        <scheme val="minor"/>
      </rPr>
      <t>Pz</t>
    </r>
    <r>
      <rPr>
        <sz val="11"/>
        <rFont val="Calibri"/>
        <family val="2"/>
        <scheme val="minor"/>
      </rPr>
      <t xml:space="preserve">
no. of Occ.</t>
    </r>
  </si>
  <si>
    <t xml:space="preserve">Ra </t>
  </si>
  <si>
    <t>Rp</t>
  </si>
  <si>
    <t>Vbz</t>
  </si>
  <si>
    <t>Ez</t>
  </si>
  <si>
    <t>Voz</t>
  </si>
  <si>
    <t>p/1000ft2</t>
  </si>
  <si>
    <t>cfm/p</t>
  </si>
  <si>
    <t>Recommended LPD</t>
  </si>
  <si>
    <t>&lt;- WSEC adjustment</t>
  </si>
  <si>
    <t>End Uses By Subcategory</t>
  </si>
  <si>
    <t>QC: RCG - 02/07/2018</t>
  </si>
  <si>
    <t>Rev: r57</t>
  </si>
  <si>
    <t>&lt;- htm report, End Uses By Subcategory</t>
  </si>
  <si>
    <t>General Information</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</si>
  <si>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</si>
  <si>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Additional Notes (Optional):</t>
  </si>
  <si>
    <t>LEED Project ID #</t>
  </si>
  <si>
    <t>LEED Project Name</t>
  </si>
  <si>
    <t>Views on Fifth - Tower</t>
  </si>
  <si>
    <t>Rating system</t>
  </si>
  <si>
    <t>LEED v4 BD+C: Multifamily Midrise</t>
  </si>
  <si>
    <t>Homes</t>
  </si>
  <si>
    <t>Unit of measurement</t>
  </si>
  <si>
    <t>IP units</t>
  </si>
  <si>
    <t>IP</t>
  </si>
  <si>
    <t xml:space="preserve"> (IP)</t>
  </si>
  <si>
    <t>Note: The selections above must match the rating system and unit of measurement chosen during project registration.</t>
  </si>
  <si>
    <t>Percent new construction (%)*</t>
  </si>
  <si>
    <t>Percent renovation/existing (%)*</t>
  </si>
  <si>
    <t>* Percentage based on  floor area</t>
  </si>
  <si>
    <t>Project has multiple buildings?</t>
  </si>
  <si>
    <t>Conditioned building area (sq ft)</t>
  </si>
  <si>
    <t>Unconditioned building area (sq ft)</t>
  </si>
  <si>
    <t>Total building area (sq ft)</t>
  </si>
  <si>
    <t>Project has residential Dwelling Units?</t>
  </si>
  <si>
    <t>Number of floors</t>
  </si>
  <si>
    <t>Energy Model Information</t>
  </si>
  <si>
    <t>Energy modeler</t>
  </si>
  <si>
    <t>Energy model based on</t>
  </si>
  <si>
    <t>Please describe the phase in which the Energy model is based on</t>
  </si>
  <si>
    <t>Simulation program</t>
  </si>
  <si>
    <t>Energy code used</t>
  </si>
  <si>
    <t>FALSE</t>
  </si>
  <si>
    <t xml:space="preserve">Simulation weather file </t>
  </si>
  <si>
    <t>Climate zone</t>
  </si>
  <si>
    <t>ASHRAE 90.1 Addenda used in the energy model(s), if any.  Addenda are not required to be used for the project. However, each addenda must be used in its entirety if applied to the project, and must be consistent across all relevant LEED Credits.</t>
  </si>
  <si>
    <t>Compliant energy simulation software. The energy simulation software used for this project has all capabilities described in EITHER section "G2 Simulation General Requirements" in Appendix G of ASHRAE 90.1-2010 OR the analogous section of the alternative qualifying energy code used.</t>
  </si>
  <si>
    <t>Compliant energy modeling methodology.   Energy simulation runs for both the baseline and proposed use the assumptions and modeling methodology described in EITHER ASHRAE 90.1-2010 Appendix G OR the analogous section of the alternative qualifying energy code used.</t>
  </si>
  <si>
    <t>District Energy Systems</t>
  </si>
  <si>
    <t xml:space="preserve">The project is connected to a district or campus thermal energy system. For projects connected to a district or campus thermal energy system where thermal energy is produced for or distributed to multiple buildings, complete the applicable fields below. </t>
  </si>
  <si>
    <t>The district energy system includes (select all that apply)</t>
  </si>
  <si>
    <t>Select how the district energy system has been modeled (see Definitions Tab)</t>
  </si>
  <si>
    <t>For DES Paths 2 or 3, identify the method for evaluating the district plant average efficiency.</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</si>
  <si>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</si>
  <si>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Rating System Variation</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</si>
  <si>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</si>
  <si>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</si>
  <si>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Data Center Avg.</t>
  </si>
  <si>
    <t>Data Center</t>
  </si>
  <si>
    <t>Unfinished Spaces</t>
  </si>
  <si>
    <t>Select how any unfinished spaces have been modeled</t>
  </si>
  <si>
    <t>Refer to the Teant Lease and Sales Agreement section of the LEED Reference Guide. Upload all required documentation to substantiate the savings claimed for the unfinished spaces.</t>
  </si>
  <si>
    <t>Multifamily Home Details</t>
  </si>
  <si>
    <t xml:space="preserve">Complete the table for each building in the project.  Input the number of units and the average floor area for units with the corresponding bedroom number. </t>
  </si>
  <si>
    <t>Building Unit summary</t>
  </si>
  <si>
    <t>Building ID</t>
  </si>
  <si>
    <t>1 Bedroom</t>
  </si>
  <si>
    <t>2 Bedrooms</t>
  </si>
  <si>
    <t>3 Bedrooms</t>
  </si>
  <si>
    <t>4 Bedrooms</t>
  </si>
  <si>
    <t>5 Bedrooms</t>
  </si>
  <si>
    <t>6 Bedrooms</t>
  </si>
  <si>
    <t>7 Bedrooms</t>
  </si>
  <si>
    <t>8 Bedrooms</t>
  </si>
  <si>
    <t>Average Floor Area (sq ft)</t>
  </si>
  <si>
    <t>S_Unit</t>
  </si>
  <si>
    <t>S_Area</t>
  </si>
  <si>
    <t>1B_Unit</t>
  </si>
  <si>
    <t>1B_Area</t>
  </si>
  <si>
    <t>2B_Unit</t>
  </si>
  <si>
    <t>2B_Area</t>
  </si>
  <si>
    <t>3B_Unit</t>
  </si>
  <si>
    <t>3B_Area</t>
  </si>
  <si>
    <t>4B_Unit</t>
  </si>
  <si>
    <t>4B_Area</t>
  </si>
  <si>
    <t>5B_Unit</t>
  </si>
  <si>
    <t>5B_Area</t>
  </si>
  <si>
    <t>6B_Unit</t>
  </si>
  <si>
    <t>6B_Area</t>
  </si>
  <si>
    <t>7B_Unit</t>
  </si>
  <si>
    <t>7B_Area</t>
  </si>
  <si>
    <t>8B_Unit</t>
  </si>
  <si>
    <t>8B_Area</t>
  </si>
  <si>
    <t>Total number of units</t>
  </si>
  <si>
    <t>Total number of bedrooms</t>
  </si>
  <si>
    <t>Total Area of Dwelling Units (square feet)</t>
  </si>
  <si>
    <t>Average Number of Bedrooms Per Unit</t>
  </si>
  <si>
    <t>Average Floor Area Per Unit (square feet)</t>
  </si>
  <si>
    <t>Average Floor Area Per Unit for Reference Building (square feet)</t>
  </si>
  <si>
    <t>Point Adjustment (1 point credit per 4% reduction in floor area versus reference; 1 point deduction per 4% increase in floor area versus reference).</t>
  </si>
  <si>
    <t>Total Number of Units</t>
  </si>
  <si>
    <t>Total Number of Bedrroms</t>
  </si>
  <si>
    <t>Average Floor Area per Unit (square feet)</t>
  </si>
  <si>
    <t>Homes Dwelling Unit Equipment Calculator</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</si>
  <si>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</si>
  <si>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Load Source</t>
  </si>
  <si>
    <t>Quantity (or sum total fan volume [cfm] for fans)</t>
  </si>
  <si>
    <t>Energy Star Eqp?</t>
  </si>
  <si>
    <t>Average bedrooms per dwelling unit</t>
  </si>
  <si>
    <t>Electric Loads</t>
  </si>
  <si>
    <t>Natural Gas Loads</t>
  </si>
  <si>
    <t>Annual Service Hot Water Load (gallons/year)</t>
  </si>
  <si>
    <t>Annual Consumption (kWh/year)</t>
  </si>
  <si>
    <t>Sensible Ratio</t>
  </si>
  <si>
    <t>Latent Ratio</t>
  </si>
  <si>
    <t>Annual Consumption (therms/year)</t>
  </si>
  <si>
    <t>Baseline Per Equipment</t>
  </si>
  <si>
    <t>Proposed Per Equipment</t>
  </si>
  <si>
    <t>Baseline Total</t>
  </si>
  <si>
    <t>Proposed Total</t>
  </si>
  <si>
    <t>Load_Source</t>
  </si>
  <si>
    <t>Energy_Star</t>
  </si>
  <si>
    <t>Avg_Bedrooms_DU</t>
  </si>
  <si>
    <t>Blank1</t>
  </si>
  <si>
    <t>Base_Elec_Consumption</t>
  </si>
  <si>
    <t>Design_Elec_Consumption</t>
  </si>
  <si>
    <t>Elec_Sens_Ratio</t>
  </si>
  <si>
    <t>Elec_Latent_Ratio</t>
  </si>
  <si>
    <t>Blank2</t>
  </si>
  <si>
    <t>Base_Ng_Consumption</t>
  </si>
  <si>
    <t>Design_Ng_Consumption</t>
  </si>
  <si>
    <t>NG_Sens_Ratio</t>
  </si>
  <si>
    <t>NG_Latent_Ratio</t>
  </si>
  <si>
    <t>Blank3</t>
  </si>
  <si>
    <t>Base_DHW_Equip</t>
  </si>
  <si>
    <t>Design_DHW_Equip</t>
  </si>
  <si>
    <t>Base_DHW_Annual</t>
  </si>
  <si>
    <t>Design_DHW_Annual</t>
  </si>
  <si>
    <t>Homes Dwelling Unit Equipment Modeling Summary</t>
  </si>
  <si>
    <t>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t>
  </si>
  <si>
    <t>Equivalent Full Load Hours of Dwelling Unit Miscellaneous Equipment Operation Per Year</t>
  </si>
  <si>
    <t>Electric Miscellaneous Loads in Dwelling Unit (including appliances and equipment listed above)</t>
  </si>
  <si>
    <t>Natural Gas Miscellaneous Loads in Dwelling Unit (including appliances and equipment listed above)</t>
  </si>
  <si>
    <t>Dwelling Unit Equipment Hot Water Loads (gallons/year)</t>
  </si>
  <si>
    <t>Equipment Power Density (Watts/ sq ft)</t>
  </si>
  <si>
    <t>Equipment Power Density (Btu/ sq ft)</t>
  </si>
  <si>
    <t>EFLH</t>
  </si>
  <si>
    <t>Total_Area</t>
  </si>
  <si>
    <t>Base_EPD_Elecric</t>
  </si>
  <si>
    <t>Base_Elec_Sens_Ratio</t>
  </si>
  <si>
    <t>Base_Elec_Latent_Ratio</t>
  </si>
  <si>
    <t>Prop_EPD_Elecric</t>
  </si>
  <si>
    <t>Prop_Elec_Sens_Ratio</t>
  </si>
  <si>
    <t>Prop_Elec_Latent_Ratio</t>
  </si>
  <si>
    <t>Base_Ng_EPD</t>
  </si>
  <si>
    <t>Base_Ng_Sens_Ratio</t>
  </si>
  <si>
    <t>Base_Ng_Latent_Ratio</t>
  </si>
  <si>
    <t>Prop_Ng_EPD</t>
  </si>
  <si>
    <t>Prop_Ng_Sens_Ratio</t>
  </si>
  <si>
    <t>Prop_Ng_Latent_Ratio</t>
  </si>
  <si>
    <t>Base_HW_Loads</t>
  </si>
  <si>
    <t>Proposed_HW_Loads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</si>
  <si>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</si>
  <si>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</si>
  <si>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</si>
  <si>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</si>
  <si>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</si>
  <si>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B</t>
  </si>
  <si>
    <t>Homes Laundry Room Equipment Modeling Summary</t>
  </si>
  <si>
    <t>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t>
  </si>
  <si>
    <t>Total Area of Laundry Rooms (square feet)</t>
  </si>
  <si>
    <t>Electric Loads in Laundry Room (including appliances and equipment listed above)</t>
  </si>
  <si>
    <t>Natural Gas Loads in Laundry Room (including appliances and equipment listed above)</t>
  </si>
  <si>
    <t>Laundry Room Equipment Hot Water Loads (gallons/year)</t>
  </si>
  <si>
    <t>Homes Service Water Heating Load Summary</t>
  </si>
  <si>
    <t>Residential Usage Profile Dependent on Project Demographics</t>
  </si>
  <si>
    <t>Baseline Residential Usage per person
Excluding Clothes / Dish Washers</t>
  </si>
  <si>
    <t>Low</t>
  </si>
  <si>
    <t>Demographics such as all occupants working, seniors, middle income, and higher population density.</t>
  </si>
  <si>
    <t>gallons/day</t>
  </si>
  <si>
    <t>Medium</t>
  </si>
  <si>
    <t>Demographics such as mixture of working / non-working occupants, mixture of age groups, medium population densities.</t>
  </si>
  <si>
    <t>High</t>
  </si>
  <si>
    <t>Demographics such high percentages of children, low income, public assistance, or no occupants working.</t>
  </si>
  <si>
    <t>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t>
  </si>
  <si>
    <t>Residential Usage Profile</t>
  </si>
  <si>
    <t>Average Fixture Flows (gallons/minute)</t>
  </si>
  <si>
    <t>DHW Temperature Settings (degrees F)</t>
  </si>
  <si>
    <t>DHW Sink and Shower Fixture Loads at Point of Use (gallons / year)</t>
  </si>
  <si>
    <t>DHW In-Unit Appliance Loads at Point of Use (gallons / year)</t>
  </si>
  <si>
    <t>DHW Laundry Room Equipment Loads at Point of Use (gallons / year)</t>
  </si>
  <si>
    <t>DHW Total Residential Loads at Point of Use (gallons / year)</t>
  </si>
  <si>
    <t>DHW Total Residential Loads at DHW Heater (gallons / year)</t>
  </si>
  <si>
    <t>DHW Equivalent Full Load Hours of Operation</t>
  </si>
  <si>
    <t>DHW Modeled Peak Residential Flow at DHW Heater (gallons / minute)</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</si>
  <si>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</si>
  <si>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</si>
  <si>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</si>
  <si>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</si>
  <si>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</si>
  <si>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</si>
  <si>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</si>
  <si>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</si>
  <si>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</si>
  <si>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</si>
  <si>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</si>
  <si>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</si>
  <si>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</si>
  <si>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</si>
  <si>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</si>
  <si>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</si>
  <si>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</si>
  <si>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</si>
  <si>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</si>
  <si>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</si>
  <si>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</si>
  <si>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</si>
  <si>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</si>
  <si>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</si>
  <si>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</si>
  <si>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Average Area</t>
  </si>
  <si>
    <t>Open Bedroom</t>
  </si>
  <si>
    <t>Area x Flr_Multi</t>
  </si>
  <si>
    <t>Volume x Flr_Multi</t>
  </si>
  <si>
    <t>VentSys</t>
  </si>
  <si>
    <t>None</t>
  </si>
  <si>
    <t>NoVentilation</t>
  </si>
  <si>
    <t>Proj:283; Updated by GA</t>
  </si>
  <si>
    <t>Base Vent Alllow</t>
  </si>
  <si>
    <t>CondgType</t>
  </si>
  <si>
    <t>ThermalZn</t>
  </si>
  <si>
    <t>OccDens</t>
  </si>
  <si>
    <t>Ra</t>
  </si>
  <si>
    <t>Direct Ventilaton</t>
  </si>
  <si>
    <t>Indirect Ventilation</t>
  </si>
  <si>
    <t>Verify</t>
  </si>
  <si>
    <t>Addl DESIGN Exh</t>
  </si>
  <si>
    <t>Exh</t>
  </si>
  <si>
    <t>Ppl/1000ft2</t>
  </si>
  <si>
    <t>P1 East</t>
  </si>
  <si>
    <t>Vestibule (prkg garage elev lobby)</t>
  </si>
  <si>
    <t>Base Space Function Default Inputs</t>
  </si>
  <si>
    <t>Az 
(Area)</t>
  </si>
  <si>
    <t>Pz
no. of Occ.</t>
  </si>
  <si>
    <t>Input</t>
  </si>
  <si>
    <t>cfm/ft</t>
  </si>
  <si>
    <t>Trxf</t>
  </si>
  <si>
    <t>Calculated in "MFAM ExhFan-Inf NEW!" Tab</t>
  </si>
  <si>
    <t xml:space="preserve">Intermittant, and per WC/urinal (50 cfm/ft if continuous) </t>
  </si>
  <si>
    <t>0.06 ONLY for asto &gt;100</t>
  </si>
  <si>
    <t>Ofco</t>
  </si>
  <si>
    <t>multipurpose assembly</t>
  </si>
  <si>
    <t>LDH</t>
  </si>
  <si>
    <t>Save New Template for CBECC workbook</t>
  </si>
  <si>
    <t>ESTAR Elevator Loads Calculation</t>
  </si>
  <si>
    <t>P01</t>
  </si>
  <si>
    <t>Gymnasium/Fitness Center - Fitness Area 0.72 4</t>
  </si>
  <si>
    <t>L02-05_MechRaccIncd</t>
  </si>
  <si>
    <t>Thermal Zone: L02-06_CorrRaccSphp</t>
  </si>
  <si>
    <t>L02-06_CorrRaccSphp</t>
  </si>
  <si>
    <t>L02-07_ShftRaccIncd</t>
  </si>
  <si>
    <t>L02-08_StrsRaccIncd</t>
  </si>
  <si>
    <t>L02-09_ElevRaccIncd</t>
  </si>
  <si>
    <t>L02-14_StrsRaccIncd</t>
  </si>
  <si>
    <t>L04-05_MechRaccIncd</t>
  </si>
  <si>
    <t>Thermal Zone: L04-06_CorrRaccSphp</t>
  </si>
  <si>
    <t>L04-06_CorrRaccSphp</t>
  </si>
  <si>
    <t>L04-07_ShftRaccIncd</t>
  </si>
  <si>
    <t>L04-08_StrsRaccIncd</t>
  </si>
  <si>
    <t>L04-09_ElevRaccIncd</t>
  </si>
  <si>
    <t>L04-14_StrsRaccIncd</t>
  </si>
  <si>
    <t>L06-05_MechRaccIncd</t>
  </si>
  <si>
    <t>Thermal Zone: L06-07_CorrRaccSphp</t>
  </si>
  <si>
    <t>L06-07_CorrRaccSphp</t>
  </si>
  <si>
    <t>L06-08_ShftRaccIncd</t>
  </si>
  <si>
    <t>L06-10_ElevRaccIncd</t>
  </si>
  <si>
    <t>L06-15_StrsRaccIncd</t>
  </si>
  <si>
    <t>ZnSys_ResExhaust</t>
  </si>
  <si>
    <t>ZnSys_ResExhaust-3</t>
  </si>
  <si>
    <t>ZnSys_ResExhaust-4</t>
  </si>
  <si>
    <t>ZnSys_ResExhaust-5</t>
  </si>
  <si>
    <t>ZnSys_ResExhaust-6</t>
  </si>
  <si>
    <t>RTU-1/2</t>
  </si>
  <si>
    <t>ZnSys_ResExhaust-7</t>
  </si>
  <si>
    <t>ZnSys_ResExhaust-8</t>
  </si>
  <si>
    <t>ZnSys_ResExhaust-9</t>
  </si>
  <si>
    <t>ZnSys_ResExhaust-10</t>
  </si>
  <si>
    <t>ZnSys_ResExhaust-11</t>
  </si>
  <si>
    <t>ZnSys_ResExhaust-12</t>
  </si>
  <si>
    <t>ZnSys_ResExhaust-13</t>
  </si>
  <si>
    <t>ZnSys_ResExhaust-14</t>
  </si>
  <si>
    <t>ZnSys_ResExhaust-15</t>
  </si>
  <si>
    <t>ZnSys_ResExhaust-16</t>
  </si>
  <si>
    <t>ZnSys_ResExhaust-17</t>
  </si>
  <si>
    <t>ZnSys_ResExhaust-18</t>
  </si>
  <si>
    <t>ZnSys_ResExhaust-19</t>
  </si>
  <si>
    <t>ZnSys_ResExhaust-20</t>
  </si>
  <si>
    <t>ZnSys_ResExhaust-21</t>
  </si>
  <si>
    <t>ZnSys_ResExhaust-22</t>
  </si>
  <si>
    <t>ZnSys_ResExhaust-23</t>
  </si>
  <si>
    <t>ZnSys_ResExhaust-24</t>
  </si>
  <si>
    <t>ZnSys_ResExhaust-25</t>
  </si>
  <si>
    <t>ZnSys_ResExhaust-26</t>
  </si>
  <si>
    <t>Design total Ventilation</t>
  </si>
  <si>
    <t>Shop</t>
  </si>
  <si>
    <t>Shft</t>
  </si>
  <si>
    <t>Shaft</t>
  </si>
  <si>
    <t>Transformer</t>
  </si>
  <si>
    <t>Util</t>
  </si>
  <si>
    <t>Unspecified classification</t>
  </si>
  <si>
    <t>Conditioned Flr Area x FlrMult</t>
  </si>
  <si>
    <t>Unconditioned Flr Area x FlrMult</t>
  </si>
  <si>
    <t>Receptacle Check</t>
  </si>
  <si>
    <t>Spc Misc:</t>
  </si>
  <si>
    <t>MWh/cab</t>
  </si>
  <si>
    <t>In-unit Local Exh Fan:</t>
  </si>
  <si>
    <t>Common Fan:</t>
  </si>
  <si>
    <t>Total Misc End-use:</t>
  </si>
  <si>
    <t>Energy Model Simulation Result Check</t>
  </si>
  <si>
    <t>Eap2-4/5 Receptacle Equipment:</t>
  </si>
  <si>
    <t>Prop Receptacle</t>
  </si>
  <si>
    <t>Base Receptacle</t>
  </si>
  <si>
    <t>Prop</t>
  </si>
  <si>
    <t>Receptacle_Prop</t>
  </si>
  <si>
    <t>(kWh/ft2)</t>
  </si>
  <si>
    <t>Receptacle_Base</t>
  </si>
  <si>
    <t>Receptacle End-use</t>
  </si>
  <si>
    <t>Sch Frac:</t>
  </si>
  <si>
    <t>Total Power:</t>
  </si>
  <si>
    <t>Total Airflow:</t>
  </si>
  <si>
    <t>Airflow per Area:</t>
  </si>
  <si>
    <t>ACH:</t>
  </si>
  <si>
    <t>Fan Power Eff:</t>
  </si>
  <si>
    <t>FLH/day:</t>
  </si>
  <si>
    <t>Current Model Baseline</t>
  </si>
  <si>
    <r>
      <t xml:space="preserve">Base Space Function Default Inputs </t>
    </r>
    <r>
      <rPr>
        <b/>
        <sz val="11"/>
        <color rgb="FFC00000"/>
        <rFont val="Calibri"/>
        <family val="2"/>
        <scheme val="minor"/>
      </rPr>
      <t>(The greater ventilation between local mechanical code and ASHRAE 62)</t>
    </r>
  </si>
  <si>
    <t>Washington State Ventilation Requirement</t>
  </si>
  <si>
    <t>CBECC-Com default has 67 ppl/1000ft2</t>
  </si>
  <si>
    <t>CBECC-Com default has 10 ppl/1000ft2</t>
  </si>
  <si>
    <t>Proj:254; Updated by RCG</t>
  </si>
  <si>
    <r>
      <rPr>
        <b/>
        <sz val="11"/>
        <color rgb="FFFF0000"/>
        <rFont val="Open Sans Light"/>
        <family val="2"/>
      </rPr>
      <t>MIP Project Only</t>
    </r>
    <r>
      <rPr>
        <sz val="11"/>
        <color theme="1"/>
        <rFont val="Open Sans Light"/>
        <family val="2"/>
      </rPr>
      <t>: Receptacle Load Adjustment based on the actual measurement (Avalon apartments)</t>
    </r>
  </si>
  <si>
    <t>Design Average Ventilation per unit</t>
  </si>
  <si>
    <t>Washington State Min Ventilation Rate (1 bd, &lt; 500 ft2)</t>
  </si>
  <si>
    <t>Washington State Min Ventilation Rate (1 bd, 500~1,500 ft2)</t>
  </si>
  <si>
    <t>Washington State Min Ventilation Rate (2 bd, 500 ~ 1,000 ft2)</t>
  </si>
  <si>
    <t>Washington State Min Ventilation Rate (2 bd, 1,000 ~ 1,500 ft2)</t>
  </si>
  <si>
    <t>Washington State Min Ventilation Rate (3 bd, 1,000 ~ 1,500 ft2)</t>
  </si>
  <si>
    <t>604 kWh/yr</t>
  </si>
  <si>
    <t>RCG</t>
  </si>
  <si>
    <t>CBECC model workbook Improvement - In Progress
- Create LEED report template
- Fix workbook errors</t>
  </si>
  <si>
    <t>P01-322_PrkgRaccUncd</t>
  </si>
  <si>
    <t>Thermal Zone: P01-322_PrkgRaccUncd</t>
  </si>
  <si>
    <t>P01-323_PrkgRaccUncd</t>
  </si>
  <si>
    <t>P01-324_LbbyRaccSphp</t>
  </si>
  <si>
    <t>Thermal Zone: P01-324_LbbyRaccSphp</t>
  </si>
  <si>
    <t>P01-325_ElevRaccIncd</t>
  </si>
  <si>
    <t>P01-326_StrsRaccBbrd</t>
  </si>
  <si>
    <t>Thermal Zone: P01-326_StrsRaccBbrd</t>
  </si>
  <si>
    <t>P01-327_PrkgRaccUncd</t>
  </si>
  <si>
    <t>P01-328_TrshRaccUncd</t>
  </si>
  <si>
    <t>Thermal Zone: P01-328_TrshRaccUncd</t>
  </si>
  <si>
    <t>P01-329_StrsRaccBbrd</t>
  </si>
  <si>
    <t>Thermal Zone: P01-329_StrsRaccBbrd</t>
  </si>
  <si>
    <t>P01-330_MechComlUncd</t>
  </si>
  <si>
    <t>Thermal Zone: P01-330_MechComlUncd</t>
  </si>
  <si>
    <t>P01-331_MechRaccUncd</t>
  </si>
  <si>
    <t>Thermal Zone: P01-331_MechRaccUncd</t>
  </si>
  <si>
    <t>P01-246_MechRaccMshp</t>
  </si>
  <si>
    <t>Thermal Zone: P01-246_MechRaccPthp</t>
  </si>
  <si>
    <t>P01-201_AstoRaccUncd</t>
  </si>
  <si>
    <t>Thermal Zone: P01-201_AstoRaccUncd</t>
  </si>
  <si>
    <t>P01-202_AstoRaccUncd</t>
  </si>
  <si>
    <t>P01-203_PrkgRaccUncd</t>
  </si>
  <si>
    <t>Thermal Zone: P01-203_PrkgRaccUncd - Plus</t>
  </si>
  <si>
    <t>P01-204_LbbyRaccSphp</t>
  </si>
  <si>
    <t>Thermal Zone: P01-204_LbbyRaccSphp</t>
  </si>
  <si>
    <t>P01-205_PrkgRaccUncd</t>
  </si>
  <si>
    <t>P01-206_AstoComlUncd</t>
  </si>
  <si>
    <t>Thermal Zone: P01-206_AstoComlUncd</t>
  </si>
  <si>
    <t>P01-207_ElevRaccIncd</t>
  </si>
  <si>
    <t>P01-208_LbbyRaccSphp</t>
  </si>
  <si>
    <t>Thermal Zone: P01-208_LbbyRaccSphp</t>
  </si>
  <si>
    <t>P01-209_ElevRaccIncd</t>
  </si>
  <si>
    <t>P01-210_MechRaccPthp</t>
  </si>
  <si>
    <t>Thermal Zone: P01-210_MechRaccPthp</t>
  </si>
  <si>
    <t>P01-211_StrsRaccBbrd</t>
  </si>
  <si>
    <t>Thermal Zone: P01-211_StrsRaccBbrd</t>
  </si>
  <si>
    <t>P01-212_MechRaccPthp</t>
  </si>
  <si>
    <t>Thermal Zone: P01-212_MechRaccPthp</t>
  </si>
  <si>
    <t>P01-213_TrshRaccUncd</t>
  </si>
  <si>
    <t>Thermal Zone: P01-213_TrshRaccUncd</t>
  </si>
  <si>
    <t>P01-215_MechRaccPthp</t>
  </si>
  <si>
    <t>Thermal Zone: P01-215_MechRaccPthp</t>
  </si>
  <si>
    <t>P01-216_AstoComlUncd</t>
  </si>
  <si>
    <t>Thermal Zone: P01-216_AstoComlUncd - Plus</t>
  </si>
  <si>
    <t>P01-217_AstoComlUncd</t>
  </si>
  <si>
    <t>P01-218_TrshRaccUncd</t>
  </si>
  <si>
    <t>Thermal Zone: P01-218_TrshRaccUncd</t>
  </si>
  <si>
    <t>P01-220_TrshComlUncd</t>
  </si>
  <si>
    <t>Thermal Zone: P01-220_TrshComlUncd</t>
  </si>
  <si>
    <t>P01-221_ElevRaccUncd</t>
  </si>
  <si>
    <t>Thermal Zone: P01-221_ElevRaccUncd</t>
  </si>
  <si>
    <t>P01-132_MechRaccPthp</t>
  </si>
  <si>
    <t>Thermal Zone: P01-132_MechRaccPthp</t>
  </si>
  <si>
    <t>P01-133_PrkgRaccUncd</t>
  </si>
  <si>
    <t>Thermal Zone: P01-133_PrkgRaccUncd - Plus</t>
  </si>
  <si>
    <t>P01-134_PrkgRaccUncd</t>
  </si>
  <si>
    <t>P01-135_LbbyRaccSphp</t>
  </si>
  <si>
    <t>Thermal Zone: P01-135_LbbyRaccSphp</t>
  </si>
  <si>
    <t>P01-138_PrkgRaccUncd</t>
  </si>
  <si>
    <t>P01-136_ElevRaccIncd</t>
  </si>
  <si>
    <t>P01-137_StrsRaccBbrd</t>
  </si>
  <si>
    <t>P01-139_TrshRaccUncd</t>
  </si>
  <si>
    <t>P01-140_StrsRaccBbrd</t>
  </si>
  <si>
    <t>P01-141_MechRaccBbrd</t>
  </si>
  <si>
    <t>Thermal Zone: P01-141_MechRaccBbrd</t>
  </si>
  <si>
    <t>A01-166_LbbyRaccPthp</t>
  </si>
  <si>
    <t>A01</t>
  </si>
  <si>
    <t>Thermal Zone: A01_LbbyRaccSphp</t>
  </si>
  <si>
    <t>A01-178_ComlComlPthp</t>
  </si>
  <si>
    <t>Thermal Zone: A01-178_OfceComlPthp</t>
  </si>
  <si>
    <t>A01-179_ComlComlPthp</t>
  </si>
  <si>
    <t>Thermal Zone: A01-179_OfceComlPthp</t>
  </si>
  <si>
    <t>A01-180_ComlComlPthp</t>
  </si>
  <si>
    <t>Thermal Zone: A01-180_OfceComlPthp</t>
  </si>
  <si>
    <t>A01-181_MfamResiPtac</t>
  </si>
  <si>
    <t>Thermal Zone: A01-181_MfamResiPtac</t>
  </si>
  <si>
    <t>A01-182_ComlComlPthp</t>
  </si>
  <si>
    <t>Thermal Zone: A01-182_OfceComlPthp</t>
  </si>
  <si>
    <t>A01-183_StrsRaccIncd</t>
  </si>
  <si>
    <t>Thermal Zone: A01-184_CorrRaccIncd</t>
  </si>
  <si>
    <t>A01-184_CorrRaccIncd</t>
  </si>
  <si>
    <t>A01-185_MfamResiPtac</t>
  </si>
  <si>
    <t>Thermal Zone: A01-185_MfamResiPtac</t>
  </si>
  <si>
    <t>A01-186_AstoRaccIncd</t>
  </si>
  <si>
    <t>Thermal Zone: A01_UtilRaccIncd</t>
  </si>
  <si>
    <t>A01-187_LndyRaccIncd</t>
  </si>
  <si>
    <t>A01-189_AstoRaccIncd</t>
  </si>
  <si>
    <t>A01-192_LngeRaccPthp</t>
  </si>
  <si>
    <t>A01-193_ComlComlPthp</t>
  </si>
  <si>
    <t>Thermal Zone: A01-193_OfceComlPthp</t>
  </si>
  <si>
    <t>A01-342_StrsRaccIncd</t>
  </si>
  <si>
    <t>A01-243_TrshRaccExhs</t>
  </si>
  <si>
    <t>A01-244_ElevRaccIncd</t>
  </si>
  <si>
    <t>A01-170_VestRaccIncd</t>
  </si>
  <si>
    <t>P01-245_LbbyRaccSphp</t>
  </si>
  <si>
    <t>P01-219_ElevRaccIncd</t>
  </si>
  <si>
    <t>A02-194_MfamResiPtac</t>
  </si>
  <si>
    <t>A02</t>
  </si>
  <si>
    <t>Thermal Zone: A02-194_MfamResiPtac</t>
  </si>
  <si>
    <t>A02-195_MfamResiPtac</t>
  </si>
  <si>
    <t>Thermal Zone: A02-195_MfamResiPtac</t>
  </si>
  <si>
    <t>A02-196_MfamResiPtac</t>
  </si>
  <si>
    <t>Thermal Zone: A02-196_MfamResiPtac</t>
  </si>
  <si>
    <t>A02-197_CorrRaccSphp</t>
  </si>
  <si>
    <t>Thermal Zone: A02_CorrRaccSphp</t>
  </si>
  <si>
    <t>A02-198_MfamResiPtac</t>
  </si>
  <si>
    <t>Thermal Zone: A02-198_MfamResiPtac</t>
  </si>
  <si>
    <t>A02-199_MfamResiPtac</t>
  </si>
  <si>
    <t>Thermal Zone: A02-199_MfamResiPtac</t>
  </si>
  <si>
    <t>A02-200_StrsRaccIncd</t>
  </si>
  <si>
    <t>A02-201_TrshRaccExhs</t>
  </si>
  <si>
    <t>A02-203_ElevRaccIncd</t>
  </si>
  <si>
    <t>A02-202_ShftRaccIncd</t>
  </si>
  <si>
    <t>A02-204_StrsRaccIncd</t>
  </si>
  <si>
    <t>A02-205_MfamResiPtac</t>
  </si>
  <si>
    <t>Thermal Zone: A02-205_MfamResiPtac</t>
  </si>
  <si>
    <t>A02-206_MfamResiPtac</t>
  </si>
  <si>
    <t>Thermal Zone: A02-206_MfamResiPtac</t>
  </si>
  <si>
    <t>A03-207_MfamResiPtac</t>
  </si>
  <si>
    <t>A03</t>
  </si>
  <si>
    <t>Thermal Zone: A03-207_MfamResiPtac</t>
  </si>
  <si>
    <t>A03-208_MfamResiPtac</t>
  </si>
  <si>
    <t>Thermal Zone: A03-208_MfamResiPtac</t>
  </si>
  <si>
    <t>A03-209_MfamResiPtac</t>
  </si>
  <si>
    <t>Thermal Zone: A03-209_MfamResiPtac</t>
  </si>
  <si>
    <t>A03-210_CorrRaccSphp</t>
  </si>
  <si>
    <t>Thermal Zone: A03_CorrRaccSphp</t>
  </si>
  <si>
    <t>A03-211_MfamResiPtac</t>
  </si>
  <si>
    <t>Thermal Zone: A03-211_MfamResiPtac</t>
  </si>
  <si>
    <t>A03-212_MfamResiPtac</t>
  </si>
  <si>
    <t>Thermal Zone: A03-212_MfamResiPtac</t>
  </si>
  <si>
    <t>A03-213_StrsRaccBbrd</t>
  </si>
  <si>
    <t>A03-214_TrshRaccExhs</t>
  </si>
  <si>
    <t>A03-215_ShftRaccIncd</t>
  </si>
  <si>
    <t>A03-216_ElevRaccIncd</t>
  </si>
  <si>
    <t>A03-217_StrsRaccBbrd</t>
  </si>
  <si>
    <t>A03-218_MfamResiPtac</t>
  </si>
  <si>
    <t>Thermal Zone: A03-218_MfamResiPtac</t>
  </si>
  <si>
    <t>A03-219_MfamResiPtac</t>
  </si>
  <si>
    <t>Thermal Zone: A03-219_MfamResiPtac</t>
  </si>
  <si>
    <t>A05-220_MfamResiPtac</t>
  </si>
  <si>
    <t>A05</t>
  </si>
  <si>
    <t>Thermal Zone: A05-220_MfamResiPtac</t>
  </si>
  <si>
    <t>A05-221_MfamResiPtac</t>
  </si>
  <si>
    <t>Thermal Zone: A05-221_MfamResiPtac</t>
  </si>
  <si>
    <t>A05-222_MfamResiPtac</t>
  </si>
  <si>
    <t>Thermal Zone: A05-222_MfamResiPtac</t>
  </si>
  <si>
    <t>A05-223_CorrRaccSphp</t>
  </si>
  <si>
    <t>Thermal Zone: A05_CorrRaccSphp</t>
  </si>
  <si>
    <t>A05-224_MfamResiPtac</t>
  </si>
  <si>
    <t>Thermal Zone: A05-224_MfamResiPtac</t>
  </si>
  <si>
    <t>A05-225_MfamResiPtac</t>
  </si>
  <si>
    <t>Thermal Zone: A05-225_MfamResiPtac</t>
  </si>
  <si>
    <t>A05-226_StrsRaccBbrd</t>
  </si>
  <si>
    <t>A05-227_TrshRaccExhs</t>
  </si>
  <si>
    <t>A05-229_ElevRaccIncd</t>
  </si>
  <si>
    <t>A05-228_ShftRaccIncd</t>
  </si>
  <si>
    <t>A05-230_StrsRaccBbrd</t>
  </si>
  <si>
    <t>A05-231_MfamResiPtac</t>
  </si>
  <si>
    <t>Thermal Zone: A05-231_MfamResiPtac</t>
  </si>
  <si>
    <t>A05-232_MfamResiPtac</t>
  </si>
  <si>
    <t>Thermal Zone: A05-232_MfamResiPtac</t>
  </si>
  <si>
    <t>B01-002_AstoRaccIncd</t>
  </si>
  <si>
    <t>B01</t>
  </si>
  <si>
    <t>Thermal Zone: B01_LbbyRaccErv1</t>
  </si>
  <si>
    <t>B01-157_ComlComlPthp</t>
  </si>
  <si>
    <t>Thermal Zone: B01-157_OfceComlPthp</t>
  </si>
  <si>
    <t>B01-158_StrsRaccIncd</t>
  </si>
  <si>
    <t>Thermal Zone: B01_CorrRaccSphp</t>
  </si>
  <si>
    <t>B01-159_CorrRaccSphp</t>
  </si>
  <si>
    <t>B01-160_MfamResiPtac</t>
  </si>
  <si>
    <t>Thermal Zone: B01-160_MfamResiPtac</t>
  </si>
  <si>
    <t>B01-161_MechRaccExhs</t>
  </si>
  <si>
    <t>B01-162_MfamResiPtac</t>
  </si>
  <si>
    <t>Thermal Zone: B01-162_MfamResiPtac</t>
  </si>
  <si>
    <t>B01-163_ElevRaccIncd</t>
  </si>
  <si>
    <t>B01-174_TrshRaccExhs</t>
  </si>
  <si>
    <t>B01-175_StrsRaccIncd</t>
  </si>
  <si>
    <t>B01-164_OfceRaccSphp</t>
  </si>
  <si>
    <t>B01-165_AstoRaccIncd</t>
  </si>
  <si>
    <t>B01-167_RestRaccExhs</t>
  </si>
  <si>
    <t>B01-168_FitnRaccPthp</t>
  </si>
  <si>
    <t>Thermal Zone: B01-168_FitnRaccPthp</t>
  </si>
  <si>
    <t>B01-169_MfamResiPtac</t>
  </si>
  <si>
    <t>Thermal Zone: B01-169_MfamResiPtac</t>
  </si>
  <si>
    <t>B01-171_OfceRaccPthp</t>
  </si>
  <si>
    <t>B01-172_CorrRaccSphp</t>
  </si>
  <si>
    <t>B01-173_MfamResiPtac</t>
  </si>
  <si>
    <t>Thermal Zone: B01-173_MfamResiPtac</t>
  </si>
  <si>
    <t>B01-176_MfamResiPtac</t>
  </si>
  <si>
    <t>Thermal Zone: B01-176_MfamResiPtac</t>
  </si>
  <si>
    <t>B01-177_ComlComlPthp</t>
  </si>
  <si>
    <t>Thermal Zone: B01-177_OfceComlPthp</t>
  </si>
  <si>
    <t>B02-243_OblwComlIncd</t>
  </si>
  <si>
    <t>B02-240_ElevRaccIncd</t>
  </si>
  <si>
    <t>B02</t>
  </si>
  <si>
    <t>Thermal Zone: B02_CorrRaccSphp</t>
  </si>
  <si>
    <t>B02-241_TrshRaccExhs</t>
  </si>
  <si>
    <t>B02-242_StrsRaccIncd</t>
  </si>
  <si>
    <t>B02-233_MfamResiPtac</t>
  </si>
  <si>
    <t>Thermal Zone: B02-233_MfamResiPtac</t>
  </si>
  <si>
    <t>B02-234_MfamResiPtac</t>
  </si>
  <si>
    <t>Thermal Zone: B02-234_MfamResiPtac</t>
  </si>
  <si>
    <t>B02-235_MfamResiPtac</t>
  </si>
  <si>
    <t>Thermal Zone: B02-235_MfamResiPtac</t>
  </si>
  <si>
    <t>B02-236_StrsRaccIncd</t>
  </si>
  <si>
    <t>B02-237_CorrRaccSphp</t>
  </si>
  <si>
    <t>B02-238_MfamResiPtac</t>
  </si>
  <si>
    <t>Thermal Zone: B02-238_MfamResiPtac</t>
  </si>
  <si>
    <t>B02-239_MfamResiPtac</t>
  </si>
  <si>
    <t>Thermal Zone: B02-239_MfamResiPtac</t>
  </si>
  <si>
    <t>B03-244_MfamResiPtac</t>
  </si>
  <si>
    <t>B03</t>
  </si>
  <si>
    <t>Thermal Zone: B03-244_MfamResiPtac</t>
  </si>
  <si>
    <t>B03-245_MfamResiPtac</t>
  </si>
  <si>
    <t>Thermal Zone: B03-245_MfamResiPtac</t>
  </si>
  <si>
    <t>B03-246_MfamResiPtac</t>
  </si>
  <si>
    <t>Thermal Zone: B03-246_MfamResiPtac</t>
  </si>
  <si>
    <t>B03-247_StrsRaccBbrd</t>
  </si>
  <si>
    <t>Thermal Zone: B03_CorrRaccSphp</t>
  </si>
  <si>
    <t>B03-248_CorrRaccSphp</t>
  </si>
  <si>
    <t>B03-249_MfamResiPtac</t>
  </si>
  <si>
    <t>Thermal Zone: B03-249_MfamResiPtac</t>
  </si>
  <si>
    <t>B03-250_MfamResiPtac</t>
  </si>
  <si>
    <t>Thermal Zone: B03-250_MfamResiPtac</t>
  </si>
  <si>
    <t>B03-251_ElevRaccIncd</t>
  </si>
  <si>
    <t>B03-252_TrshRaccExhs</t>
  </si>
  <si>
    <t>B03-253_StrsRaccBbrd</t>
  </si>
  <si>
    <t>B03-254_MfamResiPtac</t>
  </si>
  <si>
    <t>Thermal Zone: B03-254_MfamResiPtac</t>
  </si>
  <si>
    <t>B03-255_MfamResiPtac</t>
  </si>
  <si>
    <t>Thermal Zone: B03-255_MfamResiPtac</t>
  </si>
  <si>
    <t>B05-256_MfamResiPtac</t>
  </si>
  <si>
    <t>B05</t>
  </si>
  <si>
    <t>Thermal Zone: B05-256_MfamResiPtac</t>
  </si>
  <si>
    <t>B05-257_MfamResiPtac</t>
  </si>
  <si>
    <t>Thermal Zone: B05-257_MfamResiPtac</t>
  </si>
  <si>
    <t>B05-258_MfamResiPtac</t>
  </si>
  <si>
    <t>Thermal Zone: B05-258_MfamResiPtac</t>
  </si>
  <si>
    <t>B05-259_StrsRaccBbrd</t>
  </si>
  <si>
    <t>Thermal Zone: B05_CorrRaccSphp</t>
  </si>
  <si>
    <t>B05-260_CorrRaccSphp</t>
  </si>
  <si>
    <t>B05-261_MfamResiPtac</t>
  </si>
  <si>
    <t>Thermal Zone: B05-261_MfamResiPtac</t>
  </si>
  <si>
    <t>B05-262_MfamResiPtac</t>
  </si>
  <si>
    <t>Thermal Zone: B05-262_MfamResiPtac</t>
  </si>
  <si>
    <t>B05-263_ElevRaccIncd</t>
  </si>
  <si>
    <t>B05-264_TrshRaccExhs</t>
  </si>
  <si>
    <t>B05-265_StrsRaccBbrd</t>
  </si>
  <si>
    <t>B05-266_MfamResiPtac</t>
  </si>
  <si>
    <t>Thermal Zone: B05-266_MfamResiPtac</t>
  </si>
  <si>
    <t>B05-267_MfamResiPtac</t>
  </si>
  <si>
    <t>Thermal Zone: B05-267_MfamResiPtac</t>
  </si>
  <si>
    <t>C01-001_CorrRaccSphp</t>
  </si>
  <si>
    <t>C01</t>
  </si>
  <si>
    <t>Thermal Zone: C01_CorrRaccSphp</t>
  </si>
  <si>
    <t>C01-011_MechRaccIncd</t>
  </si>
  <si>
    <t>C01-142_ComlComlPthp</t>
  </si>
  <si>
    <t>Thermal Zone: C01-142_OfceComlPthp</t>
  </si>
  <si>
    <t>C01-143_StrsRaccIncd</t>
  </si>
  <si>
    <t>C01-144_MfamResiPtac</t>
  </si>
  <si>
    <t>Thermal Zone: C01-144_MfamResiPtac</t>
  </si>
  <si>
    <t>C01-146_MfamResiPtac</t>
  </si>
  <si>
    <t>Thermal Zone: C01-146_MfamResiPtac</t>
  </si>
  <si>
    <t>C01-145_ElevRaccIncd</t>
  </si>
  <si>
    <t>C01-151_ElevRaccIncd</t>
  </si>
  <si>
    <t>C01-153_StrsRaccIncd</t>
  </si>
  <si>
    <t>C01-156_TrshRaccExhs</t>
  </si>
  <si>
    <t>C01-147_CorrRaccSphp</t>
  </si>
  <si>
    <t>C01-149_RestRaccExhs</t>
  </si>
  <si>
    <t>C01-150_ComlComlPthp</t>
  </si>
  <si>
    <t>Thermal Zone: C01-150_OfceComlPthp</t>
  </si>
  <si>
    <t>C01-152_ComlComlPthp</t>
  </si>
  <si>
    <t>Thermal Zone: C01-152_OfceComlPthp</t>
  </si>
  <si>
    <t>C01-154_AstoRaccExhs</t>
  </si>
  <si>
    <t>Thermal Zone: C01-154_AstoRaccIncd</t>
  </si>
  <si>
    <t>C01-155_TrshRaccExhs</t>
  </si>
  <si>
    <t>C02-003_MechRaccIncd</t>
  </si>
  <si>
    <t>C02</t>
  </si>
  <si>
    <t>Thermal Zone: C02_CorrRaccSphp</t>
  </si>
  <si>
    <t>C02-268_MfamResiPtac</t>
  </si>
  <si>
    <t>Thermal Zone: C02-268_MfamResiPtac</t>
  </si>
  <si>
    <t>C02-269_MfamResiPtac</t>
  </si>
  <si>
    <t>Thermal Zone: C02-269_MfamResiPtac</t>
  </si>
  <si>
    <t>C02-272_MfamResiPtac</t>
  </si>
  <si>
    <t>Thermal Zone: C02-272_MfamResiPtac</t>
  </si>
  <si>
    <t>C02-274_CorrRaccSphp</t>
  </si>
  <si>
    <t>C02-275_LngeRaccPthp</t>
  </si>
  <si>
    <t>Thermal Zone: C02-275_LngeRaccPthp</t>
  </si>
  <si>
    <t>C02-276_MfamResiPtac</t>
  </si>
  <si>
    <t>Thermal Zone: C02-276_MfamResiPtac</t>
  </si>
  <si>
    <t>C02-277_MfamResiPtac</t>
  </si>
  <si>
    <t>Thermal Zone: C02-277_MfamResiPtac</t>
  </si>
  <si>
    <t>C02-278_MfamResiPtac</t>
  </si>
  <si>
    <t>Thermal Zone: C02-278_MfamResiPtac</t>
  </si>
  <si>
    <t>C02-270_ElevRaccIncd</t>
  </si>
  <si>
    <t>C02-279_ElevRaccIncd</t>
  </si>
  <si>
    <t>C02-280_StrsRaccIncd</t>
  </si>
  <si>
    <t>C02-281_TrshRaccExhs</t>
  </si>
  <si>
    <t>C02-271_StrsRaccIncd</t>
  </si>
  <si>
    <t>C03-296_MfamResiPtac</t>
  </si>
  <si>
    <t>C03</t>
  </si>
  <si>
    <t>Thermal Zone: C03-296_MfamResiPtac</t>
  </si>
  <si>
    <t>C03-297_ElevRaccIncd</t>
  </si>
  <si>
    <t>Thermal Zone: C03_CorrRaccSphp</t>
  </si>
  <si>
    <t>C03-298_CorrRaccSphp</t>
  </si>
  <si>
    <t>C03-299_ElevRaccIncd</t>
  </si>
  <si>
    <t>C03-300_MfamResiPtac</t>
  </si>
  <si>
    <t>Thermal Zone: C03-300_MfamResiPtac</t>
  </si>
  <si>
    <t>C03-301_MfamResiPtac</t>
  </si>
  <si>
    <t>Thermal Zone: C03-301_MfamResiPtac</t>
  </si>
  <si>
    <t>C03-302_MfamResiPtac</t>
  </si>
  <si>
    <t>Thermal Zone: C03-302_MfamResiPtac</t>
  </si>
  <si>
    <t>C03-304_MfamResiPtac</t>
  </si>
  <si>
    <t>Thermal Zone: C03-304_MfamResiPtac</t>
  </si>
  <si>
    <t>C03-305_StrsRaccBbrd</t>
  </si>
  <si>
    <t>C03-306_MfamResiPtac</t>
  </si>
  <si>
    <t>Thermal Zone: C03-306_MfamResiPtac</t>
  </si>
  <si>
    <t>C03-307_TrshRaccExhs</t>
  </si>
  <si>
    <t>C03-308_StrsRaccBbrd</t>
  </si>
  <si>
    <t>C03-309_MfamResiPtac</t>
  </si>
  <si>
    <t>Thermal Zone: C03-309_MfamResiPtac</t>
  </si>
  <si>
    <t>C05-282_MfamResiPtac</t>
  </si>
  <si>
    <t>C05</t>
  </si>
  <si>
    <t>Thermal Zone: C05-282_MfamResiPtac</t>
  </si>
  <si>
    <t>C05-283_MfamResiPtac</t>
  </si>
  <si>
    <t>Thermal Zone: C05-283_MfamResiPtac</t>
  </si>
  <si>
    <t>C05-286_MfamResiPtac</t>
  </si>
  <si>
    <t>Thermal Zone: C05-286_MfamResiPtac</t>
  </si>
  <si>
    <t>C05-288_CorrRaccSphp</t>
  </si>
  <si>
    <t>Thermal Zone: C05_CorrRaccSphp</t>
  </si>
  <si>
    <t>C05-289_LngeRaccSphp</t>
  </si>
  <si>
    <t>Thermal Zone: C05-289_LngeRaccSphp</t>
  </si>
  <si>
    <t>C05-290_MfamResiPtac</t>
  </si>
  <si>
    <t>Thermal Zone: C05-290_MfamResiPtac</t>
  </si>
  <si>
    <t>C05-291_MfamResiPtac</t>
  </si>
  <si>
    <t>Thermal Zone: C05-291_MfamResiPtac</t>
  </si>
  <si>
    <t>C05-292_MfamResiPtac</t>
  </si>
  <si>
    <t>Thermal Zone: C05-292_MfamResiPtac</t>
  </si>
  <si>
    <t>C05-284_ElevRaccIncd</t>
  </si>
  <si>
    <t>C05-293_ElevRaccIncd</t>
  </si>
  <si>
    <t>C05-294_StrsRaccBbrd</t>
  </si>
  <si>
    <t>C05-295_TrshRaccExhs</t>
  </si>
  <si>
    <t>C05-285_StrsRaccBbrd</t>
  </si>
  <si>
    <t>Prkg Exh Sys</t>
  </si>
  <si>
    <t>ERV-1</t>
  </si>
  <si>
    <t>F-4/5</t>
  </si>
  <si>
    <t>SF-1</t>
  </si>
  <si>
    <t>ZnSys_ResExhaust-2</t>
  </si>
  <si>
    <t>F-1</t>
  </si>
  <si>
    <t>ZnSys_ResExhaust-65</t>
  </si>
  <si>
    <t>ZnSys_ResExhaust-66</t>
  </si>
  <si>
    <t>F-2/3</t>
  </si>
  <si>
    <t>ZnSys_ResExhaust-27</t>
  </si>
  <si>
    <t>ZnSys_ResExhaust-28</t>
  </si>
  <si>
    <t>ZnSys_ResExhaust-29</t>
  </si>
  <si>
    <t>ZnSys_ResExhaust-67</t>
  </si>
  <si>
    <t>ZnSys_ResExhaust-30</t>
  </si>
  <si>
    <t>ZnSys_ResExhaust-31</t>
  </si>
  <si>
    <t>ZnSys_ResExhaust-32</t>
  </si>
  <si>
    <t>ZnSys_ResExhaust-33</t>
  </si>
  <si>
    <t>ZnSys_ResExhaust-34</t>
  </si>
  <si>
    <t>ZnSys_ResExhaust-35</t>
  </si>
  <si>
    <t>ZnSys_ResExhaust-36</t>
  </si>
  <si>
    <t>ZnSys_ResExhaust-37</t>
  </si>
  <si>
    <t>ZnSys_ResExhaust-38</t>
  </si>
  <si>
    <t>ZnSys_ResExhaust-39</t>
  </si>
  <si>
    <t>ZnSys_ResExhaust-40</t>
  </si>
  <si>
    <t>ZnSys_ResExhaust-41</t>
  </si>
  <si>
    <t>ZnSys_ResExhaust-42</t>
  </si>
  <si>
    <t>ZnSys_ResExhaust-43</t>
  </si>
  <si>
    <t>ZnSys_ResExhaust-44</t>
  </si>
  <si>
    <t>ZnSys_ResExhaust-45</t>
  </si>
  <si>
    <t>ZnSys_ResExhaust-46</t>
  </si>
  <si>
    <t>ZnSys_ResExhaust-47</t>
  </si>
  <si>
    <t>ZnSys_ResExhaust-48</t>
  </si>
  <si>
    <t>ZnSys_ResExhaust-49</t>
  </si>
  <si>
    <t>ZnSys_ResExhaust-50</t>
  </si>
  <si>
    <t>ZnSys_ResExhaust-51</t>
  </si>
  <si>
    <t>ZnSys_ResExhaust-68</t>
  </si>
  <si>
    <t>ZnSys_ResExhaust-52</t>
  </si>
  <si>
    <t>ZnSys_ResExhaust-53</t>
  </si>
  <si>
    <t>ZnSys_ResExhaust-54</t>
  </si>
  <si>
    <t>ZnSys_ResExhaust-55</t>
  </si>
  <si>
    <t>ZnSys_ResExhaust-56</t>
  </si>
  <si>
    <t>ZnSys_ResExhaust-57</t>
  </si>
  <si>
    <t>ZnSys_ResExhaust-58</t>
  </si>
  <si>
    <t>ZnSys_ResExhaust-59</t>
  </si>
  <si>
    <t>ZnSys_ResExhaust-60</t>
  </si>
  <si>
    <t>ZnSys_ResExhaust-61</t>
  </si>
  <si>
    <t>ERV-2</t>
  </si>
  <si>
    <t>ZnSys_ResExhaust-62</t>
  </si>
  <si>
    <t>ZnSys_ResExhaust-63</t>
  </si>
  <si>
    <t>ZnSys_ResExhaust-64</t>
  </si>
  <si>
    <t>A04</t>
  </si>
  <si>
    <t>B04</t>
  </si>
  <si>
    <t>C04</t>
  </si>
  <si>
    <t>WEF-3, Boost</t>
  </si>
  <si>
    <t>WEF-3, Continuous</t>
  </si>
  <si>
    <t>WEF-4, Boost</t>
  </si>
  <si>
    <t>WEF-4, Continuous</t>
  </si>
  <si>
    <t>WEF-5, Boost</t>
  </si>
  <si>
    <t>WEF-5, Continuous</t>
  </si>
  <si>
    <t>Lndy</t>
  </si>
  <si>
    <t>Laundry</t>
  </si>
  <si>
    <t>Mprp</t>
  </si>
  <si>
    <t>Unconditioned Area</t>
  </si>
  <si>
    <t>Other unconditioned area</t>
  </si>
  <si>
    <t>C</t>
  </si>
  <si>
    <t>D</t>
  </si>
  <si>
    <t>E</t>
  </si>
  <si>
    <t>G1</t>
  </si>
  <si>
    <t>G2</t>
  </si>
  <si>
    <t>G3</t>
  </si>
  <si>
    <t>L7</t>
  </si>
  <si>
    <t>LB-A</t>
  </si>
  <si>
    <t>L10</t>
  </si>
  <si>
    <t>7W per ft</t>
  </si>
  <si>
    <t>L12</t>
  </si>
  <si>
    <t>L13</t>
  </si>
  <si>
    <t>L14</t>
  </si>
  <si>
    <t>L15</t>
  </si>
  <si>
    <t>Z1</t>
  </si>
  <si>
    <t>Z2</t>
  </si>
  <si>
    <t>Z3</t>
  </si>
  <si>
    <t>Z8</t>
  </si>
  <si>
    <t>LS1</t>
  </si>
  <si>
    <t>LS2</t>
  </si>
  <si>
    <t>LS3</t>
  </si>
  <si>
    <t>LS4</t>
  </si>
  <si>
    <t>LS5</t>
  </si>
  <si>
    <t>LS6</t>
  </si>
  <si>
    <t>LS7</t>
  </si>
  <si>
    <t>TI</t>
  </si>
  <si>
    <t>QC - Interior Lighting (Eap2-4/5 Form)</t>
  </si>
  <si>
    <t>Res Common</t>
  </si>
  <si>
    <t>Landscape</t>
  </si>
  <si>
    <t>Airflow (CFM)</t>
  </si>
  <si>
    <t>Power (kW)</t>
  </si>
  <si>
    <t>Energy (kWh)</t>
  </si>
  <si>
    <t>Utility Fan</t>
  </si>
  <si>
    <t>Laundry ACTUAL Floor Area</t>
  </si>
  <si>
    <t>Laundry MODEL Floor Area</t>
  </si>
  <si>
    <t>Total Lndy serving Dwelling Units</t>
  </si>
  <si>
    <t>ppl/1,000ft2</t>
  </si>
  <si>
    <t>606 kWh/yr</t>
  </si>
  <si>
    <r>
      <t xml:space="preserve">1.6 kWh/yr/ft2 (finished floor area) </t>
    </r>
    <r>
      <rPr>
        <sz val="11"/>
        <rFont val="Open Sans Light"/>
        <family val="2"/>
      </rPr>
      <t> </t>
    </r>
  </si>
  <si>
    <t>Local Exhaust Fans</t>
  </si>
  <si>
    <t>2.3 cfm/W</t>
  </si>
  <si>
    <t>Bath and utility</t>
  </si>
  <si>
    <t>1.2 cfm/W</t>
  </si>
  <si>
    <t>F</t>
  </si>
  <si>
    <t>therm</t>
  </si>
  <si>
    <t>GEF-1</t>
  </si>
  <si>
    <t>GREENHECK</t>
  </si>
  <si>
    <t>SBE-3L48-75</t>
  </si>
  <si>
    <t>Garage</t>
  </si>
  <si>
    <t>GEF-2/3/4</t>
  </si>
  <si>
    <t>SBE-2L48-30</t>
  </si>
  <si>
    <t>XF-1/2/3/4</t>
  </si>
  <si>
    <t>Fade 25</t>
  </si>
  <si>
    <t>EF-R.X</t>
  </si>
  <si>
    <t>CUE-101-VG</t>
  </si>
  <si>
    <t>Trashroom</t>
  </si>
  <si>
    <t>EF-L1.1</t>
  </si>
  <si>
    <t>FANTECH</t>
  </si>
  <si>
    <t>FADE 12-4</t>
  </si>
  <si>
    <t>Trashroom C-122</t>
  </si>
  <si>
    <t>EF-L1.2</t>
  </si>
  <si>
    <t>Broan</t>
  </si>
  <si>
    <t>AE80</t>
  </si>
  <si>
    <t>Storage C-116</t>
  </si>
  <si>
    <t>FN-PX.X</t>
  </si>
  <si>
    <t>Parking utility rooms</t>
  </si>
  <si>
    <t>Exhaust Fan Load Location:</t>
  </si>
  <si>
    <t>Spc Area:</t>
  </si>
  <si>
    <t>Effective WPD:</t>
  </si>
  <si>
    <t>90.1 Motor Eff,  Min. Eff after 12/19/10</t>
  </si>
  <si>
    <t>1800 rpm encl</t>
  </si>
  <si>
    <t>Oblw</t>
  </si>
  <si>
    <t>ERV-4.10</t>
  </si>
  <si>
    <t>BaseAirSys6</t>
  </si>
  <si>
    <t>ERV-4.7/4.8/4.9</t>
  </si>
  <si>
    <t>BaseAirSys6-2</t>
  </si>
  <si>
    <t>BaseAirSys6-3</t>
  </si>
  <si>
    <t>ERV-3/4.1/4.2/4.3/4.4</t>
  </si>
  <si>
    <t>ERV-4.5/4.6</t>
  </si>
  <si>
    <t>Prkg Cont. XF Sys</t>
  </si>
  <si>
    <t>ZnSys_PTHP-12</t>
  </si>
  <si>
    <t>Conditioned Area %</t>
  </si>
  <si>
    <t>Prop Plug Load EUI</t>
  </si>
  <si>
    <t>Fix the Space_Sum and Lighting_Sum lookup criteria column formula
Add semi-heated wall to the exterior contioned wall count</t>
  </si>
  <si>
    <t>Pressure:</t>
  </si>
  <si>
    <t>Pa</t>
  </si>
  <si>
    <t>Fan Efficiency:</t>
  </si>
  <si>
    <t>Per LEED for H V4 energy model simulation guideline, the baseline garage garage fan should be modeled as:</t>
  </si>
  <si>
    <t>1) If Area_garage &gt; 30,000 sf</t>
  </si>
  <si>
    <t>1.1) if the proposed garage fans meet exception b), then baseline fan power = min(Prop_garage fan W/CFM, 0.3 W/CFM) and baseline fan is operating at 24 hrs/day</t>
  </si>
  <si>
    <t>1.2) if the proposed garage fans don't meet exception b), then baseline fan power = min(Prop_garage fan W/CFM, 0.3 W/CFM), and baseline garage fan is operating 8.4 hrs/day</t>
  </si>
  <si>
    <t>2) If Area_garage &lt;= 30,000 sf, pick one of the following options</t>
  </si>
  <si>
    <t>2.1) Fan power = 0.3 W/CFM, runtime = 24 hrs/day</t>
  </si>
  <si>
    <t>2.2) Fan power = Proposed, runtime = 8.4 hrs/day</t>
  </si>
  <si>
    <t>&lt;- Use this tool to calculate the baseline fan power idf input</t>
  </si>
  <si>
    <t>EAp2-4/5 Report</t>
  </si>
  <si>
    <t>Other Process Load:</t>
  </si>
  <si>
    <t>90.1-2010 Baseline</t>
  </si>
  <si>
    <t>Baseline Power (Watts)</t>
  </si>
  <si>
    <t>FV-0511VKS2</t>
  </si>
  <si>
    <t>mm/dd/yyyy</t>
  </si>
  <si>
    <t>Proj:xxxx; Rev: xx; Updated by XX</t>
  </si>
  <si>
    <t>Ref:</t>
  </si>
  <si>
    <t>Drawing and date</t>
  </si>
  <si>
    <t>CBECC-Com</t>
  </si>
  <si>
    <t>USGBC</t>
  </si>
  <si>
    <t>Li-10371</t>
  </si>
  <si>
    <t>USGBC Baseline Prkg Exh fan power efficiency:</t>
  </si>
  <si>
    <t>idf Fan Power Calculation</t>
  </si>
  <si>
    <t>LI-10371 Garage Demand Control Ventilation Exceptional Calculation Measure (ECM)</t>
  </si>
  <si>
    <t>https://www.usgbc.org/leedaddenda/10371</t>
  </si>
  <si>
    <t>Project Name:</t>
  </si>
  <si>
    <t>Yesler Terrace Apartments - Building A</t>
  </si>
  <si>
    <t>LEED ID:</t>
  </si>
  <si>
    <t>LEED Interpretation Rules</t>
  </si>
  <si>
    <t>1) Baseline case shall meet the requirements of ASHRAE 90.1-2010, Section 6.4.3.4.5 Enclosed Parking Garage Ventilation. Baseline fan volume shall be based on the minimum required ASHRAE 62.1 parking ventilation rates of 0.75 cfm / square foot. Baseline system fan power shall be calculated at 0.3 watts per CFM.</t>
  </si>
  <si>
    <t>Baseline Case</t>
  </si>
  <si>
    <t>ASHRAE 90.1 Requirement</t>
  </si>
  <si>
    <t>Model Parking Garage Area:</t>
  </si>
  <si>
    <t>Baseline Garage Ventilation System Air Flow (CFM):</t>
  </si>
  <si>
    <t>Baseline Garage Ventilation System Power Index (W/CFM):</t>
  </si>
  <si>
    <t>Baseline Garage Ventilation System Power Input (kW):</t>
  </si>
  <si>
    <t>Baseline Garage Ventilation System Power Input (hp):</t>
  </si>
  <si>
    <t>Baseline Garage Ventilation System Motor Eff:</t>
  </si>
  <si>
    <t>Baseline Garage Ventilation System BHP:</t>
  </si>
  <si>
    <t>Baseline Garage Ventilation System Name Plate HP:</t>
  </si>
  <si>
    <t>Garage Area to Motor Nameplate HP Ratio:</t>
  </si>
  <si>
    <t>&gt;1,500</t>
  </si>
  <si>
    <t>Provide mechanical cooling or heating?</t>
  </si>
  <si>
    <t>2) Proposed case shall reflect the actual design.  Evidence shall be provided documenting that demand control ventilation strategies are sufficient to automatically detect contaminant levels of concern in parking garages (for example, Carbon Monoxide, Particulates, VOCs, etc.  and NO2) and modulate airflow such that contaminant levels are maintained below specified contaminant concentration as identified in  ASHRAE 62.1-2010 Addendum d.  Evidence shall also be provided that contaminant sensors are placed in space in an appropriate manner for detection of contaminant in question, included in the building commissioning plan upon installation, and then calibrated yearly following installation. 
The contaminants of concern that must be monitored may be limited to CO if a narrative is provided justifying how the controls will also help to limit NO2, VOCs and PM2.5 concentrations. The narrative should address how the parking garage minimum exhaust flow rate and/or the minimum fan run time (if applicable) are maintained, and provide clarification that other contaminant levels are expected to remain low based on that design. Note that NO2 would also be expected to be monitored in garages where more than 20% of the vehicles are anticipated to be diesel-fueled.
Note: though it does not need to be addressed specifically in the narrative, the project team must confirm compliance of all ASHRAE 62.1 mandatory measures, including the measure addressing “Buildings with Attached Parking Garages” requiring limitation of vehicular exhaust into adjacent spaces. .</t>
  </si>
  <si>
    <t>The proposed automatically detect CO and NO2. CO and NO2 are monitored and fans will ramp up over the course of 15 minutes or until sensors no longer call for increased ventilation. Fans will run 24/7 at 20HZ or at a minimum of 6% capacity 24/7 to provide constant air movement. Transfer fans will run at full speed 24/7 to maintain ventilation to dead zones.</t>
  </si>
  <si>
    <t>3)  If other activities occur in the garage area, the ventilation for these uses shall be in addition to garage vehicle ventilation.</t>
  </si>
  <si>
    <t>The parking garage does not appear to be intended for other purposes. Adjacent areas will be provided with ventilation as required by code.</t>
  </si>
  <si>
    <t>4) Proposed case shall be modeled such that a minimum air flow of 0.05 cfm/square foot is maintained.</t>
  </si>
  <si>
    <t>Per USGBC Multifamily Energy Mdoel Simulation Guidelines, the proposed case was modeled with EFLH of 8.4 hrs/day, which reflects the automatic control requirement requirement of 90.1-2010 Section 6.4.3.4.5.</t>
  </si>
  <si>
    <t>5)  A narrative shall describe all Baseline and Proposed case assumptions included for this measure, and the calculation methodology used to determine the projected savings. The narrative and energy savings should be reported separately from the other efficiency measures in the LEED Form.</t>
  </si>
  <si>
    <t>The proposed and baseline case assumptions and calculation methodology are summarized in Li-10371 Exception Calculation in this section.</t>
  </si>
  <si>
    <t>6) No more than a 75% fan energy savings shall be claimed for this measure.</t>
  </si>
  <si>
    <t>The calculated baseline case garage energy consumption is 118,260 kWh/yr, and the calculated proposed case garage ventilation savings is 81%. To limit the garage ventilation utility savings at 75%, the baseline garage ventilation energy consumption is limited at 87,830 kWh/yr and the calculated savings is 65,872 kWh/yr, or equivalent to 75% savings.</t>
  </si>
  <si>
    <t>Li-10371 Exceptional Calculation</t>
  </si>
  <si>
    <t>Ventilation System Flow Rate (CFM):</t>
  </si>
  <si>
    <t>Ventilation System Power Index (W/CFM):</t>
  </si>
  <si>
    <t>Ventilation System Power (kW):</t>
  </si>
  <si>
    <t>Effective Full Load Hours per Day (EFLH/day):</t>
  </si>
  <si>
    <t>Energy Model Annual Site Energy Consumption (kWh):</t>
  </si>
  <si>
    <t>Baseline Case Garage Ventilation System per LI-10371</t>
  </si>
  <si>
    <t>ECM Ventilation System Power Index (W/CFM):</t>
  </si>
  <si>
    <t>ECM Ventilation System Power (kW):</t>
  </si>
  <si>
    <t>ECM Effective Full Load Hours per Day (EFLH/day):</t>
  </si>
  <si>
    <t>ECM Annual Site Energy Consumption (kWh):</t>
  </si>
  <si>
    <t>LI-10371 Garage Ventilation System Energy Savings Limit</t>
  </si>
  <si>
    <t>Maximum Allowed Garage System Savings:</t>
  </si>
  <si>
    <t>Proposed Garage System Site Energy Consumption (kWh):</t>
  </si>
  <si>
    <t>Maximum Baseline Garage System Site Energy (kWh):</t>
  </si>
  <si>
    <t>LI-10371 Reported Baseline Garage System Energy (kWh):</t>
  </si>
  <si>
    <t>ECM Annual Site Energy Adjustment - Add to Baseline (kWh):</t>
  </si>
  <si>
    <t>Garage Area (sf)</t>
  </si>
  <si>
    <t>90.1-2010 Table 10.8B - Open Drip-Proof Motors (1,800 RPM)</t>
  </si>
  <si>
    <t>Baseline Exh Air Flow (cfm/sf):</t>
  </si>
  <si>
    <t>HP</t>
  </si>
  <si>
    <t>Min Eff</t>
  </si>
  <si>
    <t>Baseline Exh Air Flow (cfm):</t>
  </si>
  <si>
    <t>Base Exh Fan Power Index (W/cfm):</t>
  </si>
  <si>
    <t>Base Exh Fan EFLH (hrs/yr):</t>
  </si>
  <si>
    <t>Base Exh Fan Energy Consumption (kWh):</t>
  </si>
  <si>
    <t>Proposed Exh Fan Power (kW):</t>
  </si>
  <si>
    <t>&lt;- Assume 91% motor eff</t>
  </si>
  <si>
    <t>Prop Exh Fan Aior Flow (cfm):</t>
  </si>
  <si>
    <t>Prop Exh Fan Power Index (W/cfm):</t>
  </si>
  <si>
    <t>Prop Exh Fan EFLH (hrs/yr):</t>
  </si>
  <si>
    <t>Prop Exh Fan Energy Consumption (kWh):</t>
  </si>
  <si>
    <t>ECM Savings (kWh):</t>
  </si>
  <si>
    <t>xxxxxxxxxxxxx</t>
  </si>
  <si>
    <t xml:space="preserve">Baseline Case Garage Ventilation System per USGBC Multifamily Energy Model Simulation Guidelines </t>
  </si>
  <si>
    <t>0.02 TYPE A</t>
  </si>
  <si>
    <t>1.03 TYPE A</t>
  </si>
  <si>
    <t>2.01 TYPE A</t>
  </si>
  <si>
    <t>3.02 TYPE A</t>
  </si>
  <si>
    <t>ERV-1, Continuous</t>
  </si>
  <si>
    <t>ERV-2, Continuous</t>
  </si>
  <si>
    <t>ERV-2, Boost</t>
  </si>
  <si>
    <t>ERV-1, Boost</t>
  </si>
  <si>
    <t>L01</t>
  </si>
  <si>
    <t>L03</t>
  </si>
  <si>
    <t>R01</t>
  </si>
  <si>
    <t>X</t>
  </si>
  <si>
    <t>ASRE</t>
  </si>
  <si>
    <t>&lt;-- Prelim Proposed</t>
  </si>
  <si>
    <t>62.2-2010 Table 4.1</t>
  </si>
  <si>
    <t>Sys Coef</t>
  </si>
  <si>
    <t>(2018 WSMC Table 403.4.3)</t>
  </si>
  <si>
    <t>Min Vent. Rate
(CFM)</t>
  </si>
  <si>
    <t>Aldes E130-HR</t>
  </si>
  <si>
    <t>Panasonic Fan</t>
  </si>
  <si>
    <t>Standard Fan</t>
  </si>
  <si>
    <t>ZnSys:RtdHtRcvryEff:</t>
  </si>
  <si>
    <t>Vent?</t>
  </si>
  <si>
    <t>SMC 2015</t>
  </si>
  <si>
    <t>2015 Washington State Mechanical Code</t>
  </si>
  <si>
    <t>vrf In-Unit unit air flow:</t>
  </si>
  <si>
    <t>Auto-sized:</t>
  </si>
  <si>
    <t>Panasonic Exhaust Fan</t>
  </si>
  <si>
    <t>Aldes</t>
  </si>
  <si>
    <t>4-Hi</t>
  </si>
  <si>
    <t>1-Lo</t>
  </si>
  <si>
    <t>1-Hi</t>
  </si>
  <si>
    <t>4-Lo</t>
  </si>
  <si>
    <t>Power (W)</t>
  </si>
  <si>
    <t>&lt;- Need to adjust airflow, assume 4-Lo for continous and 4-Hi for boost</t>
  </si>
  <si>
    <t>Efficiency (CFM/W)</t>
  </si>
  <si>
    <t>Aldes E80-HRX</t>
  </si>
  <si>
    <t>&lt;- The cutsheet doesn't provide as many data as the E80-HRX. Assume 1W/CFM for 4-Lo and 1.3W/CFM for 4-Hi</t>
  </si>
  <si>
    <t>Night-time Only (Watts)</t>
  </si>
  <si>
    <t>24 Hr (Watts)</t>
  </si>
  <si>
    <t>Proposed Power (Watts)</t>
  </si>
  <si>
    <t>Resi=1/ Nresi=0</t>
  </si>
  <si>
    <t>Summary of Model Areas for REZ QC</t>
  </si>
  <si>
    <t>Conditioned Area</t>
  </si>
  <si>
    <t>Total Building by Space Type</t>
  </si>
  <si>
    <t>Ventilated Area</t>
  </si>
  <si>
    <t>Unventilated Area</t>
  </si>
  <si>
    <t>Lit Area</t>
  </si>
  <si>
    <t>Unlit Area</t>
  </si>
  <si>
    <t>Residential Common</t>
  </si>
  <si>
    <t>TI space</t>
  </si>
  <si>
    <t>Area description</t>
  </si>
  <si>
    <t>Conditioned and occupied</t>
  </si>
  <si>
    <t>Storage, support, stairs, vest</t>
  </si>
  <si>
    <t>Elevators and shafts</t>
  </si>
  <si>
    <t>Storage, support, parking</t>
  </si>
  <si>
    <t>Elevators and unoccupied</t>
  </si>
  <si>
    <t>HW Circulation Pump</t>
  </si>
  <si>
    <t>Armstrong E22.2B</t>
  </si>
  <si>
    <t>Listed hp</t>
  </si>
  <si>
    <t>Total kW</t>
  </si>
  <si>
    <t>Base kWh</t>
  </si>
  <si>
    <t>Prop kWh</t>
  </si>
  <si>
    <t>Ext Ltg</t>
  </si>
  <si>
    <t>Landscape/Façade</t>
  </si>
  <si>
    <t>Balcony</t>
  </si>
  <si>
    <t>Model idf Ext Ltg Inputs:</t>
  </si>
  <si>
    <t>Unoccupied</t>
  </si>
  <si>
    <t>Total Watts fromExtTakeoffs</t>
  </si>
  <si>
    <t>2018 WSEC</t>
  </si>
  <si>
    <t>Bluebeam markup Source:</t>
  </si>
  <si>
    <t>Interior Lighting</t>
  </si>
  <si>
    <t>Subject</t>
  </si>
  <si>
    <t>Page Label</t>
  </si>
  <si>
    <t>Label</t>
  </si>
  <si>
    <t>Length</t>
  </si>
  <si>
    <t>Count</t>
  </si>
  <si>
    <t>Layer</t>
  </si>
  <si>
    <t>QC</t>
  </si>
  <si>
    <t>Page</t>
  </si>
  <si>
    <t>Subject+Label</t>
  </si>
  <si>
    <t>Unique Subject+Label</t>
  </si>
  <si>
    <t>Unique Space</t>
  </si>
  <si>
    <t>Unique Category</t>
  </si>
  <si>
    <t>T</t>
  </si>
  <si>
    <t>SpcFuncDefault:VentPerArea:</t>
  </si>
  <si>
    <t>ZnSys:HVACAvailSchRef:</t>
  </si>
  <si>
    <t>Amty</t>
  </si>
  <si>
    <t>Oprk</t>
  </si>
  <si>
    <t xml:space="preserve">                          Name</t>
  </si>
  <si>
    <t xml:space="preserve"> Res Gross Wall Area</t>
  </si>
  <si>
    <t>Non Res Gross Wall Area</t>
  </si>
  <si>
    <t>Semi Cond Gross Wall Area</t>
  </si>
  <si>
    <t>Res Roof Gross Area</t>
  </si>
  <si>
    <t>Res Skylight Area</t>
  </si>
  <si>
    <t>NonRes Roof Gross Area</t>
  </si>
  <si>
    <t>NonRes Skylight Area</t>
  </si>
  <si>
    <t>Semi Roof Gross Area</t>
  </si>
  <si>
    <t>Semi Skelight Area</t>
  </si>
  <si>
    <t>Res Floor Area</t>
  </si>
  <si>
    <t>NonRes Floor Area</t>
  </si>
  <si>
    <t>Semi Floor Area</t>
  </si>
  <si>
    <t>Res BelowGrade Wall Area</t>
  </si>
  <si>
    <t>NonRes BelowGrade Wall Area</t>
  </si>
  <si>
    <t>Semi BelowGrade Wall Area</t>
  </si>
  <si>
    <t>Res GroundContacted Slab Area</t>
  </si>
  <si>
    <t>NonRes GroundContacted Slab Area</t>
  </si>
  <si>
    <t>Semi GroundContacted Slab Area</t>
  </si>
  <si>
    <t xml:space="preserve">                          </t>
  </si>
  <si>
    <t>L01-206_PrkgPrkgUncd</t>
  </si>
  <si>
    <t>Env Gross Area</t>
  </si>
  <si>
    <t>Fenestration Area</t>
  </si>
  <si>
    <t xml:space="preserve">AG Wall </t>
  </si>
  <si>
    <t>BG Wall</t>
  </si>
  <si>
    <t>Ground Contacted Slab</t>
  </si>
  <si>
    <t>Vertical</t>
  </si>
  <si>
    <t>Skylight</t>
  </si>
  <si>
    <t>NonResidential</t>
  </si>
  <si>
    <t>SemiHeated</t>
  </si>
  <si>
    <t xml:space="preserve">Ref: </t>
  </si>
  <si>
    <t>https://www.pnnl.gov/main/publications/external/technical_reports/PNNL-18898.pdf</t>
  </si>
  <si>
    <t>CFM/ft2_Natural Using "FlowExteriorWallArea" Method</t>
  </si>
  <si>
    <t>Cabs/Project</t>
  </si>
  <si>
    <t>Model Space(s):</t>
  </si>
  <si>
    <t>Elevator Check</t>
  </si>
  <si>
    <t>Modeled Energy (kWh)</t>
  </si>
  <si>
    <t>Lost Fraction</t>
  </si>
  <si>
    <t>LEED EM Report Misc. Savings Table</t>
  </si>
  <si>
    <t>Dwelling Unit Load</t>
  </si>
  <si>
    <t>Dishwasher</t>
  </si>
  <si>
    <t>Clothes Washer</t>
  </si>
  <si>
    <t>Clothes Dryer</t>
  </si>
  <si>
    <t>Electric Cooking Range</t>
  </si>
  <si>
    <t>Misc. Plug Loads</t>
  </si>
  <si>
    <t>Bath Local Exhaust Fans</t>
  </si>
  <si>
    <t>Range Hoods</t>
  </si>
  <si>
    <t>Total Calculated Dwelling Unit Misc. Savings</t>
  </si>
  <si>
    <t>MEPC Misc. Savings</t>
  </si>
  <si>
    <t xml:space="preserve">Note: This report is used in the LEED energy model report. </t>
  </si>
  <si>
    <t>BROAN</t>
  </si>
  <si>
    <t>BLP150 - HVI Rating Points</t>
  </si>
  <si>
    <t>Sensible Recovery Efficiency</t>
  </si>
  <si>
    <t>Adj. Sensible Recovery Efficiency</t>
  </si>
  <si>
    <t>Space-by-space Method</t>
  </si>
  <si>
    <t>OCC control LPD reduction</t>
  </si>
  <si>
    <t>Sales Area</t>
  </si>
  <si>
    <t>Use same value Asto</t>
  </si>
  <si>
    <t>BLP150 - Interpolated Rating Points</t>
  </si>
  <si>
    <t>Efficacy (CFM/W)</t>
  </si>
  <si>
    <t>Base Fuel Type:</t>
  </si>
  <si>
    <t>Prop Fuel Type:</t>
  </si>
  <si>
    <t>Base Capcity:</t>
  </si>
  <si>
    <t>Prop Capacity:</t>
  </si>
  <si>
    <t>Base Volume:</t>
  </si>
  <si>
    <t>Prop Volume:</t>
  </si>
  <si>
    <t>0.5 W/ft2 (finished floor area)</t>
  </si>
  <si>
    <t>Plug Loads (90.1-2010), or</t>
  </si>
  <si>
    <t>Plug Loads (90.1-2019, per DOE wkbk)</t>
  </si>
  <si>
    <t>90.1-2004 Baseline</t>
  </si>
  <si>
    <t>90.1-2019 Baseline</t>
  </si>
  <si>
    <t>WSEC 2021 Baseline</t>
  </si>
  <si>
    <t>90.1-2004 Base Site Allowance</t>
  </si>
  <si>
    <t>Base Site Allowance (Zone 2)</t>
  </si>
  <si>
    <t>Tradable</t>
  </si>
  <si>
    <t>Non-Tradable</t>
  </si>
  <si>
    <t>Compliance Model Type</t>
  </si>
  <si>
    <t>Main Use</t>
  </si>
  <si>
    <t>Subcategory</t>
  </si>
  <si>
    <t>Gross Area, SF</t>
  </si>
  <si>
    <t>Conditioned Area, SF</t>
  </si>
  <si>
    <t>Unconditioned Area, SF</t>
  </si>
  <si>
    <t>Schedule</t>
  </si>
  <si>
    <t>Residential (In-unit)</t>
  </si>
  <si>
    <t>M-F
6-8 am
5-10 pm
Sat - Sun
8 am - 10 pm</t>
  </si>
  <si>
    <t>24 x 7</t>
  </si>
  <si>
    <t>Residential Support (Back of house)</t>
  </si>
  <si>
    <t>9 am - 6 pm</t>
  </si>
  <si>
    <t xml:space="preserve">24 x 7 </t>
  </si>
  <si>
    <t>* Check if category 9 is needed. Category 4 could be breaking into commercial based on the project</t>
  </si>
  <si>
    <t>Receptacle Inputs</t>
  </si>
  <si>
    <t>Amenity
9 am - 6 pm
Fitness
6 am - 10 pm
Office
9 am - 6 pm</t>
  </si>
  <si>
    <t>Broan BLP150</t>
  </si>
  <si>
    <t>ISO 25745-2 Eff Class</t>
  </si>
  <si>
    <t>kWh/project</t>
  </si>
  <si>
    <t>DOE Workbook kWh</t>
  </si>
  <si>
    <t>90.1-2019 only</t>
  </si>
  <si>
    <t>W/cab</t>
  </si>
  <si>
    <t>90.1-2010</t>
  </si>
  <si>
    <t>2021 WSEC</t>
  </si>
  <si>
    <t>2018 SEC</t>
  </si>
  <si>
    <t>LEED v4.1</t>
  </si>
  <si>
    <t>LEED v4 ACP 111</t>
  </si>
  <si>
    <t>ESMFNC 901-2016 or later, Version 1.1</t>
  </si>
  <si>
    <t>Shower</t>
  </si>
  <si>
    <t>Lav/Sink</t>
  </si>
  <si>
    <t>Program</t>
  </si>
  <si>
    <t>Shower (gpm)</t>
  </si>
  <si>
    <t>Lav/Sink (gpm)</t>
  </si>
  <si>
    <t>Seattle RS-29 Water Temp</t>
  </si>
  <si>
    <t>WaterMainCZ4C</t>
  </si>
  <si>
    <t>Water Mains Schedule</t>
  </si>
  <si>
    <t>90.1-2019</t>
  </si>
  <si>
    <t>Max Boost CFM</t>
  </si>
  <si>
    <t xml:space="preserve">90.1-2010 LEED </t>
  </si>
  <si>
    <t>2021 SEC</t>
  </si>
  <si>
    <t>Use same as Corr</t>
  </si>
  <si>
    <t>CODE LPAs, Table C405.4.2(2)</t>
  </si>
  <si>
    <t>All other storage</t>
  </si>
  <si>
    <t>&lt;250 sf</t>
  </si>
  <si>
    <t>Whole Bldg</t>
  </si>
  <si>
    <t>Res Ext Wall Area x Mult</t>
  </si>
  <si>
    <t>Res Win Area x Mult</t>
  </si>
  <si>
    <t>Res WWR</t>
  </si>
  <si>
    <t>Area Basis</t>
  </si>
  <si>
    <t>Stairwell</t>
  </si>
  <si>
    <t>% Better than  Baseline</t>
  </si>
  <si>
    <t>Gross Exterior Wall Area</t>
  </si>
  <si>
    <t>Gross Volume</t>
  </si>
  <si>
    <t>Gross AG Envelope Area</t>
  </si>
  <si>
    <t>List</t>
  </si>
  <si>
    <t>Gross Exterior AG Env Area</t>
  </si>
  <si>
    <t>PNNL METHOD</t>
  </si>
  <si>
    <t>ASHRAE 90.1 Method</t>
  </si>
  <si>
    <t>Exterior Lighting Calculations</t>
  </si>
  <si>
    <t>Res/NonRes Flag</t>
  </si>
  <si>
    <t>90.1-2010_LEED</t>
  </si>
  <si>
    <t>Averge OS Adjustment</t>
  </si>
  <si>
    <t>Lookup Tables</t>
  </si>
  <si>
    <t>Total Number of Occupants in Spc</t>
  </si>
  <si>
    <t>Occ Multiplier</t>
  </si>
  <si>
    <t>^defualt laundry occupancy</t>
  </si>
  <si>
    <t>*Nbr is avg number of bedrooms in dwelling units</t>
  </si>
  <si>
    <t>2018, 2021 WA State Mechanical Code - Table 403.4.2</t>
  </si>
  <si>
    <t>WSMC 2021</t>
  </si>
  <si>
    <t>Basement</t>
  </si>
  <si>
    <t>Electrical/MechanicaI Room</t>
  </si>
  <si>
    <t>B01-002_StrsRaccBbrd</t>
  </si>
  <si>
    <t>Thermal Zone: B01-002_StrsRaccBbrd</t>
  </si>
  <si>
    <t>B01-003_MechRaccBbrd</t>
  </si>
  <si>
    <t>Thermal Zone: B01-003_MechRaccBbrd</t>
  </si>
  <si>
    <t>L01-101_MprpRaccVrfsHrv1</t>
  </si>
  <si>
    <t>Level 1</t>
  </si>
  <si>
    <t>Conference/Meeting/Multipurpose Room</t>
  </si>
  <si>
    <t>Thermal Zone: L01-101_MprpRaccVrfsHrv1</t>
  </si>
  <si>
    <t>L01-102_LbbyRaccVrfsHrv1</t>
  </si>
  <si>
    <t>Lobby - All other</t>
  </si>
  <si>
    <t>Thermal Zone: L01-102_LbbyRaccVrfsHrv1</t>
  </si>
  <si>
    <t>L01-103_CorrRaccBbrdHrv1</t>
  </si>
  <si>
    <t>Corridor - All other</t>
  </si>
  <si>
    <t>Thermal Zone: L01-103_CorrRaccBbrdHrv1</t>
  </si>
  <si>
    <t>L01-104_ElevRaccIncd</t>
  </si>
  <si>
    <t>L01-105_StrsRaccIncd</t>
  </si>
  <si>
    <t>L01-106_ComlComlSphp</t>
  </si>
  <si>
    <t>Thermal Zone: L01-106_ComlComlSphp</t>
  </si>
  <si>
    <t>L01-107_ComlComlSphp</t>
  </si>
  <si>
    <t>Thermal Zone: L01-107_ComlComlSphp</t>
  </si>
  <si>
    <t>L01-108_ComlComlSphp</t>
  </si>
  <si>
    <t>Thermal Zone: L01-108_ComlComlSphp</t>
  </si>
  <si>
    <t>L01-109_MechRaccBbrd</t>
  </si>
  <si>
    <t>Thermal Zone: L01-109_MechRaccBbrd</t>
  </si>
  <si>
    <t>L01-110_StrsRaccIncd</t>
  </si>
  <si>
    <t>Thermal Zone: L01-114_CorrRaccBbrdHrv2</t>
  </si>
  <si>
    <t>L01-111_ElevRaccIncd</t>
  </si>
  <si>
    <t>L01-112_AstoRaccBbrd</t>
  </si>
  <si>
    <t>Storage Room - &lt;50 ft2</t>
  </si>
  <si>
    <t>Thermal Zone: L01-112_AstoRaccBbrd</t>
  </si>
  <si>
    <t>L01-113_MechRaccBbrd</t>
  </si>
  <si>
    <t>Thermal Zone: L01-113_MechRaccBbrd</t>
  </si>
  <si>
    <t>L01-114_CorrRaccBbrdHrv2</t>
  </si>
  <si>
    <t>L01-115_TrxfUncd</t>
  </si>
  <si>
    <t>Thermal Zone: L01-115_TrxfUncd</t>
  </si>
  <si>
    <t>L02-200_CorrRaccSphp</t>
  </si>
  <si>
    <t>Level 2</t>
  </si>
  <si>
    <t>Thermal Zone: L02-200_CorrRaccSphp</t>
  </si>
  <si>
    <t>L02-201_OfceRaccPthpHrv3</t>
  </si>
  <si>
    <t>Thermal Zone: L02-201_OfceRaccPthpHrv3</t>
  </si>
  <si>
    <t>L02-202_MfamResiPthp</t>
  </si>
  <si>
    <t>Dwelling Unit</t>
  </si>
  <si>
    <t>Thermal Zone: L02-202_MfamResiPthp</t>
  </si>
  <si>
    <t>L02-203_MfamResiPthp</t>
  </si>
  <si>
    <t>Thermal Zone: L02-203_MfamResiPthp</t>
  </si>
  <si>
    <t>L02-204_AstoRaccIncd</t>
  </si>
  <si>
    <t>L02-205_MfamResiPthp</t>
  </si>
  <si>
    <t>Thermal Zone: L02-205_MfamResiPthp</t>
  </si>
  <si>
    <t>L02-206_MfamResiPthp</t>
  </si>
  <si>
    <t>Thermal Zone: L02-206_MfamResiPthp</t>
  </si>
  <si>
    <t>L02-207_MfamResiPthp</t>
  </si>
  <si>
    <t>Thermal Zone: L02-207_MfamResiPthp</t>
  </si>
  <si>
    <t>L02-208_MfamResiPthp</t>
  </si>
  <si>
    <t>Thermal Zone: L02-208_MfamResiPthp</t>
  </si>
  <si>
    <t>L02-209_MfamResiPthp</t>
  </si>
  <si>
    <t>Thermal Zone: L02-209_MfamResiPthp</t>
  </si>
  <si>
    <t>L02-210_LndyRaccBbrd</t>
  </si>
  <si>
    <t>Laundry/Washing Area</t>
  </si>
  <si>
    <t>Thermal Zone: L02-210_LndyRaccBbrd</t>
  </si>
  <si>
    <t>L02-211_ElevRaccIncd</t>
  </si>
  <si>
    <t>L02-212_StrsRaccIncd</t>
  </si>
  <si>
    <t>L02-213_MfamResiPthp</t>
  </si>
  <si>
    <t>Thermal Zone: L02-213_MfamResiPthp</t>
  </si>
  <si>
    <t>L02-214_MechRaccIncd</t>
  </si>
  <si>
    <t>L02-215_ElevRaccIncd</t>
  </si>
  <si>
    <t>L02-216_StrsRaccIncd</t>
  </si>
  <si>
    <t>L02-217_MfamResiPthp</t>
  </si>
  <si>
    <t>Thermal Zone: L02-217_MfamResiPthp</t>
  </si>
  <si>
    <t>L02-218_TrshRaccIncd</t>
  </si>
  <si>
    <t>L03-300_CorrRaccSphp</t>
  </si>
  <si>
    <t>Level 3</t>
  </si>
  <si>
    <t>Thermal Zone: L03-300_CorrRaccSphp</t>
  </si>
  <si>
    <t>L03-301_MfamResiPthp</t>
  </si>
  <si>
    <t>Thermal Zone: L03-301_MfamResiPthp</t>
  </si>
  <si>
    <t>L03-302_MfamResiPthp</t>
  </si>
  <si>
    <t>Thermal Zone: L03-302_MfamResiPthp</t>
  </si>
  <si>
    <t>L03-303_MfamResiPthp</t>
  </si>
  <si>
    <t>Thermal Zone: L03-303_MfamResiPthp</t>
  </si>
  <si>
    <t>L03-304_AstoRaccIncd</t>
  </si>
  <si>
    <t>L03-305_MfamResiPthp</t>
  </si>
  <si>
    <t>Thermal Zone: L03-305_MfamResiPthp</t>
  </si>
  <si>
    <t>L03-306_MfamResiPthp</t>
  </si>
  <si>
    <t>Thermal Zone: L03-306_MfamResiPthp</t>
  </si>
  <si>
    <t>L03-307_MfamResiPthp</t>
  </si>
  <si>
    <t>Thermal Zone: L03-307_MfamResiPthp</t>
  </si>
  <si>
    <t>L03-308_MfamResiPthp</t>
  </si>
  <si>
    <t>Thermal Zone: L03-308_MfamResiPthp</t>
  </si>
  <si>
    <t>L03-309_MfamResiPthp</t>
  </si>
  <si>
    <t>Thermal Zone: L03-309_MfamResiPthp</t>
  </si>
  <si>
    <t>L03-310_LndyRaccBbrd</t>
  </si>
  <si>
    <t>Thermal Zone: L03-310_LndyRaccBbrd</t>
  </si>
  <si>
    <t>L03-311_ElevRaccIncd</t>
  </si>
  <si>
    <t>L03-312_StrsRaccIncd</t>
  </si>
  <si>
    <t>L03-313_MfamResiPthp</t>
  </si>
  <si>
    <t>Thermal Zone: L03-313_MfamResiPthp</t>
  </si>
  <si>
    <t>L03-314_MechRaccIncd</t>
  </si>
  <si>
    <t>L03-315_ElevRaccIncd</t>
  </si>
  <si>
    <t>L03-316_StrsRaccIncd</t>
  </si>
  <si>
    <t>L03-317_MfamResiPthp</t>
  </si>
  <si>
    <t>Thermal Zone: L03-317_MfamResiPthp</t>
  </si>
  <si>
    <t>L03-318_TrshRaccIncd</t>
  </si>
  <si>
    <t>L03-319_MfamResiPthp</t>
  </si>
  <si>
    <t>Thermal Zone: L03-319_MfamResiPthp</t>
  </si>
  <si>
    <t>L06-600_CorrRaccSphp</t>
  </si>
  <si>
    <t>Level 6</t>
  </si>
  <si>
    <t>Thermal Zone: L06-600_CorrRaccSphp</t>
  </si>
  <si>
    <t>L06-601_MfamResiPthp</t>
  </si>
  <si>
    <t>Thermal Zone: L06-601_MfamResiPthp</t>
  </si>
  <si>
    <t>L06-602_MfamResiPthp</t>
  </si>
  <si>
    <t>Thermal Zone: L06-602_MfamResiPthp</t>
  </si>
  <si>
    <t>L06-603_MfamResiPthp</t>
  </si>
  <si>
    <t>Thermal Zone: L06-603_MfamResiPthp</t>
  </si>
  <si>
    <t>L06-604_AstoRaccIncd</t>
  </si>
  <si>
    <t>L06-605_MfamResiPthp</t>
  </si>
  <si>
    <t>Thermal Zone: L06-605_MfamResiPthp</t>
  </si>
  <si>
    <t>L06-606_MfamResiPthp</t>
  </si>
  <si>
    <t>Thermal Zone: L06-606_MfamResiPthp</t>
  </si>
  <si>
    <t>L06-607_MfamResiPthp</t>
  </si>
  <si>
    <t>Thermal Zone: L06-607_MfamResiPthp</t>
  </si>
  <si>
    <t>L06-608_MfamResiPthp</t>
  </si>
  <si>
    <t>Thermal Zone: L06-608_MfamResiPthp</t>
  </si>
  <si>
    <t>L06-609_MfamResiPthp</t>
  </si>
  <si>
    <t>Thermal Zone: L06-609_MfamResiPthp</t>
  </si>
  <si>
    <t>L06-610_LndyRaccBbrd</t>
  </si>
  <si>
    <t>Thermal Zone: L06-610_LndyRaccBbrd</t>
  </si>
  <si>
    <t>L06-611_ElevRaccIncd</t>
  </si>
  <si>
    <t>L06-612_StrsRaccIncd</t>
  </si>
  <si>
    <t>L06-613_MfamResiPthp</t>
  </si>
  <si>
    <t>Thermal Zone: L06-613_MfamResiPthp</t>
  </si>
  <si>
    <t>L06-614_MechRaccIncd</t>
  </si>
  <si>
    <t>L06-615_ElevRaccIncd</t>
  </si>
  <si>
    <t>L06-616_StrsRaccIncd</t>
  </si>
  <si>
    <t>L06-617_MfamResiPthp</t>
  </si>
  <si>
    <t>Thermal Zone: L06-617_MfamResiPthp</t>
  </si>
  <si>
    <t>L06-618_TrshRaccIncd</t>
  </si>
  <si>
    <t>L06-619_MfamResiPthp</t>
  </si>
  <si>
    <t>Thermal Zone: L06-619_MfamResiPthp</t>
  </si>
  <si>
    <t>R01-701_StrsRaccBbrd</t>
  </si>
  <si>
    <t>Thermal Zone: R01-701_StrsRaccBbrd</t>
  </si>
  <si>
    <t>R01-702_ElevRaccIncd</t>
  </si>
  <si>
    <t>R01-703_MechRaccPtac</t>
  </si>
  <si>
    <t>Thermal Zone: R01-703_MechRaccPtac</t>
  </si>
  <si>
    <t>R01-704_StrsRaccBbrd</t>
  </si>
  <si>
    <t>Thermal Zone: R01-704_StrsRaccBbrd</t>
  </si>
  <si>
    <t>R01-705_ElevRaccIncd</t>
  </si>
  <si>
    <t>R01-706_MechRaccPtac</t>
  </si>
  <si>
    <t>Thermal Zone: R01-706_MechRaccPtac</t>
  </si>
  <si>
    <t>Common Lndy</t>
  </si>
  <si>
    <t>Office - Open plan</t>
  </si>
  <si>
    <t>DHW + Lndy Consumption/Load -&gt;&gt;&gt;</t>
  </si>
  <si>
    <t>Interior Lighting -- ComplianceLtg</t>
  </si>
  <si>
    <t>Interior Equipment -- Receptacle</t>
  </si>
  <si>
    <t>Interior Equipment -- Internal Transport</t>
  </si>
  <si>
    <t>Fans -- Parking Garage</t>
  </si>
  <si>
    <t>Water Systems</t>
  </si>
  <si>
    <t>Water Systems -- General</t>
  </si>
  <si>
    <t>Electricity Energy Use [kWh]</t>
  </si>
  <si>
    <t>Natural Gas Energy Use [therm]</t>
  </si>
  <si>
    <t>Water [gal]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</si>
</sst>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1" formatCode="_(* #,##0_);_(* \(#,##0\);_(* &quot;-&quot;_);_(@_)"/>
    <numFmt numFmtId="44" formatCode="_(&quot;$&quot;* #,##0.00_);_(&quot;$&quot;* \(#,##0.00\);_(&quot;$&quot;* &quot;-&quot;??_);_(@_)"/>
    <numFmt numFmtId="43" formatCode="_(* #,##0.00_);_(* \(#,##0.00\);_(* &quot;-&quot;??_);_(@_)"/>
    <numFmt numFmtId="164" formatCode="0.0"/>
    <numFmt numFmtId="165" formatCode="0.000"/>
    <numFmt numFmtId="166" formatCode="_(* #,##0.000_);_(* \(#,##0.000\);_(* &quot;-&quot;??_);_(@_)"/>
    <numFmt numFmtId="167" formatCode="_(* #,##0_);_(* \(#,##0\);_(* &quot;-&quot;??_);_(@_)"/>
    <numFmt numFmtId="168" formatCode="_(* #,##0.0_);_(* \(#,##0.0\);_(* &quot;-&quot;??_);_(@_)"/>
    <numFmt numFmtId="169" formatCode="0.0%"/>
    <numFmt numFmtId="170" formatCode="0.0000"/>
    <numFmt numFmtId="171" formatCode="#,##0.0"/>
    <numFmt numFmtId="172" formatCode="#,##0.000_);\(#,##0.000\)"/>
    <numFmt numFmtId="173" formatCode="_(* #,##0.0000_);_(* \(#,##0.0000\);_(* &quot;-&quot;??_);_(@_)"/>
    <numFmt numFmtId="174" formatCode="_(* #,##0.00000_);_(* \(#,##0.00000\);_(* &quot;-&quot;??_);_(@_)"/>
    <numFmt numFmtId="175" formatCode="_(&quot;$&quot;* #,##0_);_(&quot;$&quot;* \(#,##0\);_(&quot;$&quot;* &quot;-&quot;??_);_(@_)"/>
    <numFmt numFmtId="176" formatCode="#,##0.000"/>
  </numFmts>
  <fonts count="202" x14ac:knownFonts="1">
    <font>
      <sz val="11"/>
      <color theme="1"/>
      <name val="Calibri"/>
      <family val="2"/>
      <scheme val="minor"/>
    </font>
    <font>
      <sz val="10"/>
      <color theme="1"/>
      <name val="Yu Gothic"/>
      <family val="2"/>
    </font>
    <font>
      <sz val="11"/>
      <color theme="1"/>
      <name val="Calibri"/>
      <family val="2"/>
      <scheme val="minor"/>
    </font>
    <font>
      <sz val="8"/>
      <name val="Verdana"/>
      <family val="2"/>
    </font>
    <font>
      <b/>
      <sz val="11"/>
      <color theme="1"/>
      <name val="Calibri"/>
      <family val="2"/>
      <scheme val="minor"/>
    </font>
    <font>
      <b/>
      <sz val="14"/>
      <color theme="1"/>
      <name val="Calibri"/>
      <family val="2"/>
      <scheme val="minor"/>
    </font>
    <font>
      <b/>
      <sz val="11"/>
      <color theme="0"/>
      <name val="Calibri"/>
      <family val="2"/>
      <scheme val="minor"/>
    </font>
    <font>
      <i/>
      <sz val="9"/>
      <color theme="1"/>
      <name val="Calibri"/>
      <family val="2"/>
      <scheme val="minor"/>
    </font>
    <font>
      <sz val="9"/>
      <color indexed="81"/>
      <name val="Tahoma"/>
      <family val="2"/>
    </font>
    <font>
      <b/>
      <sz val="9"/>
      <color indexed="81"/>
      <name val="Tahoma"/>
      <family val="2"/>
    </font>
    <font>
      <sz val="11"/>
      <name val="Calibri"/>
      <family val="2"/>
      <scheme val="minor"/>
    </font>
    <font>
      <sz val="11"/>
      <color rgb="FFFF0000"/>
      <name val="Calibri"/>
      <family val="2"/>
      <scheme val="minor"/>
    </font>
    <font>
      <sz val="11"/>
      <color rgb="FF3F3F76"/>
      <name val="Calibri"/>
      <family val="2"/>
      <scheme val="minor"/>
    </font>
    <font>
      <sz val="11"/>
      <color theme="0"/>
      <name val="Calibri"/>
      <family val="2"/>
      <scheme val="minor"/>
    </font>
    <font>
      <sz val="9"/>
      <color theme="1"/>
      <name val="Calibri"/>
      <family val="2"/>
      <scheme val="minor"/>
    </font>
    <font>
      <sz val="9"/>
      <name val="Calibri"/>
      <family val="2"/>
      <scheme val="minor"/>
    </font>
    <font>
      <b/>
      <sz val="11"/>
      <name val="Calibri"/>
      <family val="2"/>
      <scheme val="minor"/>
    </font>
    <font>
      <sz val="10"/>
      <name val="Calibri"/>
      <family val="2"/>
      <scheme val="minor"/>
    </font>
    <font>
      <sz val="10"/>
      <color theme="1"/>
      <name val="Calibri"/>
      <family val="2"/>
      <scheme val="minor"/>
    </font>
    <font>
      <b/>
      <sz val="10"/>
      <name val="Calibri"/>
      <family val="2"/>
      <scheme val="minor"/>
    </font>
    <font>
      <sz val="11"/>
      <color theme="0" tint="-0.249977111117893"/>
      <name val="Calibri"/>
      <family val="2"/>
      <scheme val="minor"/>
    </font>
    <font>
      <b/>
      <sz val="8"/>
      <name val="Calibri"/>
      <family val="2"/>
      <scheme val="minor"/>
    </font>
    <font>
      <sz val="8"/>
      <name val="Calibri"/>
      <family val="2"/>
      <scheme val="minor"/>
    </font>
    <font>
      <b/>
      <sz val="9"/>
      <name val="Calibri"/>
      <family val="2"/>
      <scheme val="minor"/>
    </font>
    <font>
      <b/>
      <sz val="12"/>
      <name val="Calibri"/>
      <family val="2"/>
      <scheme val="minor"/>
    </font>
    <font>
      <b/>
      <sz val="8"/>
      <color rgb="FFFF0000"/>
      <name val="Calibri"/>
      <family val="2"/>
      <scheme val="minor"/>
    </font>
    <font>
      <sz val="11"/>
      <color theme="0" tint="-0.14999847407452621"/>
      <name val="Calibri"/>
      <family val="2"/>
      <scheme val="minor"/>
    </font>
    <font>
      <sz val="11"/>
      <color theme="0" tint="-0.34998626667073579"/>
      <name val="Calibri"/>
      <family val="2"/>
      <scheme val="minor"/>
    </font>
    <font>
      <sz val="8"/>
      <color theme="6" tint="-0.249977111117893"/>
      <name val="Calibri"/>
      <family val="2"/>
      <scheme val="minor"/>
    </font>
    <font>
      <sz val="9"/>
      <color theme="0" tint="-0.499984740745262"/>
      <name val="Calibri"/>
      <family val="2"/>
      <scheme val="minor"/>
    </font>
    <font>
      <b/>
      <sz val="11"/>
      <color rgb="FFFF0000"/>
      <name val="Calibri"/>
      <family val="2"/>
      <scheme val="minor"/>
    </font>
    <font>
      <sz val="10"/>
      <color theme="0" tint="-0.34998626667073579"/>
      <name val="Calibri"/>
      <family val="2"/>
      <scheme val="minor"/>
    </font>
    <font>
      <b/>
      <sz val="11"/>
      <color rgb="FF0000FF"/>
      <name val="Calibri"/>
      <family val="2"/>
      <scheme val="minor"/>
    </font>
    <font>
      <b/>
      <sz val="11"/>
      <color theme="0" tint="-0.499984740745262"/>
      <name val="Calibri"/>
      <family val="2"/>
      <scheme val="minor"/>
    </font>
    <font>
      <b/>
      <sz val="12"/>
      <color rgb="FFFF0000"/>
      <name val="Calibri"/>
      <family val="2"/>
      <scheme val="minor"/>
    </font>
    <font>
      <b/>
      <sz val="11"/>
      <color rgb="FF3F3F3F"/>
      <name val="Calibri"/>
      <family val="2"/>
      <scheme val="minor"/>
    </font>
    <font>
      <b/>
      <sz val="11"/>
      <color rgb="FFFA7D00"/>
      <name val="Calibri"/>
      <family val="2"/>
      <scheme val="minor"/>
    </font>
    <font>
      <vertAlign val="superscript"/>
      <sz val="11"/>
      <color theme="1"/>
      <name val="Calibri"/>
      <family val="2"/>
      <scheme val="minor"/>
    </font>
    <font>
      <i/>
      <sz val="9"/>
      <color theme="4" tint="-0.249977111117893"/>
      <name val="Calibri"/>
      <family val="2"/>
      <scheme val="minor"/>
    </font>
    <font>
      <sz val="11"/>
      <color theme="4" tint="-0.249977111117893"/>
      <name val="Calibri"/>
      <family val="2"/>
      <scheme val="minor"/>
    </font>
    <font>
      <sz val="11"/>
      <color rgb="FF006100"/>
      <name val="Calibri"/>
      <family val="2"/>
      <scheme val="minor"/>
    </font>
    <font>
      <sz val="10"/>
      <name val="Arial"/>
      <family val="2"/>
    </font>
    <font>
      <b/>
      <sz val="10"/>
      <name val="Arial"/>
      <family val="2"/>
    </font>
    <font>
      <i/>
      <sz val="10"/>
      <name val="Arial"/>
      <family val="2"/>
    </font>
    <font>
      <b/>
      <u/>
      <sz val="10"/>
      <name val="Arial"/>
      <family val="2"/>
    </font>
    <font>
      <b/>
      <i/>
      <u/>
      <sz val="10"/>
      <name val="Arial"/>
      <family val="2"/>
    </font>
    <font>
      <sz val="10"/>
      <color theme="0" tint="-0.499984740745262"/>
      <name val="Arial"/>
      <family val="2"/>
    </font>
    <font>
      <b/>
      <i/>
      <u/>
      <sz val="10"/>
      <color theme="0" tint="-0.499984740745262"/>
      <name val="Arial"/>
      <family val="2"/>
    </font>
    <font>
      <b/>
      <sz val="10"/>
      <color indexed="10"/>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1"/>
      <color rgb="FF0000FF"/>
      <name val="Calibri"/>
      <family val="2"/>
      <scheme val="minor"/>
    </font>
    <font>
      <sz val="10"/>
      <color theme="0" tint="-0.499984740745262"/>
      <name val="Calibri"/>
      <family val="2"/>
      <scheme val="minor"/>
    </font>
    <font>
      <sz val="10"/>
      <color rgb="FFFF0000"/>
      <name val="Calibri"/>
      <family val="2"/>
      <scheme val="minor"/>
    </font>
    <font>
      <sz val="8"/>
      <color theme="0" tint="-0.34998626667073579"/>
      <name val="Calibri"/>
      <family val="2"/>
      <scheme val="minor"/>
    </font>
    <font>
      <b/>
      <sz val="10"/>
      <color theme="0" tint="-0.34998626667073579"/>
      <name val="Calibri"/>
      <family val="2"/>
      <scheme val="minor"/>
    </font>
    <font>
      <sz val="9"/>
      <color theme="0" tint="-0.34998626667073579"/>
      <name val="Calibri"/>
      <family val="2"/>
      <scheme val="minor"/>
    </font>
    <font>
      <b/>
      <sz val="10"/>
      <color rgb="FFFF0000"/>
      <name val="Arial"/>
      <family val="2"/>
    </font>
    <font>
      <sz val="11"/>
      <color theme="9" tint="-0.249977111117893"/>
      <name val="Calibri"/>
      <family val="2"/>
      <scheme val="minor"/>
    </font>
    <font>
      <sz val="10"/>
      <color theme="0"/>
      <name val="Arial"/>
      <family val="2"/>
    </font>
    <font>
      <sz val="8"/>
      <color theme="0" tint="-0.14999847407452621"/>
      <name val="Calibri"/>
      <family val="2"/>
      <scheme val="minor"/>
    </font>
    <font>
      <b/>
      <sz val="10"/>
      <color rgb="FF0000FF"/>
      <name val="Calibri"/>
      <family val="2"/>
      <scheme val="minor"/>
    </font>
    <font>
      <b/>
      <sz val="8"/>
      <color theme="1" tint="0.499984740745262"/>
      <name val="Calibri"/>
      <family val="2"/>
      <scheme val="minor"/>
    </font>
    <font>
      <sz val="8"/>
      <color theme="1" tint="0.499984740745262"/>
      <name val="Calibri"/>
      <family val="2"/>
      <scheme val="minor"/>
    </font>
    <font>
      <b/>
      <sz val="10"/>
      <color theme="1" tint="0.499984740745262"/>
      <name val="Calibri"/>
      <family val="2"/>
      <scheme val="minor"/>
    </font>
    <font>
      <sz val="10"/>
      <color theme="1" tint="0.499984740745262"/>
      <name val="Calibri"/>
      <family val="2"/>
      <scheme val="minor"/>
    </font>
    <font>
      <sz val="8"/>
      <color theme="9" tint="0.39997558519241921"/>
      <name val="Calibri"/>
      <family val="2"/>
      <scheme val="minor"/>
    </font>
    <font>
      <sz val="10"/>
      <color theme="1"/>
      <name val="Arial"/>
      <family val="2"/>
    </font>
    <font>
      <b/>
      <sz val="10"/>
      <color theme="0"/>
      <name val="Open Sans Light"/>
      <family val="2"/>
    </font>
    <font>
      <b/>
      <sz val="10"/>
      <name val="Open Sans Light"/>
      <family val="2"/>
    </font>
    <font>
      <sz val="10"/>
      <name val="Open Sans Light"/>
      <family val="2"/>
    </font>
    <font>
      <i/>
      <sz val="8"/>
      <color theme="0" tint="-0.499984740745262"/>
      <name val="Open Sans Light"/>
      <family val="2"/>
    </font>
    <font>
      <sz val="10"/>
      <color rgb="FFFF0000"/>
      <name val="Open Sans Light"/>
      <family val="2"/>
    </font>
    <font>
      <sz val="10"/>
      <color theme="0" tint="-0.14999847407452621"/>
      <name val="Open Sans Light"/>
      <family val="2"/>
    </font>
    <font>
      <sz val="10"/>
      <color rgb="FF0000FF"/>
      <name val="Open Sans Light"/>
      <family val="2"/>
    </font>
    <font>
      <i/>
      <sz val="8"/>
      <name val="Open Sans Light"/>
      <family val="2"/>
    </font>
    <font>
      <b/>
      <sz val="8"/>
      <color rgb="FF0000FF"/>
      <name val="Calibri"/>
      <family val="2"/>
      <scheme val="minor"/>
    </font>
    <font>
      <b/>
      <sz val="11"/>
      <color theme="0" tint="-0.34998626667073579"/>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FA7D00"/>
      <name val="Calibri"/>
      <family val="2"/>
      <scheme val="minor"/>
    </font>
    <font>
      <i/>
      <sz val="11"/>
      <color rgb="FF7F7F7F"/>
      <name val="Calibri"/>
      <family val="2"/>
      <scheme val="minor"/>
    </font>
    <font>
      <sz val="10"/>
      <name val="Open Sans Semibold"/>
      <family val="2"/>
    </font>
    <font>
      <sz val="12"/>
      <name val="Open Sans Semibold"/>
      <family val="2"/>
    </font>
    <font>
      <sz val="10"/>
      <color theme="1"/>
      <name val="Open Sans Semibold"/>
      <family val="2"/>
    </font>
    <font>
      <sz val="10"/>
      <color rgb="FF0000FF"/>
      <name val="Open Sans Semibold"/>
      <family val="2"/>
    </font>
    <font>
      <sz val="12"/>
      <color theme="1"/>
      <name val="Open Sans Semibold"/>
      <family val="2"/>
    </font>
    <font>
      <sz val="11"/>
      <name val="Open Sans Semibold"/>
      <family val="2"/>
    </font>
    <font>
      <sz val="10"/>
      <color theme="0"/>
      <name val="Open Sans Light"/>
      <family val="2"/>
    </font>
    <font>
      <sz val="10"/>
      <color theme="0"/>
      <name val="Open Sans Semibold"/>
      <family val="2"/>
    </font>
    <font>
      <b/>
      <sz val="10"/>
      <name val="Open Sans Light"/>
      <family val="2"/>
    </font>
    <font>
      <sz val="10"/>
      <color theme="0" tint="-0.499984740745262"/>
      <name val="Open Sans Light"/>
      <family val="2"/>
    </font>
    <font>
      <sz val="11"/>
      <color theme="1"/>
      <name val="Open Sans Light"/>
      <family val="2"/>
    </font>
    <font>
      <b/>
      <sz val="11"/>
      <color theme="1"/>
      <name val="Open Sans Light"/>
      <family val="2"/>
    </font>
    <font>
      <sz val="11"/>
      <name val="Open Sans Light"/>
      <family val="2"/>
    </font>
    <font>
      <b/>
      <sz val="11"/>
      <color rgb="FF0000FF"/>
      <name val="Open Sans Light"/>
      <family val="2"/>
    </font>
    <font>
      <sz val="11"/>
      <color theme="0" tint="-0.499984740745262"/>
      <name val="Open Sans Light"/>
      <family val="2"/>
    </font>
    <font>
      <sz val="11"/>
      <color theme="0" tint="-0.34998626667073579"/>
      <name val="Open Sans Light"/>
      <family val="2"/>
    </font>
    <font>
      <b/>
      <sz val="11"/>
      <name val="Open Sans Light"/>
      <family val="2"/>
    </font>
    <font>
      <b/>
      <sz val="11"/>
      <color rgb="FFFF0000"/>
      <name val="Open Sans Light"/>
      <family val="2"/>
    </font>
    <font>
      <b/>
      <sz val="11"/>
      <color theme="1"/>
      <name val="Open Sans Light"/>
      <family val="2"/>
    </font>
    <font>
      <sz val="11"/>
      <color rgb="FF0000FF"/>
      <name val="Open Sans Light"/>
      <family val="2"/>
    </font>
    <font>
      <b/>
      <sz val="11"/>
      <color rgb="FF0000FF"/>
      <name val="Open Sans Light"/>
      <family val="2"/>
    </font>
    <font>
      <b/>
      <sz val="11"/>
      <name val="Open Sans Light"/>
      <family val="2"/>
    </font>
    <font>
      <sz val="11"/>
      <color indexed="8"/>
      <name val="Calibri"/>
      <family val="2"/>
    </font>
    <font>
      <sz val="12"/>
      <name val="Calibri"/>
      <family val="2"/>
      <scheme val="minor"/>
    </font>
    <font>
      <sz val="12"/>
      <name val="Open Sans Light"/>
      <family val="2"/>
    </font>
    <font>
      <b/>
      <sz val="12"/>
      <name val="Open Sans Semibold"/>
      <family val="2"/>
    </font>
    <font>
      <sz val="11"/>
      <color theme="1"/>
      <name val="Open Sans Semibold"/>
      <family val="2"/>
    </font>
    <font>
      <sz val="9"/>
      <color theme="1"/>
      <name val="Open Sans Light"/>
      <family val="2"/>
    </font>
    <font>
      <i/>
      <sz val="9"/>
      <color theme="1"/>
      <name val="Open Sans Light"/>
      <family val="2"/>
    </font>
    <font>
      <b/>
      <sz val="10"/>
      <color theme="1"/>
      <name val="Open Sans Semibold"/>
      <family val="2"/>
    </font>
    <font>
      <sz val="8"/>
      <color rgb="FF0000FF"/>
      <name val="Calibri"/>
      <family val="2"/>
      <scheme val="minor"/>
    </font>
    <font>
      <b/>
      <sz val="11"/>
      <color theme="4"/>
      <name val="Calibri"/>
      <family val="2"/>
      <scheme val="minor"/>
    </font>
    <font>
      <b/>
      <sz val="11"/>
      <color rgb="FFFF0000"/>
      <name val="Calibri"/>
      <family val="2"/>
      <scheme val="minor"/>
    </font>
    <font>
      <b/>
      <sz val="10"/>
      <color rgb="FF0000FF"/>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b/>
      <sz val="11"/>
      <color rgb="FF0000FF"/>
      <name val="Calibri"/>
      <family val="2"/>
      <scheme val="minor"/>
    </font>
    <font>
      <sz val="11"/>
      <color theme="0" tint="-0.34998626667073579"/>
      <name val="Calibri"/>
      <family val="2"/>
      <scheme val="minor"/>
    </font>
    <font>
      <sz val="11"/>
      <color rgb="FF0000FF"/>
      <name val="Calibri"/>
      <family val="2"/>
      <scheme val="minor"/>
    </font>
    <font>
      <sz val="11"/>
      <color rgb="FF3F3F76"/>
      <name val="Calibri"/>
      <family val="2"/>
      <scheme val="minor"/>
    </font>
    <font>
      <b/>
      <sz val="11"/>
      <color theme="0"/>
      <name val="Calibri"/>
      <family val="2"/>
      <scheme val="minor"/>
    </font>
    <font>
      <b/>
      <sz val="11"/>
      <color rgb="FF3F3F3F"/>
      <name val="Calibri"/>
      <family val="2"/>
      <scheme val="minor"/>
    </font>
    <font>
      <b/>
      <sz val="11"/>
      <color rgb="FFFA7D00"/>
      <name val="Calibri"/>
      <family val="2"/>
      <scheme val="minor"/>
    </font>
    <font>
      <sz val="11"/>
      <color theme="0" tint="-0.249977111117893"/>
      <name val="Calibri"/>
      <family val="2"/>
      <scheme val="minor"/>
    </font>
    <font>
      <b/>
      <sz val="20"/>
      <color theme="4"/>
      <name val="Calibri"/>
      <family val="2"/>
      <scheme val="minor"/>
    </font>
    <font>
      <b/>
      <sz val="11"/>
      <color theme="6" tint="-0.249977111117893"/>
      <name val="Calibri"/>
      <family val="2"/>
      <scheme val="minor"/>
    </font>
    <font>
      <b/>
      <sz val="11"/>
      <color theme="7" tint="-0.249977111117893"/>
      <name val="Calibri"/>
      <family val="2"/>
      <scheme val="minor"/>
    </font>
    <font>
      <sz val="11"/>
      <color theme="4" tint="-0.499984740745262"/>
      <name val="Calibri"/>
      <family val="2"/>
      <scheme val="minor"/>
    </font>
    <font>
      <u/>
      <sz val="11"/>
      <color theme="10"/>
      <name val="Calibri"/>
      <family val="2"/>
      <scheme val="minor"/>
    </font>
    <font>
      <sz val="11"/>
      <color theme="5"/>
      <name val="Calibri"/>
      <family val="2"/>
      <scheme val="minor"/>
    </font>
    <font>
      <b/>
      <sz val="16"/>
      <color theme="0"/>
      <name val="Arial Black"/>
      <family val="2"/>
    </font>
    <font>
      <b/>
      <sz val="10"/>
      <color theme="0"/>
      <name val="Arial"/>
      <family val="2"/>
    </font>
    <font>
      <sz val="9"/>
      <color theme="1"/>
      <name val="Arial"/>
      <family val="2"/>
    </font>
    <font>
      <sz val="9"/>
      <name val="Arial"/>
      <family val="2"/>
    </font>
    <font>
      <b/>
      <sz val="12"/>
      <color theme="1"/>
      <name val="Arial"/>
      <family val="2"/>
    </font>
    <font>
      <b/>
      <sz val="10"/>
      <color theme="1"/>
      <name val="Arial"/>
      <family val="2"/>
    </font>
    <font>
      <b/>
      <i/>
      <sz val="10"/>
      <color theme="1"/>
      <name val="Arial"/>
      <family val="2"/>
    </font>
    <font>
      <b/>
      <sz val="9"/>
      <color theme="1"/>
      <name val="Arial"/>
      <family val="2"/>
    </font>
    <font>
      <sz val="12"/>
      <name val="Arial"/>
      <family val="2"/>
    </font>
    <font>
      <sz val="10"/>
      <name val="Calibri"/>
      <family val="2"/>
    </font>
    <font>
      <sz val="10"/>
      <color indexed="8"/>
      <name val="Arial"/>
      <family val="2"/>
    </font>
    <font>
      <sz val="8"/>
      <name val="Arial"/>
      <family val="2"/>
    </font>
    <font>
      <sz val="10"/>
      <color rgb="FFFADA63"/>
      <name val="Arial"/>
      <family val="2"/>
    </font>
    <font>
      <sz val="10"/>
      <color rgb="FFFF0000"/>
      <name val="Arial"/>
      <family val="2"/>
    </font>
    <font>
      <sz val="9"/>
      <color indexed="8"/>
      <name val="Arial"/>
      <family val="2"/>
    </font>
    <font>
      <sz val="8"/>
      <color theme="1"/>
      <name val="Arial"/>
      <family val="2"/>
    </font>
    <font>
      <b/>
      <sz val="11"/>
      <color rgb="FFC00000"/>
      <name val="Open Sans Light"/>
      <family val="2"/>
    </font>
    <font>
      <sz val="11"/>
      <color rgb="FFC00000"/>
      <name val="Open Sans Light"/>
      <family val="2"/>
    </font>
    <font>
      <b/>
      <sz val="11"/>
      <color rgb="FFC00000"/>
      <name val="Calibri"/>
      <family val="2"/>
      <scheme val="minor"/>
    </font>
    <font>
      <sz val="11"/>
      <color theme="1"/>
      <name val="Yu Gothic"/>
      <family val="2"/>
    </font>
    <font>
      <b/>
      <sz val="14"/>
      <color theme="1"/>
      <name val="Yu Gothic"/>
      <family val="2"/>
    </font>
    <font>
      <sz val="8"/>
      <name val="Yu Gothic"/>
      <family val="2"/>
    </font>
    <font>
      <b/>
      <sz val="8"/>
      <color rgb="FFFF0000"/>
      <name val="Yu Gothic"/>
      <family val="2"/>
    </font>
    <font>
      <b/>
      <sz val="10"/>
      <color rgb="FFFF0000"/>
      <name val="Yu Gothic"/>
      <family val="2"/>
    </font>
    <font>
      <b/>
      <sz val="11"/>
      <color rgb="FFFF0000"/>
      <name val="Yu Gothic"/>
      <family val="2"/>
    </font>
    <font>
      <b/>
      <sz val="11"/>
      <name val="Yu Gothic"/>
      <family val="2"/>
    </font>
    <font>
      <sz val="11"/>
      <color rgb="FF3F3F76"/>
      <name val="Yu Gothic"/>
      <family val="2"/>
    </font>
    <font>
      <sz val="9"/>
      <name val="Yu Gothic"/>
      <family val="2"/>
    </font>
    <font>
      <sz val="11"/>
      <name val="Yu Gothic"/>
      <family val="2"/>
    </font>
    <font>
      <b/>
      <sz val="18"/>
      <color rgb="FF3F3F76"/>
      <name val="Yu Gothic"/>
      <family val="2"/>
    </font>
    <font>
      <sz val="9"/>
      <color theme="0" tint="-0.14999847407452621"/>
      <name val="Yu Gothic"/>
      <family val="2"/>
    </font>
    <font>
      <b/>
      <sz val="10"/>
      <color rgb="FF0000FF"/>
      <name val="Yu Gothic"/>
      <family val="2"/>
    </font>
    <font>
      <sz val="8"/>
      <color theme="0" tint="-0.249977111117893"/>
      <name val="Yu Gothic"/>
      <family val="2"/>
    </font>
    <font>
      <sz val="8"/>
      <color rgb="FF3F3F76"/>
      <name val="Yu Gothic"/>
      <family val="2"/>
    </font>
    <font>
      <sz val="8"/>
      <color theme="4"/>
      <name val="Yu Gothic"/>
      <family val="2"/>
    </font>
    <font>
      <b/>
      <sz val="12"/>
      <color theme="4"/>
      <name val="Yu Gothic"/>
      <family val="2"/>
    </font>
    <font>
      <b/>
      <sz val="10"/>
      <color theme="1"/>
      <name val="Yu Gothic"/>
      <family val="2"/>
    </font>
    <font>
      <sz val="10"/>
      <color theme="1"/>
      <name val="Yu Gothic"/>
      <family val="2"/>
    </font>
    <font>
      <b/>
      <sz val="11"/>
      <color theme="1"/>
      <name val="Yu Gothic"/>
      <family val="2"/>
    </font>
    <font>
      <sz val="10"/>
      <color rgb="FF0000FF"/>
      <name val="Yu Gothic"/>
      <family val="2"/>
    </font>
    <font>
      <sz val="10"/>
      <color rgb="FF3F3F76"/>
      <name val="Calibri"/>
      <family val="2"/>
      <scheme val="minor"/>
    </font>
    <font>
      <sz val="11"/>
      <color rgb="FF9C5700"/>
      <name val="Calibri"/>
      <family val="2"/>
      <scheme val="minor"/>
    </font>
    <font>
      <b/>
      <sz val="9"/>
      <color theme="1"/>
      <name val="Yu Gothic"/>
      <family val="2"/>
    </font>
    <font>
      <b/>
      <sz val="11"/>
      <color theme="8"/>
      <name val="Yu Gothic"/>
      <family val="2"/>
    </font>
    <font>
      <b/>
      <sz val="9"/>
      <name val="Yu Gothic"/>
      <family val="2"/>
    </font>
    <font>
      <sz val="10"/>
      <color rgb="FF3F3F76"/>
      <name val="Yu Gothic"/>
      <family val="2"/>
    </font>
    <font>
      <sz val="11"/>
      <color rgb="FF000000"/>
      <name val="Calibri"/>
      <family val="2"/>
    </font>
    <font>
      <sz val="10"/>
      <name val="Yu Gothic"/>
      <family val="2"/>
    </font>
    <font>
      <b/>
      <sz val="10"/>
      <name val="Yu Gothic"/>
      <family val="2"/>
    </font>
    <font>
      <i/>
      <sz val="10"/>
      <color theme="0" tint="-0.499984740745262"/>
      <name val="Yu Gothic"/>
      <family val="2"/>
    </font>
    <font>
      <u/>
      <sz val="9"/>
      <color indexed="81"/>
      <name val="Tahoma"/>
      <family val="2"/>
    </font>
    <font>
      <sz val="11"/>
      <color rgb="FF3F3F76"/>
      <name val="Open Sans Light"/>
      <family val="2"/>
    </font>
    <font>
      <sz val="11"/>
      <color rgb="FFFF0000"/>
      <name val="Open Sans Light"/>
      <family val="2"/>
    </font>
    <font>
      <b/>
      <sz val="11"/>
      <color rgb="FF006100"/>
      <name val="Yu Gothic"/>
      <family val="2"/>
    </font>
    <font>
      <b/>
      <sz val="11"/>
      <color theme="0"/>
      <name val="Yu Gothic"/>
      <family val="2"/>
    </font>
    <font>
      <b/>
      <sz val="11"/>
      <color rgb="FFC00000"/>
      <name val="Open Sans Light"/>
      <family val="2"/>
    </font>
    <font>
      <sz val="11"/>
      <color theme="1"/>
      <name val="Open Sans Light"/>
      <family val="2"/>
    </font>
    <font>
      <b/>
      <sz val="11"/>
      <color theme="1"/>
      <name val="Open Sans Light"/>
      <family val="2"/>
    </font>
    <font>
      <sz val="11"/>
      <color rgb="FF3F3F76"/>
      <name val="Open Sans Light"/>
      <family val="2"/>
    </font>
    <font>
      <b/>
      <sz val="11"/>
      <color theme="0"/>
      <name val="Open Sans Light"/>
      <family val="2"/>
    </font>
    <font>
      <sz val="8"/>
      <color theme="1"/>
      <name val="Open Sans Light"/>
      <family val="2"/>
    </font>
    <font>
      <b/>
      <sz val="8"/>
      <color theme="1"/>
      <name val="Open Sans Light"/>
      <family val="2"/>
    </font>
    <font>
      <b/>
      <sz val="11"/>
      <color theme="1"/>
      <name val="Open Sans Light"/>
      <family val="2"/>
    </font>
  </fonts>
  <fills count="81">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rgb="FF00FFFF"/>
        <bgColor indexed="64"/>
      </patternFill>
    </fill>
    <fill>
      <patternFill patternType="solid">
        <fgColor theme="6"/>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2"/>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B050"/>
        <bgColor indexed="64"/>
      </patternFill>
    </fill>
    <fill>
      <patternFill patternType="solid">
        <fgColor rgb="FFF2F2F2"/>
      </patternFill>
    </fill>
    <fill>
      <patternFill patternType="solid">
        <fgColor theme="2" tint="-0.499984740745262"/>
        <bgColor indexed="64"/>
      </patternFill>
    </fill>
    <fill>
      <patternFill patternType="solid">
        <fgColor rgb="FFC6EF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0"/>
        <bgColor indexed="64"/>
      </patternFill>
    </fill>
    <fill>
      <patternFill patternType="solid">
        <fgColor theme="0"/>
        <bgColor indexed="64"/>
      </patternFill>
    </fill>
    <fill>
      <patternFill patternType="solid">
        <fgColor theme="8" tint="0.79998168889431442"/>
        <bgColor indexed="64"/>
      </patternFill>
    </fill>
    <fill>
      <patternFill patternType="solid">
        <fgColor indexed="43"/>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rgb="FFFF0000"/>
        <bgColor indexed="64"/>
      </patternFill>
    </fill>
    <fill>
      <patternFill patternType="solid">
        <fgColor rgb="FF6C6C61"/>
        <bgColor indexed="64"/>
      </patternFill>
    </fill>
    <fill>
      <patternFill patternType="solid">
        <fgColor rgb="FFFFC7CE"/>
      </patternFill>
    </fill>
    <fill>
      <patternFill patternType="solid">
        <fgColor rgb="FFFFEB9C"/>
      </patternFill>
    </fill>
    <fill>
      <patternFill patternType="solid">
        <fgColor rgb="FFA5A5A5"/>
      </patternFill>
    </fill>
    <fill>
      <patternFill patternType="solid">
        <fgColor rgb="FF9CD3DB"/>
        <bgColor indexed="64"/>
      </patternFill>
    </fill>
    <fill>
      <patternFill patternType="solid">
        <fgColor rgb="FFFADA63"/>
        <bgColor indexed="64"/>
      </patternFill>
    </fill>
    <fill>
      <patternFill patternType="solid">
        <fgColor rgb="FFF2F2F2"/>
        <bgColor indexed="64"/>
      </patternFill>
    </fill>
    <fill>
      <patternFill patternType="solid">
        <fgColor indexed="9"/>
        <bgColor indexed="64"/>
      </patternFill>
    </fill>
    <fill>
      <patternFill patternType="solid">
        <fgColor theme="0" tint="-0.14996795556505021"/>
        <bgColor indexed="64"/>
      </patternFill>
    </fill>
  </fills>
  <borders count="293">
    <border>
      <left/>
      <right/>
      <top/>
      <bottom/>
      <diagonal/>
    </border>
    <border>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style="hair">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bottom style="hair">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thin">
        <color indexed="64"/>
      </right>
      <top style="hair">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right style="hair">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style="double">
        <color indexed="64"/>
      </bottom>
      <diagonal/>
    </border>
    <border>
      <left style="medium">
        <color indexed="64"/>
      </left>
      <right/>
      <top/>
      <bottom style="thin">
        <color indexed="64"/>
      </bottom>
      <diagonal/>
    </border>
    <border>
      <left style="medium">
        <color indexed="64"/>
      </left>
      <right/>
      <top/>
      <bottom style="double">
        <color indexed="64"/>
      </bottom>
      <diagonal/>
    </border>
    <border>
      <left style="thin">
        <color rgb="FF7F7F7F"/>
      </left>
      <right style="thin">
        <color rgb="FF7F7F7F"/>
      </right>
      <top style="thin">
        <color rgb="FF7F7F7F"/>
      </top>
      <bottom style="thin">
        <color indexed="64"/>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diagonal/>
    </border>
    <border>
      <left/>
      <right style="medium">
        <color indexed="64"/>
      </right>
      <top/>
      <bottom style="double">
        <color indexed="64"/>
      </bottom>
      <diagonal/>
    </border>
    <border>
      <left/>
      <right/>
      <top style="double">
        <color indexed="64"/>
      </top>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rgb="FF3F3F3F"/>
      </left>
      <right style="thin">
        <color rgb="FF3F3F3F"/>
      </right>
      <top style="thin">
        <color rgb="FF3F3F3F"/>
      </top>
      <bottom style="thin">
        <color rgb="FF3F3F3F"/>
      </bottom>
      <diagonal/>
    </border>
    <border>
      <left style="hair">
        <color indexed="64"/>
      </left>
      <right/>
      <top/>
      <bottom style="hair">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bottom style="double">
        <color indexed="64"/>
      </bottom>
      <diagonal/>
    </border>
    <border>
      <left/>
      <right style="thin">
        <color rgb="FF7F7F7F"/>
      </right>
      <top style="thin">
        <color rgb="FF7F7F7F"/>
      </top>
      <bottom style="thin">
        <color indexed="64"/>
      </bottom>
      <diagonal/>
    </border>
    <border>
      <left style="thin">
        <color indexed="64"/>
      </left>
      <right/>
      <top style="thin">
        <color indexed="64"/>
      </top>
      <bottom/>
      <diagonal/>
    </border>
    <border>
      <left style="thin">
        <color rgb="FF7F7F7F"/>
      </left>
      <right style="thin">
        <color rgb="FF7F7F7F"/>
      </right>
      <top style="thin">
        <color indexed="64"/>
      </top>
      <bottom style="thin">
        <color rgb="FF7F7F7F"/>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style="thin">
        <color theme="0" tint="-0.24994659260841701"/>
      </right>
      <top style="thin">
        <color theme="0" tint="-0.24994659260841701"/>
      </top>
      <bottom/>
      <diagonal/>
    </border>
    <border>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theme="0" tint="-0.24994659260841701"/>
      </top>
      <bottom/>
      <diagonal/>
    </border>
    <border>
      <left style="thin">
        <color indexed="64"/>
      </left>
      <right style="thin">
        <color indexed="64"/>
      </right>
      <top/>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rgb="FF7F7F7F"/>
      </left>
      <right/>
      <top style="thin">
        <color rgb="FF7F7F7F"/>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theme="0" tint="-0.499984740745262"/>
      </left>
      <right style="thin">
        <color theme="0" tint="-0.499984740745262"/>
      </right>
      <top/>
      <bottom style="thin">
        <color theme="0" tint="-0.499984740745262"/>
      </bottom>
      <diagonal/>
    </border>
    <border>
      <left style="hair">
        <color indexed="64"/>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top style="thin">
        <color indexed="64"/>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right style="thin">
        <color theme="0" tint="-0.34998626667073579"/>
      </right>
      <top style="thin">
        <color indexed="64"/>
      </top>
      <bottom/>
      <diagonal/>
    </border>
    <border>
      <left style="thin">
        <color rgb="FF7F7F7F"/>
      </left>
      <right style="thin">
        <color rgb="FF7F7F7F"/>
      </right>
      <top/>
      <bottom style="thin">
        <color indexed="64"/>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rgb="FF3F3F3F"/>
      </left>
      <right/>
      <top style="thin">
        <color rgb="FF3F3F3F"/>
      </top>
      <bottom style="thin">
        <color rgb="FF3F3F3F"/>
      </bottom>
      <diagonal/>
    </border>
    <border>
      <left/>
      <right/>
      <top style="thin">
        <color rgb="FF7F7F7F"/>
      </top>
      <bottom/>
      <diagonal/>
    </border>
    <border>
      <left style="hair">
        <color indexed="64"/>
      </left>
      <right style="hair">
        <color indexed="64"/>
      </right>
      <top/>
      <bottom style="thin">
        <color indexed="64"/>
      </bottom>
      <diagonal/>
    </border>
    <border>
      <left/>
      <right style="thin">
        <color indexed="64"/>
      </right>
      <top style="thin">
        <color theme="0" tint="-0.34998626667073579"/>
      </top>
      <bottom style="thin">
        <color theme="0" tint="-0.34998626667073579"/>
      </bottom>
      <diagonal/>
    </border>
    <border>
      <left style="thin">
        <color rgb="FFB2B2B2"/>
      </left>
      <right style="thin">
        <color rgb="FFB2B2B2"/>
      </right>
      <top style="thin">
        <color rgb="FFB2B2B2"/>
      </top>
      <bottom style="thin">
        <color indexed="64"/>
      </bottom>
      <diagonal/>
    </border>
    <border>
      <left/>
      <right style="thin">
        <color rgb="FF7F7F7F"/>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style="thin">
        <color rgb="FF7F7F7F"/>
      </left>
      <right style="thin">
        <color indexed="64"/>
      </right>
      <top style="thin">
        <color indexed="64"/>
      </top>
      <bottom style="thin">
        <color rgb="FF7F7F7F"/>
      </bottom>
      <diagonal/>
    </border>
    <border>
      <left/>
      <right style="thin">
        <color rgb="FF7F7F7F"/>
      </right>
      <top style="thin">
        <color rgb="FF7F7F7F"/>
      </top>
      <bottom style="double">
        <color indexed="64"/>
      </bottom>
      <diagonal/>
    </border>
    <border>
      <left style="thin">
        <color rgb="FF7F7F7F"/>
      </left>
      <right style="thin">
        <color rgb="FF7F7F7F"/>
      </right>
      <top style="thin">
        <color rgb="FF7F7F7F"/>
      </top>
      <bottom style="double">
        <color indexed="64"/>
      </bottom>
      <diagonal/>
    </border>
    <border>
      <left style="thin">
        <color rgb="FF7F7F7F"/>
      </left>
      <right style="thin">
        <color indexed="64"/>
      </right>
      <top style="thin">
        <color rgb="FF7F7F7F"/>
      </top>
      <bottom style="double">
        <color indexed="64"/>
      </bottom>
      <diagonal/>
    </border>
    <border>
      <left/>
      <right style="thin">
        <color rgb="FF7F7F7F"/>
      </right>
      <top/>
      <bottom style="thin">
        <color rgb="FF7F7F7F"/>
      </bottom>
      <diagonal/>
    </border>
    <border>
      <left style="thin">
        <color rgb="FF7F7F7F"/>
      </left>
      <right style="thin">
        <color indexed="64"/>
      </right>
      <top/>
      <bottom style="thin">
        <color rgb="FF7F7F7F"/>
      </bottom>
      <diagonal/>
    </border>
    <border>
      <left/>
      <right style="thin">
        <color rgb="FF7F7F7F"/>
      </right>
      <top style="thin">
        <color rgb="FF7F7F7F"/>
      </top>
      <bottom/>
      <diagonal/>
    </border>
    <border>
      <left style="thin">
        <color indexed="64"/>
      </left>
      <right style="thin">
        <color rgb="FF7F7F7F"/>
      </right>
      <top/>
      <bottom/>
      <diagonal/>
    </border>
    <border>
      <left style="thin">
        <color rgb="FF7F7F7F"/>
      </left>
      <right style="thin">
        <color indexed="64"/>
      </right>
      <top/>
      <bottom/>
      <diagonal/>
    </border>
    <border>
      <left/>
      <right style="thin">
        <color rgb="FF7F7F7F"/>
      </right>
      <top/>
      <bottom/>
      <diagonal/>
    </border>
    <border>
      <left style="thin">
        <color indexed="64"/>
      </left>
      <right/>
      <top style="double">
        <color indexed="64"/>
      </top>
      <bottom style="thin">
        <color indexed="64"/>
      </bottom>
      <diagonal/>
    </border>
    <border>
      <left style="thin">
        <color rgb="FF7F7F7F"/>
      </left>
      <right style="thin">
        <color rgb="FF7F7F7F"/>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style="thin">
        <color theme="0" tint="-0.34998626667073579"/>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7F7F7F"/>
      </left>
      <right style="thin">
        <color rgb="FF7F7F7F"/>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ouble">
        <color theme="0" tint="-0.499984740745262"/>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double">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34998626667073579"/>
      </left>
      <right style="thin">
        <color theme="0" tint="-0.34998626667073579"/>
      </right>
      <top/>
      <bottom style="thin">
        <color theme="0" tint="-0.34998626667073579"/>
      </bottom>
      <diagonal/>
    </border>
    <border>
      <left/>
      <right/>
      <top/>
      <bottom style="hair">
        <color indexed="64"/>
      </bottom>
      <diagonal/>
    </border>
    <border>
      <left/>
      <right/>
      <top style="double">
        <color indexed="64"/>
      </top>
      <bottom style="thin">
        <color indexed="64"/>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top style="thin">
        <color indexed="64"/>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rgb="FF7F7F7F"/>
      </right>
      <top style="thin">
        <color rgb="FF7F7F7F"/>
      </top>
      <bottom style="thin">
        <color rgb="FF7F7F7F"/>
      </bottom>
      <diagonal/>
    </border>
    <border>
      <left style="thin">
        <color theme="0" tint="-0.34998626667073579"/>
      </left>
      <right style="thin">
        <color indexed="64"/>
      </right>
      <top/>
      <bottom/>
      <diagonal/>
    </border>
    <border>
      <left/>
      <right style="thin">
        <color theme="0" tint="-0.34998626667073579"/>
      </right>
      <top style="thin">
        <color theme="0" tint="-0.499984740745262"/>
      </top>
      <bottom style="thin">
        <color theme="0" tint="-0.499984740745262"/>
      </bottom>
      <diagonal/>
    </border>
    <border>
      <left/>
      <right style="thin">
        <color rgb="FF7F7F7F"/>
      </right>
      <top style="thin">
        <color indexed="64"/>
      </top>
      <bottom style="thin">
        <color indexed="64"/>
      </bottom>
      <diagonal/>
    </border>
    <border>
      <left style="thin">
        <color rgb="FF7F7F7F"/>
      </left>
      <right/>
      <top style="thin">
        <color indexed="64"/>
      </top>
      <bottom style="thin">
        <color indexed="64"/>
      </bottom>
      <diagonal/>
    </border>
    <border>
      <left style="thin">
        <color rgb="FF7F7F7F"/>
      </left>
      <right/>
      <top style="thin">
        <color rgb="FF7F7F7F"/>
      </top>
      <bottom style="thin">
        <color indexed="64"/>
      </bottom>
      <diagonal/>
    </border>
    <border>
      <left/>
      <right style="thin">
        <color indexed="64"/>
      </right>
      <top style="thin">
        <color rgb="FF7F7F7F"/>
      </top>
      <bottom style="thin">
        <color indexed="64"/>
      </bottom>
      <diagonal/>
    </border>
    <border>
      <left style="thin">
        <color indexed="64"/>
      </left>
      <right/>
      <top/>
      <bottom style="thin">
        <color rgb="FF7F7F7F"/>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indexed="64"/>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indexed="64"/>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top style="thin">
        <color indexed="64"/>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style="medium">
        <color indexed="64"/>
      </left>
      <right style="thin">
        <color rgb="FF7F7F7F"/>
      </right>
      <top style="thin">
        <color indexed="64"/>
      </top>
      <bottom style="thin">
        <color rgb="FF7F7F7F"/>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indexed="64"/>
      </right>
      <top style="thin">
        <color theme="0" tint="-0.34998626667073579"/>
      </top>
      <bottom style="thin">
        <color indexed="64"/>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34998626667073579"/>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indexed="64"/>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24994659260841701"/>
      </right>
      <top/>
      <bottom style="thin">
        <color theme="0" tint="-0.499984740745262"/>
      </bottom>
      <diagonal/>
    </border>
    <border>
      <left/>
      <right style="thin">
        <color rgb="FF7F7F7F"/>
      </right>
      <top style="thin">
        <color indexed="64"/>
      </top>
      <bottom/>
      <diagonal/>
    </border>
    <border>
      <left style="medium">
        <color indexed="64"/>
      </left>
      <right style="thin">
        <color rgb="FF7F7F7F"/>
      </right>
      <top style="thin">
        <color rgb="FF7F7F7F"/>
      </top>
      <bottom style="thin">
        <color indexed="64"/>
      </bottom>
      <diagonal/>
    </border>
    <border>
      <left style="thin">
        <color rgb="FF7F7F7F"/>
      </left>
      <right style="medium">
        <color indexed="64"/>
      </right>
      <top style="thin">
        <color rgb="FF7F7F7F"/>
      </top>
      <bottom style="thin">
        <color indexed="64"/>
      </bottom>
      <diagonal/>
    </border>
    <border>
      <left style="thin">
        <color rgb="FF7F7F7F"/>
      </left>
      <right/>
      <top/>
      <bottom/>
      <diagonal/>
    </border>
    <border>
      <left style="thin">
        <color rgb="FF3F3F3F"/>
      </left>
      <right/>
      <top style="thin">
        <color rgb="FF3F3F3F"/>
      </top>
      <bottom style="thin">
        <color indexed="64"/>
      </bottom>
      <diagonal/>
    </border>
    <border>
      <left style="thin">
        <color rgb="FF7F7F7F"/>
      </left>
      <right/>
      <top/>
      <bottom style="double">
        <color indexed="64"/>
      </bottom>
      <diagonal/>
    </border>
    <border>
      <left style="medium">
        <color rgb="FF0000FF"/>
      </left>
      <right/>
      <top/>
      <bottom/>
      <diagonal/>
    </border>
    <border>
      <left/>
      <right style="medium">
        <color rgb="FF0000FF"/>
      </right>
      <top/>
      <bottom/>
      <diagonal/>
    </border>
    <border>
      <left style="medium">
        <color rgb="FF0000FF"/>
      </left>
      <right/>
      <top/>
      <bottom style="medium">
        <color rgb="FF0000FF"/>
      </bottom>
      <diagonal/>
    </border>
    <border>
      <left style="thin">
        <color rgb="FF7F7F7F"/>
      </left>
      <right style="thin">
        <color rgb="FF7F7F7F"/>
      </right>
      <top style="thin">
        <color rgb="FF7F7F7F"/>
      </top>
      <bottom style="medium">
        <color rgb="FF0000FF"/>
      </bottom>
      <diagonal/>
    </border>
    <border>
      <left/>
      <right style="medium">
        <color rgb="FF0000FF"/>
      </right>
      <top/>
      <bottom style="medium">
        <color rgb="FF0000FF"/>
      </bottom>
      <diagonal/>
    </border>
    <border>
      <left style="medium">
        <color rgb="FF0000FF"/>
      </left>
      <right/>
      <top style="medium">
        <color rgb="FF0000FF"/>
      </top>
      <bottom/>
      <diagonal/>
    </border>
    <border>
      <left/>
      <right/>
      <top style="medium">
        <color rgb="FF0000FF"/>
      </top>
      <bottom/>
      <diagonal/>
    </border>
    <border>
      <left/>
      <right style="medium">
        <color rgb="FF0000FF"/>
      </right>
      <top style="medium">
        <color rgb="FF0000FF"/>
      </top>
      <bottom/>
      <diagonal/>
    </border>
    <border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right style="thin">
        <color theme="0" tint="-0.34998626667073579"/>
      </right>
      <top style="thin">
        <color theme="0" tint="-0.499984740745262"/>
      </top>
      <bottom/>
      <diagonal/>
    </border>
    <border>
      <left style="thin">
        <color theme="0" tint="-0.34998626667073579"/>
      </left>
      <right style="thin">
        <color theme="0" tint="-0.34998626667073579"/>
      </right>
      <top/>
      <bottom/>
      <diagonal/>
    </border>
    <border>
      <left style="thin">
        <color theme="0" tint="-0.499984740745262"/>
      </left>
      <right/>
      <top style="double">
        <color theme="0" tint="-0.499984740745262"/>
      </top>
      <bottom style="thin">
        <color theme="0" tint="-0.499984740745262"/>
      </bottom>
      <diagonal/>
    </border>
    <border>
      <left/>
      <right/>
      <top style="double">
        <color theme="0" tint="-0.499984740745262"/>
      </top>
      <bottom style="thin">
        <color theme="0" tint="-0.499984740745262"/>
      </bottom>
      <diagonal/>
    </border>
    <border>
      <left/>
      <right style="thin">
        <color theme="0" tint="-0.499984740745262"/>
      </right>
      <top style="double">
        <color theme="0" tint="-0.499984740745262"/>
      </top>
      <bottom style="thin">
        <color theme="0" tint="-0.499984740745262"/>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rgb="FF7F7F7F"/>
      </right>
      <top style="thin">
        <color theme="0" tint="-0.499984740745262"/>
      </top>
      <bottom style="thin">
        <color theme="0" tint="-0.499984740745262"/>
      </bottom>
      <diagonal/>
    </border>
    <border>
      <left/>
      <right style="thin">
        <color theme="0" tint="-0.34998626667073579"/>
      </right>
      <top/>
      <bottom style="thin">
        <color indexed="64"/>
      </bottom>
      <diagonal/>
    </border>
    <border>
      <left style="thin">
        <color indexed="64"/>
      </left>
      <right style="medium">
        <color indexed="64"/>
      </right>
      <top/>
      <bottom/>
      <diagonal/>
    </border>
    <border>
      <left style="thin">
        <color indexed="64"/>
      </left>
      <right style="medium">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rgb="FF7F7F7F"/>
      </right>
      <top style="thin">
        <color indexed="64"/>
      </top>
      <bottom style="thin">
        <color indexed="64"/>
      </bottom>
      <diagonal/>
    </border>
    <border>
      <left style="thin">
        <color rgb="FF7F7F7F"/>
      </left>
      <right style="thin">
        <color indexed="64"/>
      </right>
      <top style="thin">
        <color indexed="64"/>
      </top>
      <bottom style="thin">
        <color indexed="64"/>
      </bottom>
      <diagonal/>
    </border>
  </borders>
  <cellStyleXfs count="81">
    <xf numFmtId="0" fontId="0" fillId="0" borderId="0"/>
    <xf numFmtId="0" fontId="13" fillId="64" borderId="0" applyNumberFormat="0" applyBorder="0" applyAlignment="0" applyProtection="0"/>
    <xf numFmtId="0" fontId="2" fillId="63" borderId="0" applyNumberFormat="0" applyBorder="0" applyAlignment="0" applyProtection="0"/>
    <xf numFmtId="0" fontId="2" fillId="62" borderId="0" applyNumberFormat="0" applyBorder="0" applyAlignment="0" applyProtection="0"/>
    <xf numFmtId="0" fontId="13" fillId="61" borderId="0" applyNumberFormat="0" applyBorder="0" applyAlignment="0" applyProtection="0"/>
    <xf numFmtId="0" fontId="13" fillId="60"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13" fillId="57" borderId="0" applyNumberFormat="0" applyBorder="0" applyAlignment="0" applyProtection="0"/>
    <xf numFmtId="0" fontId="13" fillId="5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13" fillId="53" borderId="0" applyNumberFormat="0" applyBorder="0" applyAlignment="0" applyProtection="0"/>
    <xf numFmtId="0" fontId="13" fillId="5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13" fillId="49" borderId="0" applyNumberFormat="0" applyBorder="0" applyAlignment="0" applyProtection="0"/>
    <xf numFmtId="0" fontId="13" fillId="48"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13" fillId="45" borderId="0" applyNumberFormat="0" applyBorder="0" applyAlignment="0" applyProtection="0"/>
    <xf numFmtId="0" fontId="13" fillId="44"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13" fillId="41" borderId="0" applyNumberFormat="0" applyBorder="0" applyAlignment="0" applyProtection="0"/>
    <xf numFmtId="0" fontId="12" fillId="19" borderId="46" applyNumberFormat="0" applyAlignment="0" applyProtection="0"/>
    <xf numFmtId="9" fontId="2" fillId="0" borderId="0" applyFont="0" applyFill="0" applyBorder="0" applyAlignment="0" applyProtection="0"/>
    <xf numFmtId="0" fontId="36" fillId="37" borderId="46" applyNumberFormat="0" applyAlignment="0" applyProtection="0"/>
    <xf numFmtId="0" fontId="3" fillId="0" borderId="0"/>
    <xf numFmtId="0" fontId="79" fillId="0" borderId="0" applyNumberFormat="0" applyFill="0" applyBorder="0" applyAlignment="0" applyProtection="0"/>
    <xf numFmtId="0" fontId="80" fillId="0" borderId="179" applyNumberFormat="0" applyFill="0" applyAlignment="0" applyProtection="0"/>
    <xf numFmtId="0" fontId="81" fillId="0" borderId="180" applyNumberFormat="0" applyFill="0" applyAlignment="0" applyProtection="0"/>
    <xf numFmtId="0" fontId="82" fillId="0" borderId="181" applyNumberFormat="0" applyFill="0" applyAlignment="0" applyProtection="0"/>
    <xf numFmtId="0" fontId="82" fillId="0" borderId="0" applyNumberFormat="0" applyFill="0" applyBorder="0" applyAlignment="0" applyProtection="0"/>
    <xf numFmtId="0" fontId="40" fillId="39" borderId="0" applyNumberFormat="0" applyBorder="0" applyAlignment="0" applyProtection="0"/>
    <xf numFmtId="0" fontId="83" fillId="73" borderId="0" applyNumberFormat="0" applyBorder="0" applyAlignment="0" applyProtection="0"/>
    <xf numFmtId="0" fontId="84" fillId="74" borderId="0" applyNumberFormat="0" applyBorder="0" applyAlignment="0" applyProtection="0"/>
    <xf numFmtId="0" fontId="35" fillId="37" borderId="67" applyNumberFormat="0" applyAlignment="0" applyProtection="0"/>
    <xf numFmtId="0" fontId="85" fillId="0" borderId="182" applyNumberFormat="0" applyFill="0" applyAlignment="0" applyProtection="0"/>
    <xf numFmtId="0" fontId="6" fillId="75" borderId="183" applyNumberFormat="0" applyAlignment="0" applyProtection="0"/>
    <xf numFmtId="0" fontId="11" fillId="0" borderId="0" applyNumberFormat="0" applyFill="0" applyBorder="0" applyAlignment="0" applyProtection="0"/>
    <xf numFmtId="0" fontId="2" fillId="40" borderId="184" applyNumberFormat="0" applyFont="0" applyAlignment="0" applyProtection="0"/>
    <xf numFmtId="0" fontId="86" fillId="0" borderId="0" applyNumberFormat="0" applyFill="0" applyBorder="0" applyAlignment="0" applyProtection="0"/>
    <xf numFmtId="0" fontId="4" fillId="0" borderId="185" applyNumberFormat="0" applyFill="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xf numFmtId="0" fontId="13"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3" fillId="56" borderId="0" applyNumberFormat="0" applyBorder="0" applyAlignment="0" applyProtection="0"/>
    <xf numFmtId="0" fontId="13"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3" fillId="60" borderId="0" applyNumberFormat="0" applyBorder="0" applyAlignment="0" applyProtection="0"/>
    <xf numFmtId="0" fontId="13"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13" fillId="64" borderId="0" applyNumberFormat="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41" fillId="0" borderId="0"/>
    <xf numFmtId="0" fontId="41" fillId="0" borderId="0"/>
    <xf numFmtId="0" fontId="180" fillId="74"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1" fillId="0" borderId="0"/>
    <xf numFmtId="0" fontId="184" fillId="19" borderId="46" applyNumberFormat="0" applyAlignment="0" applyProtection="0"/>
  </cellStyleXfs>
  <cellXfs count="2751">
    <xf numFmtId="0" fontId="0" fillId="0" borderId="0" xfId="0"/>
    <xf numFmtId="0" fontId="12" fillId="19" borderId="46" xfId="25"/>
    <xf numFmtId="167" fontId="0" fillId="0" borderId="0" xfId="0" applyNumberFormat="1"/>
    <xf numFmtId="43" fontId="0" fillId="10" borderId="0" xfId="0" applyNumberFormat="1" applyFill="1"/>
    <xf numFmtId="0" fontId="4" fillId="10" borderId="0" xfId="0" applyFont="1" applyFill="1"/>
    <xf numFmtId="9" fontId="0" fillId="0" borderId="0" xfId="0" applyNumberFormat="1"/>
    <xf numFmtId="1" fontId="12" fillId="19" borderId="46" xfId="0" applyNumberFormat="1" applyFont="1" applyFill="1" applyBorder="1"/>
    <xf numFmtId="0" fontId="12" fillId="19" borderId="46" xfId="0" applyFont="1" applyFill="1" applyBorder="1"/>
    <xf numFmtId="2" fontId="0" fillId="0" borderId="0" xfId="0" applyNumberFormat="1"/>
    <xf numFmtId="0" fontId="5" fillId="0" borderId="0" xfId="0" applyFont="1"/>
    <xf numFmtId="0" fontId="4" fillId="0" borderId="0" xfId="0" applyFont="1"/>
    <xf numFmtId="0" fontId="0" fillId="0" borderId="29" xfId="0" applyBorder="1"/>
    <xf numFmtId="0" fontId="4" fillId="0" borderId="22" xfId="0" applyFont="1" applyBorder="1"/>
    <xf numFmtId="167" fontId="3" fillId="0" borderId="0" xfId="0" applyNumberFormat="1" applyFont="1"/>
    <xf numFmtId="168" fontId="0" fillId="0" borderId="0" xfId="0" applyNumberFormat="1"/>
    <xf numFmtId="0" fontId="0" fillId="0" borderId="0" xfId="0" applyAlignment="1">
      <alignment horizontal="left"/>
    </xf>
    <xf numFmtId="43" fontId="0" fillId="0" borderId="0" xfId="0" applyNumberFormat="1"/>
    <xf numFmtId="0" fontId="0" fillId="0" borderId="20" xfId="0" applyBorder="1" applyAlignment="1">
      <alignment wrapText="1"/>
    </xf>
    <xf numFmtId="0" fontId="0" fillId="0" borderId="38" xfId="0" applyBorder="1"/>
    <xf numFmtId="1" fontId="0" fillId="0" borderId="0" xfId="0" applyNumberFormat="1"/>
    <xf numFmtId="164" fontId="0" fillId="0" borderId="0" xfId="0" applyNumberFormat="1"/>
    <xf numFmtId="0" fontId="0" fillId="0" borderId="22" xfId="0" applyBorder="1"/>
    <xf numFmtId="0" fontId="3" fillId="0" borderId="0" xfId="0" applyFont="1"/>
    <xf numFmtId="165" fontId="0" fillId="0" borderId="0" xfId="0" applyNumberFormat="1"/>
    <xf numFmtId="0" fontId="0" fillId="0" borderId="0" xfId="0" applyAlignment="1">
      <alignment wrapText="1"/>
    </xf>
    <xf numFmtId="0" fontId="0" fillId="0" borderId="35" xfId="0" applyBorder="1"/>
    <xf numFmtId="166" fontId="0" fillId="0" borderId="0" xfId="0" applyNumberFormat="1"/>
    <xf numFmtId="0" fontId="3" fillId="0" borderId="29" xfId="0" applyFont="1" applyBorder="1"/>
    <xf numFmtId="3" fontId="0" fillId="0" borderId="0" xfId="0" applyNumberFormat="1"/>
    <xf numFmtId="0" fontId="0" fillId="17" borderId="0" xfId="0" applyFill="1"/>
    <xf numFmtId="0" fontId="0" fillId="24" borderId="0" xfId="0" applyFill="1"/>
    <xf numFmtId="0" fontId="4" fillId="9" borderId="0" xfId="0" applyFont="1" applyFill="1"/>
    <xf numFmtId="0" fontId="4" fillId="9" borderId="29" xfId="0" applyFont="1" applyFill="1" applyBorder="1"/>
    <xf numFmtId="0" fontId="0" fillId="9" borderId="0" xfId="0" applyFill="1"/>
    <xf numFmtId="0" fontId="0" fillId="0" borderId="0" xfId="0" applyAlignment="1">
      <alignment horizontal="center"/>
    </xf>
    <xf numFmtId="0" fontId="2" fillId="0" borderId="0" xfId="0" applyFont="1"/>
    <xf numFmtId="0" fontId="18" fillId="0" borderId="0" xfId="0" applyFont="1"/>
    <xf numFmtId="0" fontId="17" fillId="0" borderId="20" xfId="0" applyFont="1" applyBorder="1"/>
    <xf numFmtId="0" fontId="4" fillId="25" borderId="44" xfId="0" applyFont="1" applyFill="1" applyBorder="1" applyAlignment="1">
      <alignment horizontal="center" vertical="top" wrapText="1"/>
    </xf>
    <xf numFmtId="0" fontId="4" fillId="25" borderId="39" xfId="0" applyFont="1" applyFill="1" applyBorder="1" applyAlignment="1">
      <alignment horizontal="center" vertical="top" wrapText="1"/>
    </xf>
    <xf numFmtId="0" fontId="4" fillId="25" borderId="45" xfId="0" applyFont="1" applyFill="1" applyBorder="1" applyAlignment="1">
      <alignment horizontal="center" vertical="top" wrapText="1"/>
    </xf>
    <xf numFmtId="0" fontId="4" fillId="25" borderId="40" xfId="0" applyFont="1" applyFill="1" applyBorder="1" applyAlignment="1">
      <alignment horizontal="center" vertical="top" wrapText="1"/>
    </xf>
    <xf numFmtId="0" fontId="0" fillId="0" borderId="50" xfId="0" applyBorder="1" applyAlignment="1">
      <alignment vertical="top" wrapText="1"/>
    </xf>
    <xf numFmtId="0" fontId="0" fillId="0" borderId="0" xfId="0" applyAlignment="1">
      <alignment horizontal="center" vertical="top" wrapText="1"/>
    </xf>
    <xf numFmtId="0" fontId="0" fillId="0" borderId="37" xfId="0" applyBorder="1" applyAlignment="1">
      <alignment horizontal="center" vertical="top" wrapText="1"/>
    </xf>
    <xf numFmtId="0" fontId="0" fillId="0" borderId="49" xfId="0" applyBorder="1" applyAlignment="1">
      <alignment vertical="top" wrapText="1"/>
    </xf>
    <xf numFmtId="0" fontId="0" fillId="0" borderId="39" xfId="0" applyBorder="1" applyAlignment="1">
      <alignment horizontal="center" vertical="top" wrapText="1"/>
    </xf>
    <xf numFmtId="0" fontId="0" fillId="0" borderId="40" xfId="0" applyBorder="1" applyAlignment="1">
      <alignment horizontal="center" vertical="top" wrapText="1"/>
    </xf>
    <xf numFmtId="0" fontId="16" fillId="0" borderId="29" xfId="0" applyFont="1" applyBorder="1"/>
    <xf numFmtId="0" fontId="10" fillId="0" borderId="29" xfId="0" applyFont="1" applyBorder="1"/>
    <xf numFmtId="0" fontId="10" fillId="0" borderId="0" xfId="0" applyFont="1"/>
    <xf numFmtId="167" fontId="0" fillId="0" borderId="31" xfId="0" applyNumberFormat="1" applyBorder="1"/>
    <xf numFmtId="167" fontId="0" fillId="0" borderId="32" xfId="0" applyNumberFormat="1" applyBorder="1"/>
    <xf numFmtId="0" fontId="0" fillId="0" borderId="31" xfId="0" applyBorder="1" applyAlignment="1">
      <alignment horizontal="center"/>
    </xf>
    <xf numFmtId="0" fontId="0" fillId="0" borderId="32" xfId="0" applyBorder="1" applyAlignment="1">
      <alignment horizontal="center"/>
    </xf>
    <xf numFmtId="0" fontId="0" fillId="0" borderId="21" xfId="0" applyBorder="1"/>
    <xf numFmtId="0" fontId="0" fillId="0" borderId="23" xfId="0" applyBorder="1" applyAlignment="1">
      <alignment horizontal="center"/>
    </xf>
    <xf numFmtId="0" fontId="0" fillId="0" borderId="22" xfId="0" applyBorder="1" applyAlignment="1">
      <alignment horizontal="center"/>
    </xf>
    <xf numFmtId="167" fontId="0" fillId="0" borderId="29" xfId="0" applyNumberFormat="1" applyBorder="1"/>
    <xf numFmtId="0" fontId="11" fillId="0" borderId="0" xfId="0" applyFont="1"/>
    <xf numFmtId="0" fontId="22" fillId="0" borderId="31" xfId="0" applyFont="1" applyBorder="1"/>
    <xf numFmtId="0" fontId="0" fillId="0" borderId="36" xfId="0" applyBorder="1"/>
    <xf numFmtId="0" fontId="22" fillId="0" borderId="0" xfId="0" applyFont="1"/>
    <xf numFmtId="0" fontId="22" fillId="0" borderId="0" xfId="0" applyFont="1" applyAlignment="1">
      <alignment horizontal="center"/>
    </xf>
    <xf numFmtId="1" fontId="22" fillId="0" borderId="0" xfId="0" applyNumberFormat="1" applyFont="1"/>
    <xf numFmtId="165" fontId="22" fillId="0" borderId="0" xfId="0" applyNumberFormat="1" applyFont="1"/>
    <xf numFmtId="0" fontId="24" fillId="0" borderId="0" xfId="0" applyFont="1"/>
    <xf numFmtId="0" fontId="24" fillId="17" borderId="0" xfId="0" applyFont="1" applyFill="1"/>
    <xf numFmtId="0" fontId="24" fillId="12" borderId="0" xfId="0" applyFont="1" applyFill="1"/>
    <xf numFmtId="0" fontId="23" fillId="0" borderId="20" xfId="0" applyFont="1" applyBorder="1" applyAlignment="1">
      <alignment horizontal="center" vertical="center" wrapText="1"/>
    </xf>
    <xf numFmtId="167" fontId="22" fillId="0" borderId="0" xfId="0" applyNumberFormat="1" applyFont="1"/>
    <xf numFmtId="168" fontId="22" fillId="0" borderId="0" xfId="0" applyNumberFormat="1" applyFont="1"/>
    <xf numFmtId="166" fontId="22" fillId="0" borderId="0" xfId="0" applyNumberFormat="1" applyFont="1"/>
    <xf numFmtId="0" fontId="22" fillId="9" borderId="0" xfId="0" applyFont="1" applyFill="1"/>
    <xf numFmtId="0" fontId="25" fillId="7" borderId="0" xfId="0" applyFont="1" applyFill="1"/>
    <xf numFmtId="0" fontId="22" fillId="0" borderId="0" xfId="0" applyFont="1" applyAlignment="1">
      <alignment horizontal="center" wrapText="1"/>
    </xf>
    <xf numFmtId="0" fontId="22" fillId="8" borderId="14" xfId="0" applyFont="1" applyFill="1" applyBorder="1" applyAlignment="1">
      <alignment horizontal="center" vertical="center" wrapText="1"/>
    </xf>
    <xf numFmtId="0" fontId="22" fillId="8" borderId="12" xfId="0" applyFont="1" applyFill="1" applyBorder="1" applyAlignment="1">
      <alignment horizontal="center" vertical="center" wrapText="1"/>
    </xf>
    <xf numFmtId="0" fontId="22" fillId="8" borderId="13" xfId="0" applyFont="1" applyFill="1" applyBorder="1" applyAlignment="1">
      <alignment horizontal="center" vertical="center" wrapText="1"/>
    </xf>
    <xf numFmtId="0" fontId="22" fillId="8" borderId="15" xfId="0" applyFont="1" applyFill="1" applyBorder="1" applyAlignment="1">
      <alignment horizontal="center" vertical="center" wrapText="1"/>
    </xf>
    <xf numFmtId="0" fontId="22" fillId="7" borderId="12" xfId="0" applyFont="1" applyFill="1" applyBorder="1" applyAlignment="1">
      <alignment horizontal="center" vertical="center" wrapText="1"/>
    </xf>
    <xf numFmtId="0" fontId="22" fillId="7" borderId="13" xfId="0" applyFont="1" applyFill="1" applyBorder="1" applyAlignment="1">
      <alignment horizontal="center" vertical="center" wrapText="1"/>
    </xf>
    <xf numFmtId="1" fontId="22" fillId="0" borderId="5" xfId="0" applyNumberFormat="1" applyFont="1" applyBorder="1"/>
    <xf numFmtId="0" fontId="22" fillId="17" borderId="0" xfId="0" applyFont="1" applyFill="1"/>
    <xf numFmtId="2" fontId="22" fillId="0" borderId="0" xfId="0" applyNumberFormat="1" applyFont="1"/>
    <xf numFmtId="0" fontId="15" fillId="0" borderId="0" xfId="0" applyFont="1"/>
    <xf numFmtId="0" fontId="17" fillId="0" borderId="0" xfId="0" applyFont="1"/>
    <xf numFmtId="1" fontId="17" fillId="0" borderId="0" xfId="0" applyNumberFormat="1" applyFont="1"/>
    <xf numFmtId="0" fontId="19" fillId="22" borderId="0" xfId="0" applyFont="1" applyFill="1"/>
    <xf numFmtId="0" fontId="19" fillId="0" borderId="0" xfId="0" applyFont="1"/>
    <xf numFmtId="0" fontId="19" fillId="3" borderId="0" xfId="0" applyFont="1" applyFill="1"/>
    <xf numFmtId="0" fontId="19" fillId="14" borderId="0" xfId="0" applyFont="1" applyFill="1"/>
    <xf numFmtId="0" fontId="19" fillId="0" borderId="20" xfId="0" applyFont="1" applyBorder="1" applyAlignment="1">
      <alignment horizontal="center" vertical="center" wrapText="1"/>
    </xf>
    <xf numFmtId="0" fontId="17" fillId="0" borderId="7" xfId="0" applyFont="1" applyBorder="1"/>
    <xf numFmtId="2" fontId="17" fillId="0" borderId="7" xfId="0" applyNumberFormat="1" applyFont="1" applyBorder="1"/>
    <xf numFmtId="0" fontId="17" fillId="0" borderId="0" xfId="0" applyFont="1" applyAlignment="1">
      <alignment textRotation="90"/>
    </xf>
    <xf numFmtId="0" fontId="17" fillId="0" borderId="35" xfId="0" applyFont="1" applyBorder="1"/>
    <xf numFmtId="0" fontId="21" fillId="0" borderId="22" xfId="0" applyFont="1" applyBorder="1"/>
    <xf numFmtId="0" fontId="22" fillId="0" borderId="22" xfId="0" applyFont="1" applyBorder="1"/>
    <xf numFmtId="0" fontId="22" fillId="3" borderId="20" xfId="0" applyFont="1" applyFill="1" applyBorder="1" applyAlignment="1">
      <alignment horizontal="center"/>
    </xf>
    <xf numFmtId="0" fontId="22" fillId="3" borderId="20" xfId="0" applyFont="1" applyFill="1" applyBorder="1" applyAlignment="1">
      <alignment horizontal="center" wrapText="1"/>
    </xf>
    <xf numFmtId="0" fontId="22" fillId="8" borderId="16" xfId="0" applyFont="1" applyFill="1" applyBorder="1" applyAlignment="1">
      <alignment horizontal="center" vertical="center" wrapText="1"/>
    </xf>
    <xf numFmtId="0" fontId="22" fillId="7" borderId="14" xfId="0" applyFont="1" applyFill="1" applyBorder="1" applyAlignment="1">
      <alignment horizontal="center" vertical="center" wrapText="1"/>
    </xf>
    <xf numFmtId="0" fontId="22" fillId="7" borderId="20" xfId="0" applyFont="1" applyFill="1" applyBorder="1" applyAlignment="1">
      <alignment horizontal="center" vertical="center" wrapText="1"/>
    </xf>
    <xf numFmtId="0" fontId="22" fillId="6" borderId="20" xfId="0" applyFont="1" applyFill="1" applyBorder="1" applyAlignment="1">
      <alignment horizontal="center" vertical="center" wrapText="1"/>
    </xf>
    <xf numFmtId="0" fontId="22" fillId="4" borderId="20" xfId="0" applyFont="1" applyFill="1" applyBorder="1" applyAlignment="1">
      <alignment horizontal="center" vertical="center" wrapText="1"/>
    </xf>
    <xf numFmtId="0" fontId="22" fillId="3" borderId="20" xfId="0" applyFont="1" applyFill="1" applyBorder="1" applyAlignment="1">
      <alignment horizontal="center" vertical="center" wrapText="1"/>
    </xf>
    <xf numFmtId="0" fontId="22" fillId="2" borderId="20" xfId="0" applyFont="1" applyFill="1" applyBorder="1" applyAlignment="1">
      <alignment horizontal="center" vertical="center" wrapText="1"/>
    </xf>
    <xf numFmtId="0" fontId="22" fillId="18" borderId="20" xfId="0" applyFont="1" applyFill="1" applyBorder="1" applyAlignment="1">
      <alignment horizontal="center" vertical="center" wrapText="1"/>
    </xf>
    <xf numFmtId="0" fontId="22" fillId="26" borderId="20" xfId="0" applyFont="1" applyFill="1" applyBorder="1" applyAlignment="1">
      <alignment horizontal="center" vertical="center" wrapText="1"/>
    </xf>
    <xf numFmtId="164" fontId="22" fillId="0" borderId="0" xfId="0" applyNumberFormat="1" applyFont="1"/>
    <xf numFmtId="1" fontId="22" fillId="5" borderId="4" xfId="0" applyNumberFormat="1" applyFont="1" applyFill="1" applyBorder="1"/>
    <xf numFmtId="166" fontId="22" fillId="4" borderId="4" xfId="0" applyNumberFormat="1" applyFont="1" applyFill="1" applyBorder="1"/>
    <xf numFmtId="166" fontId="22" fillId="3" borderId="3" xfId="0" applyNumberFormat="1" applyFont="1" applyFill="1" applyBorder="1"/>
    <xf numFmtId="166" fontId="22" fillId="2" borderId="3" xfId="0" applyNumberFormat="1" applyFont="1" applyFill="1" applyBorder="1"/>
    <xf numFmtId="166" fontId="22" fillId="18" borderId="2" xfId="0" applyNumberFormat="1" applyFont="1" applyFill="1" applyBorder="1"/>
    <xf numFmtId="167" fontId="22" fillId="3" borderId="3" xfId="0" applyNumberFormat="1" applyFont="1" applyFill="1" applyBorder="1"/>
    <xf numFmtId="167" fontId="22" fillId="2" borderId="3" xfId="0" applyNumberFormat="1" applyFont="1" applyFill="1" applyBorder="1"/>
    <xf numFmtId="0" fontId="17" fillId="0" borderId="1" xfId="0" applyFont="1" applyBorder="1"/>
    <xf numFmtId="164" fontId="10" fillId="0" borderId="0" xfId="0" applyNumberFormat="1" applyFont="1"/>
    <xf numFmtId="0" fontId="26" fillId="0" borderId="0" xfId="0" applyFont="1"/>
    <xf numFmtId="167" fontId="10" fillId="0" borderId="0" xfId="0" applyNumberFormat="1" applyFont="1"/>
    <xf numFmtId="0" fontId="7" fillId="0" borderId="22" xfId="0" applyFont="1" applyBorder="1" applyAlignment="1">
      <alignment horizontal="center"/>
    </xf>
    <xf numFmtId="0" fontId="10" fillId="0" borderId="0" xfId="0" applyFont="1" applyAlignment="1">
      <alignment horizontal="center"/>
    </xf>
    <xf numFmtId="1" fontId="10" fillId="0" borderId="0" xfId="0" applyNumberFormat="1" applyFont="1"/>
    <xf numFmtId="0" fontId="16" fillId="0" borderId="22" xfId="0" applyFont="1" applyBorder="1"/>
    <xf numFmtId="0" fontId="10" fillId="0" borderId="22" xfId="0" applyFont="1" applyBorder="1"/>
    <xf numFmtId="0" fontId="10" fillId="0" borderId="22" xfId="0" applyFont="1" applyBorder="1" applyAlignment="1">
      <alignment horizontal="center"/>
    </xf>
    <xf numFmtId="1" fontId="10" fillId="0" borderId="22" xfId="0" applyNumberFormat="1" applyFont="1" applyBorder="1"/>
    <xf numFmtId="169" fontId="10" fillId="0" borderId="0" xfId="0" applyNumberFormat="1" applyFont="1"/>
    <xf numFmtId="1" fontId="16" fillId="0" borderId="0" xfId="0" applyNumberFormat="1" applyFont="1"/>
    <xf numFmtId="1" fontId="10" fillId="0" borderId="22" xfId="0" applyNumberFormat="1" applyFont="1" applyBorder="1" applyAlignment="1">
      <alignment wrapText="1"/>
    </xf>
    <xf numFmtId="0" fontId="10" fillId="0" borderId="26" xfId="0" applyFont="1" applyBorder="1"/>
    <xf numFmtId="2" fontId="10" fillId="0" borderId="0" xfId="0" applyNumberFormat="1" applyFont="1"/>
    <xf numFmtId="0" fontId="0" fillId="0" borderId="20" xfId="0" applyBorder="1" applyAlignment="1">
      <alignment horizontal="center" wrapText="1"/>
    </xf>
    <xf numFmtId="167" fontId="0" fillId="0" borderId="7" xfId="0" applyNumberFormat="1" applyBorder="1"/>
    <xf numFmtId="0" fontId="11" fillId="0" borderId="20" xfId="0" applyFont="1" applyBorder="1" applyAlignment="1">
      <alignment wrapText="1"/>
    </xf>
    <xf numFmtId="167" fontId="0" fillId="5" borderId="7" xfId="0" applyNumberFormat="1" applyFill="1" applyBorder="1"/>
    <xf numFmtId="167" fontId="0" fillId="0" borderId="35" xfId="0" applyNumberFormat="1" applyBorder="1"/>
    <xf numFmtId="0" fontId="24" fillId="32" borderId="0" xfId="0" applyFont="1" applyFill="1"/>
    <xf numFmtId="1" fontId="28" fillId="23" borderId="0" xfId="0" applyNumberFormat="1" applyFont="1" applyFill="1"/>
    <xf numFmtId="0" fontId="17" fillId="10" borderId="7" xfId="0" applyFont="1" applyFill="1" applyBorder="1"/>
    <xf numFmtId="0" fontId="17" fillId="10" borderId="35" xfId="0" applyFont="1" applyFill="1" applyBorder="1"/>
    <xf numFmtId="166" fontId="22" fillId="5" borderId="4" xfId="0" applyNumberFormat="1" applyFont="1" applyFill="1" applyBorder="1"/>
    <xf numFmtId="0" fontId="0" fillId="0" borderId="0" xfId="0" applyAlignment="1">
      <alignment horizontal="center" wrapText="1"/>
    </xf>
    <xf numFmtId="0" fontId="0" fillId="0" borderId="19" xfId="0" applyBorder="1" applyAlignment="1">
      <alignment horizontal="center" wrapText="1"/>
    </xf>
    <xf numFmtId="167" fontId="0" fillId="0" borderId="47" xfId="0" applyNumberFormat="1" applyBorder="1"/>
    <xf numFmtId="43" fontId="0" fillId="0" borderId="35" xfId="0" applyNumberFormat="1" applyBorder="1"/>
    <xf numFmtId="0" fontId="29" fillId="0" borderId="0" xfId="0" applyFont="1"/>
    <xf numFmtId="0" fontId="4" fillId="13" borderId="20" xfId="0" applyFont="1" applyFill="1" applyBorder="1" applyAlignment="1">
      <alignment horizontal="center" vertical="center" wrapText="1"/>
    </xf>
    <xf numFmtId="0" fontId="24" fillId="7" borderId="0" xfId="0" applyFont="1" applyFill="1"/>
    <xf numFmtId="0" fontId="24" fillId="15" borderId="0" xfId="0" applyFont="1" applyFill="1"/>
    <xf numFmtId="0" fontId="21" fillId="17" borderId="0" xfId="0" applyFont="1" applyFill="1" applyAlignment="1">
      <alignment horizontal="left"/>
    </xf>
    <xf numFmtId="0" fontId="20" fillId="0" borderId="0" xfId="0" applyFont="1"/>
    <xf numFmtId="43" fontId="10" fillId="0" borderId="0" xfId="0" applyNumberFormat="1" applyFont="1"/>
    <xf numFmtId="167" fontId="0" fillId="0" borderId="30" xfId="0" applyNumberFormat="1" applyBorder="1"/>
    <xf numFmtId="167" fontId="0" fillId="0" borderId="51" xfId="0" applyNumberFormat="1" applyBorder="1"/>
    <xf numFmtId="0" fontId="10" fillId="0" borderId="31" xfId="0" applyFont="1" applyBorder="1"/>
    <xf numFmtId="1" fontId="20" fillId="0" borderId="31" xfId="0" applyNumberFormat="1" applyFont="1" applyBorder="1" applyAlignment="1">
      <alignment horizontal="center"/>
    </xf>
    <xf numFmtId="0" fontId="10" fillId="0" borderId="32" xfId="0" applyFont="1" applyBorder="1"/>
    <xf numFmtId="0" fontId="10" fillId="33" borderId="0" xfId="0" applyFont="1" applyFill="1"/>
    <xf numFmtId="0" fontId="0" fillId="0" borderId="47" xfId="0" applyBorder="1"/>
    <xf numFmtId="0" fontId="30" fillId="0" borderId="0" xfId="0" applyFont="1"/>
    <xf numFmtId="0" fontId="32" fillId="0" borderId="0" xfId="0" applyFont="1"/>
    <xf numFmtId="0" fontId="0" fillId="0" borderId="39" xfId="0" applyBorder="1"/>
    <xf numFmtId="0" fontId="0" fillId="0" borderId="25" xfId="0" applyBorder="1"/>
    <xf numFmtId="167" fontId="0" fillId="0" borderId="25" xfId="0" applyNumberFormat="1" applyBorder="1"/>
    <xf numFmtId="0" fontId="6" fillId="34" borderId="59" xfId="0" applyFont="1" applyFill="1" applyBorder="1"/>
    <xf numFmtId="1" fontId="6" fillId="36" borderId="61" xfId="0" applyNumberFormat="1" applyFont="1" applyFill="1" applyBorder="1"/>
    <xf numFmtId="0" fontId="30" fillId="20" borderId="62" xfId="0" applyFont="1" applyFill="1" applyBorder="1"/>
    <xf numFmtId="0" fontId="22" fillId="20" borderId="0" xfId="0" applyFont="1" applyFill="1"/>
    <xf numFmtId="0" fontId="10" fillId="20" borderId="0" xfId="0" applyFont="1" applyFill="1"/>
    <xf numFmtId="1" fontId="22" fillId="20" borderId="63" xfId="0" applyNumberFormat="1" applyFont="1" applyFill="1" applyBorder="1"/>
    <xf numFmtId="0" fontId="10" fillId="20" borderId="62" xfId="0" applyFont="1" applyFill="1" applyBorder="1"/>
    <xf numFmtId="0" fontId="22" fillId="20" borderId="62" xfId="0" applyFont="1" applyFill="1" applyBorder="1"/>
    <xf numFmtId="0" fontId="3" fillId="20" borderId="0" xfId="0" applyFont="1" applyFill="1"/>
    <xf numFmtId="167" fontId="10" fillId="20" borderId="0" xfId="0" applyNumberFormat="1" applyFont="1" applyFill="1"/>
    <xf numFmtId="1" fontId="10" fillId="20" borderId="0" xfId="0" applyNumberFormat="1" applyFont="1" applyFill="1"/>
    <xf numFmtId="1" fontId="10" fillId="20" borderId="63" xfId="0" applyNumberFormat="1" applyFont="1" applyFill="1" applyBorder="1"/>
    <xf numFmtId="0" fontId="10" fillId="20" borderId="64" xfId="0" applyFont="1" applyFill="1" applyBorder="1"/>
    <xf numFmtId="167" fontId="10" fillId="20" borderId="65" xfId="0" applyNumberFormat="1" applyFont="1" applyFill="1" applyBorder="1"/>
    <xf numFmtId="0" fontId="10" fillId="20" borderId="65" xfId="0" applyFont="1" applyFill="1" applyBorder="1"/>
    <xf numFmtId="1" fontId="10" fillId="20" borderId="65" xfId="0" applyNumberFormat="1" applyFont="1" applyFill="1" applyBorder="1"/>
    <xf numFmtId="1" fontId="10" fillId="20" borderId="66" xfId="0" applyNumberFormat="1" applyFont="1" applyFill="1" applyBorder="1"/>
    <xf numFmtId="0" fontId="34" fillId="0" borderId="0" xfId="0" applyFont="1"/>
    <xf numFmtId="0" fontId="22" fillId="0" borderId="17" xfId="0" applyFont="1" applyBorder="1"/>
    <xf numFmtId="0" fontId="22" fillId="0" borderId="2" xfId="0" applyFont="1" applyBorder="1"/>
    <xf numFmtId="0" fontId="22" fillId="0" borderId="5" xfId="0" applyFont="1" applyBorder="1"/>
    <xf numFmtId="0" fontId="22" fillId="0" borderId="11" xfId="0" applyFont="1" applyBorder="1"/>
    <xf numFmtId="0" fontId="22" fillId="0" borderId="3" xfId="0" applyFont="1" applyBorder="1"/>
    <xf numFmtId="0" fontId="22" fillId="0" borderId="10" xfId="0" applyFont="1" applyBorder="1"/>
    <xf numFmtId="167" fontId="12" fillId="19" borderId="46" xfId="0" applyNumberFormat="1" applyFont="1" applyFill="1" applyBorder="1"/>
    <xf numFmtId="167" fontId="4" fillId="0" borderId="0" xfId="0" applyNumberFormat="1" applyFont="1"/>
    <xf numFmtId="1" fontId="0" fillId="0" borderId="25" xfId="0" applyNumberFormat="1" applyBorder="1"/>
    <xf numFmtId="0" fontId="0" fillId="0" borderId="0" xfId="0" applyAlignment="1">
      <alignment horizontal="center" vertical="center" wrapText="1"/>
    </xf>
    <xf numFmtId="0" fontId="12" fillId="19" borderId="46" xfId="0" applyFont="1" applyFill="1" applyBorder="1" applyAlignment="1">
      <alignment horizontal="right"/>
    </xf>
    <xf numFmtId="0" fontId="0" fillId="0" borderId="0" xfId="0" applyAlignment="1">
      <alignment vertical="center" wrapText="1"/>
    </xf>
    <xf numFmtId="0" fontId="0" fillId="30" borderId="0" xfId="0" applyFill="1"/>
    <xf numFmtId="3" fontId="0" fillId="24" borderId="0" xfId="0" applyNumberFormat="1" applyFill="1"/>
    <xf numFmtId="9" fontId="39" fillId="0" borderId="0" xfId="0" applyNumberFormat="1" applyFont="1"/>
    <xf numFmtId="0" fontId="7" fillId="0" borderId="22" xfId="0" applyFont="1" applyBorder="1" applyAlignment="1">
      <alignment horizontal="center" vertical="center" wrapText="1"/>
    </xf>
    <xf numFmtId="0" fontId="7" fillId="30" borderId="22" xfId="0" applyFont="1" applyFill="1" applyBorder="1" applyAlignment="1">
      <alignment horizontal="center" vertical="center" wrapText="1"/>
    </xf>
    <xf numFmtId="0" fontId="7" fillId="24" borderId="22" xfId="0" applyFont="1" applyFill="1" applyBorder="1" applyAlignment="1">
      <alignment horizontal="center" vertical="center" wrapText="1"/>
    </xf>
    <xf numFmtId="0" fontId="38" fillId="0" borderId="22" xfId="0" applyFont="1" applyBorder="1" applyAlignment="1">
      <alignment horizontal="center" vertical="center" wrapText="1"/>
    </xf>
    <xf numFmtId="167" fontId="36" fillId="37" borderId="55" xfId="0" applyNumberFormat="1" applyFont="1" applyFill="1" applyBorder="1"/>
    <xf numFmtId="43" fontId="36" fillId="37" borderId="46" xfId="0" applyNumberFormat="1" applyFont="1" applyFill="1" applyBorder="1"/>
    <xf numFmtId="166" fontId="0" fillId="10" borderId="0" xfId="0" applyNumberFormat="1" applyFill="1"/>
    <xf numFmtId="0" fontId="7" fillId="0" borderId="0" xfId="0" applyFont="1"/>
    <xf numFmtId="0" fontId="7" fillId="0" borderId="0" xfId="0" applyFont="1" applyAlignment="1">
      <alignment horizontal="center" vertical="center" wrapText="1"/>
    </xf>
    <xf numFmtId="0" fontId="7" fillId="0" borderId="0" xfId="0" applyFont="1" applyAlignment="1">
      <alignment horizontal="center" vertical="center"/>
    </xf>
    <xf numFmtId="0" fontId="4" fillId="0" borderId="25" xfId="0" applyFont="1" applyBorder="1"/>
    <xf numFmtId="166" fontId="4" fillId="0" borderId="25" xfId="0" applyNumberFormat="1" applyFont="1" applyBorder="1"/>
    <xf numFmtId="167" fontId="26" fillId="0" borderId="35" xfId="0" applyNumberFormat="1" applyFont="1" applyBorder="1"/>
    <xf numFmtId="167" fontId="26" fillId="0" borderId="0" xfId="0" applyNumberFormat="1" applyFont="1"/>
    <xf numFmtId="0" fontId="27" fillId="0" borderId="20" xfId="0" applyFont="1" applyBorder="1" applyAlignment="1">
      <alignment wrapText="1"/>
    </xf>
    <xf numFmtId="167" fontId="27" fillId="0" borderId="35" xfId="0" applyNumberFormat="1" applyFont="1" applyBorder="1"/>
    <xf numFmtId="167" fontId="27" fillId="0" borderId="0" xfId="0" applyNumberFormat="1" applyFont="1"/>
    <xf numFmtId="0" fontId="26" fillId="0" borderId="20" xfId="0" applyFont="1" applyBorder="1" applyAlignment="1">
      <alignment wrapText="1"/>
    </xf>
    <xf numFmtId="0" fontId="0" fillId="0" borderId="20" xfId="0" applyBorder="1" applyAlignment="1">
      <alignment horizontal="center"/>
    </xf>
    <xf numFmtId="43" fontId="20" fillId="0" borderId="25" xfId="0" applyNumberFormat="1" applyFont="1" applyBorder="1"/>
    <xf numFmtId="0" fontId="0" fillId="0" borderId="25" xfId="0" applyBorder="1" applyAlignment="1">
      <alignment vertical="center"/>
    </xf>
    <xf numFmtId="0" fontId="0" fillId="0" borderId="73" xfId="0" applyBorder="1"/>
    <xf numFmtId="167" fontId="20" fillId="0" borderId="22" xfId="0" applyNumberFormat="1" applyFont="1" applyBorder="1"/>
    <xf numFmtId="43" fontId="20" fillId="0" borderId="22" xfId="0" applyNumberFormat="1" applyFont="1" applyBorder="1"/>
    <xf numFmtId="167" fontId="20" fillId="0" borderId="25" xfId="0" applyNumberFormat="1" applyFont="1" applyBorder="1"/>
    <xf numFmtId="1" fontId="0" fillId="0" borderId="24" xfId="0" applyNumberFormat="1" applyBorder="1"/>
    <xf numFmtId="0" fontId="0" fillId="0" borderId="22" xfId="0" applyBorder="1" applyAlignment="1">
      <alignment vertical="center"/>
    </xf>
    <xf numFmtId="165" fontId="10" fillId="0" borderId="0" xfId="0" applyNumberFormat="1" applyFont="1"/>
    <xf numFmtId="0" fontId="0" fillId="0" borderId="32" xfId="0" applyBorder="1"/>
    <xf numFmtId="0" fontId="0" fillId="0" borderId="23" xfId="0" applyBorder="1"/>
    <xf numFmtId="0" fontId="0" fillId="0" borderId="31" xfId="0" applyBorder="1"/>
    <xf numFmtId="0" fontId="0" fillId="0" borderId="0" xfId="0" applyAlignment="1">
      <alignment vertical="center"/>
    </xf>
    <xf numFmtId="14" fontId="0" fillId="0" borderId="0" xfId="0" applyNumberFormat="1" applyAlignment="1">
      <alignment vertical="center"/>
    </xf>
    <xf numFmtId="0" fontId="27" fillId="0" borderId="0" xfId="0" applyFont="1" applyAlignment="1">
      <alignment wrapText="1"/>
    </xf>
    <xf numFmtId="9" fontId="10" fillId="0" borderId="0" xfId="0" applyNumberFormat="1" applyFont="1"/>
    <xf numFmtId="0" fontId="41" fillId="0" borderId="0" xfId="0" applyFont="1" applyProtection="1">
      <protection locked="0"/>
    </xf>
    <xf numFmtId="0" fontId="41" fillId="0" borderId="0" xfId="0" applyFont="1"/>
    <xf numFmtId="0" fontId="42" fillId="0" borderId="0" xfId="0" applyFont="1"/>
    <xf numFmtId="0" fontId="41" fillId="0" borderId="0" xfId="0" applyFont="1" applyAlignment="1">
      <alignment vertical="top"/>
    </xf>
    <xf numFmtId="0" fontId="41" fillId="0" borderId="0" xfId="0" applyFont="1" applyAlignment="1">
      <alignment horizontal="left"/>
    </xf>
    <xf numFmtId="0" fontId="41" fillId="65" borderId="0" xfId="0" applyFont="1" applyFill="1"/>
    <xf numFmtId="0" fontId="41" fillId="28" borderId="0" xfId="0" applyFont="1" applyFill="1"/>
    <xf numFmtId="0" fontId="42" fillId="0" borderId="20" xfId="0" applyFont="1" applyBorder="1"/>
    <xf numFmtId="0" fontId="41" fillId="16" borderId="0" xfId="0" applyFont="1" applyFill="1"/>
    <xf numFmtId="0" fontId="41" fillId="0" borderId="20" xfId="0" applyFont="1" applyBorder="1"/>
    <xf numFmtId="0" fontId="41" fillId="0" borderId="20" xfId="0" applyFont="1" applyBorder="1" applyProtection="1">
      <protection locked="0"/>
    </xf>
    <xf numFmtId="0" fontId="45" fillId="0" borderId="0" xfId="0" applyFont="1" applyAlignment="1">
      <alignment horizontal="left"/>
    </xf>
    <xf numFmtId="0" fontId="46" fillId="0" borderId="0" xfId="0" applyFont="1" applyProtection="1">
      <protection locked="0"/>
    </xf>
    <xf numFmtId="0" fontId="46" fillId="0" borderId="0" xfId="0" applyFont="1"/>
    <xf numFmtId="0" fontId="47" fillId="0" borderId="0" xfId="0" applyFont="1" applyAlignment="1">
      <alignment horizontal="left"/>
    </xf>
    <xf numFmtId="0" fontId="42" fillId="0" borderId="75" xfId="0" applyFont="1" applyBorder="1" applyAlignment="1">
      <alignment wrapText="1"/>
    </xf>
    <xf numFmtId="0" fontId="42" fillId="0" borderId="76" xfId="0" applyFont="1" applyBorder="1" applyAlignment="1">
      <alignment wrapText="1"/>
    </xf>
    <xf numFmtId="0" fontId="42" fillId="0" borderId="77" xfId="0" applyFont="1" applyBorder="1" applyAlignment="1">
      <alignment wrapText="1"/>
    </xf>
    <xf numFmtId="0" fontId="42" fillId="0" borderId="78" xfId="0" applyFont="1" applyBorder="1" applyAlignment="1">
      <alignment wrapText="1"/>
    </xf>
    <xf numFmtId="0" fontId="41" fillId="0" borderId="79" xfId="0" applyFont="1" applyBorder="1"/>
    <xf numFmtId="0" fontId="41" fillId="0" borderId="80" xfId="0" applyFont="1" applyBorder="1" applyAlignment="1">
      <alignment horizontal="center" wrapText="1"/>
    </xf>
    <xf numFmtId="0" fontId="41" fillId="0" borderId="81" xfId="0" applyFont="1" applyBorder="1" applyAlignment="1">
      <alignment horizontal="center" wrapText="1"/>
    </xf>
    <xf numFmtId="0" fontId="42" fillId="0" borderId="79" xfId="0" applyFont="1" applyBorder="1" applyAlignment="1">
      <alignment wrapText="1"/>
    </xf>
    <xf numFmtId="0" fontId="41" fillId="0" borderId="79" xfId="0" applyFont="1" applyBorder="1" applyAlignment="1">
      <alignment horizontal="center" wrapText="1"/>
    </xf>
    <xf numFmtId="0" fontId="41" fillId="0" borderId="82" xfId="0" applyFont="1" applyBorder="1" applyAlignment="1">
      <alignment horizontal="center" wrapText="1"/>
    </xf>
    <xf numFmtId="0" fontId="41" fillId="5" borderId="79" xfId="0" applyFont="1" applyFill="1" applyBorder="1" applyAlignment="1">
      <alignment vertical="center"/>
    </xf>
    <xf numFmtId="167" fontId="41" fillId="10" borderId="80" xfId="0" applyNumberFormat="1" applyFont="1" applyFill="1" applyBorder="1"/>
    <xf numFmtId="167" fontId="41" fillId="10" borderId="81" xfId="0" applyNumberFormat="1" applyFont="1" applyFill="1" applyBorder="1"/>
    <xf numFmtId="3" fontId="41" fillId="10" borderId="79" xfId="0" applyNumberFormat="1" applyFont="1" applyFill="1" applyBorder="1"/>
    <xf numFmtId="171" fontId="41" fillId="10" borderId="80" xfId="0" applyNumberFormat="1" applyFont="1" applyFill="1" applyBorder="1"/>
    <xf numFmtId="171" fontId="41" fillId="10" borderId="81" xfId="0" applyNumberFormat="1" applyFont="1" applyFill="1" applyBorder="1"/>
    <xf numFmtId="3" fontId="41" fillId="10" borderId="79" xfId="0" quotePrefix="1" applyNumberFormat="1" applyFont="1" applyFill="1" applyBorder="1"/>
    <xf numFmtId="3" fontId="41" fillId="10" borderId="80" xfId="0" quotePrefix="1" applyNumberFormat="1" applyFont="1" applyFill="1" applyBorder="1"/>
    <xf numFmtId="3" fontId="41" fillId="10" borderId="82" xfId="0" quotePrefix="1" applyNumberFormat="1" applyFont="1" applyFill="1" applyBorder="1"/>
    <xf numFmtId="3" fontId="41" fillId="10" borderId="81" xfId="0" quotePrefix="1" applyNumberFormat="1" applyFont="1" applyFill="1" applyBorder="1"/>
    <xf numFmtId="167" fontId="41" fillId="10" borderId="79" xfId="0" applyNumberFormat="1" applyFont="1" applyFill="1" applyBorder="1"/>
    <xf numFmtId="3" fontId="41" fillId="10" borderId="81" xfId="0" applyNumberFormat="1" applyFont="1" applyFill="1" applyBorder="1"/>
    <xf numFmtId="4" fontId="41" fillId="10" borderId="79" xfId="0" applyNumberFormat="1" applyFont="1" applyFill="1" applyBorder="1"/>
    <xf numFmtId="43" fontId="41" fillId="10" borderId="81" xfId="0" applyNumberFormat="1" applyFont="1" applyFill="1" applyBorder="1"/>
    <xf numFmtId="167" fontId="41" fillId="13" borderId="79" xfId="0" applyNumberFormat="1" applyFont="1" applyFill="1" applyBorder="1"/>
    <xf numFmtId="167" fontId="41" fillId="13" borderId="80" xfId="0" applyNumberFormat="1" applyFont="1" applyFill="1" applyBorder="1"/>
    <xf numFmtId="167" fontId="41" fillId="13" borderId="81" xfId="0" applyNumberFormat="1" applyFont="1" applyFill="1" applyBorder="1"/>
    <xf numFmtId="3" fontId="41" fillId="28" borderId="79" xfId="0" applyNumberFormat="1" applyFont="1" applyFill="1" applyBorder="1"/>
    <xf numFmtId="171" fontId="41" fillId="28" borderId="80" xfId="0" applyNumberFormat="1" applyFont="1" applyFill="1" applyBorder="1"/>
    <xf numFmtId="171" fontId="41" fillId="28" borderId="81" xfId="0" applyNumberFormat="1" applyFont="1" applyFill="1" applyBorder="1"/>
    <xf numFmtId="3" fontId="41" fillId="28" borderId="80" xfId="0" applyNumberFormat="1" applyFont="1" applyFill="1" applyBorder="1"/>
    <xf numFmtId="3" fontId="41" fillId="28" borderId="82" xfId="0" applyNumberFormat="1" applyFont="1" applyFill="1" applyBorder="1"/>
    <xf numFmtId="167" fontId="41" fillId="0" borderId="79" xfId="0" applyNumberFormat="1" applyFont="1" applyBorder="1"/>
    <xf numFmtId="167" fontId="41" fillId="0" borderId="80" xfId="0" applyNumberFormat="1" applyFont="1" applyBorder="1"/>
    <xf numFmtId="43" fontId="41" fillId="0" borderId="80" xfId="0" applyNumberFormat="1" applyFont="1" applyBorder="1"/>
    <xf numFmtId="43" fontId="41" fillId="0" borderId="81" xfId="0" applyNumberFormat="1" applyFont="1" applyBorder="1"/>
    <xf numFmtId="167" fontId="41" fillId="0" borderId="81" xfId="0" applyNumberFormat="1" applyFont="1" applyBorder="1"/>
    <xf numFmtId="171" fontId="41" fillId="66" borderId="83" xfId="0" applyNumberFormat="1" applyFont="1" applyFill="1" applyBorder="1"/>
    <xf numFmtId="167" fontId="41" fillId="66" borderId="84" xfId="0" applyNumberFormat="1" applyFont="1" applyFill="1" applyBorder="1"/>
    <xf numFmtId="167" fontId="41" fillId="66" borderId="85" xfId="0" applyNumberFormat="1" applyFont="1" applyFill="1" applyBorder="1"/>
    <xf numFmtId="167" fontId="41" fillId="16" borderId="79" xfId="0" applyNumberFormat="1" applyFont="1" applyFill="1" applyBorder="1"/>
    <xf numFmtId="167" fontId="41" fillId="16" borderId="80" xfId="0" applyNumberFormat="1" applyFont="1" applyFill="1" applyBorder="1"/>
    <xf numFmtId="43" fontId="41" fillId="16" borderId="81" xfId="0" applyNumberFormat="1" applyFont="1" applyFill="1" applyBorder="1"/>
    <xf numFmtId="2" fontId="41" fillId="0" borderId="0" xfId="0" applyNumberFormat="1" applyFont="1" applyProtection="1">
      <protection locked="0"/>
    </xf>
    <xf numFmtId="0" fontId="48" fillId="0" borderId="0" xfId="0" applyFont="1"/>
    <xf numFmtId="3" fontId="41" fillId="28" borderId="9" xfId="0" applyNumberFormat="1" applyFont="1" applyFill="1" applyBorder="1"/>
    <xf numFmtId="171" fontId="41" fillId="66" borderId="86" xfId="0" applyNumberFormat="1" applyFont="1" applyFill="1" applyBorder="1"/>
    <xf numFmtId="167" fontId="41" fillId="66" borderId="87" xfId="0" applyNumberFormat="1" applyFont="1" applyFill="1" applyBorder="1"/>
    <xf numFmtId="167" fontId="41" fillId="66" borderId="88" xfId="0" applyNumberFormat="1" applyFont="1" applyFill="1" applyBorder="1"/>
    <xf numFmtId="171" fontId="41" fillId="28" borderId="92" xfId="0" applyNumberFormat="1" applyFont="1" applyFill="1" applyBorder="1"/>
    <xf numFmtId="171" fontId="41" fillId="28" borderId="93" xfId="0" applyNumberFormat="1" applyFont="1" applyFill="1" applyBorder="1"/>
    <xf numFmtId="3" fontId="41" fillId="28" borderId="94" xfId="0" applyNumberFormat="1" applyFont="1" applyFill="1" applyBorder="1"/>
    <xf numFmtId="3" fontId="41" fillId="28" borderId="92" xfId="0" applyNumberFormat="1" applyFont="1" applyFill="1" applyBorder="1"/>
    <xf numFmtId="3" fontId="41" fillId="28" borderId="95" xfId="0" applyNumberFormat="1" applyFont="1" applyFill="1" applyBorder="1"/>
    <xf numFmtId="167" fontId="41" fillId="0" borderId="94" xfId="0" applyNumberFormat="1" applyFont="1" applyBorder="1"/>
    <xf numFmtId="167" fontId="41" fillId="0" borderId="92" xfId="0" applyNumberFormat="1" applyFont="1" applyBorder="1"/>
    <xf numFmtId="43" fontId="41" fillId="0" borderId="92" xfId="0" applyNumberFormat="1" applyFont="1" applyBorder="1"/>
    <xf numFmtId="43" fontId="41" fillId="0" borderId="93" xfId="0" applyNumberFormat="1" applyFont="1" applyBorder="1"/>
    <xf numFmtId="167" fontId="41" fillId="0" borderId="93" xfId="0" applyNumberFormat="1" applyFont="1" applyBorder="1"/>
    <xf numFmtId="171" fontId="41" fillId="66" borderId="89" xfId="0" applyNumberFormat="1" applyFont="1" applyFill="1" applyBorder="1"/>
    <xf numFmtId="167" fontId="41" fillId="66" borderId="90" xfId="0" applyNumberFormat="1" applyFont="1" applyFill="1" applyBorder="1"/>
    <xf numFmtId="167" fontId="41" fillId="66" borderId="91" xfId="0" applyNumberFormat="1" applyFont="1" applyFill="1" applyBorder="1"/>
    <xf numFmtId="167" fontId="41" fillId="16" borderId="94" xfId="0" applyNumberFormat="1" applyFont="1" applyFill="1" applyBorder="1"/>
    <xf numFmtId="167" fontId="41" fillId="16" borderId="92" xfId="0" applyNumberFormat="1" applyFont="1" applyFill="1" applyBorder="1"/>
    <xf numFmtId="43" fontId="41" fillId="16" borderId="93" xfId="0" applyNumberFormat="1" applyFont="1" applyFill="1" applyBorder="1"/>
    <xf numFmtId="167" fontId="41" fillId="0" borderId="89" xfId="0" applyNumberFormat="1" applyFont="1" applyBorder="1"/>
    <xf numFmtId="167" fontId="41" fillId="0" borderId="90" xfId="0" applyNumberFormat="1" applyFont="1" applyBorder="1"/>
    <xf numFmtId="167" fontId="41" fillId="0" borderId="91" xfId="0" applyNumberFormat="1" applyFont="1" applyBorder="1"/>
    <xf numFmtId="0" fontId="49" fillId="0" borderId="0" xfId="0" applyFont="1" applyProtection="1">
      <protection locked="0"/>
    </xf>
    <xf numFmtId="3" fontId="41" fillId="28" borderId="96" xfId="0" applyNumberFormat="1" applyFont="1" applyFill="1" applyBorder="1"/>
    <xf numFmtId="171" fontId="41" fillId="28" borderId="84" xfId="0" applyNumberFormat="1" applyFont="1" applyFill="1" applyBorder="1"/>
    <xf numFmtId="0" fontId="41" fillId="8" borderId="28" xfId="0" applyFont="1" applyFill="1" applyBorder="1" applyAlignment="1">
      <alignment vertical="center"/>
    </xf>
    <xf numFmtId="3" fontId="41" fillId="8" borderId="97" xfId="0" applyNumberFormat="1" applyFont="1" applyFill="1" applyBorder="1"/>
    <xf numFmtId="3" fontId="41" fillId="8" borderId="98" xfId="0" applyNumberFormat="1" applyFont="1" applyFill="1" applyBorder="1"/>
    <xf numFmtId="171" fontId="41" fillId="8" borderId="98" xfId="0" applyNumberFormat="1" applyFont="1" applyFill="1" applyBorder="1"/>
    <xf numFmtId="43" fontId="41" fillId="8" borderId="98" xfId="0" applyNumberFormat="1" applyFont="1" applyFill="1" applyBorder="1"/>
    <xf numFmtId="3" fontId="41" fillId="8" borderId="99" xfId="0" applyNumberFormat="1" applyFont="1" applyFill="1" applyBorder="1"/>
    <xf numFmtId="3" fontId="41" fillId="8" borderId="100" xfId="0" applyNumberFormat="1" applyFont="1" applyFill="1" applyBorder="1"/>
    <xf numFmtId="0" fontId="41" fillId="0" borderId="0" xfId="0" applyFont="1" applyAlignment="1">
      <alignment vertical="center"/>
    </xf>
    <xf numFmtId="3" fontId="41" fillId="0" borderId="0" xfId="0" applyNumberFormat="1" applyFont="1"/>
    <xf numFmtId="171" fontId="41" fillId="0" borderId="0" xfId="0" applyNumberFormat="1" applyFont="1"/>
    <xf numFmtId="43" fontId="41" fillId="0" borderId="0" xfId="0" applyNumberFormat="1" applyFont="1"/>
    <xf numFmtId="3" fontId="42" fillId="0" borderId="0" xfId="0" applyNumberFormat="1" applyFont="1"/>
    <xf numFmtId="171" fontId="42" fillId="0" borderId="0" xfId="0" applyNumberFormat="1" applyFont="1"/>
    <xf numFmtId="0" fontId="42" fillId="0" borderId="0" xfId="0" applyFont="1" applyProtection="1">
      <protection locked="0"/>
    </xf>
    <xf numFmtId="167" fontId="42" fillId="0" borderId="0" xfId="0" applyNumberFormat="1" applyFont="1" applyProtection="1">
      <protection locked="0"/>
    </xf>
    <xf numFmtId="0" fontId="42" fillId="0" borderId="28" xfId="0" applyFont="1" applyBorder="1"/>
    <xf numFmtId="0" fontId="42" fillId="0" borderId="15" xfId="0" applyFont="1" applyBorder="1"/>
    <xf numFmtId="0" fontId="41" fillId="0" borderId="15" xfId="0" applyFont="1" applyBorder="1"/>
    <xf numFmtId="0" fontId="41" fillId="0" borderId="19" xfId="0" applyFont="1" applyBorder="1"/>
    <xf numFmtId="0" fontId="50" fillId="0" borderId="0" xfId="0" applyFont="1" applyAlignment="1" applyProtection="1">
      <alignment horizontal="right"/>
      <protection locked="0"/>
    </xf>
    <xf numFmtId="167" fontId="51" fillId="0" borderId="0" xfId="0" applyNumberFormat="1" applyFont="1" applyAlignment="1">
      <alignment horizontal="center"/>
    </xf>
    <xf numFmtId="0" fontId="49" fillId="0" borderId="0" xfId="0" applyFont="1" applyAlignment="1">
      <alignment horizontal="center"/>
    </xf>
    <xf numFmtId="3" fontId="41" fillId="0" borderId="20" xfId="0" applyNumberFormat="1" applyFont="1" applyBorder="1"/>
    <xf numFmtId="0" fontId="41" fillId="0" borderId="0" xfId="0" applyFont="1" applyAlignment="1">
      <alignment horizontal="centerContinuous"/>
    </xf>
    <xf numFmtId="0" fontId="50" fillId="0" borderId="0" xfId="0" applyFont="1" applyAlignment="1" applyProtection="1">
      <alignment horizontal="left"/>
      <protection locked="0"/>
    </xf>
    <xf numFmtId="3" fontId="41" fillId="0" borderId="31" xfId="0" applyNumberFormat="1" applyFont="1" applyBorder="1"/>
    <xf numFmtId="167" fontId="41" fillId="0" borderId="0" xfId="0" applyNumberFormat="1" applyFont="1" applyProtection="1">
      <protection locked="0"/>
    </xf>
    <xf numFmtId="171" fontId="41" fillId="0" borderId="31" xfId="0" applyNumberFormat="1" applyFont="1" applyBorder="1"/>
    <xf numFmtId="2" fontId="41" fillId="0" borderId="20" xfId="0" applyNumberFormat="1" applyFont="1" applyBorder="1" applyAlignment="1">
      <alignment horizontal="right"/>
    </xf>
    <xf numFmtId="2" fontId="41" fillId="67" borderId="20" xfId="0" applyNumberFormat="1" applyFont="1" applyFill="1" applyBorder="1" applyAlignment="1">
      <alignment horizontal="right"/>
    </xf>
    <xf numFmtId="164" fontId="41" fillId="67" borderId="20" xfId="0" applyNumberFormat="1" applyFont="1" applyFill="1" applyBorder="1"/>
    <xf numFmtId="9" fontId="41" fillId="0" borderId="0" xfId="0" applyNumberFormat="1" applyFont="1"/>
    <xf numFmtId="164" fontId="41" fillId="0" borderId="0" xfId="0" applyNumberFormat="1" applyFont="1"/>
    <xf numFmtId="2" fontId="41" fillId="0" borderId="0" xfId="0" applyNumberFormat="1" applyFont="1"/>
    <xf numFmtId="0" fontId="42" fillId="68" borderId="20" xfId="0" applyFont="1" applyFill="1" applyBorder="1" applyProtection="1">
      <protection locked="0"/>
    </xf>
    <xf numFmtId="0" fontId="41" fillId="68" borderId="20" xfId="0" applyFont="1" applyFill="1" applyBorder="1" applyProtection="1">
      <protection locked="0"/>
    </xf>
    <xf numFmtId="164" fontId="17" fillId="0" borderId="7" xfId="0" applyNumberFormat="1" applyFont="1" applyBorder="1"/>
    <xf numFmtId="171" fontId="41" fillId="28" borderId="85" xfId="0" applyNumberFormat="1" applyFont="1" applyFill="1" applyBorder="1"/>
    <xf numFmtId="3" fontId="41" fillId="28" borderId="84" xfId="0" applyNumberFormat="1" applyFont="1" applyFill="1" applyBorder="1"/>
    <xf numFmtId="3" fontId="41" fillId="28" borderId="101" xfId="0" applyNumberFormat="1" applyFont="1" applyFill="1" applyBorder="1"/>
    <xf numFmtId="167" fontId="41" fillId="0" borderId="83" xfId="0" applyNumberFormat="1" applyFont="1" applyBorder="1"/>
    <xf numFmtId="167" fontId="41" fillId="0" borderId="84" xfId="0" applyNumberFormat="1" applyFont="1" applyBorder="1"/>
    <xf numFmtId="167" fontId="41" fillId="0" borderId="85" xfId="0" applyNumberFormat="1" applyFont="1" applyBorder="1"/>
    <xf numFmtId="3" fontId="41" fillId="28" borderId="83" xfId="0" applyNumberFormat="1" applyFont="1" applyFill="1" applyBorder="1"/>
    <xf numFmtId="171" fontId="41" fillId="0" borderId="0" xfId="0" applyNumberFormat="1" applyFont="1" applyAlignment="1">
      <alignment textRotation="90"/>
    </xf>
    <xf numFmtId="0" fontId="50" fillId="0" borderId="0" xfId="0" applyFont="1" applyAlignment="1">
      <alignment vertical="top"/>
    </xf>
    <xf numFmtId="0" fontId="41" fillId="0" borderId="0" xfId="0" applyFont="1" applyAlignment="1">
      <alignment textRotation="90" wrapText="1"/>
    </xf>
    <xf numFmtId="1" fontId="20" fillId="0" borderId="0" xfId="0" applyNumberFormat="1" applyFont="1" applyAlignment="1">
      <alignment horizontal="center"/>
    </xf>
    <xf numFmtId="167" fontId="0" fillId="0" borderId="35" xfId="0" applyNumberFormat="1" applyBorder="1" applyAlignment="1">
      <alignment horizontal="center"/>
    </xf>
    <xf numFmtId="0" fontId="10" fillId="0" borderId="102" xfId="0" applyFont="1" applyBorder="1"/>
    <xf numFmtId="0" fontId="20" fillId="0" borderId="0" xfId="0" applyFont="1" applyAlignment="1">
      <alignment horizontal="center" vertical="center"/>
    </xf>
    <xf numFmtId="0" fontId="16" fillId="0" borderId="0" xfId="0" applyFont="1" applyAlignment="1">
      <alignment horizontal="center"/>
    </xf>
    <xf numFmtId="167" fontId="20" fillId="0" borderId="0" xfId="0" applyNumberFormat="1" applyFont="1"/>
    <xf numFmtId="167" fontId="10" fillId="19" borderId="46" xfId="0" applyNumberFormat="1" applyFont="1" applyFill="1" applyBorder="1"/>
    <xf numFmtId="0" fontId="10" fillId="4" borderId="0" xfId="0" applyFont="1" applyFill="1"/>
    <xf numFmtId="167" fontId="16" fillId="4" borderId="0" xfId="0" applyNumberFormat="1" applyFont="1" applyFill="1"/>
    <xf numFmtId="0" fontId="0" fillId="0" borderId="15" xfId="0" applyBorder="1"/>
    <xf numFmtId="43" fontId="0" fillId="0" borderId="47" xfId="0" applyNumberFormat="1" applyBorder="1"/>
    <xf numFmtId="0" fontId="41" fillId="0" borderId="28" xfId="0" applyFont="1" applyBorder="1" applyAlignment="1">
      <alignment horizontal="left"/>
    </xf>
    <xf numFmtId="0" fontId="41" fillId="0" borderId="15" xfId="0" applyFont="1" applyBorder="1" applyAlignment="1">
      <alignment horizontal="left"/>
    </xf>
    <xf numFmtId="0" fontId="41" fillId="0" borderId="19" xfId="0" applyFont="1" applyBorder="1" applyAlignment="1">
      <alignment horizontal="left"/>
    </xf>
    <xf numFmtId="0" fontId="54" fillId="0" borderId="0" xfId="0" applyFont="1"/>
    <xf numFmtId="0" fontId="17" fillId="0" borderId="35" xfId="0" applyFont="1" applyBorder="1" applyAlignment="1">
      <alignment wrapText="1"/>
    </xf>
    <xf numFmtId="0" fontId="41" fillId="4" borderId="28" xfId="0" applyFont="1" applyFill="1" applyBorder="1"/>
    <xf numFmtId="0" fontId="41" fillId="4" borderId="15" xfId="0" applyFont="1" applyFill="1" applyBorder="1"/>
    <xf numFmtId="0" fontId="41" fillId="4" borderId="19" xfId="0" applyFont="1" applyFill="1" applyBorder="1"/>
    <xf numFmtId="0" fontId="41" fillId="6" borderId="28" xfId="0" applyFont="1" applyFill="1" applyBorder="1"/>
    <xf numFmtId="0" fontId="41" fillId="6" borderId="15" xfId="0" applyFont="1" applyFill="1" applyBorder="1"/>
    <xf numFmtId="0" fontId="41" fillId="6" borderId="19" xfId="0" applyFont="1" applyFill="1" applyBorder="1"/>
    <xf numFmtId="0" fontId="41" fillId="0" borderId="23" xfId="0" applyFont="1" applyBorder="1"/>
    <xf numFmtId="0" fontId="41" fillId="0" borderId="22" xfId="0" applyFont="1" applyBorder="1"/>
    <xf numFmtId="0" fontId="41" fillId="0" borderId="21" xfId="0" applyFont="1" applyBorder="1"/>
    <xf numFmtId="0" fontId="42" fillId="10" borderId="28" xfId="0" applyFont="1" applyFill="1" applyBorder="1"/>
    <xf numFmtId="0" fontId="42" fillId="10" borderId="15" xfId="0" applyFont="1" applyFill="1" applyBorder="1"/>
    <xf numFmtId="0" fontId="41" fillId="10" borderId="15" xfId="0" applyFont="1" applyFill="1" applyBorder="1"/>
    <xf numFmtId="0" fontId="41" fillId="10" borderId="19" xfId="0" applyFont="1" applyFill="1" applyBorder="1"/>
    <xf numFmtId="1" fontId="41" fillId="0" borderId="26" xfId="0" applyNumberFormat="1" applyFont="1" applyBorder="1"/>
    <xf numFmtId="1" fontId="41" fillId="0" borderId="20" xfId="0" applyNumberFormat="1" applyFont="1" applyBorder="1"/>
    <xf numFmtId="2" fontId="41" fillId="4" borderId="19" xfId="0" applyNumberFormat="1" applyFont="1" applyFill="1" applyBorder="1"/>
    <xf numFmtId="171" fontId="41" fillId="0" borderId="7" xfId="0" applyNumberFormat="1" applyFont="1" applyBorder="1" applyAlignment="1">
      <alignment horizontal="center" vertical="top"/>
    </xf>
    <xf numFmtId="3" fontId="41" fillId="0" borderId="7" xfId="0" applyNumberFormat="1" applyFont="1" applyBorder="1" applyAlignment="1">
      <alignment horizontal="center" vertical="top"/>
    </xf>
    <xf numFmtId="4" fontId="41" fillId="0" borderId="6" xfId="0" applyNumberFormat="1" applyFont="1" applyBorder="1" applyAlignment="1">
      <alignment horizontal="center" vertical="top"/>
    </xf>
    <xf numFmtId="0" fontId="17" fillId="0" borderId="7" xfId="0" applyFont="1" applyBorder="1" applyAlignment="1">
      <alignment vertical="top"/>
    </xf>
    <xf numFmtId="2" fontId="17" fillId="0" borderId="7" xfId="0" applyNumberFormat="1" applyFont="1" applyBorder="1" applyAlignment="1">
      <alignment vertical="top"/>
    </xf>
    <xf numFmtId="0" fontId="17" fillId="0" borderId="7" xfId="0" applyFont="1" applyBorder="1" applyAlignment="1">
      <alignment vertical="top" wrapText="1"/>
    </xf>
    <xf numFmtId="0" fontId="17" fillId="0" borderId="0" xfId="0" applyFont="1" applyAlignment="1">
      <alignment vertical="top"/>
    </xf>
    <xf numFmtId="0" fontId="17" fillId="0" borderId="7" xfId="0" applyFont="1" applyBorder="1" applyAlignment="1">
      <alignment horizontal="center" vertical="top"/>
    </xf>
    <xf numFmtId="0" fontId="19" fillId="22" borderId="73" xfId="0" applyFont="1" applyFill="1" applyBorder="1"/>
    <xf numFmtId="0" fontId="19" fillId="22" borderId="25" xfId="0" applyFont="1" applyFill="1" applyBorder="1"/>
    <xf numFmtId="0" fontId="19" fillId="21" borderId="25" xfId="0" applyFont="1" applyFill="1" applyBorder="1"/>
    <xf numFmtId="0" fontId="19" fillId="22" borderId="24" xfId="0" applyFont="1" applyFill="1" applyBorder="1"/>
    <xf numFmtId="0" fontId="17" fillId="17" borderId="9" xfId="0" applyFont="1" applyFill="1" applyBorder="1"/>
    <xf numFmtId="0" fontId="17" fillId="0" borderId="6" xfId="0" applyFont="1" applyBorder="1"/>
    <xf numFmtId="0" fontId="17" fillId="0" borderId="9" xfId="0" applyFont="1" applyBorder="1" applyAlignment="1">
      <alignment vertical="top"/>
    </xf>
    <xf numFmtId="0" fontId="17" fillId="0" borderId="6" xfId="0" applyFont="1" applyBorder="1" applyAlignment="1">
      <alignment vertical="top"/>
    </xf>
    <xf numFmtId="0" fontId="17" fillId="0" borderId="111" xfId="0" applyFont="1" applyBorder="1" applyAlignment="1">
      <alignment vertical="top"/>
    </xf>
    <xf numFmtId="0" fontId="17" fillId="0" borderId="112" xfId="0" applyFont="1" applyBorder="1" applyAlignment="1">
      <alignment vertical="top"/>
    </xf>
    <xf numFmtId="0" fontId="19" fillId="3" borderId="73" xfId="0" applyFont="1" applyFill="1" applyBorder="1"/>
    <xf numFmtId="0" fontId="19" fillId="3" borderId="25" xfId="0" applyFont="1" applyFill="1" applyBorder="1"/>
    <xf numFmtId="0" fontId="19" fillId="3" borderId="24" xfId="0" applyFont="1" applyFill="1" applyBorder="1"/>
    <xf numFmtId="0" fontId="22" fillId="0" borderId="114" xfId="0" applyFont="1" applyBorder="1"/>
    <xf numFmtId="164" fontId="22" fillId="0" borderId="114" xfId="0" applyNumberFormat="1" applyFont="1" applyBorder="1"/>
    <xf numFmtId="167" fontId="22" fillId="0" borderId="114" xfId="0" applyNumberFormat="1" applyFont="1" applyBorder="1"/>
    <xf numFmtId="0" fontId="22" fillId="3" borderId="20" xfId="0" applyFont="1" applyFill="1" applyBorder="1"/>
    <xf numFmtId="0" fontId="22" fillId="3" borderId="20" xfId="0" applyFont="1" applyFill="1" applyBorder="1" applyAlignment="1">
      <alignment wrapText="1"/>
    </xf>
    <xf numFmtId="0" fontId="22" fillId="2" borderId="20" xfId="0" applyFont="1" applyFill="1" applyBorder="1"/>
    <xf numFmtId="0" fontId="21" fillId="0" borderId="20" xfId="0" applyFont="1" applyBorder="1" applyAlignment="1">
      <alignment horizontal="center" wrapText="1"/>
    </xf>
    <xf numFmtId="0" fontId="21" fillId="6" borderId="20" xfId="0" applyFont="1" applyFill="1" applyBorder="1" applyAlignment="1">
      <alignment horizontal="center" wrapText="1"/>
    </xf>
    <xf numFmtId="0" fontId="21" fillId="22" borderId="20" xfId="0" applyFont="1" applyFill="1" applyBorder="1" applyAlignment="1">
      <alignment horizontal="center" wrapText="1"/>
    </xf>
    <xf numFmtId="0" fontId="21" fillId="4" borderId="20" xfId="0" applyFont="1" applyFill="1" applyBorder="1" applyAlignment="1">
      <alignment horizontal="center" wrapText="1"/>
    </xf>
    <xf numFmtId="0" fontId="21" fillId="24" borderId="20" xfId="0" applyFont="1" applyFill="1" applyBorder="1" applyAlignment="1">
      <alignment horizontal="center" wrapText="1"/>
    </xf>
    <xf numFmtId="0" fontId="21" fillId="24" borderId="20" xfId="0" applyFont="1" applyFill="1" applyBorder="1" applyAlignment="1">
      <alignment horizontal="center" vertical="center" wrapText="1"/>
    </xf>
    <xf numFmtId="43" fontId="20" fillId="0" borderId="0" xfId="0" applyNumberFormat="1" applyFont="1"/>
    <xf numFmtId="0" fontId="41" fillId="0" borderId="31" xfId="0" applyFont="1" applyBorder="1" applyAlignment="1" applyProtection="1">
      <alignment wrapText="1"/>
      <protection locked="0"/>
    </xf>
    <xf numFmtId="0" fontId="50" fillId="0" borderId="0" xfId="0" applyFont="1" applyAlignment="1" applyProtection="1">
      <alignment wrapText="1"/>
      <protection locked="0"/>
    </xf>
    <xf numFmtId="0" fontId="41" fillId="0" borderId="0" xfId="0" applyFont="1" applyAlignment="1" applyProtection="1">
      <alignment wrapText="1"/>
      <protection locked="0"/>
    </xf>
    <xf numFmtId="0" fontId="50" fillId="0" borderId="32" xfId="0" applyFont="1" applyBorder="1" applyAlignment="1" applyProtection="1">
      <alignment wrapText="1"/>
      <protection locked="0"/>
    </xf>
    <xf numFmtId="0" fontId="41" fillId="0" borderId="0" xfId="0" applyFont="1" applyAlignment="1">
      <alignment wrapText="1"/>
    </xf>
    <xf numFmtId="0" fontId="46" fillId="13" borderId="0" xfId="0" applyFont="1" applyFill="1" applyAlignment="1" applyProtection="1">
      <alignment wrapText="1"/>
      <protection locked="0"/>
    </xf>
    <xf numFmtId="2" fontId="41" fillId="4" borderId="19" xfId="0" applyNumberFormat="1" applyFont="1" applyFill="1" applyBorder="1" applyAlignment="1">
      <alignment horizontal="center"/>
    </xf>
    <xf numFmtId="1" fontId="41" fillId="4" borderId="15" xfId="0" applyNumberFormat="1" applyFont="1" applyFill="1" applyBorder="1" applyAlignment="1">
      <alignment horizontal="center"/>
    </xf>
    <xf numFmtId="1" fontId="41" fillId="4" borderId="19" xfId="0" applyNumberFormat="1" applyFont="1" applyFill="1" applyBorder="1" applyAlignment="1">
      <alignment horizontal="center"/>
    </xf>
    <xf numFmtId="1" fontId="41" fillId="4" borderId="28" xfId="0" applyNumberFormat="1" applyFont="1" applyFill="1" applyBorder="1" applyAlignment="1">
      <alignment horizontal="center"/>
    </xf>
    <xf numFmtId="1" fontId="41" fillId="6" borderId="15" xfId="0" applyNumberFormat="1" applyFont="1" applyFill="1" applyBorder="1" applyAlignment="1">
      <alignment horizontal="center"/>
    </xf>
    <xf numFmtId="1" fontId="41" fillId="6" borderId="19" xfId="0" applyNumberFormat="1" applyFont="1" applyFill="1" applyBorder="1" applyAlignment="1">
      <alignment horizontal="center"/>
    </xf>
    <xf numFmtId="1" fontId="41" fillId="6" borderId="28" xfId="0" applyNumberFormat="1" applyFont="1" applyFill="1" applyBorder="1" applyAlignment="1">
      <alignment horizontal="center"/>
    </xf>
    <xf numFmtId="2" fontId="41" fillId="4" borderId="28" xfId="0" applyNumberFormat="1" applyFont="1" applyFill="1" applyBorder="1" applyAlignment="1">
      <alignment horizontal="center"/>
    </xf>
    <xf numFmtId="2" fontId="41" fillId="6" borderId="19" xfId="0" applyNumberFormat="1" applyFont="1" applyFill="1" applyBorder="1" applyAlignment="1">
      <alignment horizontal="center"/>
    </xf>
    <xf numFmtId="3" fontId="41" fillId="0" borderId="34" xfId="0" applyNumberFormat="1" applyFont="1" applyBorder="1" applyAlignment="1">
      <alignment wrapText="1"/>
    </xf>
    <xf numFmtId="0" fontId="41" fillId="0" borderId="17" xfId="0" applyFont="1" applyBorder="1" applyAlignment="1" applyProtection="1">
      <alignment wrapText="1"/>
      <protection locked="0"/>
    </xf>
    <xf numFmtId="0" fontId="41" fillId="0" borderId="115" xfId="0" applyFont="1" applyBorder="1" applyAlignment="1" applyProtection="1">
      <alignment wrapText="1"/>
      <protection locked="0"/>
    </xf>
    <xf numFmtId="3" fontId="41" fillId="0" borderId="35" xfId="0" applyNumberFormat="1" applyFont="1" applyBorder="1" applyAlignment="1">
      <alignment horizontal="center" vertical="top"/>
    </xf>
    <xf numFmtId="171" fontId="41" fillId="0" borderId="35" xfId="0" applyNumberFormat="1" applyFont="1" applyBorder="1" applyAlignment="1">
      <alignment horizontal="center" vertical="top"/>
    </xf>
    <xf numFmtId="4" fontId="41" fillId="0" borderId="117" xfId="0" applyNumberFormat="1" applyFont="1" applyBorder="1" applyAlignment="1">
      <alignment horizontal="center" vertical="top"/>
    </xf>
    <xf numFmtId="3" fontId="41" fillId="0" borderId="30" xfId="0" applyNumberFormat="1" applyFont="1" applyBorder="1"/>
    <xf numFmtId="3" fontId="41" fillId="0" borderId="29" xfId="0" applyNumberFormat="1" applyFont="1" applyBorder="1"/>
    <xf numFmtId="171" fontId="41" fillId="0" borderId="29" xfId="0" applyNumberFormat="1" applyFont="1" applyBorder="1"/>
    <xf numFmtId="171" fontId="46" fillId="13" borderId="29" xfId="0" applyNumberFormat="1" applyFont="1" applyFill="1" applyBorder="1"/>
    <xf numFmtId="0" fontId="46" fillId="13" borderId="118" xfId="0" applyFont="1" applyFill="1" applyBorder="1" applyAlignment="1" applyProtection="1">
      <alignment wrapText="1"/>
      <protection locked="0"/>
    </xf>
    <xf numFmtId="171" fontId="46" fillId="13" borderId="68" xfId="0" applyNumberFormat="1" applyFont="1" applyFill="1" applyBorder="1" applyAlignment="1">
      <alignment horizontal="center" vertical="top"/>
    </xf>
    <xf numFmtId="171" fontId="46" fillId="13" borderId="8" xfId="0" applyNumberFormat="1" applyFont="1" applyFill="1" applyBorder="1" applyAlignment="1">
      <alignment horizontal="center" vertical="top"/>
    </xf>
    <xf numFmtId="0" fontId="41" fillId="0" borderId="18" xfId="0" applyFont="1" applyBorder="1" applyAlignment="1" applyProtection="1">
      <alignment wrapText="1"/>
      <protection locked="0"/>
    </xf>
    <xf numFmtId="171" fontId="41" fillId="0" borderId="30" xfId="0" applyNumberFormat="1" applyFont="1" applyBorder="1"/>
    <xf numFmtId="1" fontId="41" fillId="0" borderId="116" xfId="0" applyNumberFormat="1" applyFont="1" applyBorder="1" applyAlignment="1" applyProtection="1">
      <alignment horizontal="center" vertical="top"/>
      <protection locked="0"/>
    </xf>
    <xf numFmtId="1" fontId="41" fillId="0" borderId="9" xfId="0" applyNumberFormat="1" applyFont="1" applyBorder="1" applyAlignment="1" applyProtection="1">
      <alignment horizontal="center" vertical="top"/>
      <protection locked="0"/>
    </xf>
    <xf numFmtId="4" fontId="41" fillId="0" borderId="116" xfId="0" applyNumberFormat="1" applyFont="1" applyBorder="1" applyAlignment="1">
      <alignment horizontal="center" vertical="top"/>
    </xf>
    <xf numFmtId="4" fontId="41" fillId="0" borderId="9" xfId="0" applyNumberFormat="1" applyFont="1" applyBorder="1" applyAlignment="1">
      <alignment horizontal="center" vertical="top"/>
    </xf>
    <xf numFmtId="171" fontId="41" fillId="0" borderId="51" xfId="0" applyNumberFormat="1" applyFont="1" applyBorder="1"/>
    <xf numFmtId="3" fontId="41" fillId="0" borderId="117" xfId="0" applyNumberFormat="1" applyFont="1" applyBorder="1" applyAlignment="1">
      <alignment horizontal="center" vertical="top"/>
    </xf>
    <xf numFmtId="3" fontId="41" fillId="0" borderId="6" xfId="0" applyNumberFormat="1" applyFont="1" applyBorder="1" applyAlignment="1">
      <alignment horizontal="center" vertical="top"/>
    </xf>
    <xf numFmtId="0" fontId="41" fillId="0" borderId="51" xfId="0" applyFont="1" applyBorder="1" applyProtection="1">
      <protection locked="0"/>
    </xf>
    <xf numFmtId="0" fontId="41" fillId="0" borderId="117" xfId="0" applyFont="1" applyBorder="1" applyAlignment="1" applyProtection="1">
      <alignment horizontal="center" vertical="top"/>
      <protection locked="0"/>
    </xf>
    <xf numFmtId="0" fontId="41" fillId="0" borderId="6" xfId="0" applyFont="1" applyBorder="1" applyAlignment="1" applyProtection="1">
      <alignment horizontal="center" vertical="top"/>
      <protection locked="0"/>
    </xf>
    <xf numFmtId="3" fontId="41" fillId="5" borderId="116" xfId="0" applyNumberFormat="1" applyFont="1" applyFill="1" applyBorder="1"/>
    <xf numFmtId="3" fontId="41" fillId="5" borderId="9" xfId="0" applyNumberFormat="1" applyFont="1" applyFill="1" applyBorder="1"/>
    <xf numFmtId="167" fontId="15" fillId="0" borderId="0" xfId="0" applyNumberFormat="1" applyFont="1"/>
    <xf numFmtId="1" fontId="15" fillId="0" borderId="0" xfId="0" applyNumberFormat="1" applyFont="1"/>
    <xf numFmtId="166" fontId="15" fillId="0" borderId="0" xfId="0" applyNumberFormat="1" applyFont="1"/>
    <xf numFmtId="1" fontId="21" fillId="0" borderId="0" xfId="0" applyNumberFormat="1" applyFont="1"/>
    <xf numFmtId="0" fontId="53" fillId="10" borderId="120" xfId="0" applyFont="1" applyFill="1" applyBorder="1"/>
    <xf numFmtId="0" fontId="53" fillId="10" borderId="106" xfId="0" applyFont="1" applyFill="1" applyBorder="1"/>
    <xf numFmtId="0" fontId="19" fillId="0" borderId="110" xfId="0" applyFont="1" applyBorder="1"/>
    <xf numFmtId="167" fontId="19" fillId="0" borderId="110" xfId="0" applyNumberFormat="1" applyFont="1" applyBorder="1"/>
    <xf numFmtId="0" fontId="53" fillId="10" borderId="129" xfId="0" applyFont="1" applyFill="1" applyBorder="1"/>
    <xf numFmtId="0" fontId="19" fillId="10" borderId="110" xfId="0" applyFont="1" applyFill="1" applyBorder="1"/>
    <xf numFmtId="0" fontId="19" fillId="10" borderId="110" xfId="0" applyFont="1" applyFill="1" applyBorder="1" applyAlignment="1">
      <alignment horizontal="center"/>
    </xf>
    <xf numFmtId="1" fontId="19" fillId="10" borderId="110" xfId="0" applyNumberFormat="1" applyFont="1" applyFill="1" applyBorder="1"/>
    <xf numFmtId="0" fontId="15" fillId="0" borderId="0" xfId="0" applyFont="1" applyAlignment="1">
      <alignment horizontal="center"/>
    </xf>
    <xf numFmtId="167" fontId="57" fillId="0" borderId="0" xfId="0" applyNumberFormat="1" applyFont="1"/>
    <xf numFmtId="0" fontId="53" fillId="10" borderId="120" xfId="0" applyFont="1" applyFill="1" applyBorder="1" applyAlignment="1">
      <alignment horizontal="center"/>
    </xf>
    <xf numFmtId="167" fontId="53" fillId="10" borderId="120" xfId="0" applyNumberFormat="1" applyFont="1" applyFill="1" applyBorder="1"/>
    <xf numFmtId="1" fontId="53" fillId="10" borderId="120" xfId="0" applyNumberFormat="1" applyFont="1" applyFill="1" applyBorder="1"/>
    <xf numFmtId="0" fontId="53" fillId="10" borderId="106" xfId="0" applyFont="1" applyFill="1" applyBorder="1" applyAlignment="1">
      <alignment horizontal="center"/>
    </xf>
    <xf numFmtId="167" fontId="53" fillId="10" borderId="106" xfId="0" applyNumberFormat="1" applyFont="1" applyFill="1" applyBorder="1"/>
    <xf numFmtId="1" fontId="53" fillId="10" borderId="106" xfId="0" applyNumberFormat="1" applyFont="1" applyFill="1" applyBorder="1"/>
    <xf numFmtId="167" fontId="53" fillId="0" borderId="120" xfId="0" applyNumberFormat="1" applyFont="1" applyBorder="1"/>
    <xf numFmtId="167" fontId="53" fillId="0" borderId="106" xfId="0" applyNumberFormat="1" applyFont="1" applyBorder="1"/>
    <xf numFmtId="0" fontId="58" fillId="0" borderId="0" xfId="0" applyFont="1" applyProtection="1">
      <protection locked="0"/>
    </xf>
    <xf numFmtId="167" fontId="10" fillId="0" borderId="35" xfId="0" applyNumberFormat="1" applyFont="1" applyBorder="1"/>
    <xf numFmtId="173" fontId="13" fillId="27" borderId="46" xfId="0" applyNumberFormat="1" applyFont="1" applyFill="1" applyBorder="1"/>
    <xf numFmtId="173" fontId="10" fillId="0" borderId="0" xfId="0" applyNumberFormat="1" applyFont="1"/>
    <xf numFmtId="167" fontId="10" fillId="0" borderId="28" xfId="0" applyNumberFormat="1" applyFont="1" applyBorder="1"/>
    <xf numFmtId="167" fontId="10" fillId="0" borderId="15" xfId="0" applyNumberFormat="1" applyFont="1" applyBorder="1"/>
    <xf numFmtId="1" fontId="10" fillId="0" borderId="19" xfId="0" applyNumberFormat="1" applyFont="1" applyBorder="1"/>
    <xf numFmtId="173" fontId="59" fillId="27" borderId="46" xfId="0" applyNumberFormat="1" applyFont="1" applyFill="1" applyBorder="1"/>
    <xf numFmtId="167" fontId="19" fillId="10" borderId="110" xfId="0" applyNumberFormat="1" applyFont="1" applyFill="1" applyBorder="1"/>
    <xf numFmtId="1" fontId="22" fillId="10" borderId="0" xfId="0" applyNumberFormat="1" applyFont="1" applyFill="1"/>
    <xf numFmtId="0" fontId="22" fillId="0" borderId="125" xfId="0" applyFont="1" applyBorder="1" applyAlignment="1">
      <alignment horizontal="center"/>
    </xf>
    <xf numFmtId="0" fontId="22" fillId="0" borderId="126" xfId="0" applyFont="1" applyBorder="1" applyAlignment="1">
      <alignment horizontal="center"/>
    </xf>
    <xf numFmtId="0" fontId="22" fillId="0" borderId="32" xfId="0" applyFont="1" applyBorder="1" applyAlignment="1">
      <alignment horizontal="center"/>
    </xf>
    <xf numFmtId="0" fontId="22" fillId="0" borderId="31" xfId="0" applyFont="1" applyBorder="1" applyAlignment="1">
      <alignment horizontal="center"/>
    </xf>
    <xf numFmtId="1" fontId="17" fillId="10" borderId="0" xfId="0" applyNumberFormat="1" applyFont="1" applyFill="1"/>
    <xf numFmtId="0" fontId="17" fillId="0" borderId="35" xfId="0" applyFont="1" applyBorder="1" applyAlignment="1">
      <alignment vertical="top"/>
    </xf>
    <xf numFmtId="0" fontId="17" fillId="0" borderId="9" xfId="0" applyFont="1" applyBorder="1"/>
    <xf numFmtId="0" fontId="17" fillId="10" borderId="6" xfId="0" applyFont="1" applyFill="1" applyBorder="1"/>
    <xf numFmtId="0" fontId="17" fillId="0" borderId="111" xfId="0" applyFont="1" applyBorder="1"/>
    <xf numFmtId="0" fontId="17" fillId="10" borderId="140" xfId="0" applyFont="1" applyFill="1" applyBorder="1"/>
    <xf numFmtId="0" fontId="17" fillId="10" borderId="113" xfId="0" applyFont="1" applyFill="1" applyBorder="1"/>
    <xf numFmtId="0" fontId="17" fillId="0" borderId="7" xfId="0" applyFont="1" applyBorder="1" applyAlignment="1">
      <alignment vertical="center"/>
    </xf>
    <xf numFmtId="2" fontId="17" fillId="0" borderId="7" xfId="0" applyNumberFormat="1" applyFont="1" applyBorder="1" applyAlignment="1">
      <alignment vertical="center"/>
    </xf>
    <xf numFmtId="0" fontId="17" fillId="0" borderId="35" xfId="0" applyFont="1" applyBorder="1" applyAlignment="1">
      <alignment vertical="center"/>
    </xf>
    <xf numFmtId="2" fontId="17" fillId="0" borderId="35" xfId="0" applyNumberFormat="1" applyFont="1" applyBorder="1" applyAlignment="1">
      <alignment vertical="top"/>
    </xf>
    <xf numFmtId="0" fontId="17" fillId="0" borderId="35" xfId="0" applyFont="1" applyBorder="1" applyAlignment="1">
      <alignment vertical="top" wrapText="1"/>
    </xf>
    <xf numFmtId="164" fontId="17" fillId="0" borderId="7" xfId="0" applyNumberFormat="1" applyFont="1" applyBorder="1" applyAlignment="1">
      <alignment vertical="top"/>
    </xf>
    <xf numFmtId="164" fontId="17" fillId="0" borderId="35" xfId="0" applyNumberFormat="1" applyFont="1" applyBorder="1"/>
    <xf numFmtId="0" fontId="17" fillId="0" borderId="6" xfId="0" applyFont="1" applyBorder="1" applyAlignment="1">
      <alignment vertical="top" wrapText="1"/>
    </xf>
    <xf numFmtId="164" fontId="17" fillId="0" borderId="112" xfId="0" applyNumberFormat="1" applyFont="1" applyBorder="1" applyAlignment="1">
      <alignment vertical="top"/>
    </xf>
    <xf numFmtId="0" fontId="17" fillId="0" borderId="112" xfId="0" applyFont="1" applyBorder="1" applyAlignment="1">
      <alignment vertical="top" wrapText="1"/>
    </xf>
    <xf numFmtId="0" fontId="17" fillId="0" borderId="113" xfId="0" applyFont="1" applyBorder="1" applyAlignment="1">
      <alignment vertical="top" wrapText="1"/>
    </xf>
    <xf numFmtId="166" fontId="22" fillId="0" borderId="32" xfId="0" applyNumberFormat="1" applyFont="1" applyBorder="1"/>
    <xf numFmtId="0" fontId="22" fillId="3" borderId="28" xfId="0" applyFont="1" applyFill="1" applyBorder="1" applyAlignment="1">
      <alignment horizontal="center" wrapText="1"/>
    </xf>
    <xf numFmtId="0" fontId="22" fillId="0" borderId="18" xfId="0" applyFont="1" applyBorder="1"/>
    <xf numFmtId="0" fontId="17" fillId="17" borderId="9" xfId="0" applyFont="1" applyFill="1" applyBorder="1" applyAlignment="1">
      <alignment vertical="center"/>
    </xf>
    <xf numFmtId="0" fontId="17" fillId="0" borderId="6" xfId="0" applyFont="1" applyBorder="1" applyAlignment="1">
      <alignment vertical="center"/>
    </xf>
    <xf numFmtId="0" fontId="60" fillId="0" borderId="0" xfId="0" applyFont="1" applyAlignment="1" applyProtection="1">
      <alignment wrapText="1"/>
      <protection locked="0"/>
    </xf>
    <xf numFmtId="171" fontId="60" fillId="0" borderId="0" xfId="0" applyNumberFormat="1" applyFont="1" applyProtection="1">
      <protection locked="0"/>
    </xf>
    <xf numFmtId="0" fontId="61" fillId="0" borderId="0" xfId="0" applyFont="1"/>
    <xf numFmtId="0" fontId="20" fillId="0" borderId="25" xfId="0" applyFont="1" applyBorder="1"/>
    <xf numFmtId="167" fontId="26" fillId="0" borderId="25" xfId="0" applyNumberFormat="1" applyFont="1" applyBorder="1"/>
    <xf numFmtId="167" fontId="27" fillId="0" borderId="25" xfId="0" applyNumberFormat="1" applyFont="1" applyBorder="1"/>
    <xf numFmtId="0" fontId="0" fillId="0" borderId="0" xfId="0" applyAlignment="1">
      <alignment horizontal="left" vertical="top"/>
    </xf>
    <xf numFmtId="0" fontId="0" fillId="0" borderId="29" xfId="0" applyBorder="1" applyAlignment="1">
      <alignment horizontal="left" vertical="top"/>
    </xf>
    <xf numFmtId="14" fontId="0" fillId="0" borderId="0" xfId="0" applyNumberFormat="1" applyAlignment="1">
      <alignment horizontal="left" vertical="center"/>
    </xf>
    <xf numFmtId="14" fontId="0" fillId="0" borderId="0" xfId="0" applyNumberFormat="1" applyAlignment="1">
      <alignment horizontal="left"/>
    </xf>
    <xf numFmtId="0" fontId="0" fillId="0" borderId="0" xfId="0" applyAlignment="1">
      <alignment vertical="top" wrapText="1"/>
    </xf>
    <xf numFmtId="0" fontId="0" fillId="0" borderId="0" xfId="0" quotePrefix="1" applyAlignment="1">
      <alignment wrapText="1"/>
    </xf>
    <xf numFmtId="1" fontId="62" fillId="0" borderId="0" xfId="0" applyNumberFormat="1" applyFont="1"/>
    <xf numFmtId="14" fontId="32" fillId="0" borderId="0" xfId="0" applyNumberFormat="1" applyFont="1"/>
    <xf numFmtId="167" fontId="10" fillId="0" borderId="166" xfId="0" applyNumberFormat="1" applyFont="1" applyBorder="1" applyAlignment="1">
      <alignment vertical="center"/>
    </xf>
    <xf numFmtId="2" fontId="26" fillId="0" borderId="160" xfId="0" applyNumberFormat="1" applyFont="1" applyBorder="1"/>
    <xf numFmtId="0" fontId="26" fillId="0" borderId="160" xfId="0" applyFont="1" applyBorder="1"/>
    <xf numFmtId="43" fontId="26" fillId="0" borderId="160" xfId="0" applyNumberFormat="1" applyFont="1" applyBorder="1"/>
    <xf numFmtId="166" fontId="26" fillId="0" borderId="160" xfId="0" applyNumberFormat="1" applyFont="1" applyBorder="1"/>
    <xf numFmtId="0" fontId="21" fillId="4" borderId="20" xfId="0" applyFont="1" applyFill="1" applyBorder="1" applyAlignment="1">
      <alignment horizontal="center" vertical="center" wrapText="1"/>
    </xf>
    <xf numFmtId="0" fontId="21" fillId="3" borderId="20" xfId="0" applyFont="1" applyFill="1" applyBorder="1" applyAlignment="1">
      <alignment horizontal="center" vertical="center" wrapText="1"/>
    </xf>
    <xf numFmtId="0" fontId="21" fillId="4" borderId="0" xfId="0" applyFont="1" applyFill="1" applyAlignment="1">
      <alignment horizontal="center" vertical="center" wrapText="1"/>
    </xf>
    <xf numFmtId="0" fontId="21" fillId="3" borderId="0" xfId="0" applyFont="1" applyFill="1" applyAlignment="1">
      <alignment horizontal="center" vertical="center" wrapText="1"/>
    </xf>
    <xf numFmtId="2" fontId="22" fillId="4" borderId="0" xfId="0" applyNumberFormat="1" applyFont="1" applyFill="1" applyAlignment="1">
      <alignment horizontal="right" vertical="center" wrapText="1"/>
    </xf>
    <xf numFmtId="2" fontId="22" fillId="3" borderId="0" xfId="0" applyNumberFormat="1" applyFont="1" applyFill="1" applyAlignment="1">
      <alignment horizontal="right" vertical="center" wrapText="1"/>
    </xf>
    <xf numFmtId="0" fontId="22" fillId="3" borderId="31" xfId="0" applyFont="1" applyFill="1" applyBorder="1" applyAlignment="1">
      <alignment horizontal="center"/>
    </xf>
    <xf numFmtId="0" fontId="22" fillId="4" borderId="31" xfId="0" applyFont="1" applyFill="1" applyBorder="1" applyAlignment="1">
      <alignment horizontal="center"/>
    </xf>
    <xf numFmtId="2" fontId="17" fillId="0" borderId="112" xfId="0" applyNumberFormat="1" applyFont="1" applyBorder="1" applyAlignment="1">
      <alignment vertical="top"/>
    </xf>
    <xf numFmtId="43" fontId="22" fillId="0" borderId="0" xfId="0" applyNumberFormat="1" applyFont="1"/>
    <xf numFmtId="0" fontId="0" fillId="0" borderId="29" xfId="0" applyBorder="1" applyAlignment="1">
      <alignment horizontal="left" vertical="top" wrapText="1"/>
    </xf>
    <xf numFmtId="0" fontId="63" fillId="16" borderId="20" xfId="0" applyFont="1" applyFill="1" applyBorder="1" applyAlignment="1">
      <alignment horizontal="center" vertical="center" wrapText="1"/>
    </xf>
    <xf numFmtId="0" fontId="64" fillId="16" borderId="102" xfId="0" applyFont="1" applyFill="1" applyBorder="1" applyAlignment="1">
      <alignment horizontal="center"/>
    </xf>
    <xf numFmtId="1" fontId="19" fillId="70" borderId="20" xfId="0" applyNumberFormat="1" applyFont="1" applyFill="1" applyBorder="1" applyAlignment="1">
      <alignment horizontal="center" vertical="center" wrapText="1"/>
    </xf>
    <xf numFmtId="0" fontId="4" fillId="0" borderId="43" xfId="0" applyFont="1" applyBorder="1"/>
    <xf numFmtId="0" fontId="4" fillId="0" borderId="44" xfId="0" applyFont="1" applyBorder="1"/>
    <xf numFmtId="11" fontId="17" fillId="0" borderId="0" xfId="0" applyNumberFormat="1" applyFont="1"/>
    <xf numFmtId="1" fontId="67" fillId="0" borderId="43" xfId="0" applyNumberFormat="1" applyFont="1" applyBorder="1"/>
    <xf numFmtId="1" fontId="67" fillId="0" borderId="44" xfId="0" applyNumberFormat="1" applyFont="1" applyBorder="1"/>
    <xf numFmtId="1" fontId="67" fillId="0" borderId="45" xfId="0" applyNumberFormat="1" applyFont="1" applyBorder="1"/>
    <xf numFmtId="1" fontId="67" fillId="0" borderId="36" xfId="0" applyNumberFormat="1" applyFont="1" applyBorder="1"/>
    <xf numFmtId="1" fontId="67" fillId="0" borderId="0" xfId="0" applyNumberFormat="1" applyFont="1"/>
    <xf numFmtId="1" fontId="67" fillId="0" borderId="37" xfId="0" applyNumberFormat="1" applyFont="1" applyBorder="1"/>
    <xf numFmtId="1" fontId="67" fillId="0" borderId="38" xfId="0" applyNumberFormat="1" applyFont="1" applyBorder="1"/>
    <xf numFmtId="1" fontId="67" fillId="0" borderId="39" xfId="0" applyNumberFormat="1" applyFont="1" applyBorder="1"/>
    <xf numFmtId="0" fontId="67" fillId="0" borderId="39" xfId="0" applyFont="1" applyBorder="1"/>
    <xf numFmtId="0" fontId="67" fillId="0" borderId="40" xfId="0" applyFont="1" applyBorder="1"/>
    <xf numFmtId="0" fontId="21" fillId="71" borderId="0" xfId="0" applyFont="1" applyFill="1"/>
    <xf numFmtId="0" fontId="0" fillId="0" borderId="52" xfId="0" applyBorder="1"/>
    <xf numFmtId="0" fontId="0" fillId="0" borderId="42" xfId="0" applyBorder="1"/>
    <xf numFmtId="0" fontId="0" fillId="0" borderId="43" xfId="0" applyBorder="1" applyAlignment="1">
      <alignment horizontal="center"/>
    </xf>
    <xf numFmtId="0" fontId="2" fillId="62" borderId="36" xfId="0" applyFont="1" applyFill="1" applyBorder="1"/>
    <xf numFmtId="171" fontId="68" fillId="0" borderId="0" xfId="0" applyNumberFormat="1" applyFont="1" applyProtection="1">
      <protection locked="0"/>
    </xf>
    <xf numFmtId="0" fontId="70" fillId="0" borderId="0" xfId="0" applyFont="1"/>
    <xf numFmtId="165" fontId="71" fillId="0" borderId="22" xfId="0" applyNumberFormat="1" applyFont="1" applyBorder="1"/>
    <xf numFmtId="0" fontId="72" fillId="0" borderId="22" xfId="0" applyFont="1" applyBorder="1"/>
    <xf numFmtId="0" fontId="71" fillId="0" borderId="0" xfId="0" applyFont="1"/>
    <xf numFmtId="0" fontId="71" fillId="0" borderId="0" xfId="0" applyFont="1" applyAlignment="1">
      <alignment horizontal="center"/>
    </xf>
    <xf numFmtId="1" fontId="71" fillId="0" borderId="0" xfId="0" applyNumberFormat="1" applyFont="1"/>
    <xf numFmtId="0" fontId="70" fillId="0" borderId="22" xfId="0" applyFont="1" applyBorder="1"/>
    <xf numFmtId="0" fontId="71" fillId="0" borderId="22" xfId="0" applyFont="1" applyBorder="1"/>
    <xf numFmtId="165" fontId="71" fillId="0" borderId="0" xfId="0" applyNumberFormat="1" applyFont="1"/>
    <xf numFmtId="167" fontId="71" fillId="0" borderId="0" xfId="0" applyNumberFormat="1" applyFont="1"/>
    <xf numFmtId="2" fontId="71" fillId="0" borderId="0" xfId="0" applyNumberFormat="1" applyFont="1"/>
    <xf numFmtId="166" fontId="74" fillId="0" borderId="0" xfId="0" applyNumberFormat="1" applyFont="1"/>
    <xf numFmtId="168" fontId="71" fillId="0" borderId="0" xfId="0" applyNumberFormat="1" applyFont="1"/>
    <xf numFmtId="37" fontId="71" fillId="0" borderId="0" xfId="0" applyNumberFormat="1" applyFont="1"/>
    <xf numFmtId="37" fontId="75" fillId="0" borderId="0" xfId="0" applyNumberFormat="1" applyFont="1"/>
    <xf numFmtId="39" fontId="75" fillId="0" borderId="0" xfId="0" applyNumberFormat="1" applyFont="1"/>
    <xf numFmtId="43" fontId="71" fillId="0" borderId="0" xfId="0" applyNumberFormat="1" applyFont="1"/>
    <xf numFmtId="166" fontId="75" fillId="0" borderId="0" xfId="0" applyNumberFormat="1" applyFont="1"/>
    <xf numFmtId="43" fontId="75" fillId="0" borderId="0" xfId="0" applyNumberFormat="1" applyFont="1"/>
    <xf numFmtId="172" fontId="75" fillId="0" borderId="0" xfId="0" applyNumberFormat="1" applyFont="1"/>
    <xf numFmtId="166" fontId="71" fillId="0" borderId="0" xfId="0" applyNumberFormat="1" applyFont="1"/>
    <xf numFmtId="167" fontId="73" fillId="0" borderId="0" xfId="0" applyNumberFormat="1" applyFont="1"/>
    <xf numFmtId="0" fontId="71" fillId="0" borderId="29" xfId="0" applyFont="1" applyBorder="1"/>
    <xf numFmtId="167" fontId="71" fillId="0" borderId="29" xfId="0" applyNumberFormat="1" applyFont="1" applyBorder="1"/>
    <xf numFmtId="165" fontId="71" fillId="0" borderId="175" xfId="0" applyNumberFormat="1" applyFont="1" applyBorder="1"/>
    <xf numFmtId="167" fontId="71" fillId="0" borderId="175" xfId="0" applyNumberFormat="1" applyFont="1" applyBorder="1"/>
    <xf numFmtId="0" fontId="72" fillId="0" borderId="0" xfId="0" applyFont="1"/>
    <xf numFmtId="1" fontId="62" fillId="0" borderId="0" xfId="28" applyNumberFormat="1" applyFont="1"/>
    <xf numFmtId="167" fontId="71" fillId="0" borderId="22" xfId="0" applyNumberFormat="1" applyFont="1" applyBorder="1"/>
    <xf numFmtId="0" fontId="76" fillId="0" borderId="22" xfId="0" applyFont="1" applyBorder="1"/>
    <xf numFmtId="2" fontId="17" fillId="0" borderId="0" xfId="0" applyNumberFormat="1" applyFont="1"/>
    <xf numFmtId="0" fontId="25" fillId="0" borderId="17" xfId="0" applyFont="1" applyBorder="1"/>
    <xf numFmtId="0" fontId="53" fillId="0" borderId="120" xfId="0" applyFont="1" applyBorder="1"/>
    <xf numFmtId="0" fontId="53" fillId="0" borderId="106" xfId="0" applyFont="1" applyBorder="1"/>
    <xf numFmtId="0" fontId="77" fillId="0" borderId="0" xfId="0" applyFont="1"/>
    <xf numFmtId="14" fontId="77" fillId="0" borderId="0" xfId="0" applyNumberFormat="1" applyFont="1"/>
    <xf numFmtId="164" fontId="10" fillId="0" borderId="166" xfId="0" applyNumberFormat="1" applyFont="1" applyBorder="1" applyAlignment="1">
      <alignment vertical="center"/>
    </xf>
    <xf numFmtId="1" fontId="71" fillId="0" borderId="25" xfId="0" applyNumberFormat="1" applyFont="1" applyBorder="1"/>
    <xf numFmtId="0" fontId="71" fillId="0" borderId="25" xfId="0" applyFont="1" applyBorder="1"/>
    <xf numFmtId="43" fontId="71" fillId="0" borderId="25" xfId="0" applyNumberFormat="1" applyFont="1" applyBorder="1"/>
    <xf numFmtId="2" fontId="22" fillId="0" borderId="125" xfId="0" applyNumberFormat="1" applyFont="1" applyBorder="1" applyAlignment="1">
      <alignment horizontal="center"/>
    </xf>
    <xf numFmtId="2" fontId="15" fillId="0" borderId="0" xfId="0" applyNumberFormat="1" applyFont="1"/>
    <xf numFmtId="2" fontId="24" fillId="12" borderId="0" xfId="0" applyNumberFormat="1" applyFont="1" applyFill="1"/>
    <xf numFmtId="2" fontId="21" fillId="22" borderId="20" xfId="0" applyNumberFormat="1" applyFont="1" applyFill="1" applyBorder="1" applyAlignment="1">
      <alignment horizontal="center" wrapText="1"/>
    </xf>
    <xf numFmtId="2" fontId="22" fillId="0" borderId="0" xfId="0" applyNumberFormat="1" applyFont="1" applyAlignment="1">
      <alignment horizontal="center" wrapText="1"/>
    </xf>
    <xf numFmtId="0" fontId="25" fillId="0" borderId="18" xfId="0" applyFont="1" applyBorder="1"/>
    <xf numFmtId="0" fontId="25" fillId="0" borderId="5" xfId="0" applyFont="1" applyBorder="1"/>
    <xf numFmtId="0" fontId="25" fillId="0" borderId="11" xfId="0" applyFont="1" applyBorder="1"/>
    <xf numFmtId="0" fontId="25" fillId="0" borderId="2" xfId="0" applyFont="1" applyBorder="1"/>
    <xf numFmtId="0" fontId="25" fillId="0" borderId="3" xfId="0" applyFont="1" applyBorder="1"/>
    <xf numFmtId="0" fontId="25" fillId="0" borderId="10" xfId="0" applyFont="1" applyBorder="1"/>
    <xf numFmtId="2" fontId="36" fillId="37" borderId="46" xfId="27" applyNumberFormat="1"/>
    <xf numFmtId="0" fontId="77" fillId="0" borderId="18" xfId="0" applyFont="1" applyBorder="1"/>
    <xf numFmtId="0" fontId="77" fillId="0" borderId="17" xfId="0" applyFont="1" applyBorder="1"/>
    <xf numFmtId="0" fontId="77" fillId="0" borderId="2" xfId="0" applyFont="1" applyBorder="1"/>
    <xf numFmtId="0" fontId="77" fillId="0" borderId="5" xfId="0" applyFont="1" applyBorder="1"/>
    <xf numFmtId="0" fontId="77" fillId="0" borderId="11" xfId="0" applyFont="1" applyBorder="1"/>
    <xf numFmtId="0" fontId="77" fillId="0" borderId="3" xfId="0" applyFont="1" applyBorder="1"/>
    <xf numFmtId="0" fontId="77" fillId="0" borderId="10" xfId="0" applyFont="1" applyBorder="1"/>
    <xf numFmtId="0" fontId="54" fillId="0" borderId="9" xfId="0" applyFont="1" applyBorder="1"/>
    <xf numFmtId="0" fontId="87" fillId="12" borderId="0" xfId="0" applyFont="1" applyFill="1"/>
    <xf numFmtId="0" fontId="87" fillId="0" borderId="20" xfId="0" applyFont="1" applyBorder="1" applyAlignment="1">
      <alignment horizontal="center" vertical="center" wrapText="1"/>
    </xf>
    <xf numFmtId="0" fontId="88" fillId="32" borderId="0" xfId="0" applyFont="1" applyFill="1"/>
    <xf numFmtId="0" fontId="88" fillId="12" borderId="0" xfId="0" applyFont="1" applyFill="1"/>
    <xf numFmtId="0" fontId="87" fillId="0" borderId="0" xfId="0" applyFont="1" applyAlignment="1">
      <alignment horizontal="center" wrapText="1"/>
    </xf>
    <xf numFmtId="0" fontId="89" fillId="0" borderId="0" xfId="0" applyFont="1"/>
    <xf numFmtId="0" fontId="87" fillId="0" borderId="0" xfId="0" applyFont="1"/>
    <xf numFmtId="0" fontId="90" fillId="0" borderId="0" xfId="0" applyFont="1"/>
    <xf numFmtId="14" fontId="90" fillId="0" borderId="0" xfId="0" applyNumberFormat="1" applyFont="1" applyAlignment="1">
      <alignment horizontal="left"/>
    </xf>
    <xf numFmtId="0" fontId="91" fillId="0" borderId="0" xfId="0" applyFont="1"/>
    <xf numFmtId="0" fontId="92" fillId="0" borderId="0" xfId="0" applyFont="1"/>
    <xf numFmtId="0" fontId="69" fillId="72" borderId="0" xfId="0" applyFont="1" applyFill="1"/>
    <xf numFmtId="0" fontId="94" fillId="72" borderId="0" xfId="0" applyFont="1" applyFill="1"/>
    <xf numFmtId="0" fontId="93" fillId="0" borderId="0" xfId="0" applyFont="1"/>
    <xf numFmtId="0" fontId="4" fillId="17" borderId="0" xfId="0" applyFont="1" applyFill="1"/>
    <xf numFmtId="0" fontId="95" fillId="17" borderId="0" xfId="0" applyFont="1" applyFill="1"/>
    <xf numFmtId="167" fontId="36" fillId="37" borderId="46" xfId="27" applyNumberFormat="1"/>
    <xf numFmtId="167" fontId="36" fillId="37" borderId="148" xfId="27" applyNumberFormat="1" applyBorder="1"/>
    <xf numFmtId="0" fontId="96" fillId="0" borderId="0" xfId="0" applyFont="1"/>
    <xf numFmtId="0" fontId="96" fillId="0" borderId="0" xfId="0" applyFont="1" applyAlignment="1">
      <alignment horizontal="center"/>
    </xf>
    <xf numFmtId="167" fontId="71" fillId="0" borderId="0" xfId="68" applyNumberFormat="1" applyFont="1" applyBorder="1"/>
    <xf numFmtId="0" fontId="97" fillId="0" borderId="0" xfId="0" applyFont="1"/>
    <xf numFmtId="0" fontId="97" fillId="0" borderId="26" xfId="0" applyFont="1" applyBorder="1"/>
    <xf numFmtId="0" fontId="97" fillId="0" borderId="22" xfId="0" applyFont="1" applyBorder="1"/>
    <xf numFmtId="0" fontId="97" fillId="0" borderId="23" xfId="0" applyFont="1" applyBorder="1"/>
    <xf numFmtId="0" fontId="98" fillId="4" borderId="0" xfId="0" applyFont="1" applyFill="1"/>
    <xf numFmtId="0" fontId="98" fillId="4" borderId="31" xfId="0" applyFont="1" applyFill="1" applyBorder="1"/>
    <xf numFmtId="0" fontId="97" fillId="0" borderId="0" xfId="0" applyFont="1" applyAlignment="1">
      <alignment vertical="center" wrapText="1"/>
    </xf>
    <xf numFmtId="0" fontId="97" fillId="0" borderId="102" xfId="0" applyFont="1" applyBorder="1"/>
    <xf numFmtId="0" fontId="97" fillId="0" borderId="31" xfId="0" applyFont="1" applyBorder="1"/>
    <xf numFmtId="0" fontId="99" fillId="0" borderId="0" xfId="0" applyFont="1"/>
    <xf numFmtId="0" fontId="100" fillId="0" borderId="0" xfId="0" applyFont="1"/>
    <xf numFmtId="0" fontId="98" fillId="0" borderId="0" xfId="0" applyFont="1"/>
    <xf numFmtId="164" fontId="97" fillId="0" borderId="26" xfId="0" applyNumberFormat="1" applyFont="1" applyBorder="1"/>
    <xf numFmtId="0" fontId="98" fillId="4" borderId="102" xfId="0" applyFont="1" applyFill="1" applyBorder="1"/>
    <xf numFmtId="164" fontId="97" fillId="0" borderId="102" xfId="0" applyNumberFormat="1" applyFont="1" applyBorder="1"/>
    <xf numFmtId="2" fontId="101" fillId="0" borderId="0" xfId="0" applyNumberFormat="1" applyFont="1"/>
    <xf numFmtId="0" fontId="99" fillId="0" borderId="22" xfId="0" applyFont="1" applyBorder="1"/>
    <xf numFmtId="0" fontId="97" fillId="0" borderId="21" xfId="0" applyFont="1" applyBorder="1"/>
    <xf numFmtId="0" fontId="97" fillId="0" borderId="32" xfId="0" applyFont="1" applyBorder="1"/>
    <xf numFmtId="0" fontId="99" fillId="0" borderId="31" xfId="0" applyFont="1" applyBorder="1"/>
    <xf numFmtId="0" fontId="99" fillId="0" borderId="32" xfId="0" applyFont="1" applyBorder="1"/>
    <xf numFmtId="0" fontId="99" fillId="0" borderId="24" xfId="0" applyFont="1" applyBorder="1"/>
    <xf numFmtId="0" fontId="99" fillId="0" borderId="25" xfId="0" applyFont="1" applyBorder="1"/>
    <xf numFmtId="0" fontId="99" fillId="0" borderId="73" xfId="0" applyFont="1" applyBorder="1"/>
    <xf numFmtId="0" fontId="102" fillId="0" borderId="22" xfId="0" applyFont="1" applyBorder="1"/>
    <xf numFmtId="0" fontId="103" fillId="0" borderId="22" xfId="0" applyFont="1" applyBorder="1"/>
    <xf numFmtId="1" fontId="97" fillId="0" borderId="0" xfId="0" applyNumberFormat="1" applyFont="1"/>
    <xf numFmtId="2" fontId="97" fillId="0" borderId="0" xfId="0" applyNumberFormat="1" applyFont="1"/>
    <xf numFmtId="14" fontId="100" fillId="0" borderId="0" xfId="0" applyNumberFormat="1" applyFont="1" applyAlignment="1">
      <alignment wrapText="1"/>
    </xf>
    <xf numFmtId="14" fontId="104" fillId="0" borderId="0" xfId="0" applyNumberFormat="1" applyFont="1"/>
    <xf numFmtId="0" fontId="104" fillId="0" borderId="0" xfId="0" applyFont="1"/>
    <xf numFmtId="0" fontId="97" fillId="0" borderId="0" xfId="0" applyFont="1" applyAlignment="1">
      <alignment vertical="center"/>
    </xf>
    <xf numFmtId="0" fontId="87" fillId="0" borderId="22" xfId="0" applyFont="1" applyBorder="1" applyAlignment="1">
      <alignment horizontal="center" vertical="center" wrapText="1"/>
    </xf>
    <xf numFmtId="1" fontId="71" fillId="0" borderId="0" xfId="0" applyNumberFormat="1" applyFont="1" applyAlignment="1">
      <alignment horizontal="center" wrapText="1"/>
    </xf>
    <xf numFmtId="0" fontId="71" fillId="0" borderId="0" xfId="0" applyFont="1" applyAlignment="1">
      <alignment horizontal="center" wrapText="1"/>
    </xf>
    <xf numFmtId="0" fontId="72" fillId="0" borderId="22" xfId="0" applyFont="1" applyBorder="1" applyAlignment="1">
      <alignment horizontal="center"/>
    </xf>
    <xf numFmtId="0" fontId="36" fillId="37" borderId="46" xfId="27"/>
    <xf numFmtId="167" fontId="12" fillId="19" borderId="46" xfId="25" applyNumberFormat="1"/>
    <xf numFmtId="0" fontId="99" fillId="0" borderId="155" xfId="0" applyFont="1" applyBorder="1"/>
    <xf numFmtId="0" fontId="99" fillId="0" borderId="23" xfId="0" applyFont="1" applyBorder="1"/>
    <xf numFmtId="0" fontId="97" fillId="0" borderId="31" xfId="0" applyFont="1" applyBorder="1" applyAlignment="1">
      <alignment wrapText="1"/>
    </xf>
    <xf numFmtId="0" fontId="97" fillId="13" borderId="31" xfId="0" applyFont="1" applyFill="1" applyBorder="1"/>
    <xf numFmtId="0" fontId="98" fillId="8" borderId="31" xfId="0" applyFont="1" applyFill="1" applyBorder="1"/>
    <xf numFmtId="0" fontId="98" fillId="8" borderId="0" xfId="0" applyFont="1" applyFill="1"/>
    <xf numFmtId="0" fontId="98" fillId="8" borderId="102" xfId="0" applyFont="1" applyFill="1" applyBorder="1"/>
    <xf numFmtId="0" fontId="101" fillId="0" borderId="0" xfId="0" applyFont="1"/>
    <xf numFmtId="0" fontId="97" fillId="0" borderId="0" xfId="0" applyFont="1" applyAlignment="1">
      <alignment horizontal="center" vertical="center"/>
    </xf>
    <xf numFmtId="164" fontId="97" fillId="0" borderId="31" xfId="0" applyNumberFormat="1" applyFont="1" applyBorder="1"/>
    <xf numFmtId="164" fontId="97" fillId="0" borderId="23" xfId="0" applyNumberFormat="1" applyFont="1" applyBorder="1"/>
    <xf numFmtId="0" fontId="97" fillId="0" borderId="186" xfId="0" applyFont="1" applyBorder="1" applyAlignment="1">
      <alignment horizontal="center" vertical="center" wrapText="1"/>
    </xf>
    <xf numFmtId="0" fontId="97" fillId="0" borderId="187" xfId="0" applyFont="1" applyBorder="1" applyAlignment="1">
      <alignment horizontal="center" vertical="center" wrapText="1"/>
    </xf>
    <xf numFmtId="0" fontId="97" fillId="0" borderId="25" xfId="0" applyFont="1" applyBorder="1"/>
    <xf numFmtId="170" fontId="36" fillId="37" borderId="46" xfId="27" applyNumberFormat="1"/>
    <xf numFmtId="0" fontId="97" fillId="0" borderId="178" xfId="0" applyFont="1" applyBorder="1" applyAlignment="1">
      <alignment horizontal="center" vertical="center" wrapText="1"/>
    </xf>
    <xf numFmtId="164" fontId="97" fillId="0" borderId="0" xfId="0" applyNumberFormat="1" applyFont="1"/>
    <xf numFmtId="0" fontId="97" fillId="0" borderId="188" xfId="0" applyFont="1" applyBorder="1" applyAlignment="1">
      <alignment horizontal="center" vertical="center" wrapText="1"/>
    </xf>
    <xf numFmtId="0" fontId="98" fillId="8" borderId="32" xfId="0" applyFont="1" applyFill="1" applyBorder="1"/>
    <xf numFmtId="170" fontId="97" fillId="0" borderId="32" xfId="0" applyNumberFormat="1" applyFont="1" applyBorder="1"/>
    <xf numFmtId="170" fontId="98" fillId="8" borderId="32" xfId="0" applyNumberFormat="1" applyFont="1" applyFill="1" applyBorder="1"/>
    <xf numFmtId="170" fontId="98" fillId="4" borderId="32" xfId="0" applyNumberFormat="1" applyFont="1" applyFill="1" applyBorder="1"/>
    <xf numFmtId="169" fontId="97" fillId="0" borderId="0" xfId="26" applyNumberFormat="1" applyFont="1" applyFill="1" applyBorder="1"/>
    <xf numFmtId="0" fontId="97" fillId="0" borderId="73" xfId="0" applyFont="1" applyBorder="1"/>
    <xf numFmtId="0" fontId="97" fillId="0" borderId="25" xfId="0" applyFont="1" applyBorder="1" applyAlignment="1">
      <alignment vertical="center"/>
    </xf>
    <xf numFmtId="0" fontId="97" fillId="0" borderId="73" xfId="0" applyFont="1" applyBorder="1" applyAlignment="1">
      <alignment wrapText="1"/>
    </xf>
    <xf numFmtId="164" fontId="97" fillId="0" borderId="27" xfId="0" applyNumberFormat="1" applyFont="1" applyBorder="1"/>
    <xf numFmtId="164" fontId="97" fillId="0" borderId="73" xfId="0" applyNumberFormat="1" applyFont="1" applyBorder="1"/>
    <xf numFmtId="164" fontId="97" fillId="0" borderId="25" xfId="0" applyNumberFormat="1" applyFont="1" applyBorder="1"/>
    <xf numFmtId="170" fontId="97" fillId="0" borderId="24" xfId="0" applyNumberFormat="1" applyFont="1" applyBorder="1"/>
    <xf numFmtId="0" fontId="97" fillId="0" borderId="22" xfId="0" applyFont="1" applyBorder="1" applyAlignment="1">
      <alignment vertical="center"/>
    </xf>
    <xf numFmtId="0" fontId="97" fillId="0" borderId="23" xfId="0" applyFont="1" applyBorder="1" applyAlignment="1">
      <alignment wrapText="1"/>
    </xf>
    <xf numFmtId="164" fontId="97" fillId="0" borderId="22" xfId="0" applyNumberFormat="1" applyFont="1" applyBorder="1"/>
    <xf numFmtId="170" fontId="97" fillId="0" borderId="21" xfId="0" applyNumberFormat="1" applyFont="1" applyBorder="1"/>
    <xf numFmtId="0" fontId="97" fillId="0" borderId="28" xfId="0" applyFont="1" applyBorder="1"/>
    <xf numFmtId="0" fontId="97" fillId="0" borderId="15" xfId="0" applyFont="1" applyBorder="1" applyAlignment="1">
      <alignment vertical="center"/>
    </xf>
    <xf numFmtId="0" fontId="97" fillId="0" borderId="28" xfId="0" applyFont="1" applyBorder="1" applyAlignment="1">
      <alignment wrapText="1"/>
    </xf>
    <xf numFmtId="164" fontId="97" fillId="0" borderId="20" xfId="0" applyNumberFormat="1" applyFont="1" applyBorder="1"/>
    <xf numFmtId="164" fontId="97" fillId="0" borderId="28" xfId="0" applyNumberFormat="1" applyFont="1" applyBorder="1"/>
    <xf numFmtId="164" fontId="97" fillId="0" borderId="15" xfId="0" applyNumberFormat="1" applyFont="1" applyBorder="1"/>
    <xf numFmtId="170" fontId="97" fillId="0" borderId="19" xfId="0" applyNumberFormat="1" applyFont="1" applyBorder="1"/>
    <xf numFmtId="0" fontId="99" fillId="0" borderId="30" xfId="0" applyFont="1" applyBorder="1" applyAlignment="1">
      <alignment vertical="center" wrapText="1"/>
    </xf>
    <xf numFmtId="0" fontId="97" fillId="0" borderId="71" xfId="0" applyFont="1" applyBorder="1" applyAlignment="1">
      <alignment horizontal="center" vertical="center" wrapText="1"/>
    </xf>
    <xf numFmtId="0" fontId="97" fillId="0" borderId="30" xfId="0" applyFont="1" applyBorder="1" applyAlignment="1">
      <alignment horizontal="center" vertical="center" wrapText="1"/>
    </xf>
    <xf numFmtId="0" fontId="99" fillId="0" borderId="0" xfId="0" applyFont="1" applyAlignment="1">
      <alignment vertical="center" wrapText="1"/>
    </xf>
    <xf numFmtId="0" fontId="105" fillId="8" borderId="31" xfId="0" applyFont="1" applyFill="1" applyBorder="1"/>
    <xf numFmtId="0" fontId="105" fillId="8" borderId="0" xfId="0" applyFont="1" applyFill="1"/>
    <xf numFmtId="0" fontId="105" fillId="8" borderId="32" xfId="0" applyFont="1" applyFill="1" applyBorder="1"/>
    <xf numFmtId="0" fontId="99" fillId="0" borderId="186" xfId="0" applyFont="1" applyBorder="1" applyAlignment="1">
      <alignment vertical="center" wrapText="1"/>
    </xf>
    <xf numFmtId="0" fontId="105" fillId="8" borderId="102" xfId="0" applyFont="1" applyFill="1" applyBorder="1"/>
    <xf numFmtId="167" fontId="97" fillId="0" borderId="0" xfId="68" applyNumberFormat="1" applyFont="1" applyBorder="1"/>
    <xf numFmtId="0" fontId="105" fillId="8" borderId="24" xfId="0" applyFont="1" applyFill="1" applyBorder="1"/>
    <xf numFmtId="0" fontId="105" fillId="8" borderId="189" xfId="0" applyFont="1" applyFill="1" applyBorder="1"/>
    <xf numFmtId="0" fontId="97" fillId="8" borderId="102" xfId="0" applyFont="1" applyFill="1" applyBorder="1"/>
    <xf numFmtId="0" fontId="97" fillId="13" borderId="102" xfId="0" applyFont="1" applyFill="1" applyBorder="1"/>
    <xf numFmtId="167" fontId="97" fillId="13" borderId="0" xfId="68" applyNumberFormat="1" applyFont="1" applyFill="1" applyBorder="1"/>
    <xf numFmtId="0" fontId="97" fillId="13" borderId="0" xfId="0" applyFont="1" applyFill="1"/>
    <xf numFmtId="0" fontId="97" fillId="13" borderId="32" xfId="0" applyFont="1" applyFill="1" applyBorder="1"/>
    <xf numFmtId="2" fontId="97" fillId="13" borderId="102" xfId="0" applyNumberFormat="1" applyFont="1" applyFill="1" applyBorder="1"/>
    <xf numFmtId="1" fontId="97" fillId="13" borderId="31" xfId="0" applyNumberFormat="1" applyFont="1" applyFill="1" applyBorder="1"/>
    <xf numFmtId="0" fontId="97" fillId="0" borderId="31" xfId="0" applyFont="1" applyBorder="1" applyAlignment="1">
      <alignment horizontal="right"/>
    </xf>
    <xf numFmtId="0" fontId="107" fillId="0" borderId="23" xfId="0" applyFont="1" applyBorder="1"/>
    <xf numFmtId="0" fontId="106" fillId="9" borderId="24" xfId="0" applyFont="1" applyFill="1" applyBorder="1"/>
    <xf numFmtId="0" fontId="100" fillId="9" borderId="31" xfId="0" applyFont="1" applyFill="1" applyBorder="1" applyAlignment="1">
      <alignment horizontal="right"/>
    </xf>
    <xf numFmtId="0" fontId="98" fillId="0" borderId="21" xfId="0" applyFont="1" applyBorder="1" applyAlignment="1">
      <alignment vertical="center"/>
    </xf>
    <xf numFmtId="0" fontId="98" fillId="0" borderId="26" xfId="0" applyFont="1" applyBorder="1"/>
    <xf numFmtId="167" fontId="108" fillId="0" borderId="22" xfId="0" applyNumberFormat="1" applyFont="1" applyBorder="1"/>
    <xf numFmtId="0" fontId="98" fillId="0" borderId="23" xfId="0" applyFont="1" applyBorder="1"/>
    <xf numFmtId="167" fontId="103" fillId="0" borderId="22" xfId="68" applyNumberFormat="1" applyFont="1" applyBorder="1"/>
    <xf numFmtId="0" fontId="99" fillId="0" borderId="19" xfId="0" applyFont="1" applyBorder="1"/>
    <xf numFmtId="0" fontId="105" fillId="4" borderId="31" xfId="0" applyFont="1" applyFill="1" applyBorder="1"/>
    <xf numFmtId="0" fontId="105" fillId="4" borderId="32" xfId="0" applyFont="1" applyFill="1" applyBorder="1"/>
    <xf numFmtId="0" fontId="105" fillId="4" borderId="0" xfId="0" applyFont="1" applyFill="1"/>
    <xf numFmtId="0" fontId="105" fillId="4" borderId="102" xfId="0" applyFont="1" applyFill="1" applyBorder="1"/>
    <xf numFmtId="0" fontId="97" fillId="0" borderId="15" xfId="0" applyFont="1" applyBorder="1"/>
    <xf numFmtId="167" fontId="108" fillId="0" borderId="15" xfId="0" applyNumberFormat="1" applyFont="1" applyBorder="1"/>
    <xf numFmtId="0" fontId="97" fillId="9" borderId="28" xfId="0" applyFont="1" applyFill="1" applyBorder="1"/>
    <xf numFmtId="0" fontId="107" fillId="9" borderId="28" xfId="0" applyFont="1" applyFill="1" applyBorder="1" applyAlignment="1">
      <alignment horizontal="right"/>
    </xf>
    <xf numFmtId="167" fontId="105" fillId="0" borderId="22" xfId="68" applyNumberFormat="1" applyFont="1" applyBorder="1"/>
    <xf numFmtId="0" fontId="105" fillId="0" borderId="28" xfId="0" applyFont="1" applyBorder="1" applyAlignment="1">
      <alignment vertical="center"/>
    </xf>
    <xf numFmtId="0" fontId="108" fillId="0" borderId="19" xfId="0" applyFont="1" applyBorder="1" applyAlignment="1">
      <alignment vertical="center"/>
    </xf>
    <xf numFmtId="0" fontId="108" fillId="0" borderId="29" xfId="0" applyFont="1" applyBorder="1" applyAlignment="1">
      <alignment vertical="center"/>
    </xf>
    <xf numFmtId="0" fontId="105" fillId="0" borderId="30" xfId="0" applyFont="1" applyBorder="1" applyAlignment="1">
      <alignment vertical="center"/>
    </xf>
    <xf numFmtId="0" fontId="105" fillId="0" borderId="187" xfId="0" applyFont="1" applyBorder="1" applyAlignment="1">
      <alignment vertical="center"/>
    </xf>
    <xf numFmtId="0" fontId="108" fillId="0" borderId="188" xfId="0" applyFont="1" applyBorder="1" applyAlignment="1">
      <alignment vertical="center"/>
    </xf>
    <xf numFmtId="165" fontId="16" fillId="32" borderId="0" xfId="0" applyNumberFormat="1" applyFont="1" applyFill="1" applyAlignment="1">
      <alignment horizontal="center"/>
    </xf>
    <xf numFmtId="1" fontId="20" fillId="0" borderId="32" xfId="0" applyNumberFormat="1" applyFont="1" applyBorder="1" applyAlignment="1">
      <alignment horizontal="center"/>
    </xf>
    <xf numFmtId="0" fontId="23" fillId="0" borderId="0" xfId="0" applyFont="1" applyAlignment="1">
      <alignment wrapText="1"/>
    </xf>
    <xf numFmtId="0" fontId="16" fillId="32" borderId="0" xfId="0" applyFont="1" applyFill="1"/>
    <xf numFmtId="0" fontId="78" fillId="32" borderId="0" xfId="0" applyFont="1" applyFill="1"/>
    <xf numFmtId="167" fontId="16" fillId="32" borderId="31" xfId="0" applyNumberFormat="1" applyFont="1" applyFill="1" applyBorder="1"/>
    <xf numFmtId="0" fontId="10" fillId="32" borderId="32" xfId="0" applyFont="1" applyFill="1" applyBorder="1"/>
    <xf numFmtId="1" fontId="12" fillId="19" borderId="190" xfId="25" applyNumberFormat="1" applyBorder="1" applyAlignment="1">
      <alignment horizontal="center"/>
    </xf>
    <xf numFmtId="0" fontId="16" fillId="4" borderId="0" xfId="0" applyFont="1" applyFill="1"/>
    <xf numFmtId="0" fontId="78" fillId="4" borderId="0" xfId="0" applyFont="1" applyFill="1"/>
    <xf numFmtId="167" fontId="16" fillId="4" borderId="31" xfId="0" applyNumberFormat="1" applyFont="1" applyFill="1" applyBorder="1"/>
    <xf numFmtId="165" fontId="16" fillId="4" borderId="0" xfId="0" applyNumberFormat="1" applyFont="1" applyFill="1" applyAlignment="1">
      <alignment horizontal="center"/>
    </xf>
    <xf numFmtId="170" fontId="16" fillId="4" borderId="32" xfId="0" applyNumberFormat="1" applyFont="1" applyFill="1" applyBorder="1" applyAlignment="1">
      <alignment horizontal="center"/>
    </xf>
    <xf numFmtId="0" fontId="10" fillId="4" borderId="32" xfId="0" applyFont="1" applyFill="1" applyBorder="1"/>
    <xf numFmtId="0" fontId="22" fillId="0" borderId="24" xfId="0" applyFont="1" applyBorder="1" applyAlignment="1">
      <alignment horizontal="center"/>
    </xf>
    <xf numFmtId="0" fontId="88" fillId="17" borderId="0" xfId="0" applyFont="1" applyFill="1"/>
    <xf numFmtId="0" fontId="31" fillId="10" borderId="109" xfId="0" applyFont="1" applyFill="1" applyBorder="1" applyAlignment="1">
      <alignment horizontal="center"/>
    </xf>
    <xf numFmtId="167" fontId="55" fillId="10" borderId="109" xfId="0" applyNumberFormat="1" applyFont="1" applyFill="1" applyBorder="1" applyAlignment="1">
      <alignment horizontal="left"/>
    </xf>
    <xf numFmtId="0" fontId="53" fillId="10" borderId="119" xfId="0" applyFont="1" applyFill="1" applyBorder="1"/>
    <xf numFmtId="0" fontId="53" fillId="10" borderId="120" xfId="0" applyFont="1" applyFill="1" applyBorder="1" applyAlignment="1">
      <alignment horizontal="left"/>
    </xf>
    <xf numFmtId="0" fontId="53" fillId="10" borderId="122" xfId="0" applyFont="1" applyFill="1" applyBorder="1"/>
    <xf numFmtId="0" fontId="53" fillId="10" borderId="106" xfId="0" applyFont="1" applyFill="1" applyBorder="1" applyAlignment="1">
      <alignment vertical="center" wrapText="1"/>
    </xf>
    <xf numFmtId="9" fontId="17" fillId="0" borderId="107" xfId="26" applyFont="1" applyFill="1" applyBorder="1"/>
    <xf numFmtId="0" fontId="53" fillId="10" borderId="106" xfId="0" applyFont="1" applyFill="1" applyBorder="1" applyAlignment="1">
      <alignment horizontal="left"/>
    </xf>
    <xf numFmtId="0" fontId="22" fillId="0" borderId="27" xfId="0" applyFont="1" applyBorder="1" applyAlignment="1">
      <alignment horizontal="center"/>
    </xf>
    <xf numFmtId="0" fontId="19" fillId="10" borderId="123" xfId="0" applyFont="1" applyFill="1" applyBorder="1"/>
    <xf numFmtId="0" fontId="19" fillId="10" borderId="110" xfId="0" applyFont="1" applyFill="1" applyBorder="1" applyAlignment="1">
      <alignment vertical="center" wrapText="1"/>
    </xf>
    <xf numFmtId="9" fontId="17" fillId="0" borderId="124" xfId="26" applyFont="1" applyFill="1" applyBorder="1"/>
    <xf numFmtId="0" fontId="53" fillId="10" borderId="120" xfId="0" applyFont="1" applyFill="1" applyBorder="1" applyAlignment="1">
      <alignment vertical="center" wrapText="1"/>
    </xf>
    <xf numFmtId="9" fontId="17" fillId="0" borderId="121" xfId="26" applyFont="1" applyFill="1" applyBorder="1"/>
    <xf numFmtId="0" fontId="21" fillId="0" borderId="110" xfId="0" applyFont="1" applyBorder="1"/>
    <xf numFmtId="0" fontId="53" fillId="10" borderId="128" xfId="0" applyFont="1" applyFill="1" applyBorder="1"/>
    <xf numFmtId="0" fontId="53" fillId="0" borderId="129" xfId="0" applyFont="1" applyBorder="1"/>
    <xf numFmtId="0" fontId="53" fillId="10" borderId="129" xfId="0" applyFont="1" applyFill="1" applyBorder="1" applyAlignment="1">
      <alignment vertical="center" wrapText="1"/>
    </xf>
    <xf numFmtId="0" fontId="53" fillId="10" borderId="129" xfId="0" applyFont="1" applyFill="1" applyBorder="1" applyAlignment="1">
      <alignment horizontal="center"/>
    </xf>
    <xf numFmtId="167" fontId="53" fillId="10" borderId="129" xfId="0" applyNumberFormat="1" applyFont="1" applyFill="1" applyBorder="1"/>
    <xf numFmtId="1" fontId="53" fillId="10" borderId="129" xfId="0" applyNumberFormat="1" applyFont="1" applyFill="1" applyBorder="1"/>
    <xf numFmtId="0" fontId="53" fillId="10" borderId="120" xfId="0" applyFont="1" applyFill="1" applyBorder="1" applyAlignment="1">
      <alignment horizontal="left" wrapText="1"/>
    </xf>
    <xf numFmtId="0" fontId="19" fillId="10" borderId="110" xfId="0" applyFont="1" applyFill="1" applyBorder="1" applyAlignment="1">
      <alignment horizontal="left"/>
    </xf>
    <xf numFmtId="165" fontId="0" fillId="0" borderId="36" xfId="0" applyNumberFormat="1" applyBorder="1"/>
    <xf numFmtId="2" fontId="52" fillId="0" borderId="160" xfId="0" applyNumberFormat="1" applyFont="1" applyBorder="1"/>
    <xf numFmtId="0" fontId="105" fillId="8" borderId="58" xfId="0" applyFont="1" applyFill="1" applyBorder="1"/>
    <xf numFmtId="170" fontId="97" fillId="0" borderId="0" xfId="0" applyNumberFormat="1" applyFont="1"/>
    <xf numFmtId="0" fontId="12" fillId="19" borderId="69" xfId="25" applyBorder="1"/>
    <xf numFmtId="0" fontId="12" fillId="19" borderId="70" xfId="25" applyBorder="1"/>
    <xf numFmtId="164" fontId="97" fillId="0" borderId="32" xfId="0" applyNumberFormat="1" applyFont="1" applyBorder="1"/>
    <xf numFmtId="165" fontId="36" fillId="37" borderId="69" xfId="27" applyNumberFormat="1" applyBorder="1"/>
    <xf numFmtId="2" fontId="36" fillId="37" borderId="70" xfId="27" applyNumberFormat="1" applyBorder="1"/>
    <xf numFmtId="2" fontId="36" fillId="37" borderId="69" xfId="27" applyNumberFormat="1" applyBorder="1"/>
    <xf numFmtId="2" fontId="36" fillId="37" borderId="194" xfId="27" applyNumberFormat="1" applyBorder="1"/>
    <xf numFmtId="2" fontId="36" fillId="37" borderId="195" xfId="27" applyNumberFormat="1" applyBorder="1"/>
    <xf numFmtId="2" fontId="36" fillId="37" borderId="196" xfId="27" applyNumberFormat="1" applyBorder="1"/>
    <xf numFmtId="165" fontId="97" fillId="0" borderId="0" xfId="0" applyNumberFormat="1" applyFont="1"/>
    <xf numFmtId="0" fontId="109" fillId="0" borderId="0" xfId="0" applyFont="1"/>
    <xf numFmtId="167" fontId="97" fillId="0" borderId="31" xfId="0" applyNumberFormat="1" applyFont="1" applyBorder="1"/>
    <xf numFmtId="43" fontId="97" fillId="0" borderId="0" xfId="0" applyNumberFormat="1" applyFont="1"/>
    <xf numFmtId="0" fontId="21" fillId="0" borderId="0" xfId="0" applyFont="1"/>
    <xf numFmtId="167" fontId="10" fillId="4" borderId="197" xfId="0" applyNumberFormat="1" applyFont="1" applyFill="1" applyBorder="1"/>
    <xf numFmtId="9" fontId="36" fillId="37" borderId="193" xfId="26" applyFont="1" applyFill="1" applyBorder="1"/>
    <xf numFmtId="43" fontId="36" fillId="37" borderId="193" xfId="68" applyFont="1" applyFill="1" applyBorder="1"/>
    <xf numFmtId="43" fontId="97" fillId="0" borderId="0" xfId="68" applyFont="1" applyBorder="1"/>
    <xf numFmtId="167" fontId="97" fillId="0" borderId="0" xfId="0" applyNumberFormat="1" applyFont="1"/>
    <xf numFmtId="0" fontId="24" fillId="0" borderId="31" xfId="0" applyFont="1" applyBorder="1"/>
    <xf numFmtId="0" fontId="24" fillId="0" borderId="32" xfId="0" applyFont="1" applyBorder="1"/>
    <xf numFmtId="0" fontId="110" fillId="0" borderId="31" xfId="0" applyFont="1" applyBorder="1" applyAlignment="1">
      <alignment horizontal="center" vertical="center"/>
    </xf>
    <xf numFmtId="0" fontId="110" fillId="0" borderId="0" xfId="0" applyFont="1" applyAlignment="1">
      <alignment horizontal="center" vertical="center"/>
    </xf>
    <xf numFmtId="0" fontId="110" fillId="0" borderId="32" xfId="0" applyFont="1" applyBorder="1" applyAlignment="1">
      <alignment horizontal="center" vertical="center"/>
    </xf>
    <xf numFmtId="0" fontId="112" fillId="10" borderId="31" xfId="0" applyFont="1" applyFill="1" applyBorder="1"/>
    <xf numFmtId="0" fontId="112" fillId="10" borderId="0" xfId="0" applyFont="1" applyFill="1"/>
    <xf numFmtId="167" fontId="112" fillId="10" borderId="0" xfId="0" applyNumberFormat="1" applyFont="1" applyFill="1"/>
    <xf numFmtId="168" fontId="112" fillId="10" borderId="32" xfId="0" applyNumberFormat="1" applyFont="1" applyFill="1" applyBorder="1"/>
    <xf numFmtId="0" fontId="110" fillId="0" borderId="31" xfId="0" applyFont="1" applyBorder="1"/>
    <xf numFmtId="0" fontId="111" fillId="0" borderId="0" xfId="0" applyFont="1"/>
    <xf numFmtId="167" fontId="111" fillId="0" borderId="0" xfId="0" applyNumberFormat="1" applyFont="1"/>
    <xf numFmtId="168" fontId="111" fillId="0" borderId="32" xfId="0" applyNumberFormat="1" applyFont="1" applyBorder="1"/>
    <xf numFmtId="0" fontId="110" fillId="0" borderId="0" xfId="0" applyFont="1"/>
    <xf numFmtId="173" fontId="110" fillId="0" borderId="31" xfId="0" applyNumberFormat="1" applyFont="1" applyBorder="1"/>
    <xf numFmtId="167" fontId="110" fillId="0" borderId="0" xfId="0" applyNumberFormat="1" applyFont="1"/>
    <xf numFmtId="168" fontId="110" fillId="0" borderId="32" xfId="0" applyNumberFormat="1" applyFont="1" applyBorder="1"/>
    <xf numFmtId="0" fontId="112" fillId="76" borderId="31" xfId="0" applyFont="1" applyFill="1" applyBorder="1"/>
    <xf numFmtId="0" fontId="88" fillId="76" borderId="0" xfId="0" applyFont="1" applyFill="1"/>
    <xf numFmtId="167" fontId="112" fillId="76" borderId="0" xfId="0" applyNumberFormat="1" applyFont="1" applyFill="1"/>
    <xf numFmtId="168" fontId="112" fillId="76" borderId="32" xfId="0" applyNumberFormat="1" applyFont="1" applyFill="1" applyBorder="1"/>
    <xf numFmtId="0" fontId="110" fillId="0" borderId="28" xfId="0" applyFont="1" applyBorder="1"/>
    <xf numFmtId="0" fontId="111" fillId="0" borderId="15" xfId="0" applyFont="1" applyBorder="1"/>
    <xf numFmtId="173" fontId="111" fillId="0" borderId="28" xfId="0" applyNumberFormat="1" applyFont="1" applyBorder="1"/>
    <xf numFmtId="167" fontId="111" fillId="0" borderId="15" xfId="0" applyNumberFormat="1" applyFont="1" applyBorder="1" applyAlignment="1">
      <alignment horizontal="right"/>
    </xf>
    <xf numFmtId="9" fontId="111" fillId="0" borderId="19" xfId="0" applyNumberFormat="1" applyFont="1" applyBorder="1"/>
    <xf numFmtId="43" fontId="111" fillId="0" borderId="31" xfId="0" applyNumberFormat="1" applyFont="1" applyBorder="1"/>
    <xf numFmtId="43" fontId="111" fillId="0" borderId="0" xfId="0" applyNumberFormat="1" applyFont="1"/>
    <xf numFmtId="43" fontId="112" fillId="10" borderId="31" xfId="0" applyNumberFormat="1" applyFont="1" applyFill="1" applyBorder="1"/>
    <xf numFmtId="43" fontId="112" fillId="76" borderId="31" xfId="0" applyNumberFormat="1" applyFont="1" applyFill="1" applyBorder="1"/>
    <xf numFmtId="168" fontId="112" fillId="10" borderId="0" xfId="0" applyNumberFormat="1" applyFont="1" applyFill="1"/>
    <xf numFmtId="168" fontId="112" fillId="76" borderId="0" xfId="0" applyNumberFormat="1" applyFont="1" applyFill="1"/>
    <xf numFmtId="0" fontId="106" fillId="9" borderId="28" xfId="0" applyFont="1" applyFill="1" applyBorder="1" applyAlignment="1">
      <alignment horizontal="right"/>
    </xf>
    <xf numFmtId="167" fontId="99" fillId="0" borderId="15" xfId="0" applyNumberFormat="1" applyFont="1" applyBorder="1"/>
    <xf numFmtId="9" fontId="113" fillId="0" borderId="0" xfId="26" applyFont="1"/>
    <xf numFmtId="168" fontId="111" fillId="0" borderId="0" xfId="0" applyNumberFormat="1" applyFont="1"/>
    <xf numFmtId="0" fontId="71" fillId="0" borderId="163" xfId="0" applyFont="1" applyBorder="1" applyAlignment="1">
      <alignment vertical="center" wrapText="1"/>
    </xf>
    <xf numFmtId="2" fontId="71" fillId="0" borderId="160" xfId="0" applyNumberFormat="1" applyFont="1" applyBorder="1" applyAlignment="1">
      <alignment vertical="center"/>
    </xf>
    <xf numFmtId="167" fontId="71" fillId="19" borderId="164" xfId="0" applyNumberFormat="1" applyFont="1" applyFill="1" applyBorder="1" applyAlignment="1">
      <alignment vertical="center"/>
    </xf>
    <xf numFmtId="43" fontId="71" fillId="0" borderId="192" xfId="0" applyNumberFormat="1" applyFont="1" applyBorder="1" applyAlignment="1">
      <alignment vertical="center"/>
    </xf>
    <xf numFmtId="43" fontId="71" fillId="0" borderId="173" xfId="0" applyNumberFormat="1" applyFont="1" applyBorder="1" applyAlignment="1">
      <alignment vertical="center"/>
    </xf>
    <xf numFmtId="166" fontId="71" fillId="0" borderId="163" xfId="0" applyNumberFormat="1" applyFont="1" applyBorder="1" applyAlignment="1">
      <alignment vertical="center"/>
    </xf>
    <xf numFmtId="164" fontId="71" fillId="0" borderId="114" xfId="0" applyNumberFormat="1" applyFont="1" applyBorder="1" applyAlignment="1">
      <alignment vertical="center"/>
    </xf>
    <xf numFmtId="167" fontId="71" fillId="0" borderId="114" xfId="0" applyNumberFormat="1" applyFont="1" applyBorder="1" applyAlignment="1">
      <alignment vertical="center"/>
    </xf>
    <xf numFmtId="0" fontId="71" fillId="0" borderId="198" xfId="0" applyFont="1" applyBorder="1" applyAlignment="1">
      <alignment vertical="center" wrapText="1"/>
    </xf>
    <xf numFmtId="0" fontId="114" fillId="0" borderId="171" xfId="0" applyFont="1" applyBorder="1"/>
    <xf numFmtId="0" fontId="115" fillId="0" borderId="171" xfId="0" applyFont="1" applyBorder="1" applyAlignment="1">
      <alignment horizontal="center"/>
    </xf>
    <xf numFmtId="0" fontId="115" fillId="0" borderId="172" xfId="0" applyFont="1" applyBorder="1" applyAlignment="1">
      <alignment horizontal="center"/>
    </xf>
    <xf numFmtId="0" fontId="116" fillId="13" borderId="27" xfId="0" applyFont="1" applyFill="1" applyBorder="1" applyAlignment="1">
      <alignment horizontal="center" vertical="center" wrapText="1"/>
    </xf>
    <xf numFmtId="167" fontId="71" fillId="0" borderId="160" xfId="68" applyNumberFormat="1" applyFont="1" applyBorder="1" applyAlignment="1">
      <alignment vertical="center"/>
    </xf>
    <xf numFmtId="173" fontId="71" fillId="0" borderId="168" xfId="0" applyNumberFormat="1" applyFont="1" applyBorder="1"/>
    <xf numFmtId="43" fontId="71" fillId="0" borderId="162" xfId="0" applyNumberFormat="1" applyFont="1" applyBorder="1" applyAlignment="1">
      <alignment vertical="center"/>
    </xf>
    <xf numFmtId="173" fontId="71" fillId="0" borderId="162" xfId="0" applyNumberFormat="1" applyFont="1" applyBorder="1" applyAlignment="1">
      <alignment vertical="center"/>
    </xf>
    <xf numFmtId="167" fontId="0" fillId="0" borderId="0" xfId="68" applyNumberFormat="1" applyFont="1"/>
    <xf numFmtId="167" fontId="0" fillId="0" borderId="22" xfId="0" applyNumberFormat="1" applyBorder="1"/>
    <xf numFmtId="164" fontId="0" fillId="0" borderId="22" xfId="0" applyNumberFormat="1" applyBorder="1"/>
    <xf numFmtId="167" fontId="2" fillId="0" borderId="0" xfId="68" applyNumberFormat="1" applyFont="1" applyFill="1"/>
    <xf numFmtId="168" fontId="2" fillId="0" borderId="0" xfId="68" applyNumberFormat="1" applyFont="1" applyFill="1"/>
    <xf numFmtId="175" fontId="0" fillId="0" borderId="0" xfId="69" applyNumberFormat="1" applyFont="1"/>
    <xf numFmtId="175" fontId="0" fillId="0" borderId="22" xfId="69" applyNumberFormat="1" applyFont="1" applyBorder="1"/>
    <xf numFmtId="175" fontId="2" fillId="0" borderId="0" xfId="69" applyNumberFormat="1" applyFont="1" applyFill="1"/>
    <xf numFmtId="167" fontId="0" fillId="0" borderId="0" xfId="68" applyNumberFormat="1" applyFont="1" applyBorder="1"/>
    <xf numFmtId="175" fontId="0" fillId="0" borderId="0" xfId="69" applyNumberFormat="1" applyFont="1" applyBorder="1"/>
    <xf numFmtId="167" fontId="2" fillId="0" borderId="0" xfId="68" applyNumberFormat="1" applyFont="1" applyFill="1" applyBorder="1"/>
    <xf numFmtId="168" fontId="2" fillId="0" borderId="0" xfId="68" applyNumberFormat="1" applyFont="1" applyFill="1" applyBorder="1"/>
    <xf numFmtId="175" fontId="2" fillId="0" borderId="0" xfId="69" applyNumberFormat="1" applyFont="1" applyFill="1" applyBorder="1"/>
    <xf numFmtId="169" fontId="53" fillId="0" borderId="129" xfId="26" applyNumberFormat="1" applyFont="1" applyFill="1" applyBorder="1"/>
    <xf numFmtId="169" fontId="0" fillId="0" borderId="0" xfId="26" applyNumberFormat="1" applyFont="1"/>
    <xf numFmtId="0" fontId="117" fillId="0" borderId="0" xfId="0" applyFont="1" applyAlignment="1">
      <alignment horizontal="center" vertical="center" wrapText="1"/>
    </xf>
    <xf numFmtId="166" fontId="117" fillId="0" borderId="0" xfId="0" applyNumberFormat="1" applyFont="1"/>
    <xf numFmtId="0" fontId="117" fillId="0" borderId="0" xfId="0" applyFont="1"/>
    <xf numFmtId="164" fontId="97" fillId="9" borderId="25" xfId="0" applyNumberFormat="1" applyFont="1" applyFill="1" applyBorder="1"/>
    <xf numFmtId="1" fontId="4" fillId="0" borderId="20" xfId="0" applyNumberFormat="1" applyFont="1" applyBorder="1" applyAlignment="1">
      <alignment horizontal="center"/>
    </xf>
    <xf numFmtId="0" fontId="4" fillId="0" borderId="20" xfId="0" applyFont="1" applyBorder="1" applyAlignment="1">
      <alignment horizontal="center"/>
    </xf>
    <xf numFmtId="0" fontId="0" fillId="0" borderId="200" xfId="0" applyBorder="1" applyAlignment="1">
      <alignment horizontal="center"/>
    </xf>
    <xf numFmtId="0" fontId="0" fillId="0" borderId="201" xfId="0" applyBorder="1" applyAlignment="1">
      <alignment horizontal="center"/>
    </xf>
    <xf numFmtId="0" fontId="0" fillId="0" borderId="202" xfId="0" applyBorder="1" applyAlignment="1">
      <alignment horizontal="center"/>
    </xf>
    <xf numFmtId="0" fontId="0" fillId="0" borderId="203" xfId="0" applyBorder="1" applyAlignment="1">
      <alignment horizontal="center"/>
    </xf>
    <xf numFmtId="0" fontId="0" fillId="0" borderId="204" xfId="0" applyBorder="1" applyAlignment="1">
      <alignment horizontal="center"/>
    </xf>
    <xf numFmtId="0" fontId="0" fillId="0" borderId="205" xfId="0" applyBorder="1" applyAlignment="1">
      <alignment horizontal="center"/>
    </xf>
    <xf numFmtId="0" fontId="0" fillId="0" borderId="206" xfId="0" applyBorder="1" applyAlignment="1">
      <alignment horizontal="center"/>
    </xf>
    <xf numFmtId="0" fontId="0" fillId="0" borderId="207" xfId="0" applyBorder="1" applyAlignment="1">
      <alignment horizontal="center"/>
    </xf>
    <xf numFmtId="0" fontId="0" fillId="0" borderId="208" xfId="0" applyBorder="1" applyAlignment="1">
      <alignment horizontal="center"/>
    </xf>
    <xf numFmtId="0" fontId="4" fillId="0" borderId="27" xfId="0" applyFont="1" applyBorder="1" applyAlignment="1">
      <alignment horizontal="left"/>
    </xf>
    <xf numFmtId="0" fontId="4" fillId="0" borderId="26" xfId="0" applyFont="1" applyBorder="1" applyAlignment="1">
      <alignment horizontal="right"/>
    </xf>
    <xf numFmtId="0" fontId="12" fillId="19" borderId="46" xfId="0" applyFont="1" applyFill="1" applyBorder="1" applyAlignment="1">
      <alignment wrapText="1"/>
    </xf>
    <xf numFmtId="0" fontId="4" fillId="0" borderId="0" xfId="0" applyFont="1" applyAlignment="1">
      <alignment wrapText="1"/>
    </xf>
    <xf numFmtId="0" fontId="4" fillId="23" borderId="0" xfId="0" applyFont="1" applyFill="1" applyAlignment="1">
      <alignment wrapText="1"/>
    </xf>
    <xf numFmtId="0" fontId="0" fillId="0" borderId="0" xfId="0" applyAlignment="1">
      <alignment horizontal="center" vertical="center"/>
    </xf>
    <xf numFmtId="0" fontId="53" fillId="10" borderId="209" xfId="0" applyFont="1" applyFill="1" applyBorder="1"/>
    <xf numFmtId="0" fontId="53" fillId="0" borderId="210" xfId="0" applyFont="1" applyBorder="1"/>
    <xf numFmtId="0" fontId="53" fillId="10" borderId="210" xfId="0" applyFont="1" applyFill="1" applyBorder="1" applyAlignment="1">
      <alignment vertical="center" wrapText="1"/>
    </xf>
    <xf numFmtId="0" fontId="53" fillId="10" borderId="210" xfId="0" applyFont="1" applyFill="1" applyBorder="1" applyAlignment="1">
      <alignment horizontal="center"/>
    </xf>
    <xf numFmtId="0" fontId="53" fillId="10" borderId="210" xfId="0" applyFont="1" applyFill="1" applyBorder="1"/>
    <xf numFmtId="167" fontId="53" fillId="10" borderId="210" xfId="0" applyNumberFormat="1" applyFont="1" applyFill="1" applyBorder="1"/>
    <xf numFmtId="1" fontId="53" fillId="10" borderId="210" xfId="0" applyNumberFormat="1" applyFont="1" applyFill="1" applyBorder="1"/>
    <xf numFmtId="167" fontId="53" fillId="0" borderId="210" xfId="0" applyNumberFormat="1" applyFont="1" applyBorder="1"/>
    <xf numFmtId="9" fontId="17" fillId="0" borderId="211" xfId="26" applyFont="1" applyFill="1" applyBorder="1"/>
    <xf numFmtId="0" fontId="53" fillId="10" borderId="212" xfId="0" applyFont="1" applyFill="1" applyBorder="1"/>
    <xf numFmtId="0" fontId="53" fillId="0" borderId="213" xfId="0" applyFont="1" applyBorder="1"/>
    <xf numFmtId="0" fontId="53" fillId="10" borderId="213" xfId="0" applyFont="1" applyFill="1" applyBorder="1" applyAlignment="1">
      <alignment vertical="center" wrapText="1"/>
    </xf>
    <xf numFmtId="0" fontId="53" fillId="10" borderId="213" xfId="0" applyFont="1" applyFill="1" applyBorder="1" applyAlignment="1">
      <alignment horizontal="center"/>
    </xf>
    <xf numFmtId="0" fontId="53" fillId="10" borderId="213" xfId="0" applyFont="1" applyFill="1" applyBorder="1"/>
    <xf numFmtId="167" fontId="53" fillId="10" borderId="213" xfId="0" applyNumberFormat="1" applyFont="1" applyFill="1" applyBorder="1"/>
    <xf numFmtId="1" fontId="53" fillId="10" borderId="213" xfId="0" applyNumberFormat="1" applyFont="1" applyFill="1" applyBorder="1"/>
    <xf numFmtId="167" fontId="53" fillId="0" borderId="213" xfId="0" applyNumberFormat="1" applyFont="1" applyBorder="1"/>
    <xf numFmtId="9" fontId="17" fillId="0" borderId="214" xfId="26" applyFont="1" applyFill="1" applyBorder="1"/>
    <xf numFmtId="0" fontId="19" fillId="10" borderId="215" xfId="0" applyFont="1" applyFill="1" applyBorder="1"/>
    <xf numFmtId="0" fontId="21" fillId="0" borderId="216" xfId="0" applyFont="1" applyBorder="1"/>
    <xf numFmtId="0" fontId="19" fillId="10" borderId="216" xfId="0" applyFont="1" applyFill="1" applyBorder="1" applyAlignment="1">
      <alignment vertical="center" wrapText="1"/>
    </xf>
    <xf numFmtId="0" fontId="19" fillId="10" borderId="216" xfId="0" applyFont="1" applyFill="1" applyBorder="1" applyAlignment="1">
      <alignment horizontal="center"/>
    </xf>
    <xf numFmtId="0" fontId="19" fillId="10" borderId="216" xfId="0" applyFont="1" applyFill="1" applyBorder="1"/>
    <xf numFmtId="167" fontId="19" fillId="10" borderId="216" xfId="0" applyNumberFormat="1" applyFont="1" applyFill="1" applyBorder="1"/>
    <xf numFmtId="1" fontId="19" fillId="10" borderId="216" xfId="0" applyNumberFormat="1" applyFont="1" applyFill="1" applyBorder="1"/>
    <xf numFmtId="167" fontId="19" fillId="0" borderId="216" xfId="0" applyNumberFormat="1" applyFont="1" applyBorder="1"/>
    <xf numFmtId="167" fontId="12" fillId="19" borderId="46" xfId="68" applyNumberFormat="1" applyFont="1" applyFill="1" applyBorder="1"/>
    <xf numFmtId="1" fontId="12" fillId="19" borderId="46" xfId="25" applyNumberFormat="1"/>
    <xf numFmtId="167" fontId="12" fillId="19" borderId="56" xfId="68" applyNumberFormat="1" applyFont="1" applyFill="1" applyBorder="1"/>
    <xf numFmtId="0" fontId="6" fillId="41" borderId="0" xfId="44" applyFont="1" applyAlignment="1">
      <alignment horizontal="right"/>
    </xf>
    <xf numFmtId="174" fontId="97" fillId="0" borderId="20" xfId="0" applyNumberFormat="1" applyFont="1" applyBorder="1"/>
    <xf numFmtId="167" fontId="12" fillId="19" borderId="55" xfId="68" applyNumberFormat="1" applyFont="1" applyFill="1" applyBorder="1"/>
    <xf numFmtId="9" fontId="12" fillId="19" borderId="46" xfId="25" applyNumberFormat="1"/>
    <xf numFmtId="9" fontId="12" fillId="19" borderId="46" xfId="26" applyFont="1" applyFill="1" applyBorder="1"/>
    <xf numFmtId="43" fontId="97" fillId="0" borderId="0" xfId="68" applyFont="1"/>
    <xf numFmtId="167" fontId="103" fillId="0" borderId="15" xfId="0" applyNumberFormat="1" applyFont="1" applyBorder="1"/>
    <xf numFmtId="0" fontId="118" fillId="10" borderId="183" xfId="39" applyFont="1" applyFill="1"/>
    <xf numFmtId="0" fontId="118" fillId="10" borderId="183" xfId="39" applyFont="1" applyFill="1" applyAlignment="1">
      <alignment horizontal="right"/>
    </xf>
    <xf numFmtId="167" fontId="16" fillId="10" borderId="183" xfId="39" applyNumberFormat="1" applyFont="1" applyFill="1"/>
    <xf numFmtId="2" fontId="16" fillId="10" borderId="222" xfId="39" applyNumberFormat="1" applyFont="1" applyFill="1" applyBorder="1"/>
    <xf numFmtId="43" fontId="16" fillId="10" borderId="223" xfId="39" applyNumberFormat="1" applyFont="1" applyFill="1" applyBorder="1"/>
    <xf numFmtId="1" fontId="0" fillId="0" borderId="0" xfId="0" applyNumberFormat="1" applyAlignment="1">
      <alignment horizontal="center"/>
    </xf>
    <xf numFmtId="0" fontId="98" fillId="0" borderId="43" xfId="0" applyFont="1" applyBorder="1"/>
    <xf numFmtId="0" fontId="97" fillId="0" borderId="44" xfId="0" applyFont="1" applyBorder="1"/>
    <xf numFmtId="0" fontId="97" fillId="0" borderId="45" xfId="0" applyFont="1" applyBorder="1"/>
    <xf numFmtId="0" fontId="97" fillId="0" borderId="36" xfId="0" applyFont="1" applyBorder="1" applyAlignment="1">
      <alignment horizontal="center" vertical="center"/>
    </xf>
    <xf numFmtId="0" fontId="97" fillId="0" borderId="37" xfId="0" applyFont="1" applyBorder="1" applyAlignment="1">
      <alignment horizontal="center" vertical="center"/>
    </xf>
    <xf numFmtId="2" fontId="97" fillId="0" borderId="0" xfId="0" applyNumberFormat="1" applyFont="1" applyAlignment="1">
      <alignment horizontal="center" vertical="center"/>
    </xf>
    <xf numFmtId="2" fontId="0" fillId="0" borderId="0" xfId="0" applyNumberFormat="1" applyAlignment="1">
      <alignment horizontal="center" vertical="center"/>
    </xf>
    <xf numFmtId="0" fontId="0" fillId="0" borderId="37" xfId="0" applyBorder="1" applyAlignment="1">
      <alignment horizontal="center" vertical="center"/>
    </xf>
    <xf numFmtId="0" fontId="97" fillId="0" borderId="53" xfId="0" applyFont="1" applyBorder="1" applyAlignment="1">
      <alignment horizontal="center" vertical="center"/>
    </xf>
    <xf numFmtId="2" fontId="97" fillId="0" borderId="29" xfId="0" applyNumberFormat="1" applyFont="1" applyBorder="1" applyAlignment="1">
      <alignment horizontal="center" vertical="center"/>
    </xf>
    <xf numFmtId="0" fontId="97" fillId="0" borderId="29" xfId="0" applyFont="1" applyBorder="1" applyAlignment="1">
      <alignment horizontal="center" vertical="center"/>
    </xf>
    <xf numFmtId="0" fontId="97" fillId="0" borderId="57" xfId="0" applyFont="1" applyBorder="1" applyAlignment="1">
      <alignment horizontal="center" vertical="center"/>
    </xf>
    <xf numFmtId="0" fontId="97" fillId="0" borderId="38" xfId="0" applyFont="1" applyBorder="1"/>
    <xf numFmtId="0" fontId="97" fillId="0" borderId="39" xfId="0" applyFont="1" applyBorder="1"/>
    <xf numFmtId="0" fontId="36" fillId="37" borderId="135" xfId="27" applyBorder="1"/>
    <xf numFmtId="9" fontId="19" fillId="0" borderId="217" xfId="26" applyFont="1" applyFill="1" applyBorder="1"/>
    <xf numFmtId="9" fontId="19" fillId="0" borderId="124" xfId="26" applyFont="1" applyFill="1" applyBorder="1"/>
    <xf numFmtId="170" fontId="6" fillId="41" borderId="0" xfId="44" applyNumberFormat="1" applyFont="1"/>
    <xf numFmtId="0" fontId="119" fillId="0" borderId="0" xfId="0" applyFont="1"/>
    <xf numFmtId="1" fontId="120" fillId="0" borderId="0" xfId="0" applyNumberFormat="1" applyFont="1"/>
    <xf numFmtId="0" fontId="122" fillId="0" borderId="0" xfId="0" applyFont="1"/>
    <xf numFmtId="0" fontId="123" fillId="8" borderId="0" xfId="0" applyFont="1" applyFill="1"/>
    <xf numFmtId="0" fontId="124" fillId="8" borderId="0" xfId="0" applyFont="1" applyFill="1"/>
    <xf numFmtId="0" fontId="121" fillId="0" borderId="0" xfId="0" applyFont="1"/>
    <xf numFmtId="0" fontId="125" fillId="0" borderId="0" xfId="0" applyFont="1"/>
    <xf numFmtId="0" fontId="123" fillId="0" borderId="22" xfId="0" applyFont="1" applyBorder="1"/>
    <xf numFmtId="0" fontId="124" fillId="0" borderId="22" xfId="0" applyFont="1" applyBorder="1"/>
    <xf numFmtId="43" fontId="127" fillId="0" borderId="0" xfId="0" applyNumberFormat="1" applyFont="1" applyAlignment="1">
      <alignment horizontal="right"/>
    </xf>
    <xf numFmtId="167" fontId="127" fillId="0" borderId="0" xfId="0" applyNumberFormat="1" applyFont="1"/>
    <xf numFmtId="0" fontId="124" fillId="0" borderId="0" xfId="0" applyFont="1"/>
    <xf numFmtId="0" fontId="124" fillId="0" borderId="73" xfId="0" applyFont="1" applyBorder="1"/>
    <xf numFmtId="167" fontId="128" fillId="19" borderId="74" xfId="0" applyNumberFormat="1" applyFont="1" applyFill="1" applyBorder="1"/>
    <xf numFmtId="0" fontId="124" fillId="0" borderId="24" xfId="0" applyFont="1" applyBorder="1"/>
    <xf numFmtId="0" fontId="129" fillId="0" borderId="0" xfId="0" applyFont="1"/>
    <xf numFmtId="0" fontId="124" fillId="0" borderId="31" xfId="0" applyFont="1" applyBorder="1"/>
    <xf numFmtId="167" fontId="128" fillId="19" borderId="46" xfId="0" applyNumberFormat="1" applyFont="1" applyFill="1" applyBorder="1"/>
    <xf numFmtId="0" fontId="124" fillId="0" borderId="32" xfId="0" applyFont="1" applyBorder="1"/>
    <xf numFmtId="1" fontId="124" fillId="0" borderId="0" xfId="0" applyNumberFormat="1" applyFont="1"/>
    <xf numFmtId="167" fontId="121" fillId="0" borderId="0" xfId="0" applyNumberFormat="1" applyFont="1"/>
    <xf numFmtId="167" fontId="119" fillId="0" borderId="0" xfId="0" applyNumberFormat="1" applyFont="1"/>
    <xf numFmtId="169" fontId="121" fillId="0" borderId="0" xfId="0" applyNumberFormat="1" applyFont="1"/>
    <xf numFmtId="0" fontId="124" fillId="0" borderId="23" xfId="0" applyFont="1" applyBorder="1"/>
    <xf numFmtId="0" fontId="130" fillId="40" borderId="142" xfId="0" applyFont="1" applyFill="1" applyBorder="1"/>
    <xf numFmtId="0" fontId="121" fillId="0" borderId="22" xfId="0" applyFont="1" applyBorder="1"/>
    <xf numFmtId="0" fontId="121" fillId="0" borderId="21" xfId="0" applyFont="1" applyBorder="1"/>
    <xf numFmtId="167" fontId="124" fillId="0" borderId="0" xfId="0" applyNumberFormat="1" applyFont="1"/>
    <xf numFmtId="0" fontId="121" fillId="10" borderId="73" xfId="0" applyFont="1" applyFill="1" applyBorder="1"/>
    <xf numFmtId="0" fontId="121" fillId="10" borderId="25" xfId="0" applyFont="1" applyFill="1" applyBorder="1"/>
    <xf numFmtId="0" fontId="122" fillId="10" borderId="25" xfId="0" applyFont="1" applyFill="1" applyBorder="1" applyAlignment="1">
      <alignment wrapText="1"/>
    </xf>
    <xf numFmtId="0" fontId="127" fillId="0" borderId="0" xfId="0" applyFont="1"/>
    <xf numFmtId="0" fontId="121" fillId="0" borderId="31" xfId="0" applyFont="1" applyBorder="1"/>
    <xf numFmtId="0" fontId="121" fillId="0" borderId="0" xfId="0" applyFont="1" applyAlignment="1">
      <alignment wrapText="1"/>
    </xf>
    <xf numFmtId="0" fontId="121" fillId="0" borderId="36" xfId="0" applyFont="1" applyBorder="1" applyAlignment="1">
      <alignment horizontal="center"/>
    </xf>
    <xf numFmtId="0" fontId="121" fillId="0" borderId="0" xfId="0" applyFont="1" applyAlignment="1">
      <alignment horizontal="center"/>
    </xf>
    <xf numFmtId="0" fontId="121" fillId="0" borderId="37" xfId="0" applyFont="1" applyBorder="1" applyAlignment="1">
      <alignment horizontal="center"/>
    </xf>
    <xf numFmtId="0" fontId="126" fillId="0" borderId="25" xfId="0" applyFont="1" applyBorder="1"/>
    <xf numFmtId="0" fontId="128" fillId="19" borderId="46" xfId="25" applyFont="1" applyAlignment="1">
      <alignment horizontal="center"/>
    </xf>
    <xf numFmtId="168" fontId="128" fillId="66" borderId="218" xfId="0" applyNumberFormat="1" applyFont="1" applyFill="1" applyBorder="1"/>
    <xf numFmtId="168" fontId="124" fillId="19" borderId="221" xfId="0" applyNumberFormat="1" applyFont="1" applyFill="1" applyBorder="1"/>
    <xf numFmtId="166" fontId="131" fillId="37" borderId="46" xfId="0" applyNumberFormat="1" applyFont="1" applyFill="1" applyBorder="1"/>
    <xf numFmtId="167" fontId="131" fillId="37" borderId="46" xfId="0" applyNumberFormat="1" applyFont="1" applyFill="1" applyBorder="1"/>
    <xf numFmtId="166" fontId="131" fillId="37" borderId="134" xfId="0" applyNumberFormat="1" applyFont="1" applyFill="1" applyBorder="1"/>
    <xf numFmtId="0" fontId="132" fillId="0" borderId="0" xfId="0" applyFont="1"/>
    <xf numFmtId="0" fontId="126" fillId="0" borderId="0" xfId="0" applyFont="1"/>
    <xf numFmtId="168" fontId="128" fillId="66" borderId="219" xfId="0" applyNumberFormat="1" applyFont="1" applyFill="1" applyBorder="1"/>
    <xf numFmtId="168" fontId="124" fillId="19" borderId="133" xfId="0" applyNumberFormat="1" applyFont="1" applyFill="1" applyBorder="1"/>
    <xf numFmtId="168" fontId="128" fillId="19" borderId="133" xfId="25" applyNumberFormat="1" applyFont="1" applyBorder="1"/>
    <xf numFmtId="0" fontId="128" fillId="19" borderId="54" xfId="25" applyFont="1" applyBorder="1" applyAlignment="1">
      <alignment horizontal="center"/>
    </xf>
    <xf numFmtId="168" fontId="128" fillId="66" borderId="220" xfId="0" applyNumberFormat="1" applyFont="1" applyFill="1" applyBorder="1"/>
    <xf numFmtId="0" fontId="121" fillId="0" borderId="25" xfId="0" applyFont="1" applyBorder="1"/>
    <xf numFmtId="0" fontId="121" fillId="0" borderId="36" xfId="0" applyFont="1" applyBorder="1"/>
    <xf numFmtId="168" fontId="121" fillId="0" borderId="0" xfId="0" applyNumberFormat="1" applyFont="1"/>
    <xf numFmtId="168" fontId="128" fillId="0" borderId="0" xfId="0" applyNumberFormat="1" applyFont="1"/>
    <xf numFmtId="165" fontId="121" fillId="0" borderId="36" xfId="0" applyNumberFormat="1" applyFont="1" applyBorder="1"/>
    <xf numFmtId="165" fontId="128" fillId="0" borderId="0" xfId="0" applyNumberFormat="1" applyFont="1" applyAlignment="1">
      <alignment horizontal="right"/>
    </xf>
    <xf numFmtId="1" fontId="121" fillId="0" borderId="0" xfId="0" applyNumberFormat="1" applyFont="1"/>
    <xf numFmtId="0" fontId="121" fillId="0" borderId="37" xfId="0" applyFont="1" applyBorder="1"/>
    <xf numFmtId="165" fontId="121" fillId="0" borderId="0" xfId="0" applyNumberFormat="1" applyFont="1"/>
    <xf numFmtId="165" fontId="121" fillId="32" borderId="43" xfId="0" applyNumberFormat="1" applyFont="1" applyFill="1" applyBorder="1"/>
    <xf numFmtId="165" fontId="128" fillId="32" borderId="44" xfId="0" applyNumberFormat="1" applyFont="1" applyFill="1" applyBorder="1" applyAlignment="1">
      <alignment horizontal="right"/>
    </xf>
    <xf numFmtId="165" fontId="121" fillId="32" borderId="44" xfId="0" applyNumberFormat="1" applyFont="1" applyFill="1" applyBorder="1"/>
    <xf numFmtId="0" fontId="121" fillId="32" borderId="45" xfId="0" applyFont="1" applyFill="1" applyBorder="1"/>
    <xf numFmtId="0" fontId="121" fillId="32" borderId="43" xfId="0" applyFont="1" applyFill="1" applyBorder="1"/>
    <xf numFmtId="165" fontId="121" fillId="4" borderId="36" xfId="0" applyNumberFormat="1" applyFont="1" applyFill="1" applyBorder="1"/>
    <xf numFmtId="165" fontId="128" fillId="4" borderId="0" xfId="0" applyNumberFormat="1" applyFont="1" applyFill="1" applyAlignment="1">
      <alignment horizontal="right"/>
    </xf>
    <xf numFmtId="170" fontId="129" fillId="4" borderId="0" xfId="44" applyNumberFormat="1" applyFont="1" applyFill="1" applyBorder="1"/>
    <xf numFmtId="0" fontId="121" fillId="4" borderId="37" xfId="0" applyFont="1" applyFill="1" applyBorder="1"/>
    <xf numFmtId="0" fontId="121" fillId="4" borderId="36" xfId="0" applyFont="1" applyFill="1" applyBorder="1"/>
    <xf numFmtId="170" fontId="129" fillId="0" borderId="0" xfId="44" applyNumberFormat="1" applyFont="1" applyFill="1" applyBorder="1"/>
    <xf numFmtId="1" fontId="129" fillId="41" borderId="0" xfId="44" applyNumberFormat="1" applyFont="1" applyBorder="1" applyAlignment="1">
      <alignment horizontal="right"/>
    </xf>
    <xf numFmtId="165" fontId="121" fillId="0" borderId="38" xfId="0" applyNumberFormat="1" applyFont="1" applyBorder="1"/>
    <xf numFmtId="165" fontId="128" fillId="0" borderId="39" xfId="0" applyNumberFormat="1" applyFont="1" applyBorder="1" applyAlignment="1">
      <alignment horizontal="right"/>
    </xf>
    <xf numFmtId="170" fontId="129" fillId="41" borderId="39" xfId="44" applyNumberFormat="1" applyFont="1" applyBorder="1"/>
    <xf numFmtId="0" fontId="121" fillId="0" borderId="40" xfId="0" applyFont="1" applyBorder="1"/>
    <xf numFmtId="0" fontId="121" fillId="0" borderId="38" xfId="0" applyFont="1" applyBorder="1"/>
    <xf numFmtId="165" fontId="128" fillId="0" borderId="0" xfId="0" applyNumberFormat="1" applyFont="1"/>
    <xf numFmtId="165" fontId="134" fillId="0" borderId="0" xfId="0" applyNumberFormat="1" applyFont="1" applyAlignment="1">
      <alignment horizontal="right"/>
    </xf>
    <xf numFmtId="0" fontId="128" fillId="19" borderId="46" xfId="25" applyFont="1"/>
    <xf numFmtId="9" fontId="121" fillId="0" borderId="0" xfId="26" applyFont="1" applyBorder="1"/>
    <xf numFmtId="168" fontId="128" fillId="10" borderId="25" xfId="0" applyNumberFormat="1" applyFont="1" applyFill="1" applyBorder="1"/>
    <xf numFmtId="165" fontId="121" fillId="10" borderId="25" xfId="0" applyNumberFormat="1" applyFont="1" applyFill="1" applyBorder="1"/>
    <xf numFmtId="165" fontId="128" fillId="10" borderId="25" xfId="0" applyNumberFormat="1" applyFont="1" applyFill="1" applyBorder="1"/>
    <xf numFmtId="0" fontId="122" fillId="6" borderId="25" xfId="0" applyFont="1" applyFill="1" applyBorder="1"/>
    <xf numFmtId="0" fontId="122" fillId="4" borderId="25" xfId="0" applyFont="1" applyFill="1" applyBorder="1"/>
    <xf numFmtId="0" fontId="122" fillId="67" borderId="24" xfId="0" applyFont="1" applyFill="1" applyBorder="1" applyAlignment="1">
      <alignment horizontal="center"/>
    </xf>
    <xf numFmtId="166" fontId="131" fillId="37" borderId="143" xfId="0" applyNumberFormat="1" applyFont="1" applyFill="1" applyBorder="1"/>
    <xf numFmtId="166" fontId="131" fillId="37" borderId="74" xfId="0" applyNumberFormat="1" applyFont="1" applyFill="1" applyBorder="1"/>
    <xf numFmtId="0" fontId="131" fillId="37" borderId="146" xfId="0" applyFont="1" applyFill="1" applyBorder="1"/>
    <xf numFmtId="166" fontId="132" fillId="0" borderId="139" xfId="0" applyNumberFormat="1" applyFont="1" applyBorder="1"/>
    <xf numFmtId="166" fontId="132" fillId="0" borderId="108" xfId="0" applyNumberFormat="1" applyFont="1" applyBorder="1"/>
    <xf numFmtId="0" fontId="121" fillId="0" borderId="32" xfId="0" applyFont="1" applyBorder="1"/>
    <xf numFmtId="167" fontId="131" fillId="37" borderId="147" xfId="0" applyNumberFormat="1" applyFont="1" applyFill="1" applyBorder="1"/>
    <xf numFmtId="167" fontId="131" fillId="37" borderId="148" xfId="0" applyNumberFormat="1" applyFont="1" applyFill="1" applyBorder="1"/>
    <xf numFmtId="167" fontId="131" fillId="37" borderId="149" xfId="0" applyNumberFormat="1" applyFont="1" applyFill="1" applyBorder="1"/>
    <xf numFmtId="166" fontId="131" fillId="37" borderId="150" xfId="0" applyNumberFormat="1" applyFont="1" applyFill="1" applyBorder="1"/>
    <xf numFmtId="166" fontId="131" fillId="37" borderId="55" xfId="0" applyNumberFormat="1" applyFont="1" applyFill="1" applyBorder="1"/>
    <xf numFmtId="0" fontId="131" fillId="37" borderId="151" xfId="0" applyFont="1" applyFill="1" applyBorder="1"/>
    <xf numFmtId="166" fontId="132" fillId="0" borderId="152" xfId="0" applyNumberFormat="1" applyFont="1" applyBorder="1"/>
    <xf numFmtId="173" fontId="131" fillId="37" borderId="150" xfId="0" applyNumberFormat="1" applyFont="1" applyFill="1" applyBorder="1"/>
    <xf numFmtId="173" fontId="132" fillId="0" borderId="152" xfId="0" applyNumberFormat="1" applyFont="1" applyBorder="1"/>
    <xf numFmtId="167" fontId="131" fillId="37" borderId="72" xfId="0" applyNumberFormat="1" applyFont="1" applyFill="1" applyBorder="1"/>
    <xf numFmtId="167" fontId="131" fillId="37" borderId="54" xfId="0" applyNumberFormat="1" applyFont="1" applyFill="1" applyBorder="1"/>
    <xf numFmtId="167" fontId="131" fillId="37" borderId="145" xfId="0" applyNumberFormat="1" applyFont="1" applyFill="1" applyBorder="1"/>
    <xf numFmtId="0" fontId="122" fillId="0" borderId="0" xfId="0" applyFont="1" applyAlignment="1">
      <alignment horizontal="right"/>
    </xf>
    <xf numFmtId="167" fontId="124" fillId="19" borderId="20" xfId="0" applyNumberFormat="1" applyFont="1" applyFill="1" applyBorder="1"/>
    <xf numFmtId="43" fontId="121" fillId="0" borderId="0" xfId="0" applyNumberFormat="1" applyFont="1"/>
    <xf numFmtId="0" fontId="124" fillId="0" borderId="0" xfId="0" applyFont="1" applyAlignment="1">
      <alignment horizontal="right"/>
    </xf>
    <xf numFmtId="166" fontId="121" fillId="0" borderId="20" xfId="0" applyNumberFormat="1" applyFont="1" applyBorder="1"/>
    <xf numFmtId="0" fontId="122" fillId="0" borderId="29" xfId="0" applyFont="1" applyBorder="1"/>
    <xf numFmtId="0" fontId="121" fillId="0" borderId="29" xfId="0" applyFont="1" applyBorder="1"/>
    <xf numFmtId="0" fontId="122" fillId="10" borderId="23" xfId="0" applyFont="1" applyFill="1" applyBorder="1"/>
    <xf numFmtId="0" fontId="121" fillId="10" borderId="22" xfId="0" applyFont="1" applyFill="1" applyBorder="1"/>
    <xf numFmtId="0" fontId="121" fillId="10" borderId="21" xfId="0" applyFont="1" applyFill="1" applyBorder="1"/>
    <xf numFmtId="0" fontId="122" fillId="10" borderId="28" xfId="0" applyFont="1" applyFill="1" applyBorder="1"/>
    <xf numFmtId="0" fontId="121" fillId="10" borderId="15" xfId="0" applyFont="1" applyFill="1" applyBorder="1"/>
    <xf numFmtId="0" fontId="121" fillId="10" borderId="19" xfId="0" applyFont="1" applyFill="1" applyBorder="1"/>
    <xf numFmtId="170" fontId="131" fillId="37" borderId="55" xfId="0" applyNumberFormat="1" applyFont="1" applyFill="1" applyBorder="1"/>
    <xf numFmtId="173" fontId="131" fillId="37" borderId="55" xfId="0" applyNumberFormat="1" applyFont="1" applyFill="1" applyBorder="1"/>
    <xf numFmtId="0" fontId="124" fillId="0" borderId="31" xfId="0" applyFont="1" applyBorder="1" applyAlignment="1">
      <alignment wrapText="1"/>
    </xf>
    <xf numFmtId="164" fontId="128" fillId="19" borderId="46" xfId="25" applyNumberFormat="1" applyFont="1" applyAlignment="1">
      <alignment wrapText="1"/>
    </xf>
    <xf numFmtId="43" fontId="124" fillId="0" borderId="32" xfId="0" applyNumberFormat="1" applyFont="1" applyBorder="1"/>
    <xf numFmtId="170" fontId="131" fillId="37" borderId="46" xfId="0" applyNumberFormat="1" applyFont="1" applyFill="1" applyBorder="1"/>
    <xf numFmtId="0" fontId="129" fillId="27" borderId="153" xfId="0" applyFont="1" applyFill="1" applyBorder="1"/>
    <xf numFmtId="0" fontId="121" fillId="0" borderId="154" xfId="0" applyFont="1" applyBorder="1"/>
    <xf numFmtId="0" fontId="121" fillId="0" borderId="30" xfId="0" applyFont="1" applyBorder="1"/>
    <xf numFmtId="0" fontId="121" fillId="0" borderId="51" xfId="0" applyFont="1" applyBorder="1"/>
    <xf numFmtId="170" fontId="131" fillId="37" borderId="46" xfId="27" applyNumberFormat="1" applyFont="1"/>
    <xf numFmtId="170" fontId="131" fillId="37" borderId="148" xfId="0" applyNumberFormat="1" applyFont="1" applyFill="1" applyBorder="1"/>
    <xf numFmtId="0" fontId="121" fillId="2" borderId="156" xfId="0" applyFont="1" applyFill="1" applyBorder="1"/>
    <xf numFmtId="167" fontId="131" fillId="2" borderId="157" xfId="0" applyNumberFormat="1" applyFont="1" applyFill="1" applyBorder="1"/>
    <xf numFmtId="0" fontId="121" fillId="2" borderId="158" xfId="0" applyFont="1" applyFill="1" applyBorder="1"/>
    <xf numFmtId="0" fontId="121" fillId="10" borderId="23" xfId="0" applyFont="1" applyFill="1" applyBorder="1"/>
    <xf numFmtId="167" fontId="131" fillId="10" borderId="132" xfId="0" applyNumberFormat="1" applyFont="1" applyFill="1" applyBorder="1"/>
    <xf numFmtId="0" fontId="131" fillId="37" borderId="55" xfId="0" applyFont="1" applyFill="1" applyBorder="1"/>
    <xf numFmtId="167" fontId="121" fillId="0" borderId="32" xfId="0" applyNumberFormat="1" applyFont="1" applyBorder="1"/>
    <xf numFmtId="0" fontId="124" fillId="0" borderId="30" xfId="0" applyFont="1" applyBorder="1"/>
    <xf numFmtId="170" fontId="131" fillId="37" borderId="148" xfId="27" applyNumberFormat="1" applyFont="1" applyBorder="1"/>
    <xf numFmtId="43" fontId="124" fillId="0" borderId="51" xfId="0" applyNumberFormat="1" applyFont="1" applyBorder="1"/>
    <xf numFmtId="0" fontId="129" fillId="27" borderId="30" xfId="0" applyFont="1" applyFill="1" applyBorder="1"/>
    <xf numFmtId="0" fontId="129" fillId="27" borderId="23" xfId="0" applyFont="1" applyFill="1" applyBorder="1"/>
    <xf numFmtId="170" fontId="131" fillId="37" borderId="55" xfId="27" applyNumberFormat="1" applyFont="1" applyBorder="1"/>
    <xf numFmtId="170" fontId="131" fillId="37" borderId="54" xfId="27" applyNumberFormat="1" applyFont="1" applyBorder="1"/>
    <xf numFmtId="43" fontId="124" fillId="0" borderId="21" xfId="0" applyNumberFormat="1" applyFont="1" applyBorder="1"/>
    <xf numFmtId="0" fontId="121" fillId="0" borderId="73" xfId="0" applyFont="1" applyBorder="1"/>
    <xf numFmtId="170" fontId="131" fillId="37" borderId="74" xfId="0" applyNumberFormat="1" applyFont="1" applyFill="1" applyBorder="1"/>
    <xf numFmtId="167" fontId="121" fillId="0" borderId="24" xfId="0" applyNumberFormat="1" applyFont="1" applyBorder="1"/>
    <xf numFmtId="0" fontId="121" fillId="0" borderId="0" xfId="0" applyFont="1" applyAlignment="1">
      <alignment horizontal="right"/>
    </xf>
    <xf numFmtId="0" fontId="121" fillId="0" borderId="23" xfId="0" applyFont="1" applyBorder="1"/>
    <xf numFmtId="170" fontId="131" fillId="37" borderId="132" xfId="0" applyNumberFormat="1" applyFont="1" applyFill="1" applyBorder="1"/>
    <xf numFmtId="167" fontId="121" fillId="0" borderId="21" xfId="0" applyNumberFormat="1" applyFont="1" applyBorder="1"/>
    <xf numFmtId="0" fontId="129" fillId="66" borderId="0" xfId="0" applyFont="1" applyFill="1"/>
    <xf numFmtId="170" fontId="131" fillId="66" borderId="0" xfId="0" applyNumberFormat="1" applyFont="1" applyFill="1"/>
    <xf numFmtId="0" fontId="121" fillId="66" borderId="0" xfId="0" applyFont="1" applyFill="1"/>
    <xf numFmtId="167" fontId="131" fillId="0" borderId="0" xfId="0" applyNumberFormat="1" applyFont="1"/>
    <xf numFmtId="0" fontId="124" fillId="0" borderId="0" xfId="0" applyFont="1" applyAlignment="1">
      <alignment wrapText="1"/>
    </xf>
    <xf numFmtId="166" fontId="121" fillId="0" borderId="0" xfId="0" applyNumberFormat="1" applyFont="1"/>
    <xf numFmtId="0" fontId="124" fillId="0" borderId="0" xfId="0" applyFont="1" applyAlignment="1">
      <alignment horizontal="center" wrapText="1"/>
    </xf>
    <xf numFmtId="2" fontId="121" fillId="0" borderId="0" xfId="0" applyNumberFormat="1" applyFont="1"/>
    <xf numFmtId="2" fontId="124" fillId="0" borderId="0" xfId="0" applyNumberFormat="1" applyFont="1"/>
    <xf numFmtId="2" fontId="135" fillId="37" borderId="46" xfId="0" applyNumberFormat="1" applyFont="1" applyFill="1" applyBorder="1"/>
    <xf numFmtId="2" fontId="119" fillId="0" borderId="0" xfId="0" applyNumberFormat="1" applyFont="1"/>
    <xf numFmtId="0" fontId="128" fillId="19" borderId="46" xfId="0" applyFont="1" applyFill="1" applyBorder="1"/>
    <xf numFmtId="165" fontId="136" fillId="10" borderId="0" xfId="0" applyNumberFormat="1" applyFont="1" applyFill="1"/>
    <xf numFmtId="43" fontId="124" fillId="0" borderId="0" xfId="0" applyNumberFormat="1" applyFont="1"/>
    <xf numFmtId="0" fontId="128" fillId="19" borderId="55" xfId="0" applyFont="1" applyFill="1" applyBorder="1"/>
    <xf numFmtId="0" fontId="122" fillId="3" borderId="0" xfId="0" applyFont="1" applyFill="1"/>
    <xf numFmtId="0" fontId="123" fillId="3" borderId="0" xfId="0" applyFont="1" applyFill="1"/>
    <xf numFmtId="0" fontId="123" fillId="31" borderId="0" xfId="0" applyFont="1" applyFill="1" applyAlignment="1">
      <alignment wrapText="1"/>
    </xf>
    <xf numFmtId="165" fontId="123" fillId="31" borderId="0" xfId="0" applyNumberFormat="1" applyFont="1" applyFill="1"/>
    <xf numFmtId="0" fontId="121" fillId="29" borderId="0" xfId="0" applyFont="1" applyFill="1"/>
    <xf numFmtId="164" fontId="121" fillId="0" borderId="0" xfId="0" applyNumberFormat="1" applyFont="1"/>
    <xf numFmtId="0" fontId="137" fillId="0" borderId="0" xfId="0" applyFont="1"/>
    <xf numFmtId="43" fontId="0" fillId="0" borderId="25" xfId="68" applyFont="1" applyBorder="1"/>
    <xf numFmtId="167" fontId="0" fillId="0" borderId="0" xfId="0" applyNumberFormat="1" applyAlignment="1">
      <alignment horizontal="center"/>
    </xf>
    <xf numFmtId="167" fontId="22" fillId="0" borderId="0" xfId="68" applyNumberFormat="1" applyFont="1" applyBorder="1"/>
    <xf numFmtId="170" fontId="6" fillId="41" borderId="0" xfId="44" applyNumberFormat="1" applyFont="1" applyBorder="1"/>
    <xf numFmtId="167" fontId="97" fillId="0" borderId="31" xfId="68" applyNumberFormat="1" applyFont="1" applyBorder="1"/>
    <xf numFmtId="167" fontId="105" fillId="8" borderId="31" xfId="68" applyNumberFormat="1" applyFont="1" applyFill="1" applyBorder="1"/>
    <xf numFmtId="165" fontId="36" fillId="37" borderId="194" xfId="27" applyNumberFormat="1" applyBorder="1"/>
    <xf numFmtId="0" fontId="97" fillId="0" borderId="43" xfId="0" applyFont="1" applyBorder="1" applyAlignment="1">
      <alignment horizontal="center" vertical="center"/>
    </xf>
    <xf numFmtId="0" fontId="97" fillId="0" borderId="44" xfId="0" applyFont="1" applyBorder="1" applyAlignment="1">
      <alignment horizontal="center" vertical="center"/>
    </xf>
    <xf numFmtId="0" fontId="97" fillId="0" borderId="45" xfId="0" applyFont="1" applyBorder="1" applyAlignment="1">
      <alignment horizontal="center" vertical="center"/>
    </xf>
    <xf numFmtId="0" fontId="12" fillId="19" borderId="46" xfId="25" applyAlignment="1">
      <alignment horizontal="right"/>
    </xf>
    <xf numFmtId="0" fontId="98" fillId="0" borderId="224" xfId="0" applyFont="1" applyBorder="1"/>
    <xf numFmtId="0" fontId="98" fillId="0" borderId="225" xfId="0" applyFont="1" applyBorder="1"/>
    <xf numFmtId="0" fontId="97" fillId="0" borderId="36" xfId="0" applyFont="1" applyBorder="1"/>
    <xf numFmtId="0" fontId="97" fillId="0" borderId="37" xfId="0" applyFont="1" applyBorder="1"/>
    <xf numFmtId="0" fontId="97" fillId="0" borderId="40" xfId="0" applyFont="1" applyBorder="1"/>
    <xf numFmtId="1" fontId="10" fillId="0" borderId="0" xfId="0" applyNumberFormat="1" applyFont="1" applyAlignment="1">
      <alignment wrapText="1"/>
    </xf>
    <xf numFmtId="1" fontId="10" fillId="10" borderId="0" xfId="0" applyNumberFormat="1" applyFont="1" applyFill="1"/>
    <xf numFmtId="167" fontId="10" fillId="10" borderId="0" xfId="68" applyNumberFormat="1" applyFont="1" applyFill="1"/>
    <xf numFmtId="0" fontId="10" fillId="10" borderId="0" xfId="0" applyFont="1" applyFill="1"/>
    <xf numFmtId="164" fontId="10" fillId="10" borderId="0" xfId="0" applyNumberFormat="1" applyFont="1" applyFill="1"/>
    <xf numFmtId="167" fontId="10" fillId="0" borderId="0" xfId="68" applyNumberFormat="1" applyFont="1"/>
    <xf numFmtId="43" fontId="10" fillId="32" borderId="32" xfId="68" applyFont="1" applyFill="1" applyBorder="1"/>
    <xf numFmtId="0" fontId="23" fillId="0" borderId="23"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1" xfId="0" applyFont="1" applyBorder="1" applyAlignment="1">
      <alignment horizontal="center" vertical="center" wrapText="1"/>
    </xf>
    <xf numFmtId="167" fontId="53" fillId="0" borderId="120" xfId="68" applyNumberFormat="1" applyFont="1" applyFill="1" applyBorder="1"/>
    <xf numFmtId="166" fontId="53" fillId="0" borderId="159" xfId="68" applyNumberFormat="1" applyFont="1" applyFill="1" applyBorder="1"/>
    <xf numFmtId="166" fontId="53" fillId="0" borderId="141" xfId="68" applyNumberFormat="1" applyFont="1" applyFill="1" applyBorder="1"/>
    <xf numFmtId="166" fontId="19" fillId="0" borderId="226" xfId="68" applyNumberFormat="1" applyFont="1" applyFill="1" applyBorder="1"/>
    <xf numFmtId="166" fontId="53" fillId="0" borderId="227" xfId="68" applyNumberFormat="1" applyFont="1" applyFill="1" applyBorder="1"/>
    <xf numFmtId="166" fontId="53" fillId="0" borderId="228" xfId="68" applyNumberFormat="1" applyFont="1" applyFill="1" applyBorder="1"/>
    <xf numFmtId="166" fontId="19" fillId="0" borderId="229" xfId="68" applyNumberFormat="1" applyFont="1" applyFill="1" applyBorder="1"/>
    <xf numFmtId="166" fontId="53" fillId="0" borderId="19" xfId="68" applyNumberFormat="1" applyFont="1" applyFill="1" applyBorder="1"/>
    <xf numFmtId="166" fontId="53" fillId="0" borderId="230" xfId="68" applyNumberFormat="1" applyFont="1" applyFill="1" applyBorder="1"/>
    <xf numFmtId="166" fontId="53" fillId="0" borderId="231" xfId="68" applyNumberFormat="1" applyFont="1" applyFill="1" applyBorder="1"/>
    <xf numFmtId="166" fontId="53" fillId="0" borderId="105" xfId="68" applyNumberFormat="1" applyFont="1" applyFill="1" applyBorder="1"/>
    <xf numFmtId="166" fontId="53" fillId="0" borderId="103" xfId="68" applyNumberFormat="1" applyFont="1" applyFill="1" applyBorder="1"/>
    <xf numFmtId="166" fontId="19" fillId="0" borderId="104" xfId="68" applyNumberFormat="1" applyFont="1" applyFill="1" applyBorder="1"/>
    <xf numFmtId="166" fontId="53" fillId="0" borderId="231" xfId="68" applyNumberFormat="1" applyFont="1" applyBorder="1"/>
    <xf numFmtId="166" fontId="19" fillId="0" borderId="232" xfId="68" applyNumberFormat="1" applyFont="1" applyFill="1" applyBorder="1"/>
    <xf numFmtId="166" fontId="53" fillId="0" borderId="230" xfId="68" applyNumberFormat="1" applyFont="1" applyBorder="1"/>
    <xf numFmtId="166" fontId="19" fillId="0" borderId="232" xfId="68" applyNumberFormat="1" applyFont="1" applyBorder="1"/>
    <xf numFmtId="166" fontId="53" fillId="0" borderId="20" xfId="68" applyNumberFormat="1" applyFont="1" applyBorder="1"/>
    <xf numFmtId="9" fontId="40" fillId="39" borderId="0" xfId="34" applyNumberFormat="1"/>
    <xf numFmtId="0" fontId="138" fillId="0" borderId="0" xfId="0" applyFont="1"/>
    <xf numFmtId="167" fontId="128" fillId="19" borderId="46" xfId="68" applyNumberFormat="1" applyFont="1" applyFill="1" applyBorder="1"/>
    <xf numFmtId="167" fontId="121" fillId="0" borderId="0" xfId="68" applyNumberFormat="1" applyFont="1"/>
    <xf numFmtId="0" fontId="68" fillId="77" borderId="0" xfId="0" applyFont="1" applyFill="1" applyAlignment="1">
      <alignment vertical="center" wrapText="1"/>
    </xf>
    <xf numFmtId="0" fontId="68" fillId="77" borderId="0" xfId="0" applyFont="1" applyFill="1" applyAlignment="1">
      <alignment horizontal="center" vertical="center" wrapText="1"/>
    </xf>
    <xf numFmtId="0" fontId="68" fillId="0" borderId="0" xfId="0" applyFont="1"/>
    <xf numFmtId="0" fontId="68" fillId="0" borderId="0" xfId="0" applyFont="1" applyAlignment="1">
      <alignment vertical="center" wrapText="1"/>
    </xf>
    <xf numFmtId="0" fontId="139" fillId="77" borderId="0" xfId="0" applyFont="1" applyFill="1" applyAlignment="1">
      <alignment vertical="center"/>
    </xf>
    <xf numFmtId="0" fontId="140" fillId="77" borderId="0" xfId="0" applyFont="1" applyFill="1" applyAlignment="1">
      <alignment vertical="center"/>
    </xf>
    <xf numFmtId="0" fontId="68" fillId="66" borderId="0" xfId="0" applyFont="1" applyFill="1" applyAlignment="1">
      <alignment vertical="center" wrapText="1"/>
    </xf>
    <xf numFmtId="0" fontId="68" fillId="16" borderId="163" xfId="0" applyFont="1" applyFill="1" applyBorder="1" applyProtection="1">
      <protection locked="0"/>
    </xf>
    <xf numFmtId="0" fontId="41" fillId="16" borderId="80" xfId="0" applyFont="1" applyFill="1" applyBorder="1" applyProtection="1">
      <protection locked="0"/>
    </xf>
    <xf numFmtId="0" fontId="68" fillId="16" borderId="163" xfId="0" applyFont="1" applyFill="1" applyBorder="1" applyAlignment="1" applyProtection="1">
      <alignment horizontal="left" vertical="center" indent="1"/>
      <protection locked="0"/>
    </xf>
    <xf numFmtId="0" fontId="68" fillId="16" borderId="80" xfId="0" applyFont="1" applyFill="1" applyBorder="1" applyProtection="1">
      <protection locked="0"/>
    </xf>
    <xf numFmtId="0" fontId="68" fillId="16" borderId="80" xfId="0" applyFont="1" applyFill="1" applyBorder="1" applyAlignment="1" applyProtection="1">
      <alignment vertical="center"/>
      <protection locked="0"/>
    </xf>
    <xf numFmtId="0" fontId="141" fillId="0" borderId="0" xfId="0" applyFont="1" applyAlignment="1">
      <alignment vertical="top"/>
    </xf>
    <xf numFmtId="10" fontId="68" fillId="16" borderId="163" xfId="0" applyNumberFormat="1" applyFont="1" applyFill="1" applyBorder="1" applyAlignment="1" applyProtection="1">
      <alignment horizontal="right" vertical="center"/>
      <protection locked="0"/>
    </xf>
    <xf numFmtId="10" fontId="68" fillId="0" borderId="163" xfId="0" applyNumberFormat="1" applyFont="1" applyBorder="1" applyAlignment="1">
      <alignment horizontal="right" vertical="center"/>
    </xf>
    <xf numFmtId="10" fontId="141" fillId="0" borderId="0" xfId="0" applyNumberFormat="1" applyFont="1" applyAlignment="1">
      <alignment horizontal="right" vertical="center"/>
    </xf>
    <xf numFmtId="39" fontId="68" fillId="78" borderId="163" xfId="68" applyNumberFormat="1" applyFont="1" applyFill="1" applyBorder="1" applyAlignment="1" applyProtection="1">
      <alignment horizontal="right" vertical="center"/>
      <protection locked="0"/>
    </xf>
    <xf numFmtId="0" fontId="142" fillId="0" borderId="0" xfId="0" applyFont="1"/>
    <xf numFmtId="39" fontId="68" fillId="66" borderId="0" xfId="68" applyNumberFormat="1" applyFont="1" applyFill="1" applyBorder="1" applyAlignment="1" applyProtection="1">
      <alignment horizontal="right" vertical="center"/>
      <protection locked="0"/>
    </xf>
    <xf numFmtId="3" fontId="68" fillId="16" borderId="163" xfId="68" applyNumberFormat="1" applyFont="1" applyFill="1" applyBorder="1" applyAlignment="1" applyProtection="1">
      <alignment horizontal="right" vertical="center"/>
      <protection locked="0"/>
    </xf>
    <xf numFmtId="3" fontId="68" fillId="0" borderId="0" xfId="0" applyNumberFormat="1" applyFont="1"/>
    <xf numFmtId="3" fontId="68" fillId="0" borderId="163" xfId="68" applyNumberFormat="1" applyFont="1" applyFill="1" applyBorder="1" applyAlignment="1" applyProtection="1">
      <alignment horizontal="right" vertical="center"/>
    </xf>
    <xf numFmtId="39" fontId="141" fillId="0" borderId="0" xfId="68" applyNumberFormat="1" applyFont="1" applyFill="1" applyBorder="1" applyAlignment="1" applyProtection="1">
      <alignment horizontal="right" vertical="center"/>
    </xf>
    <xf numFmtId="39" fontId="68" fillId="66" borderId="163" xfId="68" applyNumberFormat="1" applyFont="1" applyFill="1" applyBorder="1" applyAlignment="1" applyProtection="1">
      <alignment horizontal="right" vertical="center"/>
    </xf>
    <xf numFmtId="39" fontId="141" fillId="16" borderId="163" xfId="68" applyNumberFormat="1" applyFont="1" applyFill="1" applyBorder="1" applyAlignment="1" applyProtection="1">
      <alignment horizontal="right" vertical="center"/>
      <protection locked="0"/>
    </xf>
    <xf numFmtId="0" fontId="143" fillId="0" borderId="0" xfId="0" applyFont="1" applyAlignment="1">
      <alignment vertical="top"/>
    </xf>
    <xf numFmtId="0" fontId="41" fillId="0" borderId="233" xfId="70" applyBorder="1" applyAlignment="1">
      <alignment horizontal="left" vertical="center"/>
    </xf>
    <xf numFmtId="0" fontId="41" fillId="0" borderId="0" xfId="70" applyAlignment="1">
      <alignment horizontal="left" vertical="center"/>
    </xf>
    <xf numFmtId="0" fontId="142" fillId="0" borderId="0" xfId="70" applyFont="1" applyAlignment="1">
      <alignment horizontal="left" vertical="center" indent="1"/>
    </xf>
    <xf numFmtId="0" fontId="142" fillId="0" borderId="171" xfId="70" applyFont="1" applyBorder="1" applyAlignment="1">
      <alignment horizontal="left" vertical="center" indent="1"/>
    </xf>
    <xf numFmtId="0" fontId="142" fillId="0" borderId="169" xfId="70" applyFont="1" applyBorder="1" applyAlignment="1">
      <alignment horizontal="left" vertical="center" indent="1"/>
    </xf>
    <xf numFmtId="0" fontId="68" fillId="16" borderId="80" xfId="0" applyFont="1" applyFill="1" applyBorder="1" applyAlignment="1" applyProtection="1">
      <alignment horizontal="center" vertical="center"/>
      <protection locked="0"/>
    </xf>
    <xf numFmtId="0" fontId="41" fillId="0" borderId="234" xfId="0" applyFont="1" applyBorder="1" applyAlignment="1">
      <alignment vertical="center"/>
    </xf>
    <xf numFmtId="0" fontId="141" fillId="0" borderId="0" xfId="0" applyFont="1" applyAlignment="1">
      <alignment horizontal="center" vertical="center"/>
    </xf>
    <xf numFmtId="0" fontId="68" fillId="0" borderId="0" xfId="0" applyFont="1" applyAlignment="1">
      <alignment vertical="top"/>
    </xf>
    <xf numFmtId="0" fontId="68" fillId="0" borderId="0" xfId="0" applyFont="1" applyAlignment="1">
      <alignment vertical="center"/>
    </xf>
    <xf numFmtId="0" fontId="68" fillId="16" borderId="163" xfId="0" applyFont="1" applyFill="1" applyBorder="1" applyAlignment="1" applyProtection="1">
      <alignment vertical="center" wrapText="1"/>
      <protection locked="0"/>
    </xf>
    <xf numFmtId="0" fontId="144" fillId="0" borderId="0" xfId="0" applyFont="1" applyAlignment="1">
      <alignment horizontal="left" vertical="top" indent="1"/>
    </xf>
    <xf numFmtId="0" fontId="68" fillId="0" borderId="0" xfId="0" applyFont="1" applyAlignment="1">
      <alignment horizontal="left" vertical="top" indent="1"/>
    </xf>
    <xf numFmtId="0" fontId="144" fillId="0" borderId="0" xfId="0" applyFont="1" applyAlignment="1">
      <alignment horizontal="left"/>
    </xf>
    <xf numFmtId="0" fontId="145" fillId="0" borderId="0" xfId="0" applyFont="1" applyAlignment="1">
      <alignment horizontal="left" vertical="top" wrapText="1"/>
    </xf>
    <xf numFmtId="0" fontId="68" fillId="0" borderId="0" xfId="0" applyFont="1" applyAlignment="1">
      <alignment horizontal="center" wrapText="1"/>
    </xf>
    <xf numFmtId="0" fontId="146" fillId="0" borderId="0" xfId="0" applyFont="1" applyAlignment="1">
      <alignment horizontal="left" vertical="top"/>
    </xf>
    <xf numFmtId="0" fontId="68" fillId="0" borderId="0" xfId="0" applyFont="1" applyAlignment="1">
      <alignment horizontal="center" vertical="center"/>
    </xf>
    <xf numFmtId="0" fontId="147" fillId="0" borderId="0" xfId="71" applyFont="1" applyAlignment="1">
      <alignment horizontal="left" vertical="center" wrapText="1"/>
    </xf>
    <xf numFmtId="0" fontId="148" fillId="0" borderId="0" xfId="71" applyFont="1" applyAlignment="1">
      <alignment vertical="center"/>
    </xf>
    <xf numFmtId="0" fontId="41" fillId="0" borderId="0" xfId="71" applyAlignment="1">
      <alignment horizontal="left" vertical="center" wrapText="1"/>
    </xf>
    <xf numFmtId="3" fontId="148" fillId="0" borderId="0" xfId="71" applyNumberFormat="1" applyFont="1" applyAlignment="1">
      <alignment horizontal="left" vertical="center" wrapText="1"/>
    </xf>
    <xf numFmtId="3" fontId="148" fillId="66" borderId="0" xfId="71" applyNumberFormat="1" applyFont="1" applyFill="1" applyAlignment="1">
      <alignment horizontal="left" vertical="center" wrapText="1"/>
    </xf>
    <xf numFmtId="0" fontId="68" fillId="0" borderId="160" xfId="0" applyFont="1" applyBorder="1" applyAlignment="1">
      <alignment horizontal="center" vertical="center"/>
    </xf>
    <xf numFmtId="0" fontId="144" fillId="0" borderId="0" xfId="0" applyFont="1" applyAlignment="1">
      <alignment horizontal="left" vertical="top"/>
    </xf>
    <xf numFmtId="0" fontId="41" fillId="16" borderId="80" xfId="0" applyFont="1" applyFill="1" applyBorder="1" applyAlignment="1" applyProtection="1">
      <alignment horizontal="center" vertical="center" wrapText="1"/>
      <protection locked="0"/>
    </xf>
    <xf numFmtId="0" fontId="41" fillId="0" borderId="0" xfId="0" applyFont="1" applyAlignment="1">
      <alignment horizontal="center" vertical="center"/>
    </xf>
    <xf numFmtId="0" fontId="68" fillId="16" borderId="165" xfId="0" applyFont="1" applyFill="1" applyBorder="1" applyAlignment="1">
      <alignment horizontal="left" vertical="center"/>
    </xf>
    <xf numFmtId="0" fontId="68" fillId="16" borderId="169" xfId="0" applyFont="1" applyFill="1" applyBorder="1" applyAlignment="1">
      <alignment horizontal="left" vertical="center"/>
    </xf>
    <xf numFmtId="0" fontId="68" fillId="16" borderId="162" xfId="0" applyFont="1" applyFill="1" applyBorder="1" applyAlignment="1">
      <alignment horizontal="left" vertical="center"/>
    </xf>
    <xf numFmtId="0" fontId="41" fillId="16" borderId="80" xfId="0" applyFont="1" applyFill="1" applyBorder="1" applyAlignment="1" applyProtection="1">
      <alignment horizontal="center" vertical="center"/>
      <protection locked="0"/>
    </xf>
    <xf numFmtId="0" fontId="68" fillId="16" borderId="163" xfId="0" applyFont="1" applyFill="1" applyBorder="1" applyAlignment="1" applyProtection="1">
      <alignment horizontal="center" vertical="center"/>
      <protection locked="0"/>
    </xf>
    <xf numFmtId="0" fontId="41" fillId="16" borderId="80" xfId="70" applyFill="1" applyBorder="1" applyAlignment="1" applyProtection="1">
      <alignment horizontal="center" vertical="center" wrapText="1"/>
      <protection locked="0"/>
    </xf>
    <xf numFmtId="0" fontId="41" fillId="16" borderId="80" xfId="70" applyFill="1" applyBorder="1" applyAlignment="1" applyProtection="1">
      <alignment horizontal="center" vertical="center"/>
      <protection locked="0"/>
    </xf>
    <xf numFmtId="0" fontId="41" fillId="0" borderId="0" xfId="70" applyAlignment="1">
      <alignment horizontal="center" vertical="center"/>
    </xf>
    <xf numFmtId="0" fontId="149" fillId="0" borderId="0" xfId="70" applyFont="1" applyAlignment="1">
      <alignment horizontal="center" vertical="center"/>
    </xf>
    <xf numFmtId="0" fontId="149" fillId="16" borderId="163" xfId="70" applyFont="1" applyFill="1" applyBorder="1" applyAlignment="1" applyProtection="1">
      <alignment horizontal="center" vertical="center"/>
      <protection locked="0"/>
    </xf>
    <xf numFmtId="0" fontId="41" fillId="0" borderId="0" xfId="70" applyAlignment="1">
      <alignment horizontal="center" vertical="center" wrapText="1"/>
    </xf>
    <xf numFmtId="0" fontId="141" fillId="0" borderId="0" xfId="0" applyFont="1" applyAlignment="1">
      <alignment horizontal="center" wrapText="1"/>
    </xf>
    <xf numFmtId="0" fontId="41" fillId="16" borderId="106" xfId="0" applyFont="1" applyFill="1" applyBorder="1" applyAlignment="1" applyProtection="1">
      <alignment horizontal="center" vertical="center"/>
      <protection locked="0"/>
    </xf>
    <xf numFmtId="0" fontId="68" fillId="66" borderId="0" xfId="0" applyFont="1" applyFill="1" applyAlignment="1">
      <alignment horizontal="left" vertical="top" wrapText="1"/>
    </xf>
    <xf numFmtId="0" fontId="141" fillId="66" borderId="0" xfId="0" applyFont="1" applyFill="1" applyAlignment="1">
      <alignment horizontal="left" vertical="top" wrapText="1"/>
    </xf>
    <xf numFmtId="0" fontId="41" fillId="0" borderId="0" xfId="0" applyFont="1" applyAlignment="1">
      <alignment vertical="center" wrapText="1"/>
    </xf>
    <xf numFmtId="0" fontId="150" fillId="16" borderId="106" xfId="0" applyFont="1" applyFill="1" applyBorder="1" applyAlignment="1" applyProtection="1">
      <alignment vertical="center" wrapText="1"/>
      <protection locked="0"/>
    </xf>
    <xf numFmtId="0" fontId="68" fillId="80" borderId="165" xfId="0" applyFont="1" applyFill="1" applyBorder="1" applyAlignment="1">
      <alignment horizontal="left" vertical="center" wrapText="1" indent="1"/>
    </xf>
    <xf numFmtId="0" fontId="68" fillId="0" borderId="0" xfId="0" applyFont="1" applyProtection="1">
      <protection locked="0"/>
    </xf>
    <xf numFmtId="0" fontId="151" fillId="77" borderId="0" xfId="0" applyFont="1" applyFill="1" applyAlignment="1">
      <alignment vertical="center" wrapText="1"/>
    </xf>
    <xf numFmtId="0" fontId="0" fillId="66" borderId="0" xfId="0" applyFill="1"/>
    <xf numFmtId="0" fontId="60" fillId="66" borderId="0" xfId="70" applyFont="1" applyFill="1"/>
    <xf numFmtId="0" fontId="41" fillId="66" borderId="0" xfId="70" applyFill="1"/>
    <xf numFmtId="0" fontId="41" fillId="66" borderId="0" xfId="70" applyFill="1" applyAlignment="1">
      <alignment horizontal="left" vertical="top"/>
    </xf>
    <xf numFmtId="0" fontId="41" fillId="66" borderId="0" xfId="70" applyFill="1" applyAlignment="1">
      <alignment horizontal="left" vertical="top" wrapText="1"/>
    </xf>
    <xf numFmtId="0" fontId="0" fillId="66" borderId="0" xfId="0" applyFill="1" applyAlignment="1">
      <alignment horizontal="left"/>
    </xf>
    <xf numFmtId="0" fontId="143" fillId="66" borderId="0" xfId="0" applyFont="1" applyFill="1" applyAlignment="1">
      <alignment vertical="top"/>
    </xf>
    <xf numFmtId="0" fontId="60" fillId="66" borderId="0" xfId="70" applyFont="1" applyFill="1" applyAlignment="1">
      <alignment horizontal="center" vertical="center" wrapText="1"/>
    </xf>
    <xf numFmtId="0" fontId="41" fillId="80" borderId="237" xfId="70" applyFill="1" applyBorder="1" applyAlignment="1">
      <alignment horizontal="center" vertical="center" wrapText="1"/>
    </xf>
    <xf numFmtId="0" fontId="41" fillId="80" borderId="238" xfId="70" applyFill="1" applyBorder="1" applyAlignment="1">
      <alignment horizontal="center" vertical="center" wrapText="1"/>
    </xf>
    <xf numFmtId="0" fontId="42" fillId="80" borderId="170" xfId="70" applyFont="1" applyFill="1" applyBorder="1" applyAlignment="1">
      <alignment horizontal="center" vertical="center" wrapText="1"/>
    </xf>
    <xf numFmtId="0" fontId="42" fillId="80" borderId="170" xfId="70" applyFont="1" applyFill="1" applyBorder="1" applyAlignment="1">
      <alignment horizontal="centerContinuous" vertical="center" wrapText="1"/>
    </xf>
    <xf numFmtId="0" fontId="42" fillId="80" borderId="198" xfId="70" applyFont="1" applyFill="1" applyBorder="1" applyAlignment="1">
      <alignment horizontal="center" vertical="center" wrapText="1"/>
    </xf>
    <xf numFmtId="0" fontId="60" fillId="66" borderId="0" xfId="0" applyFont="1" applyFill="1"/>
    <xf numFmtId="0" fontId="41" fillId="66" borderId="170" xfId="70" applyFill="1" applyBorder="1" applyAlignment="1">
      <alignment horizontal="centerContinuous" vertical="center"/>
    </xf>
    <xf numFmtId="0" fontId="142" fillId="66" borderId="170" xfId="70" applyFont="1" applyFill="1" applyBorder="1" applyAlignment="1">
      <alignment horizontal="centerContinuous" vertical="center"/>
    </xf>
    <xf numFmtId="0" fontId="68" fillId="66" borderId="169" xfId="0" applyFont="1" applyFill="1" applyBorder="1" applyAlignment="1">
      <alignment horizontal="left" indent="1"/>
    </xf>
    <xf numFmtId="3" fontId="68" fillId="66" borderId="162" xfId="70" applyNumberFormat="1" applyFont="1" applyFill="1" applyBorder="1" applyAlignment="1">
      <alignment horizontal="right" vertical="center"/>
    </xf>
    <xf numFmtId="0" fontId="0" fillId="66" borderId="234" xfId="0" applyFill="1" applyBorder="1" applyAlignment="1">
      <alignment horizontal="centerContinuous"/>
    </xf>
    <xf numFmtId="0" fontId="68" fillId="66" borderId="169" xfId="0" applyFont="1" applyFill="1" applyBorder="1"/>
    <xf numFmtId="3" fontId="41" fillId="66" borderId="162" xfId="68" applyNumberFormat="1" applyFont="1" applyFill="1" applyBorder="1" applyAlignment="1" applyProtection="1">
      <alignment horizontal="right" vertical="center"/>
    </xf>
    <xf numFmtId="0" fontId="68" fillId="66" borderId="165" xfId="0" applyFont="1" applyFill="1" applyBorder="1"/>
    <xf numFmtId="4" fontId="41" fillId="66" borderId="162" xfId="70" applyNumberFormat="1" applyFill="1" applyBorder="1" applyAlignment="1">
      <alignment horizontal="right" vertical="center"/>
    </xf>
    <xf numFmtId="0" fontId="41" fillId="80" borderId="163" xfId="70" applyFill="1" applyBorder="1" applyAlignment="1">
      <alignment horizontal="centerContinuous" vertical="center" wrapText="1"/>
    </xf>
    <xf numFmtId="0" fontId="41" fillId="80" borderId="165" xfId="70" applyFill="1" applyBorder="1" applyAlignment="1">
      <alignment horizontal="centerContinuous" vertical="center" wrapText="1"/>
    </xf>
    <xf numFmtId="0" fontId="41" fillId="80" borderId="162" xfId="70" applyFill="1" applyBorder="1" applyAlignment="1">
      <alignment horizontal="centerContinuous" vertical="center" wrapText="1"/>
    </xf>
    <xf numFmtId="0" fontId="41" fillId="80" borderId="169" xfId="70" applyFill="1" applyBorder="1" applyAlignment="1">
      <alignment horizontal="centerContinuous" vertical="center" wrapText="1"/>
    </xf>
    <xf numFmtId="0" fontId="142" fillId="66" borderId="163" xfId="70" applyFont="1" applyFill="1" applyBorder="1" applyAlignment="1">
      <alignment horizontal="centerContinuous" vertical="center"/>
    </xf>
    <xf numFmtId="0" fontId="142" fillId="66" borderId="165" xfId="70" applyFont="1" applyFill="1" applyBorder="1" applyAlignment="1">
      <alignment horizontal="centerContinuous" vertical="center"/>
    </xf>
    <xf numFmtId="0" fontId="142" fillId="66" borderId="162" xfId="70" applyFont="1" applyFill="1" applyBorder="1" applyAlignment="1">
      <alignment horizontal="centerContinuous" vertical="center"/>
    </xf>
    <xf numFmtId="3" fontId="142" fillId="66" borderId="165" xfId="70" applyNumberFormat="1" applyFont="1" applyFill="1" applyBorder="1" applyAlignment="1">
      <alignment horizontal="centerContinuous" vertical="center"/>
    </xf>
    <xf numFmtId="3" fontId="142" fillId="66" borderId="169" xfId="70" applyNumberFormat="1" applyFont="1" applyFill="1" applyBorder="1" applyAlignment="1">
      <alignment horizontal="centerContinuous" vertical="center"/>
    </xf>
    <xf numFmtId="3" fontId="142" fillId="66" borderId="162" xfId="70" applyNumberFormat="1" applyFont="1" applyFill="1" applyBorder="1" applyAlignment="1">
      <alignment horizontal="centerContinuous" vertical="center"/>
    </xf>
    <xf numFmtId="2" fontId="142" fillId="66" borderId="165" xfId="70" applyNumberFormat="1" applyFont="1" applyFill="1" applyBorder="1" applyAlignment="1">
      <alignment horizontal="centerContinuous" vertical="center"/>
    </xf>
    <xf numFmtId="0" fontId="142" fillId="66" borderId="169" xfId="70" applyFont="1" applyFill="1" applyBorder="1" applyAlignment="1">
      <alignment horizontal="centerContinuous" vertical="center"/>
    </xf>
    <xf numFmtId="3" fontId="0" fillId="66" borderId="0" xfId="0" applyNumberFormat="1" applyFill="1"/>
    <xf numFmtId="4" fontId="0" fillId="66" borderId="0" xfId="0" applyNumberFormat="1" applyFill="1"/>
    <xf numFmtId="0" fontId="11" fillId="66" borderId="0" xfId="0" applyFont="1" applyFill="1"/>
    <xf numFmtId="0" fontId="68" fillId="10" borderId="235" xfId="0" applyFont="1" applyFill="1" applyBorder="1" applyAlignment="1">
      <alignment horizontal="centerContinuous" vertical="center"/>
    </xf>
    <xf numFmtId="0" fontId="68" fillId="10" borderId="243" xfId="0" applyFont="1" applyFill="1" applyBorder="1" applyAlignment="1">
      <alignment horizontal="centerContinuous" vertical="center"/>
    </xf>
    <xf numFmtId="0" fontId="152" fillId="10" borderId="236" xfId="0" applyFont="1" applyFill="1" applyBorder="1" applyAlignment="1">
      <alignment horizontal="centerContinuous" vertical="center"/>
    </xf>
    <xf numFmtId="0" fontId="68" fillId="10" borderId="198" xfId="0" applyFont="1" applyFill="1" applyBorder="1" applyAlignment="1">
      <alignment vertical="center"/>
    </xf>
    <xf numFmtId="0" fontId="68" fillId="10" borderId="235" xfId="0" applyFont="1" applyFill="1" applyBorder="1" applyAlignment="1">
      <alignment vertical="center"/>
    </xf>
    <xf numFmtId="0" fontId="68" fillId="10" borderId="243" xfId="0" applyFont="1" applyFill="1" applyBorder="1" applyAlignment="1">
      <alignment vertical="center"/>
    </xf>
    <xf numFmtId="0" fontId="0" fillId="10" borderId="236" xfId="0" applyFill="1" applyBorder="1" applyAlignment="1">
      <alignment vertical="center"/>
    </xf>
    <xf numFmtId="0" fontId="41" fillId="80" borderId="237" xfId="0" applyFont="1" applyFill="1" applyBorder="1" applyAlignment="1">
      <alignment horizontal="centerContinuous" vertical="center" wrapText="1"/>
    </xf>
    <xf numFmtId="0" fontId="41" fillId="80" borderId="246" xfId="0" applyFont="1" applyFill="1" applyBorder="1" applyAlignment="1">
      <alignment horizontal="centerContinuous" vertical="center" wrapText="1"/>
    </xf>
    <xf numFmtId="0" fontId="144" fillId="10" borderId="114" xfId="0" applyFont="1" applyFill="1" applyBorder="1" applyAlignment="1">
      <alignment wrapText="1"/>
    </xf>
    <xf numFmtId="0" fontId="144" fillId="10" borderId="163" xfId="0" applyFont="1" applyFill="1" applyBorder="1" applyAlignment="1">
      <alignment horizontal="center" wrapText="1"/>
    </xf>
    <xf numFmtId="0" fontId="144" fillId="10" borderId="163" xfId="0" applyFont="1" applyFill="1" applyBorder="1" applyAlignment="1">
      <alignment wrapText="1"/>
    </xf>
    <xf numFmtId="0" fontId="42" fillId="10" borderId="114" xfId="0" applyFont="1" applyFill="1" applyBorder="1" applyAlignment="1">
      <alignment horizontal="center" vertical="center" wrapText="1"/>
    </xf>
    <xf numFmtId="0" fontId="144" fillId="10" borderId="114" xfId="0" applyFont="1" applyFill="1" applyBorder="1" applyAlignment="1">
      <alignment horizontal="center" wrapText="1"/>
    </xf>
    <xf numFmtId="3" fontId="41" fillId="16" borderId="235" xfId="70" applyNumberFormat="1" applyFill="1" applyBorder="1" applyAlignment="1" applyProtection="1">
      <alignment horizontal="left" vertical="center"/>
      <protection locked="0"/>
    </xf>
    <xf numFmtId="0" fontId="68" fillId="16" borderId="243" xfId="0" applyFont="1" applyFill="1" applyBorder="1" applyAlignment="1" applyProtection="1">
      <alignment vertical="center"/>
      <protection locked="0"/>
    </xf>
    <xf numFmtId="0" fontId="68" fillId="16" borderId="243" xfId="0" applyFont="1" applyFill="1" applyBorder="1" applyAlignment="1" applyProtection="1">
      <alignment vertical="center" wrapText="1"/>
      <protection locked="0"/>
    </xf>
    <xf numFmtId="0" fontId="68" fillId="66" borderId="243" xfId="0" applyFont="1" applyFill="1" applyBorder="1" applyAlignment="1">
      <alignment vertical="center"/>
    </xf>
    <xf numFmtId="0" fontId="68" fillId="10" borderId="247" xfId="0" applyFont="1" applyFill="1" applyBorder="1"/>
    <xf numFmtId="0" fontId="68" fillId="66" borderId="243" xfId="0" applyFont="1" applyFill="1" applyBorder="1" applyAlignment="1">
      <alignment vertical="center" wrapText="1"/>
    </xf>
    <xf numFmtId="0" fontId="68" fillId="66" borderId="243" xfId="0" applyFont="1" applyFill="1" applyBorder="1" applyAlignment="1">
      <alignment horizontal="center" vertical="center"/>
    </xf>
    <xf numFmtId="0" fontId="68" fillId="10" borderId="247" xfId="0" applyFont="1" applyFill="1" applyBorder="1" applyAlignment="1">
      <alignment horizontal="centerContinuous" vertical="center"/>
    </xf>
    <xf numFmtId="0" fontId="68" fillId="66" borderId="243" xfId="0" applyFont="1" applyFill="1" applyBorder="1" applyAlignment="1">
      <alignment horizontal="center" vertical="center" wrapText="1"/>
    </xf>
    <xf numFmtId="0" fontId="68" fillId="66" borderId="243" xfId="0" applyFont="1" applyFill="1" applyBorder="1" applyAlignment="1">
      <alignment horizontal="centerContinuous" vertical="center" wrapText="1"/>
    </xf>
    <xf numFmtId="2" fontId="68" fillId="66" borderId="243" xfId="0" applyNumberFormat="1" applyFont="1" applyFill="1" applyBorder="1" applyAlignment="1">
      <alignment horizontal="center" vertical="center" wrapText="1"/>
    </xf>
    <xf numFmtId="2" fontId="68" fillId="10" borderId="247" xfId="0" applyNumberFormat="1" applyFont="1" applyFill="1" applyBorder="1" applyAlignment="1">
      <alignment horizontal="centerContinuous" vertical="center" wrapText="1"/>
    </xf>
    <xf numFmtId="2" fontId="68" fillId="66" borderId="243" xfId="0" applyNumberFormat="1" applyFont="1" applyFill="1" applyBorder="1" applyAlignment="1">
      <alignment horizontal="left" vertical="center" wrapText="1"/>
    </xf>
    <xf numFmtId="0" fontId="0" fillId="66" borderId="236" xfId="0" applyFill="1" applyBorder="1" applyAlignment="1">
      <alignment horizontal="left"/>
    </xf>
    <xf numFmtId="3" fontId="142" fillId="16" borderId="244" xfId="70" applyNumberFormat="1" applyFont="1" applyFill="1" applyBorder="1" applyAlignment="1" applyProtection="1">
      <alignment horizontal="left" vertical="center"/>
      <protection locked="0"/>
    </xf>
    <xf numFmtId="0" fontId="141" fillId="16" borderId="80" xfId="0" applyFont="1" applyFill="1" applyBorder="1" applyAlignment="1" applyProtection="1">
      <alignment horizontal="left" vertical="center"/>
      <protection locked="0"/>
    </xf>
    <xf numFmtId="0" fontId="141" fillId="16" borderId="80" xfId="0" applyFont="1" applyFill="1" applyBorder="1" applyAlignment="1" applyProtection="1">
      <alignment vertical="center" wrapText="1"/>
      <protection locked="0"/>
    </xf>
    <xf numFmtId="0" fontId="141" fillId="66" borderId="80" xfId="0" applyFont="1" applyFill="1" applyBorder="1" applyAlignment="1">
      <alignment vertical="center"/>
    </xf>
    <xf numFmtId="0" fontId="141" fillId="10" borderId="87" xfId="0" applyFont="1" applyFill="1" applyBorder="1"/>
    <xf numFmtId="3" fontId="141" fillId="66" borderId="80" xfId="0" applyNumberFormat="1" applyFont="1" applyFill="1" applyBorder="1" applyAlignment="1">
      <alignment vertical="center" wrapText="1"/>
    </xf>
    <xf numFmtId="0" fontId="141" fillId="66" borderId="80" xfId="0" applyFont="1" applyFill="1" applyBorder="1" applyAlignment="1">
      <alignment horizontal="center" vertical="center"/>
    </xf>
    <xf numFmtId="0" fontId="141" fillId="10" borderId="87" xfId="0" applyFont="1" applyFill="1" applyBorder="1" applyAlignment="1">
      <alignment horizontal="centerContinuous" vertical="center"/>
    </xf>
    <xf numFmtId="3" fontId="141" fillId="66" borderId="80" xfId="0" applyNumberFormat="1" applyFont="1" applyFill="1" applyBorder="1" applyAlignment="1">
      <alignment horizontal="center" vertical="center" wrapText="1"/>
    </xf>
    <xf numFmtId="3" fontId="141" fillId="66" borderId="80" xfId="0" applyNumberFormat="1" applyFont="1" applyFill="1" applyBorder="1" applyAlignment="1">
      <alignment horizontal="centerContinuous" vertical="center" wrapText="1"/>
    </xf>
    <xf numFmtId="2" fontId="141" fillId="66" borderId="80" xfId="0" applyNumberFormat="1" applyFont="1" applyFill="1" applyBorder="1" applyAlignment="1">
      <alignment horizontal="center" vertical="center" wrapText="1"/>
    </xf>
    <xf numFmtId="2" fontId="141" fillId="10" borderId="87" xfId="0" applyNumberFormat="1" applyFont="1" applyFill="1" applyBorder="1" applyAlignment="1">
      <alignment horizontal="centerContinuous" vertical="center" wrapText="1"/>
    </xf>
    <xf numFmtId="4" fontId="141" fillId="66" borderId="80" xfId="0" applyNumberFormat="1" applyFont="1" applyFill="1" applyBorder="1" applyAlignment="1">
      <alignment horizontal="left" vertical="center" wrapText="1"/>
    </xf>
    <xf numFmtId="171" fontId="141" fillId="66" borderId="80" xfId="0" applyNumberFormat="1" applyFont="1" applyFill="1" applyBorder="1" applyAlignment="1">
      <alignment horizontal="left" vertical="center" wrapText="1"/>
    </xf>
    <xf numFmtId="171" fontId="141" fillId="66" borderId="245" xfId="0" applyNumberFormat="1" applyFont="1" applyFill="1" applyBorder="1" applyAlignment="1">
      <alignment horizontal="left"/>
    </xf>
    <xf numFmtId="0" fontId="141" fillId="16" borderId="80" xfId="0" applyFont="1" applyFill="1" applyBorder="1" applyAlignment="1" applyProtection="1">
      <alignment vertical="center"/>
      <protection locked="0"/>
    </xf>
    <xf numFmtId="3" fontId="142" fillId="16" borderId="237" xfId="70" applyNumberFormat="1" applyFont="1" applyFill="1" applyBorder="1" applyAlignment="1" applyProtection="1">
      <alignment horizontal="left" vertical="center"/>
      <protection locked="0"/>
    </xf>
    <xf numFmtId="0" fontId="141" fillId="16" borderId="246" xfId="0" applyFont="1" applyFill="1" applyBorder="1" applyAlignment="1" applyProtection="1">
      <alignment vertical="center"/>
      <protection locked="0"/>
    </xf>
    <xf numFmtId="0" fontId="141" fillId="16" borderId="246" xfId="0" applyFont="1" applyFill="1" applyBorder="1" applyAlignment="1" applyProtection="1">
      <alignment vertical="center" wrapText="1"/>
      <protection locked="0"/>
    </xf>
    <xf numFmtId="0" fontId="141" fillId="66" borderId="246" xfId="0" applyFont="1" applyFill="1" applyBorder="1" applyAlignment="1">
      <alignment vertical="center"/>
    </xf>
    <xf numFmtId="0" fontId="141" fillId="10" borderId="248" xfId="0" applyFont="1" applyFill="1" applyBorder="1"/>
    <xf numFmtId="3" fontId="141" fillId="66" borderId="246" xfId="0" applyNumberFormat="1" applyFont="1" applyFill="1" applyBorder="1" applyAlignment="1">
      <alignment vertical="center" wrapText="1"/>
    </xf>
    <xf numFmtId="0" fontId="141" fillId="66" borderId="246" xfId="0" applyFont="1" applyFill="1" applyBorder="1" applyAlignment="1">
      <alignment horizontal="center" vertical="center"/>
    </xf>
    <xf numFmtId="0" fontId="141" fillId="10" borderId="248" xfId="0" applyFont="1" applyFill="1" applyBorder="1" applyAlignment="1">
      <alignment horizontal="centerContinuous" vertical="center"/>
    </xf>
    <xf numFmtId="3" fontId="141" fillId="66" borderId="246" xfId="0" applyNumberFormat="1" applyFont="1" applyFill="1" applyBorder="1" applyAlignment="1">
      <alignment horizontal="center" vertical="center" wrapText="1"/>
    </xf>
    <xf numFmtId="3" fontId="141" fillId="66" borderId="246" xfId="0" applyNumberFormat="1" applyFont="1" applyFill="1" applyBorder="1" applyAlignment="1">
      <alignment horizontal="centerContinuous" vertical="center" wrapText="1"/>
    </xf>
    <xf numFmtId="2" fontId="141" fillId="66" borderId="246" xfId="0" applyNumberFormat="1" applyFont="1" applyFill="1" applyBorder="1" applyAlignment="1">
      <alignment horizontal="center" vertical="center" wrapText="1"/>
    </xf>
    <xf numFmtId="2" fontId="141" fillId="10" borderId="248" xfId="0" applyNumberFormat="1" applyFont="1" applyFill="1" applyBorder="1" applyAlignment="1">
      <alignment horizontal="centerContinuous" vertical="center" wrapText="1"/>
    </xf>
    <xf numFmtId="4" fontId="141" fillId="66" borderId="246" xfId="0" applyNumberFormat="1" applyFont="1" applyFill="1" applyBorder="1" applyAlignment="1">
      <alignment horizontal="left" vertical="center" wrapText="1"/>
    </xf>
    <xf numFmtId="171" fontId="141" fillId="66" borderId="246" xfId="0" applyNumberFormat="1" applyFont="1" applyFill="1" applyBorder="1" applyAlignment="1">
      <alignment horizontal="left" vertical="center" wrapText="1"/>
    </xf>
    <xf numFmtId="171" fontId="141" fillId="66" borderId="238" xfId="0" applyNumberFormat="1" applyFont="1" applyFill="1" applyBorder="1" applyAlignment="1">
      <alignment horizontal="left"/>
    </xf>
    <xf numFmtId="2" fontId="141" fillId="66" borderId="0" xfId="0" applyNumberFormat="1" applyFont="1" applyFill="1" applyAlignment="1">
      <alignment horizontal="left" vertical="center" wrapText="1"/>
    </xf>
    <xf numFmtId="0" fontId="0" fillId="66" borderId="0" xfId="0" applyFill="1" applyAlignment="1">
      <alignment horizontal="left" vertical="top" wrapText="1"/>
    </xf>
    <xf numFmtId="0" fontId="0" fillId="80" borderId="235" xfId="0" applyFill="1" applyBorder="1" applyAlignment="1">
      <alignment horizontal="centerContinuous" vertical="top" wrapText="1"/>
    </xf>
    <xf numFmtId="0" fontId="0" fillId="80" borderId="243" xfId="0" applyFill="1" applyBorder="1" applyAlignment="1">
      <alignment horizontal="centerContinuous" vertical="top" wrapText="1"/>
    </xf>
    <xf numFmtId="0" fontId="0" fillId="80" borderId="236" xfId="0" applyFill="1" applyBorder="1" applyAlignment="1">
      <alignment horizontal="centerContinuous" vertical="top" wrapText="1"/>
    </xf>
    <xf numFmtId="0" fontId="0" fillId="80" borderId="244" xfId="0" applyFill="1" applyBorder="1" applyAlignment="1">
      <alignment horizontal="centerContinuous"/>
    </xf>
    <xf numFmtId="0" fontId="0" fillId="80" borderId="80" xfId="0" applyFill="1" applyBorder="1" applyAlignment="1">
      <alignment horizontal="centerContinuous"/>
    </xf>
    <xf numFmtId="0" fontId="0" fillId="80" borderId="245" xfId="0" applyFill="1" applyBorder="1" applyAlignment="1">
      <alignment horizontal="centerContinuous"/>
    </xf>
    <xf numFmtId="0" fontId="41" fillId="80" borderId="237" xfId="0" applyFont="1" applyFill="1" applyBorder="1" applyAlignment="1">
      <alignment horizontal="center" vertical="center" wrapText="1"/>
    </xf>
    <xf numFmtId="0" fontId="68" fillId="80" borderId="246" xfId="0" applyFont="1" applyFill="1" applyBorder="1" applyAlignment="1">
      <alignment horizontal="center" vertical="center" wrapText="1"/>
    </xf>
    <xf numFmtId="0" fontId="41" fillId="80" borderId="246" xfId="0" applyFont="1" applyFill="1" applyBorder="1" applyAlignment="1">
      <alignment horizontal="center" vertical="center" wrapText="1"/>
    </xf>
    <xf numFmtId="0" fontId="68" fillId="80" borderId="238" xfId="0" applyFont="1" applyFill="1" applyBorder="1" applyAlignment="1">
      <alignment horizontal="center" vertical="center" wrapText="1"/>
    </xf>
    <xf numFmtId="0" fontId="0" fillId="80" borderId="237" xfId="0" applyFill="1" applyBorder="1" applyAlignment="1">
      <alignment horizontal="center" vertical="center" wrapText="1"/>
    </xf>
    <xf numFmtId="0" fontId="0" fillId="80" borderId="238" xfId="0" applyFill="1" applyBorder="1" applyAlignment="1">
      <alignment horizontal="left" vertical="center" wrapText="1"/>
    </xf>
    <xf numFmtId="0" fontId="42" fillId="80" borderId="163" xfId="70" applyFont="1" applyFill="1" applyBorder="1" applyAlignment="1">
      <alignment horizontal="center" vertical="center" wrapText="1"/>
    </xf>
    <xf numFmtId="0" fontId="42" fillId="80" borderId="163" xfId="0" applyFont="1" applyFill="1" applyBorder="1" applyAlignment="1">
      <alignment horizontal="left" vertical="center" wrapText="1"/>
    </xf>
    <xf numFmtId="0" fontId="42" fillId="10" borderId="163" xfId="0" applyFont="1" applyFill="1" applyBorder="1" applyAlignment="1">
      <alignment horizontal="left" vertical="center" wrapText="1"/>
    </xf>
    <xf numFmtId="0" fontId="4" fillId="80" borderId="163" xfId="0" applyFont="1" applyFill="1" applyBorder="1" applyAlignment="1">
      <alignment horizontal="left" vertical="center" wrapText="1"/>
    </xf>
    <xf numFmtId="3" fontId="142" fillId="66" borderId="163" xfId="70" applyNumberFormat="1" applyFont="1" applyFill="1" applyBorder="1" applyAlignment="1">
      <alignment vertical="center"/>
    </xf>
    <xf numFmtId="3" fontId="141" fillId="66" borderId="163" xfId="0" applyNumberFormat="1" applyFont="1" applyFill="1" applyBorder="1" applyAlignment="1">
      <alignment horizontal="center" vertical="center" wrapText="1"/>
    </xf>
    <xf numFmtId="0" fontId="14" fillId="0" borderId="163" xfId="0" applyFont="1" applyBorder="1"/>
    <xf numFmtId="0" fontId="142" fillId="10" borderId="163" xfId="0" applyFont="1" applyFill="1" applyBorder="1" applyAlignment="1">
      <alignment horizontal="left" vertical="center" wrapText="1"/>
    </xf>
    <xf numFmtId="2" fontId="142" fillId="66" borderId="163" xfId="0" applyNumberFormat="1" applyFont="1" applyFill="1" applyBorder="1" applyAlignment="1">
      <alignment horizontal="center" vertical="center" wrapText="1"/>
    </xf>
    <xf numFmtId="2" fontId="141" fillId="66" borderId="163" xfId="0" applyNumberFormat="1" applyFont="1" applyFill="1" applyBorder="1" applyAlignment="1">
      <alignment horizontal="center" vertical="center" wrapText="1"/>
    </xf>
    <xf numFmtId="2" fontId="14" fillId="66" borderId="163" xfId="0" applyNumberFormat="1" applyFont="1" applyFill="1" applyBorder="1" applyAlignment="1">
      <alignment horizontal="center"/>
    </xf>
    <xf numFmtId="3" fontId="141" fillId="66" borderId="163" xfId="0" applyNumberFormat="1" applyFont="1" applyFill="1" applyBorder="1" applyAlignment="1">
      <alignment horizontal="left" vertical="center" wrapText="1"/>
    </xf>
    <xf numFmtId="4" fontId="141" fillId="66" borderId="163" xfId="0" applyNumberFormat="1" applyFont="1" applyFill="1" applyBorder="1" applyAlignment="1">
      <alignment horizontal="center" vertical="center" wrapText="1"/>
    </xf>
    <xf numFmtId="4" fontId="14" fillId="66" borderId="163" xfId="0" applyNumberFormat="1" applyFont="1" applyFill="1" applyBorder="1" applyAlignment="1">
      <alignment horizontal="center"/>
    </xf>
    <xf numFmtId="4" fontId="142" fillId="66" borderId="163" xfId="0" applyNumberFormat="1" applyFont="1" applyFill="1" applyBorder="1" applyAlignment="1">
      <alignment horizontal="center" vertical="center" wrapText="1"/>
    </xf>
    <xf numFmtId="0" fontId="142" fillId="66" borderId="163" xfId="0" applyFont="1" applyFill="1" applyBorder="1" applyAlignment="1">
      <alignment horizontal="left" vertical="center" wrapText="1"/>
    </xf>
    <xf numFmtId="176" fontId="141" fillId="66" borderId="0" xfId="0" applyNumberFormat="1" applyFont="1" applyFill="1" applyAlignment="1">
      <alignment horizontal="left" vertical="center" wrapText="1"/>
    </xf>
    <xf numFmtId="0" fontId="68" fillId="66" borderId="0" xfId="0" applyFont="1" applyFill="1"/>
    <xf numFmtId="3" fontId="142" fillId="16" borderId="235" xfId="70" applyNumberFormat="1" applyFont="1" applyFill="1" applyBorder="1" applyAlignment="1" applyProtection="1">
      <alignment horizontal="left" vertical="center"/>
      <protection locked="0"/>
    </xf>
    <xf numFmtId="0" fontId="141" fillId="16" borderId="243" xfId="0" applyFont="1" applyFill="1" applyBorder="1" applyAlignment="1" applyProtection="1">
      <alignment horizontal="center" vertical="center"/>
      <protection locked="0"/>
    </xf>
    <xf numFmtId="0" fontId="141" fillId="16" borderId="243" xfId="0" applyFont="1" applyFill="1" applyBorder="1" applyAlignment="1" applyProtection="1">
      <alignment horizontal="center" vertical="center" wrapText="1"/>
      <protection locked="0"/>
    </xf>
    <xf numFmtId="0" fontId="141" fillId="16" borderId="243" xfId="0" applyFont="1" applyFill="1" applyBorder="1" applyAlignment="1" applyProtection="1">
      <alignment vertical="center" wrapText="1"/>
      <protection locked="0"/>
    </xf>
    <xf numFmtId="0" fontId="141" fillId="66" borderId="243" xfId="0" applyFont="1" applyFill="1" applyBorder="1" applyAlignment="1">
      <alignment horizontal="center" vertical="center" wrapText="1"/>
    </xf>
    <xf numFmtId="0" fontId="0" fillId="80" borderId="247" xfId="0" applyFill="1" applyBorder="1"/>
    <xf numFmtId="3" fontId="141" fillId="66" borderId="243" xfId="0" applyNumberFormat="1" applyFont="1" applyFill="1" applyBorder="1" applyAlignment="1">
      <alignment horizontal="center" vertical="center" wrapText="1"/>
    </xf>
    <xf numFmtId="0" fontId="141" fillId="66" borderId="243" xfId="0" applyFont="1" applyFill="1" applyBorder="1" applyAlignment="1">
      <alignment horizontal="center" vertical="center"/>
    </xf>
    <xf numFmtId="3" fontId="141" fillId="66" borderId="243" xfId="0" applyNumberFormat="1" applyFont="1" applyFill="1" applyBorder="1" applyAlignment="1">
      <alignment horizontal="center" vertical="center"/>
    </xf>
    <xf numFmtId="3" fontId="141" fillId="66" borderId="236" xfId="0" applyNumberFormat="1" applyFont="1" applyFill="1" applyBorder="1" applyAlignment="1">
      <alignment horizontal="center" vertical="center"/>
    </xf>
    <xf numFmtId="0" fontId="141" fillId="16" borderId="80" xfId="0" applyFont="1" applyFill="1" applyBorder="1" applyAlignment="1" applyProtection="1">
      <alignment horizontal="center" vertical="center"/>
      <protection locked="0"/>
    </xf>
    <xf numFmtId="0" fontId="141" fillId="16" borderId="80" xfId="0" applyFont="1" applyFill="1" applyBorder="1" applyAlignment="1" applyProtection="1">
      <alignment horizontal="center" vertical="center" wrapText="1"/>
      <protection locked="0"/>
    </xf>
    <xf numFmtId="0" fontId="141" fillId="66" borderId="80" xfId="0" applyFont="1" applyFill="1" applyBorder="1" applyAlignment="1">
      <alignment horizontal="center" vertical="center" wrapText="1"/>
    </xf>
    <xf numFmtId="0" fontId="14" fillId="80" borderId="87" xfId="0" applyFont="1" applyFill="1" applyBorder="1"/>
    <xf numFmtId="3" fontId="141" fillId="66" borderId="80" xfId="0" applyNumberFormat="1" applyFont="1" applyFill="1" applyBorder="1" applyAlignment="1">
      <alignment horizontal="center" vertical="center"/>
    </xf>
    <xf numFmtId="3" fontId="141" fillId="66" borderId="245" xfId="0" applyNumberFormat="1" applyFont="1" applyFill="1" applyBorder="1" applyAlignment="1">
      <alignment horizontal="center" vertical="center"/>
    </xf>
    <xf numFmtId="0" fontId="13" fillId="66" borderId="0" xfId="0" applyFont="1" applyFill="1"/>
    <xf numFmtId="0" fontId="141" fillId="16" borderId="246" xfId="0" applyFont="1" applyFill="1" applyBorder="1" applyAlignment="1" applyProtection="1">
      <alignment horizontal="center" vertical="center"/>
      <protection locked="0"/>
    </xf>
    <xf numFmtId="0" fontId="141" fillId="16" borderId="246" xfId="0" applyFont="1" applyFill="1" applyBorder="1" applyAlignment="1" applyProtection="1">
      <alignment horizontal="center" vertical="center" wrapText="1"/>
      <protection locked="0"/>
    </xf>
    <xf numFmtId="0" fontId="141" fillId="66" borderId="246" xfId="0" applyFont="1" applyFill="1" applyBorder="1" applyAlignment="1">
      <alignment horizontal="center" vertical="center" wrapText="1"/>
    </xf>
    <xf numFmtId="0" fontId="14" fillId="80" borderId="248" xfId="0" applyFont="1" applyFill="1" applyBorder="1"/>
    <xf numFmtId="3" fontId="141" fillId="66" borderId="246" xfId="0" applyNumberFormat="1" applyFont="1" applyFill="1" applyBorder="1" applyAlignment="1">
      <alignment horizontal="center" vertical="center"/>
    </xf>
    <xf numFmtId="3" fontId="141" fillId="66" borderId="238" xfId="0" applyNumberFormat="1" applyFont="1" applyFill="1" applyBorder="1" applyAlignment="1">
      <alignment horizontal="center" vertical="center"/>
    </xf>
    <xf numFmtId="0" fontId="68" fillId="80" borderId="237" xfId="0" applyFont="1" applyFill="1" applyBorder="1" applyAlignment="1">
      <alignment horizontal="center" vertical="center" wrapText="1"/>
    </xf>
    <xf numFmtId="0" fontId="41" fillId="80" borderId="238" xfId="0" applyFont="1" applyFill="1" applyBorder="1" applyAlignment="1">
      <alignment horizontal="center" vertical="center" wrapText="1"/>
    </xf>
    <xf numFmtId="0" fontId="144" fillId="10" borderId="114" xfId="0" applyFont="1" applyFill="1" applyBorder="1"/>
    <xf numFmtId="0" fontId="144" fillId="10" borderId="163" xfId="0" applyFont="1" applyFill="1" applyBorder="1"/>
    <xf numFmtId="0" fontId="144" fillId="10" borderId="114" xfId="0" applyFont="1" applyFill="1" applyBorder="1" applyAlignment="1">
      <alignment vertical="center"/>
    </xf>
    <xf numFmtId="0" fontId="141" fillId="0" borderId="114" xfId="0" applyFont="1" applyBorder="1"/>
    <xf numFmtId="3" fontId="141" fillId="16" borderId="163" xfId="0" applyNumberFormat="1" applyFont="1" applyFill="1" applyBorder="1" applyAlignment="1" applyProtection="1">
      <alignment horizontal="center" vertical="center" wrapText="1"/>
      <protection locked="0"/>
    </xf>
    <xf numFmtId="3" fontId="14" fillId="16" borderId="163" xfId="0" applyNumberFormat="1" applyFont="1" applyFill="1" applyBorder="1" applyProtection="1">
      <protection locked="0"/>
    </xf>
    <xf numFmtId="0" fontId="14" fillId="80" borderId="163" xfId="0" applyFont="1" applyFill="1" applyBorder="1"/>
    <xf numFmtId="3" fontId="14" fillId="66" borderId="163" xfId="0" applyNumberFormat="1" applyFont="1" applyFill="1" applyBorder="1" applyAlignment="1">
      <alignment horizontal="center"/>
    </xf>
    <xf numFmtId="0" fontId="141" fillId="66" borderId="239" xfId="0" applyFont="1" applyFill="1" applyBorder="1" applyAlignment="1">
      <alignment horizontal="left" vertical="center" wrapText="1" indent="1"/>
    </xf>
    <xf numFmtId="0" fontId="141" fillId="66" borderId="169" xfId="0" applyFont="1" applyFill="1" applyBorder="1" applyAlignment="1">
      <alignment horizontal="left" vertical="top"/>
    </xf>
    <xf numFmtId="0" fontId="141" fillId="66" borderId="169" xfId="0" applyFont="1" applyFill="1" applyBorder="1" applyAlignment="1">
      <alignment horizontal="left" vertical="center"/>
    </xf>
    <xf numFmtId="0" fontId="153" fillId="66" borderId="239" xfId="0" applyFont="1" applyFill="1" applyBorder="1" applyAlignment="1">
      <alignment horizontal="left" vertical="center" indent="1"/>
    </xf>
    <xf numFmtId="0" fontId="144" fillId="80" borderId="163" xfId="0" applyFont="1" applyFill="1" applyBorder="1"/>
    <xf numFmtId="0" fontId="144" fillId="80" borderId="163" xfId="0" applyFont="1" applyFill="1" applyBorder="1" applyAlignment="1">
      <alignment wrapText="1"/>
    </xf>
    <xf numFmtId="0" fontId="42" fillId="80" borderId="163" xfId="0" applyFont="1" applyFill="1" applyBorder="1" applyAlignment="1">
      <alignment horizontal="center" vertical="center" wrapText="1"/>
    </xf>
    <xf numFmtId="0" fontId="144" fillId="80" borderId="163" xfId="0" applyFont="1" applyFill="1" applyBorder="1" applyAlignment="1">
      <alignment horizontal="center" vertical="center" wrapText="1"/>
    </xf>
    <xf numFmtId="3" fontId="142" fillId="66" borderId="163" xfId="70" applyNumberFormat="1" applyFont="1" applyFill="1" applyBorder="1" applyAlignment="1">
      <alignment horizontal="left" vertical="center"/>
    </xf>
    <xf numFmtId="0" fontId="142" fillId="16" borderId="163" xfId="0" applyFont="1" applyFill="1" applyBorder="1" applyAlignment="1" applyProtection="1">
      <alignment horizontal="center" vertical="center" wrapText="1"/>
      <protection locked="0"/>
    </xf>
    <xf numFmtId="2" fontId="141" fillId="16" borderId="163" xfId="0" applyNumberFormat="1" applyFont="1" applyFill="1" applyBorder="1" applyProtection="1">
      <protection locked="0"/>
    </xf>
    <xf numFmtId="164" fontId="142" fillId="16" borderId="163" xfId="0" applyNumberFormat="1" applyFont="1" applyFill="1" applyBorder="1" applyAlignment="1" applyProtection="1">
      <alignment horizontal="center" vertical="center" wrapText="1"/>
      <protection locked="0"/>
    </xf>
    <xf numFmtId="164" fontId="141" fillId="16" borderId="163" xfId="0" applyNumberFormat="1" applyFont="1" applyFill="1" applyBorder="1" applyAlignment="1" applyProtection="1">
      <alignment horizontal="center"/>
      <protection locked="0"/>
    </xf>
    <xf numFmtId="164" fontId="141" fillId="66" borderId="163" xfId="0" applyNumberFormat="1" applyFont="1" applyFill="1" applyBorder="1" applyAlignment="1">
      <alignment horizontal="center"/>
    </xf>
    <xf numFmtId="3" fontId="141" fillId="66" borderId="163" xfId="0" applyNumberFormat="1" applyFont="1" applyFill="1" applyBorder="1" applyAlignment="1">
      <alignment horizontal="center"/>
    </xf>
    <xf numFmtId="3" fontId="142" fillId="66" borderId="163" xfId="0" applyNumberFormat="1" applyFont="1" applyFill="1" applyBorder="1" applyAlignment="1">
      <alignment horizontal="center" vertical="center" wrapText="1"/>
    </xf>
    <xf numFmtId="3" fontId="141" fillId="66" borderId="163" xfId="0" applyNumberFormat="1" applyFont="1" applyFill="1" applyBorder="1"/>
    <xf numFmtId="176" fontId="141" fillId="66" borderId="163" xfId="0" applyNumberFormat="1" applyFont="1" applyFill="1" applyBorder="1" applyAlignment="1">
      <alignment horizontal="center"/>
    </xf>
    <xf numFmtId="0" fontId="154" fillId="66" borderId="0" xfId="0" applyFont="1" applyFill="1"/>
    <xf numFmtId="3" fontId="12" fillId="19" borderId="46" xfId="25" applyNumberFormat="1" applyAlignment="1" applyProtection="1">
      <alignment horizontal="right" vertical="center"/>
      <protection locked="0"/>
    </xf>
    <xf numFmtId="43" fontId="132" fillId="0" borderId="0" xfId="0" applyNumberFormat="1" applyFont="1"/>
    <xf numFmtId="166" fontId="36" fillId="37" borderId="46" xfId="27" applyNumberFormat="1"/>
    <xf numFmtId="0" fontId="23" fillId="13" borderId="24" xfId="0" applyFont="1" applyFill="1" applyBorder="1" applyAlignment="1">
      <alignment wrapText="1"/>
    </xf>
    <xf numFmtId="0" fontId="23" fillId="13" borderId="25" xfId="0" applyFont="1" applyFill="1" applyBorder="1" applyAlignment="1">
      <alignment wrapText="1"/>
    </xf>
    <xf numFmtId="170" fontId="16" fillId="4" borderId="0" xfId="0" applyNumberFormat="1" applyFont="1" applyFill="1" applyAlignment="1">
      <alignment horizontal="center"/>
    </xf>
    <xf numFmtId="43" fontId="10" fillId="4" borderId="0" xfId="0" applyNumberFormat="1" applyFont="1" applyFill="1"/>
    <xf numFmtId="1" fontId="16" fillId="32" borderId="32" xfId="0" applyNumberFormat="1" applyFont="1" applyFill="1" applyBorder="1" applyAlignment="1">
      <alignment horizontal="center"/>
    </xf>
    <xf numFmtId="43" fontId="10" fillId="32" borderId="0" xfId="0" applyNumberFormat="1" applyFont="1" applyFill="1"/>
    <xf numFmtId="0" fontId="10" fillId="32" borderId="0" xfId="0" applyFont="1" applyFill="1"/>
    <xf numFmtId="167" fontId="10" fillId="32" borderId="31" xfId="0" applyNumberFormat="1" applyFont="1" applyFill="1" applyBorder="1"/>
    <xf numFmtId="166" fontId="10" fillId="32" borderId="0" xfId="0" applyNumberFormat="1" applyFont="1" applyFill="1"/>
    <xf numFmtId="43" fontId="12" fillId="19" borderId="46" xfId="68" applyFont="1" applyFill="1" applyBorder="1"/>
    <xf numFmtId="43" fontId="12" fillId="19" borderId="70" xfId="68" applyFont="1" applyFill="1" applyBorder="1"/>
    <xf numFmtId="43" fontId="10" fillId="32" borderId="0" xfId="68" applyFont="1" applyFill="1" applyBorder="1"/>
    <xf numFmtId="1" fontId="16" fillId="0" borderId="73" xfId="0" applyNumberFormat="1" applyFont="1" applyBorder="1"/>
    <xf numFmtId="164" fontId="10" fillId="0" borderId="25" xfId="0" applyNumberFormat="1" applyFont="1" applyBorder="1"/>
    <xf numFmtId="0" fontId="10" fillId="0" borderId="27" xfId="0" applyFont="1" applyBorder="1"/>
    <xf numFmtId="1" fontId="16" fillId="0" borderId="31" xfId="0" applyNumberFormat="1" applyFont="1" applyBorder="1"/>
    <xf numFmtId="1" fontId="10" fillId="0" borderId="31" xfId="0" applyNumberFormat="1" applyFont="1" applyBorder="1"/>
    <xf numFmtId="164" fontId="36" fillId="37" borderId="46" xfId="27" applyNumberFormat="1"/>
    <xf numFmtId="164" fontId="12" fillId="19" borderId="46" xfId="25" applyNumberFormat="1"/>
    <xf numFmtId="164" fontId="12" fillId="19" borderId="0" xfId="25" applyNumberFormat="1" applyBorder="1"/>
    <xf numFmtId="0" fontId="35" fillId="37" borderId="138" xfId="37" applyNumberFormat="1" applyBorder="1"/>
    <xf numFmtId="2" fontId="12" fillId="19" borderId="46" xfId="25" applyNumberFormat="1"/>
    <xf numFmtId="0" fontId="12" fillId="16" borderId="46" xfId="25" applyFill="1"/>
    <xf numFmtId="167" fontId="36" fillId="16" borderId="46" xfId="27" applyNumberFormat="1" applyFill="1"/>
    <xf numFmtId="164" fontId="36" fillId="16" borderId="46" xfId="27" applyNumberFormat="1" applyFill="1"/>
    <xf numFmtId="164" fontId="12" fillId="16" borderId="46" xfId="25" applyNumberFormat="1" applyFill="1"/>
    <xf numFmtId="164" fontId="12" fillId="16" borderId="0" xfId="25" applyNumberFormat="1" applyFill="1" applyBorder="1"/>
    <xf numFmtId="0" fontId="35" fillId="16" borderId="138" xfId="37" applyNumberFormat="1" applyFill="1" applyBorder="1"/>
    <xf numFmtId="164" fontId="11" fillId="19" borderId="46" xfId="25" applyNumberFormat="1" applyFont="1"/>
    <xf numFmtId="164" fontId="11" fillId="19" borderId="0" xfId="25" applyNumberFormat="1" applyFont="1" applyBorder="1"/>
    <xf numFmtId="164" fontId="30" fillId="37" borderId="138" xfId="37" applyNumberFormat="1" applyFont="1" applyBorder="1"/>
    <xf numFmtId="0" fontId="12" fillId="19" borderId="0" xfId="25" applyBorder="1"/>
    <xf numFmtId="0" fontId="16" fillId="0" borderId="102" xfId="0" applyFont="1" applyBorder="1"/>
    <xf numFmtId="1" fontId="10" fillId="0" borderId="23" xfId="0" applyNumberFormat="1" applyFont="1" applyBorder="1"/>
    <xf numFmtId="0" fontId="12" fillId="19" borderId="54" xfId="25" applyBorder="1"/>
    <xf numFmtId="43" fontId="12" fillId="19" borderId="144" xfId="68" applyFont="1" applyFill="1" applyBorder="1"/>
    <xf numFmtId="167" fontId="12" fillId="19" borderId="46" xfId="25" quotePrefix="1" applyNumberFormat="1"/>
    <xf numFmtId="2" fontId="97" fillId="0" borderId="27" xfId="0" applyNumberFormat="1" applyFont="1" applyBorder="1"/>
    <xf numFmtId="2" fontId="97" fillId="0" borderId="26" xfId="0" applyNumberFormat="1" applyFont="1" applyBorder="1"/>
    <xf numFmtId="2" fontId="97" fillId="0" borderId="20" xfId="0" applyNumberFormat="1" applyFont="1" applyBorder="1"/>
    <xf numFmtId="2" fontId="98" fillId="8" borderId="102" xfId="0" applyNumberFormat="1" applyFont="1" applyFill="1" applyBorder="1"/>
    <xf numFmtId="2" fontId="97" fillId="0" borderId="102" xfId="0" applyNumberFormat="1" applyFont="1" applyBorder="1"/>
    <xf numFmtId="0" fontId="36" fillId="37" borderId="46" xfId="27" applyAlignment="1">
      <alignment horizontal="center" wrapText="1"/>
    </xf>
    <xf numFmtId="0" fontId="12" fillId="19" borderId="46" xfId="25" applyAlignment="1">
      <alignment horizontal="center"/>
    </xf>
    <xf numFmtId="0" fontId="10" fillId="0" borderId="249" xfId="0" applyFont="1" applyBorder="1"/>
    <xf numFmtId="0" fontId="10" fillId="0" borderId="155" xfId="0" applyFont="1" applyBorder="1"/>
    <xf numFmtId="165" fontId="16" fillId="0" borderId="36" xfId="44" applyNumberFormat="1" applyFont="1" applyFill="1" applyBorder="1"/>
    <xf numFmtId="165" fontId="10" fillId="0" borderId="0" xfId="44" applyNumberFormat="1" applyFont="1" applyFill="1" applyBorder="1" applyAlignment="1">
      <alignment horizontal="right"/>
    </xf>
    <xf numFmtId="165" fontId="6" fillId="41" borderId="0" xfId="44" applyNumberFormat="1" applyFont="1" applyBorder="1" applyAlignment="1">
      <alignment horizontal="right"/>
    </xf>
    <xf numFmtId="0" fontId="10" fillId="0" borderId="37" xfId="44" applyFont="1" applyFill="1" applyBorder="1"/>
    <xf numFmtId="0" fontId="10" fillId="0" borderId="36" xfId="44" applyFont="1" applyFill="1" applyBorder="1"/>
    <xf numFmtId="43" fontId="71" fillId="0" borderId="0" xfId="68" applyFont="1"/>
    <xf numFmtId="1" fontId="71" fillId="0" borderId="22" xfId="0" applyNumberFormat="1" applyFont="1" applyBorder="1" applyAlignment="1">
      <alignment horizontal="center" vertical="center" wrapText="1"/>
    </xf>
    <xf numFmtId="165" fontId="71" fillId="0" borderId="22" xfId="0" applyNumberFormat="1" applyFont="1" applyBorder="1" applyAlignment="1">
      <alignment horizontal="center" vertical="center" wrapText="1"/>
    </xf>
    <xf numFmtId="167" fontId="71" fillId="0" borderId="0" xfId="68" applyNumberFormat="1" applyFont="1"/>
    <xf numFmtId="9" fontId="53" fillId="0" borderId="120" xfId="26" applyFont="1" applyFill="1" applyBorder="1" applyAlignment="1">
      <alignment horizontal="center"/>
    </xf>
    <xf numFmtId="169" fontId="53" fillId="0" borderId="106" xfId="26" applyNumberFormat="1" applyFont="1" applyFill="1" applyBorder="1" applyAlignment="1">
      <alignment horizontal="center"/>
    </xf>
    <xf numFmtId="9" fontId="19" fillId="0" borderId="110" xfId="26" applyFont="1" applyFill="1" applyBorder="1" applyAlignment="1">
      <alignment horizontal="center"/>
    </xf>
    <xf numFmtId="9" fontId="53" fillId="0" borderId="210" xfId="26" applyFont="1" applyFill="1" applyBorder="1" applyAlignment="1">
      <alignment horizontal="center"/>
    </xf>
    <xf numFmtId="9" fontId="53" fillId="0" borderId="213" xfId="26" applyFont="1" applyFill="1" applyBorder="1" applyAlignment="1">
      <alignment horizontal="center"/>
    </xf>
    <xf numFmtId="169" fontId="53" fillId="0" borderId="120" xfId="26" applyNumberFormat="1" applyFont="1" applyFill="1" applyBorder="1" applyAlignment="1">
      <alignment horizontal="center"/>
    </xf>
    <xf numFmtId="169" fontId="19" fillId="0" borderId="110" xfId="26" applyNumberFormat="1" applyFont="1" applyFill="1" applyBorder="1" applyAlignment="1">
      <alignment horizontal="center"/>
    </xf>
    <xf numFmtId="166" fontId="53" fillId="0" borderId="120" xfId="68" applyNumberFormat="1" applyFont="1" applyFill="1" applyBorder="1"/>
    <xf numFmtId="166" fontId="19" fillId="4" borderId="120" xfId="68" applyNumberFormat="1" applyFont="1" applyFill="1" applyBorder="1"/>
    <xf numFmtId="166" fontId="19" fillId="3" borderId="120" xfId="68" applyNumberFormat="1" applyFont="1" applyFill="1" applyBorder="1"/>
    <xf numFmtId="166" fontId="65" fillId="16" borderId="120" xfId="68" applyNumberFormat="1" applyFont="1" applyFill="1" applyBorder="1"/>
    <xf numFmtId="166" fontId="53" fillId="0" borderId="106" xfId="68" applyNumberFormat="1" applyFont="1" applyFill="1" applyBorder="1"/>
    <xf numFmtId="166" fontId="31" fillId="4" borderId="106" xfId="68" applyNumberFormat="1" applyFont="1" applyFill="1" applyBorder="1"/>
    <xf numFmtId="166" fontId="31" fillId="3" borderId="106" xfId="68" applyNumberFormat="1" applyFont="1" applyFill="1" applyBorder="1"/>
    <xf numFmtId="166" fontId="66" fillId="16" borderId="106" xfId="68" applyNumberFormat="1" applyFont="1" applyFill="1" applyBorder="1"/>
    <xf numFmtId="166" fontId="19" fillId="0" borderId="216" xfId="68" applyNumberFormat="1" applyFont="1" applyFill="1" applyBorder="1"/>
    <xf numFmtId="166" fontId="19" fillId="0" borderId="110" xfId="68" applyNumberFormat="1" applyFont="1" applyFill="1" applyBorder="1"/>
    <xf numFmtId="166" fontId="19" fillId="0" borderId="106" xfId="68" applyNumberFormat="1" applyFont="1" applyFill="1" applyBorder="1"/>
    <xf numFmtId="166" fontId="31" fillId="4" borderId="110" xfId="68" applyNumberFormat="1" applyFont="1" applyFill="1" applyBorder="1"/>
    <xf numFmtId="166" fontId="31" fillId="3" borderId="110" xfId="68" applyNumberFormat="1" applyFont="1" applyFill="1" applyBorder="1"/>
    <xf numFmtId="166" fontId="66" fillId="16" borderId="110" xfId="68" applyNumberFormat="1" applyFont="1" applyFill="1" applyBorder="1"/>
    <xf numFmtId="166" fontId="53" fillId="0" borderId="210" xfId="68" applyNumberFormat="1" applyFont="1" applyFill="1" applyBorder="1"/>
    <xf numFmtId="166" fontId="31" fillId="4" borderId="210" xfId="68" applyNumberFormat="1" applyFont="1" applyFill="1" applyBorder="1"/>
    <xf numFmtId="166" fontId="31" fillId="3" borderId="210" xfId="68" applyNumberFormat="1" applyFont="1" applyFill="1" applyBorder="1"/>
    <xf numFmtId="166" fontId="66" fillId="16" borderId="210" xfId="68" applyNumberFormat="1" applyFont="1" applyFill="1" applyBorder="1"/>
    <xf numFmtId="166" fontId="53" fillId="0" borderId="213" xfId="68" applyNumberFormat="1" applyFont="1" applyFill="1" applyBorder="1"/>
    <xf numFmtId="166" fontId="31" fillId="4" borderId="213" xfId="68" applyNumberFormat="1" applyFont="1" applyFill="1" applyBorder="1"/>
    <xf numFmtId="166" fontId="31" fillId="3" borderId="213" xfId="68" applyNumberFormat="1" applyFont="1" applyFill="1" applyBorder="1"/>
    <xf numFmtId="166" fontId="66" fillId="16" borderId="213" xfId="68" applyNumberFormat="1" applyFont="1" applyFill="1" applyBorder="1"/>
    <xf numFmtId="166" fontId="31" fillId="4" borderId="216" xfId="68" applyNumberFormat="1" applyFont="1" applyFill="1" applyBorder="1"/>
    <xf numFmtId="166" fontId="31" fillId="3" borderId="216" xfId="68" applyNumberFormat="1" applyFont="1" applyFill="1" applyBorder="1"/>
    <xf numFmtId="166" fontId="66" fillId="16" borderId="216" xfId="68" applyNumberFormat="1" applyFont="1" applyFill="1" applyBorder="1"/>
    <xf numFmtId="166" fontId="53" fillId="4" borderId="106" xfId="68" applyNumberFormat="1" applyFont="1" applyFill="1" applyBorder="1"/>
    <xf numFmtId="166" fontId="53" fillId="3" borderId="106" xfId="68" applyNumberFormat="1" applyFont="1" applyFill="1" applyBorder="1"/>
    <xf numFmtId="166" fontId="19" fillId="0" borderId="110" xfId="68" applyNumberFormat="1" applyFont="1" applyBorder="1"/>
    <xf numFmtId="166" fontId="19" fillId="4" borderId="110" xfId="68" applyNumberFormat="1" applyFont="1" applyFill="1" applyBorder="1"/>
    <xf numFmtId="166" fontId="19" fillId="3" borderId="110" xfId="68" applyNumberFormat="1" applyFont="1" applyFill="1" applyBorder="1"/>
    <xf numFmtId="166" fontId="65" fillId="16" borderId="110" xfId="68" applyNumberFormat="1" applyFont="1" applyFill="1" applyBorder="1"/>
    <xf numFmtId="166" fontId="53" fillId="4" borderId="120" xfId="68" applyNumberFormat="1" applyFont="1" applyFill="1" applyBorder="1"/>
    <xf numFmtId="166" fontId="53" fillId="3" borderId="120" xfId="68" applyNumberFormat="1" applyFont="1" applyFill="1" applyBorder="1"/>
    <xf numFmtId="166" fontId="66" fillId="16" borderId="120" xfId="68" applyNumberFormat="1" applyFont="1" applyFill="1" applyBorder="1"/>
    <xf numFmtId="166" fontId="19" fillId="69" borderId="106" xfId="68" applyNumberFormat="1" applyFont="1" applyFill="1" applyBorder="1"/>
    <xf numFmtId="166" fontId="65" fillId="69" borderId="106" xfId="68" applyNumberFormat="1" applyFont="1" applyFill="1" applyBorder="1"/>
    <xf numFmtId="166" fontId="53" fillId="4" borderId="110" xfId="68" applyNumberFormat="1" applyFont="1" applyFill="1" applyBorder="1"/>
    <xf numFmtId="166" fontId="53" fillId="3" borderId="110" xfId="68" applyNumberFormat="1" applyFont="1" applyFill="1" applyBorder="1"/>
    <xf numFmtId="167" fontId="53" fillId="0" borderId="106" xfId="68" applyNumberFormat="1" applyFont="1" applyFill="1" applyBorder="1"/>
    <xf numFmtId="167" fontId="19" fillId="0" borderId="110" xfId="68" applyNumberFormat="1" applyFont="1" applyFill="1" applyBorder="1"/>
    <xf numFmtId="167" fontId="53" fillId="0" borderId="210" xfId="68" applyNumberFormat="1" applyFont="1" applyFill="1" applyBorder="1"/>
    <xf numFmtId="167" fontId="53" fillId="0" borderId="213" xfId="68" applyNumberFormat="1" applyFont="1" applyFill="1" applyBorder="1"/>
    <xf numFmtId="167" fontId="19" fillId="0" borderId="216" xfId="68" applyNumberFormat="1" applyFont="1" applyFill="1" applyBorder="1"/>
    <xf numFmtId="167" fontId="53" fillId="0" borderId="106" xfId="68" applyNumberFormat="1" applyFont="1" applyBorder="1"/>
    <xf numFmtId="167" fontId="19" fillId="0" borderId="110" xfId="68" applyNumberFormat="1" applyFont="1" applyBorder="1"/>
    <xf numFmtId="167" fontId="19" fillId="0" borderId="120" xfId="0" applyNumberFormat="1" applyFont="1" applyBorder="1"/>
    <xf numFmtId="166" fontId="19" fillId="0" borderId="120" xfId="0" applyNumberFormat="1" applyFont="1" applyBorder="1"/>
    <xf numFmtId="166" fontId="19" fillId="0" borderId="129" xfId="68" applyNumberFormat="1" applyFont="1" applyFill="1" applyBorder="1"/>
    <xf numFmtId="167" fontId="19" fillId="0" borderId="120" xfId="68" applyNumberFormat="1" applyFont="1" applyFill="1" applyBorder="1"/>
    <xf numFmtId="166" fontId="19" fillId="0" borderId="120" xfId="68" applyNumberFormat="1" applyFont="1" applyFill="1" applyBorder="1"/>
    <xf numFmtId="166" fontId="19" fillId="4" borderId="129" xfId="68" applyNumberFormat="1" applyFont="1" applyFill="1" applyBorder="1"/>
    <xf numFmtId="166" fontId="19" fillId="3" borderId="129" xfId="68" applyNumberFormat="1" applyFont="1" applyFill="1" applyBorder="1"/>
    <xf numFmtId="166" fontId="19" fillId="16" borderId="129" xfId="68" applyNumberFormat="1" applyFont="1" applyFill="1" applyBorder="1"/>
    <xf numFmtId="169" fontId="19" fillId="0" borderId="120" xfId="26" applyNumberFormat="1" applyFont="1" applyFill="1" applyBorder="1" applyAlignment="1">
      <alignment horizontal="center"/>
    </xf>
    <xf numFmtId="9" fontId="19" fillId="0" borderId="130" xfId="26" applyFont="1" applyFill="1" applyBorder="1"/>
    <xf numFmtId="0" fontId="16" fillId="0" borderId="0" xfId="0" applyFont="1"/>
    <xf numFmtId="166" fontId="19" fillId="0" borderId="230" xfId="68" applyNumberFormat="1" applyFont="1" applyBorder="1"/>
    <xf numFmtId="166" fontId="19" fillId="0" borderId="159" xfId="68" applyNumberFormat="1" applyFont="1" applyFill="1" applyBorder="1"/>
    <xf numFmtId="166" fontId="19" fillId="0" borderId="173" xfId="68" applyNumberFormat="1" applyFont="1" applyFill="1" applyBorder="1"/>
    <xf numFmtId="0" fontId="155" fillId="28" borderId="73" xfId="0" applyFont="1" applyFill="1" applyBorder="1"/>
    <xf numFmtId="0" fontId="156" fillId="28" borderId="25" xfId="0" applyFont="1" applyFill="1" applyBorder="1"/>
    <xf numFmtId="0" fontId="156" fillId="28" borderId="24" xfId="0" applyFont="1" applyFill="1" applyBorder="1"/>
    <xf numFmtId="0" fontId="98" fillId="0" borderId="0" xfId="0" applyFont="1" applyAlignment="1">
      <alignment horizontal="center"/>
    </xf>
    <xf numFmtId="0" fontId="99" fillId="0" borderId="25" xfId="0" applyFont="1" applyBorder="1" applyAlignment="1">
      <alignment horizontal="right"/>
    </xf>
    <xf numFmtId="167" fontId="97" fillId="0" borderId="25" xfId="68" applyNumberFormat="1" applyFont="1" applyBorder="1"/>
    <xf numFmtId="167" fontId="97" fillId="0" borderId="25" xfId="68" applyNumberFormat="1" applyFont="1" applyBorder="1" applyAlignment="1"/>
    <xf numFmtId="0" fontId="97" fillId="0" borderId="24" xfId="0" applyFont="1" applyBorder="1"/>
    <xf numFmtId="0" fontId="99" fillId="0" borderId="0" xfId="0" applyFont="1" applyAlignment="1">
      <alignment horizontal="right"/>
    </xf>
    <xf numFmtId="167" fontId="97" fillId="0" borderId="0" xfId="68" applyNumberFormat="1" applyFont="1" applyBorder="1" applyAlignment="1"/>
    <xf numFmtId="167" fontId="97" fillId="0" borderId="0" xfId="68" applyNumberFormat="1" applyFont="1" applyAlignment="1"/>
    <xf numFmtId="167" fontId="97" fillId="0" borderId="0" xfId="68" applyNumberFormat="1" applyFont="1"/>
    <xf numFmtId="0" fontId="99" fillId="0" borderId="29" xfId="0" applyFont="1" applyBorder="1" applyAlignment="1">
      <alignment horizontal="right"/>
    </xf>
    <xf numFmtId="167" fontId="97" fillId="0" borderId="29" xfId="68" applyNumberFormat="1" applyFont="1" applyBorder="1" applyAlignment="1"/>
    <xf numFmtId="0" fontId="97" fillId="0" borderId="51" xfId="0" applyFont="1" applyBorder="1"/>
    <xf numFmtId="0" fontId="99" fillId="0" borderId="22" xfId="0" applyFont="1" applyBorder="1" applyAlignment="1">
      <alignment horizontal="right"/>
    </xf>
    <xf numFmtId="167" fontId="6" fillId="75" borderId="183" xfId="39" applyNumberFormat="1" applyAlignment="1"/>
    <xf numFmtId="167" fontId="12" fillId="19" borderId="46" xfId="25" applyNumberFormat="1" applyAlignment="1"/>
    <xf numFmtId="9" fontId="97" fillId="0" borderId="22" xfId="26" applyFont="1" applyBorder="1" applyAlignment="1"/>
    <xf numFmtId="0" fontId="4" fillId="0" borderId="45" xfId="0" applyFont="1" applyBorder="1"/>
    <xf numFmtId="168" fontId="0" fillId="0" borderId="0" xfId="68" applyNumberFormat="1" applyFont="1" applyBorder="1"/>
    <xf numFmtId="168" fontId="0" fillId="0" borderId="37" xfId="68" applyNumberFormat="1" applyFont="1" applyBorder="1"/>
    <xf numFmtId="168" fontId="0" fillId="0" borderId="0" xfId="68" applyNumberFormat="1" applyFont="1" applyFill="1" applyBorder="1"/>
    <xf numFmtId="168" fontId="0" fillId="0" borderId="39" xfId="68" applyNumberFormat="1" applyFont="1" applyBorder="1"/>
    <xf numFmtId="168" fontId="0" fillId="0" borderId="40" xfId="68" applyNumberFormat="1" applyFont="1" applyBorder="1"/>
    <xf numFmtId="0" fontId="76" fillId="0" borderId="15" xfId="0" applyFont="1" applyBorder="1"/>
    <xf numFmtId="165" fontId="70" fillId="0" borderId="0" xfId="0" applyNumberFormat="1" applyFont="1" applyAlignment="1">
      <alignment wrapText="1"/>
    </xf>
    <xf numFmtId="0" fontId="97" fillId="0" borderId="0" xfId="0" applyFont="1" applyAlignment="1">
      <alignment horizontal="right"/>
    </xf>
    <xf numFmtId="0" fontId="126" fillId="0" borderId="32" xfId="0" applyFont="1" applyBorder="1"/>
    <xf numFmtId="168" fontId="128" fillId="19" borderId="250" xfId="25" applyNumberFormat="1" applyFont="1" applyBorder="1"/>
    <xf numFmtId="166" fontId="131" fillId="37" borderId="54" xfId="0" applyNumberFormat="1" applyFont="1" applyFill="1" applyBorder="1"/>
    <xf numFmtId="166" fontId="131" fillId="37" borderId="251" xfId="0" applyNumberFormat="1" applyFont="1" applyFill="1" applyBorder="1"/>
    <xf numFmtId="0" fontId="2" fillId="0" borderId="137" xfId="0" applyFont="1" applyBorder="1"/>
    <xf numFmtId="0" fontId="2" fillId="0" borderId="37" xfId="0" applyFont="1" applyBorder="1"/>
    <xf numFmtId="0" fontId="0" fillId="0" borderId="37" xfId="0" applyBorder="1"/>
    <xf numFmtId="43" fontId="0" fillId="0" borderId="0" xfId="68" applyFont="1"/>
    <xf numFmtId="166" fontId="0" fillId="0" borderId="0" xfId="68" applyNumberFormat="1" applyFont="1"/>
    <xf numFmtId="167" fontId="0" fillId="0" borderId="22" xfId="68" applyNumberFormat="1" applyFont="1" applyBorder="1"/>
    <xf numFmtId="0" fontId="0" fillId="0" borderId="24" xfId="0" applyBorder="1"/>
    <xf numFmtId="168" fontId="128" fillId="0" borderId="37" xfId="0" applyNumberFormat="1" applyFont="1" applyBorder="1"/>
    <xf numFmtId="168" fontId="121" fillId="0" borderId="25" xfId="0" applyNumberFormat="1" applyFont="1" applyBorder="1"/>
    <xf numFmtId="168" fontId="128" fillId="0" borderId="137" xfId="0" applyNumberFormat="1" applyFont="1" applyBorder="1"/>
    <xf numFmtId="168" fontId="128" fillId="0" borderId="42" xfId="0" applyNumberFormat="1" applyFont="1" applyBorder="1"/>
    <xf numFmtId="165" fontId="121" fillId="0" borderId="136" xfId="0" applyNumberFormat="1" applyFont="1" applyBorder="1"/>
    <xf numFmtId="165" fontId="128" fillId="0" borderId="25" xfId="0" applyNumberFormat="1" applyFont="1" applyBorder="1" applyAlignment="1">
      <alignment horizontal="right"/>
    </xf>
    <xf numFmtId="165" fontId="121" fillId="0" borderId="25" xfId="0" applyNumberFormat="1" applyFont="1" applyBorder="1"/>
    <xf numFmtId="0" fontId="121" fillId="0" borderId="137" xfId="0" applyFont="1" applyBorder="1"/>
    <xf numFmtId="0" fontId="121" fillId="0" borderId="136" xfId="0" applyFont="1" applyBorder="1"/>
    <xf numFmtId="0" fontId="22" fillId="0" borderId="0" xfId="0" applyFont="1" applyAlignment="1">
      <alignment wrapText="1"/>
    </xf>
    <xf numFmtId="0" fontId="16" fillId="0" borderId="28" xfId="0" applyFont="1" applyBorder="1" applyAlignment="1">
      <alignment wrapText="1"/>
    </xf>
    <xf numFmtId="0" fontId="16" fillId="0" borderId="15" xfId="0" applyFont="1" applyBorder="1" applyAlignment="1">
      <alignment wrapText="1"/>
    </xf>
    <xf numFmtId="0" fontId="23" fillId="0" borderId="1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117" xfId="0" applyFont="1" applyBorder="1" applyAlignment="1">
      <alignment horizontal="center" vertical="center" wrapText="1"/>
    </xf>
    <xf numFmtId="0" fontId="21" fillId="0" borderId="0" xfId="0" applyFont="1" applyAlignment="1">
      <alignment wrapText="1"/>
    </xf>
    <xf numFmtId="1" fontId="21" fillId="0" borderId="0" xfId="0" applyNumberFormat="1" applyFont="1" applyAlignment="1">
      <alignment wrapText="1"/>
    </xf>
    <xf numFmtId="0" fontId="10" fillId="0" borderId="0" xfId="0" applyFont="1" applyAlignment="1">
      <alignment horizontal="center" vertical="center"/>
    </xf>
    <xf numFmtId="0" fontId="10" fillId="0" borderId="73" xfId="0" applyFont="1" applyBorder="1" applyAlignment="1">
      <alignment horizontal="center" vertical="center"/>
    </xf>
    <xf numFmtId="0" fontId="10" fillId="0" borderId="25" xfId="0" applyFont="1" applyBorder="1" applyAlignment="1">
      <alignment horizontal="center" vertical="center"/>
    </xf>
    <xf numFmtId="0" fontId="10" fillId="0" borderId="9" xfId="0" applyFont="1" applyBorder="1" applyAlignment="1">
      <alignment horizontal="center" vertical="center"/>
    </xf>
    <xf numFmtId="0" fontId="10" fillId="0" borderId="7" xfId="0" applyFont="1" applyBorder="1" applyAlignment="1">
      <alignment horizontal="center" vertical="center"/>
    </xf>
    <xf numFmtId="0" fontId="10" fillId="0" borderId="6" xfId="0" applyFont="1" applyBorder="1" applyAlignment="1">
      <alignment horizontal="center" vertical="center"/>
    </xf>
    <xf numFmtId="0" fontId="10" fillId="0" borderId="32" xfId="0" applyFont="1" applyBorder="1" applyAlignment="1">
      <alignment horizontal="center" vertical="center"/>
    </xf>
    <xf numFmtId="1" fontId="10" fillId="0" borderId="0" xfId="0" applyNumberFormat="1" applyFont="1" applyAlignment="1">
      <alignment horizontal="center" vertical="center"/>
    </xf>
    <xf numFmtId="0" fontId="16" fillId="4" borderId="31" xfId="0" applyFont="1" applyFill="1" applyBorder="1"/>
    <xf numFmtId="167" fontId="16" fillId="4" borderId="34" xfId="0" applyNumberFormat="1" applyFont="1" applyFill="1" applyBorder="1"/>
    <xf numFmtId="167" fontId="16" fillId="4" borderId="33" xfId="0" applyNumberFormat="1" applyFont="1" applyFill="1" applyBorder="1"/>
    <xf numFmtId="167" fontId="16" fillId="4" borderId="41" xfId="0" applyNumberFormat="1" applyFont="1" applyFill="1" applyBorder="1"/>
    <xf numFmtId="167" fontId="10" fillId="4" borderId="34" xfId="68" applyNumberFormat="1" applyFont="1" applyFill="1" applyBorder="1"/>
    <xf numFmtId="166" fontId="16" fillId="4" borderId="33" xfId="68" applyNumberFormat="1" applyFont="1" applyFill="1" applyBorder="1" applyAlignment="1">
      <alignment horizontal="center"/>
    </xf>
    <xf numFmtId="167" fontId="16" fillId="4" borderId="41" xfId="68" applyNumberFormat="1" applyFont="1" applyFill="1" applyBorder="1" applyAlignment="1">
      <alignment horizontal="center"/>
    </xf>
    <xf numFmtId="43" fontId="10" fillId="4" borderId="34" xfId="0" applyNumberFormat="1" applyFont="1" applyFill="1" applyBorder="1"/>
    <xf numFmtId="0" fontId="10" fillId="4" borderId="33" xfId="0" applyFont="1" applyFill="1" applyBorder="1"/>
    <xf numFmtId="43" fontId="10" fillId="4" borderId="33" xfId="0" applyNumberFormat="1" applyFont="1" applyFill="1" applyBorder="1"/>
    <xf numFmtId="43" fontId="10" fillId="4" borderId="41" xfId="0" applyNumberFormat="1" applyFont="1" applyFill="1" applyBorder="1"/>
    <xf numFmtId="0" fontId="16" fillId="32" borderId="73" xfId="0" applyFont="1" applyFill="1" applyBorder="1"/>
    <xf numFmtId="0" fontId="16" fillId="32" borderId="25" xfId="0" applyFont="1" applyFill="1" applyBorder="1"/>
    <xf numFmtId="0" fontId="78" fillId="32" borderId="25" xfId="0" applyFont="1" applyFill="1" applyBorder="1"/>
    <xf numFmtId="167" fontId="16" fillId="32" borderId="5" xfId="0" applyNumberFormat="1" applyFont="1" applyFill="1" applyBorder="1"/>
    <xf numFmtId="167" fontId="16" fillId="32" borderId="3" xfId="0" applyNumberFormat="1" applyFont="1" applyFill="1" applyBorder="1"/>
    <xf numFmtId="167" fontId="16" fillId="32" borderId="2" xfId="0" applyNumberFormat="1" applyFont="1" applyFill="1" applyBorder="1"/>
    <xf numFmtId="167" fontId="12" fillId="19" borderId="5" xfId="68" applyNumberFormat="1" applyFont="1" applyFill="1" applyBorder="1" applyAlignment="1">
      <alignment horizontal="center"/>
    </xf>
    <xf numFmtId="166" fontId="16" fillId="32" borderId="3" xfId="68" applyNumberFormat="1" applyFont="1" applyFill="1" applyBorder="1" applyAlignment="1">
      <alignment horizontal="center"/>
    </xf>
    <xf numFmtId="167" fontId="16" fillId="32" borderId="2" xfId="68" applyNumberFormat="1" applyFont="1" applyFill="1" applyBorder="1" applyAlignment="1">
      <alignment horizontal="center"/>
    </xf>
    <xf numFmtId="43" fontId="10" fillId="32" borderId="5" xfId="0" applyNumberFormat="1" applyFont="1" applyFill="1" applyBorder="1"/>
    <xf numFmtId="0" fontId="10" fillId="32" borderId="3" xfId="0" applyFont="1" applyFill="1" applyBorder="1"/>
    <xf numFmtId="166" fontId="10" fillId="32" borderId="3" xfId="0" applyNumberFormat="1" applyFont="1" applyFill="1" applyBorder="1"/>
    <xf numFmtId="43" fontId="16" fillId="32" borderId="3" xfId="0" applyNumberFormat="1" applyFont="1" applyFill="1" applyBorder="1"/>
    <xf numFmtId="166" fontId="16" fillId="32" borderId="3" xfId="0" applyNumberFormat="1" applyFont="1" applyFill="1" applyBorder="1"/>
    <xf numFmtId="167" fontId="0" fillId="0" borderId="9" xfId="68" applyNumberFormat="1" applyFont="1" applyBorder="1"/>
    <xf numFmtId="167" fontId="10" fillId="0" borderId="7" xfId="68" applyNumberFormat="1" applyFont="1" applyBorder="1"/>
    <xf numFmtId="167" fontId="10" fillId="0" borderId="6" xfId="68" applyNumberFormat="1" applyFont="1" applyBorder="1"/>
    <xf numFmtId="167" fontId="10" fillId="0" borderId="9" xfId="68" applyNumberFormat="1" applyFont="1" applyBorder="1"/>
    <xf numFmtId="167" fontId="20" fillId="0" borderId="7" xfId="68" applyNumberFormat="1" applyFont="1" applyBorder="1" applyAlignment="1">
      <alignment horizontal="center"/>
    </xf>
    <xf numFmtId="167" fontId="10" fillId="0" borderId="7" xfId="68" applyNumberFormat="1" applyFont="1" applyBorder="1" applyAlignment="1">
      <alignment horizontal="center"/>
    </xf>
    <xf numFmtId="167" fontId="20" fillId="0" borderId="6" xfId="68" applyNumberFormat="1" applyFont="1" applyBorder="1" applyAlignment="1">
      <alignment horizontal="center"/>
    </xf>
    <xf numFmtId="167" fontId="10" fillId="0" borderId="9" xfId="0" applyNumberFormat="1" applyFont="1" applyBorder="1"/>
    <xf numFmtId="167" fontId="12" fillId="19" borderId="7" xfId="68" applyNumberFormat="1" applyFont="1" applyFill="1" applyBorder="1"/>
    <xf numFmtId="168" fontId="12" fillId="19" borderId="7" xfId="68" applyNumberFormat="1" applyFont="1" applyFill="1" applyBorder="1"/>
    <xf numFmtId="43" fontId="12" fillId="19" borderId="7" xfId="68" applyFont="1" applyFill="1" applyBorder="1"/>
    <xf numFmtId="167" fontId="10" fillId="0" borderId="7" xfId="0" applyNumberFormat="1" applyFont="1" applyBorder="1"/>
    <xf numFmtId="167" fontId="10" fillId="0" borderId="6" xfId="0" applyNumberFormat="1" applyFont="1" applyBorder="1"/>
    <xf numFmtId="0" fontId="12" fillId="10" borderId="252" xfId="25" applyFill="1" applyBorder="1" applyAlignment="1"/>
    <xf numFmtId="0" fontId="12" fillId="10" borderId="0" xfId="25" applyFill="1" applyBorder="1" applyAlignment="1"/>
    <xf numFmtId="0" fontId="12" fillId="10" borderId="32" xfId="25" applyFill="1" applyBorder="1" applyAlignment="1"/>
    <xf numFmtId="165" fontId="35" fillId="37" borderId="138" xfId="37" applyNumberFormat="1" applyBorder="1"/>
    <xf numFmtId="167" fontId="36" fillId="37" borderId="54" xfId="27" applyNumberFormat="1" applyBorder="1"/>
    <xf numFmtId="164" fontId="36" fillId="37" borderId="54" xfId="27" applyNumberFormat="1" applyBorder="1"/>
    <xf numFmtId="2" fontId="12" fillId="19" borderId="54" xfId="25" applyNumberFormat="1" applyBorder="1"/>
    <xf numFmtId="164" fontId="12" fillId="19" borderId="22" xfId="25" applyNumberFormat="1" applyBorder="1"/>
    <xf numFmtId="165" fontId="35" fillId="37" borderId="253" xfId="37" applyNumberFormat="1" applyBorder="1"/>
    <xf numFmtId="1" fontId="118" fillId="0" borderId="73" xfId="0" applyNumberFormat="1" applyFont="1" applyBorder="1"/>
    <xf numFmtId="0" fontId="12" fillId="19" borderId="56" xfId="25" applyBorder="1"/>
    <xf numFmtId="167" fontId="0" fillId="0" borderId="34" xfId="68" applyNumberFormat="1" applyFont="1" applyBorder="1"/>
    <xf numFmtId="167" fontId="10" fillId="0" borderId="33" xfId="68" applyNumberFormat="1" applyFont="1" applyBorder="1"/>
    <xf numFmtId="167" fontId="10" fillId="0" borderId="41" xfId="68" applyNumberFormat="1" applyFont="1" applyBorder="1"/>
    <xf numFmtId="167" fontId="10" fillId="0" borderId="34" xfId="68" applyNumberFormat="1" applyFont="1" applyBorder="1"/>
    <xf numFmtId="167" fontId="20" fillId="0" borderId="33" xfId="68" applyNumberFormat="1" applyFont="1" applyBorder="1" applyAlignment="1">
      <alignment horizontal="center"/>
    </xf>
    <xf numFmtId="167" fontId="10" fillId="0" borderId="33" xfId="68" applyNumberFormat="1" applyFont="1" applyBorder="1" applyAlignment="1">
      <alignment horizontal="center"/>
    </xf>
    <xf numFmtId="167" fontId="20" fillId="0" borderId="41" xfId="68" applyNumberFormat="1" applyFont="1" applyBorder="1" applyAlignment="1">
      <alignment horizontal="center"/>
    </xf>
    <xf numFmtId="167" fontId="10" fillId="0" borderId="34" xfId="0" applyNumberFormat="1" applyFont="1" applyBorder="1"/>
    <xf numFmtId="167" fontId="12" fillId="19" borderId="33" xfId="68" applyNumberFormat="1" applyFont="1" applyFill="1" applyBorder="1"/>
    <xf numFmtId="168" fontId="12" fillId="19" borderId="33" xfId="68" applyNumberFormat="1" applyFont="1" applyFill="1" applyBorder="1"/>
    <xf numFmtId="43" fontId="12" fillId="19" borderId="33" xfId="68" applyFont="1" applyFill="1" applyBorder="1"/>
    <xf numFmtId="167" fontId="10" fillId="0" borderId="33" xfId="0" applyNumberFormat="1" applyFont="1" applyBorder="1"/>
    <xf numFmtId="167" fontId="10" fillId="0" borderId="41" xfId="0" applyNumberFormat="1" applyFont="1" applyBorder="1"/>
    <xf numFmtId="0" fontId="0" fillId="0" borderId="28" xfId="0" applyBorder="1"/>
    <xf numFmtId="0" fontId="0" fillId="0" borderId="19" xfId="0" applyBorder="1"/>
    <xf numFmtId="0" fontId="12" fillId="19" borderId="148" xfId="25" applyBorder="1"/>
    <xf numFmtId="167" fontId="71" fillId="0" borderId="254" xfId="68" applyNumberFormat="1" applyFont="1" applyBorder="1"/>
    <xf numFmtId="167" fontId="71" fillId="0" borderId="29" xfId="68" applyNumberFormat="1" applyFont="1" applyBorder="1"/>
    <xf numFmtId="43" fontId="71" fillId="0" borderId="29" xfId="68" applyFont="1" applyBorder="1"/>
    <xf numFmtId="168" fontId="71" fillId="0" borderId="29" xfId="0" applyNumberFormat="1" applyFont="1" applyBorder="1"/>
    <xf numFmtId="167" fontId="70" fillId="0" borderId="0" xfId="68" applyNumberFormat="1" applyFont="1" applyBorder="1"/>
    <xf numFmtId="167" fontId="70" fillId="0" borderId="0" xfId="68" applyNumberFormat="1" applyFont="1"/>
    <xf numFmtId="167" fontId="70" fillId="0" borderId="0" xfId="0" applyNumberFormat="1" applyFont="1"/>
    <xf numFmtId="173" fontId="2" fillId="0" borderId="20" xfId="68" applyNumberFormat="1" applyFont="1" applyBorder="1"/>
    <xf numFmtId="0" fontId="2" fillId="0" borderId="20" xfId="0" applyFont="1" applyBorder="1"/>
    <xf numFmtId="167" fontId="2" fillId="0" borderId="20" xfId="68" applyNumberFormat="1" applyFont="1" applyBorder="1"/>
    <xf numFmtId="167" fontId="2" fillId="0" borderId="186" xfId="68" applyNumberFormat="1" applyFont="1" applyBorder="1"/>
    <xf numFmtId="0" fontId="2" fillId="0" borderId="186" xfId="0" applyFont="1" applyBorder="1"/>
    <xf numFmtId="167" fontId="4" fillId="18" borderId="26" xfId="68" applyNumberFormat="1" applyFont="1" applyFill="1" applyBorder="1"/>
    <xf numFmtId="0" fontId="4" fillId="18" borderId="26" xfId="0" applyFont="1" applyFill="1" applyBorder="1"/>
    <xf numFmtId="167" fontId="2" fillId="10" borderId="20" xfId="68" applyNumberFormat="1" applyFont="1" applyFill="1" applyBorder="1"/>
    <xf numFmtId="0" fontId="0" fillId="10" borderId="20" xfId="0" applyFill="1" applyBorder="1"/>
    <xf numFmtId="167" fontId="97" fillId="0" borderId="0" xfId="68" applyNumberFormat="1" applyFont="1" applyFill="1"/>
    <xf numFmtId="9" fontId="22" fillId="0" borderId="20" xfId="26" applyFont="1" applyBorder="1" applyAlignment="1">
      <alignment horizontal="center"/>
    </xf>
    <xf numFmtId="9" fontId="0" fillId="0" borderId="0" xfId="26" applyFont="1"/>
    <xf numFmtId="0" fontId="100" fillId="9" borderId="28" xfId="0" applyFont="1" applyFill="1" applyBorder="1" applyAlignment="1">
      <alignment horizontal="right"/>
    </xf>
    <xf numFmtId="166" fontId="13" fillId="41" borderId="0" xfId="44" applyNumberFormat="1"/>
    <xf numFmtId="9" fontId="0" fillId="0" borderId="0" xfId="26" applyFont="1" applyFill="1" applyBorder="1"/>
    <xf numFmtId="0" fontId="0" fillId="0" borderId="0" xfId="0" applyAlignment="1">
      <alignment horizontal="right"/>
    </xf>
    <xf numFmtId="1" fontId="70" fillId="0" borderId="73" xfId="0" applyNumberFormat="1" applyFont="1" applyBorder="1"/>
    <xf numFmtId="1" fontId="70" fillId="0" borderId="25" xfId="0" applyNumberFormat="1" applyFont="1" applyBorder="1"/>
    <xf numFmtId="1" fontId="70" fillId="0" borderId="24" xfId="0" applyNumberFormat="1" applyFont="1" applyBorder="1"/>
    <xf numFmtId="165" fontId="70" fillId="0" borderId="31" xfId="0" applyNumberFormat="1" applyFont="1" applyBorder="1" applyAlignment="1">
      <alignment wrapText="1"/>
    </xf>
    <xf numFmtId="165" fontId="70" fillId="0" borderId="32" xfId="0" applyNumberFormat="1" applyFont="1" applyBorder="1" applyAlignment="1">
      <alignment wrapText="1"/>
    </xf>
    <xf numFmtId="0" fontId="76" fillId="0" borderId="28" xfId="0" applyFont="1" applyBorder="1"/>
    <xf numFmtId="0" fontId="76" fillId="0" borderId="19" xfId="0" applyFont="1" applyBorder="1"/>
    <xf numFmtId="168" fontId="71" fillId="0" borderId="31" xfId="68" applyNumberFormat="1" applyFont="1" applyBorder="1"/>
    <xf numFmtId="167" fontId="71" fillId="0" borderId="32" xfId="68" applyNumberFormat="1" applyFont="1" applyBorder="1"/>
    <xf numFmtId="168" fontId="71" fillId="0" borderId="31" xfId="0" applyNumberFormat="1" applyFont="1" applyBorder="1"/>
    <xf numFmtId="168" fontId="71" fillId="0" borderId="30" xfId="0" applyNumberFormat="1" applyFont="1" applyBorder="1"/>
    <xf numFmtId="167" fontId="71" fillId="0" borderId="51" xfId="68" applyNumberFormat="1" applyFont="1" applyBorder="1"/>
    <xf numFmtId="0" fontId="19" fillId="0" borderId="7" xfId="0" applyFont="1" applyBorder="1" applyAlignment="1">
      <alignment vertical="top"/>
    </xf>
    <xf numFmtId="0" fontId="19" fillId="0" borderId="7" xfId="0" applyFont="1" applyBorder="1" applyAlignment="1">
      <alignment vertical="top" wrapText="1"/>
    </xf>
    <xf numFmtId="0" fontId="17" fillId="0" borderId="112" xfId="0" applyFont="1" applyBorder="1" applyAlignment="1">
      <alignment horizontal="center" vertical="top"/>
    </xf>
    <xf numFmtId="0" fontId="17" fillId="0" borderId="113" xfId="0" applyFont="1" applyBorder="1" applyAlignment="1">
      <alignment vertical="top"/>
    </xf>
    <xf numFmtId="1" fontId="23" fillId="0" borderId="73" xfId="0" applyNumberFormat="1" applyFont="1" applyBorder="1"/>
    <xf numFmtId="0" fontId="15" fillId="0" borderId="25" xfId="0" applyFont="1" applyBorder="1"/>
    <xf numFmtId="0" fontId="15" fillId="0" borderId="25" xfId="0" applyFont="1" applyBorder="1" applyAlignment="1">
      <alignment horizontal="center"/>
    </xf>
    <xf numFmtId="167" fontId="15" fillId="0" borderId="25" xfId="0" applyNumberFormat="1" applyFont="1" applyBorder="1"/>
    <xf numFmtId="1" fontId="15" fillId="0" borderId="25" xfId="0" applyNumberFormat="1" applyFont="1" applyBorder="1"/>
    <xf numFmtId="1" fontId="22" fillId="0" borderId="25" xfId="0" applyNumberFormat="1" applyFont="1" applyBorder="1"/>
    <xf numFmtId="43" fontId="15" fillId="0" borderId="25" xfId="68" applyFont="1" applyBorder="1"/>
    <xf numFmtId="167" fontId="15" fillId="0" borderId="24" xfId="0" applyNumberFormat="1" applyFont="1" applyBorder="1"/>
    <xf numFmtId="1" fontId="23" fillId="0" borderId="31" xfId="0" applyNumberFormat="1" applyFont="1" applyBorder="1"/>
    <xf numFmtId="43" fontId="15" fillId="0" borderId="0" xfId="68" applyFont="1"/>
    <xf numFmtId="167" fontId="15" fillId="0" borderId="32" xfId="0" applyNumberFormat="1" applyFont="1" applyBorder="1"/>
    <xf numFmtId="0" fontId="22" fillId="0" borderId="255" xfId="0" applyFont="1" applyBorder="1"/>
    <xf numFmtId="0" fontId="21" fillId="0" borderId="0" xfId="0" applyFont="1" applyAlignment="1">
      <alignment horizontal="center"/>
    </xf>
    <xf numFmtId="0" fontId="21" fillId="0" borderId="256" xfId="0" applyFont="1" applyBorder="1" applyAlignment="1">
      <alignment horizontal="center"/>
    </xf>
    <xf numFmtId="1" fontId="23" fillId="0" borderId="30" xfId="0" applyNumberFormat="1" applyFont="1" applyBorder="1"/>
    <xf numFmtId="0" fontId="15" fillId="0" borderId="29" xfId="0" applyFont="1" applyBorder="1"/>
    <xf numFmtId="0" fontId="15" fillId="0" borderId="29" xfId="0" applyFont="1" applyBorder="1" applyAlignment="1">
      <alignment horizontal="center"/>
    </xf>
    <xf numFmtId="167" fontId="15" fillId="0" borderId="29" xfId="0" applyNumberFormat="1" applyFont="1" applyBorder="1"/>
    <xf numFmtId="1" fontId="15" fillId="0" borderId="29" xfId="0" applyNumberFormat="1" applyFont="1" applyBorder="1"/>
    <xf numFmtId="1" fontId="22" fillId="0" borderId="29" xfId="0" applyNumberFormat="1" applyFont="1" applyBorder="1"/>
    <xf numFmtId="43" fontId="15" fillId="0" borderId="29" xfId="68" applyFont="1" applyBorder="1"/>
    <xf numFmtId="167" fontId="15" fillId="0" borderId="51" xfId="0" applyNumberFormat="1" applyFont="1" applyBorder="1"/>
    <xf numFmtId="0" fontId="21" fillId="0" borderId="255" xfId="0" applyFont="1" applyBorder="1"/>
    <xf numFmtId="1" fontId="23" fillId="0" borderId="23" xfId="0" applyNumberFormat="1" applyFont="1" applyBorder="1"/>
    <xf numFmtId="0" fontId="15" fillId="0" borderId="22" xfId="0" applyFont="1" applyBorder="1"/>
    <xf numFmtId="0" fontId="15" fillId="0" borderId="22" xfId="0" applyFont="1" applyBorder="1" applyAlignment="1">
      <alignment horizontal="center"/>
    </xf>
    <xf numFmtId="9" fontId="15" fillId="0" borderId="22" xfId="0" applyNumberFormat="1" applyFont="1" applyBorder="1"/>
    <xf numFmtId="1" fontId="15" fillId="0" borderId="22" xfId="0" applyNumberFormat="1" applyFont="1" applyBorder="1"/>
    <xf numFmtId="167" fontId="15" fillId="0" borderId="22" xfId="0" applyNumberFormat="1" applyFont="1" applyBorder="1"/>
    <xf numFmtId="1" fontId="22" fillId="0" borderId="22" xfId="0" applyNumberFormat="1" applyFont="1" applyBorder="1"/>
    <xf numFmtId="43" fontId="15" fillId="0" borderId="22" xfId="68" applyFont="1" applyBorder="1"/>
    <xf numFmtId="167" fontId="6" fillId="41" borderId="22" xfId="44" applyNumberFormat="1" applyFont="1" applyBorder="1"/>
    <xf numFmtId="167" fontId="15" fillId="0" borderId="21" xfId="0" applyNumberFormat="1" applyFont="1" applyBorder="1"/>
    <xf numFmtId="0" fontId="21" fillId="0" borderId="257" xfId="0" applyFont="1" applyBorder="1"/>
    <xf numFmtId="167" fontId="12" fillId="19" borderId="258" xfId="68" applyNumberFormat="1" applyFont="1" applyFill="1" applyBorder="1"/>
    <xf numFmtId="1" fontId="62" fillId="0" borderId="260" xfId="0" applyNumberFormat="1" applyFont="1" applyBorder="1"/>
    <xf numFmtId="0" fontId="22" fillId="0" borderId="261" xfId="0" applyFont="1" applyBorder="1"/>
    <xf numFmtId="0" fontId="22" fillId="0" borderId="262" xfId="0" applyFont="1" applyBorder="1"/>
    <xf numFmtId="169" fontId="53" fillId="0" borderId="0" xfId="26" applyNumberFormat="1" applyFont="1" applyFill="1" applyBorder="1"/>
    <xf numFmtId="9" fontId="22" fillId="0" borderId="256" xfId="26" applyFont="1" applyBorder="1" applyAlignment="1">
      <alignment horizontal="center"/>
    </xf>
    <xf numFmtId="9" fontId="22" fillId="0" borderId="259" xfId="26" applyFont="1" applyBorder="1" applyAlignment="1">
      <alignment horizontal="center"/>
    </xf>
    <xf numFmtId="167" fontId="0" fillId="0" borderId="27" xfId="68" applyNumberFormat="1" applyFont="1" applyBorder="1" applyAlignment="1">
      <alignment horizontal="center"/>
    </xf>
    <xf numFmtId="167" fontId="2" fillId="0" borderId="26" xfId="68" applyNumberFormat="1" applyFont="1" applyBorder="1" applyAlignment="1">
      <alignment horizontal="center"/>
    </xf>
    <xf numFmtId="167" fontId="0" fillId="0" borderId="23" xfId="68" applyNumberFormat="1" applyFont="1" applyBorder="1" applyAlignment="1">
      <alignment horizontal="center"/>
    </xf>
    <xf numFmtId="167" fontId="0" fillId="0" borderId="21" xfId="68" applyNumberFormat="1" applyFont="1" applyBorder="1" applyAlignment="1">
      <alignment horizontal="center"/>
    </xf>
    <xf numFmtId="0" fontId="4" fillId="10" borderId="28" xfId="0" applyFont="1" applyFill="1" applyBorder="1"/>
    <xf numFmtId="0" fontId="4" fillId="10" borderId="15" xfId="0" applyFont="1" applyFill="1" applyBorder="1"/>
    <xf numFmtId="167" fontId="4" fillId="10" borderId="20" xfId="68" applyNumberFormat="1" applyFont="1" applyFill="1" applyBorder="1" applyAlignment="1">
      <alignment horizontal="center"/>
    </xf>
    <xf numFmtId="168" fontId="2" fillId="10" borderId="20" xfId="68" applyNumberFormat="1" applyFont="1" applyFill="1" applyBorder="1" applyAlignment="1">
      <alignment horizontal="center"/>
    </xf>
    <xf numFmtId="167" fontId="2" fillId="10" borderId="20" xfId="68" applyNumberFormat="1" applyFont="1" applyFill="1" applyBorder="1" applyAlignment="1">
      <alignment horizontal="center"/>
    </xf>
    <xf numFmtId="0" fontId="0" fillId="0" borderId="15" xfId="0" applyBorder="1" applyAlignment="1">
      <alignment horizontal="right"/>
    </xf>
    <xf numFmtId="167" fontId="0" fillId="0" borderId="20" xfId="68" applyNumberFormat="1" applyFont="1" applyBorder="1" applyAlignment="1">
      <alignment horizontal="center"/>
    </xf>
    <xf numFmtId="168" fontId="2" fillId="0" borderId="20" xfId="68" applyNumberFormat="1" applyFont="1" applyBorder="1" applyAlignment="1">
      <alignment horizontal="center"/>
    </xf>
    <xf numFmtId="167" fontId="2" fillId="0" borderId="20" xfId="68" applyNumberFormat="1" applyFont="1" applyBorder="1" applyAlignment="1">
      <alignment horizontal="center"/>
    </xf>
    <xf numFmtId="166" fontId="6" fillId="41" borderId="0" xfId="44" applyNumberFormat="1" applyFont="1"/>
    <xf numFmtId="0" fontId="98" fillId="0" borderId="30" xfId="0" applyFont="1" applyBorder="1" applyAlignment="1">
      <alignment vertical="center"/>
    </xf>
    <xf numFmtId="0" fontId="103" fillId="0" borderId="29" xfId="0" applyFont="1" applyBorder="1" applyAlignment="1">
      <alignment vertical="center"/>
    </xf>
    <xf numFmtId="167" fontId="98" fillId="0" borderId="22" xfId="68" applyNumberFormat="1" applyFont="1" applyBorder="1"/>
    <xf numFmtId="0" fontId="97" fillId="0" borderId="263" xfId="0" applyFont="1" applyBorder="1"/>
    <xf numFmtId="0" fontId="99" fillId="0" borderId="263" xfId="0" applyFont="1" applyBorder="1"/>
    <xf numFmtId="0" fontId="98" fillId="0" borderId="263" xfId="0" applyFont="1" applyBorder="1" applyAlignment="1">
      <alignment vertical="center"/>
    </xf>
    <xf numFmtId="0" fontId="103" fillId="0" borderId="263" xfId="0" applyFont="1" applyBorder="1" applyAlignment="1">
      <alignment vertical="center"/>
    </xf>
    <xf numFmtId="0" fontId="99" fillId="0" borderId="263" xfId="0" applyFont="1" applyBorder="1" applyAlignment="1">
      <alignment vertical="center" wrapText="1"/>
    </xf>
    <xf numFmtId="0" fontId="97" fillId="0" borderId="263" xfId="0" applyFont="1" applyBorder="1" applyAlignment="1">
      <alignment horizontal="center" vertical="center" wrapText="1"/>
    </xf>
    <xf numFmtId="0" fontId="98" fillId="8" borderId="263" xfId="0" applyFont="1" applyFill="1" applyBorder="1"/>
    <xf numFmtId="0" fontId="97" fillId="8" borderId="263" xfId="0" applyFont="1" applyFill="1" applyBorder="1"/>
    <xf numFmtId="0" fontId="106" fillId="9" borderId="263" xfId="0" applyFont="1" applyFill="1" applyBorder="1"/>
    <xf numFmtId="0" fontId="100" fillId="9" borderId="263" xfId="0" applyFont="1" applyFill="1" applyBorder="1" applyAlignment="1">
      <alignment horizontal="right"/>
    </xf>
    <xf numFmtId="0" fontId="12" fillId="19" borderId="263" xfId="25" applyBorder="1"/>
    <xf numFmtId="0" fontId="97" fillId="0" borderId="263" xfId="0" applyFont="1" applyBorder="1" applyAlignment="1">
      <alignment horizontal="right"/>
    </xf>
    <xf numFmtId="164" fontId="97" fillId="0" borderId="263" xfId="0" applyNumberFormat="1" applyFont="1" applyBorder="1"/>
    <xf numFmtId="0" fontId="97" fillId="13" borderId="263" xfId="0" applyFont="1" applyFill="1" applyBorder="1"/>
    <xf numFmtId="2" fontId="97" fillId="13" borderId="263" xfId="0" applyNumberFormat="1" applyFont="1" applyFill="1" applyBorder="1"/>
    <xf numFmtId="1" fontId="97" fillId="13" borderId="263" xfId="0" applyNumberFormat="1" applyFont="1" applyFill="1" applyBorder="1"/>
    <xf numFmtId="167" fontId="97" fillId="13" borderId="263" xfId="68" applyNumberFormat="1" applyFont="1" applyFill="1" applyBorder="1"/>
    <xf numFmtId="167" fontId="97" fillId="0" borderId="263" xfId="0" applyNumberFormat="1" applyFont="1" applyBorder="1"/>
    <xf numFmtId="0" fontId="98" fillId="4" borderId="263" xfId="0" applyFont="1" applyFill="1" applyBorder="1"/>
    <xf numFmtId="0" fontId="98" fillId="0" borderId="263" xfId="0" applyFont="1" applyBorder="1"/>
    <xf numFmtId="0" fontId="100" fillId="0" borderId="263" xfId="0" applyFont="1" applyBorder="1"/>
    <xf numFmtId="167" fontId="103" fillId="0" borderId="263" xfId="0" applyNumberFormat="1" applyFont="1" applyBorder="1"/>
    <xf numFmtId="2" fontId="36" fillId="37" borderId="263" xfId="27" applyNumberFormat="1" applyBorder="1"/>
    <xf numFmtId="167" fontId="103" fillId="0" borderId="263" xfId="68" applyNumberFormat="1" applyFont="1" applyBorder="1"/>
    <xf numFmtId="0" fontId="98" fillId="0" borderId="187" xfId="0" applyFont="1" applyBorder="1" applyAlignment="1">
      <alignment vertical="center"/>
    </xf>
    <xf numFmtId="0" fontId="103" fillId="0" borderId="188" xfId="0" applyFont="1" applyBorder="1" applyAlignment="1">
      <alignment vertical="center"/>
    </xf>
    <xf numFmtId="0" fontId="98" fillId="8" borderId="58" xfId="0" applyFont="1" applyFill="1" applyBorder="1"/>
    <xf numFmtId="167" fontId="98" fillId="8" borderId="31" xfId="68" applyNumberFormat="1" applyFont="1" applyFill="1" applyBorder="1"/>
    <xf numFmtId="0" fontId="98" fillId="4" borderId="32" xfId="0" applyFont="1" applyFill="1" applyBorder="1"/>
    <xf numFmtId="167" fontId="103" fillId="0" borderId="22" xfId="0" applyNumberFormat="1" applyFont="1" applyBorder="1"/>
    <xf numFmtId="9" fontId="97" fillId="0" borderId="0" xfId="26" applyFont="1"/>
    <xf numFmtId="166" fontId="4" fillId="0" borderId="0" xfId="0" applyNumberFormat="1" applyFont="1"/>
    <xf numFmtId="0" fontId="0" fillId="0" borderId="170" xfId="0" applyBorder="1"/>
    <xf numFmtId="0" fontId="0" fillId="0" borderId="171" xfId="0" applyBorder="1"/>
    <xf numFmtId="0" fontId="71" fillId="0" borderId="163" xfId="0" applyFont="1" applyBorder="1" applyAlignment="1">
      <alignment horizontal="left" vertical="center" wrapText="1"/>
    </xf>
    <xf numFmtId="167" fontId="71" fillId="0" borderId="163" xfId="0" applyNumberFormat="1" applyFont="1" applyBorder="1" applyAlignment="1">
      <alignment vertical="center" wrapText="1"/>
    </xf>
    <xf numFmtId="43" fontId="71" fillId="0" borderId="198" xfId="0" applyNumberFormat="1" applyFont="1" applyBorder="1" applyAlignment="1">
      <alignment vertical="center"/>
    </xf>
    <xf numFmtId="0" fontId="71" fillId="0" borderId="160" xfId="0" applyFont="1" applyBorder="1" applyAlignment="1">
      <alignment vertical="center"/>
    </xf>
    <xf numFmtId="169" fontId="71" fillId="0" borderId="160" xfId="0" applyNumberFormat="1" applyFont="1" applyBorder="1" applyAlignment="1">
      <alignment vertical="center"/>
    </xf>
    <xf numFmtId="169" fontId="71" fillId="0" borderId="160" xfId="0" applyNumberFormat="1" applyFont="1" applyBorder="1" applyAlignment="1">
      <alignment horizontal="center" vertical="center"/>
    </xf>
    <xf numFmtId="173" fontId="71" fillId="0" borderId="165" xfId="0" applyNumberFormat="1" applyFont="1" applyBorder="1" applyAlignment="1">
      <alignment vertical="center"/>
    </xf>
    <xf numFmtId="0" fontId="71" fillId="0" borderId="198" xfId="0" applyFont="1" applyBorder="1" applyAlignment="1">
      <alignment horizontal="left" vertical="center" wrapText="1"/>
    </xf>
    <xf numFmtId="167" fontId="71" fillId="0" borderId="198" xfId="0" applyNumberFormat="1" applyFont="1" applyBorder="1" applyAlignment="1">
      <alignment vertical="center" wrapText="1"/>
    </xf>
    <xf numFmtId="2" fontId="71" fillId="0" borderId="0" xfId="0" applyNumberFormat="1" applyFont="1" applyAlignment="1">
      <alignment vertical="center"/>
    </xf>
    <xf numFmtId="167" fontId="71" fillId="0" borderId="0" xfId="68" applyNumberFormat="1" applyFont="1" applyAlignment="1">
      <alignment vertical="center"/>
    </xf>
    <xf numFmtId="0" fontId="71" fillId="0" borderId="0" xfId="0" applyFont="1" applyAlignment="1">
      <alignment vertical="center"/>
    </xf>
    <xf numFmtId="43" fontId="71" fillId="0" borderId="264" xfId="0" applyNumberFormat="1" applyFont="1" applyBorder="1" applyAlignment="1">
      <alignment vertical="center"/>
    </xf>
    <xf numFmtId="43" fontId="71" fillId="0" borderId="265" xfId="0" applyNumberFormat="1" applyFont="1" applyBorder="1" applyAlignment="1">
      <alignment vertical="center"/>
    </xf>
    <xf numFmtId="167" fontId="71" fillId="0" borderId="168" xfId="0" quotePrefix="1" applyNumberFormat="1" applyFont="1" applyBorder="1" applyAlignment="1">
      <alignment horizontal="center" wrapText="1"/>
    </xf>
    <xf numFmtId="167" fontId="71" fillId="0" borderId="268" xfId="0" quotePrefix="1" applyNumberFormat="1" applyFont="1" applyBorder="1" applyAlignment="1">
      <alignment horizontal="center" wrapText="1"/>
    </xf>
    <xf numFmtId="0" fontId="71" fillId="0" borderId="168" xfId="0" quotePrefix="1" applyFont="1" applyBorder="1" applyAlignment="1">
      <alignment horizontal="center" wrapText="1"/>
    </xf>
    <xf numFmtId="0" fontId="71" fillId="0" borderId="268" xfId="0" quotePrefix="1" applyFont="1" applyBorder="1" applyAlignment="1">
      <alignment horizontal="center" wrapText="1"/>
    </xf>
    <xf numFmtId="167" fontId="71" fillId="0" borderId="168" xfId="0" applyNumberFormat="1" applyFont="1" applyBorder="1" applyAlignment="1">
      <alignment horizontal="center" vertical="center"/>
    </xf>
    <xf numFmtId="43" fontId="71" fillId="0" borderId="268" xfId="0" applyNumberFormat="1" applyFont="1" applyBorder="1"/>
    <xf numFmtId="0" fontId="71" fillId="0" borderId="267" xfId="0" applyFont="1" applyBorder="1" applyAlignment="1">
      <alignment wrapText="1"/>
    </xf>
    <xf numFmtId="169" fontId="71" fillId="0" borderId="267" xfId="0" applyNumberFormat="1" applyFont="1" applyBorder="1"/>
    <xf numFmtId="169" fontId="71" fillId="0" borderId="267" xfId="0" applyNumberFormat="1" applyFont="1" applyBorder="1" applyAlignment="1">
      <alignment horizontal="center"/>
    </xf>
    <xf numFmtId="43" fontId="71" fillId="0" borderId="267" xfId="0" applyNumberFormat="1" applyFont="1" applyBorder="1"/>
    <xf numFmtId="173" fontId="71" fillId="0" borderId="168" xfId="0" quotePrefix="1" applyNumberFormat="1" applyFont="1" applyBorder="1" applyAlignment="1">
      <alignment horizontal="center" wrapText="1"/>
    </xf>
    <xf numFmtId="173" fontId="71" fillId="0" borderId="266" xfId="0" applyNumberFormat="1" applyFont="1" applyBorder="1"/>
    <xf numFmtId="166" fontId="71" fillId="0" borderId="266" xfId="0" applyNumberFormat="1" applyFont="1" applyBorder="1" applyAlignment="1">
      <alignment vertical="center" wrapText="1"/>
    </xf>
    <xf numFmtId="166" fontId="71" fillId="0" borderId="267" xfId="0" applyNumberFormat="1" applyFont="1" applyBorder="1" applyAlignment="1">
      <alignment vertical="center"/>
    </xf>
    <xf numFmtId="164" fontId="71" fillId="0" borderId="268" xfId="0" applyNumberFormat="1" applyFont="1" applyBorder="1" applyAlignment="1">
      <alignment vertical="center"/>
    </xf>
    <xf numFmtId="167" fontId="71" fillId="0" borderId="268" xfId="0" applyNumberFormat="1" applyFont="1" applyBorder="1" applyAlignment="1">
      <alignment vertical="center"/>
    </xf>
    <xf numFmtId="0" fontId="0" fillId="0" borderId="160" xfId="0" applyBorder="1"/>
    <xf numFmtId="169" fontId="26" fillId="0" borderId="160" xfId="0" applyNumberFormat="1" applyFont="1" applyBorder="1"/>
    <xf numFmtId="0" fontId="26" fillId="0" borderId="160" xfId="0" applyFont="1" applyBorder="1" applyAlignment="1">
      <alignment wrapText="1"/>
    </xf>
    <xf numFmtId="0" fontId="0" fillId="0" borderId="160" xfId="0" applyBorder="1" applyAlignment="1">
      <alignment horizontal="center" vertical="center"/>
    </xf>
    <xf numFmtId="167" fontId="71" fillId="0" borderId="162" xfId="0" applyNumberFormat="1" applyFont="1" applyBorder="1" applyAlignment="1">
      <alignment vertical="center" wrapText="1"/>
    </xf>
    <xf numFmtId="167" fontId="71" fillId="0" borderId="169" xfId="0" applyNumberFormat="1" applyFont="1" applyBorder="1" applyAlignment="1">
      <alignment vertical="center" wrapText="1"/>
    </xf>
    <xf numFmtId="167" fontId="71" fillId="0" borderId="163" xfId="0" applyNumberFormat="1" applyFont="1" applyBorder="1" applyAlignment="1">
      <alignment vertical="center"/>
    </xf>
    <xf numFmtId="43" fontId="71" fillId="0" borderId="169" xfId="0" applyNumberFormat="1" applyFont="1" applyBorder="1" applyAlignment="1">
      <alignment vertical="center"/>
    </xf>
    <xf numFmtId="168" fontId="71" fillId="0" borderId="169" xfId="0" applyNumberFormat="1" applyFont="1" applyBorder="1" applyAlignment="1">
      <alignment vertical="center"/>
    </xf>
    <xf numFmtId="164" fontId="71" fillId="0" borderId="163" xfId="0" applyNumberFormat="1" applyFont="1" applyBorder="1" applyAlignment="1">
      <alignment vertical="center"/>
    </xf>
    <xf numFmtId="169" fontId="0" fillId="0" borderId="0" xfId="0" applyNumberFormat="1"/>
    <xf numFmtId="0" fontId="7" fillId="0" borderId="22" xfId="0" applyFont="1" applyBorder="1" applyAlignment="1">
      <alignment horizontal="center" wrapText="1"/>
    </xf>
    <xf numFmtId="0" fontId="10" fillId="0" borderId="0" xfId="0" applyFont="1" applyAlignment="1">
      <alignment wrapText="1"/>
    </xf>
    <xf numFmtId="0" fontId="10" fillId="0" borderId="0" xfId="0" applyFont="1" applyAlignment="1">
      <alignment horizontal="left"/>
    </xf>
    <xf numFmtId="170" fontId="10" fillId="0" borderId="0" xfId="0" applyNumberFormat="1" applyFont="1"/>
    <xf numFmtId="166" fontId="10" fillId="0" borderId="0" xfId="0" applyNumberFormat="1" applyFont="1"/>
    <xf numFmtId="170" fontId="0" fillId="0" borderId="0" xfId="0" applyNumberFormat="1"/>
    <xf numFmtId="43" fontId="11" fillId="0" borderId="0" xfId="0" applyNumberFormat="1" applyFont="1"/>
    <xf numFmtId="173" fontId="0" fillId="0" borderId="0" xfId="0" applyNumberFormat="1"/>
    <xf numFmtId="0" fontId="0" fillId="0" borderId="25" xfId="0" applyBorder="1" applyAlignment="1">
      <alignment wrapText="1"/>
    </xf>
    <xf numFmtId="173" fontId="6" fillId="41" borderId="0" xfId="44" applyNumberFormat="1" applyFont="1"/>
    <xf numFmtId="10" fontId="0" fillId="0" borderId="0" xfId="26" applyNumberFormat="1" applyFont="1"/>
    <xf numFmtId="9" fontId="53" fillId="10" borderId="120" xfId="26" applyFont="1" applyFill="1" applyBorder="1"/>
    <xf numFmtId="9" fontId="19" fillId="10" borderId="110" xfId="26" applyFont="1" applyFill="1" applyBorder="1"/>
    <xf numFmtId="9" fontId="19" fillId="10" borderId="216" xfId="26" applyFont="1" applyFill="1" applyBorder="1"/>
    <xf numFmtId="0" fontId="71" fillId="0" borderId="0" xfId="0" applyFont="1" applyAlignment="1">
      <alignment wrapText="1"/>
    </xf>
    <xf numFmtId="43" fontId="71" fillId="0" borderId="0" xfId="68" applyFont="1" applyBorder="1"/>
    <xf numFmtId="11" fontId="71" fillId="0" borderId="0" xfId="0" applyNumberFormat="1" applyFont="1"/>
    <xf numFmtId="9" fontId="71" fillId="0" borderId="0" xfId="26" applyFont="1"/>
    <xf numFmtId="9" fontId="19" fillId="0" borderId="216" xfId="26" applyFont="1" applyFill="1" applyBorder="1" applyAlignment="1">
      <alignment horizontal="center"/>
    </xf>
    <xf numFmtId="0" fontId="115" fillId="0" borderId="0" xfId="0" applyFont="1" applyAlignment="1">
      <alignment horizontal="center"/>
    </xf>
    <xf numFmtId="166" fontId="12" fillId="19" borderId="46" xfId="25" applyNumberFormat="1"/>
    <xf numFmtId="0" fontId="6" fillId="41" borderId="0" xfId="44" applyFont="1"/>
    <xf numFmtId="0" fontId="52" fillId="0" borderId="0" xfId="0" applyFont="1"/>
    <xf numFmtId="0" fontId="116" fillId="13" borderId="20" xfId="0" applyFont="1" applyFill="1" applyBorder="1" applyAlignment="1">
      <alignment horizontal="center" vertical="center" wrapText="1"/>
    </xf>
    <xf numFmtId="0" fontId="115" fillId="0" borderId="73" xfId="0" applyFont="1" applyBorder="1" applyAlignment="1">
      <alignment horizontal="center"/>
    </xf>
    <xf numFmtId="0" fontId="12" fillId="19" borderId="20" xfId="25" applyBorder="1"/>
    <xf numFmtId="169" fontId="0" fillId="0" borderId="20" xfId="26" applyNumberFormat="1" applyFont="1" applyBorder="1"/>
    <xf numFmtId="168" fontId="0" fillId="0" borderId="32" xfId="68" applyNumberFormat="1" applyFont="1" applyBorder="1"/>
    <xf numFmtId="0" fontId="158" fillId="0" borderId="0" xfId="0" applyFont="1"/>
    <xf numFmtId="0" fontId="159" fillId="0" borderId="0" xfId="0" applyFont="1"/>
    <xf numFmtId="0" fontId="160" fillId="0" borderId="0" xfId="0" applyFont="1"/>
    <xf numFmtId="2" fontId="160" fillId="0" borderId="0" xfId="0" applyNumberFormat="1" applyFont="1"/>
    <xf numFmtId="0" fontId="161" fillId="0" borderId="0" xfId="0" applyFont="1"/>
    <xf numFmtId="0" fontId="162" fillId="0" borderId="0" xfId="0" applyFont="1"/>
    <xf numFmtId="0" fontId="163" fillId="0" borderId="0" xfId="0" applyFont="1"/>
    <xf numFmtId="0" fontId="160" fillId="9" borderId="0" xfId="0" applyFont="1" applyFill="1"/>
    <xf numFmtId="1" fontId="160" fillId="0" borderId="0" xfId="0" applyNumberFormat="1" applyFont="1"/>
    <xf numFmtId="0" fontId="160" fillId="17" borderId="0" xfId="0" applyFont="1" applyFill="1"/>
    <xf numFmtId="167" fontId="160" fillId="0" borderId="0" xfId="0" applyNumberFormat="1" applyFont="1"/>
    <xf numFmtId="0" fontId="161" fillId="7" borderId="0" xfId="0" applyFont="1" applyFill="1"/>
    <xf numFmtId="0" fontId="160" fillId="0" borderId="0" xfId="0" applyFont="1" applyAlignment="1">
      <alignment horizontal="center" wrapText="1"/>
    </xf>
    <xf numFmtId="0" fontId="160" fillId="3" borderId="18" xfId="0" applyFont="1" applyFill="1" applyBorder="1" applyAlignment="1">
      <alignment horizontal="center"/>
    </xf>
    <xf numFmtId="0" fontId="160" fillId="3" borderId="17" xfId="0" applyFont="1" applyFill="1" applyBorder="1" applyAlignment="1">
      <alignment horizontal="center"/>
    </xf>
    <xf numFmtId="0" fontId="160" fillId="3" borderId="17" xfId="0" applyFont="1" applyFill="1" applyBorder="1" applyAlignment="1">
      <alignment horizontal="center" wrapText="1"/>
    </xf>
    <xf numFmtId="0" fontId="160" fillId="8" borderId="14" xfId="0" applyFont="1" applyFill="1" applyBorder="1" applyAlignment="1">
      <alignment horizontal="center" vertical="center" wrapText="1"/>
    </xf>
    <xf numFmtId="0" fontId="160" fillId="8" borderId="12" xfId="0" applyFont="1" applyFill="1" applyBorder="1" applyAlignment="1">
      <alignment horizontal="center" vertical="center" wrapText="1"/>
    </xf>
    <xf numFmtId="0" fontId="160" fillId="8" borderId="13" xfId="0" applyFont="1" applyFill="1" applyBorder="1" applyAlignment="1">
      <alignment horizontal="center" vertical="center" wrapText="1"/>
    </xf>
    <xf numFmtId="0" fontId="160" fillId="8" borderId="15" xfId="0" applyFont="1" applyFill="1" applyBorder="1" applyAlignment="1">
      <alignment horizontal="center" vertical="center" wrapText="1"/>
    </xf>
    <xf numFmtId="0" fontId="160" fillId="7" borderId="12" xfId="0" applyFont="1" applyFill="1" applyBorder="1" applyAlignment="1">
      <alignment horizontal="center" vertical="center" wrapText="1"/>
    </xf>
    <xf numFmtId="0" fontId="160" fillId="7" borderId="13" xfId="0" applyFont="1" applyFill="1" applyBorder="1" applyAlignment="1">
      <alignment horizontal="center" vertical="center" wrapText="1"/>
    </xf>
    <xf numFmtId="0" fontId="160" fillId="7" borderId="16" xfId="0" applyFont="1" applyFill="1" applyBorder="1" applyAlignment="1">
      <alignment horizontal="center" vertical="center" wrapText="1"/>
    </xf>
    <xf numFmtId="0" fontId="160" fillId="11" borderId="12" xfId="0" applyFont="1" applyFill="1" applyBorder="1" applyAlignment="1">
      <alignment horizontal="center" vertical="center" wrapText="1"/>
    </xf>
    <xf numFmtId="0" fontId="160" fillId="6" borderId="14" xfId="0" applyFont="1" applyFill="1" applyBorder="1" applyAlignment="1">
      <alignment horizontal="center" vertical="center" wrapText="1"/>
    </xf>
    <xf numFmtId="0" fontId="160" fillId="4" borderId="12" xfId="0" applyFont="1" applyFill="1" applyBorder="1" applyAlignment="1">
      <alignment horizontal="center" vertical="center" wrapText="1"/>
    </xf>
    <xf numFmtId="0" fontId="164" fillId="10" borderId="9" xfId="0" applyFont="1" applyFill="1" applyBorder="1"/>
    <xf numFmtId="0" fontId="160" fillId="10" borderId="7" xfId="0" applyFont="1" applyFill="1" applyBorder="1"/>
    <xf numFmtId="0" fontId="160" fillId="10" borderId="8" xfId="0" applyFont="1" applyFill="1" applyBorder="1" applyAlignment="1">
      <alignment horizontal="center"/>
    </xf>
    <xf numFmtId="2" fontId="160" fillId="10" borderId="6" xfId="0" applyNumberFormat="1" applyFont="1" applyFill="1" applyBorder="1"/>
    <xf numFmtId="0" fontId="160" fillId="10" borderId="9" xfId="0" applyFont="1" applyFill="1" applyBorder="1"/>
    <xf numFmtId="0" fontId="160" fillId="10" borderId="6" xfId="0" applyFont="1" applyFill="1" applyBorder="1"/>
    <xf numFmtId="0" fontId="160" fillId="10" borderId="174" xfId="0" applyFont="1" applyFill="1" applyBorder="1"/>
    <xf numFmtId="1" fontId="160" fillId="10" borderId="5" xfId="0" applyNumberFormat="1" applyFont="1" applyFill="1" applyBorder="1"/>
    <xf numFmtId="1" fontId="160" fillId="10" borderId="18" xfId="0" applyNumberFormat="1" applyFont="1" applyFill="1" applyBorder="1"/>
    <xf numFmtId="0" fontId="165" fillId="19" borderId="46" xfId="0" applyFont="1" applyFill="1" applyBorder="1"/>
    <xf numFmtId="0" fontId="166" fillId="0" borderId="8" xfId="0" applyFont="1" applyBorder="1" applyAlignment="1">
      <alignment horizontal="center"/>
    </xf>
    <xf numFmtId="1" fontId="165" fillId="19" borderId="46" xfId="0" applyNumberFormat="1" applyFont="1" applyFill="1" applyBorder="1"/>
    <xf numFmtId="0" fontId="166" fillId="0" borderId="9" xfId="0" applyFont="1" applyBorder="1"/>
    <xf numFmtId="0" fontId="166" fillId="0" borderId="7" xfId="0" applyFont="1" applyBorder="1"/>
    <xf numFmtId="0" fontId="166" fillId="0" borderId="6" xfId="0" applyFont="1" applyBorder="1"/>
    <xf numFmtId="1" fontId="166" fillId="0" borderId="20" xfId="0" applyNumberFormat="1" applyFont="1" applyBorder="1"/>
    <xf numFmtId="1" fontId="166" fillId="0" borderId="5" xfId="0" applyNumberFormat="1" applyFont="1" applyBorder="1"/>
    <xf numFmtId="0" fontId="166" fillId="0" borderId="34" xfId="0" applyFont="1" applyBorder="1"/>
    <xf numFmtId="0" fontId="160" fillId="0" borderId="0" xfId="0" applyFont="1" applyAlignment="1">
      <alignment horizontal="center"/>
    </xf>
    <xf numFmtId="0" fontId="167" fillId="0" borderId="0" xfId="0" applyFont="1"/>
    <xf numFmtId="0" fontId="167" fillId="0" borderId="0" xfId="0" applyFont="1" applyAlignment="1">
      <alignment horizontal="center"/>
    </xf>
    <xf numFmtId="1" fontId="167" fillId="0" borderId="0" xfId="0" applyNumberFormat="1" applyFont="1"/>
    <xf numFmtId="0" fontId="166" fillId="9" borderId="0" xfId="0" applyFont="1" applyFill="1" applyAlignment="1">
      <alignment horizontal="right" wrapText="1"/>
    </xf>
    <xf numFmtId="1" fontId="166" fillId="0" borderId="0" xfId="0" applyNumberFormat="1" applyFont="1"/>
    <xf numFmtId="0" fontId="166" fillId="0" borderId="0" xfId="0" applyFont="1"/>
    <xf numFmtId="0" fontId="167" fillId="0" borderId="27" xfId="0" applyFont="1" applyBorder="1" applyAlignment="1">
      <alignment horizontal="center" vertical="center" wrapText="1"/>
    </xf>
    <xf numFmtId="1" fontId="167" fillId="0" borderId="27" xfId="0" applyNumberFormat="1" applyFont="1" applyBorder="1" applyAlignment="1">
      <alignment horizontal="center" vertical="center" wrapText="1"/>
    </xf>
    <xf numFmtId="0" fontId="167" fillId="6" borderId="27" xfId="0" applyFont="1" applyFill="1" applyBorder="1" applyAlignment="1">
      <alignment horizontal="center" vertical="center" wrapText="1"/>
    </xf>
    <xf numFmtId="0" fontId="167" fillId="4" borderId="27" xfId="0" applyFont="1" applyFill="1" applyBorder="1" applyAlignment="1">
      <alignment horizontal="center" vertical="center" wrapText="1"/>
    </xf>
    <xf numFmtId="0" fontId="169" fillId="0" borderId="0" xfId="0" applyFont="1"/>
    <xf numFmtId="0" fontId="166" fillId="0" borderId="20" xfId="0" applyFont="1" applyBorder="1"/>
    <xf numFmtId="0" fontId="167" fillId="6" borderId="20" xfId="0" applyFont="1" applyFill="1" applyBorder="1" applyAlignment="1">
      <alignment horizontal="center" vertical="center" wrapText="1"/>
    </xf>
    <xf numFmtId="41" fontId="167" fillId="6" borderId="20" xfId="0" applyNumberFormat="1" applyFont="1" applyFill="1" applyBorder="1" applyAlignment="1">
      <alignment horizontal="center" vertical="center" wrapText="1"/>
    </xf>
    <xf numFmtId="0" fontId="167" fillId="4" borderId="20" xfId="0" applyFont="1" applyFill="1" applyBorder="1" applyAlignment="1">
      <alignment horizontal="center" vertical="center" wrapText="1"/>
    </xf>
    <xf numFmtId="0" fontId="167" fillId="0" borderId="26" xfId="0" applyFont="1" applyBorder="1"/>
    <xf numFmtId="0" fontId="167" fillId="0" borderId="26" xfId="0" applyFont="1" applyBorder="1" applyAlignment="1">
      <alignment horizontal="center"/>
    </xf>
    <xf numFmtId="167" fontId="167" fillId="0" borderId="26" xfId="0" applyNumberFormat="1" applyFont="1" applyBorder="1"/>
    <xf numFmtId="0" fontId="167" fillId="0" borderId="20" xfId="0" applyFont="1" applyBorder="1" applyAlignment="1">
      <alignment horizontal="center" vertical="center" wrapText="1"/>
    </xf>
    <xf numFmtId="1" fontId="167" fillId="0" borderId="26" xfId="0" applyNumberFormat="1" applyFont="1" applyBorder="1"/>
    <xf numFmtId="0" fontId="167" fillId="0" borderId="20" xfId="0" applyFont="1" applyBorder="1"/>
    <xf numFmtId="0" fontId="167" fillId="0" borderId="20" xfId="0" applyFont="1" applyBorder="1" applyAlignment="1">
      <alignment horizontal="center"/>
    </xf>
    <xf numFmtId="43" fontId="160" fillId="0" borderId="0" xfId="0" applyNumberFormat="1" applyFont="1"/>
    <xf numFmtId="0" fontId="167" fillId="0" borderId="28" xfId="0" applyFont="1" applyBorder="1"/>
    <xf numFmtId="0" fontId="167" fillId="0" borderId="15" xfId="0" applyFont="1" applyBorder="1"/>
    <xf numFmtId="0" fontId="167" fillId="0" borderId="19" xfId="0" applyFont="1" applyBorder="1" applyAlignment="1">
      <alignment horizontal="right" indent="1"/>
    </xf>
    <xf numFmtId="167" fontId="167" fillId="6" borderId="26" xfId="0" applyNumberFormat="1" applyFont="1" applyFill="1" applyBorder="1"/>
    <xf numFmtId="167" fontId="167" fillId="4" borderId="20" xfId="68" applyNumberFormat="1" applyFont="1" applyFill="1" applyBorder="1" applyAlignment="1">
      <alignment horizontal="right" vertical="center" wrapText="1"/>
    </xf>
    <xf numFmtId="9" fontId="167" fillId="0" borderId="0" xfId="0" applyNumberFormat="1" applyFont="1"/>
    <xf numFmtId="0" fontId="167" fillId="0" borderId="0" xfId="0" applyFont="1" applyAlignment="1">
      <alignment horizontal="right"/>
    </xf>
    <xf numFmtId="43" fontId="167" fillId="0" borderId="0" xfId="0" applyNumberFormat="1" applyFont="1" applyAlignment="1">
      <alignment horizontal="right"/>
    </xf>
    <xf numFmtId="167" fontId="167" fillId="0" borderId="0" xfId="68" applyNumberFormat="1" applyFont="1"/>
    <xf numFmtId="167" fontId="160" fillId="0" borderId="0" xfId="68" applyNumberFormat="1" applyFont="1"/>
    <xf numFmtId="1" fontId="167" fillId="0" borderId="20" xfId="0" applyNumberFormat="1" applyFont="1" applyBorder="1"/>
    <xf numFmtId="167" fontId="167" fillId="6" borderId="20" xfId="0" applyNumberFormat="1" applyFont="1" applyFill="1" applyBorder="1"/>
    <xf numFmtId="167" fontId="164" fillId="6" borderId="20" xfId="0" applyNumberFormat="1" applyFont="1" applyFill="1" applyBorder="1"/>
    <xf numFmtId="167" fontId="164" fillId="4" borderId="20" xfId="68" applyNumberFormat="1" applyFont="1" applyFill="1" applyBorder="1" applyAlignment="1">
      <alignment horizontal="right" vertical="center" wrapText="1"/>
    </xf>
    <xf numFmtId="1" fontId="170" fillId="0" borderId="0" xfId="28" applyNumberFormat="1" applyFont="1"/>
    <xf numFmtId="165" fontId="160" fillId="0" borderId="0" xfId="0" applyNumberFormat="1" applyFont="1"/>
    <xf numFmtId="0" fontId="171" fillId="0" borderId="0" xfId="0" applyFont="1"/>
    <xf numFmtId="0" fontId="160" fillId="0" borderId="22" xfId="0" applyFont="1" applyBorder="1"/>
    <xf numFmtId="0" fontId="160" fillId="6" borderId="20" xfId="0" applyFont="1" applyFill="1" applyBorder="1" applyAlignment="1">
      <alignment horizontal="center" vertical="center" wrapText="1"/>
    </xf>
    <xf numFmtId="0" fontId="160" fillId="4" borderId="20" xfId="0" applyFont="1" applyFill="1" applyBorder="1" applyAlignment="1">
      <alignment horizontal="center" vertical="center" wrapText="1"/>
    </xf>
    <xf numFmtId="0" fontId="160" fillId="6" borderId="28" xfId="0" applyFont="1" applyFill="1" applyBorder="1"/>
    <xf numFmtId="0" fontId="160" fillId="6" borderId="19" xfId="0" applyFont="1" applyFill="1" applyBorder="1"/>
    <xf numFmtId="0" fontId="160" fillId="4" borderId="28" xfId="0" applyFont="1" applyFill="1" applyBorder="1"/>
    <xf numFmtId="0" fontId="160" fillId="4" borderId="19" xfId="0" applyFont="1" applyFill="1" applyBorder="1"/>
    <xf numFmtId="167" fontId="172" fillId="19" borderId="0" xfId="0" applyNumberFormat="1" applyFont="1" applyFill="1"/>
    <xf numFmtId="165" fontId="160" fillId="0" borderId="31" xfId="0" applyNumberFormat="1" applyFont="1" applyBorder="1"/>
    <xf numFmtId="9" fontId="160" fillId="0" borderId="0" xfId="0" applyNumberFormat="1" applyFont="1"/>
    <xf numFmtId="167" fontId="160" fillId="19" borderId="0" xfId="0" applyNumberFormat="1" applyFont="1" applyFill="1"/>
    <xf numFmtId="167" fontId="172" fillId="0" borderId="0" xfId="0" applyNumberFormat="1" applyFont="1"/>
    <xf numFmtId="0" fontId="160" fillId="0" borderId="25" xfId="0" applyFont="1" applyBorder="1"/>
    <xf numFmtId="167" fontId="172" fillId="0" borderId="25" xfId="0" applyNumberFormat="1" applyFont="1" applyBorder="1"/>
    <xf numFmtId="167" fontId="172" fillId="19" borderId="25" xfId="0" applyNumberFormat="1" applyFont="1" applyFill="1" applyBorder="1"/>
    <xf numFmtId="167" fontId="160" fillId="0" borderId="25" xfId="0" applyNumberFormat="1" applyFont="1" applyBorder="1"/>
    <xf numFmtId="165" fontId="160" fillId="0" borderId="25" xfId="0" applyNumberFormat="1" applyFont="1" applyBorder="1"/>
    <xf numFmtId="165" fontId="160" fillId="0" borderId="73" xfId="0" applyNumberFormat="1" applyFont="1" applyBorder="1"/>
    <xf numFmtId="9" fontId="160" fillId="0" borderId="25" xfId="0" applyNumberFormat="1" applyFont="1" applyBorder="1"/>
    <xf numFmtId="0" fontId="173" fillId="9" borderId="0" xfId="0" applyFont="1" applyFill="1"/>
    <xf numFmtId="165" fontId="173" fillId="9" borderId="0" xfId="0" applyNumberFormat="1" applyFont="1" applyFill="1"/>
    <xf numFmtId="0" fontId="174" fillId="9" borderId="0" xfId="0" applyFont="1" applyFill="1"/>
    <xf numFmtId="0" fontId="168" fillId="19" borderId="56" xfId="0" applyFont="1" applyFill="1" applyBorder="1" applyAlignment="1">
      <alignment horizontal="left" vertical="center"/>
    </xf>
    <xf numFmtId="0" fontId="160" fillId="0" borderId="0" xfId="0" applyFont="1" applyAlignment="1">
      <alignment horizontal="center" vertical="center" wrapText="1"/>
    </xf>
    <xf numFmtId="0" fontId="167" fillId="0" borderId="0" xfId="0" applyFont="1" applyAlignment="1">
      <alignment horizontal="center" vertical="center" wrapText="1"/>
    </xf>
    <xf numFmtId="0" fontId="160" fillId="0" borderId="0" xfId="0" applyFont="1" applyAlignment="1">
      <alignment wrapText="1"/>
    </xf>
    <xf numFmtId="1" fontId="166" fillId="0" borderId="0" xfId="0" applyNumberFormat="1" applyFont="1" applyAlignment="1">
      <alignment wrapText="1"/>
    </xf>
    <xf numFmtId="0" fontId="166" fillId="0" borderId="0" xfId="0" applyFont="1" applyAlignment="1">
      <alignment wrapText="1"/>
    </xf>
    <xf numFmtId="0" fontId="90" fillId="0" borderId="0" xfId="0" applyFont="1" applyAlignment="1">
      <alignment horizontal="right"/>
    </xf>
    <xf numFmtId="0" fontId="10" fillId="0" borderId="25" xfId="0" applyFont="1" applyBorder="1"/>
    <xf numFmtId="0" fontId="52" fillId="0" borderId="0" xfId="0" applyFont="1" applyAlignment="1">
      <alignment horizontal="right"/>
    </xf>
    <xf numFmtId="9" fontId="0" fillId="0" borderId="0" xfId="26" applyFont="1" applyAlignment="1">
      <alignment vertical="center"/>
    </xf>
    <xf numFmtId="167" fontId="0" fillId="0" borderId="0" xfId="0" applyNumberFormat="1" applyAlignment="1">
      <alignment vertical="center"/>
    </xf>
    <xf numFmtId="0" fontId="175" fillId="0" borderId="0" xfId="0" applyFont="1" applyAlignment="1">
      <alignment horizontal="left"/>
    </xf>
    <xf numFmtId="0" fontId="176" fillId="0" borderId="0" xfId="0" applyFont="1" applyAlignment="1">
      <alignment horizontal="left"/>
    </xf>
    <xf numFmtId="0" fontId="176" fillId="0" borderId="0" xfId="0" applyFont="1" applyAlignment="1">
      <alignment horizontal="center" vertical="center"/>
    </xf>
    <xf numFmtId="0" fontId="158" fillId="0" borderId="0" xfId="0" applyFont="1" applyAlignment="1">
      <alignment horizontal="right"/>
    </xf>
    <xf numFmtId="43" fontId="158" fillId="0" borderId="0" xfId="68" applyFont="1"/>
    <xf numFmtId="0" fontId="175" fillId="0" borderId="22" xfId="0" applyFont="1" applyBorder="1" applyAlignment="1">
      <alignment horizontal="left"/>
    </xf>
    <xf numFmtId="0" fontId="176" fillId="0" borderId="22" xfId="0" applyFont="1" applyBorder="1" applyAlignment="1">
      <alignment horizontal="left"/>
    </xf>
    <xf numFmtId="0" fontId="176" fillId="0" borderId="22" xfId="0" applyFont="1" applyBorder="1" applyAlignment="1">
      <alignment horizontal="center" vertical="center"/>
    </xf>
    <xf numFmtId="0" fontId="176" fillId="0" borderId="22" xfId="0" applyFont="1" applyBorder="1" applyAlignment="1">
      <alignment horizontal="right"/>
    </xf>
    <xf numFmtId="0" fontId="175" fillId="0" borderId="15" xfId="0" applyFont="1" applyBorder="1" applyAlignment="1">
      <alignment horizontal="left"/>
    </xf>
    <xf numFmtId="0" fontId="176" fillId="0" borderId="15" xfId="0" applyFont="1" applyBorder="1" applyAlignment="1">
      <alignment horizontal="left"/>
    </xf>
    <xf numFmtId="0" fontId="176" fillId="0" borderId="15" xfId="0" applyFont="1" applyBorder="1" applyAlignment="1">
      <alignment horizontal="center" vertical="center"/>
    </xf>
    <xf numFmtId="0" fontId="175" fillId="0" borderId="0" xfId="0" applyFont="1" applyAlignment="1">
      <alignment horizontal="center" vertical="center"/>
    </xf>
    <xf numFmtId="0" fontId="177" fillId="0" borderId="0" xfId="0" applyFont="1"/>
    <xf numFmtId="0" fontId="177" fillId="0" borderId="0" xfId="0" applyFont="1" applyAlignment="1">
      <alignment horizontal="right"/>
    </xf>
    <xf numFmtId="43" fontId="177" fillId="0" borderId="0" xfId="68" applyFont="1"/>
    <xf numFmtId="0" fontId="176" fillId="0" borderId="73" xfId="0" applyFont="1" applyBorder="1" applyAlignment="1">
      <alignment horizontal="left" wrapText="1"/>
    </xf>
    <xf numFmtId="0" fontId="176" fillId="0" borderId="10" xfId="0" applyFont="1" applyBorder="1" applyAlignment="1">
      <alignment horizontal="left" wrapText="1"/>
    </xf>
    <xf numFmtId="0" fontId="176" fillId="0" borderId="10" xfId="0" applyFont="1" applyBorder="1" applyAlignment="1">
      <alignment horizontal="center" vertical="center" wrapText="1"/>
    </xf>
    <xf numFmtId="0" fontId="176" fillId="0" borderId="269" xfId="0" applyFont="1" applyBorder="1" applyAlignment="1">
      <alignment horizontal="center" vertical="center" wrapText="1"/>
    </xf>
    <xf numFmtId="0" fontId="158" fillId="0" borderId="0" xfId="0" applyFont="1" applyAlignment="1">
      <alignment wrapText="1"/>
    </xf>
    <xf numFmtId="0" fontId="158" fillId="0" borderId="0" xfId="0" applyFont="1" applyAlignment="1">
      <alignment horizontal="right" wrapText="1"/>
    </xf>
    <xf numFmtId="43" fontId="158" fillId="0" borderId="0" xfId="68" applyFont="1" applyAlignment="1">
      <alignment wrapText="1"/>
    </xf>
    <xf numFmtId="0" fontId="176" fillId="0" borderId="31" xfId="0" applyFont="1" applyBorder="1" applyAlignment="1">
      <alignment horizontal="left"/>
    </xf>
    <xf numFmtId="0" fontId="176" fillId="0" borderId="270" xfId="0" applyFont="1" applyBorder="1" applyAlignment="1">
      <alignment horizontal="left"/>
    </xf>
    <xf numFmtId="167" fontId="176" fillId="0" borderId="270" xfId="68" applyNumberFormat="1" applyFont="1" applyBorder="1" applyAlignment="1">
      <alignment horizontal="center" vertical="center"/>
    </xf>
    <xf numFmtId="0" fontId="176" fillId="0" borderId="271" xfId="0" applyFont="1" applyBorder="1" applyAlignment="1">
      <alignment horizontal="center" vertical="center"/>
    </xf>
    <xf numFmtId="168" fontId="176" fillId="0" borderId="270" xfId="68" applyNumberFormat="1" applyFont="1" applyBorder="1" applyAlignment="1">
      <alignment horizontal="center" vertical="center"/>
    </xf>
    <xf numFmtId="169" fontId="176" fillId="0" borderId="270" xfId="26" applyNumberFormat="1" applyFont="1" applyBorder="1" applyAlignment="1">
      <alignment horizontal="right" vertical="center"/>
    </xf>
    <xf numFmtId="0" fontId="176" fillId="0" borderId="271" xfId="0" applyFont="1" applyBorder="1" applyAlignment="1">
      <alignment horizontal="right" vertical="center"/>
    </xf>
    <xf numFmtId="0" fontId="176" fillId="0" borderId="23" xfId="0" applyFont="1" applyBorder="1" applyAlignment="1">
      <alignment horizontal="left"/>
    </xf>
    <xf numFmtId="0" fontId="176" fillId="0" borderId="272" xfId="0" applyFont="1" applyBorder="1" applyAlignment="1">
      <alignment horizontal="left"/>
    </xf>
    <xf numFmtId="167" fontId="176" fillId="0" borderId="272" xfId="68" applyNumberFormat="1" applyFont="1" applyBorder="1" applyAlignment="1">
      <alignment horizontal="right" vertical="center"/>
    </xf>
    <xf numFmtId="0" fontId="176" fillId="0" borderId="273" xfId="0" applyFont="1" applyBorder="1" applyAlignment="1">
      <alignment horizontal="right" vertical="center"/>
    </xf>
    <xf numFmtId="0" fontId="176" fillId="0" borderId="28" xfId="0" applyFont="1" applyBorder="1" applyAlignment="1">
      <alignment horizontal="left"/>
    </xf>
    <xf numFmtId="0" fontId="176" fillId="0" borderId="274" xfId="0" applyFont="1" applyBorder="1" applyAlignment="1">
      <alignment horizontal="left"/>
    </xf>
    <xf numFmtId="0" fontId="176" fillId="0" borderId="10" xfId="0" applyFont="1" applyBorder="1"/>
    <xf numFmtId="0" fontId="176" fillId="0" borderId="10" xfId="0" applyFont="1" applyBorder="1" applyAlignment="1">
      <alignment horizontal="center" vertical="center"/>
    </xf>
    <xf numFmtId="0" fontId="176" fillId="0" borderId="269" xfId="0" applyFont="1" applyBorder="1" applyAlignment="1">
      <alignment horizontal="center" vertical="center"/>
    </xf>
    <xf numFmtId="0" fontId="175" fillId="0" borderId="275" xfId="0" applyFont="1" applyBorder="1" applyAlignment="1">
      <alignment horizontal="left"/>
    </xf>
    <xf numFmtId="167" fontId="176" fillId="0" borderId="270" xfId="0" applyNumberFormat="1" applyFont="1" applyBorder="1" applyAlignment="1">
      <alignment horizontal="center" vertical="center"/>
    </xf>
    <xf numFmtId="0" fontId="176" fillId="0" borderId="275" xfId="0" applyFont="1" applyBorder="1" applyAlignment="1">
      <alignment horizontal="left"/>
    </xf>
    <xf numFmtId="43" fontId="176" fillId="0" borderId="270" xfId="68" applyFont="1" applyBorder="1" applyAlignment="1">
      <alignment horizontal="center" vertical="center"/>
    </xf>
    <xf numFmtId="0" fontId="176" fillId="0" borderId="276" xfId="0" applyFont="1" applyBorder="1" applyAlignment="1">
      <alignment horizontal="left"/>
    </xf>
    <xf numFmtId="167" fontId="176" fillId="0" borderId="272" xfId="0" applyNumberFormat="1" applyFont="1" applyBorder="1" applyAlignment="1">
      <alignment horizontal="center" vertical="center"/>
    </xf>
    <xf numFmtId="0" fontId="176" fillId="0" borderId="273" xfId="0" applyFont="1" applyBorder="1" applyAlignment="1">
      <alignment horizontal="center" vertical="center"/>
    </xf>
    <xf numFmtId="0" fontId="176" fillId="0" borderId="10" xfId="0" applyFont="1" applyBorder="1" applyAlignment="1">
      <alignment horizontal="left"/>
    </xf>
    <xf numFmtId="0" fontId="176" fillId="0" borderId="277" xfId="0" applyFont="1" applyBorder="1" applyAlignment="1">
      <alignment horizontal="left"/>
    </xf>
    <xf numFmtId="0" fontId="176" fillId="0" borderId="174" xfId="0" applyFont="1" applyBorder="1" applyAlignment="1">
      <alignment horizontal="left"/>
    </xf>
    <xf numFmtId="0" fontId="176" fillId="0" borderId="278" xfId="0" applyFont="1" applyBorder="1" applyAlignment="1">
      <alignment horizontal="center" vertical="center"/>
    </xf>
    <xf numFmtId="167" fontId="176" fillId="0" borderId="174" xfId="68" applyNumberFormat="1" applyFont="1" applyBorder="1" applyAlignment="1">
      <alignment horizontal="right" vertical="center"/>
    </xf>
    <xf numFmtId="9" fontId="176" fillId="0" borderId="270" xfId="0" applyNumberFormat="1" applyFont="1" applyBorder="1" applyAlignment="1">
      <alignment horizontal="right" vertical="center"/>
    </xf>
    <xf numFmtId="167" fontId="176" fillId="0" borderId="15" xfId="0" applyNumberFormat="1" applyFont="1" applyBorder="1" applyAlignment="1">
      <alignment horizontal="center" vertical="center"/>
    </xf>
    <xf numFmtId="0" fontId="176" fillId="0" borderId="19" xfId="0" applyFont="1" applyBorder="1" applyAlignment="1">
      <alignment horizontal="center" vertical="center"/>
    </xf>
    <xf numFmtId="0" fontId="175" fillId="0" borderId="28" xfId="0" applyFont="1" applyBorder="1" applyAlignment="1">
      <alignment horizontal="left"/>
    </xf>
    <xf numFmtId="167" fontId="175" fillId="0" borderId="15" xfId="0" applyNumberFormat="1" applyFont="1" applyBorder="1" applyAlignment="1">
      <alignment horizontal="center" vertical="center"/>
    </xf>
    <xf numFmtId="0" fontId="175" fillId="0" borderId="19" xfId="0" applyFont="1" applyBorder="1" applyAlignment="1">
      <alignment horizontal="center" vertical="center"/>
    </xf>
    <xf numFmtId="0" fontId="158" fillId="0" borderId="0" xfId="0" applyFont="1" applyAlignment="1">
      <alignment horizontal="left"/>
    </xf>
    <xf numFmtId="0" fontId="158" fillId="0" borderId="0" xfId="0" applyFont="1" applyAlignment="1">
      <alignment horizontal="center" vertical="center"/>
    </xf>
    <xf numFmtId="167" fontId="158" fillId="0" borderId="0" xfId="68" applyNumberFormat="1" applyFont="1" applyAlignment="1">
      <alignment horizontal="center" vertical="center"/>
    </xf>
    <xf numFmtId="43" fontId="158" fillId="0" borderId="0" xfId="68" applyFont="1" applyAlignment="1">
      <alignment horizontal="center" vertical="center"/>
    </xf>
    <xf numFmtId="0" fontId="158" fillId="0" borderId="20" xfId="0" applyFont="1" applyBorder="1" applyAlignment="1">
      <alignment horizontal="center" vertical="center"/>
    </xf>
    <xf numFmtId="168" fontId="158" fillId="0" borderId="0" xfId="68" applyNumberFormat="1" applyFont="1" applyAlignment="1">
      <alignment horizontal="center" vertical="center"/>
    </xf>
    <xf numFmtId="167" fontId="158" fillId="0" borderId="0" xfId="0" applyNumberFormat="1" applyFont="1" applyAlignment="1">
      <alignment horizontal="center" vertical="center"/>
    </xf>
    <xf numFmtId="0" fontId="158" fillId="0" borderId="0" xfId="0" applyFont="1" applyAlignment="1">
      <alignment horizontal="left" vertical="center"/>
    </xf>
    <xf numFmtId="0" fontId="178" fillId="0" borderId="15" xfId="0" applyFont="1" applyBorder="1" applyAlignment="1">
      <alignment horizontal="right"/>
    </xf>
    <xf numFmtId="167" fontId="179" fillId="19" borderId="46" xfId="25" applyNumberFormat="1" applyFont="1" applyAlignment="1">
      <alignment vertical="center" wrapText="1"/>
    </xf>
    <xf numFmtId="43" fontId="176" fillId="0" borderId="174" xfId="68" applyFont="1" applyBorder="1" applyAlignment="1">
      <alignment horizontal="right" vertical="center"/>
    </xf>
    <xf numFmtId="49" fontId="12" fillId="19" borderId="46" xfId="25" applyNumberFormat="1"/>
    <xf numFmtId="49" fontId="12" fillId="19" borderId="46" xfId="25" quotePrefix="1" applyNumberFormat="1"/>
    <xf numFmtId="0" fontId="11" fillId="0" borderId="155" xfId="0" applyFont="1" applyBorder="1"/>
    <xf numFmtId="0" fontId="181" fillId="0" borderId="0" xfId="0" applyFont="1" applyAlignment="1">
      <alignment horizontal="right"/>
    </xf>
    <xf numFmtId="167" fontId="0" fillId="0" borderId="47" xfId="68" applyNumberFormat="1" applyFont="1" applyBorder="1"/>
    <xf numFmtId="0" fontId="158" fillId="38" borderId="0" xfId="0" applyFont="1" applyFill="1" applyAlignment="1">
      <alignment horizontal="center"/>
    </xf>
    <xf numFmtId="0" fontId="158" fillId="38" borderId="0" xfId="0" applyFont="1" applyFill="1"/>
    <xf numFmtId="0" fontId="158" fillId="0" borderId="0" xfId="0" applyFont="1" applyAlignment="1">
      <alignment horizontal="center"/>
    </xf>
    <xf numFmtId="0" fontId="158" fillId="0" borderId="28" xfId="0" applyFont="1" applyBorder="1"/>
    <xf numFmtId="0" fontId="158" fillId="0" borderId="15" xfId="0" applyFont="1" applyBorder="1"/>
    <xf numFmtId="0" fontId="158" fillId="0" borderId="19" xfId="0" applyFont="1" applyBorder="1"/>
    <xf numFmtId="0" fontId="158" fillId="9" borderId="15" xfId="0" applyFont="1" applyFill="1" applyBorder="1"/>
    <xf numFmtId="0" fontId="158" fillId="9" borderId="19" xfId="0" applyFont="1" applyFill="1" applyBorder="1"/>
    <xf numFmtId="0" fontId="182" fillId="0" borderId="0" xfId="0" applyFont="1"/>
    <xf numFmtId="0" fontId="158" fillId="38" borderId="73" xfId="0" applyFont="1" applyFill="1" applyBorder="1" applyAlignment="1">
      <alignment horizontal="center"/>
    </xf>
    <xf numFmtId="0" fontId="158" fillId="38" borderId="25" xfId="0" applyFont="1" applyFill="1" applyBorder="1" applyAlignment="1">
      <alignment horizontal="center"/>
    </xf>
    <xf numFmtId="0" fontId="158" fillId="38" borderId="25" xfId="0" applyFont="1" applyFill="1" applyBorder="1"/>
    <xf numFmtId="0" fontId="158" fillId="38" borderId="24" xfId="0" applyFont="1" applyFill="1" applyBorder="1"/>
    <xf numFmtId="0" fontId="158" fillId="0" borderId="31" xfId="0" applyFont="1" applyBorder="1" applyAlignment="1">
      <alignment horizontal="center"/>
    </xf>
    <xf numFmtId="0" fontId="158" fillId="0" borderId="32" xfId="0" applyFont="1" applyBorder="1" applyAlignment="1">
      <alignment horizontal="center"/>
    </xf>
    <xf numFmtId="0" fontId="158" fillId="0" borderId="31" xfId="0" applyFont="1" applyBorder="1"/>
    <xf numFmtId="0" fontId="158" fillId="0" borderId="32" xfId="0" applyFont="1" applyBorder="1"/>
    <xf numFmtId="0" fontId="158" fillId="0" borderId="23" xfId="0" applyFont="1" applyBorder="1"/>
    <xf numFmtId="0" fontId="158" fillId="0" borderId="22" xfId="0" applyFont="1" applyBorder="1"/>
    <xf numFmtId="0" fontId="158" fillId="0" borderId="21" xfId="0" applyFont="1" applyBorder="1"/>
    <xf numFmtId="0" fontId="158" fillId="23" borderId="73" xfId="0" applyFont="1" applyFill="1" applyBorder="1" applyAlignment="1">
      <alignment horizontal="center"/>
    </xf>
    <xf numFmtId="0" fontId="158" fillId="23" borderId="25" xfId="0" applyFont="1" applyFill="1" applyBorder="1" applyAlignment="1">
      <alignment horizontal="center"/>
    </xf>
    <xf numFmtId="0" fontId="158" fillId="23" borderId="24" xfId="0" applyFont="1" applyFill="1" applyBorder="1" applyAlignment="1">
      <alignment horizontal="center"/>
    </xf>
    <xf numFmtId="0" fontId="158" fillId="4" borderId="73" xfId="0" applyFont="1" applyFill="1" applyBorder="1" applyAlignment="1">
      <alignment horizontal="center"/>
    </xf>
    <xf numFmtId="0" fontId="158" fillId="4" borderId="24" xfId="0" applyFont="1" applyFill="1" applyBorder="1" applyAlignment="1">
      <alignment horizontal="center"/>
    </xf>
    <xf numFmtId="0" fontId="158" fillId="4" borderId="25" xfId="0" applyFont="1" applyFill="1" applyBorder="1" applyAlignment="1">
      <alignment horizontal="center"/>
    </xf>
    <xf numFmtId="0" fontId="177" fillId="9" borderId="19" xfId="0" applyFont="1" applyFill="1" applyBorder="1"/>
    <xf numFmtId="1" fontId="158" fillId="0" borderId="0" xfId="0" applyNumberFormat="1" applyFont="1" applyAlignment="1">
      <alignment horizontal="center"/>
    </xf>
    <xf numFmtId="1" fontId="158" fillId="0" borderId="32" xfId="0" applyNumberFormat="1" applyFont="1" applyBorder="1" applyAlignment="1">
      <alignment horizontal="center"/>
    </xf>
    <xf numFmtId="164" fontId="158" fillId="0" borderId="22" xfId="0" applyNumberFormat="1" applyFont="1" applyBorder="1" applyAlignment="1">
      <alignment horizontal="center"/>
    </xf>
    <xf numFmtId="164" fontId="158" fillId="0" borderId="21" xfId="0" applyNumberFormat="1" applyFont="1" applyBorder="1" applyAlignment="1">
      <alignment horizontal="center"/>
    </xf>
    <xf numFmtId="0" fontId="158" fillId="67" borderId="73" xfId="0" applyFont="1" applyFill="1" applyBorder="1"/>
    <xf numFmtId="0" fontId="158" fillId="67" borderId="25" xfId="0" applyFont="1" applyFill="1" applyBorder="1"/>
    <xf numFmtId="0" fontId="158" fillId="67" borderId="24" xfId="0" applyFont="1" applyFill="1" applyBorder="1"/>
    <xf numFmtId="0" fontId="158" fillId="5" borderId="73" xfId="0" applyFont="1" applyFill="1" applyBorder="1"/>
    <xf numFmtId="0" fontId="158" fillId="5" borderId="25" xfId="0" applyFont="1" applyFill="1" applyBorder="1"/>
    <xf numFmtId="0" fontId="158" fillId="5" borderId="24" xfId="0" applyFont="1" applyFill="1" applyBorder="1"/>
    <xf numFmtId="164" fontId="158" fillId="9" borderId="22" xfId="0" applyNumberFormat="1" applyFont="1" applyFill="1" applyBorder="1" applyAlignment="1">
      <alignment horizontal="center"/>
    </xf>
    <xf numFmtId="0" fontId="2" fillId="0" borderId="25" xfId="0" applyFont="1" applyBorder="1"/>
    <xf numFmtId="0" fontId="121" fillId="32" borderId="44" xfId="0" applyFont="1" applyFill="1" applyBorder="1"/>
    <xf numFmtId="0" fontId="10" fillId="0" borderId="0" xfId="44" applyFont="1" applyFill="1" applyBorder="1"/>
    <xf numFmtId="0" fontId="121" fillId="4" borderId="0" xfId="0" applyFont="1" applyFill="1"/>
    <xf numFmtId="0" fontId="121" fillId="0" borderId="39" xfId="0" applyFont="1" applyBorder="1"/>
    <xf numFmtId="166" fontId="12" fillId="19" borderId="134" xfId="25" applyNumberFormat="1" applyBorder="1"/>
    <xf numFmtId="43" fontId="0" fillId="0" borderId="0" xfId="68" applyFont="1" applyBorder="1"/>
    <xf numFmtId="166" fontId="0" fillId="0" borderId="0" xfId="68" applyNumberFormat="1" applyFont="1" applyBorder="1"/>
    <xf numFmtId="41" fontId="167" fillId="4" borderId="20" xfId="0" applyNumberFormat="1" applyFont="1" applyFill="1" applyBorder="1" applyAlignment="1">
      <alignment horizontal="center" vertical="center" wrapText="1"/>
    </xf>
    <xf numFmtId="0" fontId="0" fillId="0" borderId="20" xfId="0" applyBorder="1" applyAlignment="1">
      <alignment horizontal="center" vertical="center"/>
    </xf>
    <xf numFmtId="0" fontId="0" fillId="0" borderId="27" xfId="0" applyBorder="1" applyAlignment="1">
      <alignment horizontal="center" vertical="center"/>
    </xf>
    <xf numFmtId="0" fontId="0" fillId="0" borderId="102"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0" fontId="0" fillId="0" borderId="73" xfId="0" applyBorder="1" applyAlignment="1">
      <alignment vertical="center"/>
    </xf>
    <xf numFmtId="167" fontId="0" fillId="0" borderId="27" xfId="0" applyNumberFormat="1" applyBorder="1" applyAlignment="1">
      <alignment vertical="center"/>
    </xf>
    <xf numFmtId="167" fontId="0" fillId="0" borderId="73" xfId="0" applyNumberFormat="1" applyBorder="1" applyAlignment="1">
      <alignment vertical="center"/>
    </xf>
    <xf numFmtId="167" fontId="0" fillId="0" borderId="24" xfId="0" applyNumberFormat="1" applyBorder="1" applyAlignment="1">
      <alignment vertical="center"/>
    </xf>
    <xf numFmtId="0" fontId="0" fillId="0" borderId="31" xfId="0" applyBorder="1" applyAlignment="1">
      <alignment vertical="center"/>
    </xf>
    <xf numFmtId="167" fontId="0" fillId="0" borderId="102" xfId="0" applyNumberFormat="1" applyBorder="1" applyAlignment="1">
      <alignment vertical="center"/>
    </xf>
    <xf numFmtId="167" fontId="0" fillId="0" borderId="31" xfId="0" applyNumberFormat="1" applyBorder="1" applyAlignment="1">
      <alignment vertical="center"/>
    </xf>
    <xf numFmtId="167" fontId="0" fillId="0" borderId="32" xfId="0" applyNumberFormat="1" applyBorder="1" applyAlignment="1">
      <alignment vertical="center"/>
    </xf>
    <xf numFmtId="0" fontId="0" fillId="0" borderId="30" xfId="0" applyBorder="1" applyAlignment="1">
      <alignment vertical="center"/>
    </xf>
    <xf numFmtId="167" fontId="0" fillId="0" borderId="71" xfId="0" applyNumberFormat="1" applyBorder="1" applyAlignment="1">
      <alignment vertical="center"/>
    </xf>
    <xf numFmtId="167" fontId="0" fillId="0" borderId="30" xfId="0" applyNumberFormat="1" applyBorder="1" applyAlignment="1">
      <alignment vertical="center"/>
    </xf>
    <xf numFmtId="167" fontId="0" fillId="0" borderId="51" xfId="0" applyNumberFormat="1" applyBorder="1" applyAlignment="1">
      <alignment vertical="center"/>
    </xf>
    <xf numFmtId="0" fontId="0" fillId="0" borderId="23" xfId="0" applyBorder="1" applyAlignment="1">
      <alignment vertical="center"/>
    </xf>
    <xf numFmtId="3" fontId="0" fillId="0" borderId="26" xfId="0" applyNumberFormat="1" applyBorder="1" applyAlignment="1">
      <alignment vertical="center"/>
    </xf>
    <xf numFmtId="3" fontId="0" fillId="0" borderId="22" xfId="0" applyNumberFormat="1" applyBorder="1" applyAlignment="1">
      <alignment vertical="center"/>
    </xf>
    <xf numFmtId="3" fontId="0" fillId="0" borderId="0" xfId="0" applyNumberFormat="1" applyAlignment="1">
      <alignment vertical="center"/>
    </xf>
    <xf numFmtId="166" fontId="6" fillId="41" borderId="0" xfId="44" applyNumberFormat="1" applyFont="1" applyBorder="1"/>
    <xf numFmtId="1" fontId="36" fillId="37" borderId="46" xfId="27" applyNumberFormat="1"/>
    <xf numFmtId="167" fontId="167" fillId="0" borderId="0" xfId="0" applyNumberFormat="1" applyFont="1"/>
    <xf numFmtId="9" fontId="167" fillId="0" borderId="0" xfId="26" applyFont="1"/>
    <xf numFmtId="167" fontId="166" fillId="0" borderId="0" xfId="0" applyNumberFormat="1" applyFont="1"/>
    <xf numFmtId="0" fontId="183" fillId="0" borderId="0" xfId="0" applyFont="1" applyAlignment="1">
      <alignment horizontal="right"/>
    </xf>
    <xf numFmtId="43" fontId="15" fillId="0" borderId="0" xfId="68" applyFont="1" applyBorder="1"/>
    <xf numFmtId="165" fontId="12" fillId="19" borderId="133" xfId="25" applyNumberFormat="1" applyBorder="1"/>
    <xf numFmtId="165" fontId="12" fillId="19" borderId="46" xfId="25" applyNumberFormat="1"/>
    <xf numFmtId="0" fontId="19" fillId="0" borderId="25" xfId="0" applyFont="1" applyBorder="1" applyAlignment="1">
      <alignment horizontal="center" vertical="center"/>
    </xf>
    <xf numFmtId="0" fontId="56" fillId="10" borderId="120" xfId="0" applyFont="1" applyFill="1" applyBorder="1" applyAlignment="1">
      <alignment horizontal="center" vertical="center" wrapText="1"/>
    </xf>
    <xf numFmtId="0" fontId="31" fillId="10" borderId="120" xfId="0" applyFont="1" applyFill="1" applyBorder="1" applyAlignment="1">
      <alignment horizontal="center" vertical="center"/>
    </xf>
    <xf numFmtId="167" fontId="56" fillId="10" borderId="120" xfId="0" applyNumberFormat="1" applyFont="1" applyFill="1" applyBorder="1" applyAlignment="1">
      <alignment horizontal="center" vertical="center"/>
    </xf>
    <xf numFmtId="167" fontId="56" fillId="10" borderId="120" xfId="0" applyNumberFormat="1" applyFont="1" applyFill="1" applyBorder="1" applyAlignment="1">
      <alignment horizontal="center" vertical="center" wrapText="1"/>
    </xf>
    <xf numFmtId="1" fontId="19" fillId="0" borderId="127" xfId="0" applyNumberFormat="1" applyFont="1" applyBorder="1" applyAlignment="1">
      <alignment horizontal="center" vertical="center"/>
    </xf>
    <xf numFmtId="1" fontId="22" fillId="0" borderId="191" xfId="0" applyNumberFormat="1" applyFont="1" applyBorder="1" applyAlignment="1">
      <alignment horizontal="center"/>
    </xf>
    <xf numFmtId="0" fontId="19" fillId="0" borderId="73" xfId="0" applyFont="1" applyBorder="1" applyAlignment="1">
      <alignment horizontal="center" vertical="center"/>
    </xf>
    <xf numFmtId="0" fontId="33" fillId="10" borderId="23" xfId="0" applyFont="1" applyFill="1" applyBorder="1"/>
    <xf numFmtId="0" fontId="22" fillId="0" borderId="280" xfId="0" applyFont="1" applyBorder="1"/>
    <xf numFmtId="9" fontId="19" fillId="69" borderId="107" xfId="26" applyFont="1" applyFill="1" applyBorder="1"/>
    <xf numFmtId="0" fontId="1" fillId="0" borderId="0" xfId="79"/>
    <xf numFmtId="0" fontId="30" fillId="0" borderId="0" xfId="79" applyFont="1"/>
    <xf numFmtId="0" fontId="32" fillId="0" borderId="0" xfId="79" applyFont="1"/>
    <xf numFmtId="0" fontId="1" fillId="0" borderId="20" xfId="79" applyBorder="1"/>
    <xf numFmtId="0" fontId="184" fillId="19" borderId="46" xfId="80"/>
    <xf numFmtId="43" fontId="127" fillId="0" borderId="0" xfId="0" applyNumberFormat="1" applyFont="1"/>
    <xf numFmtId="0" fontId="187" fillId="0" borderId="20" xfId="0" applyFont="1" applyBorder="1" applyAlignment="1">
      <alignment horizontal="center" vertical="center" wrapText="1"/>
    </xf>
    <xf numFmtId="1" fontId="186" fillId="0" borderId="0" xfId="0" applyNumberFormat="1" applyFont="1"/>
    <xf numFmtId="1" fontId="186" fillId="18" borderId="0" xfId="0" applyNumberFormat="1" applyFont="1" applyFill="1"/>
    <xf numFmtId="1" fontId="186" fillId="33" borderId="0" xfId="0" applyNumberFormat="1" applyFont="1" applyFill="1"/>
    <xf numFmtId="1" fontId="186" fillId="0" borderId="27" xfId="0" applyNumberFormat="1" applyFont="1" applyBorder="1" applyAlignment="1">
      <alignment horizontal="center" vertical="center" wrapText="1"/>
    </xf>
    <xf numFmtId="0" fontId="188" fillId="0" borderId="26" xfId="0" applyFont="1" applyBorder="1" applyAlignment="1">
      <alignment horizontal="center"/>
    </xf>
    <xf numFmtId="1" fontId="186" fillId="0" borderId="20" xfId="0" applyNumberFormat="1" applyFont="1" applyBorder="1" applyAlignment="1">
      <alignment horizontal="right"/>
    </xf>
    <xf numFmtId="167" fontId="186" fillId="0" borderId="20" xfId="68" applyNumberFormat="1" applyFont="1" applyBorder="1"/>
    <xf numFmtId="0" fontId="186" fillId="0" borderId="20" xfId="0" applyFont="1" applyBorder="1" applyAlignment="1">
      <alignment horizontal="right"/>
    </xf>
    <xf numFmtId="0" fontId="187" fillId="0" borderId="20" xfId="0" applyFont="1" applyBorder="1" applyAlignment="1">
      <alignment horizontal="right"/>
    </xf>
    <xf numFmtId="1" fontId="187" fillId="0" borderId="28" xfId="0" applyNumberFormat="1" applyFont="1" applyBorder="1"/>
    <xf numFmtId="0" fontId="187" fillId="0" borderId="15" xfId="0" applyFont="1" applyBorder="1"/>
    <xf numFmtId="169" fontId="187" fillId="0" borderId="15" xfId="26" applyNumberFormat="1" applyFont="1" applyBorder="1"/>
    <xf numFmtId="0" fontId="187" fillId="0" borderId="19" xfId="0" applyFont="1" applyBorder="1"/>
    <xf numFmtId="0" fontId="6" fillId="0" borderId="0" xfId="0" applyFont="1" applyAlignment="1">
      <alignment wrapText="1"/>
    </xf>
    <xf numFmtId="170" fontId="6" fillId="0" borderId="0" xfId="0" applyNumberFormat="1" applyFont="1" applyAlignment="1">
      <alignment wrapText="1"/>
    </xf>
    <xf numFmtId="0" fontId="6" fillId="27" borderId="0" xfId="0" applyFont="1" applyFill="1" applyAlignment="1">
      <alignment wrapText="1"/>
    </xf>
    <xf numFmtId="170" fontId="36" fillId="37" borderId="46" xfId="0" applyNumberFormat="1" applyFont="1" applyFill="1" applyBorder="1" applyAlignment="1">
      <alignment wrapText="1"/>
    </xf>
    <xf numFmtId="43" fontId="135" fillId="37" borderId="46" xfId="68" applyFont="1" applyFill="1" applyBorder="1"/>
    <xf numFmtId="43" fontId="2" fillId="0" borderId="0" xfId="68" applyFont="1"/>
    <xf numFmtId="173" fontId="10" fillId="0" borderId="0" xfId="68" applyNumberFormat="1" applyFont="1"/>
    <xf numFmtId="43" fontId="10" fillId="0" borderId="0" xfId="68" applyFont="1"/>
    <xf numFmtId="43" fontId="12" fillId="19" borderId="46" xfId="25" applyNumberFormat="1"/>
    <xf numFmtId="1" fontId="6" fillId="75" borderId="183" xfId="39" applyNumberFormat="1"/>
    <xf numFmtId="9" fontId="36" fillId="37" borderId="46" xfId="27" applyNumberFormat="1"/>
    <xf numFmtId="43" fontId="11" fillId="9" borderId="35" xfId="0" applyNumberFormat="1" applyFont="1" applyFill="1" applyBorder="1"/>
    <xf numFmtId="0" fontId="97" fillId="0" borderId="20" xfId="0" applyFont="1" applyBorder="1" applyAlignment="1">
      <alignment horizontal="right"/>
    </xf>
    <xf numFmtId="0" fontId="97" fillId="0" borderId="20" xfId="0" applyFont="1" applyBorder="1" applyAlignment="1">
      <alignment horizontal="center" vertical="center"/>
    </xf>
    <xf numFmtId="0" fontId="97" fillId="0" borderId="19" xfId="0" applyFont="1" applyBorder="1"/>
    <xf numFmtId="0" fontId="97" fillId="0" borderId="20" xfId="0" applyFont="1" applyBorder="1"/>
    <xf numFmtId="167" fontId="97" fillId="0" borderId="20" xfId="68" applyNumberFormat="1" applyFont="1" applyBorder="1"/>
    <xf numFmtId="167" fontId="97" fillId="0" borderId="20" xfId="0" applyNumberFormat="1" applyFont="1" applyBorder="1" applyAlignment="1">
      <alignment horizontal="right"/>
    </xf>
    <xf numFmtId="167" fontId="97" fillId="0" borderId="19" xfId="0" applyNumberFormat="1" applyFont="1" applyBorder="1"/>
    <xf numFmtId="43" fontId="97" fillId="0" borderId="28" xfId="0" applyNumberFormat="1" applyFont="1" applyBorder="1"/>
    <xf numFmtId="43" fontId="97" fillId="0" borderId="15" xfId="0" applyNumberFormat="1" applyFont="1" applyBorder="1"/>
    <xf numFmtId="167" fontId="190" fillId="19" borderId="19" xfId="68" applyNumberFormat="1" applyFont="1" applyFill="1" applyBorder="1"/>
    <xf numFmtId="0" fontId="191" fillId="0" borderId="0" xfId="0" applyFont="1"/>
    <xf numFmtId="0" fontId="158" fillId="33" borderId="73" xfId="0" applyFont="1" applyFill="1" applyBorder="1"/>
    <xf numFmtId="0" fontId="158" fillId="33" borderId="25" xfId="0" applyFont="1" applyFill="1" applyBorder="1"/>
    <xf numFmtId="0" fontId="158" fillId="33" borderId="24" xfId="0" applyFont="1" applyFill="1" applyBorder="1"/>
    <xf numFmtId="1" fontId="158" fillId="0" borderId="31" xfId="68" applyNumberFormat="1" applyFont="1" applyBorder="1" applyAlignment="1">
      <alignment horizontal="right"/>
    </xf>
    <xf numFmtId="1" fontId="158" fillId="0" borderId="0" xfId="68" applyNumberFormat="1" applyFont="1" applyBorder="1" applyAlignment="1">
      <alignment horizontal="right"/>
    </xf>
    <xf numFmtId="1" fontId="158" fillId="0" borderId="32" xfId="68" applyNumberFormat="1" applyFont="1" applyBorder="1" applyAlignment="1">
      <alignment horizontal="right"/>
    </xf>
    <xf numFmtId="1" fontId="158" fillId="0" borderId="31" xfId="0" applyNumberFormat="1" applyFont="1" applyBorder="1"/>
    <xf numFmtId="1" fontId="158" fillId="0" borderId="0" xfId="0" applyNumberFormat="1" applyFont="1"/>
    <xf numFmtId="1" fontId="158" fillId="0" borderId="32" xfId="0" applyNumberFormat="1" applyFont="1" applyBorder="1"/>
    <xf numFmtId="2" fontId="158" fillId="0" borderId="31" xfId="68" applyNumberFormat="1" applyFont="1" applyBorder="1" applyAlignment="1">
      <alignment horizontal="right"/>
    </xf>
    <xf numFmtId="2" fontId="158" fillId="0" borderId="0" xfId="68" applyNumberFormat="1" applyFont="1" applyBorder="1" applyAlignment="1">
      <alignment horizontal="right"/>
    </xf>
    <xf numFmtId="2" fontId="158" fillId="0" borderId="32" xfId="68" applyNumberFormat="1" applyFont="1" applyBorder="1" applyAlignment="1">
      <alignment horizontal="right"/>
    </xf>
    <xf numFmtId="9" fontId="158" fillId="0" borderId="31" xfId="26" applyFont="1" applyBorder="1"/>
    <xf numFmtId="9" fontId="158" fillId="0" borderId="0" xfId="26" applyFont="1" applyBorder="1"/>
    <xf numFmtId="9" fontId="158" fillId="0" borderId="32" xfId="26" applyFont="1" applyBorder="1"/>
    <xf numFmtId="9" fontId="158" fillId="0" borderId="23" xfId="26" applyFont="1" applyBorder="1"/>
    <xf numFmtId="9" fontId="158" fillId="0" borderId="22" xfId="26" applyFont="1" applyBorder="1"/>
    <xf numFmtId="9" fontId="158" fillId="0" borderId="21" xfId="26" applyFont="1" applyBorder="1"/>
    <xf numFmtId="167" fontId="12" fillId="19" borderId="46" xfId="25" applyNumberFormat="1" applyAlignment="1">
      <alignment horizontal="center" vertical="center" wrapText="1"/>
    </xf>
    <xf numFmtId="167" fontId="22" fillId="0" borderId="0" xfId="68" applyNumberFormat="1" applyFont="1"/>
    <xf numFmtId="0" fontId="192" fillId="39" borderId="0" xfId="0" applyFont="1" applyFill="1" applyAlignment="1">
      <alignment horizontal="center" vertical="center" wrapText="1"/>
    </xf>
    <xf numFmtId="0" fontId="193" fillId="57" borderId="0" xfId="0" applyFont="1" applyFill="1" applyAlignment="1">
      <alignment horizontal="center" vertical="center" wrapText="1"/>
    </xf>
    <xf numFmtId="0" fontId="167" fillId="10" borderId="0" xfId="0" applyFont="1" applyFill="1"/>
    <xf numFmtId="0" fontId="164" fillId="10" borderId="0" xfId="0" applyFont="1" applyFill="1"/>
    <xf numFmtId="43" fontId="167" fillId="0" borderId="0" xfId="0" applyNumberFormat="1" applyFont="1"/>
    <xf numFmtId="0" fontId="164" fillId="0" borderId="0" xfId="0" applyFont="1"/>
    <xf numFmtId="0" fontId="36" fillId="37" borderId="46" xfId="27" applyAlignment="1">
      <alignment horizontal="center" vertical="center"/>
    </xf>
    <xf numFmtId="0" fontId="12" fillId="19" borderId="46" xfId="25" applyAlignment="1">
      <alignment horizontal="center" vertical="center"/>
    </xf>
    <xf numFmtId="168" fontId="97" fillId="0" borderId="0" xfId="68" applyNumberFormat="1" applyFont="1" applyAlignment="1"/>
    <xf numFmtId="166" fontId="97" fillId="0" borderId="0" xfId="68" applyNumberFormat="1" applyFont="1" applyAlignment="1"/>
    <xf numFmtId="3" fontId="97" fillId="0" borderId="25" xfId="0" applyNumberFormat="1" applyFont="1" applyBorder="1"/>
    <xf numFmtId="3" fontId="97" fillId="0" borderId="22" xfId="0" applyNumberFormat="1" applyFont="1" applyBorder="1"/>
    <xf numFmtId="3" fontId="97" fillId="0" borderId="15" xfId="0" applyNumberFormat="1" applyFont="1" applyBorder="1"/>
    <xf numFmtId="3" fontId="98" fillId="8" borderId="0" xfId="0" applyNumberFormat="1" applyFont="1" applyFill="1"/>
    <xf numFmtId="3" fontId="97" fillId="0" borderId="0" xfId="0" applyNumberFormat="1" applyFont="1"/>
    <xf numFmtId="0" fontId="0" fillId="0" borderId="20" xfId="0" applyBorder="1"/>
    <xf numFmtId="167" fontId="0" fillId="0" borderId="20" xfId="68" applyNumberFormat="1" applyFont="1" applyBorder="1"/>
    <xf numFmtId="0" fontId="4" fillId="0" borderId="20" xfId="0" applyFont="1" applyBorder="1"/>
    <xf numFmtId="167" fontId="4" fillId="0" borderId="20" xfId="68" applyNumberFormat="1" applyFont="1" applyBorder="1"/>
    <xf numFmtId="0" fontId="0" fillId="0" borderId="102" xfId="0" applyBorder="1" applyAlignment="1">
      <alignment wrapText="1"/>
    </xf>
    <xf numFmtId="0" fontId="4" fillId="0" borderId="20" xfId="0" applyFont="1" applyBorder="1" applyAlignment="1">
      <alignment horizontal="center" vertical="center" wrapText="1"/>
    </xf>
    <xf numFmtId="0" fontId="11" fillId="0" borderId="0" xfId="0" applyFont="1" applyAlignment="1">
      <alignment horizontal="right"/>
    </xf>
    <xf numFmtId="0" fontId="195" fillId="0" borderId="31" xfId="0" applyFont="1" applyBorder="1"/>
    <xf numFmtId="0" fontId="196" fillId="0" borderId="0" xfId="0" applyFont="1" applyAlignment="1">
      <alignment horizontal="center"/>
    </xf>
    <xf numFmtId="0" fontId="196" fillId="0" borderId="32" xfId="0" applyFont="1" applyBorder="1" applyAlignment="1">
      <alignment horizontal="center"/>
    </xf>
    <xf numFmtId="0" fontId="195" fillId="0" borderId="31" xfId="0" applyFont="1" applyBorder="1" applyAlignment="1">
      <alignment horizontal="right"/>
    </xf>
    <xf numFmtId="0" fontId="195" fillId="0" borderId="0" xfId="0" applyFont="1" applyAlignment="1">
      <alignment horizontal="center"/>
    </xf>
    <xf numFmtId="0" fontId="197" fillId="19" borderId="144" xfId="25" applyFont="1" applyBorder="1" applyAlignment="1">
      <alignment horizontal="center"/>
    </xf>
    <xf numFmtId="0" fontId="195" fillId="0" borderId="0" xfId="0" applyFont="1"/>
    <xf numFmtId="0" fontId="197" fillId="19" borderId="144" xfId="80" applyFont="1" applyBorder="1" applyAlignment="1">
      <alignment horizontal="center"/>
    </xf>
    <xf numFmtId="0" fontId="195" fillId="0" borderId="32" xfId="0" applyFont="1" applyBorder="1"/>
    <xf numFmtId="173" fontId="195" fillId="0" borderId="0" xfId="0" applyNumberFormat="1" applyFont="1"/>
    <xf numFmtId="173" fontId="198" fillId="41" borderId="32" xfId="68" applyNumberFormat="1" applyFont="1" applyFill="1" applyBorder="1"/>
    <xf numFmtId="3" fontId="197" fillId="19" borderId="46" xfId="25" applyNumberFormat="1" applyFont="1" applyAlignment="1">
      <alignment horizontal="right"/>
    </xf>
    <xf numFmtId="3" fontId="197" fillId="19" borderId="144" xfId="25" applyNumberFormat="1" applyFont="1" applyBorder="1" applyAlignment="1">
      <alignment horizontal="right"/>
    </xf>
    <xf numFmtId="167" fontId="198" fillId="41" borderId="32" xfId="44" applyNumberFormat="1" applyFont="1" applyBorder="1" applyAlignment="1">
      <alignment horizontal="center"/>
    </xf>
    <xf numFmtId="167" fontId="195" fillId="0" borderId="0" xfId="68" applyNumberFormat="1" applyFont="1" applyBorder="1" applyAlignment="1"/>
    <xf numFmtId="9" fontId="195" fillId="0" borderId="32" xfId="26" applyFont="1" applyBorder="1" applyAlignment="1"/>
    <xf numFmtId="0" fontId="195" fillId="0" borderId="23" xfId="0" applyFont="1" applyBorder="1"/>
    <xf numFmtId="0" fontId="195" fillId="0" borderId="21" xfId="0" applyFont="1" applyBorder="1"/>
    <xf numFmtId="1" fontId="97" fillId="0" borderId="73" xfId="0" applyNumberFormat="1" applyFont="1" applyBorder="1"/>
    <xf numFmtId="1" fontId="97" fillId="0" borderId="23" xfId="0" applyNumberFormat="1" applyFont="1" applyBorder="1"/>
    <xf numFmtId="1" fontId="97" fillId="0" borderId="28" xfId="0" applyNumberFormat="1" applyFont="1" applyBorder="1"/>
    <xf numFmtId="1" fontId="98" fillId="8" borderId="31" xfId="0" applyNumberFormat="1" applyFont="1" applyFill="1" applyBorder="1"/>
    <xf numFmtId="1" fontId="97" fillId="0" borderId="31" xfId="0" applyNumberFormat="1" applyFont="1" applyBorder="1"/>
    <xf numFmtId="0" fontId="194" fillId="28" borderId="25" xfId="0" applyFont="1" applyFill="1" applyBorder="1"/>
    <xf numFmtId="0" fontId="194" fillId="28" borderId="24" xfId="0" applyFont="1" applyFill="1" applyBorder="1"/>
    <xf numFmtId="167" fontId="195" fillId="0" borderId="32" xfId="68" applyNumberFormat="1" applyFont="1" applyBorder="1" applyAlignment="1"/>
    <xf numFmtId="9" fontId="195" fillId="0" borderId="0" xfId="26" applyFont="1" applyBorder="1" applyAlignment="1"/>
    <xf numFmtId="164" fontId="197" fillId="19" borderId="46" xfId="25" applyNumberFormat="1" applyFont="1"/>
    <xf numFmtId="167" fontId="198" fillId="41" borderId="0" xfId="44" applyNumberFormat="1" applyFont="1" applyBorder="1" applyAlignment="1">
      <alignment horizontal="center"/>
    </xf>
    <xf numFmtId="0" fontId="199" fillId="0" borderId="32" xfId="0" applyFont="1" applyBorder="1" applyAlignment="1">
      <alignment horizontal="center" vertical="center" wrapText="1"/>
    </xf>
    <xf numFmtId="0" fontId="200" fillId="0" borderId="27" xfId="0" applyFont="1" applyBorder="1" applyAlignment="1">
      <alignment horizontal="center" vertical="center" wrapText="1"/>
    </xf>
    <xf numFmtId="0" fontId="199" fillId="0" borderId="21" xfId="0" applyFont="1" applyBorder="1"/>
    <xf numFmtId="0" fontId="199" fillId="0" borderId="26" xfId="0" applyFont="1" applyBorder="1" applyAlignment="1">
      <alignment horizontal="center" vertical="center"/>
    </xf>
    <xf numFmtId="0" fontId="199" fillId="0" borderId="20" xfId="0" applyFont="1" applyBorder="1"/>
    <xf numFmtId="0" fontId="184" fillId="19" borderId="20" xfId="80" applyBorder="1"/>
    <xf numFmtId="164" fontId="36" fillId="37" borderId="39" xfId="27" applyNumberFormat="1" applyBorder="1"/>
    <xf numFmtId="0" fontId="98" fillId="0" borderId="283" xfId="0" applyFont="1" applyBorder="1"/>
    <xf numFmtId="0" fontId="97" fillId="0" borderId="284" xfId="0" applyFont="1" applyBorder="1"/>
    <xf numFmtId="0" fontId="97" fillId="0" borderId="285" xfId="0" applyFont="1" applyBorder="1"/>
    <xf numFmtId="0" fontId="97" fillId="0" borderId="30" xfId="0" applyFont="1" applyBorder="1" applyAlignment="1">
      <alignment horizontal="center" vertical="center"/>
    </xf>
    <xf numFmtId="2" fontId="97" fillId="0" borderId="31" xfId="0" applyNumberFormat="1" applyFont="1" applyBorder="1" applyAlignment="1">
      <alignment horizontal="center" vertical="center"/>
    </xf>
    <xf numFmtId="2" fontId="97" fillId="0" borderId="30" xfId="0" applyNumberFormat="1" applyFont="1" applyBorder="1" applyAlignment="1">
      <alignment horizontal="center" vertical="center"/>
    </xf>
    <xf numFmtId="0" fontId="97" fillId="0" borderId="287" xfId="0" applyFont="1" applyBorder="1"/>
    <xf numFmtId="0" fontId="103" fillId="0" borderId="288" xfId="0" applyFont="1" applyBorder="1"/>
    <xf numFmtId="0" fontId="97" fillId="0" borderId="282" xfId="0" applyFont="1" applyBorder="1" applyAlignment="1">
      <alignment horizontal="center" vertical="center"/>
    </xf>
    <xf numFmtId="164" fontId="36" fillId="37" borderId="289" xfId="27" applyNumberFormat="1" applyBorder="1"/>
    <xf numFmtId="0" fontId="201" fillId="0" borderId="286" xfId="0" applyFont="1" applyBorder="1"/>
    <xf numFmtId="0" fontId="201" fillId="0" borderId="290" xfId="0" applyFont="1" applyBorder="1"/>
    <xf numFmtId="164" fontId="97" fillId="0" borderId="0" xfId="0" applyNumberFormat="1" applyFont="1" applyAlignment="1">
      <alignment horizontal="center" vertical="center"/>
    </xf>
    <xf numFmtId="164" fontId="97" fillId="0" borderId="281" xfId="0" applyNumberFormat="1" applyFont="1" applyBorder="1"/>
    <xf numFmtId="164" fontId="97" fillId="0" borderId="29" xfId="0" applyNumberFormat="1" applyFont="1" applyBorder="1" applyAlignment="1">
      <alignment horizontal="center" vertical="center"/>
    </xf>
    <xf numFmtId="164" fontId="97" fillId="0" borderId="282" xfId="0" applyNumberFormat="1" applyFont="1" applyBorder="1"/>
    <xf numFmtId="9" fontId="53" fillId="10" borderId="106" xfId="26" applyFont="1" applyFill="1" applyBorder="1"/>
    <xf numFmtId="0" fontId="19" fillId="0" borderId="20" xfId="0" applyFont="1" applyBorder="1"/>
    <xf numFmtId="0" fontId="17" fillId="0" borderId="20" xfId="0" applyFont="1" applyBorder="1" applyAlignment="1">
      <alignment horizontal="center"/>
    </xf>
    <xf numFmtId="0" fontId="18" fillId="0" borderId="20" xfId="0" applyFont="1" applyBorder="1"/>
    <xf numFmtId="9" fontId="17" fillId="0" borderId="20" xfId="26" applyFont="1" applyBorder="1" applyAlignment="1">
      <alignment horizontal="center"/>
    </xf>
    <xf numFmtId="0" fontId="19" fillId="0" borderId="26" xfId="0" applyFont="1" applyBorder="1" applyAlignment="1">
      <alignment wrapText="1"/>
    </xf>
    <xf numFmtId="0" fontId="19" fillId="0" borderId="26" xfId="0" applyFont="1" applyBorder="1"/>
    <xf numFmtId="0" fontId="19" fillId="0" borderId="22" xfId="0" applyFont="1" applyBorder="1"/>
    <xf numFmtId="0" fontId="17" fillId="0" borderId="22" xfId="0" applyFont="1" applyBorder="1"/>
    <xf numFmtId="2" fontId="18" fillId="0" borderId="20" xfId="0" applyNumberFormat="1" applyFont="1" applyBorder="1"/>
    <xf numFmtId="2" fontId="17" fillId="0" borderId="20" xfId="0" applyNumberFormat="1" applyFont="1" applyBorder="1"/>
    <xf numFmtId="0" fontId="10" fillId="0" borderId="73" xfId="0" applyFont="1" applyBorder="1"/>
    <xf numFmtId="170" fontId="12" fillId="19" borderId="46" xfId="25" applyNumberFormat="1" applyAlignment="1">
      <alignment wrapText="1"/>
    </xf>
    <xf numFmtId="1" fontId="19" fillId="6" borderId="20" xfId="0" applyNumberFormat="1" applyFont="1" applyFill="1" applyBorder="1" applyAlignment="1">
      <alignment horizontal="center" vertical="center" wrapText="1"/>
    </xf>
    <xf numFmtId="9" fontId="121" fillId="0" borderId="22" xfId="26" applyFont="1" applyBorder="1"/>
    <xf numFmtId="0" fontId="10" fillId="0" borderId="0" xfId="0" applyFont="1" applyAlignment="1">
      <alignment horizontal="center" wrapText="1"/>
    </xf>
    <xf numFmtId="0" fontId="16" fillId="8" borderId="0" xfId="0" applyFont="1" applyFill="1"/>
    <xf numFmtId="167" fontId="2" fillId="8" borderId="0" xfId="68" applyNumberFormat="1" applyFont="1" applyFill="1"/>
    <xf numFmtId="43" fontId="10" fillId="8" borderId="0" xfId="0" applyNumberFormat="1" applyFont="1" applyFill="1"/>
    <xf numFmtId="0" fontId="4" fillId="8" borderId="0" xfId="0" applyFont="1" applyFill="1"/>
    <xf numFmtId="43" fontId="36" fillId="37" borderId="46" xfId="27" applyNumberFormat="1"/>
    <xf numFmtId="167" fontId="97" fillId="0" borderId="26" xfId="0" applyNumberFormat="1" applyFont="1" applyBorder="1"/>
    <xf numFmtId="9" fontId="65" fillId="16" borderId="120" xfId="26" applyFont="1" applyFill="1" applyBorder="1"/>
    <xf numFmtId="9" fontId="66" fillId="16" borderId="106" xfId="26" applyFont="1" applyFill="1" applyBorder="1"/>
    <xf numFmtId="9" fontId="66" fillId="16" borderId="110" xfId="26" applyFont="1" applyFill="1" applyBorder="1"/>
    <xf numFmtId="9" fontId="66" fillId="16" borderId="210" xfId="26" applyFont="1" applyFill="1" applyBorder="1"/>
    <xf numFmtId="9" fontId="66" fillId="16" borderId="213" xfId="26" applyFont="1" applyFill="1" applyBorder="1"/>
    <xf numFmtId="9" fontId="66" fillId="16" borderId="216" xfId="26" applyFont="1" applyFill="1" applyBorder="1"/>
    <xf numFmtId="9" fontId="19" fillId="16" borderId="129" xfId="26" applyFont="1" applyFill="1" applyBorder="1"/>
    <xf numFmtId="9" fontId="66" fillId="16" borderId="120" xfId="26" applyFont="1" applyFill="1" applyBorder="1"/>
    <xf numFmtId="9" fontId="65" fillId="16" borderId="110" xfId="26" applyFont="1" applyFill="1" applyBorder="1"/>
    <xf numFmtId="9" fontId="65" fillId="69" borderId="106" xfId="26" applyFont="1" applyFill="1" applyBorder="1"/>
    <xf numFmtId="167" fontId="55" fillId="10" borderId="109" xfId="0" applyNumberFormat="1" applyFont="1" applyFill="1" applyBorder="1" applyAlignment="1">
      <alignment horizontal="center"/>
    </xf>
    <xf numFmtId="167" fontId="6" fillId="41" borderId="0" xfId="44" applyNumberFormat="1" applyFont="1"/>
    <xf numFmtId="0" fontId="36" fillId="37" borderId="69" xfId="27" applyNumberFormat="1" applyBorder="1"/>
    <xf numFmtId="0" fontId="0" fillId="31" borderId="0" xfId="0" applyFill="1"/>
    <xf numFmtId="0" fontId="4" fillId="31" borderId="22" xfId="0" applyFont="1" applyFill="1" applyBorder="1" applyAlignment="1">
      <alignment horizontal="center"/>
    </xf>
    <xf numFmtId="0" fontId="12" fillId="31" borderId="46" xfId="25" applyFill="1"/>
    <xf numFmtId="0" fontId="12" fillId="31" borderId="148" xfId="25" applyFill="1" applyBorder="1"/>
    <xf numFmtId="0" fontId="104" fillId="0" borderId="0" xfId="0" quotePrefix="1" applyFont="1"/>
    <xf numFmtId="170" fontId="6" fillId="41" borderId="193" xfId="44" applyNumberFormat="1" applyFont="1" applyBorder="1"/>
    <xf numFmtId="0" fontId="98" fillId="0" borderId="36" xfId="0" applyFont="1" applyBorder="1"/>
    <xf numFmtId="0" fontId="98" fillId="0" borderId="37" xfId="0" applyFont="1" applyBorder="1"/>
    <xf numFmtId="0" fontId="97" fillId="0" borderId="20" xfId="0" applyFont="1" applyBorder="1" applyAlignment="1">
      <alignment horizontal="right"/>
    </xf>
    <xf numFmtId="0" fontId="97" fillId="0" borderId="15" xfId="0" applyFont="1" applyBorder="1" applyAlignment="1">
      <alignment horizontal="center"/>
    </xf>
    <xf numFmtId="0" fontId="97" fillId="0" borderId="19" xfId="0" applyFont="1" applyBorder="1" applyAlignment="1">
      <alignment horizontal="center"/>
    </xf>
    <xf numFmtId="0" fontId="112" fillId="14" borderId="28" xfId="0" applyFont="1" applyFill="1" applyBorder="1" applyAlignment="1">
      <alignment horizontal="center"/>
    </xf>
    <xf numFmtId="0" fontId="112" fillId="14" borderId="15" xfId="0" applyFont="1" applyFill="1" applyBorder="1" applyAlignment="1">
      <alignment horizontal="center"/>
    </xf>
    <xf numFmtId="0" fontId="112" fillId="14" borderId="19" xfId="0" applyFont="1" applyFill="1" applyBorder="1" applyAlignment="1">
      <alignment horizontal="center"/>
    </xf>
    <xf numFmtId="0" fontId="97" fillId="0" borderId="28" xfId="0" applyFont="1" applyBorder="1" applyAlignment="1">
      <alignment horizontal="center"/>
    </xf>
    <xf numFmtId="0" fontId="99" fillId="0" borderId="28" xfId="0" applyFont="1" applyBorder="1" applyAlignment="1">
      <alignment horizontal="center" vertical="center" wrapText="1"/>
    </xf>
    <xf numFmtId="0" fontId="99" fillId="0" borderId="15" xfId="0" applyFont="1" applyBorder="1" applyAlignment="1">
      <alignment horizontal="center" vertical="center" wrapText="1"/>
    </xf>
    <xf numFmtId="0" fontId="99" fillId="0" borderId="19" xfId="0" applyFont="1" applyBorder="1" applyAlignment="1">
      <alignment horizontal="center" vertical="center" wrapText="1"/>
    </xf>
    <xf numFmtId="0" fontId="99" fillId="0" borderId="27" xfId="0" applyFont="1" applyBorder="1" applyAlignment="1">
      <alignment horizontal="center" vertical="center"/>
    </xf>
    <xf numFmtId="0" fontId="99" fillId="0" borderId="102" xfId="0" applyFont="1" applyBorder="1" applyAlignment="1">
      <alignment horizontal="center" vertical="center"/>
    </xf>
    <xf numFmtId="0" fontId="99" fillId="0" borderId="26" xfId="0" applyFont="1" applyBorder="1" applyAlignment="1">
      <alignment horizontal="center" vertical="center"/>
    </xf>
    <xf numFmtId="0" fontId="107" fillId="9" borderId="23" xfId="0" applyFont="1" applyFill="1" applyBorder="1" applyAlignment="1">
      <alignment horizontal="right"/>
    </xf>
    <xf numFmtId="0" fontId="107" fillId="9" borderId="22" xfId="0" applyFont="1" applyFill="1" applyBorder="1" applyAlignment="1">
      <alignment horizontal="right"/>
    </xf>
    <xf numFmtId="0" fontId="68" fillId="16" borderId="165" xfId="0" applyFont="1" applyFill="1" applyBorder="1" applyAlignment="1" applyProtection="1">
      <alignment horizontal="left" vertical="center" wrapText="1" indent="1"/>
      <protection locked="0"/>
    </xf>
    <xf numFmtId="0" fontId="18" fillId="0" borderId="169" xfId="0" applyFont="1" applyBorder="1" applyAlignment="1" applyProtection="1">
      <alignment horizontal="left" vertical="center" wrapText="1" indent="1"/>
      <protection locked="0"/>
    </xf>
    <xf numFmtId="0" fontId="18" fillId="0" borderId="162" xfId="0" applyFont="1" applyBorder="1" applyAlignment="1" applyProtection="1">
      <alignment horizontal="left" vertical="center" wrapText="1" indent="1"/>
      <protection locked="0"/>
    </xf>
    <xf numFmtId="0" fontId="68" fillId="80" borderId="165" xfId="0" applyFont="1" applyFill="1" applyBorder="1" applyAlignment="1">
      <alignment horizontal="left" vertical="center" wrapText="1" indent="1"/>
    </xf>
    <xf numFmtId="0" fontId="68" fillId="80" borderId="169" xfId="0" applyFont="1" applyFill="1" applyBorder="1" applyAlignment="1">
      <alignment horizontal="left" vertical="center" wrapText="1" indent="1"/>
    </xf>
    <xf numFmtId="0" fontId="0" fillId="0" borderId="169" xfId="0" applyBorder="1" applyAlignment="1">
      <alignment horizontal="left" vertical="center" wrapText="1" indent="1"/>
    </xf>
    <xf numFmtId="0" fontId="0" fillId="0" borderId="162" xfId="0" applyBorder="1" applyAlignment="1">
      <alignment horizontal="left" vertical="center" wrapText="1" indent="1"/>
    </xf>
    <xf numFmtId="0" fontId="143" fillId="0" borderId="0" xfId="0" applyFont="1" applyAlignment="1">
      <alignment horizontal="left" vertical="top" wrapText="1"/>
    </xf>
    <xf numFmtId="0" fontId="68" fillId="80" borderId="163" xfId="0" applyFont="1" applyFill="1" applyBorder="1" applyAlignment="1">
      <alignment horizontal="left" vertical="center" wrapText="1" indent="1"/>
    </xf>
    <xf numFmtId="0" fontId="0" fillId="0" borderId="163" xfId="0" applyBorder="1" applyAlignment="1">
      <alignment horizontal="left" vertical="center" wrapText="1" indent="1"/>
    </xf>
    <xf numFmtId="0" fontId="0" fillId="16" borderId="163" xfId="0" applyFill="1" applyBorder="1" applyAlignment="1">
      <alignment horizontal="left" vertical="center" wrapText="1" indent="1"/>
    </xf>
    <xf numFmtId="0" fontId="41" fillId="10" borderId="163" xfId="70" applyFill="1" applyBorder="1" applyAlignment="1">
      <alignment horizontal="left" vertical="center" wrapText="1" indent="1"/>
    </xf>
    <xf numFmtId="0" fontId="18" fillId="0" borderId="163" xfId="0" applyFont="1" applyBorder="1" applyAlignment="1">
      <alignment horizontal="left" vertical="center" wrapText="1" indent="1"/>
    </xf>
    <xf numFmtId="0" fontId="68" fillId="16" borderId="163" xfId="0" applyFont="1" applyFill="1" applyBorder="1" applyAlignment="1">
      <alignment horizontal="left" vertical="center" wrapText="1" indent="1"/>
    </xf>
    <xf numFmtId="0" fontId="149" fillId="80" borderId="165" xfId="70" applyFont="1" applyFill="1" applyBorder="1" applyAlignment="1">
      <alignment horizontal="left" vertical="center" wrapText="1" indent="1"/>
    </xf>
    <xf numFmtId="0" fontId="149" fillId="80" borderId="162" xfId="70" applyFont="1" applyFill="1" applyBorder="1" applyAlignment="1">
      <alignment horizontal="left" vertical="center" wrapText="1" indent="1"/>
    </xf>
    <xf numFmtId="0" fontId="149" fillId="16" borderId="165" xfId="70" applyFont="1" applyFill="1" applyBorder="1" applyAlignment="1">
      <alignment horizontal="left" vertical="top" wrapText="1"/>
    </xf>
    <xf numFmtId="0" fontId="149" fillId="16" borderId="169" xfId="70" applyFont="1" applyFill="1" applyBorder="1" applyAlignment="1">
      <alignment horizontal="left" vertical="top" wrapText="1"/>
    </xf>
    <xf numFmtId="0" fontId="149" fillId="16" borderId="162" xfId="70" applyFont="1" applyFill="1" applyBorder="1" applyAlignment="1">
      <alignment horizontal="left" vertical="top" wrapText="1"/>
    </xf>
    <xf numFmtId="0" fontId="41" fillId="79" borderId="160" xfId="70" applyFill="1" applyBorder="1" applyAlignment="1">
      <alignment horizontal="left" vertical="top" wrapText="1"/>
    </xf>
    <xf numFmtId="0" fontId="41" fillId="16" borderId="165" xfId="70" applyFill="1" applyBorder="1" applyAlignment="1" applyProtection="1">
      <alignment horizontal="left" vertical="center" wrapText="1"/>
      <protection locked="0"/>
    </xf>
    <xf numFmtId="0" fontId="41" fillId="16" borderId="169" xfId="70" applyFill="1" applyBorder="1" applyAlignment="1" applyProtection="1">
      <alignment horizontal="left" vertical="center" wrapText="1"/>
      <protection locked="0"/>
    </xf>
    <xf numFmtId="0" fontId="41" fillId="16" borderId="162" xfId="70" applyFill="1" applyBorder="1" applyAlignment="1" applyProtection="1">
      <alignment horizontal="left" vertical="center" wrapText="1"/>
      <protection locked="0"/>
    </xf>
    <xf numFmtId="3" fontId="41" fillId="66" borderId="0" xfId="71" applyNumberFormat="1" applyFill="1" applyAlignment="1">
      <alignment horizontal="left" vertical="top" wrapText="1" indent="4"/>
    </xf>
    <xf numFmtId="0" fontId="144" fillId="0" borderId="0" xfId="0" applyFont="1" applyAlignment="1">
      <alignment horizontal="left" vertical="center" wrapText="1" indent="4"/>
    </xf>
    <xf numFmtId="0" fontId="68" fillId="80" borderId="165" xfId="0" applyFont="1" applyFill="1" applyBorder="1" applyAlignment="1">
      <alignment horizontal="left" vertical="center" indent="1"/>
    </xf>
    <xf numFmtId="0" fontId="68" fillId="80" borderId="162" xfId="0" applyFont="1" applyFill="1" applyBorder="1" applyAlignment="1">
      <alignment horizontal="left" vertical="center" indent="1"/>
    </xf>
    <xf numFmtId="0" fontId="68" fillId="80" borderId="162" xfId="0" applyFont="1" applyFill="1" applyBorder="1" applyAlignment="1">
      <alignment horizontal="left" vertical="center" wrapText="1" indent="1"/>
    </xf>
    <xf numFmtId="0" fontId="68" fillId="16" borderId="165" xfId="0" applyFont="1" applyFill="1" applyBorder="1" applyAlignment="1">
      <alignment horizontal="left" vertical="center" wrapText="1" indent="1"/>
    </xf>
    <xf numFmtId="0" fontId="68" fillId="16" borderId="169" xfId="0" applyFont="1" applyFill="1" applyBorder="1" applyAlignment="1">
      <alignment horizontal="left" vertical="center" wrapText="1" indent="1"/>
    </xf>
    <xf numFmtId="0" fontId="68" fillId="16" borderId="162" xfId="0" applyFont="1" applyFill="1" applyBorder="1" applyAlignment="1">
      <alignment horizontal="left" vertical="center" wrapText="1" indent="1"/>
    </xf>
    <xf numFmtId="0" fontId="149" fillId="16" borderId="165" xfId="70" applyFont="1" applyFill="1" applyBorder="1" applyAlignment="1">
      <alignment horizontal="left" vertical="center" indent="1"/>
    </xf>
    <xf numFmtId="0" fontId="149" fillId="16" borderId="169" xfId="70" applyFont="1" applyFill="1" applyBorder="1" applyAlignment="1">
      <alignment horizontal="left" vertical="center" indent="1"/>
    </xf>
    <xf numFmtId="0" fontId="149" fillId="16" borderId="162" xfId="70" applyFont="1" applyFill="1" applyBorder="1" applyAlignment="1">
      <alignment horizontal="left" vertical="center" indent="1"/>
    </xf>
    <xf numFmtId="0" fontId="41" fillId="16" borderId="165" xfId="70" applyFill="1" applyBorder="1" applyAlignment="1" applyProtection="1">
      <alignment horizontal="left" vertical="center" wrapText="1" indent="1"/>
      <protection locked="0"/>
    </xf>
    <xf numFmtId="0" fontId="41" fillId="16" borderId="169" xfId="70" applyFill="1" applyBorder="1" applyAlignment="1" applyProtection="1">
      <alignment horizontal="left" vertical="center" wrapText="1" indent="1"/>
      <protection locked="0"/>
    </xf>
    <xf numFmtId="0" fontId="41" fillId="16" borderId="162" xfId="70" applyFill="1" applyBorder="1" applyAlignment="1" applyProtection="1">
      <alignment horizontal="left" vertical="center" wrapText="1" indent="1"/>
      <protection locked="0"/>
    </xf>
    <xf numFmtId="0" fontId="68" fillId="66" borderId="0" xfId="0" applyFont="1" applyFill="1" applyAlignment="1">
      <alignment horizontal="left" vertical="center" wrapText="1"/>
    </xf>
    <xf numFmtId="0" fontId="0" fillId="0" borderId="0" xfId="0" applyAlignment="1">
      <alignment horizontal="left" vertical="center" wrapText="1"/>
    </xf>
    <xf numFmtId="0" fontId="68" fillId="16" borderId="165" xfId="0" applyFont="1" applyFill="1" applyBorder="1" applyAlignment="1" applyProtection="1">
      <alignment horizontal="left"/>
      <protection locked="0"/>
    </xf>
    <xf numFmtId="0" fontId="18" fillId="0" borderId="162" xfId="0" applyFont="1" applyBorder="1" applyAlignment="1" applyProtection="1">
      <alignment horizontal="left"/>
      <protection locked="0"/>
    </xf>
    <xf numFmtId="0" fontId="68" fillId="16" borderId="165" xfId="0" applyFont="1" applyFill="1" applyBorder="1" applyAlignment="1" applyProtection="1">
      <alignment horizontal="left" vertical="center"/>
      <protection locked="0"/>
    </xf>
    <xf numFmtId="0" fontId="68" fillId="16" borderId="162" xfId="0" applyFont="1" applyFill="1" applyBorder="1" applyAlignment="1" applyProtection="1">
      <alignment horizontal="left" vertical="center"/>
      <protection locked="0"/>
    </xf>
    <xf numFmtId="0" fontId="41" fillId="16" borderId="165" xfId="70" applyFill="1" applyBorder="1" applyAlignment="1" applyProtection="1">
      <alignment horizontal="left" vertical="center" indent="1"/>
      <protection locked="0"/>
    </xf>
    <xf numFmtId="0" fontId="41" fillId="16" borderId="169" xfId="70" applyFill="1" applyBorder="1" applyAlignment="1" applyProtection="1">
      <alignment horizontal="left" vertical="center" indent="1"/>
      <protection locked="0"/>
    </xf>
    <xf numFmtId="0" fontId="41" fillId="16" borderId="162" xfId="70" applyFill="1" applyBorder="1" applyAlignment="1" applyProtection="1">
      <alignment horizontal="left" vertical="center" indent="1"/>
      <protection locked="0"/>
    </xf>
    <xf numFmtId="0" fontId="142" fillId="16" borderId="165" xfId="70" applyFont="1" applyFill="1" applyBorder="1" applyAlignment="1" applyProtection="1">
      <alignment horizontal="left" vertical="center" wrapText="1"/>
      <protection locked="0"/>
    </xf>
    <xf numFmtId="0" fontId="142" fillId="16" borderId="169" xfId="70" applyFont="1" applyFill="1" applyBorder="1" applyAlignment="1" applyProtection="1">
      <alignment horizontal="left" vertical="center" wrapText="1"/>
      <protection locked="0"/>
    </xf>
    <xf numFmtId="0" fontId="142" fillId="16" borderId="162" xfId="70" applyFont="1" applyFill="1" applyBorder="1" applyAlignment="1" applyProtection="1">
      <alignment horizontal="left" vertical="center" wrapText="1"/>
      <protection locked="0"/>
    </xf>
    <xf numFmtId="0" fontId="68" fillId="80" borderId="235" xfId="0" applyFont="1" applyFill="1" applyBorder="1" applyAlignment="1">
      <alignment horizontal="center" vertical="center" wrapText="1"/>
    </xf>
    <xf numFmtId="0" fontId="0" fillId="0" borderId="236" xfId="0" applyBorder="1" applyAlignment="1">
      <alignment horizontal="center" vertical="center" wrapText="1"/>
    </xf>
    <xf numFmtId="0" fontId="0" fillId="0" borderId="244" xfId="0" applyBorder="1" applyAlignment="1">
      <alignment horizontal="center" vertical="center" wrapText="1"/>
    </xf>
    <xf numFmtId="0" fontId="0" fillId="0" borderId="245" xfId="0" applyBorder="1" applyAlignment="1">
      <alignment horizontal="center" vertical="center" wrapText="1"/>
    </xf>
    <xf numFmtId="0" fontId="68" fillId="80" borderId="163" xfId="0" applyFont="1" applyFill="1" applyBorder="1" applyAlignment="1">
      <alignment horizontal="center" vertical="center" wrapText="1"/>
    </xf>
    <xf numFmtId="0" fontId="0" fillId="0" borderId="163" xfId="0" applyBorder="1" applyAlignment="1">
      <alignment horizontal="center" vertical="center" wrapText="1"/>
    </xf>
    <xf numFmtId="0" fontId="68" fillId="80" borderId="244" xfId="0" applyFont="1" applyFill="1" applyBorder="1" applyAlignment="1">
      <alignment horizontal="center" vertical="center" wrapText="1"/>
    </xf>
    <xf numFmtId="0" fontId="0" fillId="0" borderId="237" xfId="0" applyBorder="1" applyAlignment="1">
      <alignment horizontal="center" vertical="center" wrapText="1"/>
    </xf>
    <xf numFmtId="0" fontId="68" fillId="80" borderId="80" xfId="0" applyFont="1" applyFill="1" applyBorder="1" applyAlignment="1">
      <alignment horizontal="center" vertical="center" wrapText="1"/>
    </xf>
    <xf numFmtId="0" fontId="0" fillId="0" borderId="246" xfId="0" applyBorder="1" applyAlignment="1">
      <alignment horizontal="center" vertical="center" wrapText="1"/>
    </xf>
    <xf numFmtId="0" fontId="68" fillId="80" borderId="245" xfId="0" applyFont="1" applyFill="1" applyBorder="1" applyAlignment="1">
      <alignment horizontal="center" vertical="center" wrapText="1"/>
    </xf>
    <xf numFmtId="0" fontId="0" fillId="0" borderId="238" xfId="0" applyBorder="1" applyAlignment="1">
      <alignment horizontal="center" vertical="center" wrapText="1"/>
    </xf>
    <xf numFmtId="0" fontId="141" fillId="66" borderId="240" xfId="0" applyFont="1" applyFill="1" applyBorder="1" applyAlignment="1">
      <alignment horizontal="left" vertical="center" wrapText="1" indent="1"/>
    </xf>
    <xf numFmtId="0" fontId="14" fillId="66" borderId="240" xfId="0" applyFont="1" applyFill="1" applyBorder="1" applyAlignment="1">
      <alignment horizontal="left" wrapText="1" indent="1"/>
    </xf>
    <xf numFmtId="0" fontId="14" fillId="66" borderId="240" xfId="0" applyFont="1" applyFill="1" applyBorder="1" applyAlignment="1">
      <alignment horizontal="left" indent="1"/>
    </xf>
    <xf numFmtId="0" fontId="141" fillId="66" borderId="162" xfId="0" applyFont="1" applyFill="1" applyBorder="1" applyAlignment="1">
      <alignment horizontal="left" vertical="center"/>
    </xf>
    <xf numFmtId="0" fontId="14" fillId="66" borderId="163" xfId="0" applyFont="1" applyFill="1" applyBorder="1" applyAlignment="1">
      <alignment vertical="center"/>
    </xf>
    <xf numFmtId="0" fontId="68" fillId="66" borderId="0" xfId="0" applyFont="1" applyFill="1" applyAlignment="1">
      <alignment wrapText="1"/>
    </xf>
    <xf numFmtId="0" fontId="68" fillId="0" borderId="0" xfId="0" applyFont="1" applyAlignment="1">
      <alignment wrapText="1"/>
    </xf>
    <xf numFmtId="0" fontId="41" fillId="80" borderId="163" xfId="70" applyFill="1" applyBorder="1" applyAlignment="1">
      <alignment horizontal="center" vertical="center" wrapText="1"/>
    </xf>
    <xf numFmtId="0" fontId="0" fillId="0" borderId="163" xfId="0" applyBorder="1" applyAlignment="1">
      <alignment horizontal="center" vertical="center"/>
    </xf>
    <xf numFmtId="0" fontId="41" fillId="80" borderId="163" xfId="0" applyFont="1" applyFill="1" applyBorder="1" applyAlignment="1">
      <alignment horizontal="center" vertical="center" wrapText="1"/>
    </xf>
    <xf numFmtId="0" fontId="0" fillId="0" borderId="243" xfId="0" applyBorder="1" applyAlignment="1">
      <alignment horizontal="center" vertical="center" wrapText="1"/>
    </xf>
    <xf numFmtId="0" fontId="41" fillId="10" borderId="239" xfId="0" applyFont="1" applyFill="1" applyBorder="1" applyAlignment="1">
      <alignment horizontal="center" vertical="center" wrapText="1"/>
    </xf>
    <xf numFmtId="0" fontId="41" fillId="10" borderId="240" xfId="0" applyFont="1" applyFill="1" applyBorder="1" applyAlignment="1">
      <alignment horizontal="center" vertical="center" wrapText="1"/>
    </xf>
    <xf numFmtId="0" fontId="0" fillId="10" borderId="240" xfId="0" applyFill="1" applyBorder="1" applyAlignment="1">
      <alignment horizontal="center" vertical="center" wrapText="1"/>
    </xf>
    <xf numFmtId="0" fontId="0" fillId="10" borderId="240" xfId="0" applyFill="1" applyBorder="1"/>
    <xf numFmtId="0" fontId="68" fillId="10" borderId="240" xfId="0" applyFont="1" applyFill="1" applyBorder="1" applyAlignment="1">
      <alignment horizontal="center" vertical="center" wrapText="1"/>
    </xf>
    <xf numFmtId="0" fontId="0" fillId="10" borderId="241" xfId="0" applyFill="1" applyBorder="1" applyAlignment="1">
      <alignment vertical="center" wrapText="1"/>
    </xf>
    <xf numFmtId="0" fontId="68" fillId="80" borderId="235" xfId="0" applyFont="1" applyFill="1" applyBorder="1" applyAlignment="1">
      <alignment horizontal="center" wrapText="1"/>
    </xf>
    <xf numFmtId="0" fontId="68" fillId="0" borderId="243" xfId="0" applyFont="1" applyBorder="1"/>
    <xf numFmtId="0" fontId="68" fillId="0" borderId="236" xfId="0" applyFont="1" applyBorder="1"/>
    <xf numFmtId="0" fontId="68" fillId="80" borderId="198" xfId="0" applyFont="1" applyFill="1" applyBorder="1"/>
    <xf numFmtId="0" fontId="68" fillId="0" borderId="199" xfId="0" applyFont="1" applyBorder="1"/>
    <xf numFmtId="0" fontId="68" fillId="0" borderId="114" xfId="0" applyFont="1" applyBorder="1"/>
    <xf numFmtId="0" fontId="68" fillId="0" borderId="236" xfId="0" applyFont="1" applyBorder="1" applyAlignment="1">
      <alignment horizontal="center" wrapText="1"/>
    </xf>
    <xf numFmtId="0" fontId="68" fillId="0" borderId="244" xfId="0" applyFont="1" applyBorder="1" applyAlignment="1">
      <alignment horizontal="center" wrapText="1"/>
    </xf>
    <xf numFmtId="0" fontId="68" fillId="0" borderId="245" xfId="0" applyFont="1" applyBorder="1" applyAlignment="1">
      <alignment horizontal="center" wrapText="1"/>
    </xf>
    <xf numFmtId="0" fontId="68" fillId="80" borderId="244" xfId="0" applyFont="1" applyFill="1" applyBorder="1" applyAlignment="1">
      <alignment horizontal="center" wrapText="1"/>
    </xf>
    <xf numFmtId="0" fontId="68" fillId="0" borderId="80" xfId="0" applyFont="1" applyBorder="1" applyAlignment="1">
      <alignment horizontal="center" wrapText="1"/>
    </xf>
    <xf numFmtId="0" fontId="68" fillId="80" borderId="80" xfId="0" applyFont="1" applyFill="1" applyBorder="1" applyAlignment="1">
      <alignment horizontal="center" wrapText="1"/>
    </xf>
    <xf numFmtId="0" fontId="68" fillId="0" borderId="80" xfId="0" applyFont="1" applyBorder="1"/>
    <xf numFmtId="0" fontId="68" fillId="0" borderId="245" xfId="0" applyFont="1" applyBorder="1"/>
    <xf numFmtId="0" fontId="41" fillId="80" borderId="198" xfId="70" applyFill="1" applyBorder="1" applyAlignment="1">
      <alignment horizontal="center" vertical="center" wrapText="1"/>
    </xf>
    <xf numFmtId="0" fontId="68" fillId="80" borderId="163" xfId="0" applyFont="1" applyFill="1" applyBorder="1"/>
    <xf numFmtId="0" fontId="68" fillId="80" borderId="198" xfId="0" applyFont="1" applyFill="1" applyBorder="1" applyAlignment="1">
      <alignment horizontal="center" vertical="center" wrapText="1"/>
    </xf>
    <xf numFmtId="0" fontId="68" fillId="80" borderId="199" xfId="0" applyFont="1" applyFill="1" applyBorder="1" applyAlignment="1">
      <alignment horizontal="center" vertical="center" wrapText="1"/>
    </xf>
    <xf numFmtId="0" fontId="68" fillId="80" borderId="114" xfId="0" applyFont="1" applyFill="1" applyBorder="1" applyAlignment="1">
      <alignment horizontal="center" vertical="center" wrapText="1"/>
    </xf>
    <xf numFmtId="0" fontId="68" fillId="10" borderId="198" xfId="0" applyFont="1" applyFill="1" applyBorder="1"/>
    <xf numFmtId="0" fontId="68" fillId="10" borderId="199" xfId="0" applyFont="1" applyFill="1" applyBorder="1"/>
    <xf numFmtId="0" fontId="68" fillId="10" borderId="114" xfId="0" applyFont="1" applyFill="1" applyBorder="1"/>
    <xf numFmtId="0" fontId="41" fillId="80" borderId="80" xfId="0" applyFont="1" applyFill="1" applyBorder="1" applyAlignment="1">
      <alignment horizontal="center" wrapText="1"/>
    </xf>
    <xf numFmtId="0" fontId="68" fillId="0" borderId="246" xfId="0" applyFont="1" applyBorder="1" applyAlignment="1">
      <alignment horizontal="center" wrapText="1"/>
    </xf>
    <xf numFmtId="0" fontId="41" fillId="80" borderId="245" xfId="0" applyFont="1" applyFill="1" applyBorder="1" applyAlignment="1">
      <alignment horizontal="center" wrapText="1"/>
    </xf>
    <xf numFmtId="0" fontId="68" fillId="0" borderId="238" xfId="0" applyFont="1" applyBorder="1" applyAlignment="1">
      <alignment horizontal="center" wrapText="1"/>
    </xf>
    <xf numFmtId="0" fontId="68" fillId="0" borderId="243" xfId="0" applyFont="1" applyBorder="1" applyAlignment="1">
      <alignment horizontal="center" wrapText="1"/>
    </xf>
    <xf numFmtId="0" fontId="68" fillId="80" borderId="198" xfId="0" applyFont="1" applyFill="1" applyBorder="1" applyAlignment="1">
      <alignment horizontal="center" wrapText="1"/>
    </xf>
    <xf numFmtId="0" fontId="68" fillId="0" borderId="199" xfId="0" applyFont="1" applyBorder="1" applyAlignment="1">
      <alignment horizontal="center" wrapText="1"/>
    </xf>
    <xf numFmtId="0" fontId="68" fillId="0" borderId="114" xfId="0" applyFont="1" applyBorder="1" applyAlignment="1">
      <alignment horizontal="center" wrapText="1"/>
    </xf>
    <xf numFmtId="0" fontId="41" fillId="80" borderId="163" xfId="0" applyFont="1" applyFill="1" applyBorder="1" applyAlignment="1">
      <alignment vertical="center" wrapText="1"/>
    </xf>
    <xf numFmtId="0" fontId="68" fillId="80" borderId="163" xfId="0" applyFont="1" applyFill="1" applyBorder="1" applyAlignment="1">
      <alignment horizontal="center"/>
    </xf>
    <xf numFmtId="0" fontId="41" fillId="80" borderId="244" xfId="0" applyFont="1" applyFill="1" applyBorder="1" applyAlignment="1">
      <alignment horizontal="center" wrapText="1"/>
    </xf>
    <xf numFmtId="0" fontId="68" fillId="0" borderId="237" xfId="0" applyFont="1" applyBorder="1" applyAlignment="1">
      <alignment horizontal="center" wrapText="1"/>
    </xf>
    <xf numFmtId="0" fontId="68" fillId="66" borderId="0" xfId="0" applyFont="1" applyFill="1" applyAlignment="1">
      <alignment horizontal="left" vertical="top" wrapText="1"/>
    </xf>
    <xf numFmtId="0" fontId="0" fillId="80" borderId="163" xfId="0" applyFill="1" applyBorder="1" applyAlignment="1">
      <alignment horizontal="center" vertical="top" wrapText="1"/>
    </xf>
    <xf numFmtId="0" fontId="0" fillId="80" borderId="243" xfId="0" applyFill="1" applyBorder="1"/>
    <xf numFmtId="0" fontId="0" fillId="80" borderId="236" xfId="0" applyFill="1" applyBorder="1"/>
    <xf numFmtId="0" fontId="68" fillId="10" borderId="199" xfId="0" applyFont="1" applyFill="1" applyBorder="1" applyAlignment="1">
      <alignment horizontal="center" vertical="center"/>
    </xf>
    <xf numFmtId="0" fontId="68" fillId="10" borderId="114" xfId="0" applyFont="1" applyFill="1" applyBorder="1" applyAlignment="1">
      <alignment horizontal="center" vertical="center"/>
    </xf>
    <xf numFmtId="0" fontId="68" fillId="10" borderId="244" xfId="0" applyFont="1" applyFill="1" applyBorder="1" applyAlignment="1">
      <alignment horizontal="center" vertical="center" wrapText="1"/>
    </xf>
    <xf numFmtId="0" fontId="68" fillId="10" borderId="80" xfId="0" applyFont="1" applyFill="1" applyBorder="1" applyAlignment="1">
      <alignment horizontal="center" vertical="center" wrapText="1"/>
    </xf>
    <xf numFmtId="0" fontId="41" fillId="80" borderId="80" xfId="0" applyFont="1" applyFill="1" applyBorder="1" applyAlignment="1">
      <alignment horizontal="center" vertical="center" wrapText="1"/>
    </xf>
    <xf numFmtId="0" fontId="41" fillId="80" borderId="246" xfId="0" applyFont="1" applyFill="1" applyBorder="1" applyAlignment="1">
      <alignment horizontal="center" vertical="center" wrapText="1"/>
    </xf>
    <xf numFmtId="0" fontId="41" fillId="80" borderId="245" xfId="0" applyFont="1" applyFill="1" applyBorder="1" applyAlignment="1">
      <alignment horizontal="center" vertical="center" wrapText="1"/>
    </xf>
    <xf numFmtId="0" fontId="41" fillId="80" borderId="238" xfId="0" applyFont="1" applyFill="1" applyBorder="1" applyAlignment="1">
      <alignment horizontal="center" vertical="center" wrapText="1"/>
    </xf>
    <xf numFmtId="0" fontId="68" fillId="10" borderId="237" xfId="0" applyFont="1" applyFill="1" applyBorder="1" applyAlignment="1">
      <alignment horizontal="center" vertical="center" wrapText="1"/>
    </xf>
    <xf numFmtId="0" fontId="0" fillId="80" borderId="235" xfId="0" applyFill="1" applyBorder="1" applyAlignment="1">
      <alignment horizontal="center" vertical="top" wrapText="1"/>
    </xf>
    <xf numFmtId="0" fontId="0" fillId="80" borderId="236" xfId="0" applyFill="1" applyBorder="1" applyAlignment="1">
      <alignment horizontal="center" vertical="top" wrapText="1"/>
    </xf>
    <xf numFmtId="0" fontId="0" fillId="80" borderId="244" xfId="0" applyFill="1" applyBorder="1" applyAlignment="1">
      <alignment horizontal="center" vertical="top" wrapText="1"/>
    </xf>
    <xf numFmtId="0" fontId="0" fillId="80" borderId="245" xfId="0" applyFill="1" applyBorder="1" applyAlignment="1">
      <alignment horizontal="center" vertical="top" wrapText="1"/>
    </xf>
    <xf numFmtId="0" fontId="0" fillId="80" borderId="80" xfId="0" applyFill="1" applyBorder="1" applyAlignment="1">
      <alignment horizontal="center" wrapText="1"/>
    </xf>
    <xf numFmtId="0" fontId="0" fillId="80" borderId="245" xfId="0" applyFill="1" applyBorder="1" applyAlignment="1">
      <alignment horizontal="center" wrapText="1"/>
    </xf>
    <xf numFmtId="0" fontId="68" fillId="66" borderId="0" xfId="0" applyFont="1" applyFill="1" applyAlignment="1">
      <alignment horizontal="left" wrapText="1"/>
    </xf>
    <xf numFmtId="0" fontId="68" fillId="10" borderId="163" xfId="0" applyFont="1" applyFill="1" applyBorder="1" applyAlignment="1">
      <alignment horizontal="center" vertical="center"/>
    </xf>
    <xf numFmtId="0" fontId="41" fillId="10" borderId="80" xfId="0" applyFont="1" applyFill="1" applyBorder="1" applyAlignment="1">
      <alignment horizontal="center" vertical="center" wrapText="1"/>
    </xf>
    <xf numFmtId="0" fontId="41" fillId="10" borderId="246" xfId="0" applyFont="1" applyFill="1" applyBorder="1" applyAlignment="1">
      <alignment horizontal="center" vertical="center" wrapText="1"/>
    </xf>
    <xf numFmtId="0" fontId="68" fillId="10" borderId="246" xfId="0" applyFont="1" applyFill="1" applyBorder="1" applyAlignment="1">
      <alignment horizontal="center" vertical="center" wrapText="1"/>
    </xf>
    <xf numFmtId="0" fontId="0" fillId="10" borderId="245" xfId="0" applyFill="1" applyBorder="1" applyAlignment="1">
      <alignment horizontal="center" vertical="center" wrapText="1"/>
    </xf>
    <xf numFmtId="0" fontId="0" fillId="10" borderId="238" xfId="0" applyFill="1" applyBorder="1" applyAlignment="1">
      <alignment horizontal="center" vertical="center" wrapText="1"/>
    </xf>
    <xf numFmtId="0" fontId="41" fillId="10" borderId="165" xfId="70" applyFill="1" applyBorder="1" applyAlignment="1">
      <alignment horizontal="left" vertical="center"/>
    </xf>
    <xf numFmtId="0" fontId="41" fillId="10" borderId="169" xfId="70" applyFill="1" applyBorder="1" applyAlignment="1">
      <alignment horizontal="left" vertical="center"/>
    </xf>
    <xf numFmtId="0" fontId="41" fillId="10" borderId="242" xfId="70" applyFill="1" applyBorder="1" applyAlignment="1">
      <alignment horizontal="left" vertical="center"/>
    </xf>
    <xf numFmtId="0" fontId="41" fillId="10" borderId="162" xfId="70" applyFill="1" applyBorder="1" applyAlignment="1">
      <alignment horizontal="left" vertical="center"/>
    </xf>
    <xf numFmtId="0" fontId="41" fillId="80" borderId="165" xfId="70" applyFill="1" applyBorder="1" applyAlignment="1">
      <alignment horizontal="center" vertical="center" wrapText="1"/>
    </xf>
    <xf numFmtId="0" fontId="41" fillId="80" borderId="169" xfId="70" applyFill="1" applyBorder="1" applyAlignment="1">
      <alignment horizontal="center" vertical="center" wrapText="1"/>
    </xf>
    <xf numFmtId="0" fontId="41" fillId="80" borderId="162" xfId="70" applyFill="1" applyBorder="1" applyAlignment="1">
      <alignment horizontal="center" vertical="center" wrapText="1"/>
    </xf>
    <xf numFmtId="0" fontId="41" fillId="80" borderId="235" xfId="70" applyFill="1" applyBorder="1" applyAlignment="1">
      <alignment horizontal="center" vertical="center" wrapText="1"/>
    </xf>
    <xf numFmtId="0" fontId="41" fillId="80" borderId="236" xfId="70" applyFill="1" applyBorder="1" applyAlignment="1">
      <alignment horizontal="center" vertical="center" wrapText="1"/>
    </xf>
    <xf numFmtId="0" fontId="41" fillId="80" borderId="170" xfId="70" applyFill="1" applyBorder="1" applyAlignment="1">
      <alignment horizontal="center" vertical="center" wrapText="1"/>
    </xf>
    <xf numFmtId="0" fontId="41" fillId="80" borderId="172" xfId="70" applyFill="1" applyBorder="1" applyAlignment="1">
      <alignment horizontal="center" vertical="center" wrapText="1"/>
    </xf>
    <xf numFmtId="0" fontId="41" fillId="80" borderId="167" xfId="70" applyFill="1" applyBorder="1" applyAlignment="1">
      <alignment horizontal="center" vertical="center" wrapText="1"/>
    </xf>
    <xf numFmtId="0" fontId="41" fillId="80" borderId="161" xfId="70" applyFill="1" applyBorder="1" applyAlignment="1">
      <alignment horizontal="center" vertical="center" wrapText="1"/>
    </xf>
    <xf numFmtId="0" fontId="0" fillId="0" borderId="20" xfId="0" applyBorder="1" applyAlignment="1">
      <alignment horizontal="center" vertical="center"/>
    </xf>
    <xf numFmtId="0" fontId="11" fillId="0" borderId="0" xfId="0" applyFont="1" applyAlignment="1">
      <alignment horizontal="center" wrapText="1"/>
    </xf>
    <xf numFmtId="0" fontId="4" fillId="0" borderId="28" xfId="0" applyFont="1" applyBorder="1" applyAlignment="1">
      <alignment horizontal="center"/>
    </xf>
    <xf numFmtId="0" fontId="4" fillId="0" borderId="15" xfId="0" applyFont="1" applyBorder="1" applyAlignment="1">
      <alignment horizontal="center"/>
    </xf>
    <xf numFmtId="0" fontId="4" fillId="0" borderId="19" xfId="0" applyFont="1" applyBorder="1" applyAlignment="1">
      <alignment horizontal="center"/>
    </xf>
    <xf numFmtId="0" fontId="4" fillId="0" borderId="27" xfId="0" applyFont="1" applyBorder="1" applyAlignment="1">
      <alignment horizontal="center" vertical="center" wrapText="1"/>
    </xf>
    <xf numFmtId="0" fontId="4" fillId="0" borderId="26" xfId="0" applyFont="1" applyBorder="1" applyAlignment="1">
      <alignment horizontal="center" vertical="center" wrapText="1"/>
    </xf>
    <xf numFmtId="0" fontId="0" fillId="0" borderId="28" xfId="0" applyBorder="1" applyAlignment="1">
      <alignment horizontal="center" vertical="center"/>
    </xf>
    <xf numFmtId="0" fontId="0" fillId="0" borderId="19" xfId="0" applyBorder="1" applyAlignment="1">
      <alignment horizontal="center" vertical="center"/>
    </xf>
    <xf numFmtId="0" fontId="4" fillId="31" borderId="28" xfId="0" applyFont="1" applyFill="1" applyBorder="1" applyAlignment="1">
      <alignment horizontal="center"/>
    </xf>
    <xf numFmtId="0" fontId="4" fillId="31" borderId="15" xfId="0" applyFont="1" applyFill="1" applyBorder="1" applyAlignment="1">
      <alignment horizontal="center"/>
    </xf>
    <xf numFmtId="0" fontId="4" fillId="31" borderId="19" xfId="0" applyFont="1" applyFill="1" applyBorder="1" applyAlignment="1">
      <alignment horizontal="center"/>
    </xf>
    <xf numFmtId="0" fontId="0" fillId="0" borderId="27" xfId="0" applyBorder="1" applyAlignment="1">
      <alignment horizontal="center" vertical="center"/>
    </xf>
    <xf numFmtId="0" fontId="0" fillId="0" borderId="26" xfId="0" applyBorder="1" applyAlignment="1">
      <alignment horizontal="center" vertical="center"/>
    </xf>
    <xf numFmtId="3" fontId="0" fillId="0" borderId="25" xfId="0" applyNumberFormat="1" applyBorder="1" applyAlignment="1">
      <alignment horizontal="center" vertical="center"/>
    </xf>
    <xf numFmtId="0" fontId="0" fillId="0" borderId="25" xfId="0" applyBorder="1" applyAlignment="1">
      <alignment horizontal="center" vertical="center"/>
    </xf>
    <xf numFmtId="0" fontId="4" fillId="18" borderId="73" xfId="0" applyFont="1" applyFill="1" applyBorder="1" applyAlignment="1">
      <alignment horizontal="center" vertical="center"/>
    </xf>
    <xf numFmtId="0" fontId="4" fillId="18" borderId="25" xfId="0" applyFont="1" applyFill="1" applyBorder="1" applyAlignment="1">
      <alignment horizontal="center" vertical="center"/>
    </xf>
    <xf numFmtId="0" fontId="4" fillId="18" borderId="24" xfId="0" applyFont="1" applyFill="1" applyBorder="1" applyAlignment="1">
      <alignment horizontal="center" vertical="center"/>
    </xf>
    <xf numFmtId="0" fontId="4" fillId="31" borderId="73" xfId="0" applyFont="1" applyFill="1" applyBorder="1" applyAlignment="1">
      <alignment horizontal="center" vertical="center"/>
    </xf>
    <xf numFmtId="0" fontId="4" fillId="31" borderId="24" xfId="0" applyFont="1" applyFill="1" applyBorder="1" applyAlignment="1">
      <alignment horizontal="center" vertical="center"/>
    </xf>
    <xf numFmtId="0" fontId="4" fillId="0" borderId="20" xfId="0" applyFont="1" applyBorder="1" applyAlignment="1">
      <alignment horizontal="center"/>
    </xf>
    <xf numFmtId="0" fontId="0" fillId="0" borderId="0" xfId="0"/>
    <xf numFmtId="0" fontId="0" fillId="0" borderId="28" xfId="0" applyBorder="1" applyAlignment="1">
      <alignment horizontal="center"/>
    </xf>
    <xf numFmtId="0" fontId="0" fillId="0" borderId="19" xfId="0" applyBorder="1" applyAlignment="1">
      <alignment horizontal="center"/>
    </xf>
    <xf numFmtId="1" fontId="71" fillId="0" borderId="0" xfId="0" applyNumberFormat="1" applyFont="1" applyAlignment="1">
      <alignment horizontal="center" vertical="center" wrapText="1"/>
    </xf>
    <xf numFmtId="167" fontId="187" fillId="0" borderId="28" xfId="0" applyNumberFormat="1" applyFont="1" applyBorder="1" applyAlignment="1">
      <alignment horizontal="center"/>
    </xf>
    <xf numFmtId="167" fontId="187" fillId="0" borderId="15" xfId="0" applyNumberFormat="1" applyFont="1" applyBorder="1" applyAlignment="1">
      <alignment horizontal="center"/>
    </xf>
    <xf numFmtId="167" fontId="187" fillId="0" borderId="19" xfId="0" applyNumberFormat="1" applyFont="1" applyBorder="1" applyAlignment="1">
      <alignment horizontal="center"/>
    </xf>
    <xf numFmtId="0" fontId="187" fillId="0" borderId="19" xfId="0" applyFont="1" applyBorder="1" applyAlignment="1">
      <alignment horizontal="center"/>
    </xf>
    <xf numFmtId="0" fontId="19" fillId="4" borderId="20" xfId="0" applyFont="1" applyFill="1" applyBorder="1" applyAlignment="1">
      <alignment horizontal="center" vertical="center" wrapText="1"/>
    </xf>
    <xf numFmtId="1" fontId="19" fillId="6" borderId="28" xfId="0" applyNumberFormat="1" applyFont="1" applyFill="1" applyBorder="1" applyAlignment="1">
      <alignment horizontal="center" vertical="center" wrapText="1"/>
    </xf>
    <xf numFmtId="1" fontId="19" fillId="6" borderId="15" xfId="0" applyNumberFormat="1" applyFont="1" applyFill="1" applyBorder="1" applyAlignment="1">
      <alignment horizontal="center" vertical="center"/>
    </xf>
    <xf numFmtId="1" fontId="19" fillId="6" borderId="19" xfId="0" applyNumberFormat="1" applyFont="1" applyFill="1" applyBorder="1" applyAlignment="1">
      <alignment horizontal="center" vertical="center"/>
    </xf>
    <xf numFmtId="0" fontId="17" fillId="0" borderId="27" xfId="0" applyFont="1" applyBorder="1" applyAlignment="1">
      <alignment horizontal="center" vertical="center"/>
    </xf>
    <xf numFmtId="0" fontId="17" fillId="0" borderId="102" xfId="0" applyFont="1" applyBorder="1" applyAlignment="1">
      <alignment horizontal="center" vertical="center"/>
    </xf>
    <xf numFmtId="0" fontId="17" fillId="0" borderId="26" xfId="0" applyFont="1" applyBorder="1" applyAlignment="1">
      <alignment horizontal="center" vertical="center"/>
    </xf>
    <xf numFmtId="1" fontId="17" fillId="26" borderId="28" xfId="0" applyNumberFormat="1" applyFont="1" applyFill="1" applyBorder="1" applyAlignment="1">
      <alignment horizontal="center" vertical="center"/>
    </xf>
    <xf numFmtId="1" fontId="17" fillId="26" borderId="19" xfId="0" applyNumberFormat="1" applyFont="1" applyFill="1" applyBorder="1" applyAlignment="1">
      <alignment horizontal="center" vertical="center"/>
    </xf>
    <xf numFmtId="1" fontId="12" fillId="19" borderId="291" xfId="25" applyNumberFormat="1" applyBorder="1" applyAlignment="1">
      <alignment horizontal="center" vertical="center" wrapText="1"/>
    </xf>
    <xf numFmtId="1" fontId="12" fillId="19" borderId="292" xfId="25" applyNumberFormat="1" applyBorder="1" applyAlignment="1">
      <alignment horizontal="center" vertical="center" wrapText="1"/>
    </xf>
    <xf numFmtId="1" fontId="17" fillId="24" borderId="28" xfId="0" applyNumberFormat="1" applyFont="1" applyFill="1" applyBorder="1" applyAlignment="1">
      <alignment horizontal="center" vertical="center"/>
    </xf>
    <xf numFmtId="1" fontId="17" fillId="24" borderId="19" xfId="0" applyNumberFormat="1" applyFont="1" applyFill="1" applyBorder="1" applyAlignment="1">
      <alignment horizontal="center" vertical="center"/>
    </xf>
    <xf numFmtId="0" fontId="19" fillId="22" borderId="20" xfId="0" applyFont="1" applyFill="1" applyBorder="1" applyAlignment="1">
      <alignment horizontal="center" vertical="center" wrapText="1"/>
    </xf>
    <xf numFmtId="0" fontId="19" fillId="0" borderId="73" xfId="0" applyFont="1" applyBorder="1" applyAlignment="1">
      <alignment horizontal="center" vertical="center"/>
    </xf>
    <xf numFmtId="0" fontId="19" fillId="0" borderId="131" xfId="0" applyFont="1" applyBorder="1" applyAlignment="1">
      <alignment horizontal="center" vertical="center"/>
    </xf>
    <xf numFmtId="0" fontId="21" fillId="22" borderId="20" xfId="0" applyFont="1" applyFill="1" applyBorder="1" applyAlignment="1">
      <alignment horizontal="center" vertical="center" wrapText="1"/>
    </xf>
    <xf numFmtId="0" fontId="21" fillId="4" borderId="20" xfId="0" applyFont="1" applyFill="1" applyBorder="1" applyAlignment="1">
      <alignment horizontal="center" vertical="center" wrapText="1"/>
    </xf>
    <xf numFmtId="0" fontId="17" fillId="0" borderId="20" xfId="0" applyFont="1" applyBorder="1" applyAlignment="1">
      <alignment horizontal="center" vertical="center"/>
    </xf>
    <xf numFmtId="0" fontId="17" fillId="0" borderId="27" xfId="0" applyFont="1" applyBorder="1" applyAlignment="1">
      <alignment horizontal="center" vertical="center" wrapText="1"/>
    </xf>
    <xf numFmtId="0" fontId="17" fillId="0" borderId="102" xfId="0" applyFont="1" applyBorder="1" applyAlignment="1">
      <alignment horizontal="center" vertical="center" wrapText="1"/>
    </xf>
    <xf numFmtId="0" fontId="17" fillId="0" borderId="26" xfId="0" applyFont="1" applyBorder="1" applyAlignment="1">
      <alignment horizontal="center" vertical="center" wrapText="1"/>
    </xf>
    <xf numFmtId="0" fontId="17" fillId="0" borderId="27" xfId="0" applyFont="1" applyBorder="1" applyAlignment="1">
      <alignment horizontal="left" vertical="center"/>
    </xf>
    <xf numFmtId="0" fontId="17" fillId="0" borderId="102" xfId="0" applyFont="1" applyBorder="1" applyAlignment="1">
      <alignment horizontal="left" vertical="center"/>
    </xf>
    <xf numFmtId="0" fontId="17" fillId="0" borderId="26" xfId="0" applyFont="1" applyBorder="1" applyAlignment="1">
      <alignment horizontal="left" vertical="center"/>
    </xf>
    <xf numFmtId="0" fontId="6" fillId="35" borderId="60" xfId="0" applyFont="1" applyFill="1" applyBorder="1" applyAlignment="1">
      <alignment horizontal="center"/>
    </xf>
    <xf numFmtId="0" fontId="0" fillId="0" borderId="25" xfId="0" applyBorder="1" applyAlignment="1">
      <alignment horizontal="left" vertical="center"/>
    </xf>
    <xf numFmtId="0" fontId="0" fillId="0" borderId="22" xfId="0" applyBorder="1" applyAlignment="1">
      <alignment horizontal="left" vertical="center"/>
    </xf>
    <xf numFmtId="43" fontId="4" fillId="0" borderId="25" xfId="0" applyNumberFormat="1" applyFont="1" applyBorder="1" applyAlignment="1">
      <alignment horizontal="center" vertical="center"/>
    </xf>
    <xf numFmtId="43" fontId="4" fillId="0" borderId="22" xfId="0" applyNumberFormat="1" applyFont="1" applyBorder="1" applyAlignment="1">
      <alignment horizontal="center" vertical="center"/>
    </xf>
    <xf numFmtId="167" fontId="4" fillId="0" borderId="25" xfId="0" applyNumberFormat="1" applyFont="1" applyBorder="1" applyAlignment="1">
      <alignment horizontal="center" vertical="center"/>
    </xf>
    <xf numFmtId="167" fontId="4" fillId="0" borderId="22" xfId="0" applyNumberFormat="1" applyFont="1" applyBorder="1" applyAlignment="1">
      <alignment horizontal="center" vertical="center"/>
    </xf>
    <xf numFmtId="167" fontId="4" fillId="0" borderId="0" xfId="0" applyNumberFormat="1" applyFont="1" applyAlignment="1">
      <alignment horizontal="center" vertical="center"/>
    </xf>
    <xf numFmtId="43" fontId="4" fillId="0" borderId="0" xfId="0" applyNumberFormat="1" applyFont="1" applyAlignment="1">
      <alignment horizontal="center" vertical="center"/>
    </xf>
    <xf numFmtId="0" fontId="0" fillId="0" borderId="0" xfId="0" applyAlignment="1">
      <alignment horizontal="center"/>
    </xf>
    <xf numFmtId="0" fontId="167" fillId="0" borderId="28" xfId="0" applyFont="1" applyBorder="1" applyAlignment="1">
      <alignment horizontal="right"/>
    </xf>
    <xf numFmtId="0" fontId="167" fillId="0" borderId="15" xfId="0" applyFont="1" applyBorder="1" applyAlignment="1">
      <alignment horizontal="right"/>
    </xf>
    <xf numFmtId="0" fontId="167" fillId="0" borderId="19" xfId="0" applyFont="1" applyBorder="1" applyAlignment="1">
      <alignment horizontal="right"/>
    </xf>
    <xf numFmtId="0" fontId="161" fillId="0" borderId="0" xfId="0" applyFont="1"/>
    <xf numFmtId="0" fontId="167" fillId="0" borderId="28" xfId="0" applyFont="1" applyBorder="1" applyAlignment="1">
      <alignment horizontal="center"/>
    </xf>
    <xf numFmtId="0" fontId="167" fillId="0" borderId="15" xfId="0" applyFont="1" applyBorder="1" applyAlignment="1">
      <alignment horizontal="center"/>
    </xf>
    <xf numFmtId="0" fontId="167" fillId="0" borderId="19" xfId="0" applyFont="1" applyBorder="1" applyAlignment="1">
      <alignment horizontal="center"/>
    </xf>
    <xf numFmtId="0" fontId="167" fillId="10" borderId="28" xfId="0" applyFont="1" applyFill="1" applyBorder="1" applyAlignment="1">
      <alignment horizontal="left"/>
    </xf>
    <xf numFmtId="0" fontId="167" fillId="10" borderId="15" xfId="0" applyFont="1" applyFill="1" applyBorder="1" applyAlignment="1">
      <alignment horizontal="left"/>
    </xf>
    <xf numFmtId="0" fontId="167" fillId="10" borderId="19" xfId="0" applyFont="1" applyFill="1" applyBorder="1" applyAlignment="1">
      <alignment horizontal="left"/>
    </xf>
    <xf numFmtId="0" fontId="41" fillId="0" borderId="28" xfId="0" applyFont="1" applyBorder="1" applyAlignment="1" applyProtection="1">
      <alignment horizontal="left"/>
      <protection locked="0"/>
    </xf>
    <xf numFmtId="0" fontId="41" fillId="0" borderId="19" xfId="0" applyFont="1" applyBorder="1" applyAlignment="1" applyProtection="1">
      <alignment horizontal="left"/>
      <protection locked="0"/>
    </xf>
    <xf numFmtId="0" fontId="41" fillId="0" borderId="0" xfId="0" applyFont="1" applyAlignment="1">
      <alignment horizontal="left" vertical="top" wrapText="1"/>
    </xf>
    <xf numFmtId="0" fontId="41" fillId="0" borderId="0" xfId="0" applyFont="1" applyAlignment="1">
      <alignment horizontal="left" wrapText="1"/>
    </xf>
    <xf numFmtId="0" fontId="42" fillId="0" borderId="28" xfId="0" applyFont="1" applyBorder="1" applyAlignment="1">
      <alignment horizontal="left"/>
    </xf>
    <xf numFmtId="0" fontId="42" fillId="0" borderId="19" xfId="0" applyFont="1" applyBorder="1" applyAlignment="1">
      <alignment horizontal="left"/>
    </xf>
    <xf numFmtId="0" fontId="41" fillId="0" borderId="28" xfId="0" applyFont="1" applyBorder="1" applyAlignment="1">
      <alignment horizontal="left"/>
    </xf>
    <xf numFmtId="0" fontId="41" fillId="0" borderId="19" xfId="0" applyFont="1" applyBorder="1" applyAlignment="1">
      <alignment horizontal="left"/>
    </xf>
    <xf numFmtId="0" fontId="42" fillId="0" borderId="75" xfId="0" applyFont="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1" fillId="66" borderId="83" xfId="0" applyFont="1" applyFill="1" applyBorder="1" applyAlignment="1" applyProtection="1">
      <alignment horizontal="center"/>
      <protection locked="0"/>
    </xf>
    <xf numFmtId="0" fontId="41" fillId="66" borderId="86" xfId="0" applyFont="1" applyFill="1" applyBorder="1" applyAlignment="1" applyProtection="1">
      <alignment horizontal="center"/>
      <protection locked="0"/>
    </xf>
    <xf numFmtId="0" fontId="41" fillId="66" borderId="89" xfId="0" applyFont="1" applyFill="1" applyBorder="1" applyAlignment="1" applyProtection="1">
      <alignment horizontal="center"/>
      <protection locked="0"/>
    </xf>
    <xf numFmtId="167" fontId="41" fillId="66" borderId="84" xfId="0" applyNumberFormat="1" applyFont="1" applyFill="1" applyBorder="1" applyAlignment="1">
      <alignment horizontal="center"/>
    </xf>
    <xf numFmtId="167" fontId="41" fillId="66" borderId="87" xfId="0" applyNumberFormat="1" applyFont="1" applyFill="1" applyBorder="1" applyAlignment="1">
      <alignment horizontal="center"/>
    </xf>
    <xf numFmtId="167" fontId="41" fillId="66" borderId="90" xfId="0" applyNumberFormat="1" applyFont="1" applyFill="1" applyBorder="1" applyAlignment="1">
      <alignment horizontal="center"/>
    </xf>
    <xf numFmtId="3" fontId="41" fillId="66" borderId="85" xfId="0" applyNumberFormat="1" applyFont="1" applyFill="1" applyBorder="1" applyAlignment="1">
      <alignment horizontal="center"/>
    </xf>
    <xf numFmtId="3" fontId="41" fillId="66" borderId="88" xfId="0" applyNumberFormat="1" applyFont="1" applyFill="1" applyBorder="1" applyAlignment="1">
      <alignment horizontal="center"/>
    </xf>
    <xf numFmtId="3" fontId="41" fillId="66" borderId="91" xfId="0" applyNumberFormat="1" applyFont="1" applyFill="1" applyBorder="1" applyAlignment="1">
      <alignment horizontal="center"/>
    </xf>
    <xf numFmtId="0" fontId="41" fillId="0" borderId="15" xfId="0" applyFont="1" applyBorder="1" applyAlignment="1">
      <alignment horizontal="left"/>
    </xf>
    <xf numFmtId="0" fontId="41" fillId="0" borderId="20" xfId="0" applyFont="1" applyBorder="1"/>
    <xf numFmtId="0" fontId="41" fillId="0" borderId="28" xfId="0" applyFont="1" applyBorder="1"/>
    <xf numFmtId="0" fontId="41" fillId="67" borderId="20" xfId="0" applyFont="1" applyFill="1" applyBorder="1"/>
    <xf numFmtId="0" fontId="42" fillId="0" borderId="28" xfId="0" applyFont="1" applyBorder="1" applyAlignment="1" applyProtection="1">
      <alignment horizontal="center" wrapText="1"/>
      <protection locked="0"/>
    </xf>
    <xf numFmtId="0" fontId="42" fillId="0" borderId="15" xfId="0" applyFont="1" applyBorder="1" applyAlignment="1" applyProtection="1">
      <alignment horizontal="center" wrapText="1"/>
      <protection locked="0"/>
    </xf>
    <xf numFmtId="0" fontId="42" fillId="0" borderId="19" xfId="0" applyFont="1" applyBorder="1" applyAlignment="1" applyProtection="1">
      <alignment horizontal="center" wrapText="1"/>
      <protection locked="0"/>
    </xf>
    <xf numFmtId="0" fontId="0" fillId="0" borderId="20" xfId="0" applyBorder="1" applyAlignment="1">
      <alignment horizontal="right"/>
    </xf>
    <xf numFmtId="0" fontId="122" fillId="10" borderId="28" xfId="0" applyFont="1" applyFill="1" applyBorder="1" applyAlignment="1">
      <alignment horizontal="left"/>
    </xf>
    <xf numFmtId="0" fontId="122" fillId="10" borderId="15" xfId="0" applyFont="1" applyFill="1" applyBorder="1" applyAlignment="1">
      <alignment horizontal="left"/>
    </xf>
    <xf numFmtId="0" fontId="122" fillId="10" borderId="19" xfId="0" applyFont="1" applyFill="1" applyBorder="1" applyAlignment="1">
      <alignment horizontal="left"/>
    </xf>
    <xf numFmtId="0" fontId="121" fillId="0" borderId="102" xfId="0" applyFont="1" applyBorder="1" applyAlignment="1">
      <alignment horizontal="center" vertical="center"/>
    </xf>
    <xf numFmtId="0" fontId="121" fillId="0" borderId="71" xfId="0" applyFont="1" applyBorder="1" applyAlignment="1">
      <alignment horizontal="center" vertical="center"/>
    </xf>
    <xf numFmtId="0" fontId="129" fillId="27" borderId="73" xfId="0" applyFont="1" applyFill="1" applyBorder="1" applyAlignment="1">
      <alignment horizontal="left"/>
    </xf>
    <xf numFmtId="0" fontId="129" fillId="27" borderId="25" xfId="0" applyFont="1" applyFill="1" applyBorder="1" applyAlignment="1">
      <alignment horizontal="left"/>
    </xf>
    <xf numFmtId="0" fontId="129" fillId="27" borderId="24" xfId="0" applyFont="1" applyFill="1" applyBorder="1" applyAlignment="1">
      <alignment horizontal="left"/>
    </xf>
    <xf numFmtId="0" fontId="121" fillId="0" borderId="31" xfId="0" applyFont="1" applyBorder="1" applyAlignment="1">
      <alignment horizontal="left"/>
    </xf>
    <xf numFmtId="0" fontId="121" fillId="0" borderId="0" xfId="0" applyFont="1" applyAlignment="1">
      <alignment horizontal="left"/>
    </xf>
    <xf numFmtId="0" fontId="121" fillId="0" borderId="32" xfId="0" applyFont="1" applyBorder="1" applyAlignment="1">
      <alignment horizontal="left"/>
    </xf>
    <xf numFmtId="0" fontId="121" fillId="0" borderId="30" xfId="0" applyFont="1" applyBorder="1" applyAlignment="1">
      <alignment horizontal="left"/>
    </xf>
    <xf numFmtId="0" fontId="121" fillId="0" borderId="29" xfId="0" applyFont="1" applyBorder="1" applyAlignment="1">
      <alignment horizontal="left"/>
    </xf>
    <xf numFmtId="0" fontId="121" fillId="0" borderId="51" xfId="0" applyFont="1" applyBorder="1" applyAlignment="1">
      <alignment horizontal="left"/>
    </xf>
    <xf numFmtId="0" fontId="121" fillId="0" borderId="26" xfId="0" applyFont="1" applyBorder="1" applyAlignment="1">
      <alignment horizontal="center" vertical="center"/>
    </xf>
    <xf numFmtId="0" fontId="124" fillId="0" borderId="31" xfId="0" applyFont="1" applyBorder="1" applyAlignment="1">
      <alignment horizontal="left"/>
    </xf>
    <xf numFmtId="0" fontId="124" fillId="0" borderId="0" xfId="0" applyFont="1" applyAlignment="1">
      <alignment horizontal="left"/>
    </xf>
    <xf numFmtId="0" fontId="124" fillId="0" borderId="32" xfId="0" applyFont="1" applyBorder="1" applyAlignment="1">
      <alignment horizontal="left"/>
    </xf>
    <xf numFmtId="0" fontId="124" fillId="0" borderId="23" xfId="0" applyFont="1" applyBorder="1" applyAlignment="1">
      <alignment horizontal="left"/>
    </xf>
    <xf numFmtId="0" fontId="124" fillId="0" borderId="22" xfId="0" applyFont="1" applyBorder="1" applyAlignment="1">
      <alignment horizontal="left"/>
    </xf>
    <xf numFmtId="0" fontId="124" fillId="0" borderId="21" xfId="0" applyFont="1" applyBorder="1" applyAlignment="1">
      <alignment horizontal="left"/>
    </xf>
    <xf numFmtId="0" fontId="4" fillId="18" borderId="26" xfId="0" applyFont="1" applyFill="1" applyBorder="1" applyAlignment="1">
      <alignment horizontal="right"/>
    </xf>
    <xf numFmtId="0" fontId="0" fillId="10" borderId="20" xfId="0" applyFill="1" applyBorder="1" applyAlignment="1">
      <alignment horizontal="right"/>
    </xf>
    <xf numFmtId="0" fontId="2" fillId="0" borderId="20" xfId="0" applyFont="1" applyBorder="1" applyAlignment="1">
      <alignment horizontal="right"/>
    </xf>
    <xf numFmtId="167" fontId="0" fillId="0" borderId="73" xfId="68" applyNumberFormat="1" applyFont="1" applyBorder="1" applyAlignment="1">
      <alignment horizontal="center"/>
    </xf>
    <xf numFmtId="167" fontId="0" fillId="0" borderId="24" xfId="68" applyNumberFormat="1" applyFont="1" applyBorder="1" applyAlignment="1">
      <alignment horizontal="center"/>
    </xf>
    <xf numFmtId="0" fontId="122" fillId="4" borderId="43" xfId="0" applyFont="1" applyFill="1" applyBorder="1" applyAlignment="1">
      <alignment horizontal="center"/>
    </xf>
    <xf numFmtId="0" fontId="122" fillId="4" borderId="44" xfId="0" applyFont="1" applyFill="1" applyBorder="1" applyAlignment="1">
      <alignment horizontal="center"/>
    </xf>
    <xf numFmtId="0" fontId="122" fillId="4" borderId="45" xfId="0" applyFont="1" applyFill="1" applyBorder="1" applyAlignment="1">
      <alignment horizontal="center"/>
    </xf>
    <xf numFmtId="168" fontId="133" fillId="0" borderId="73" xfId="0" applyNumberFormat="1" applyFont="1" applyBorder="1" applyAlignment="1">
      <alignment horizontal="center" vertical="center"/>
    </xf>
    <xf numFmtId="168" fontId="133" fillId="0" borderId="31" xfId="0" applyNumberFormat="1" applyFont="1" applyBorder="1" applyAlignment="1">
      <alignment horizontal="center" vertical="center"/>
    </xf>
    <xf numFmtId="168" fontId="133" fillId="0" borderId="23" xfId="0" applyNumberFormat="1" applyFont="1" applyBorder="1" applyAlignment="1">
      <alignment horizontal="center" vertical="center"/>
    </xf>
    <xf numFmtId="0" fontId="121" fillId="0" borderId="27" xfId="0" applyFont="1" applyBorder="1" applyAlignment="1">
      <alignment horizontal="center" vertical="center" wrapText="1"/>
    </xf>
    <xf numFmtId="0" fontId="121" fillId="0" borderId="102" xfId="0" applyFont="1" applyBorder="1" applyAlignment="1">
      <alignment horizontal="center" vertical="center" wrapText="1"/>
    </xf>
    <xf numFmtId="0" fontId="121" fillId="0" borderId="71" xfId="0" applyFont="1" applyBorder="1" applyAlignment="1">
      <alignment horizontal="center" vertical="center" wrapText="1"/>
    </xf>
    <xf numFmtId="168" fontId="4" fillId="0" borderId="73" xfId="0" applyNumberFormat="1" applyFont="1" applyBorder="1" applyAlignment="1">
      <alignment horizontal="center" vertical="center"/>
    </xf>
    <xf numFmtId="168" fontId="4" fillId="0" borderId="137" xfId="0" applyNumberFormat="1" applyFont="1" applyBorder="1" applyAlignment="1">
      <alignment horizontal="center" vertical="center"/>
    </xf>
    <xf numFmtId="168" fontId="4" fillId="0" borderId="31" xfId="0" applyNumberFormat="1" applyFont="1" applyBorder="1" applyAlignment="1">
      <alignment horizontal="center" vertical="center"/>
    </xf>
    <xf numFmtId="168" fontId="4" fillId="0" borderId="37" xfId="0" applyNumberFormat="1" applyFont="1" applyBorder="1" applyAlignment="1">
      <alignment horizontal="center" vertical="center"/>
    </xf>
    <xf numFmtId="168" fontId="4" fillId="0" borderId="23" xfId="0" applyNumberFormat="1" applyFont="1" applyBorder="1" applyAlignment="1">
      <alignment horizontal="center" vertical="center"/>
    </xf>
    <xf numFmtId="168" fontId="4" fillId="0" borderId="42" xfId="0" applyNumberFormat="1" applyFont="1" applyBorder="1" applyAlignment="1">
      <alignment horizontal="center" vertical="center"/>
    </xf>
    <xf numFmtId="0" fontId="0" fillId="10" borderId="20" xfId="0" applyFill="1" applyBorder="1" applyAlignment="1">
      <alignment horizontal="left"/>
    </xf>
    <xf numFmtId="0" fontId="2" fillId="0" borderId="186" xfId="0" applyFont="1" applyBorder="1" applyAlignment="1">
      <alignment horizontal="right"/>
    </xf>
    <xf numFmtId="0" fontId="122" fillId="6" borderId="43" xfId="0" applyFont="1" applyFill="1" applyBorder="1" applyAlignment="1">
      <alignment horizontal="center"/>
    </xf>
    <xf numFmtId="0" fontId="122" fillId="6" borderId="44" xfId="0" applyFont="1" applyFill="1" applyBorder="1" applyAlignment="1">
      <alignment horizontal="center"/>
    </xf>
    <xf numFmtId="0" fontId="122" fillId="6" borderId="45" xfId="0" applyFont="1" applyFill="1" applyBorder="1" applyAlignment="1">
      <alignment horizontal="center"/>
    </xf>
    <xf numFmtId="0" fontId="99" fillId="0" borderId="263" xfId="0" applyFont="1" applyBorder="1" applyAlignment="1">
      <alignment horizontal="center" vertical="center" wrapText="1"/>
    </xf>
    <xf numFmtId="0" fontId="97" fillId="0" borderId="263" xfId="0" applyFont="1" applyBorder="1" applyAlignment="1">
      <alignment horizontal="center"/>
    </xf>
    <xf numFmtId="0" fontId="100" fillId="9" borderId="23" xfId="0" applyFont="1" applyFill="1" applyBorder="1" applyAlignment="1">
      <alignment horizontal="right"/>
    </xf>
    <xf numFmtId="0" fontId="100" fillId="9" borderId="22" xfId="0" applyFont="1" applyFill="1" applyBorder="1" applyAlignment="1">
      <alignment horizontal="right"/>
    </xf>
    <xf numFmtId="0" fontId="97" fillId="0" borderId="0" xfId="0" applyFont="1" applyAlignment="1">
      <alignment horizontal="center"/>
    </xf>
    <xf numFmtId="0" fontId="158" fillId="0" borderId="0" xfId="0" applyFont="1" applyAlignment="1">
      <alignment horizontal="center"/>
    </xf>
    <xf numFmtId="0" fontId="158" fillId="0" borderId="32" xfId="0" applyFont="1" applyBorder="1" applyAlignment="1">
      <alignment horizontal="center"/>
    </xf>
    <xf numFmtId="0" fontId="158" fillId="0" borderId="31" xfId="0" applyFont="1" applyBorder="1" applyAlignment="1">
      <alignment horizontal="center"/>
    </xf>
    <xf numFmtId="0" fontId="116" fillId="13" borderId="176" xfId="0" applyFont="1" applyFill="1" applyBorder="1" applyAlignment="1">
      <alignment horizontal="center" vertical="center" wrapText="1"/>
    </xf>
    <xf numFmtId="0" fontId="116" fillId="13" borderId="177" xfId="0" applyFont="1" applyFill="1" applyBorder="1" applyAlignment="1">
      <alignment horizontal="center" vertical="center" wrapText="1"/>
    </xf>
    <xf numFmtId="166" fontId="71" fillId="0" borderId="165" xfId="0" applyNumberFormat="1" applyFont="1" applyBorder="1" applyAlignment="1">
      <alignment horizontal="left" vertical="center" wrapText="1"/>
    </xf>
    <xf numFmtId="166" fontId="71" fillId="0" borderId="162" xfId="0" applyNumberFormat="1" applyFont="1" applyBorder="1" applyAlignment="1">
      <alignment horizontal="left" vertical="center" wrapText="1"/>
    </xf>
    <xf numFmtId="0" fontId="89" fillId="4" borderId="165" xfId="0" applyFont="1" applyFill="1" applyBorder="1" applyAlignment="1">
      <alignment horizontal="left" vertical="center" wrapText="1"/>
    </xf>
    <xf numFmtId="0" fontId="89" fillId="4" borderId="169" xfId="0" applyFont="1" applyFill="1" applyBorder="1" applyAlignment="1">
      <alignment horizontal="left" vertical="center" wrapText="1"/>
    </xf>
    <xf numFmtId="0" fontId="89" fillId="4" borderId="162" xfId="0" applyFont="1" applyFill="1" applyBorder="1" applyAlignment="1">
      <alignment horizontal="left" vertical="center" wrapText="1"/>
    </xf>
    <xf numFmtId="0" fontId="71" fillId="0" borderId="165" xfId="0" applyFont="1" applyBorder="1" applyAlignment="1">
      <alignment horizontal="left"/>
    </xf>
    <xf numFmtId="0" fontId="71" fillId="0" borderId="169" xfId="0" applyFont="1" applyBorder="1" applyAlignment="1">
      <alignment horizontal="left"/>
    </xf>
    <xf numFmtId="0" fontId="71" fillId="0" borderId="279" xfId="0" applyFont="1" applyBorder="1" applyAlignment="1">
      <alignment horizontal="left"/>
    </xf>
    <xf numFmtId="0" fontId="71" fillId="0" borderId="162" xfId="0" applyFont="1" applyBorder="1" applyAlignment="1">
      <alignment horizontal="left"/>
    </xf>
    <xf numFmtId="167" fontId="71" fillId="0" borderId="198" xfId="0" applyNumberFormat="1" applyFont="1" applyBorder="1" applyAlignment="1">
      <alignment horizontal="center" vertical="center"/>
    </xf>
    <xf numFmtId="167" fontId="71" fillId="0" borderId="199" xfId="0" applyNumberFormat="1" applyFont="1" applyBorder="1" applyAlignment="1">
      <alignment horizontal="center" vertical="center"/>
    </xf>
    <xf numFmtId="0" fontId="71" fillId="0" borderId="266" xfId="0" applyFont="1" applyBorder="1" applyAlignment="1">
      <alignment horizontal="center"/>
    </xf>
    <xf numFmtId="0" fontId="71" fillId="0" borderId="267" xfId="0" applyFont="1" applyBorder="1" applyAlignment="1">
      <alignment horizontal="center"/>
    </xf>
    <xf numFmtId="0" fontId="71" fillId="0" borderId="268" xfId="0" applyFont="1" applyBorder="1" applyAlignment="1">
      <alignment horizontal="center"/>
    </xf>
    <xf numFmtId="0" fontId="116" fillId="6" borderId="165" xfId="0" applyFont="1" applyFill="1" applyBorder="1" applyAlignment="1">
      <alignment horizontal="left" vertical="center" wrapText="1"/>
    </xf>
    <xf numFmtId="0" fontId="116" fillId="6" borderId="169" xfId="0" applyFont="1" applyFill="1" applyBorder="1" applyAlignment="1">
      <alignment horizontal="left" vertical="center" wrapText="1"/>
    </xf>
    <xf numFmtId="0" fontId="116" fillId="6" borderId="162" xfId="0" applyFont="1" applyFill="1" applyBorder="1" applyAlignment="1">
      <alignment horizontal="left" vertical="center" wrapText="1"/>
    </xf>
    <xf numFmtId="164" fontId="10" fillId="0" borderId="0" xfId="0" applyNumberFormat="1" applyFont="1" applyAlignment="1">
      <alignment horizontal="center"/>
    </xf>
    <xf numFmtId="0" fontId="23" fillId="13" borderId="14" xfId="0" applyFont="1" applyFill="1" applyBorder="1" applyAlignment="1">
      <alignment horizontal="center" wrapText="1"/>
    </xf>
    <xf numFmtId="0" fontId="23" fillId="13" borderId="12" xfId="0" applyFont="1" applyFill="1" applyBorder="1" applyAlignment="1">
      <alignment horizontal="center" wrapText="1"/>
    </xf>
    <xf numFmtId="0" fontId="23" fillId="13" borderId="13" xfId="0" applyFont="1" applyFill="1" applyBorder="1" applyAlignment="1">
      <alignment horizontal="center" wrapText="1"/>
    </xf>
    <xf numFmtId="0" fontId="23" fillId="0" borderId="35" xfId="0" applyFont="1" applyBorder="1" applyAlignment="1">
      <alignment horizontal="center" vertical="center" wrapText="1"/>
    </xf>
    <xf numFmtId="0" fontId="23" fillId="13" borderId="73" xfId="0" applyFont="1" applyFill="1" applyBorder="1" applyAlignment="1">
      <alignment horizontal="center" wrapText="1"/>
    </xf>
    <xf numFmtId="0" fontId="23" fillId="13" borderId="25" xfId="0" applyFont="1" applyFill="1" applyBorder="1" applyAlignment="1">
      <alignment horizontal="center" wrapText="1"/>
    </xf>
    <xf numFmtId="0" fontId="23" fillId="13" borderId="24" xfId="0" applyFont="1" applyFill="1" applyBorder="1" applyAlignment="1">
      <alignment horizontal="center" wrapText="1"/>
    </xf>
    <xf numFmtId="0" fontId="23" fillId="0" borderId="23" xfId="0" applyFont="1" applyBorder="1" applyAlignment="1">
      <alignment horizontal="center" vertical="center" wrapText="1"/>
    </xf>
    <xf numFmtId="0" fontId="23" fillId="0" borderId="22" xfId="0" applyFont="1" applyBorder="1" applyAlignment="1">
      <alignment horizontal="center" vertical="center" wrapText="1"/>
    </xf>
    <xf numFmtId="0" fontId="176" fillId="0" borderId="15" xfId="0" applyFont="1" applyBorder="1" applyAlignment="1">
      <alignment horizontal="left" vertical="top" wrapText="1"/>
    </xf>
    <xf numFmtId="0" fontId="176" fillId="0" borderId="19" xfId="0" applyFont="1" applyBorder="1" applyAlignment="1">
      <alignment horizontal="left" vertical="top" wrapText="1"/>
    </xf>
    <xf numFmtId="0" fontId="176" fillId="0" borderId="20" xfId="0" applyFont="1" applyBorder="1" applyAlignment="1">
      <alignment horizontal="left" vertical="top" wrapText="1"/>
    </xf>
    <xf numFmtId="0" fontId="0" fillId="0" borderId="0" xfId="0" applyAlignment="1">
      <alignment horizontal="center" vertical="center" wrapText="1"/>
    </xf>
    <xf numFmtId="0" fontId="0" fillId="24" borderId="0" xfId="0" applyFill="1" applyAlignment="1">
      <alignment horizontal="center" vertical="center" wrapText="1"/>
    </xf>
    <xf numFmtId="0" fontId="0" fillId="30" borderId="0" xfId="0" applyFill="1" applyAlignment="1">
      <alignment horizontal="center" vertical="center" wrapText="1"/>
    </xf>
    <xf numFmtId="0" fontId="12" fillId="19" borderId="46" xfId="0" applyFont="1" applyFill="1" applyBorder="1" applyAlignment="1">
      <alignment horizontal="center"/>
    </xf>
    <xf numFmtId="0" fontId="4" fillId="25" borderId="48" xfId="0" applyFont="1" applyFill="1" applyBorder="1" applyAlignment="1">
      <alignment horizontal="center" vertical="top" wrapText="1"/>
    </xf>
    <xf numFmtId="0" fontId="4" fillId="25" borderId="49" xfId="0" applyFont="1" applyFill="1" applyBorder="1" applyAlignment="1">
      <alignment horizontal="center" vertical="top" wrapText="1"/>
    </xf>
  </cellXfs>
  <cellStyles count="81">
    <cellStyle name="20% - Accent1" xfId="23" builtinId="30" hidden="1"/>
    <cellStyle name="20% - Accent1" xfId="45" builtinId="30" customBuiltin="1"/>
    <cellStyle name="20% - Accent2" xfId="19" builtinId="34" hidden="1"/>
    <cellStyle name="20% - Accent2" xfId="49" builtinId="34" customBuiltin="1"/>
    <cellStyle name="20% - Accent3" xfId="15" builtinId="38" hidden="1"/>
    <cellStyle name="20% - Accent3" xfId="53" builtinId="38" customBuiltin="1"/>
    <cellStyle name="20% - Accent4" xfId="11" builtinId="42" hidden="1"/>
    <cellStyle name="20% - Accent4" xfId="57" builtinId="42" customBuiltin="1"/>
    <cellStyle name="20% - Accent5" xfId="7" builtinId="46" hidden="1"/>
    <cellStyle name="20% - Accent5" xfId="61" builtinId="46" customBuiltin="1"/>
    <cellStyle name="20% - Accent6" xfId="3" builtinId="50" hidden="1"/>
    <cellStyle name="20% - Accent6" xfId="65" builtinId="50" customBuiltin="1"/>
    <cellStyle name="40% - Accent1" xfId="22" builtinId="31" hidden="1"/>
    <cellStyle name="40% - Accent1" xfId="46" builtinId="31" customBuiltin="1"/>
    <cellStyle name="40% - Accent2" xfId="18" builtinId="35" hidden="1"/>
    <cellStyle name="40% - Accent2" xfId="50" builtinId="35" customBuiltin="1"/>
    <cellStyle name="40% - Accent3" xfId="14" builtinId="39" hidden="1"/>
    <cellStyle name="40% - Accent3" xfId="54" builtinId="39" customBuiltin="1"/>
    <cellStyle name="40% - Accent4" xfId="10" builtinId="43" hidden="1"/>
    <cellStyle name="40% - Accent4" xfId="58" builtinId="43" customBuiltin="1"/>
    <cellStyle name="40% - Accent5" xfId="6" builtinId="47" hidden="1"/>
    <cellStyle name="40% - Accent5" xfId="62" builtinId="47" customBuiltin="1"/>
    <cellStyle name="40% - Accent6" xfId="2" builtinId="51" hidden="1"/>
    <cellStyle name="40% - Accent6" xfId="66" builtinId="51" customBuiltin="1"/>
    <cellStyle name="60% - Accent1" xfId="21" builtinId="32" hidden="1"/>
    <cellStyle name="60% - Accent1" xfId="47" builtinId="32" customBuiltin="1"/>
    <cellStyle name="60% - Accent1 2" xfId="73" xr:uid="{C9727644-E482-49E0-A37F-F0C4DC455719}"/>
    <cellStyle name="60% - Accent2" xfId="17" builtinId="36" hidden="1"/>
    <cellStyle name="60% - Accent2" xfId="51" builtinId="36" customBuiltin="1"/>
    <cellStyle name="60% - Accent2 2" xfId="74" xr:uid="{0FFD8A8B-8891-4D05-845F-A85DCA0035A6}"/>
    <cellStyle name="60% - Accent3" xfId="13" builtinId="40" hidden="1"/>
    <cellStyle name="60% - Accent3" xfId="55" builtinId="40" customBuiltin="1"/>
    <cellStyle name="60% - Accent3 2" xfId="75" xr:uid="{C66109F2-2CF5-4A0C-A5D7-C7A85C6C2578}"/>
    <cellStyle name="60% - Accent4" xfId="9" builtinId="44" hidden="1"/>
    <cellStyle name="60% - Accent4" xfId="59" builtinId="44" customBuiltin="1"/>
    <cellStyle name="60% - Accent4 2" xfId="76" xr:uid="{8EB92483-E618-41CB-9A10-D3FA4F9DCCD4}"/>
    <cellStyle name="60% - Accent5" xfId="5" builtinId="48" hidden="1"/>
    <cellStyle name="60% - Accent5" xfId="63" builtinId="48" customBuiltin="1"/>
    <cellStyle name="60% - Accent5 2" xfId="77" xr:uid="{584D47FD-8DD1-44C6-B1D5-4CE2C1DCC9F6}"/>
    <cellStyle name="60% - Accent6" xfId="1" builtinId="52" hidden="1"/>
    <cellStyle name="60% - Accent6" xfId="67" builtinId="52" customBuiltin="1"/>
    <cellStyle name="60% - Accent6 2" xfId="78" xr:uid="{3D9D9B4E-1C45-4021-9824-CB31AAB62FA6}"/>
    <cellStyle name="Accent1" xfId="24" builtinId="29" hidden="1"/>
    <cellStyle name="Accent1" xfId="44" builtinId="29" customBuiltin="1"/>
    <cellStyle name="Accent2" xfId="20" builtinId="33" hidden="1"/>
    <cellStyle name="Accent2" xfId="48" builtinId="33" customBuiltin="1"/>
    <cellStyle name="Accent3" xfId="16" builtinId="37" hidden="1"/>
    <cellStyle name="Accent3" xfId="52" builtinId="37" customBuiltin="1"/>
    <cellStyle name="Accent4" xfId="12" builtinId="41" hidden="1"/>
    <cellStyle name="Accent4" xfId="56" builtinId="41" customBuiltin="1"/>
    <cellStyle name="Accent5" xfId="8" builtinId="45" hidden="1"/>
    <cellStyle name="Accent5" xfId="60" builtinId="45" customBuiltin="1"/>
    <cellStyle name="Accent6" xfId="4" builtinId="49" hidden="1"/>
    <cellStyle name="Accent6" xfId="64" builtinId="49" customBuiltin="1"/>
    <cellStyle name="Bad" xfId="35" builtinId="27" customBuiltin="1"/>
    <cellStyle name="Calculation" xfId="27" builtinId="22" customBuiltin="1"/>
    <cellStyle name="Check Cell" xfId="39" builtinId="23" customBuiltin="1"/>
    <cellStyle name="Comma" xfId="68" builtinId="3"/>
    <cellStyle name="Currency" xfId="69" builtinId="4"/>
    <cellStyle name="Explanatory Text" xfId="42" builtinId="53" customBuiltin="1"/>
    <cellStyle name="Good" xfId="34"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25" builtinId="20" customBuiltin="1"/>
    <cellStyle name="Input 2" xfId="80" xr:uid="{820EA103-B0F0-4E0C-A0ED-1F7D68711BCD}"/>
    <cellStyle name="Linked Cell" xfId="38" builtinId="24" customBuiltin="1"/>
    <cellStyle name="Neutral" xfId="36" builtinId="28" customBuiltin="1"/>
    <cellStyle name="Neutral 2" xfId="72" xr:uid="{608D4E76-FFA4-4BFD-8F5D-C06A8695B8DC}"/>
    <cellStyle name="Normal" xfId="0" builtinId="0"/>
    <cellStyle name="Normal 2" xfId="70" xr:uid="{012EE9E7-029B-4268-90D2-13520157DB31}"/>
    <cellStyle name="Normal 3" xfId="79" xr:uid="{C5BAB3AB-9C81-493B-BBFD-B593650FE135}"/>
    <cellStyle name="Normal 5" xfId="71" xr:uid="{500F4DD2-6857-443B-AEE0-4B0814AFDC2D}"/>
    <cellStyle name="Normal 8 2" xfId="28" xr:uid="{00000000-0005-0000-0000-00003F000000}"/>
    <cellStyle name="Note" xfId="41" builtinId="10" customBuiltin="1"/>
    <cellStyle name="Output" xfId="37" builtinId="21" customBuiltin="1"/>
    <cellStyle name="Percent" xfId="26" builtinId="5"/>
    <cellStyle name="Title" xfId="29" builtinId="15" customBuiltin="1"/>
    <cellStyle name="Total" xfId="43" builtinId="25" customBuiltin="1"/>
    <cellStyle name="Warning Text" xfId="40" builtinId="11" customBuiltin="1"/>
  </cellStyles>
  <dxfs count="60">
    <dxf>
      <font>
        <b/>
        <i val="0"/>
        <color theme="5"/>
      </font>
      <fill>
        <patternFill>
          <bgColor theme="9" tint="0.79998168889431442"/>
        </patternFill>
      </fill>
    </dxf>
    <dxf>
      <font>
        <b/>
        <i val="0"/>
        <color theme="5"/>
      </font>
      <fill>
        <patternFill>
          <bgColor theme="5" tint="0.79998168889431442"/>
        </patternFill>
      </fill>
    </dxf>
    <dxf>
      <font>
        <b/>
        <i val="0"/>
        <color theme="6" tint="-0.499984740745262"/>
      </font>
      <fill>
        <patternFill>
          <bgColor theme="6" tint="0.79998168889431442"/>
        </patternFill>
      </fill>
    </dxf>
    <dxf>
      <font>
        <b/>
        <i val="0"/>
        <color theme="5"/>
      </font>
      <fill>
        <patternFill>
          <bgColor theme="5" tint="0.79998168889431442"/>
        </patternFill>
      </fill>
    </dxf>
    <dxf>
      <font>
        <b/>
        <i val="0"/>
        <color theme="6" tint="-0.499984740745262"/>
      </font>
      <fill>
        <patternFill>
          <bgColor theme="6" tint="0.79998168889431442"/>
        </patternFill>
      </fill>
    </dxf>
    <dxf>
      <font>
        <b/>
        <i val="0"/>
        <color theme="5"/>
      </font>
      <fill>
        <patternFill>
          <bgColor theme="5" tint="0.79998168889431442"/>
        </patternFill>
      </fill>
    </dxf>
    <dxf>
      <font>
        <color theme="0" tint="-0.14996795556505021"/>
      </font>
    </dxf>
    <dxf>
      <font>
        <b/>
        <i val="0"/>
        <color theme="6" tint="-0.499984740745262"/>
      </font>
      <fill>
        <patternFill>
          <bgColor theme="6" tint="0.39994506668294322"/>
        </patternFill>
      </fill>
    </dxf>
    <dxf>
      <font>
        <b/>
        <i val="0"/>
        <color theme="5" tint="-0.24994659260841701"/>
      </font>
      <fill>
        <patternFill>
          <bgColor theme="9" tint="0.79998168889431442"/>
        </patternFill>
      </fill>
    </dxf>
    <dxf>
      <font>
        <color theme="0" tint="-0.14996795556505021"/>
      </font>
    </dxf>
    <dxf>
      <font>
        <b/>
        <i val="0"/>
        <color theme="6" tint="-0.499984740745262"/>
      </font>
      <fill>
        <patternFill>
          <bgColor theme="6" tint="0.39994506668294322"/>
        </patternFill>
      </fill>
    </dxf>
    <dxf>
      <font>
        <b/>
        <i val="0"/>
        <color theme="5" tint="-0.24994659260841701"/>
      </font>
      <fill>
        <patternFill>
          <bgColor theme="9" tint="0.7999816888943144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FF0000"/>
      </font>
      <fill>
        <patternFill>
          <bgColor theme="6" tint="0.39994506668294322"/>
        </patternFill>
      </fill>
    </dxf>
    <dxf>
      <font>
        <b/>
        <i val="0"/>
        <color rgb="FFFF0000"/>
      </font>
      <fill>
        <patternFill>
          <bgColor rgb="FFFFFF00"/>
        </patternFill>
      </fill>
    </dxf>
    <dxf>
      <font>
        <b/>
        <i val="0"/>
        <color theme="4"/>
      </font>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ont>
        <b/>
        <i val="0"/>
        <color theme="6" tint="-0.499984740745262"/>
      </font>
      <fill>
        <patternFill>
          <bgColor theme="6" tint="0.39994506668294322"/>
        </patternFill>
      </fill>
    </dxf>
    <dxf>
      <font>
        <b/>
        <i val="0"/>
        <color rgb="FFC00000"/>
      </font>
      <fill>
        <patternFill>
          <bgColor theme="5" tint="0.79998168889431442"/>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b/>
        <i val="0"/>
        <strike/>
        <color rgb="FFFF0000"/>
      </font>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rgb="FFFF0000"/>
      </font>
    </dxf>
    <dxf>
      <font>
        <color rgb="FFFF0000"/>
      </font>
    </dxf>
    <dxf>
      <font>
        <color rgb="FFFF0000"/>
      </font>
    </dxf>
    <dxf>
      <fill>
        <patternFill>
          <bgColor theme="0" tint="-4.9989318521683403E-2"/>
        </patternFill>
      </fill>
    </dxf>
    <dxf>
      <font>
        <color theme="0" tint="-0.34998626667073579"/>
      </font>
      <fill>
        <patternFill>
          <bgColor theme="0"/>
        </patternFill>
      </fill>
    </dxf>
    <dxf>
      <font>
        <strike val="0"/>
        <color theme="0" tint="-0.34998626667073579"/>
      </font>
      <fill>
        <patternFill patternType="solid">
          <bgColor theme="0"/>
        </patternFill>
      </fill>
    </dxf>
    <dxf>
      <font>
        <color theme="0" tint="-0.34998626667073579"/>
      </font>
      <fill>
        <patternFill>
          <bgColor theme="0"/>
        </patternFill>
      </fill>
    </dxf>
    <dxf>
      <font>
        <color theme="0" tint="-0.34998626667073579"/>
      </font>
      <fill>
        <patternFill patternType="solid">
          <bgColor theme="0"/>
        </patternFill>
      </fill>
    </dxf>
    <dxf>
      <font>
        <color theme="0" tint="-0.34998626667073579"/>
      </font>
      <fill>
        <patternFill>
          <bgColor theme="0"/>
        </patternFill>
      </fill>
    </dxf>
    <dxf>
      <font>
        <strike val="0"/>
        <color theme="0" tint="-0.34998626667073579"/>
      </font>
      <fill>
        <patternFill patternType="none">
          <fgColor auto="1"/>
          <bgColor auto="1"/>
        </patternFill>
      </fill>
    </dxf>
  </dxfs>
  <tableStyles count="0" defaultTableStyle="TableStyleMedium9" defaultPivotStyle="PivotStyleLight16"/>
  <colors>
    <mruColors>
      <color rgb="FF0000FF"/>
      <color rgb="FF00FF00"/>
      <color rgb="FF00CC00"/>
      <color rgb="FFFFFFFF"/>
      <color rgb="FFB4C359"/>
      <color rgb="FFFFFF99"/>
      <color rgb="FF9900CC"/>
      <color rgb="FFFFFF66"/>
      <color rgb="FFFF33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Variable Speed</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forward val="2"/>
            <c:backward val="10"/>
            <c:dispRSqr val="0"/>
            <c:dispEq val="1"/>
            <c:trendlineLbl>
              <c:layout>
                <c:manualLayout>
                  <c:x val="5.1264873140857384E-2"/>
                  <c:y val="0.148305502059920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'REF_Misc Loads'!$D$8:$D$14</c:f>
              <c:numCache>
                <c:formatCode>General</c:formatCode>
                <c:ptCount val="7"/>
                <c:pt idx="0">
                  <c:v>26</c:v>
                </c:pt>
                <c:pt idx="1">
                  <c:v>22</c:v>
                </c:pt>
                <c:pt idx="2">
                  <c:v>17</c:v>
                </c:pt>
                <c:pt idx="3">
                  <c:v>16</c:v>
                </c:pt>
                <c:pt idx="4">
                  <c:v>17</c:v>
                </c:pt>
                <c:pt idx="5">
                  <c:v>12</c:v>
                </c:pt>
                <c:pt idx="6">
                  <c:v>23</c:v>
                </c:pt>
              </c:numCache>
            </c:numRef>
          </c:xVal>
          <c:yVal>
            <c:numRef>
              <c:f>'REF_Misc Loads'!$J$8:$J$14</c:f>
              <c:numCache>
                <c:formatCode>#,##0</c:formatCode>
                <c:ptCount val="7"/>
                <c:pt idx="0">
                  <c:v>39420</c:v>
                </c:pt>
                <c:pt idx="1">
                  <c:v>31390</c:v>
                </c:pt>
                <c:pt idx="2">
                  <c:v>7300</c:v>
                </c:pt>
                <c:pt idx="3">
                  <c:v>44530</c:v>
                </c:pt>
                <c:pt idx="4">
                  <c:v>20075</c:v>
                </c:pt>
                <c:pt idx="5">
                  <c:v>13140</c:v>
                </c:pt>
                <c:pt idx="6">
                  <c:v>43070</c:v>
                </c:pt>
              </c:numCache>
            </c:numRef>
          </c:yVal>
          <c:smooth val="0"/>
          <c:extLst>
            <c:ext xmlns:c16="http://schemas.microsoft.com/office/drawing/2014/chart" uri="{C3380CC4-5D6E-409C-BE32-E72D297353CC}">
              <c16:uniqueId val="{00000000-D841-4348-B8C9-3FDAB443FF1A}"/>
            </c:ext>
          </c:extLst>
        </c:ser>
        <c:ser>
          <c:idx val="1"/>
          <c:order val="1"/>
          <c:tx>
            <c:v>Constant Speed</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forward val="2"/>
            <c:backward val="10"/>
            <c:dispRSqr val="0"/>
            <c:dispEq val="1"/>
            <c:trendlineLbl>
              <c:layout>
                <c:manualLayout>
                  <c:x val="-8.2068460192475975E-2"/>
                  <c:y val="-2.192949839603382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'REF_Misc Loads'!$D$8:$D$14</c:f>
              <c:numCache>
                <c:formatCode>General</c:formatCode>
                <c:ptCount val="7"/>
                <c:pt idx="0">
                  <c:v>26</c:v>
                </c:pt>
                <c:pt idx="1">
                  <c:v>22</c:v>
                </c:pt>
                <c:pt idx="2">
                  <c:v>17</c:v>
                </c:pt>
                <c:pt idx="3">
                  <c:v>16</c:v>
                </c:pt>
                <c:pt idx="4">
                  <c:v>17</c:v>
                </c:pt>
                <c:pt idx="5">
                  <c:v>12</c:v>
                </c:pt>
                <c:pt idx="6">
                  <c:v>23</c:v>
                </c:pt>
              </c:numCache>
            </c:numRef>
          </c:xVal>
          <c:yVal>
            <c:numRef>
              <c:f>'REF_Misc Loads'!$H$8:$H$14</c:f>
              <c:numCache>
                <c:formatCode>General</c:formatCode>
                <c:ptCount val="7"/>
                <c:pt idx="0">
                  <c:v>130305</c:v>
                </c:pt>
                <c:pt idx="1">
                  <c:v>87235</c:v>
                </c:pt>
                <c:pt idx="2">
                  <c:v>30660</c:v>
                </c:pt>
                <c:pt idx="3">
                  <c:v>61320</c:v>
                </c:pt>
                <c:pt idx="4">
                  <c:v>27740</c:v>
                </c:pt>
                <c:pt idx="5">
                  <c:v>17155</c:v>
                </c:pt>
                <c:pt idx="6">
                  <c:v>50370</c:v>
                </c:pt>
              </c:numCache>
            </c:numRef>
          </c:yVal>
          <c:smooth val="0"/>
          <c:extLst>
            <c:ext xmlns:c16="http://schemas.microsoft.com/office/drawing/2014/chart" uri="{C3380CC4-5D6E-409C-BE32-E72D297353CC}">
              <c16:uniqueId val="{00000001-D841-4348-B8C9-3FDAB443FF1A}"/>
            </c:ext>
          </c:extLst>
        </c:ser>
        <c:dLbls>
          <c:showLegendKey val="0"/>
          <c:showVal val="0"/>
          <c:showCatName val="0"/>
          <c:showSerName val="0"/>
          <c:showPercent val="0"/>
          <c:showBubbleSize val="0"/>
        </c:dLbls>
        <c:axId val="594133920"/>
        <c:axId val="594134312"/>
      </c:scatterChart>
      <c:valAx>
        <c:axId val="5941339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Floors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34312"/>
        <c:crosses val="autoZero"/>
        <c:crossBetween val="midCat"/>
      </c:valAx>
      <c:valAx>
        <c:axId val="594134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Booster</a:t>
                </a:r>
                <a:r>
                  <a:rPr lang="en-US" baseline="0"/>
                  <a:t> Pump Energy (kWh)</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33920"/>
        <c:crosses val="autoZero"/>
        <c:crossBetween val="midCat"/>
      </c:valAx>
      <c:spPr>
        <a:noFill/>
        <a:ln>
          <a:noFill/>
        </a:ln>
        <a:effectLst/>
      </c:spPr>
    </c:plotArea>
    <c:legend>
      <c:legendPos val="t"/>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373380</xdr:colOff>
          <xdr:row>1</xdr:row>
          <xdr:rowOff>76200</xdr:rowOff>
        </xdr:from>
        <xdr:to>
          <xdr:col>6</xdr:col>
          <xdr:colOff>1744980</xdr:colOff>
          <xdr:row>3</xdr:row>
          <xdr:rowOff>76200</xdr:rowOff>
        </xdr:to>
        <xdr:sp macro="" textlink="">
          <xdr:nvSpPr>
            <xdr:cNvPr id="1015809" name="Button 1" hidden="1">
              <a:extLst>
                <a:ext uri="{63B3BB69-23CF-44E3-9099-C40C66FF867C}">
                  <a14:compatExt spid="_x0000_s1015809"/>
                </a:ext>
                <a:ext uri="{FF2B5EF4-FFF2-40B4-BE49-F238E27FC236}">
                  <a16:creationId xmlns:a16="http://schemas.microsoft.com/office/drawing/2014/main" id="{00000000-0008-0000-0E00-0000018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Takeoff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426720</xdr:colOff>
          <xdr:row>1</xdr:row>
          <xdr:rowOff>60960</xdr:rowOff>
        </xdr:from>
        <xdr:to>
          <xdr:col>6</xdr:col>
          <xdr:colOff>83820</xdr:colOff>
          <xdr:row>3</xdr:row>
          <xdr:rowOff>68580</xdr:rowOff>
        </xdr:to>
        <xdr:sp macro="" textlink="">
          <xdr:nvSpPr>
            <xdr:cNvPr id="1016833" name="Button 1" hidden="1">
              <a:extLst>
                <a:ext uri="{63B3BB69-23CF-44E3-9099-C40C66FF867C}">
                  <a14:compatExt spid="_x0000_s1016833"/>
                </a:ext>
                <a:ext uri="{FF2B5EF4-FFF2-40B4-BE49-F238E27FC236}">
                  <a16:creationId xmlns:a16="http://schemas.microsoft.com/office/drawing/2014/main" id="{00000000-0008-0000-0F00-0000018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Takeoff</a:t>
              </a:r>
            </a:p>
          </xdr:txBody>
        </xdr:sp>
        <xdr:clientData fPrintsWithSheet="0"/>
      </xdr:twoCellAnchor>
    </mc:Choice>
    <mc:Fallback/>
  </mc:AlternateContent>
  <xdr:twoCellAnchor editAs="oneCell">
    <xdr:from>
      <xdr:col>24</xdr:col>
      <xdr:colOff>44823</xdr:colOff>
      <xdr:row>83</xdr:row>
      <xdr:rowOff>78441</xdr:rowOff>
    </xdr:from>
    <xdr:to>
      <xdr:col>31</xdr:col>
      <xdr:colOff>475118</xdr:colOff>
      <xdr:row>90</xdr:row>
      <xdr:rowOff>18904</xdr:rowOff>
    </xdr:to>
    <xdr:pic>
      <xdr:nvPicPr>
        <xdr:cNvPr id="2" name="Picture 1">
          <a:extLst>
            <a:ext uri="{FF2B5EF4-FFF2-40B4-BE49-F238E27FC236}">
              <a16:creationId xmlns:a16="http://schemas.microsoft.com/office/drawing/2014/main" id="{FCA7657C-CF52-B0EC-C746-2DDDCE8A5C73}"/>
            </a:ext>
          </a:extLst>
        </xdr:cNvPr>
        <xdr:cNvPicPr>
          <a:picLocks noChangeAspect="1"/>
        </xdr:cNvPicPr>
      </xdr:nvPicPr>
      <xdr:blipFill>
        <a:blip xmlns:r="http://schemas.openxmlformats.org/officeDocument/2006/relationships" r:embed="rId1"/>
        <a:stretch>
          <a:fillRect/>
        </a:stretch>
      </xdr:blipFill>
      <xdr:spPr>
        <a:xfrm>
          <a:off x="21515294" y="19755970"/>
          <a:ext cx="4679453" cy="15972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80</xdr:row>
      <xdr:rowOff>11211</xdr:rowOff>
    </xdr:from>
    <xdr:to>
      <xdr:col>4</xdr:col>
      <xdr:colOff>682334</xdr:colOff>
      <xdr:row>98</xdr:row>
      <xdr:rowOff>147809</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0" y="16125270"/>
          <a:ext cx="6768585" cy="40133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72</xdr:row>
      <xdr:rowOff>11211</xdr:rowOff>
    </xdr:from>
    <xdr:to>
      <xdr:col>4</xdr:col>
      <xdr:colOff>668999</xdr:colOff>
      <xdr:row>90</xdr:row>
      <xdr:rowOff>130663</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15508386"/>
          <a:ext cx="6766904" cy="39618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323850</xdr:colOff>
      <xdr:row>2</xdr:row>
      <xdr:rowOff>161925</xdr:rowOff>
    </xdr:from>
    <xdr:to>
      <xdr:col>18</xdr:col>
      <xdr:colOff>600075</xdr:colOff>
      <xdr:row>17</xdr:row>
      <xdr:rowOff>57150</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78441</xdr:colOff>
      <xdr:row>13</xdr:row>
      <xdr:rowOff>448236</xdr:rowOff>
    </xdr:from>
    <xdr:to>
      <xdr:col>15</xdr:col>
      <xdr:colOff>78441</xdr:colOff>
      <xdr:row>23</xdr:row>
      <xdr:rowOff>34050</xdr:rowOff>
    </xdr:to>
    <xdr:pic>
      <xdr:nvPicPr>
        <xdr:cNvPr id="2" name="Picture 1">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441" y="3922060"/>
          <a:ext cx="9076765" cy="2835519"/>
        </a:xfrm>
        <a:prstGeom prst="rect">
          <a:avLst/>
        </a:prstGeom>
        <a:noFill/>
        <a:ln w="1">
          <a:noFill/>
          <a:miter lim="800000"/>
          <a:headEnd/>
          <a:tailEnd type="none" w="med" len="med"/>
        </a:ln>
        <a:effectLst/>
      </xdr:spPr>
    </xdr:pic>
    <xdr:clientData/>
  </xdr:twoCellAnchor>
  <xdr:twoCellAnchor editAs="oneCell">
    <xdr:from>
      <xdr:col>0</xdr:col>
      <xdr:colOff>0</xdr:colOff>
      <xdr:row>3</xdr:row>
      <xdr:rowOff>38100</xdr:rowOff>
    </xdr:from>
    <xdr:to>
      <xdr:col>15</xdr:col>
      <xdr:colOff>0</xdr:colOff>
      <xdr:row>12</xdr:row>
      <xdr:rowOff>554001</xdr:rowOff>
    </xdr:to>
    <xdr:pic>
      <xdr:nvPicPr>
        <xdr:cNvPr id="3" name="Pictur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628650"/>
          <a:ext cx="9144000" cy="2835519"/>
        </a:xfrm>
        <a:prstGeom prst="rect">
          <a:avLst/>
        </a:prstGeom>
        <a:noFill/>
        <a:ln w="1">
          <a:noFill/>
          <a:miter lim="800000"/>
          <a:headEnd/>
          <a:tailEnd type="none" w="med" len="med"/>
        </a:ln>
        <a:effec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OB360Local\CBECC%20Projects\Residential\2447_Fieldstone\Performance%20Path\Type5_G\Workbooks\2447_C407%20CBECC%20Results%20Workbook%20-%20Python.xlsx" TargetMode="External"/><Relationship Id="rId1" Type="http://schemas.openxmlformats.org/officeDocument/2006/relationships/externalLinkPath" Target="file:///D:\OB360Local\CBECC%20Projects\Residential\2447_Fieldstone\Performance%20Path\Type5_G\Workbooks\2447_C407%20CBECC%20Results%20Workbook%20-%20Pyth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s Summary - MIP"/>
      <sheetName val="Results Summary - C407"/>
      <sheetName val="ECM Results"/>
      <sheetName val="ECM Summary"/>
      <sheetName val="SHW Est."/>
      <sheetName val="Solar PV"/>
      <sheetName val="html Results"/>
      <sheetName val="PV Adj."/>
      <sheetName val="DOE Wbk Output"/>
      <sheetName val="MEPC Output"/>
      <sheetName val="Lookup Tables"/>
      <sheetName val="Envelope UA Calc"/>
      <sheetName val="HPWH Adj."/>
      <sheetName val="Prkg Fan"/>
    </sheetNames>
    <sheetDataSet>
      <sheetData sheetId="0" refreshError="1"/>
      <sheetData sheetId="1" refreshError="1"/>
      <sheetData sheetId="2" refreshError="1"/>
      <sheetData sheetId="3" refreshError="1"/>
      <sheetData sheetId="4" refreshError="1"/>
      <sheetData sheetId="5" refreshError="1"/>
      <sheetData sheetId="6" refreshError="1">
        <row r="3">
          <cell r="D3" t="str">
            <v>Result_Ref</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Chuangye Guan" id="{FE8F8F4F-6798-4EB6-A082-B059DF26CD1A}" userId="26d602bf56b56f69"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17" dT="2019-01-24T20:13:03.84" personId="{FE8F8F4F-6798-4EB6-A082-B059DF26CD1A}" id="{4378306F-57FE-4E2C-B139-C585B4C41E9D}">
    <text>Calculates the difference between Full Flow power and Low Flow power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15.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18.bin"/><Relationship Id="rId1" Type="http://schemas.openxmlformats.org/officeDocument/2006/relationships/hyperlink" Target="http://www.pnl.gov/main/publications/external/technical_reports/PNNL-18898.pdf" TargetMode="External"/><Relationship Id="rId5" Type="http://schemas.microsoft.com/office/2017/10/relationships/threadedComment" Target="../threadedComments/threadedComment1.xml"/><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F202"/>
  <sheetViews>
    <sheetView workbookViewId="0"/>
  </sheetViews>
  <sheetFormatPr defaultColWidth="9.109375" defaultRowHeight="14.4" x14ac:dyDescent="0.3"/>
  <cols>
    <col min="2" max="2" width="21.88671875" bestFit="1" customWidth="1"/>
    <col min="3" max="3" width="13.109375" bestFit="1" customWidth="1"/>
    <col min="4" max="4" width="14.109375" bestFit="1" customWidth="1"/>
    <col min="5" max="5" width="79.33203125" style="24" customWidth="1"/>
    <col min="6" max="6" width="45.5546875" customWidth="1"/>
    <col min="7" max="7" width="13.44140625" bestFit="1" customWidth="1"/>
  </cols>
  <sheetData>
    <row r="3" spans="1:6" x14ac:dyDescent="0.3">
      <c r="B3" s="541" t="s">
        <v>695</v>
      </c>
    </row>
    <row r="5" spans="1:6" ht="15" thickBot="1" x14ac:dyDescent="0.35">
      <c r="B5" s="542" t="s">
        <v>686</v>
      </c>
      <c r="C5" s="542" t="s">
        <v>696</v>
      </c>
      <c r="D5" s="542" t="s">
        <v>697</v>
      </c>
      <c r="E5" s="564" t="s">
        <v>698</v>
      </c>
    </row>
    <row r="6" spans="1:6" ht="58.2" thickTop="1" x14ac:dyDescent="0.3">
      <c r="A6" s="231"/>
      <c r="B6" s="543">
        <v>41767</v>
      </c>
      <c r="C6" s="231" t="s">
        <v>51</v>
      </c>
      <c r="D6" s="231" t="s">
        <v>699</v>
      </c>
      <c r="E6" s="24" t="s">
        <v>700</v>
      </c>
      <c r="F6" s="196" t="s">
        <v>701</v>
      </c>
    </row>
    <row r="7" spans="1:6" ht="43.2" x14ac:dyDescent="0.3">
      <c r="B7" s="544">
        <v>41806</v>
      </c>
      <c r="C7" t="s">
        <v>51</v>
      </c>
      <c r="D7" t="s">
        <v>699</v>
      </c>
      <c r="E7" s="24" t="s">
        <v>702</v>
      </c>
      <c r="F7" s="545" t="s">
        <v>703</v>
      </c>
    </row>
    <row r="8" spans="1:6" ht="57.6" x14ac:dyDescent="0.3">
      <c r="B8" s="544">
        <v>42016</v>
      </c>
      <c r="C8" t="s">
        <v>51</v>
      </c>
      <c r="D8" t="s">
        <v>699</v>
      </c>
      <c r="E8" s="546" t="s">
        <v>705</v>
      </c>
      <c r="F8" s="545" t="s">
        <v>704</v>
      </c>
    </row>
    <row r="9" spans="1:6" ht="86.4" x14ac:dyDescent="0.3">
      <c r="B9" s="544">
        <v>42040</v>
      </c>
      <c r="C9" t="s">
        <v>51</v>
      </c>
      <c r="D9" t="s">
        <v>699</v>
      </c>
      <c r="E9" s="546" t="s">
        <v>715</v>
      </c>
      <c r="F9" t="s">
        <v>714</v>
      </c>
    </row>
    <row r="10" spans="1:6" x14ac:dyDescent="0.3">
      <c r="B10" s="544">
        <v>42041</v>
      </c>
      <c r="C10" t="s">
        <v>51</v>
      </c>
      <c r="D10" t="s">
        <v>699</v>
      </c>
      <c r="E10" s="24" t="s">
        <v>739</v>
      </c>
      <c r="F10" t="s">
        <v>714</v>
      </c>
    </row>
    <row r="11" spans="1:6" ht="72" x14ac:dyDescent="0.3">
      <c r="B11" s="544">
        <v>42220</v>
      </c>
      <c r="C11" t="s">
        <v>51</v>
      </c>
      <c r="D11" t="s">
        <v>699</v>
      </c>
      <c r="E11" s="24" t="s">
        <v>740</v>
      </c>
      <c r="F11" t="s">
        <v>714</v>
      </c>
    </row>
    <row r="12" spans="1:6" x14ac:dyDescent="0.3">
      <c r="B12" s="544">
        <v>42221</v>
      </c>
      <c r="C12" t="s">
        <v>51</v>
      </c>
      <c r="D12" t="s">
        <v>699</v>
      </c>
      <c r="E12" s="24" t="s">
        <v>741</v>
      </c>
      <c r="F12" t="s">
        <v>714</v>
      </c>
    </row>
    <row r="13" spans="1:6" ht="72" x14ac:dyDescent="0.3">
      <c r="B13" s="544">
        <v>42388</v>
      </c>
      <c r="C13" t="s">
        <v>51</v>
      </c>
      <c r="D13" t="s">
        <v>699</v>
      </c>
      <c r="E13" s="24" t="s">
        <v>749</v>
      </c>
      <c r="F13" t="s">
        <v>714</v>
      </c>
    </row>
    <row r="14" spans="1:6" x14ac:dyDescent="0.3">
      <c r="B14" s="544">
        <v>42669</v>
      </c>
      <c r="C14" t="s">
        <v>51</v>
      </c>
      <c r="D14" t="s">
        <v>830</v>
      </c>
      <c r="E14" s="24" t="s">
        <v>831</v>
      </c>
    </row>
    <row r="15" spans="1:6" x14ac:dyDescent="0.3">
      <c r="B15" s="544">
        <v>43234</v>
      </c>
      <c r="C15" t="s">
        <v>312</v>
      </c>
      <c r="D15" t="s">
        <v>1370</v>
      </c>
      <c r="E15" s="24" t="s">
        <v>1371</v>
      </c>
    </row>
    <row r="16" spans="1:6" ht="43.2" x14ac:dyDescent="0.3">
      <c r="B16" s="544">
        <v>43596</v>
      </c>
      <c r="C16" t="s">
        <v>312</v>
      </c>
      <c r="D16" t="s">
        <v>1466</v>
      </c>
      <c r="E16" s="24" t="s">
        <v>1467</v>
      </c>
    </row>
    <row r="17" spans="2:5" ht="28.8" x14ac:dyDescent="0.3">
      <c r="B17" s="544">
        <v>43615</v>
      </c>
      <c r="C17" t="s">
        <v>312</v>
      </c>
      <c r="D17" t="s">
        <v>1466</v>
      </c>
      <c r="E17" s="24" t="s">
        <v>1960</v>
      </c>
    </row>
    <row r="18" spans="2:5" x14ac:dyDescent="0.3">
      <c r="B18" s="544"/>
    </row>
    <row r="19" spans="2:5" x14ac:dyDescent="0.3">
      <c r="B19" s="544"/>
    </row>
    <row r="20" spans="2:5" x14ac:dyDescent="0.3">
      <c r="B20" s="544"/>
    </row>
    <row r="21" spans="2:5" x14ac:dyDescent="0.3">
      <c r="B21" s="544"/>
    </row>
    <row r="22" spans="2:5" x14ac:dyDescent="0.3">
      <c r="B22" s="544"/>
    </row>
    <row r="23" spans="2:5" x14ac:dyDescent="0.3">
      <c r="B23" s="544"/>
    </row>
    <row r="24" spans="2:5" x14ac:dyDescent="0.3">
      <c r="B24" s="544"/>
    </row>
    <row r="25" spans="2:5" x14ac:dyDescent="0.3">
      <c r="B25" s="544"/>
    </row>
    <row r="26" spans="2:5" x14ac:dyDescent="0.3">
      <c r="B26" s="544"/>
    </row>
    <row r="27" spans="2:5" x14ac:dyDescent="0.3">
      <c r="B27" s="544"/>
    </row>
    <row r="28" spans="2:5" x14ac:dyDescent="0.3">
      <c r="B28" s="544"/>
    </row>
    <row r="29" spans="2:5" x14ac:dyDescent="0.3">
      <c r="B29" s="544"/>
    </row>
    <row r="30" spans="2:5" x14ac:dyDescent="0.3">
      <c r="B30" s="544"/>
    </row>
    <row r="31" spans="2:5" x14ac:dyDescent="0.3">
      <c r="B31" s="544"/>
    </row>
    <row r="32" spans="2:5" x14ac:dyDescent="0.3">
      <c r="B32" s="544"/>
    </row>
    <row r="33" spans="2:2" x14ac:dyDescent="0.3">
      <c r="B33" s="544"/>
    </row>
    <row r="34" spans="2:2" x14ac:dyDescent="0.3">
      <c r="B34" s="544"/>
    </row>
    <row r="35" spans="2:2" x14ac:dyDescent="0.3">
      <c r="B35" s="544"/>
    </row>
    <row r="36" spans="2:2" x14ac:dyDescent="0.3">
      <c r="B36" s="544"/>
    </row>
    <row r="37" spans="2:2" x14ac:dyDescent="0.3">
      <c r="B37" s="544"/>
    </row>
    <row r="38" spans="2:2" x14ac:dyDescent="0.3">
      <c r="B38" s="544"/>
    </row>
    <row r="39" spans="2:2" x14ac:dyDescent="0.3">
      <c r="B39" s="544"/>
    </row>
    <row r="40" spans="2:2" x14ac:dyDescent="0.3">
      <c r="B40" s="544"/>
    </row>
    <row r="41" spans="2:2" x14ac:dyDescent="0.3">
      <c r="B41" s="544"/>
    </row>
    <row r="42" spans="2:2" x14ac:dyDescent="0.3">
      <c r="B42" s="544"/>
    </row>
    <row r="43" spans="2:2" x14ac:dyDescent="0.3">
      <c r="B43" s="544"/>
    </row>
    <row r="44" spans="2:2" x14ac:dyDescent="0.3">
      <c r="B44" s="544"/>
    </row>
    <row r="45" spans="2:2" x14ac:dyDescent="0.3">
      <c r="B45" s="544"/>
    </row>
    <row r="46" spans="2:2" x14ac:dyDescent="0.3">
      <c r="B46" s="544"/>
    </row>
    <row r="47" spans="2:2" x14ac:dyDescent="0.3">
      <c r="B47" s="544"/>
    </row>
    <row r="48" spans="2:2" x14ac:dyDescent="0.3">
      <c r="B48" s="544"/>
    </row>
    <row r="49" spans="2:2" x14ac:dyDescent="0.3">
      <c r="B49" s="544"/>
    </row>
    <row r="50" spans="2:2" x14ac:dyDescent="0.3">
      <c r="B50" s="544"/>
    </row>
    <row r="51" spans="2:2" x14ac:dyDescent="0.3">
      <c r="B51" s="544"/>
    </row>
    <row r="52" spans="2:2" x14ac:dyDescent="0.3">
      <c r="B52" s="544"/>
    </row>
    <row r="53" spans="2:2" x14ac:dyDescent="0.3">
      <c r="B53" s="544"/>
    </row>
    <row r="54" spans="2:2" x14ac:dyDescent="0.3">
      <c r="B54" s="544"/>
    </row>
    <row r="55" spans="2:2" x14ac:dyDescent="0.3">
      <c r="B55" s="544"/>
    </row>
    <row r="56" spans="2:2" x14ac:dyDescent="0.3">
      <c r="B56" s="544"/>
    </row>
    <row r="57" spans="2:2" x14ac:dyDescent="0.3">
      <c r="B57" s="544"/>
    </row>
    <row r="58" spans="2:2" x14ac:dyDescent="0.3">
      <c r="B58" s="544"/>
    </row>
    <row r="59" spans="2:2" x14ac:dyDescent="0.3">
      <c r="B59" s="544"/>
    </row>
    <row r="60" spans="2:2" x14ac:dyDescent="0.3">
      <c r="B60" s="544"/>
    </row>
    <row r="61" spans="2:2" x14ac:dyDescent="0.3">
      <c r="B61" s="544"/>
    </row>
    <row r="62" spans="2:2" x14ac:dyDescent="0.3">
      <c r="B62" s="544"/>
    </row>
    <row r="63" spans="2:2" x14ac:dyDescent="0.3">
      <c r="B63" s="544"/>
    </row>
    <row r="64" spans="2:2" x14ac:dyDescent="0.3">
      <c r="B64" s="544"/>
    </row>
    <row r="65" spans="2:2" x14ac:dyDescent="0.3">
      <c r="B65" s="544"/>
    </row>
    <row r="66" spans="2:2" x14ac:dyDescent="0.3">
      <c r="B66" s="544"/>
    </row>
    <row r="67" spans="2:2" x14ac:dyDescent="0.3">
      <c r="B67" s="544"/>
    </row>
    <row r="68" spans="2:2" x14ac:dyDescent="0.3">
      <c r="B68" s="544"/>
    </row>
    <row r="69" spans="2:2" x14ac:dyDescent="0.3">
      <c r="B69" s="544"/>
    </row>
    <row r="70" spans="2:2" x14ac:dyDescent="0.3">
      <c r="B70" s="544"/>
    </row>
    <row r="71" spans="2:2" x14ac:dyDescent="0.3">
      <c r="B71" s="544"/>
    </row>
    <row r="72" spans="2:2" x14ac:dyDescent="0.3">
      <c r="B72" s="544"/>
    </row>
    <row r="73" spans="2:2" x14ac:dyDescent="0.3">
      <c r="B73" s="544"/>
    </row>
    <row r="74" spans="2:2" x14ac:dyDescent="0.3">
      <c r="B74" s="544"/>
    </row>
    <row r="75" spans="2:2" x14ac:dyDescent="0.3">
      <c r="B75" s="544"/>
    </row>
    <row r="76" spans="2:2" x14ac:dyDescent="0.3">
      <c r="B76" s="544"/>
    </row>
    <row r="77" spans="2:2" x14ac:dyDescent="0.3">
      <c r="B77" s="544"/>
    </row>
    <row r="78" spans="2:2" x14ac:dyDescent="0.3">
      <c r="B78" s="544"/>
    </row>
    <row r="79" spans="2:2" x14ac:dyDescent="0.3">
      <c r="B79" s="544"/>
    </row>
    <row r="80" spans="2:2" x14ac:dyDescent="0.3">
      <c r="B80" s="544"/>
    </row>
    <row r="81" spans="2:2" x14ac:dyDescent="0.3">
      <c r="B81" s="544"/>
    </row>
    <row r="82" spans="2:2" x14ac:dyDescent="0.3">
      <c r="B82" s="544"/>
    </row>
    <row r="83" spans="2:2" x14ac:dyDescent="0.3">
      <c r="B83" s="544"/>
    </row>
    <row r="84" spans="2:2" x14ac:dyDescent="0.3">
      <c r="B84" s="544"/>
    </row>
    <row r="85" spans="2:2" x14ac:dyDescent="0.3">
      <c r="B85" s="544"/>
    </row>
    <row r="86" spans="2:2" x14ac:dyDescent="0.3">
      <c r="B86" s="544"/>
    </row>
    <row r="87" spans="2:2" x14ac:dyDescent="0.3">
      <c r="B87" s="544"/>
    </row>
    <row r="88" spans="2:2" x14ac:dyDescent="0.3">
      <c r="B88" s="544"/>
    </row>
    <row r="89" spans="2:2" x14ac:dyDescent="0.3">
      <c r="B89" s="544"/>
    </row>
    <row r="90" spans="2:2" x14ac:dyDescent="0.3">
      <c r="B90" s="544"/>
    </row>
    <row r="91" spans="2:2" x14ac:dyDescent="0.3">
      <c r="B91" s="544"/>
    </row>
    <row r="92" spans="2:2" x14ac:dyDescent="0.3">
      <c r="B92" s="544"/>
    </row>
    <row r="93" spans="2:2" x14ac:dyDescent="0.3">
      <c r="B93" s="544"/>
    </row>
    <row r="94" spans="2:2" x14ac:dyDescent="0.3">
      <c r="B94" s="544"/>
    </row>
    <row r="95" spans="2:2" x14ac:dyDescent="0.3">
      <c r="B95" s="544"/>
    </row>
    <row r="96" spans="2:2" x14ac:dyDescent="0.3">
      <c r="B96" s="544"/>
    </row>
    <row r="97" spans="2:2" x14ac:dyDescent="0.3">
      <c r="B97" s="544"/>
    </row>
    <row r="98" spans="2:2" x14ac:dyDescent="0.3">
      <c r="B98" s="544"/>
    </row>
    <row r="99" spans="2:2" x14ac:dyDescent="0.3">
      <c r="B99" s="544"/>
    </row>
    <row r="100" spans="2:2" x14ac:dyDescent="0.3">
      <c r="B100" s="544"/>
    </row>
    <row r="101" spans="2:2" x14ac:dyDescent="0.3">
      <c r="B101" s="544"/>
    </row>
    <row r="102" spans="2:2" x14ac:dyDescent="0.3">
      <c r="B102" s="544"/>
    </row>
    <row r="103" spans="2:2" x14ac:dyDescent="0.3">
      <c r="B103" s="544"/>
    </row>
    <row r="104" spans="2:2" x14ac:dyDescent="0.3">
      <c r="B104" s="544"/>
    </row>
    <row r="105" spans="2:2" x14ac:dyDescent="0.3">
      <c r="B105" s="544"/>
    </row>
    <row r="106" spans="2:2" x14ac:dyDescent="0.3">
      <c r="B106" s="544"/>
    </row>
    <row r="107" spans="2:2" x14ac:dyDescent="0.3">
      <c r="B107" s="544"/>
    </row>
    <row r="108" spans="2:2" x14ac:dyDescent="0.3">
      <c r="B108" s="544"/>
    </row>
    <row r="109" spans="2:2" x14ac:dyDescent="0.3">
      <c r="B109" s="544"/>
    </row>
    <row r="110" spans="2:2" x14ac:dyDescent="0.3">
      <c r="B110" s="544"/>
    </row>
    <row r="111" spans="2:2" x14ac:dyDescent="0.3">
      <c r="B111" s="544"/>
    </row>
    <row r="112" spans="2:2" x14ac:dyDescent="0.3">
      <c r="B112" s="544"/>
    </row>
    <row r="113" spans="2:2" x14ac:dyDescent="0.3">
      <c r="B113" s="544"/>
    </row>
    <row r="114" spans="2:2" x14ac:dyDescent="0.3">
      <c r="B114" s="544"/>
    </row>
    <row r="115" spans="2:2" x14ac:dyDescent="0.3">
      <c r="B115" s="544"/>
    </row>
    <row r="116" spans="2:2" x14ac:dyDescent="0.3">
      <c r="B116" s="544"/>
    </row>
    <row r="117" spans="2:2" x14ac:dyDescent="0.3">
      <c r="B117" s="544"/>
    </row>
    <row r="118" spans="2:2" x14ac:dyDescent="0.3">
      <c r="B118" s="544"/>
    </row>
    <row r="119" spans="2:2" x14ac:dyDescent="0.3">
      <c r="B119" s="544"/>
    </row>
    <row r="120" spans="2:2" x14ac:dyDescent="0.3">
      <c r="B120" s="544"/>
    </row>
    <row r="121" spans="2:2" x14ac:dyDescent="0.3">
      <c r="B121" s="544"/>
    </row>
    <row r="122" spans="2:2" x14ac:dyDescent="0.3">
      <c r="B122" s="544"/>
    </row>
    <row r="123" spans="2:2" x14ac:dyDescent="0.3">
      <c r="B123" s="544"/>
    </row>
    <row r="124" spans="2:2" x14ac:dyDescent="0.3">
      <c r="B124" s="544"/>
    </row>
    <row r="125" spans="2:2" x14ac:dyDescent="0.3">
      <c r="B125" s="544"/>
    </row>
    <row r="126" spans="2:2" x14ac:dyDescent="0.3">
      <c r="B126" s="544"/>
    </row>
    <row r="127" spans="2:2" x14ac:dyDescent="0.3">
      <c r="B127" s="544"/>
    </row>
    <row r="128" spans="2:2" x14ac:dyDescent="0.3">
      <c r="B128" s="544"/>
    </row>
    <row r="129" spans="2:2" x14ac:dyDescent="0.3">
      <c r="B129" s="544"/>
    </row>
    <row r="130" spans="2:2" x14ac:dyDescent="0.3">
      <c r="B130" s="544"/>
    </row>
    <row r="131" spans="2:2" x14ac:dyDescent="0.3">
      <c r="B131" s="544"/>
    </row>
    <row r="132" spans="2:2" x14ac:dyDescent="0.3">
      <c r="B132" s="544"/>
    </row>
    <row r="133" spans="2:2" x14ac:dyDescent="0.3">
      <c r="B133" s="544"/>
    </row>
    <row r="134" spans="2:2" x14ac:dyDescent="0.3">
      <c r="B134" s="544"/>
    </row>
    <row r="135" spans="2:2" x14ac:dyDescent="0.3">
      <c r="B135" s="544"/>
    </row>
    <row r="136" spans="2:2" x14ac:dyDescent="0.3">
      <c r="B136" s="544"/>
    </row>
    <row r="137" spans="2:2" x14ac:dyDescent="0.3">
      <c r="B137" s="544"/>
    </row>
    <row r="138" spans="2:2" x14ac:dyDescent="0.3">
      <c r="B138" s="544"/>
    </row>
    <row r="139" spans="2:2" x14ac:dyDescent="0.3">
      <c r="B139" s="544"/>
    </row>
    <row r="140" spans="2:2" x14ac:dyDescent="0.3">
      <c r="B140" s="544"/>
    </row>
    <row r="141" spans="2:2" x14ac:dyDescent="0.3">
      <c r="B141" s="544"/>
    </row>
    <row r="142" spans="2:2" x14ac:dyDescent="0.3">
      <c r="B142" s="544"/>
    </row>
    <row r="143" spans="2:2" x14ac:dyDescent="0.3">
      <c r="B143" s="544"/>
    </row>
    <row r="144" spans="2:2" x14ac:dyDescent="0.3">
      <c r="B144" s="544"/>
    </row>
    <row r="145" spans="2:2" x14ac:dyDescent="0.3">
      <c r="B145" s="544"/>
    </row>
    <row r="146" spans="2:2" x14ac:dyDescent="0.3">
      <c r="B146" s="544"/>
    </row>
    <row r="147" spans="2:2" x14ac:dyDescent="0.3">
      <c r="B147" s="544"/>
    </row>
    <row r="148" spans="2:2" x14ac:dyDescent="0.3">
      <c r="B148" s="544"/>
    </row>
    <row r="149" spans="2:2" x14ac:dyDescent="0.3">
      <c r="B149" s="544"/>
    </row>
    <row r="150" spans="2:2" x14ac:dyDescent="0.3">
      <c r="B150" s="544"/>
    </row>
    <row r="151" spans="2:2" x14ac:dyDescent="0.3">
      <c r="B151" s="544"/>
    </row>
    <row r="152" spans="2:2" x14ac:dyDescent="0.3">
      <c r="B152" s="544"/>
    </row>
    <row r="153" spans="2:2" x14ac:dyDescent="0.3">
      <c r="B153" s="544"/>
    </row>
    <row r="154" spans="2:2" x14ac:dyDescent="0.3">
      <c r="B154" s="544"/>
    </row>
    <row r="155" spans="2:2" x14ac:dyDescent="0.3">
      <c r="B155" s="544"/>
    </row>
    <row r="156" spans="2:2" x14ac:dyDescent="0.3">
      <c r="B156" s="544"/>
    </row>
    <row r="157" spans="2:2" x14ac:dyDescent="0.3">
      <c r="B157" s="544"/>
    </row>
    <row r="158" spans="2:2" x14ac:dyDescent="0.3">
      <c r="B158" s="544"/>
    </row>
    <row r="159" spans="2:2" x14ac:dyDescent="0.3">
      <c r="B159" s="544"/>
    </row>
    <row r="160" spans="2:2" x14ac:dyDescent="0.3">
      <c r="B160" s="544"/>
    </row>
    <row r="161" spans="2:2" x14ac:dyDescent="0.3">
      <c r="B161" s="544"/>
    </row>
    <row r="162" spans="2:2" x14ac:dyDescent="0.3">
      <c r="B162" s="544"/>
    </row>
    <row r="163" spans="2:2" x14ac:dyDescent="0.3">
      <c r="B163" s="544"/>
    </row>
    <row r="164" spans="2:2" x14ac:dyDescent="0.3">
      <c r="B164" s="544"/>
    </row>
    <row r="165" spans="2:2" x14ac:dyDescent="0.3">
      <c r="B165" s="544"/>
    </row>
    <row r="166" spans="2:2" x14ac:dyDescent="0.3">
      <c r="B166" s="544"/>
    </row>
    <row r="167" spans="2:2" x14ac:dyDescent="0.3">
      <c r="B167" s="544"/>
    </row>
    <row r="168" spans="2:2" x14ac:dyDescent="0.3">
      <c r="B168" s="544"/>
    </row>
    <row r="169" spans="2:2" x14ac:dyDescent="0.3">
      <c r="B169" s="544"/>
    </row>
    <row r="170" spans="2:2" x14ac:dyDescent="0.3">
      <c r="B170" s="544"/>
    </row>
    <row r="171" spans="2:2" x14ac:dyDescent="0.3">
      <c r="B171" s="544"/>
    </row>
    <row r="172" spans="2:2" x14ac:dyDescent="0.3">
      <c r="B172" s="544"/>
    </row>
    <row r="173" spans="2:2" x14ac:dyDescent="0.3">
      <c r="B173" s="544"/>
    </row>
    <row r="174" spans="2:2" x14ac:dyDescent="0.3">
      <c r="B174" s="544"/>
    </row>
    <row r="175" spans="2:2" x14ac:dyDescent="0.3">
      <c r="B175" s="544"/>
    </row>
    <row r="176" spans="2:2" x14ac:dyDescent="0.3">
      <c r="B176" s="544"/>
    </row>
    <row r="177" spans="2:2" x14ac:dyDescent="0.3">
      <c r="B177" s="544"/>
    </row>
    <row r="178" spans="2:2" x14ac:dyDescent="0.3">
      <c r="B178" s="544"/>
    </row>
    <row r="179" spans="2:2" x14ac:dyDescent="0.3">
      <c r="B179" s="544"/>
    </row>
    <row r="180" spans="2:2" x14ac:dyDescent="0.3">
      <c r="B180" s="544"/>
    </row>
    <row r="181" spans="2:2" x14ac:dyDescent="0.3">
      <c r="B181" s="544"/>
    </row>
    <row r="182" spans="2:2" x14ac:dyDescent="0.3">
      <c r="B182" s="544"/>
    </row>
    <row r="183" spans="2:2" x14ac:dyDescent="0.3">
      <c r="B183" s="544"/>
    </row>
    <row r="184" spans="2:2" x14ac:dyDescent="0.3">
      <c r="B184" s="544"/>
    </row>
    <row r="185" spans="2:2" x14ac:dyDescent="0.3">
      <c r="B185" s="544"/>
    </row>
    <row r="186" spans="2:2" x14ac:dyDescent="0.3">
      <c r="B186" s="544"/>
    </row>
    <row r="187" spans="2:2" x14ac:dyDescent="0.3">
      <c r="B187" s="544"/>
    </row>
    <row r="188" spans="2:2" x14ac:dyDescent="0.3">
      <c r="B188" s="544"/>
    </row>
    <row r="189" spans="2:2" x14ac:dyDescent="0.3">
      <c r="B189" s="544"/>
    </row>
    <row r="190" spans="2:2" x14ac:dyDescent="0.3">
      <c r="B190" s="544"/>
    </row>
    <row r="191" spans="2:2" x14ac:dyDescent="0.3">
      <c r="B191" s="544"/>
    </row>
    <row r="192" spans="2:2" x14ac:dyDescent="0.3">
      <c r="B192" s="544"/>
    </row>
    <row r="193" spans="2:2" x14ac:dyDescent="0.3">
      <c r="B193" s="544"/>
    </row>
    <row r="194" spans="2:2" x14ac:dyDescent="0.3">
      <c r="B194" s="544"/>
    </row>
    <row r="195" spans="2:2" x14ac:dyDescent="0.3">
      <c r="B195" s="544"/>
    </row>
    <row r="196" spans="2:2" x14ac:dyDescent="0.3">
      <c r="B196" s="544"/>
    </row>
    <row r="197" spans="2:2" x14ac:dyDescent="0.3">
      <c r="B197" s="544"/>
    </row>
    <row r="198" spans="2:2" x14ac:dyDescent="0.3">
      <c r="B198" s="544"/>
    </row>
    <row r="199" spans="2:2" x14ac:dyDescent="0.3">
      <c r="B199" s="544"/>
    </row>
    <row r="200" spans="2:2" x14ac:dyDescent="0.3">
      <c r="B200" s="544"/>
    </row>
    <row r="201" spans="2:2" x14ac:dyDescent="0.3">
      <c r="B201" s="544"/>
    </row>
    <row r="202" spans="2:2" x14ac:dyDescent="0.3">
      <c r="B202" s="54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FFC7B-4D4E-4584-9967-9D1D735B4A2D}">
  <sheetPr codeName="Sheet5">
    <tabColor rgb="FFFFC000"/>
  </sheetPr>
  <dimension ref="A1:Q77"/>
  <sheetViews>
    <sheetView workbookViewId="0"/>
  </sheetViews>
  <sheetFormatPr defaultColWidth="8.6640625" defaultRowHeight="14.4" outlineLevelCol="1" x14ac:dyDescent="0.3"/>
  <cols>
    <col min="1" max="1" width="2.6640625" style="1226" customWidth="1"/>
    <col min="2" max="2" width="50.44140625" style="1226" customWidth="1"/>
    <col min="3" max="3" width="30.33203125" style="1226" customWidth="1"/>
    <col min="4" max="4" width="2.6640625" style="1226" customWidth="1"/>
    <col min="5" max="5" width="32.6640625" style="1226" customWidth="1"/>
    <col min="6" max="6" width="14.6640625" style="1226" customWidth="1"/>
    <col min="7" max="7" width="2.6640625" customWidth="1"/>
    <col min="8" max="8" width="2.88671875" style="1226" customWidth="1"/>
    <col min="9" max="9" width="16.88671875" style="1295" hidden="1" customWidth="1" outlineLevel="1"/>
    <col min="10" max="10" width="7" style="1295" hidden="1" customWidth="1" outlineLevel="1"/>
    <col min="11" max="11" width="9.6640625" style="1295" hidden="1" customWidth="1" outlineLevel="1"/>
    <col min="12" max="13" width="7" style="1295" hidden="1" customWidth="1" outlineLevel="1"/>
    <col min="14" max="14" width="8.6640625" style="1226" hidden="1" customWidth="1" outlineLevel="1"/>
    <col min="15" max="15" width="2.88671875" style="1226" customWidth="1" collapsed="1"/>
    <col min="16" max="16" width="2.88671875" style="1226" customWidth="1"/>
    <col min="17" max="17" width="50.88671875" style="1226" customWidth="1"/>
    <col min="18" max="16384" width="8.6640625" style="1226"/>
  </cols>
  <sheetData>
    <row r="1" spans="1:17" s="1227" customFormat="1" ht="15" customHeight="1" x14ac:dyDescent="0.3">
      <c r="A1" s="1224"/>
      <c r="B1" s="1225"/>
      <c r="C1" s="1225"/>
      <c r="D1" s="1225"/>
      <c r="E1" s="1225"/>
      <c r="F1" s="1225"/>
      <c r="G1"/>
      <c r="H1"/>
      <c r="I1" s="1226"/>
      <c r="J1" s="1226"/>
      <c r="K1" s="1226"/>
      <c r="L1" s="1226"/>
    </row>
    <row r="2" spans="1:17" s="1227" customFormat="1" ht="24" customHeight="1" x14ac:dyDescent="0.3">
      <c r="A2" s="1224"/>
      <c r="B2" s="1228" t="s">
        <v>1131</v>
      </c>
      <c r="C2" s="1229"/>
      <c r="D2" s="1229"/>
      <c r="E2" s="1229"/>
      <c r="F2" s="1229"/>
      <c r="G2"/>
      <c r="H2"/>
      <c r="I2" s="1226"/>
      <c r="J2" s="1226"/>
      <c r="K2" s="1226"/>
      <c r="L2" s="1226"/>
    </row>
    <row r="3" spans="1:17" s="1227" customFormat="1" ht="15" customHeight="1" x14ac:dyDescent="0.3">
      <c r="A3" s="1224"/>
      <c r="B3" s="1225"/>
      <c r="C3" s="1225"/>
      <c r="D3" s="1225"/>
      <c r="E3" s="1225"/>
      <c r="F3" s="1225"/>
      <c r="G3"/>
      <c r="H3"/>
      <c r="I3" s="1226"/>
      <c r="J3" s="1226"/>
      <c r="K3" s="1226"/>
      <c r="L3" s="1226"/>
    </row>
    <row r="4" spans="1:17" s="1227" customFormat="1" ht="50.25" customHeight="1" x14ac:dyDescent="0.3">
      <c r="A4" s="1230"/>
      <c r="B4" s="2442" t="s">
        <v>1132</v>
      </c>
      <c r="C4" s="2443"/>
      <c r="D4" s="2443"/>
      <c r="E4" s="2443"/>
      <c r="F4" s="2443"/>
      <c r="G4"/>
      <c r="H4"/>
      <c r="I4" s="1226"/>
      <c r="J4" s="1226"/>
      <c r="K4" s="1226"/>
      <c r="L4" s="1226"/>
      <c r="Q4" s="1227" t="s">
        <v>1133</v>
      </c>
    </row>
    <row r="5" spans="1:17" ht="15" customHeight="1" x14ac:dyDescent="0.3">
      <c r="I5" s="1226"/>
      <c r="J5" s="1226"/>
      <c r="K5" s="1226"/>
      <c r="L5" s="1226"/>
      <c r="M5" s="1226"/>
    </row>
    <row r="6" spans="1:17" ht="15" customHeight="1" x14ac:dyDescent="0.3">
      <c r="B6" s="1226" t="s">
        <v>1134</v>
      </c>
      <c r="E6" s="2444"/>
      <c r="F6" s="2445"/>
      <c r="I6" s="1226"/>
      <c r="J6" s="1226"/>
      <c r="K6" s="1226"/>
      <c r="L6" s="1226"/>
      <c r="M6" s="1226"/>
      <c r="Q6" s="1231"/>
    </row>
    <row r="7" spans="1:17" ht="15" customHeight="1" x14ac:dyDescent="0.3">
      <c r="I7" s="1226"/>
      <c r="J7" s="1226"/>
      <c r="K7" s="1226"/>
      <c r="L7" s="1226"/>
      <c r="M7" s="1226"/>
    </row>
    <row r="8" spans="1:17" ht="15" customHeight="1" x14ac:dyDescent="0.3">
      <c r="B8" s="1226" t="s">
        <v>1135</v>
      </c>
      <c r="E8" s="2444" t="s">
        <v>1136</v>
      </c>
      <c r="F8" s="2445"/>
      <c r="I8" s="1226"/>
      <c r="J8" s="1226"/>
      <c r="K8" s="1226"/>
      <c r="L8" s="1226"/>
      <c r="M8" s="1226"/>
      <c r="Q8" s="1231"/>
    </row>
    <row r="9" spans="1:17" ht="15" customHeight="1" x14ac:dyDescent="0.3">
      <c r="I9" s="1226"/>
      <c r="J9" s="1226"/>
      <c r="K9" s="1226"/>
      <c r="L9" s="1226"/>
      <c r="M9" s="1226"/>
    </row>
    <row r="10" spans="1:17" ht="15" customHeight="1" x14ac:dyDescent="0.3">
      <c r="B10" s="1226" t="s">
        <v>1137</v>
      </c>
      <c r="E10" s="2446" t="s">
        <v>1138</v>
      </c>
      <c r="F10" s="2447"/>
      <c r="I10" s="1232" t="s">
        <v>1139</v>
      </c>
      <c r="J10" s="1226"/>
      <c r="K10" s="1226"/>
      <c r="L10" s="1226"/>
      <c r="M10" s="1226"/>
      <c r="Q10" s="1231"/>
    </row>
    <row r="11" spans="1:17" ht="9" customHeight="1" x14ac:dyDescent="0.3">
      <c r="I11" s="1226"/>
      <c r="J11" s="1226"/>
      <c r="K11" s="1226"/>
      <c r="L11" s="1226"/>
      <c r="M11" s="1226"/>
    </row>
    <row r="12" spans="1:17" ht="15" customHeight="1" x14ac:dyDescent="0.3">
      <c r="B12" s="1226" t="s">
        <v>1140</v>
      </c>
      <c r="F12" s="1233" t="s">
        <v>1141</v>
      </c>
      <c r="I12" s="1234" t="s">
        <v>1142</v>
      </c>
      <c r="J12" s="1235" t="s">
        <v>1143</v>
      </c>
      <c r="K12" s="1226"/>
      <c r="L12" s="1226"/>
      <c r="M12" s="1226"/>
      <c r="Q12" s="1231"/>
    </row>
    <row r="13" spans="1:17" ht="33" customHeight="1" x14ac:dyDescent="0.3">
      <c r="B13" s="1236" t="s">
        <v>1144</v>
      </c>
      <c r="I13" s="1226"/>
      <c r="J13" s="1226"/>
      <c r="K13" s="1226"/>
      <c r="L13" s="1226"/>
      <c r="M13" s="1226"/>
    </row>
    <row r="14" spans="1:17" ht="15" customHeight="1" x14ac:dyDescent="0.3">
      <c r="B14" s="236" t="s">
        <v>1145</v>
      </c>
      <c r="F14" s="1237">
        <v>1</v>
      </c>
      <c r="I14" s="1226"/>
      <c r="J14" s="1226"/>
      <c r="K14" s="1226"/>
      <c r="L14" s="1226"/>
      <c r="M14" s="1226"/>
      <c r="Q14" s="1231"/>
    </row>
    <row r="15" spans="1:17" ht="9" customHeight="1" x14ac:dyDescent="0.3">
      <c r="B15" s="236"/>
      <c r="I15" s="1226"/>
      <c r="J15" s="1226"/>
      <c r="K15" s="1226"/>
      <c r="L15" s="1226"/>
      <c r="M15" s="1226"/>
    </row>
    <row r="16" spans="1:17" ht="15" customHeight="1" x14ac:dyDescent="0.3">
      <c r="B16" s="236" t="s">
        <v>1146</v>
      </c>
      <c r="F16" s="1238">
        <f>1-F14</f>
        <v>0</v>
      </c>
      <c r="I16" s="1226"/>
      <c r="J16" s="1226"/>
      <c r="K16" s="1226"/>
      <c r="L16" s="1226"/>
      <c r="M16" s="1226"/>
      <c r="Q16" s="1231"/>
    </row>
    <row r="17" spans="2:17" ht="9" customHeight="1" x14ac:dyDescent="0.3">
      <c r="B17" s="236"/>
      <c r="F17" s="1239"/>
      <c r="I17" s="1226"/>
      <c r="J17" s="1226"/>
      <c r="K17" s="1226"/>
      <c r="L17" s="1226"/>
      <c r="M17" s="1226"/>
    </row>
    <row r="18" spans="2:17" ht="15" customHeight="1" x14ac:dyDescent="0.3">
      <c r="B18" s="236" t="s">
        <v>1147</v>
      </c>
      <c r="F18" s="1239"/>
      <c r="I18" s="1226"/>
      <c r="J18" s="1226"/>
      <c r="K18" s="1226"/>
      <c r="L18" s="1226"/>
      <c r="M18" s="1226"/>
    </row>
    <row r="19" spans="2:17" ht="9" customHeight="1" x14ac:dyDescent="0.3">
      <c r="B19" s="236"/>
      <c r="F19" s="1239"/>
      <c r="I19" s="1226"/>
      <c r="J19" s="1226"/>
      <c r="K19" s="1226"/>
      <c r="L19" s="1226"/>
      <c r="M19" s="1226"/>
    </row>
    <row r="20" spans="2:17" ht="15" customHeight="1" x14ac:dyDescent="0.3">
      <c r="B20" s="236" t="s">
        <v>1148</v>
      </c>
      <c r="F20" s="1240" t="s">
        <v>132</v>
      </c>
      <c r="I20" s="1226"/>
      <c r="J20" s="1226"/>
      <c r="K20" s="1226"/>
      <c r="L20" s="1226"/>
      <c r="M20" s="1226"/>
      <c r="Q20" s="1231"/>
    </row>
    <row r="21" spans="2:17" ht="15" customHeight="1" x14ac:dyDescent="0.3">
      <c r="B21" s="1241" t="s">
        <v>694</v>
      </c>
      <c r="F21" s="1242"/>
      <c r="I21" s="1226"/>
      <c r="J21" s="1226"/>
      <c r="K21" s="1226"/>
      <c r="L21" s="1226"/>
      <c r="M21" s="1226"/>
    </row>
    <row r="22" spans="2:17" ht="9" customHeight="1" x14ac:dyDescent="0.3">
      <c r="I22" s="1226"/>
      <c r="J22" s="1226"/>
      <c r="K22" s="1226"/>
      <c r="L22" s="1226"/>
      <c r="M22" s="1226"/>
    </row>
    <row r="23" spans="2:17" ht="15" customHeight="1" x14ac:dyDescent="0.3">
      <c r="B23" s="1226" t="s">
        <v>1149</v>
      </c>
      <c r="F23" s="1243">
        <f ca="1">Proj_Sum!$P$32</f>
        <v>119729.68709999998</v>
      </c>
      <c r="I23" s="1226"/>
      <c r="J23" s="1226"/>
      <c r="K23" s="1226"/>
      <c r="L23" s="1226"/>
      <c r="M23" s="1226"/>
      <c r="Q23" s="1231"/>
    </row>
    <row r="24" spans="2:17" ht="9" customHeight="1" x14ac:dyDescent="0.3">
      <c r="F24" s="1244"/>
      <c r="I24" s="1226"/>
      <c r="J24" s="1226"/>
      <c r="K24" s="1226"/>
      <c r="L24" s="1226"/>
      <c r="M24" s="1226"/>
    </row>
    <row r="25" spans="2:17" ht="15" customHeight="1" x14ac:dyDescent="0.3">
      <c r="B25" s="1226" t="s">
        <v>1150</v>
      </c>
      <c r="F25" s="1243">
        <f ca="1">Proj_Sum!$F$32-Proj_Sum!$P$32</f>
        <v>0</v>
      </c>
      <c r="I25" s="1226"/>
      <c r="J25" s="1226"/>
      <c r="K25" s="1226"/>
      <c r="L25" s="1226"/>
      <c r="M25" s="1226"/>
      <c r="Q25" s="1231"/>
    </row>
    <row r="26" spans="2:17" ht="9" customHeight="1" x14ac:dyDescent="0.3">
      <c r="F26" s="1244"/>
      <c r="I26" s="1226"/>
      <c r="J26" s="1226"/>
      <c r="K26" s="1226"/>
      <c r="L26" s="1226"/>
      <c r="M26" s="1226"/>
    </row>
    <row r="27" spans="2:17" ht="15" customHeight="1" x14ac:dyDescent="0.3">
      <c r="B27" s="1226" t="s">
        <v>1151</v>
      </c>
      <c r="F27" s="1245">
        <f ca="1">F23+F25</f>
        <v>119729.68709999998</v>
      </c>
      <c r="I27" s="1226"/>
      <c r="J27" s="1226"/>
      <c r="K27" s="1226"/>
      <c r="L27" s="1226"/>
      <c r="M27" s="1226"/>
      <c r="Q27" s="1231"/>
    </row>
    <row r="28" spans="2:17" ht="9" customHeight="1" x14ac:dyDescent="0.3">
      <c r="F28" s="1246"/>
      <c r="I28" s="1226"/>
      <c r="J28" s="1226"/>
      <c r="K28" s="1226"/>
      <c r="L28" s="1226"/>
      <c r="M28" s="1226"/>
    </row>
    <row r="29" spans="2:17" ht="15" customHeight="1" x14ac:dyDescent="0.3">
      <c r="B29" s="1226" t="s">
        <v>1152</v>
      </c>
      <c r="F29" s="1247" t="s">
        <v>352</v>
      </c>
      <c r="I29" s="1226"/>
      <c r="J29" s="1226"/>
      <c r="K29" s="1226"/>
      <c r="L29" s="1226"/>
      <c r="M29" s="1226"/>
      <c r="Q29" s="1231"/>
    </row>
    <row r="30" spans="2:17" ht="9" customHeight="1" x14ac:dyDescent="0.3">
      <c r="F30" s="1246"/>
      <c r="I30" s="1226"/>
      <c r="J30" s="1226"/>
      <c r="K30" s="1226"/>
      <c r="L30" s="1226"/>
      <c r="M30" s="1226"/>
    </row>
    <row r="31" spans="2:17" ht="15" customHeight="1" x14ac:dyDescent="0.3">
      <c r="B31" s="1226" t="s">
        <v>1153</v>
      </c>
      <c r="F31" s="1248">
        <f>Proj_Sum!$D$32</f>
        <v>8</v>
      </c>
      <c r="I31" s="1226"/>
      <c r="J31" s="1226"/>
      <c r="K31" s="1226"/>
      <c r="L31" s="1226"/>
      <c r="M31" s="1226"/>
    </row>
    <row r="32" spans="2:17" ht="33" customHeight="1" x14ac:dyDescent="0.3">
      <c r="I32" s="1226"/>
      <c r="J32" s="1226"/>
      <c r="K32" s="1226"/>
      <c r="L32" s="1226"/>
      <c r="M32" s="1226"/>
    </row>
    <row r="33" spans="2:17" ht="15" customHeight="1" x14ac:dyDescent="0.3">
      <c r="B33" s="1249" t="s">
        <v>1154</v>
      </c>
      <c r="I33" s="1226"/>
      <c r="J33" s="1226"/>
      <c r="K33" s="1226"/>
      <c r="L33" s="1226"/>
      <c r="M33" s="1226"/>
    </row>
    <row r="34" spans="2:17" ht="9" customHeight="1" x14ac:dyDescent="0.3">
      <c r="B34" s="1249"/>
      <c r="I34" s="1226"/>
      <c r="J34" s="1226"/>
      <c r="K34" s="1226"/>
      <c r="L34" s="1226"/>
      <c r="M34" s="1226"/>
    </row>
    <row r="35" spans="2:17" ht="15" customHeight="1" x14ac:dyDescent="0.3">
      <c r="B35" s="1250" t="s">
        <v>1155</v>
      </c>
      <c r="C35" s="2448"/>
      <c r="D35" s="2449"/>
      <c r="E35" s="2449"/>
      <c r="F35" s="2450"/>
      <c r="I35" s="1226"/>
      <c r="J35" s="1226"/>
      <c r="K35" s="1226"/>
      <c r="L35" s="1226"/>
      <c r="M35" s="1226"/>
      <c r="Q35" s="1231"/>
    </row>
    <row r="36" spans="2:17" ht="9" customHeight="1" x14ac:dyDescent="0.3">
      <c r="B36" s="1251"/>
      <c r="C36" s="1252"/>
      <c r="D36" s="1252"/>
      <c r="E36" s="1252"/>
      <c r="F36" s="1252"/>
      <c r="I36" s="1226"/>
      <c r="J36" s="1226"/>
      <c r="K36" s="1226"/>
      <c r="L36" s="1226"/>
      <c r="M36" s="1226"/>
    </row>
    <row r="37" spans="2:17" ht="15" customHeight="1" x14ac:dyDescent="0.3">
      <c r="B37" s="1251" t="s">
        <v>1156</v>
      </c>
      <c r="C37" s="2448"/>
      <c r="D37" s="2449"/>
      <c r="E37" s="2449"/>
      <c r="F37" s="2450"/>
      <c r="I37" s="1226"/>
      <c r="J37" s="1226"/>
      <c r="K37" s="1226"/>
      <c r="L37" s="1226"/>
      <c r="M37" s="1226"/>
      <c r="Q37" s="1231"/>
    </row>
    <row r="38" spans="2:17" ht="9" hidden="1" customHeight="1" x14ac:dyDescent="0.3">
      <c r="B38" s="1251"/>
      <c r="C38" s="1253"/>
      <c r="D38" s="1253"/>
      <c r="E38" s="1253"/>
      <c r="F38" s="1253"/>
      <c r="I38" s="1226"/>
      <c r="J38" s="1226"/>
      <c r="K38" s="1226"/>
      <c r="L38" s="1226"/>
      <c r="M38" s="1226"/>
    </row>
    <row r="39" spans="2:17" hidden="1" x14ac:dyDescent="0.3">
      <c r="B39" s="2424" t="s">
        <v>1157</v>
      </c>
      <c r="C39" s="2424"/>
      <c r="D39" s="2424"/>
      <c r="E39" s="2424"/>
      <c r="F39" s="2424"/>
      <c r="I39" s="1226"/>
      <c r="J39" s="1226"/>
      <c r="K39" s="1226"/>
      <c r="L39" s="1226"/>
      <c r="M39" s="1226"/>
    </row>
    <row r="40" spans="2:17" ht="46.5" hidden="1" customHeight="1" x14ac:dyDescent="0.3">
      <c r="B40" s="2451"/>
      <c r="C40" s="2452"/>
      <c r="D40" s="2452"/>
      <c r="E40" s="2452"/>
      <c r="F40" s="2453"/>
      <c r="I40" s="1226"/>
      <c r="J40" s="1226"/>
      <c r="K40" s="1226"/>
      <c r="L40" s="1226"/>
      <c r="M40" s="1226"/>
    </row>
    <row r="41" spans="2:17" ht="9" customHeight="1" x14ac:dyDescent="0.3">
      <c r="B41" s="1251"/>
      <c r="C41" s="1254"/>
      <c r="D41" s="1254"/>
      <c r="E41" s="1254"/>
      <c r="F41" s="1254"/>
      <c r="I41" s="1226"/>
      <c r="J41" s="1226"/>
      <c r="K41" s="1226"/>
      <c r="L41" s="1226"/>
      <c r="M41" s="1226"/>
    </row>
    <row r="42" spans="2:17" ht="15" customHeight="1" x14ac:dyDescent="0.3">
      <c r="B42" s="1250" t="s">
        <v>1158</v>
      </c>
      <c r="C42" s="2448"/>
      <c r="D42" s="2449"/>
      <c r="E42" s="2449"/>
      <c r="F42" s="2450"/>
      <c r="I42" s="1226"/>
      <c r="J42" s="1226"/>
      <c r="K42" s="1226"/>
      <c r="L42" s="1226"/>
      <c r="M42" s="1226"/>
      <c r="Q42" s="1231"/>
    </row>
    <row r="43" spans="2:17" ht="9" customHeight="1" x14ac:dyDescent="0.3">
      <c r="I43" s="1226"/>
      <c r="J43" s="1226"/>
      <c r="K43" s="1226"/>
      <c r="L43" s="1226"/>
      <c r="M43" s="1226"/>
    </row>
    <row r="44" spans="2:17" ht="15" customHeight="1" x14ac:dyDescent="0.3">
      <c r="B44" s="1250" t="s">
        <v>1159</v>
      </c>
      <c r="C44" s="2448"/>
      <c r="D44" s="2449"/>
      <c r="E44" s="2449"/>
      <c r="F44" s="2450"/>
      <c r="I44" s="1255" t="s">
        <v>1160</v>
      </c>
      <c r="J44" s="1226"/>
      <c r="K44" s="1226"/>
      <c r="L44" s="1226"/>
      <c r="M44" s="1226"/>
      <c r="Q44" s="1231"/>
    </row>
    <row r="45" spans="2:17" ht="9" customHeight="1" x14ac:dyDescent="0.3">
      <c r="I45" s="1226"/>
      <c r="J45" s="1226"/>
      <c r="K45" s="1226"/>
      <c r="L45" s="1226"/>
      <c r="M45" s="1226"/>
    </row>
    <row r="46" spans="2:17" ht="15" customHeight="1" x14ac:dyDescent="0.3">
      <c r="B46" s="1250" t="s">
        <v>1161</v>
      </c>
      <c r="C46" s="2439"/>
      <c r="D46" s="2440"/>
      <c r="E46" s="2440"/>
      <c r="F46" s="2441"/>
      <c r="I46" s="1226"/>
      <c r="J46" s="1226"/>
      <c r="K46" s="1226"/>
      <c r="L46" s="1226"/>
      <c r="M46" s="1226"/>
      <c r="Q46" s="1231"/>
    </row>
    <row r="47" spans="2:17" ht="9" customHeight="1" x14ac:dyDescent="0.3">
      <c r="I47" s="1226"/>
      <c r="J47" s="1226"/>
      <c r="K47" s="1226"/>
      <c r="L47" s="1226"/>
      <c r="M47" s="1226"/>
    </row>
    <row r="48" spans="2:17" s="1227" customFormat="1" ht="15" customHeight="1" x14ac:dyDescent="0.3">
      <c r="B48" s="1250" t="s">
        <v>1162</v>
      </c>
      <c r="C48" s="2439"/>
      <c r="D48" s="2440"/>
      <c r="E48" s="2440"/>
      <c r="F48" s="2441"/>
      <c r="G48" s="1256"/>
      <c r="H48" s="328"/>
      <c r="I48" s="328"/>
      <c r="J48" s="328"/>
      <c r="K48" s="1257"/>
      <c r="L48" s="1258"/>
      <c r="N48" s="1259"/>
      <c r="Q48" s="1260"/>
    </row>
    <row r="49" spans="2:17" s="1227" customFormat="1" ht="21" customHeight="1" x14ac:dyDescent="0.25">
      <c r="B49" s="1261"/>
      <c r="C49" s="1262"/>
      <c r="D49" s="1262"/>
      <c r="E49" s="1262"/>
      <c r="F49" s="1262"/>
      <c r="G49" s="1262"/>
      <c r="H49" s="1262"/>
      <c r="I49" s="1262"/>
      <c r="J49" s="1262"/>
      <c r="K49" s="1262"/>
      <c r="L49" s="1258"/>
      <c r="Q49" s="1226"/>
    </row>
    <row r="50" spans="2:17" ht="36.75" customHeight="1" x14ac:dyDescent="0.3">
      <c r="B50" s="2424" t="s">
        <v>1163</v>
      </c>
      <c r="C50" s="2424"/>
      <c r="D50" s="2424"/>
      <c r="E50" s="2424"/>
      <c r="F50" s="2424"/>
      <c r="I50" s="1226"/>
      <c r="J50" s="1226"/>
      <c r="K50" s="1226"/>
      <c r="L50" s="1226"/>
      <c r="M50" s="1226"/>
    </row>
    <row r="51" spans="2:17" ht="46.5" customHeight="1" x14ac:dyDescent="0.3">
      <c r="B51" s="2425"/>
      <c r="C51" s="2426"/>
      <c r="D51" s="2426"/>
      <c r="E51" s="2426"/>
      <c r="F51" s="2427"/>
      <c r="I51" s="1226"/>
      <c r="J51" s="1226"/>
      <c r="K51" s="1226"/>
      <c r="L51" s="1226"/>
      <c r="M51" s="1226"/>
      <c r="Q51" s="1231"/>
    </row>
    <row r="52" spans="2:17" s="1267" customFormat="1" ht="21" customHeight="1" x14ac:dyDescent="0.25">
      <c r="B52" s="1263"/>
      <c r="C52" s="1264"/>
      <c r="D52" s="1264"/>
      <c r="E52" s="1264"/>
      <c r="F52" s="1265"/>
      <c r="G52" s="1266"/>
    </row>
    <row r="53" spans="2:17" s="1269" customFormat="1" ht="45.75" customHeight="1" x14ac:dyDescent="0.3">
      <c r="B53" s="2428" t="s">
        <v>1164</v>
      </c>
      <c r="C53" s="2428"/>
      <c r="D53" s="2428"/>
      <c r="E53" s="2428"/>
      <c r="F53" s="2428"/>
      <c r="G53"/>
      <c r="H53" s="1226"/>
      <c r="I53" s="1226"/>
      <c r="J53" s="1226"/>
      <c r="K53" s="1268"/>
      <c r="L53" s="1268"/>
      <c r="M53" s="1268"/>
      <c r="N53" s="1268"/>
    </row>
    <row r="54" spans="2:17" s="1269" customFormat="1" ht="33" customHeight="1" x14ac:dyDescent="0.3">
      <c r="B54" s="2428" t="s">
        <v>1165</v>
      </c>
      <c r="C54" s="2428"/>
      <c r="D54" s="2428"/>
      <c r="E54" s="2428"/>
      <c r="F54" s="2428"/>
      <c r="G54"/>
      <c r="H54" s="1270"/>
      <c r="I54" s="1270"/>
      <c r="J54" s="1270"/>
      <c r="K54" s="1270"/>
      <c r="L54" s="1270"/>
      <c r="M54" s="1270"/>
      <c r="N54" s="1270"/>
    </row>
    <row r="55" spans="2:17" s="1269" customFormat="1" ht="34.5" customHeight="1" x14ac:dyDescent="0.3">
      <c r="B55" s="1271"/>
      <c r="C55" s="1272"/>
      <c r="D55" s="1272"/>
      <c r="E55" s="1271"/>
      <c r="F55" s="1271"/>
      <c r="G55"/>
      <c r="H55" s="1271"/>
      <c r="I55" s="1271"/>
      <c r="J55" s="1271"/>
      <c r="K55" s="1271"/>
      <c r="L55" s="1271"/>
      <c r="M55" s="1271"/>
      <c r="N55" s="1271"/>
    </row>
    <row r="56" spans="2:17" s="1267" customFormat="1" ht="24.75" customHeight="1" x14ac:dyDescent="0.3">
      <c r="B56" s="2412" t="s">
        <v>1166</v>
      </c>
      <c r="C56" s="2412"/>
      <c r="D56" s="2412"/>
      <c r="E56" s="2412"/>
      <c r="F56" s="2412"/>
      <c r="G56" s="1266"/>
    </row>
    <row r="57" spans="2:17" s="1267" customFormat="1" ht="28.5" customHeight="1" x14ac:dyDescent="0.3">
      <c r="B57" s="2429" t="s">
        <v>1167</v>
      </c>
      <c r="C57" s="2429"/>
      <c r="D57" s="2429"/>
      <c r="E57" s="2429"/>
      <c r="F57" s="2429"/>
      <c r="G57" s="1266"/>
    </row>
    <row r="58" spans="2:17" s="1267" customFormat="1" ht="15" customHeight="1" x14ac:dyDescent="0.3">
      <c r="B58" s="1273"/>
      <c r="C58" s="1273"/>
      <c r="D58" s="1273"/>
      <c r="E58" s="1273"/>
      <c r="F58" s="1273"/>
      <c r="G58"/>
      <c r="H58" s="1274"/>
      <c r="I58" s="1275" t="b">
        <v>0</v>
      </c>
      <c r="J58" s="1276"/>
      <c r="K58" s="1276"/>
      <c r="L58" s="1276"/>
      <c r="M58" s="1276"/>
    </row>
    <row r="59" spans="2:17" s="1267" customFormat="1" ht="21" customHeight="1" x14ac:dyDescent="0.3">
      <c r="B59" s="2430" t="s">
        <v>1168</v>
      </c>
      <c r="C59" s="2431"/>
      <c r="D59" s="1277"/>
      <c r="E59" s="1278"/>
      <c r="F59" s="1279"/>
      <c r="G59"/>
      <c r="H59" s="1274"/>
      <c r="I59" s="1275" t="b">
        <v>0</v>
      </c>
      <c r="J59" s="1280" t="b">
        <v>0</v>
      </c>
      <c r="K59" s="1280" t="b">
        <v>0</v>
      </c>
      <c r="L59" s="1276"/>
      <c r="M59" s="1276"/>
      <c r="Q59" s="1281"/>
    </row>
    <row r="60" spans="2:17" s="1267" customFormat="1" ht="21" customHeight="1" x14ac:dyDescent="0.3">
      <c r="B60" s="2408" t="s">
        <v>1169</v>
      </c>
      <c r="C60" s="2432"/>
      <c r="D60" s="2433"/>
      <c r="E60" s="2434"/>
      <c r="F60" s="2435"/>
      <c r="G60"/>
      <c r="H60" s="1274"/>
      <c r="I60" s="1275" t="b">
        <v>0</v>
      </c>
      <c r="J60" s="1280" t="b">
        <v>0</v>
      </c>
      <c r="K60" s="1280" t="b">
        <v>0</v>
      </c>
      <c r="L60" s="1280" t="b">
        <v>0</v>
      </c>
      <c r="M60" s="1276"/>
      <c r="Q60" s="1281"/>
    </row>
    <row r="61" spans="2:17" s="1285" customFormat="1" ht="21" customHeight="1" x14ac:dyDescent="0.3">
      <c r="B61" s="2419" t="s">
        <v>1170</v>
      </c>
      <c r="C61" s="2420"/>
      <c r="D61" s="2436"/>
      <c r="E61" s="2437"/>
      <c r="F61" s="2438"/>
      <c r="G61"/>
      <c r="H61" s="1274"/>
      <c r="I61" s="1282" t="b">
        <v>0</v>
      </c>
      <c r="J61" s="1283" t="b">
        <v>0</v>
      </c>
      <c r="K61" s="1284"/>
      <c r="L61" s="1284"/>
      <c r="M61" s="1284"/>
      <c r="Q61" s="1286"/>
    </row>
    <row r="62" spans="2:17" s="1285" customFormat="1" ht="65.25" customHeight="1" x14ac:dyDescent="0.3">
      <c r="B62" s="2419" t="s">
        <v>1171</v>
      </c>
      <c r="C62" s="2420"/>
      <c r="D62" s="2421"/>
      <c r="E62" s="2422"/>
      <c r="F62" s="2423"/>
      <c r="G62"/>
      <c r="H62" s="1274"/>
      <c r="I62" s="1287"/>
      <c r="J62" s="1287"/>
      <c r="K62" s="1284"/>
      <c r="L62" s="1284"/>
      <c r="M62" s="1284"/>
      <c r="Q62" s="1286"/>
    </row>
    <row r="63" spans="2:17" ht="33" customHeight="1" x14ac:dyDescent="0.3">
      <c r="I63" s="236"/>
      <c r="J63" s="236"/>
      <c r="K63" s="236"/>
      <c r="L63" s="236"/>
      <c r="M63" s="236"/>
    </row>
    <row r="64" spans="2:17" s="1267" customFormat="1" ht="25.5" customHeight="1" x14ac:dyDescent="0.3">
      <c r="B64" s="2412" t="s">
        <v>1172</v>
      </c>
      <c r="C64" s="2412"/>
      <c r="D64" s="2412"/>
      <c r="E64" s="2412"/>
      <c r="F64" s="2412"/>
      <c r="G64" s="1266"/>
      <c r="I64" s="1280" t="b">
        <v>0</v>
      </c>
      <c r="J64" s="1276"/>
      <c r="K64" s="1276"/>
      <c r="L64" s="1276"/>
      <c r="M64" s="1276"/>
    </row>
    <row r="65" spans="2:17" s="1267" customFormat="1" ht="42" customHeight="1" x14ac:dyDescent="0.2">
      <c r="B65" s="2413" t="s">
        <v>1173</v>
      </c>
      <c r="C65" s="2414"/>
      <c r="D65" s="2414"/>
      <c r="E65" s="2415"/>
      <c r="F65" s="2415"/>
      <c r="G65" s="1288"/>
      <c r="I65" s="1280" t="b">
        <v>0</v>
      </c>
      <c r="J65" s="1276"/>
      <c r="K65" s="1276"/>
      <c r="L65" s="1276"/>
      <c r="M65" s="1276"/>
      <c r="Q65" s="1281"/>
    </row>
    <row r="66" spans="2:17" s="1267" customFormat="1" ht="70.5" customHeight="1" x14ac:dyDescent="0.2">
      <c r="B66" s="2416" t="s">
        <v>1174</v>
      </c>
      <c r="C66" s="2417"/>
      <c r="D66" s="2417"/>
      <c r="E66" s="2418"/>
      <c r="F66" s="2418"/>
      <c r="G66" s="1288"/>
      <c r="I66" s="1280" t="b">
        <v>0</v>
      </c>
      <c r="J66" s="1276"/>
      <c r="K66" s="1289" t="b">
        <v>0</v>
      </c>
      <c r="L66" s="1289" t="b">
        <v>0</v>
      </c>
      <c r="M66" s="1289" t="b">
        <v>0</v>
      </c>
      <c r="Q66" s="1281"/>
    </row>
    <row r="67" spans="2:17" s="1227" customFormat="1" ht="33" customHeight="1" x14ac:dyDescent="0.3">
      <c r="B67" s="1290"/>
      <c r="C67" s="1290"/>
      <c r="D67" s="1290"/>
      <c r="E67" s="1290"/>
      <c r="F67" s="1290"/>
      <c r="G67" s="1291"/>
      <c r="I67" s="1292"/>
      <c r="J67" s="1292"/>
      <c r="K67" s="1293" t="s">
        <v>1175</v>
      </c>
      <c r="L67" s="1293" t="s">
        <v>1176</v>
      </c>
      <c r="M67" s="1293" t="s">
        <v>57</v>
      </c>
    </row>
    <row r="68" spans="2:17" s="1267" customFormat="1" ht="25.5" customHeight="1" x14ac:dyDescent="0.3">
      <c r="B68" s="2412" t="s">
        <v>1177</v>
      </c>
      <c r="C68" s="2412"/>
      <c r="D68" s="2412"/>
      <c r="E68" s="2412"/>
      <c r="F68" s="2412"/>
      <c r="G68" s="1266"/>
    </row>
    <row r="69" spans="2:17" s="1267" customFormat="1" ht="21" customHeight="1" x14ac:dyDescent="0.2">
      <c r="B69" s="1294" t="s">
        <v>1178</v>
      </c>
      <c r="C69" s="2405"/>
      <c r="D69" s="2406"/>
      <c r="E69" s="2406"/>
      <c r="F69" s="2407"/>
      <c r="G69" s="1288"/>
      <c r="Q69" s="1281"/>
    </row>
    <row r="70" spans="2:17" s="1267" customFormat="1" ht="33" customHeight="1" x14ac:dyDescent="0.2">
      <c r="B70" s="2408" t="s">
        <v>1179</v>
      </c>
      <c r="C70" s="2409"/>
      <c r="D70" s="2410"/>
      <c r="E70" s="2410"/>
      <c r="F70" s="2411"/>
      <c r="G70" s="1288"/>
      <c r="Q70" s="1281"/>
    </row>
    <row r="71" spans="2:17" s="1227" customFormat="1" ht="21" customHeight="1" x14ac:dyDescent="0.3">
      <c r="B71" s="1290"/>
      <c r="C71" s="1290"/>
      <c r="D71" s="1290"/>
      <c r="E71" s="1290"/>
      <c r="F71" s="1290"/>
      <c r="G71" s="1291"/>
    </row>
    <row r="72" spans="2:17" ht="15" customHeight="1" x14ac:dyDescent="0.3">
      <c r="I72" s="1226"/>
      <c r="J72" s="1226"/>
      <c r="K72" s="1226"/>
      <c r="L72" s="1226"/>
      <c r="M72" s="1226"/>
    </row>
    <row r="73" spans="2:17" ht="15" customHeight="1" x14ac:dyDescent="0.3">
      <c r="I73" s="1226"/>
      <c r="J73" s="1226"/>
      <c r="K73" s="1226"/>
      <c r="L73" s="1226"/>
      <c r="M73" s="1226"/>
    </row>
    <row r="74" spans="2:17" ht="15" customHeight="1" x14ac:dyDescent="0.3">
      <c r="I74" s="1226"/>
      <c r="J74" s="1226"/>
      <c r="K74" s="1226"/>
      <c r="L74" s="1226"/>
      <c r="M74" s="1226"/>
    </row>
    <row r="75" spans="2:17" ht="15" customHeight="1" x14ac:dyDescent="0.3">
      <c r="I75" s="1226"/>
      <c r="J75" s="1226"/>
      <c r="K75" s="1226"/>
      <c r="L75" s="1226"/>
      <c r="M75" s="1226"/>
    </row>
    <row r="76" spans="2:17" ht="15" customHeight="1" x14ac:dyDescent="0.3">
      <c r="I76" s="1226"/>
      <c r="J76" s="1226"/>
      <c r="K76" s="1226"/>
      <c r="L76" s="1226"/>
      <c r="M76" s="1226"/>
    </row>
    <row r="77" spans="2:17" ht="15" customHeight="1" x14ac:dyDescent="0.3">
      <c r="I77" s="1226"/>
      <c r="J77" s="1226"/>
      <c r="K77" s="1226"/>
      <c r="L77" s="1226"/>
      <c r="M77" s="1226"/>
    </row>
  </sheetData>
  <mergeCells count="33">
    <mergeCell ref="C48:F48"/>
    <mergeCell ref="B4:F4"/>
    <mergeCell ref="E6:F6"/>
    <mergeCell ref="E8:F8"/>
    <mergeCell ref="E10:F10"/>
    <mergeCell ref="C35:F35"/>
    <mergeCell ref="C37:F37"/>
    <mergeCell ref="B39:F39"/>
    <mergeCell ref="B40:F40"/>
    <mergeCell ref="C42:F42"/>
    <mergeCell ref="C44:F44"/>
    <mergeCell ref="C46:F46"/>
    <mergeCell ref="B62:C62"/>
    <mergeCell ref="D62:F62"/>
    <mergeCell ref="B50:F50"/>
    <mergeCell ref="B51:F51"/>
    <mergeCell ref="B53:F53"/>
    <mergeCell ref="B54:F54"/>
    <mergeCell ref="B56:F56"/>
    <mergeCell ref="B57:F57"/>
    <mergeCell ref="B59:C59"/>
    <mergeCell ref="B60:C60"/>
    <mergeCell ref="D60:F60"/>
    <mergeCell ref="B61:C61"/>
    <mergeCell ref="D61:F61"/>
    <mergeCell ref="C69:F69"/>
    <mergeCell ref="B70:F70"/>
    <mergeCell ref="B64:F64"/>
    <mergeCell ref="B65:D65"/>
    <mergeCell ref="E65:F65"/>
    <mergeCell ref="B66:D66"/>
    <mergeCell ref="E66:F66"/>
    <mergeCell ref="B68:F68"/>
  </mergeCells>
  <conditionalFormatting sqref="B65">
    <cfRule type="expression" dxfId="59" priority="6">
      <formula>IF($I65 =TRUE,FALSE,TRUE)</formula>
    </cfRule>
  </conditionalFormatting>
  <conditionalFormatting sqref="B59:F60">
    <cfRule type="expression" dxfId="58" priority="1">
      <formula>IF($I$58=FALSE,TRUE,FALSE)</formula>
    </cfRule>
  </conditionalFormatting>
  <conditionalFormatting sqref="B61:F62">
    <cfRule type="expression" dxfId="57" priority="5">
      <formula>IF(OR($I$58=FALSE,$I$60=TRUE,$L$60=TRUE),TRUE,FALSE)</formula>
    </cfRule>
  </conditionalFormatting>
  <conditionalFormatting sqref="B66:F66">
    <cfRule type="expression" dxfId="56" priority="3">
      <formula>IF($I66 =TRUE,FALSE,TRUE)</formula>
    </cfRule>
  </conditionalFormatting>
  <conditionalFormatting sqref="B70:F70">
    <cfRule type="expression" dxfId="55" priority="7">
      <formula>IF($C$69="Claiming savings beyond the baseline building requirements",FALSE, TRUE)</formula>
    </cfRule>
  </conditionalFormatting>
  <conditionalFormatting sqref="E65">
    <cfRule type="expression" dxfId="54" priority="2">
      <formula>IF($I65 =TRUE,FALSE,TRUE)</formula>
    </cfRule>
  </conditionalFormatting>
  <conditionalFormatting sqref="F29">
    <cfRule type="expression" dxfId="53" priority="4">
      <formula>IF(RatingSystemSelection&lt;&gt;"LEED v4 BD+C: Multifamily Midrise",TRUE,FALSE)</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4D355-248A-41D4-ABBE-C2AC147F7BBA}">
  <sheetPr codeName="Sheet6">
    <tabColor rgb="FFFFC000"/>
  </sheetPr>
  <dimension ref="A1:V92"/>
  <sheetViews>
    <sheetView workbookViewId="0"/>
  </sheetViews>
  <sheetFormatPr defaultRowHeight="14.4" x14ac:dyDescent="0.3"/>
  <sheetData>
    <row r="1" spans="1:22" x14ac:dyDescent="0.3">
      <c r="A1" s="1296" t="s">
        <v>786</v>
      </c>
      <c r="B1" s="1225"/>
      <c r="C1" s="1225"/>
      <c r="D1" s="1225"/>
      <c r="E1" s="1225"/>
      <c r="F1" s="1225"/>
      <c r="G1" s="1224"/>
      <c r="H1" s="1225"/>
      <c r="I1" s="1224"/>
      <c r="J1" s="1224"/>
      <c r="K1" s="1225"/>
      <c r="L1" s="1225"/>
      <c r="M1" s="1225"/>
      <c r="N1" s="1225"/>
      <c r="O1" s="1225"/>
      <c r="P1" s="1225"/>
      <c r="Q1" s="1225"/>
      <c r="R1" s="1225"/>
      <c r="S1" s="1225"/>
      <c r="T1" s="1225"/>
      <c r="U1" s="1225"/>
      <c r="V1" s="1297"/>
    </row>
    <row r="2" spans="1:22" ht="25.2" x14ac:dyDescent="0.3">
      <c r="A2" s="1296" t="s">
        <v>786</v>
      </c>
      <c r="B2" s="1228" t="s">
        <v>1180</v>
      </c>
      <c r="C2" s="1228"/>
      <c r="D2" s="1228"/>
      <c r="E2" s="1228"/>
      <c r="F2" s="1228"/>
      <c r="G2" s="1228"/>
      <c r="H2" s="1228"/>
      <c r="I2" s="1228"/>
      <c r="J2" s="1228"/>
      <c r="K2" s="1228"/>
      <c r="L2" s="1228"/>
      <c r="M2" s="1228"/>
      <c r="N2" s="1228"/>
      <c r="O2" s="1228"/>
      <c r="P2" s="1228"/>
      <c r="Q2" s="1228"/>
      <c r="R2" s="1228"/>
      <c r="S2" s="1228"/>
      <c r="T2" s="1228"/>
      <c r="U2" s="1228"/>
      <c r="V2" s="1297"/>
    </row>
    <row r="3" spans="1:22" x14ac:dyDescent="0.3">
      <c r="A3" s="1296" t="s">
        <v>786</v>
      </c>
      <c r="B3" s="1225"/>
      <c r="C3" s="1225"/>
      <c r="D3" s="1225"/>
      <c r="E3" s="1225"/>
      <c r="F3" s="1225"/>
      <c r="G3" s="1224"/>
      <c r="H3" s="1225"/>
      <c r="I3" s="1224"/>
      <c r="J3" s="1224"/>
      <c r="K3" s="1225"/>
      <c r="L3" s="1225"/>
      <c r="M3" s="1225"/>
      <c r="N3" s="1225"/>
      <c r="O3" s="1225"/>
      <c r="P3" s="1225"/>
      <c r="Q3" s="1225"/>
      <c r="R3" s="1225"/>
      <c r="S3" s="1225"/>
      <c r="T3" s="1225"/>
      <c r="U3" s="1225"/>
      <c r="V3" s="1297"/>
    </row>
    <row r="4" spans="1:22" x14ac:dyDescent="0.3">
      <c r="A4" s="1298" t="s">
        <v>786</v>
      </c>
      <c r="B4" s="1299"/>
      <c r="C4" s="1299"/>
      <c r="D4" s="1299"/>
      <c r="E4" s="1299"/>
      <c r="F4" s="1299"/>
      <c r="G4" s="1299"/>
      <c r="H4" s="1299"/>
      <c r="I4" s="1299"/>
      <c r="J4" s="1299"/>
      <c r="K4" s="1299"/>
      <c r="L4" s="1299"/>
      <c r="M4" s="1299"/>
      <c r="N4" s="1299"/>
      <c r="O4" s="1299"/>
      <c r="P4" s="1299"/>
      <c r="Q4" s="1299"/>
      <c r="R4" s="1297"/>
      <c r="S4" s="1297"/>
      <c r="T4" s="1297"/>
      <c r="U4" s="1297"/>
      <c r="V4" s="1297"/>
    </row>
    <row r="5" spans="1:22" x14ac:dyDescent="0.3">
      <c r="A5" s="1298" t="s">
        <v>786</v>
      </c>
      <c r="B5" s="1300" t="s">
        <v>1181</v>
      </c>
      <c r="C5" s="1300"/>
      <c r="D5" s="1301"/>
      <c r="E5" s="1301"/>
      <c r="F5" s="1301"/>
      <c r="G5" s="1301"/>
      <c r="H5" s="1301"/>
      <c r="I5" s="1301"/>
      <c r="J5" s="1301"/>
      <c r="K5" s="1301"/>
      <c r="L5" s="1301"/>
      <c r="M5" s="1301"/>
      <c r="N5" s="1301"/>
      <c r="O5" s="1301"/>
      <c r="P5" s="1301"/>
      <c r="Q5" s="1301"/>
      <c r="R5" s="1302"/>
      <c r="S5" s="1302"/>
      <c r="T5" s="1302"/>
      <c r="U5" s="1302"/>
      <c r="V5" s="1302"/>
    </row>
    <row r="6" spans="1:22" x14ac:dyDescent="0.3">
      <c r="A6" s="1298" t="s">
        <v>786</v>
      </c>
      <c r="B6" s="1301"/>
      <c r="C6" s="1301"/>
      <c r="D6" s="1301"/>
      <c r="E6" s="1301"/>
      <c r="F6" s="1301"/>
      <c r="G6" s="1301"/>
      <c r="H6" s="1301"/>
      <c r="I6" s="1301"/>
      <c r="J6" s="1301"/>
      <c r="K6" s="1301"/>
      <c r="L6" s="1301"/>
      <c r="M6" s="1301"/>
      <c r="N6" s="1301"/>
      <c r="O6" s="1301"/>
      <c r="P6" s="1301"/>
      <c r="Q6" s="1301"/>
      <c r="R6" s="1297"/>
      <c r="S6" s="1297"/>
      <c r="T6" s="1297"/>
      <c r="U6" s="1297"/>
      <c r="V6" s="1297"/>
    </row>
    <row r="7" spans="1:22" ht="15.6" x14ac:dyDescent="0.3">
      <c r="A7" s="1298" t="s">
        <v>786</v>
      </c>
      <c r="B7" s="1303" t="s">
        <v>1182</v>
      </c>
      <c r="C7" s="1303"/>
      <c r="D7" s="1301"/>
      <c r="E7" s="1301"/>
      <c r="F7" s="1301"/>
      <c r="G7" s="1301"/>
      <c r="H7" s="1301"/>
      <c r="I7" s="1301"/>
      <c r="J7" s="1301"/>
      <c r="K7" s="1301"/>
      <c r="L7" s="1301"/>
      <c r="M7" s="1301"/>
      <c r="N7" s="1301"/>
      <c r="O7" s="1301"/>
      <c r="P7" s="1301"/>
      <c r="Q7" s="1301"/>
      <c r="R7" s="1297"/>
      <c r="S7" s="1297"/>
      <c r="T7" s="1297"/>
      <c r="U7" s="1297"/>
      <c r="V7" s="1297"/>
    </row>
    <row r="8" spans="1:22" x14ac:dyDescent="0.3">
      <c r="A8" s="1298" t="s">
        <v>786</v>
      </c>
      <c r="B8" s="1299"/>
      <c r="C8" s="1299"/>
      <c r="D8" s="1299"/>
      <c r="E8" s="1299"/>
      <c r="F8" s="1299"/>
      <c r="G8" s="1299"/>
      <c r="H8" s="1299"/>
      <c r="I8" s="1299"/>
      <c r="J8" s="1299"/>
      <c r="K8" s="1299"/>
      <c r="L8" s="1299"/>
      <c r="M8" s="1299"/>
      <c r="N8" s="1299"/>
      <c r="O8" s="1299"/>
      <c r="P8" s="1299"/>
      <c r="Q8" s="1299"/>
      <c r="R8" s="1297"/>
      <c r="S8" s="1297"/>
      <c r="T8" s="1297"/>
      <c r="U8" s="1297"/>
      <c r="V8" s="1297"/>
    </row>
    <row r="9" spans="1:22" x14ac:dyDescent="0.3">
      <c r="A9" s="1304" t="s">
        <v>786</v>
      </c>
      <c r="B9" s="2552" t="s">
        <v>1183</v>
      </c>
      <c r="C9" s="2553"/>
      <c r="D9" s="2550" t="s">
        <v>123</v>
      </c>
      <c r="E9" s="2551"/>
      <c r="F9" s="2550" t="s">
        <v>1184</v>
      </c>
      <c r="G9" s="2551"/>
      <c r="H9" s="2550" t="s">
        <v>1185</v>
      </c>
      <c r="I9" s="2551"/>
      <c r="J9" s="2550" t="s">
        <v>1186</v>
      </c>
      <c r="K9" s="2551"/>
      <c r="L9" s="2550" t="s">
        <v>1187</v>
      </c>
      <c r="M9" s="2551"/>
      <c r="N9" s="2550" t="s">
        <v>1188</v>
      </c>
      <c r="O9" s="2551"/>
      <c r="P9" s="2550" t="s">
        <v>1189</v>
      </c>
      <c r="Q9" s="2551"/>
      <c r="R9" s="2550" t="s">
        <v>1190</v>
      </c>
      <c r="S9" s="2551"/>
      <c r="T9" s="2550" t="s">
        <v>1191</v>
      </c>
      <c r="U9" s="2551"/>
      <c r="V9" s="1297"/>
    </row>
    <row r="10" spans="1:22" ht="52.8" x14ac:dyDescent="0.3">
      <c r="A10" s="1304" t="s">
        <v>786</v>
      </c>
      <c r="B10" s="2554"/>
      <c r="C10" s="2555"/>
      <c r="D10" s="1305" t="s">
        <v>97</v>
      </c>
      <c r="E10" s="1306" t="s">
        <v>1192</v>
      </c>
      <c r="F10" s="1305" t="s">
        <v>97</v>
      </c>
      <c r="G10" s="1306" t="s">
        <v>1192</v>
      </c>
      <c r="H10" s="1305" t="s">
        <v>97</v>
      </c>
      <c r="I10" s="1306" t="s">
        <v>1192</v>
      </c>
      <c r="J10" s="1305" t="s">
        <v>97</v>
      </c>
      <c r="K10" s="1306" t="s">
        <v>1192</v>
      </c>
      <c r="L10" s="1305" t="s">
        <v>97</v>
      </c>
      <c r="M10" s="1306" t="s">
        <v>1192</v>
      </c>
      <c r="N10" s="1305" t="s">
        <v>97</v>
      </c>
      <c r="O10" s="1306" t="s">
        <v>1192</v>
      </c>
      <c r="P10" s="1305" t="s">
        <v>97</v>
      </c>
      <c r="Q10" s="1306" t="s">
        <v>1192</v>
      </c>
      <c r="R10" s="1305" t="s">
        <v>97</v>
      </c>
      <c r="S10" s="1306" t="s">
        <v>1192</v>
      </c>
      <c r="T10" s="1305" t="s">
        <v>97</v>
      </c>
      <c r="U10" s="1306" t="s">
        <v>1192</v>
      </c>
      <c r="V10" s="1297"/>
    </row>
    <row r="11" spans="1:22" ht="26.4" x14ac:dyDescent="0.3">
      <c r="A11" s="1304" t="s">
        <v>786</v>
      </c>
      <c r="B11" s="1307" t="s">
        <v>1183</v>
      </c>
      <c r="C11" s="1307"/>
      <c r="D11" s="1307" t="s">
        <v>1193</v>
      </c>
      <c r="E11" s="1307" t="s">
        <v>1194</v>
      </c>
      <c r="F11" s="1307" t="s">
        <v>1195</v>
      </c>
      <c r="G11" s="1307" t="s">
        <v>1196</v>
      </c>
      <c r="H11" s="1307" t="s">
        <v>1197</v>
      </c>
      <c r="I11" s="1308" t="s">
        <v>1198</v>
      </c>
      <c r="J11" s="1307" t="s">
        <v>1199</v>
      </c>
      <c r="K11" s="1307" t="s">
        <v>1200</v>
      </c>
      <c r="L11" s="1307" t="s">
        <v>1201</v>
      </c>
      <c r="M11" s="1307" t="s">
        <v>1202</v>
      </c>
      <c r="N11" s="1307" t="s">
        <v>1203</v>
      </c>
      <c r="O11" s="1307" t="s">
        <v>1204</v>
      </c>
      <c r="P11" s="1307" t="s">
        <v>1205</v>
      </c>
      <c r="Q11" s="1307" t="s">
        <v>1206</v>
      </c>
      <c r="R11" s="1307" t="s">
        <v>1207</v>
      </c>
      <c r="S11" s="1307" t="s">
        <v>1208</v>
      </c>
      <c r="T11" s="1307" t="s">
        <v>1209</v>
      </c>
      <c r="U11" s="1309" t="s">
        <v>1210</v>
      </c>
      <c r="V11" s="1297"/>
    </row>
    <row r="12" spans="1:22" x14ac:dyDescent="0.3">
      <c r="A12" s="1310" t="s">
        <v>786</v>
      </c>
      <c r="B12" s="1311" t="s">
        <v>1136</v>
      </c>
      <c r="C12" s="1312"/>
      <c r="D12" s="1478">
        <f>VLOOKUP(D9,Unit_Sum!$E$86:$G$92,3,FALSE)</f>
        <v>0</v>
      </c>
      <c r="E12" s="1478" t="str">
        <f>VLOOKUP(D9,Unit_Sum!$E$86:$G$92,2,FALSE)</f>
        <v>-</v>
      </c>
      <c r="F12" s="1478">
        <f>VLOOKUP(F9,Unit_Sum!$E$86:$G$92,3,FALSE)</f>
        <v>23</v>
      </c>
      <c r="G12" s="1478">
        <f>VLOOKUP(F9,Unit_Sum!$E$86:$G$92,2,FALSE)</f>
        <v>640.3478260869565</v>
      </c>
      <c r="H12" s="1478">
        <f>VLOOKUP(H9,Unit_Sum!$E$86:$G$92,3,FALSE)</f>
        <v>48</v>
      </c>
      <c r="I12" s="1478">
        <f>VLOOKUP(H9,Unit_Sum!$E$86:$G$92,2,FALSE)</f>
        <v>890.875</v>
      </c>
      <c r="J12" s="1478"/>
      <c r="K12" s="1478"/>
      <c r="L12" s="1478"/>
      <c r="M12" s="1478"/>
      <c r="N12" s="1478"/>
      <c r="O12" s="1478"/>
      <c r="P12" s="1478"/>
      <c r="Q12" s="1478"/>
      <c r="R12" s="1478"/>
      <c r="S12" s="1478"/>
      <c r="T12" s="1478"/>
      <c r="U12" s="1478"/>
      <c r="V12" s="1297"/>
    </row>
    <row r="13" spans="1:22" x14ac:dyDescent="0.3">
      <c r="A13" s="1310" t="s">
        <v>786</v>
      </c>
      <c r="B13" s="2543" t="s">
        <v>1211</v>
      </c>
      <c r="C13" s="2544"/>
      <c r="D13" s="2544"/>
      <c r="E13" s="2544"/>
      <c r="F13" s="2544"/>
      <c r="G13" s="2544"/>
      <c r="H13" s="2544"/>
      <c r="I13" s="2544"/>
      <c r="J13" s="2544"/>
      <c r="K13" s="2544"/>
      <c r="L13" s="2544"/>
      <c r="M13" s="2544"/>
      <c r="N13" s="2544"/>
      <c r="O13" s="2544"/>
      <c r="P13" s="2544"/>
      <c r="Q13" s="2544"/>
      <c r="R13" s="2544"/>
      <c r="S13" s="2545"/>
      <c r="T13" s="1313"/>
      <c r="U13" s="1314">
        <v>0</v>
      </c>
      <c r="V13" s="1315"/>
    </row>
    <row r="14" spans="1:22" x14ac:dyDescent="0.3">
      <c r="A14" s="1310" t="s">
        <v>786</v>
      </c>
      <c r="B14" s="2543" t="s">
        <v>1212</v>
      </c>
      <c r="C14" s="2544"/>
      <c r="D14" s="2544"/>
      <c r="E14" s="2544"/>
      <c r="F14" s="2544"/>
      <c r="G14" s="2544"/>
      <c r="H14" s="2544"/>
      <c r="I14" s="2544"/>
      <c r="J14" s="2544"/>
      <c r="K14" s="2544"/>
      <c r="L14" s="2544"/>
      <c r="M14" s="2544"/>
      <c r="N14" s="2544"/>
      <c r="O14" s="2544"/>
      <c r="P14" s="2544"/>
      <c r="Q14" s="2544"/>
      <c r="R14" s="2544"/>
      <c r="S14" s="2545"/>
      <c r="T14" s="1316"/>
      <c r="U14" s="1317">
        <v>0</v>
      </c>
      <c r="V14" s="1315"/>
    </row>
    <row r="15" spans="1:22" x14ac:dyDescent="0.3">
      <c r="A15" s="1310" t="s">
        <v>786</v>
      </c>
      <c r="B15" s="2543" t="s">
        <v>1213</v>
      </c>
      <c r="C15" s="2544"/>
      <c r="D15" s="2544"/>
      <c r="E15" s="2544"/>
      <c r="F15" s="2544"/>
      <c r="G15" s="2544"/>
      <c r="H15" s="2544"/>
      <c r="I15" s="2544"/>
      <c r="J15" s="2544"/>
      <c r="K15" s="2544"/>
      <c r="L15" s="2544"/>
      <c r="M15" s="2544"/>
      <c r="N15" s="2544"/>
      <c r="O15" s="2544"/>
      <c r="P15" s="2544"/>
      <c r="Q15" s="2544"/>
      <c r="R15" s="2544"/>
      <c r="S15" s="2545"/>
      <c r="T15" s="1316"/>
      <c r="U15" s="1317">
        <v>0</v>
      </c>
      <c r="V15" s="1297"/>
    </row>
    <row r="16" spans="1:22" x14ac:dyDescent="0.3">
      <c r="A16" s="1310" t="s">
        <v>786</v>
      </c>
      <c r="B16" s="2543" t="s">
        <v>1214</v>
      </c>
      <c r="C16" s="2544"/>
      <c r="D16" s="2544"/>
      <c r="E16" s="2544"/>
      <c r="F16" s="2544"/>
      <c r="G16" s="2544"/>
      <c r="H16" s="2544"/>
      <c r="I16" s="2544"/>
      <c r="J16" s="2544"/>
      <c r="K16" s="2544"/>
      <c r="L16" s="2544"/>
      <c r="M16" s="2544"/>
      <c r="N16" s="2544"/>
      <c r="O16" s="2544"/>
      <c r="P16" s="2544"/>
      <c r="Q16" s="2544"/>
      <c r="R16" s="2544"/>
      <c r="S16" s="2546"/>
      <c r="T16" s="1318"/>
      <c r="U16" s="1319">
        <v>0</v>
      </c>
      <c r="V16" s="1297"/>
    </row>
    <row r="17" spans="1:22" x14ac:dyDescent="0.3">
      <c r="A17" s="1310" t="s">
        <v>786</v>
      </c>
      <c r="B17" s="2543" t="s">
        <v>1215</v>
      </c>
      <c r="C17" s="2544"/>
      <c r="D17" s="2544"/>
      <c r="E17" s="2544"/>
      <c r="F17" s="2544"/>
      <c r="G17" s="2544"/>
      <c r="H17" s="2544"/>
      <c r="I17" s="2544"/>
      <c r="J17" s="2544"/>
      <c r="K17" s="2544"/>
      <c r="L17" s="2544"/>
      <c r="M17" s="2544"/>
      <c r="N17" s="2544"/>
      <c r="O17" s="2544"/>
      <c r="P17" s="2544"/>
      <c r="Q17" s="2544"/>
      <c r="R17" s="2544"/>
      <c r="S17" s="2546"/>
      <c r="T17" s="1318"/>
      <c r="U17" s="1317">
        <v>0</v>
      </c>
      <c r="V17" s="1297"/>
    </row>
    <row r="18" spans="1:22" x14ac:dyDescent="0.3">
      <c r="A18" s="1310" t="s">
        <v>786</v>
      </c>
      <c r="B18" s="2543" t="s">
        <v>1216</v>
      </c>
      <c r="C18" s="2544"/>
      <c r="D18" s="2544"/>
      <c r="E18" s="2544"/>
      <c r="F18" s="2544"/>
      <c r="G18" s="2544"/>
      <c r="H18" s="2544"/>
      <c r="I18" s="2544"/>
      <c r="J18" s="2544"/>
      <c r="K18" s="2544"/>
      <c r="L18" s="2544"/>
      <c r="M18" s="2544"/>
      <c r="N18" s="2544"/>
      <c r="O18" s="2544"/>
      <c r="P18" s="2544"/>
      <c r="Q18" s="2544"/>
      <c r="R18" s="2544"/>
      <c r="S18" s="2546"/>
      <c r="T18" s="1318"/>
      <c r="U18" s="1317">
        <v>0</v>
      </c>
      <c r="V18" s="1297"/>
    </row>
    <row r="19" spans="1:22" x14ac:dyDescent="0.3">
      <c r="A19" s="1310" t="s">
        <v>786</v>
      </c>
      <c r="B19" s="2543" t="s">
        <v>1217</v>
      </c>
      <c r="C19" s="2544"/>
      <c r="D19" s="2544"/>
      <c r="E19" s="2544"/>
      <c r="F19" s="2544"/>
      <c r="G19" s="2544"/>
      <c r="H19" s="2544"/>
      <c r="I19" s="2544"/>
      <c r="J19" s="2544"/>
      <c r="K19" s="2544"/>
      <c r="L19" s="2544"/>
      <c r="M19" s="2544"/>
      <c r="N19" s="2544"/>
      <c r="O19" s="2544"/>
      <c r="P19" s="2544"/>
      <c r="Q19" s="2544"/>
      <c r="R19" s="2544"/>
      <c r="S19" s="2546"/>
      <c r="T19" s="1318"/>
      <c r="U19" s="1317">
        <v>0</v>
      </c>
      <c r="V19" s="1297"/>
    </row>
    <row r="20" spans="1:22" x14ac:dyDescent="0.3">
      <c r="A20" s="1310" t="s">
        <v>786</v>
      </c>
      <c r="B20" s="1297"/>
      <c r="C20" s="1297"/>
      <c r="D20" s="1297"/>
      <c r="E20" s="1297"/>
      <c r="F20" s="1297"/>
      <c r="G20" s="1297"/>
      <c r="H20" s="1297"/>
      <c r="I20" s="1297"/>
      <c r="J20" s="1297"/>
      <c r="K20" s="1297"/>
      <c r="L20" s="1297"/>
      <c r="M20" s="1297"/>
      <c r="N20" s="1297"/>
      <c r="O20" s="1297"/>
      <c r="P20" s="1297"/>
      <c r="Q20" s="1297"/>
      <c r="R20" s="1297"/>
      <c r="S20" s="1297"/>
      <c r="T20" s="1297"/>
      <c r="U20" s="1297"/>
      <c r="V20" s="1297"/>
    </row>
    <row r="21" spans="1:22" ht="26.4" x14ac:dyDescent="0.3">
      <c r="A21" s="1310" t="s">
        <v>786</v>
      </c>
      <c r="B21" s="1320" t="s">
        <v>1183</v>
      </c>
      <c r="C21" s="1321"/>
      <c r="D21" s="1321" t="s">
        <v>1218</v>
      </c>
      <c r="E21" s="1322"/>
      <c r="F21" s="1321" t="s">
        <v>1219</v>
      </c>
      <c r="G21" s="1322"/>
      <c r="H21" s="1321" t="s">
        <v>1213</v>
      </c>
      <c r="I21" s="1323"/>
      <c r="J21" s="1322"/>
      <c r="K21" s="1321" t="s">
        <v>1214</v>
      </c>
      <c r="L21" s="1323"/>
      <c r="M21" s="1322"/>
      <c r="N21" s="1321" t="s">
        <v>1220</v>
      </c>
      <c r="O21" s="1323"/>
      <c r="P21" s="1322"/>
      <c r="Q21" s="2547" t="s">
        <v>1216</v>
      </c>
      <c r="R21" s="2548"/>
      <c r="S21" s="2548"/>
      <c r="T21" s="2548"/>
      <c r="U21" s="2549"/>
      <c r="V21" s="1297"/>
    </row>
    <row r="22" spans="1:22" x14ac:dyDescent="0.3">
      <c r="A22" s="1310" t="s">
        <v>786</v>
      </c>
      <c r="B22" s="1324" t="s">
        <v>1136</v>
      </c>
      <c r="C22" s="1325"/>
      <c r="D22" s="1325">
        <v>0</v>
      </c>
      <c r="E22" s="1326"/>
      <c r="F22" s="1325">
        <v>0</v>
      </c>
      <c r="G22" s="1326"/>
      <c r="H22" s="1327">
        <v>0</v>
      </c>
      <c r="I22" s="1328"/>
      <c r="J22" s="1329"/>
      <c r="K22" s="1330">
        <v>0</v>
      </c>
      <c r="L22" s="1331"/>
      <c r="M22" s="1326"/>
      <c r="N22" s="1327">
        <v>0</v>
      </c>
      <c r="O22" s="1328"/>
      <c r="P22" s="1329"/>
      <c r="Q22" s="1327">
        <v>0</v>
      </c>
      <c r="R22" s="1328"/>
      <c r="S22" s="1328"/>
      <c r="T22" s="1328"/>
      <c r="U22" s="1329"/>
      <c r="V22" s="1297"/>
    </row>
    <row r="23" spans="1:22" x14ac:dyDescent="0.3">
      <c r="A23" s="1310" t="s">
        <v>786</v>
      </c>
      <c r="B23" s="1297"/>
      <c r="C23" s="1297"/>
      <c r="D23" s="1297"/>
      <c r="E23" s="1297"/>
      <c r="F23" s="1297"/>
      <c r="G23" s="1297"/>
      <c r="H23" s="1297"/>
      <c r="I23" s="1297"/>
      <c r="J23" s="1297"/>
      <c r="K23" s="1297"/>
      <c r="L23" s="1297"/>
      <c r="M23" s="1297"/>
      <c r="N23" s="1297"/>
      <c r="O23" s="1297"/>
      <c r="P23" s="1297"/>
      <c r="Q23" s="1297"/>
      <c r="R23" s="1332"/>
      <c r="S23" s="1332"/>
      <c r="T23" s="1297"/>
      <c r="U23" s="1297"/>
      <c r="V23" s="1297"/>
    </row>
    <row r="24" spans="1:22" ht="15.6" x14ac:dyDescent="0.3">
      <c r="A24" s="1310" t="s">
        <v>786</v>
      </c>
      <c r="B24" s="1249" t="s">
        <v>1221</v>
      </c>
      <c r="C24" s="1249"/>
      <c r="D24" s="1332"/>
      <c r="E24" s="1333"/>
      <c r="F24" s="1297"/>
      <c r="G24" s="1297"/>
      <c r="H24" s="1297"/>
      <c r="I24" s="1297"/>
      <c r="J24" s="1297"/>
      <c r="K24" s="1297"/>
      <c r="L24" s="1297"/>
      <c r="M24" s="1297"/>
      <c r="N24" s="1297"/>
      <c r="O24" s="1297"/>
      <c r="P24" s="1297"/>
      <c r="Q24" s="1297"/>
      <c r="R24" s="1297"/>
      <c r="S24" s="1297"/>
      <c r="T24" s="1297"/>
      <c r="U24" s="1297"/>
      <c r="V24" s="1297"/>
    </row>
    <row r="25" spans="1:22" x14ac:dyDescent="0.3">
      <c r="A25" s="1310" t="s">
        <v>786</v>
      </c>
      <c r="B25" s="1297"/>
      <c r="C25" s="1297"/>
      <c r="D25" s="1297"/>
      <c r="E25" s="1297"/>
      <c r="F25" s="1297"/>
      <c r="G25" s="1297"/>
      <c r="H25" s="1297"/>
      <c r="I25" s="1297"/>
      <c r="J25" s="1297"/>
      <c r="K25" s="1334"/>
      <c r="L25" s="1297"/>
      <c r="M25" s="1297"/>
      <c r="N25" s="1297"/>
      <c r="O25" s="1297"/>
      <c r="P25" s="1297"/>
      <c r="Q25" s="1297"/>
      <c r="R25" s="1297"/>
      <c r="S25" s="1297"/>
      <c r="T25" s="1297"/>
      <c r="U25" s="1297"/>
      <c r="V25" s="1297"/>
    </row>
    <row r="26" spans="1:22" x14ac:dyDescent="0.3">
      <c r="A26" s="1310" t="s">
        <v>786</v>
      </c>
      <c r="B26" s="2536" t="s">
        <v>1222</v>
      </c>
      <c r="C26" s="2536"/>
      <c r="D26" s="2536"/>
      <c r="E26" s="2536"/>
      <c r="F26" s="2536"/>
      <c r="G26" s="2536"/>
      <c r="H26" s="2536"/>
      <c r="I26" s="2536"/>
      <c r="J26" s="2536"/>
      <c r="K26" s="2536"/>
      <c r="L26" s="2536"/>
      <c r="M26" s="2536"/>
      <c r="N26" s="2536"/>
      <c r="O26" s="2536"/>
      <c r="P26" s="2536"/>
      <c r="Q26" s="2536"/>
      <c r="R26" s="2536"/>
      <c r="S26" s="2536"/>
      <c r="T26" s="2536"/>
      <c r="U26" s="2536"/>
      <c r="V26" s="1297"/>
    </row>
    <row r="27" spans="1:22" x14ac:dyDescent="0.3">
      <c r="A27" s="1310" t="s">
        <v>786</v>
      </c>
      <c r="B27" s="1297"/>
      <c r="C27" s="1297"/>
      <c r="D27" s="1297"/>
      <c r="E27" s="1297"/>
      <c r="F27" s="1297"/>
      <c r="G27" s="1297"/>
      <c r="H27" s="1297"/>
      <c r="I27" s="1297"/>
      <c r="J27" s="1297"/>
      <c r="K27" s="1334"/>
      <c r="L27" s="1297"/>
      <c r="M27" s="1297"/>
      <c r="N27" s="1297"/>
      <c r="O27" s="1297"/>
      <c r="P27" s="1297"/>
      <c r="Q27" s="1297"/>
      <c r="R27" s="1297"/>
      <c r="S27" s="1297"/>
      <c r="T27" s="1297"/>
      <c r="U27" s="1297"/>
      <c r="V27" s="1297"/>
    </row>
    <row r="28" spans="1:22" x14ac:dyDescent="0.3">
      <c r="A28" s="1310" t="s">
        <v>786</v>
      </c>
      <c r="B28" s="2473" t="s">
        <v>1183</v>
      </c>
      <c r="C28" s="2475" t="s">
        <v>1223</v>
      </c>
      <c r="D28" s="2475" t="s">
        <v>1224</v>
      </c>
      <c r="E28" s="2475" t="s">
        <v>1225</v>
      </c>
      <c r="F28" s="2475" t="s">
        <v>1226</v>
      </c>
      <c r="G28" s="2537"/>
      <c r="H28" s="1335" t="s">
        <v>1227</v>
      </c>
      <c r="I28" s="1336"/>
      <c r="J28" s="1336"/>
      <c r="K28" s="1337"/>
      <c r="L28" s="1338"/>
      <c r="M28" s="1335" t="s">
        <v>1228</v>
      </c>
      <c r="N28" s="1336"/>
      <c r="O28" s="1336"/>
      <c r="P28" s="1337"/>
      <c r="Q28" s="1338"/>
      <c r="R28" s="1339" t="s">
        <v>1229</v>
      </c>
      <c r="S28" s="1340"/>
      <c r="T28" s="1340"/>
      <c r="U28" s="1341"/>
      <c r="V28" s="1297"/>
    </row>
    <row r="29" spans="1:22" x14ac:dyDescent="0.3">
      <c r="A29" s="1310" t="s">
        <v>786</v>
      </c>
      <c r="B29" s="2473"/>
      <c r="C29" s="2475"/>
      <c r="D29" s="2475"/>
      <c r="E29" s="2475"/>
      <c r="F29" s="2475"/>
      <c r="G29" s="2537"/>
      <c r="H29" s="2523" t="s">
        <v>1230</v>
      </c>
      <c r="I29" s="2524"/>
      <c r="J29" s="2525" t="s">
        <v>1231</v>
      </c>
      <c r="K29" s="2527" t="s">
        <v>1232</v>
      </c>
      <c r="L29" s="2521"/>
      <c r="M29" s="2523" t="s">
        <v>1233</v>
      </c>
      <c r="N29" s="2524"/>
      <c r="O29" s="2525" t="s">
        <v>1231</v>
      </c>
      <c r="P29" s="2527" t="s">
        <v>1232</v>
      </c>
      <c r="Q29" s="2521"/>
      <c r="R29" s="2523" t="s">
        <v>1234</v>
      </c>
      <c r="S29" s="2538" t="s">
        <v>1235</v>
      </c>
      <c r="T29" s="2524" t="s">
        <v>1236</v>
      </c>
      <c r="U29" s="2541" t="s">
        <v>1237</v>
      </c>
      <c r="V29" s="1297"/>
    </row>
    <row r="30" spans="1:22" x14ac:dyDescent="0.3">
      <c r="A30" s="1310" t="s">
        <v>786</v>
      </c>
      <c r="B30" s="2473"/>
      <c r="C30" s="2475"/>
      <c r="D30" s="2475"/>
      <c r="E30" s="2475"/>
      <c r="F30" s="2475"/>
      <c r="G30" s="2537"/>
      <c r="H30" s="1342" t="s">
        <v>47</v>
      </c>
      <c r="I30" s="1343" t="s">
        <v>81</v>
      </c>
      <c r="J30" s="2526"/>
      <c r="K30" s="2528"/>
      <c r="L30" s="2522"/>
      <c r="M30" s="1342" t="s">
        <v>47</v>
      </c>
      <c r="N30" s="1343" t="s">
        <v>81</v>
      </c>
      <c r="O30" s="2526"/>
      <c r="P30" s="2528"/>
      <c r="Q30" s="2522"/>
      <c r="R30" s="2529"/>
      <c r="S30" s="2539"/>
      <c r="T30" s="2540"/>
      <c r="U30" s="2542"/>
      <c r="V30" s="1297"/>
    </row>
    <row r="31" spans="1:22" ht="52.8" x14ac:dyDescent="0.3">
      <c r="A31" s="1310" t="s">
        <v>786</v>
      </c>
      <c r="B31" s="1344" t="s">
        <v>1183</v>
      </c>
      <c r="C31" s="1344" t="s">
        <v>1238</v>
      </c>
      <c r="D31" s="1344" t="s">
        <v>97</v>
      </c>
      <c r="E31" s="1344" t="s">
        <v>1239</v>
      </c>
      <c r="F31" s="1345" t="s">
        <v>1240</v>
      </c>
      <c r="G31" s="1346" t="s">
        <v>1241</v>
      </c>
      <c r="H31" s="1347" t="s">
        <v>1242</v>
      </c>
      <c r="I31" s="1347" t="s">
        <v>1243</v>
      </c>
      <c r="J31" s="1348" t="s">
        <v>1244</v>
      </c>
      <c r="K31" s="1348" t="s">
        <v>1245</v>
      </c>
      <c r="L31" s="1348" t="s">
        <v>1246</v>
      </c>
      <c r="M31" s="1347" t="s">
        <v>1247</v>
      </c>
      <c r="N31" s="1347" t="s">
        <v>1248</v>
      </c>
      <c r="O31" s="1348" t="s">
        <v>1249</v>
      </c>
      <c r="P31" s="1348" t="s">
        <v>1250</v>
      </c>
      <c r="Q31" s="1348" t="s">
        <v>1251</v>
      </c>
      <c r="R31" s="1348" t="s">
        <v>1252</v>
      </c>
      <c r="S31" s="1348" t="s">
        <v>1253</v>
      </c>
      <c r="T31" s="1348" t="s">
        <v>1254</v>
      </c>
      <c r="U31" s="1348" t="s">
        <v>1255</v>
      </c>
      <c r="V31" s="1297"/>
    </row>
    <row r="32" spans="1:22" x14ac:dyDescent="0.3">
      <c r="A32" s="1310" t="s">
        <v>67</v>
      </c>
      <c r="B32" s="1349" t="s">
        <v>1136</v>
      </c>
      <c r="C32" s="1350"/>
      <c r="D32" s="1351"/>
      <c r="E32" s="1351"/>
      <c r="F32" s="1352">
        <v>0</v>
      </c>
      <c r="G32" s="1353"/>
      <c r="H32" s="1354" t="s">
        <v>694</v>
      </c>
      <c r="I32" s="1354" t="s">
        <v>694</v>
      </c>
      <c r="J32" s="1355" t="s">
        <v>694</v>
      </c>
      <c r="K32" s="1355" t="s">
        <v>694</v>
      </c>
      <c r="L32" s="1356"/>
      <c r="M32" s="1357" t="s">
        <v>694</v>
      </c>
      <c r="N32" s="1358" t="s">
        <v>694</v>
      </c>
      <c r="O32" s="1359" t="s">
        <v>694</v>
      </c>
      <c r="P32" s="1359" t="s">
        <v>694</v>
      </c>
      <c r="Q32" s="1360"/>
      <c r="R32" s="1361" t="s">
        <v>694</v>
      </c>
      <c r="S32" s="1361" t="s">
        <v>694</v>
      </c>
      <c r="T32" s="1361" t="s">
        <v>694</v>
      </c>
      <c r="U32" s="1362" t="s">
        <v>694</v>
      </c>
      <c r="V32" s="1297"/>
    </row>
    <row r="33" spans="1:22" x14ac:dyDescent="0.3">
      <c r="A33" s="1310"/>
      <c r="B33" s="1363" t="s">
        <v>1136</v>
      </c>
      <c r="C33" s="1364"/>
      <c r="D33" s="1365"/>
      <c r="E33" s="1365"/>
      <c r="F33" s="1366">
        <v>0</v>
      </c>
      <c r="G33" s="1367"/>
      <c r="H33" s="1368" t="s">
        <v>694</v>
      </c>
      <c r="I33" s="1368" t="s">
        <v>694</v>
      </c>
      <c r="J33" s="1369" t="s">
        <v>694</v>
      </c>
      <c r="K33" s="1369" t="s">
        <v>694</v>
      </c>
      <c r="L33" s="1370"/>
      <c r="M33" s="1371" t="s">
        <v>694</v>
      </c>
      <c r="N33" s="1372" t="s">
        <v>694</v>
      </c>
      <c r="O33" s="1373" t="s">
        <v>694</v>
      </c>
      <c r="P33" s="1373" t="s">
        <v>694</v>
      </c>
      <c r="Q33" s="1374"/>
      <c r="R33" s="1375" t="s">
        <v>694</v>
      </c>
      <c r="S33" s="1375" t="s">
        <v>694</v>
      </c>
      <c r="T33" s="1376" t="s">
        <v>694</v>
      </c>
      <c r="U33" s="1377" t="s">
        <v>694</v>
      </c>
      <c r="V33" s="1297"/>
    </row>
    <row r="34" spans="1:22" x14ac:dyDescent="0.3">
      <c r="A34" s="1310"/>
      <c r="B34" s="1363" t="s">
        <v>1136</v>
      </c>
      <c r="C34" s="1378" t="s">
        <v>129</v>
      </c>
      <c r="D34" s="1365"/>
      <c r="E34" s="1365"/>
      <c r="F34" s="1366">
        <v>0</v>
      </c>
      <c r="G34" s="1367"/>
      <c r="H34" s="1368">
        <v>0</v>
      </c>
      <c r="I34" s="1368">
        <v>0</v>
      </c>
      <c r="J34" s="1369">
        <v>1</v>
      </c>
      <c r="K34" s="1369">
        <v>0</v>
      </c>
      <c r="L34" s="1370"/>
      <c r="M34" s="1371">
        <v>0</v>
      </c>
      <c r="N34" s="1372">
        <v>0</v>
      </c>
      <c r="O34" s="1373">
        <v>0</v>
      </c>
      <c r="P34" s="1373">
        <v>0</v>
      </c>
      <c r="Q34" s="1374"/>
      <c r="R34" s="1375">
        <v>0</v>
      </c>
      <c r="S34" s="1375">
        <v>0</v>
      </c>
      <c r="T34" s="1376">
        <v>0</v>
      </c>
      <c r="U34" s="1377">
        <v>0</v>
      </c>
      <c r="V34" s="1297"/>
    </row>
    <row r="35" spans="1:22" x14ac:dyDescent="0.3">
      <c r="A35" s="1310"/>
      <c r="B35" s="1379" t="s">
        <v>1136</v>
      </c>
      <c r="C35" s="1380"/>
      <c r="D35" s="1381"/>
      <c r="E35" s="1381"/>
      <c r="F35" s="1382">
        <v>0</v>
      </c>
      <c r="G35" s="1383"/>
      <c r="H35" s="1384" t="s">
        <v>694</v>
      </c>
      <c r="I35" s="1384" t="s">
        <v>694</v>
      </c>
      <c r="J35" s="1385" t="s">
        <v>694</v>
      </c>
      <c r="K35" s="1385" t="s">
        <v>694</v>
      </c>
      <c r="L35" s="1386"/>
      <c r="M35" s="1387" t="s">
        <v>694</v>
      </c>
      <c r="N35" s="1388" t="s">
        <v>694</v>
      </c>
      <c r="O35" s="1389" t="s">
        <v>694</v>
      </c>
      <c r="P35" s="1389" t="s">
        <v>694</v>
      </c>
      <c r="Q35" s="1390"/>
      <c r="R35" s="1391" t="s">
        <v>694</v>
      </c>
      <c r="S35" s="1391" t="s">
        <v>694</v>
      </c>
      <c r="T35" s="1392" t="s">
        <v>694</v>
      </c>
      <c r="U35" s="1393" t="s">
        <v>694</v>
      </c>
      <c r="V35" s="1297"/>
    </row>
    <row r="36" spans="1:22" x14ac:dyDescent="0.3">
      <c r="A36" s="1310" t="s">
        <v>786</v>
      </c>
      <c r="B36" s="1297"/>
      <c r="C36" s="1297"/>
      <c r="D36" s="1297"/>
      <c r="E36" s="1297"/>
      <c r="F36" s="1297"/>
      <c r="G36" s="1297"/>
      <c r="H36" s="1297"/>
      <c r="I36" s="1297"/>
      <c r="J36" s="1297"/>
      <c r="K36" s="1297"/>
      <c r="L36" s="1297"/>
      <c r="M36" s="1297"/>
      <c r="N36" s="1297"/>
      <c r="O36" s="1394"/>
      <c r="P36" s="1297"/>
      <c r="Q36" s="1297"/>
      <c r="R36" s="1297"/>
      <c r="S36" s="1297"/>
      <c r="T36" s="1297"/>
      <c r="U36" s="1297"/>
      <c r="V36" s="1297"/>
    </row>
    <row r="37" spans="1:22" x14ac:dyDescent="0.3">
      <c r="A37" s="1310" t="s">
        <v>786</v>
      </c>
      <c r="B37" s="1297"/>
      <c r="C37" s="1297"/>
      <c r="D37" s="1297"/>
      <c r="E37" s="1297"/>
      <c r="F37" s="1297"/>
      <c r="G37" s="1297"/>
      <c r="H37" s="1297"/>
      <c r="I37" s="1297"/>
      <c r="J37" s="1297"/>
      <c r="K37" s="1297"/>
      <c r="L37" s="1297"/>
      <c r="M37" s="1297"/>
      <c r="N37" s="1297"/>
      <c r="O37" s="1297"/>
      <c r="P37" s="1297"/>
      <c r="Q37" s="1297"/>
      <c r="R37" s="1297"/>
      <c r="S37" s="1297"/>
      <c r="T37" s="1297"/>
      <c r="U37" s="1297"/>
      <c r="V37" s="1297"/>
    </row>
    <row r="38" spans="1:22" x14ac:dyDescent="0.3">
      <c r="A38" s="1310" t="s">
        <v>786</v>
      </c>
      <c r="D38" s="1297"/>
      <c r="E38" s="1297"/>
      <c r="F38" s="1297"/>
      <c r="G38" s="1297"/>
      <c r="H38" s="1297"/>
      <c r="I38" s="1297"/>
      <c r="J38" s="1297"/>
      <c r="K38" s="1297"/>
      <c r="L38" s="1297"/>
      <c r="M38" s="1297"/>
      <c r="N38" s="1297"/>
      <c r="O38" s="1297"/>
      <c r="P38" s="1297"/>
      <c r="Q38" s="1297"/>
      <c r="R38" s="1297"/>
      <c r="S38" s="1297"/>
      <c r="T38" s="1297"/>
      <c r="U38" s="1297"/>
      <c r="V38" s="1297"/>
    </row>
    <row r="39" spans="1:22" x14ac:dyDescent="0.3">
      <c r="A39" s="1310" t="s">
        <v>786</v>
      </c>
      <c r="B39" s="1297"/>
      <c r="C39" s="1297"/>
      <c r="D39" s="1297"/>
      <c r="E39" s="1297"/>
      <c r="F39" s="1297"/>
      <c r="G39" s="1297"/>
      <c r="H39" s="1297"/>
      <c r="I39" s="1297"/>
      <c r="J39" s="1297"/>
      <c r="K39" s="1297"/>
      <c r="L39" s="1297"/>
      <c r="M39" s="1297"/>
      <c r="N39" s="1297"/>
      <c r="O39" s="1297"/>
      <c r="P39" s="1297"/>
      <c r="Q39" s="1297"/>
      <c r="R39" s="1297"/>
      <c r="S39" s="1297"/>
      <c r="T39" s="1297"/>
      <c r="U39" s="1297"/>
      <c r="V39" s="1297"/>
    </row>
    <row r="40" spans="1:22" ht="15.6" x14ac:dyDescent="0.3">
      <c r="A40" s="1310" t="s">
        <v>786</v>
      </c>
      <c r="B40" s="1303" t="s">
        <v>1256</v>
      </c>
      <c r="C40" s="1303"/>
      <c r="D40" s="1297"/>
      <c r="E40" s="1297"/>
      <c r="F40" s="1297"/>
      <c r="G40" s="1297"/>
      <c r="H40" s="1297"/>
      <c r="I40" s="1297"/>
      <c r="J40" s="1297"/>
      <c r="K40" s="1297"/>
      <c r="L40" s="1297"/>
      <c r="M40" s="1297"/>
      <c r="N40" s="1297"/>
      <c r="O40" s="1297"/>
      <c r="P40" s="1297"/>
      <c r="Q40" s="1297"/>
      <c r="R40" s="1297"/>
      <c r="S40" s="1297"/>
      <c r="T40" s="1297"/>
      <c r="U40" s="1297"/>
      <c r="V40" s="1297"/>
    </row>
    <row r="41" spans="1:22" ht="15.6" x14ac:dyDescent="0.3">
      <c r="A41" s="1310" t="s">
        <v>786</v>
      </c>
      <c r="B41" s="1303"/>
      <c r="C41" s="1303"/>
      <c r="D41" s="1297"/>
      <c r="E41" s="1297"/>
      <c r="F41" s="1297"/>
      <c r="G41" s="1297"/>
      <c r="H41" s="1297"/>
      <c r="I41" s="1297"/>
      <c r="J41" s="1297"/>
      <c r="K41" s="1297"/>
      <c r="L41" s="1297"/>
      <c r="M41" s="1297"/>
      <c r="N41" s="1297"/>
      <c r="O41" s="1297"/>
      <c r="P41" s="1297"/>
      <c r="Q41" s="1297"/>
      <c r="R41" s="1297"/>
      <c r="S41" s="1297"/>
      <c r="T41" s="1297"/>
      <c r="U41" s="1297"/>
      <c r="V41" s="1297"/>
    </row>
    <row r="42" spans="1:22" x14ac:dyDescent="0.3">
      <c r="A42" s="1310" t="s">
        <v>786</v>
      </c>
      <c r="B42" s="2517" t="s">
        <v>1257</v>
      </c>
      <c r="C42" s="2517"/>
      <c r="D42" s="2517"/>
      <c r="E42" s="2517"/>
      <c r="F42" s="2517"/>
      <c r="G42" s="2517"/>
      <c r="H42" s="2517"/>
      <c r="I42" s="2517"/>
      <c r="J42" s="2517"/>
      <c r="K42" s="2517"/>
      <c r="L42" s="2517"/>
      <c r="M42" s="2517"/>
      <c r="N42" s="2517"/>
      <c r="O42" s="2517"/>
      <c r="P42" s="2517"/>
      <c r="Q42" s="2517"/>
      <c r="R42" s="2517"/>
      <c r="S42" s="2517"/>
      <c r="T42" s="2517"/>
      <c r="U42" s="2517"/>
      <c r="V42" s="2517"/>
    </row>
    <row r="43" spans="1:22" x14ac:dyDescent="0.3">
      <c r="A43" s="1310" t="s">
        <v>786</v>
      </c>
      <c r="B43" s="1395"/>
      <c r="C43" s="1395"/>
      <c r="D43" s="1395"/>
      <c r="E43" s="1395"/>
      <c r="F43" s="1395"/>
      <c r="G43" s="1395"/>
      <c r="H43" s="1395"/>
      <c r="I43" s="1395"/>
      <c r="J43" s="1395"/>
      <c r="K43" s="1395"/>
      <c r="L43" s="1395"/>
      <c r="M43" s="1395"/>
      <c r="N43" s="1395"/>
      <c r="O43" s="1395"/>
      <c r="P43" s="1395"/>
      <c r="Q43" s="1395"/>
      <c r="R43" s="1395"/>
      <c r="S43" s="1395"/>
      <c r="T43" s="1395"/>
      <c r="U43" s="1395"/>
      <c r="V43" s="1395"/>
    </row>
    <row r="44" spans="1:22" ht="29.4" x14ac:dyDescent="0.3">
      <c r="A44" s="1310" t="s">
        <v>786</v>
      </c>
      <c r="B44" s="2473" t="s">
        <v>1183</v>
      </c>
      <c r="C44" s="2473" t="s">
        <v>1258</v>
      </c>
      <c r="D44" s="2475" t="s">
        <v>1213</v>
      </c>
      <c r="E44" s="2518"/>
      <c r="F44" s="1396" t="s">
        <v>1259</v>
      </c>
      <c r="G44" s="1397"/>
      <c r="H44" s="1397"/>
      <c r="I44" s="1397"/>
      <c r="J44" s="1397"/>
      <c r="K44" s="1398"/>
      <c r="L44" s="2518"/>
      <c r="M44" s="2483" t="s">
        <v>1260</v>
      </c>
      <c r="N44" s="2519"/>
      <c r="O44" s="2519"/>
      <c r="P44" s="2519"/>
      <c r="Q44" s="2519"/>
      <c r="R44" s="2520"/>
      <c r="S44" s="2518"/>
      <c r="T44" s="2530" t="s">
        <v>1261</v>
      </c>
      <c r="U44" s="2531"/>
      <c r="V44" s="1297"/>
    </row>
    <row r="45" spans="1:22" x14ac:dyDescent="0.3">
      <c r="A45" s="1310" t="s">
        <v>786</v>
      </c>
      <c r="B45" s="2473"/>
      <c r="C45" s="2473"/>
      <c r="D45" s="2475"/>
      <c r="E45" s="2518"/>
      <c r="F45" s="1399" t="s">
        <v>47</v>
      </c>
      <c r="G45" s="1400"/>
      <c r="H45" s="1400"/>
      <c r="I45" s="1400" t="s">
        <v>81</v>
      </c>
      <c r="J45" s="1400"/>
      <c r="K45" s="1401"/>
      <c r="L45" s="2518"/>
      <c r="M45" s="2492" t="s">
        <v>47</v>
      </c>
      <c r="N45" s="2534"/>
      <c r="O45" s="2534"/>
      <c r="P45" s="2494" t="s">
        <v>81</v>
      </c>
      <c r="Q45" s="2534"/>
      <c r="R45" s="2535"/>
      <c r="S45" s="2518"/>
      <c r="T45" s="2532"/>
      <c r="U45" s="2533"/>
      <c r="V45" s="1297"/>
    </row>
    <row r="46" spans="1:22" ht="66" x14ac:dyDescent="0.3">
      <c r="A46" s="1310" t="s">
        <v>786</v>
      </c>
      <c r="B46" s="2473"/>
      <c r="C46" s="2473"/>
      <c r="D46" s="2475"/>
      <c r="E46" s="2518"/>
      <c r="F46" s="1402" t="s">
        <v>1262</v>
      </c>
      <c r="G46" s="1403" t="s">
        <v>1231</v>
      </c>
      <c r="H46" s="1403" t="s">
        <v>1232</v>
      </c>
      <c r="I46" s="1404" t="s">
        <v>1262</v>
      </c>
      <c r="J46" s="1403" t="s">
        <v>1231</v>
      </c>
      <c r="K46" s="1405" t="s">
        <v>1232</v>
      </c>
      <c r="L46" s="2518"/>
      <c r="M46" s="1402" t="s">
        <v>1263</v>
      </c>
      <c r="N46" s="1403" t="s">
        <v>1231</v>
      </c>
      <c r="O46" s="1403" t="s">
        <v>1232</v>
      </c>
      <c r="P46" s="1404" t="s">
        <v>1263</v>
      </c>
      <c r="Q46" s="1403" t="s">
        <v>1231</v>
      </c>
      <c r="R46" s="1405" t="s">
        <v>1232</v>
      </c>
      <c r="S46" s="2518"/>
      <c r="T46" s="1406" t="s">
        <v>544</v>
      </c>
      <c r="U46" s="1407" t="s">
        <v>81</v>
      </c>
      <c r="V46" s="1297"/>
    </row>
    <row r="47" spans="1:22" ht="43.2" x14ac:dyDescent="0.3">
      <c r="A47" s="1310" t="s">
        <v>786</v>
      </c>
      <c r="B47" s="1408" t="s">
        <v>1183</v>
      </c>
      <c r="C47" s="1408" t="s">
        <v>1264</v>
      </c>
      <c r="D47" s="1409" t="s">
        <v>1265</v>
      </c>
      <c r="E47" s="1410" t="s">
        <v>1241</v>
      </c>
      <c r="F47" s="1409" t="s">
        <v>1266</v>
      </c>
      <c r="G47" s="1409" t="s">
        <v>1267</v>
      </c>
      <c r="H47" s="1411" t="s">
        <v>1268</v>
      </c>
      <c r="I47" s="1409" t="s">
        <v>1269</v>
      </c>
      <c r="J47" s="1409" t="s">
        <v>1270</v>
      </c>
      <c r="K47" s="1411" t="s">
        <v>1271</v>
      </c>
      <c r="L47" s="1409" t="s">
        <v>1246</v>
      </c>
      <c r="M47" s="1409" t="s">
        <v>1272</v>
      </c>
      <c r="N47" s="1411" t="s">
        <v>1273</v>
      </c>
      <c r="O47" s="1411" t="s">
        <v>1274</v>
      </c>
      <c r="P47" s="1409" t="s">
        <v>1275</v>
      </c>
      <c r="Q47" s="1411" t="s">
        <v>1276</v>
      </c>
      <c r="R47" s="1411" t="s">
        <v>1277</v>
      </c>
      <c r="S47" s="1409" t="s">
        <v>1251</v>
      </c>
      <c r="T47" s="1411" t="s">
        <v>1278</v>
      </c>
      <c r="U47" s="1411" t="s">
        <v>1279</v>
      </c>
      <c r="V47" s="1297"/>
    </row>
    <row r="48" spans="1:22" x14ac:dyDescent="0.3">
      <c r="A48" s="1310" t="s">
        <v>786</v>
      </c>
      <c r="B48" s="1412" t="s">
        <v>1136</v>
      </c>
      <c r="C48" s="1413">
        <v>2628</v>
      </c>
      <c r="D48" s="1414">
        <v>0</v>
      </c>
      <c r="E48" s="1415"/>
      <c r="F48" s="1416" t="s">
        <v>694</v>
      </c>
      <c r="G48" s="1416" t="s">
        <v>694</v>
      </c>
      <c r="H48" s="1417" t="s">
        <v>694</v>
      </c>
      <c r="I48" s="1417" t="s">
        <v>694</v>
      </c>
      <c r="J48" s="1418" t="s">
        <v>694</v>
      </c>
      <c r="K48" s="1418" t="s">
        <v>694</v>
      </c>
      <c r="L48" s="1419"/>
      <c r="M48" s="1420" t="s">
        <v>694</v>
      </c>
      <c r="N48" s="1420" t="s">
        <v>694</v>
      </c>
      <c r="O48" s="1420" t="s">
        <v>694</v>
      </c>
      <c r="P48" s="1421" t="s">
        <v>694</v>
      </c>
      <c r="Q48" s="1421" t="s">
        <v>694</v>
      </c>
      <c r="R48" s="1422" t="s">
        <v>694</v>
      </c>
      <c r="S48" s="1423"/>
      <c r="T48" s="1417">
        <v>0</v>
      </c>
      <c r="U48" s="1417">
        <v>0</v>
      </c>
      <c r="V48" s="1297"/>
    </row>
    <row r="49" spans="1:22" x14ac:dyDescent="0.3">
      <c r="A49" s="1310" t="s">
        <v>786</v>
      </c>
      <c r="B49" s="1297"/>
      <c r="C49" s="1297"/>
      <c r="D49" s="1297"/>
      <c r="E49" s="1297"/>
      <c r="F49" s="1297"/>
      <c r="G49" s="1297"/>
      <c r="H49" s="1297"/>
      <c r="I49" s="1297"/>
      <c r="J49" s="1297"/>
      <c r="K49" s="1297"/>
      <c r="L49" s="1297"/>
      <c r="M49" s="1424"/>
      <c r="N49" s="1297"/>
      <c r="O49" s="1297"/>
      <c r="P49" s="1297"/>
      <c r="Q49" s="1297"/>
      <c r="R49" s="1297"/>
      <c r="S49" s="1297"/>
      <c r="T49" s="1297"/>
      <c r="U49" s="1297"/>
      <c r="V49" s="1297"/>
    </row>
    <row r="50" spans="1:22" x14ac:dyDescent="0.3">
      <c r="A50" s="1310" t="s">
        <v>786</v>
      </c>
      <c r="B50" s="1297"/>
      <c r="C50" s="1297"/>
      <c r="D50" s="1297"/>
      <c r="E50" s="1297"/>
      <c r="F50" s="1297"/>
      <c r="G50" s="1297"/>
      <c r="H50" s="1297"/>
      <c r="I50" s="1297"/>
      <c r="J50" s="1297"/>
      <c r="K50" s="1297"/>
      <c r="L50" s="1297"/>
      <c r="M50" s="1424"/>
      <c r="N50" s="1297"/>
      <c r="O50" s="1297"/>
      <c r="P50" s="1297"/>
      <c r="Q50" s="1297"/>
      <c r="R50" s="1297"/>
      <c r="S50" s="1297"/>
      <c r="T50" s="1297"/>
      <c r="U50" s="1297"/>
      <c r="V50" s="1297"/>
    </row>
    <row r="51" spans="1:22" ht="15.6" x14ac:dyDescent="0.3">
      <c r="A51" s="1310" t="s">
        <v>786</v>
      </c>
      <c r="B51" s="1249" t="s">
        <v>1280</v>
      </c>
      <c r="C51" s="1249"/>
      <c r="D51" s="1332"/>
      <c r="E51" s="1333"/>
      <c r="F51" s="1297"/>
      <c r="G51" s="1297"/>
      <c r="H51" s="1297"/>
      <c r="I51" s="1297"/>
      <c r="J51" s="1297"/>
      <c r="K51" s="1297"/>
      <c r="L51" s="1297"/>
      <c r="M51" s="1297"/>
      <c r="N51" s="1297"/>
      <c r="O51" s="1297"/>
      <c r="P51" s="1297"/>
      <c r="Q51" s="1297"/>
      <c r="R51" s="1297"/>
      <c r="S51" s="1297"/>
      <c r="T51" s="1297"/>
      <c r="U51" s="1297"/>
      <c r="V51" s="1297"/>
    </row>
    <row r="52" spans="1:22" x14ac:dyDescent="0.3">
      <c r="A52" s="1310" t="s">
        <v>786</v>
      </c>
      <c r="B52" s="1297"/>
      <c r="C52" s="1297"/>
      <c r="D52" s="1297"/>
      <c r="E52" s="1297"/>
      <c r="F52" s="1297"/>
      <c r="G52" s="1297"/>
      <c r="H52" s="1297"/>
      <c r="I52" s="1297"/>
      <c r="J52" s="1297"/>
      <c r="K52" s="1334"/>
      <c r="L52" s="1297"/>
      <c r="M52" s="1297"/>
      <c r="N52" s="1297"/>
      <c r="O52" s="1297"/>
      <c r="P52" s="1297"/>
      <c r="Q52" s="1297"/>
      <c r="R52" s="1297"/>
      <c r="S52" s="1297"/>
      <c r="T52" s="1297"/>
      <c r="U52" s="1297"/>
      <c r="V52" s="1297"/>
    </row>
    <row r="53" spans="1:22" x14ac:dyDescent="0.3">
      <c r="A53" s="1310" t="s">
        <v>786</v>
      </c>
      <c r="B53" s="1425" t="s">
        <v>1281</v>
      </c>
      <c r="C53" s="1297"/>
      <c r="D53" s="1297"/>
      <c r="E53" s="1297"/>
      <c r="F53" s="1297"/>
      <c r="G53" s="1297"/>
      <c r="H53" s="1297"/>
      <c r="I53" s="1297"/>
      <c r="J53" s="1297"/>
      <c r="K53" s="1334"/>
      <c r="L53" s="1297"/>
      <c r="M53" s="1297"/>
      <c r="N53" s="1297"/>
      <c r="O53" s="1297"/>
      <c r="P53" s="1297"/>
      <c r="Q53" s="1297"/>
      <c r="R53" s="1297"/>
      <c r="S53" s="1297"/>
      <c r="T53" s="1297"/>
      <c r="U53" s="1297"/>
      <c r="V53" s="1297"/>
    </row>
    <row r="54" spans="1:22" x14ac:dyDescent="0.3">
      <c r="A54" s="1310" t="s">
        <v>786</v>
      </c>
      <c r="B54" s="1297"/>
      <c r="C54" s="1297"/>
      <c r="D54" s="1297"/>
      <c r="E54" s="1297"/>
      <c r="F54" s="1297"/>
      <c r="G54" s="1297"/>
      <c r="H54" s="1297"/>
      <c r="I54" s="1297"/>
      <c r="J54" s="1297"/>
      <c r="K54" s="1334"/>
      <c r="L54" s="1297"/>
      <c r="M54" s="1297"/>
      <c r="N54" s="1297"/>
      <c r="O54" s="1297"/>
      <c r="P54" s="1297"/>
      <c r="Q54" s="1297"/>
      <c r="R54" s="1297"/>
      <c r="S54" s="1297"/>
      <c r="T54" s="1297"/>
      <c r="U54" s="1297"/>
      <c r="V54" s="1297"/>
    </row>
    <row r="55" spans="1:22" x14ac:dyDescent="0.3">
      <c r="A55" s="1310" t="s">
        <v>786</v>
      </c>
      <c r="B55" s="2473" t="s">
        <v>1183</v>
      </c>
      <c r="C55" s="2475" t="s">
        <v>1223</v>
      </c>
      <c r="D55" s="2475" t="s">
        <v>930</v>
      </c>
      <c r="E55" s="2513" t="s">
        <v>1282</v>
      </c>
      <c r="F55" s="2475" t="s">
        <v>1283</v>
      </c>
      <c r="G55" s="2498"/>
      <c r="H55" s="2483" t="s">
        <v>1227</v>
      </c>
      <c r="I55" s="2509"/>
      <c r="J55" s="2509"/>
      <c r="K55" s="2489"/>
      <c r="L55" s="2510"/>
      <c r="M55" s="2483" t="s">
        <v>1228</v>
      </c>
      <c r="N55" s="2509"/>
      <c r="O55" s="2509"/>
      <c r="P55" s="2489"/>
      <c r="Q55" s="2510"/>
      <c r="R55" s="2483" t="s">
        <v>1229</v>
      </c>
      <c r="S55" s="2509"/>
      <c r="T55" s="2509"/>
      <c r="U55" s="2489"/>
      <c r="V55" s="1297"/>
    </row>
    <row r="56" spans="1:22" x14ac:dyDescent="0.3">
      <c r="A56" s="1310" t="s">
        <v>786</v>
      </c>
      <c r="B56" s="2498"/>
      <c r="C56" s="2498"/>
      <c r="D56" s="2498"/>
      <c r="E56" s="2498"/>
      <c r="F56" s="2514"/>
      <c r="G56" s="2498"/>
      <c r="H56" s="2492" t="s">
        <v>1230</v>
      </c>
      <c r="I56" s="2493"/>
      <c r="J56" s="2505" t="s">
        <v>1231</v>
      </c>
      <c r="K56" s="2507" t="s">
        <v>1232</v>
      </c>
      <c r="L56" s="2511"/>
      <c r="M56" s="2492" t="s">
        <v>1233</v>
      </c>
      <c r="N56" s="2493"/>
      <c r="O56" s="2505" t="s">
        <v>1231</v>
      </c>
      <c r="P56" s="2507" t="s">
        <v>1232</v>
      </c>
      <c r="Q56" s="2511"/>
      <c r="R56" s="2515" t="s">
        <v>1234</v>
      </c>
      <c r="S56" s="2505" t="s">
        <v>1284</v>
      </c>
      <c r="T56" s="2505" t="s">
        <v>1236</v>
      </c>
      <c r="U56" s="2507" t="s">
        <v>1237</v>
      </c>
      <c r="V56" s="1297"/>
    </row>
    <row r="57" spans="1:22" x14ac:dyDescent="0.3">
      <c r="A57" s="1310" t="s">
        <v>786</v>
      </c>
      <c r="B57" s="2498"/>
      <c r="C57" s="2498"/>
      <c r="D57" s="2498"/>
      <c r="E57" s="2498"/>
      <c r="F57" s="2514"/>
      <c r="G57" s="2498"/>
      <c r="H57" s="1402" t="s">
        <v>47</v>
      </c>
      <c r="I57" s="1404" t="s">
        <v>81</v>
      </c>
      <c r="J57" s="2506"/>
      <c r="K57" s="2508"/>
      <c r="L57" s="2512"/>
      <c r="M57" s="1402" t="s">
        <v>47</v>
      </c>
      <c r="N57" s="1404" t="s">
        <v>81</v>
      </c>
      <c r="O57" s="2506"/>
      <c r="P57" s="2508"/>
      <c r="Q57" s="2512"/>
      <c r="R57" s="2516"/>
      <c r="S57" s="2506"/>
      <c r="T57" s="2506"/>
      <c r="U57" s="2508"/>
      <c r="V57" s="1297"/>
    </row>
    <row r="58" spans="1:22" ht="52.8" x14ac:dyDescent="0.3">
      <c r="A58" s="1310" t="s">
        <v>786</v>
      </c>
      <c r="B58" s="1344" t="s">
        <v>1183</v>
      </c>
      <c r="C58" s="1344" t="s">
        <v>1238</v>
      </c>
      <c r="D58" s="1344" t="s">
        <v>97</v>
      </c>
      <c r="E58" s="1344" t="s">
        <v>1239</v>
      </c>
      <c r="F58" s="1345" t="s">
        <v>1240</v>
      </c>
      <c r="G58" s="1346"/>
      <c r="H58" s="1347" t="s">
        <v>1242</v>
      </c>
      <c r="I58" s="1347" t="s">
        <v>1243</v>
      </c>
      <c r="J58" s="1348" t="s">
        <v>1244</v>
      </c>
      <c r="K58" s="1348" t="s">
        <v>1245</v>
      </c>
      <c r="L58" s="1348"/>
      <c r="M58" s="1347" t="s">
        <v>1247</v>
      </c>
      <c r="N58" s="1347" t="s">
        <v>1248</v>
      </c>
      <c r="O58" s="1348" t="s">
        <v>1249</v>
      </c>
      <c r="P58" s="1348" t="s">
        <v>1250</v>
      </c>
      <c r="Q58" s="1348"/>
      <c r="R58" s="1348" t="s">
        <v>1252</v>
      </c>
      <c r="S58" s="1348" t="s">
        <v>1253</v>
      </c>
      <c r="T58" s="1348" t="s">
        <v>1254</v>
      </c>
      <c r="U58" s="1348" t="s">
        <v>1255</v>
      </c>
      <c r="V58" s="1297"/>
    </row>
    <row r="59" spans="1:22" x14ac:dyDescent="0.3">
      <c r="A59" s="1310" t="s">
        <v>1285</v>
      </c>
      <c r="B59" s="1426" t="s">
        <v>1136</v>
      </c>
      <c r="C59" s="1427"/>
      <c r="D59" s="1428"/>
      <c r="E59" s="1429"/>
      <c r="F59" s="1430">
        <v>0</v>
      </c>
      <c r="G59" s="1431"/>
      <c r="H59" s="1432" t="s">
        <v>694</v>
      </c>
      <c r="I59" s="1432" t="s">
        <v>694</v>
      </c>
      <c r="J59" s="1433" t="s">
        <v>694</v>
      </c>
      <c r="K59" s="1433" t="s">
        <v>694</v>
      </c>
      <c r="L59" s="1431"/>
      <c r="M59" s="1432" t="s">
        <v>694</v>
      </c>
      <c r="N59" s="1432" t="s">
        <v>694</v>
      </c>
      <c r="O59" s="1433" t="s">
        <v>694</v>
      </c>
      <c r="P59" s="1433" t="s">
        <v>694</v>
      </c>
      <c r="Q59" s="1431"/>
      <c r="R59" s="1434" t="s">
        <v>694</v>
      </c>
      <c r="S59" s="1434" t="s">
        <v>694</v>
      </c>
      <c r="T59" s="1434" t="s">
        <v>694</v>
      </c>
      <c r="U59" s="1435" t="s">
        <v>694</v>
      </c>
      <c r="V59" s="1297"/>
    </row>
    <row r="60" spans="1:22" x14ac:dyDescent="0.3">
      <c r="A60" s="1310"/>
      <c r="B60" s="1363" t="s">
        <v>1136</v>
      </c>
      <c r="C60" s="1436"/>
      <c r="D60" s="1437"/>
      <c r="E60" s="1365"/>
      <c r="F60" s="1438">
        <v>0</v>
      </c>
      <c r="G60" s="1439"/>
      <c r="H60" s="1371" t="s">
        <v>694</v>
      </c>
      <c r="I60" s="1371" t="s">
        <v>694</v>
      </c>
      <c r="J60" s="1369" t="s">
        <v>694</v>
      </c>
      <c r="K60" s="1369" t="s">
        <v>694</v>
      </c>
      <c r="L60" s="1439"/>
      <c r="M60" s="1371" t="s">
        <v>694</v>
      </c>
      <c r="N60" s="1371" t="s">
        <v>694</v>
      </c>
      <c r="O60" s="1369" t="s">
        <v>694</v>
      </c>
      <c r="P60" s="1369" t="s">
        <v>694</v>
      </c>
      <c r="Q60" s="1439"/>
      <c r="R60" s="1440" t="s">
        <v>694</v>
      </c>
      <c r="S60" s="1440" t="s">
        <v>694</v>
      </c>
      <c r="T60" s="1440" t="s">
        <v>694</v>
      </c>
      <c r="U60" s="1441" t="s">
        <v>694</v>
      </c>
      <c r="V60" s="1297"/>
    </row>
    <row r="61" spans="1:22" x14ac:dyDescent="0.3">
      <c r="A61" s="1442"/>
      <c r="B61" s="1363" t="s">
        <v>1136</v>
      </c>
      <c r="C61" s="1436"/>
      <c r="D61" s="1437"/>
      <c r="E61" s="1365"/>
      <c r="F61" s="1438">
        <v>0</v>
      </c>
      <c r="G61" s="1439"/>
      <c r="H61" s="1371" t="s">
        <v>694</v>
      </c>
      <c r="I61" s="1371" t="s">
        <v>694</v>
      </c>
      <c r="J61" s="1369" t="s">
        <v>694</v>
      </c>
      <c r="K61" s="1369" t="s">
        <v>694</v>
      </c>
      <c r="L61" s="1439"/>
      <c r="M61" s="1371" t="s">
        <v>694</v>
      </c>
      <c r="N61" s="1371" t="s">
        <v>694</v>
      </c>
      <c r="O61" s="1369" t="s">
        <v>694</v>
      </c>
      <c r="P61" s="1369" t="s">
        <v>694</v>
      </c>
      <c r="Q61" s="1439"/>
      <c r="R61" s="1440" t="s">
        <v>694</v>
      </c>
      <c r="S61" s="1440" t="s">
        <v>694</v>
      </c>
      <c r="T61" s="1440" t="s">
        <v>694</v>
      </c>
      <c r="U61" s="1441" t="s">
        <v>694</v>
      </c>
      <c r="V61" s="1297"/>
    </row>
    <row r="62" spans="1:22" x14ac:dyDescent="0.3">
      <c r="A62" s="1442"/>
      <c r="B62" s="1379" t="s">
        <v>1136</v>
      </c>
      <c r="C62" s="1443"/>
      <c r="D62" s="1444"/>
      <c r="E62" s="1381"/>
      <c r="F62" s="1445">
        <v>0</v>
      </c>
      <c r="G62" s="1446"/>
      <c r="H62" s="1387" t="s">
        <v>694</v>
      </c>
      <c r="I62" s="1387" t="s">
        <v>694</v>
      </c>
      <c r="J62" s="1385" t="s">
        <v>694</v>
      </c>
      <c r="K62" s="1385" t="s">
        <v>694</v>
      </c>
      <c r="L62" s="1446"/>
      <c r="M62" s="1387" t="s">
        <v>694</v>
      </c>
      <c r="N62" s="1387" t="s">
        <v>694</v>
      </c>
      <c r="O62" s="1385" t="s">
        <v>694</v>
      </c>
      <c r="P62" s="1385" t="s">
        <v>694</v>
      </c>
      <c r="Q62" s="1446"/>
      <c r="R62" s="1447" t="s">
        <v>694</v>
      </c>
      <c r="S62" s="1447" t="s">
        <v>694</v>
      </c>
      <c r="T62" s="1447" t="s">
        <v>694</v>
      </c>
      <c r="U62" s="1448" t="s">
        <v>694</v>
      </c>
      <c r="V62" s="1297"/>
    </row>
    <row r="63" spans="1:22" x14ac:dyDescent="0.3">
      <c r="A63" s="1310" t="s">
        <v>786</v>
      </c>
      <c r="B63" s="1297"/>
      <c r="C63" s="1297"/>
      <c r="D63" s="1297"/>
      <c r="E63" s="1297"/>
      <c r="F63" s="1297"/>
      <c r="G63" s="1297"/>
      <c r="H63" s="1297"/>
      <c r="I63" s="1297"/>
      <c r="J63" s="1297"/>
      <c r="K63" s="1297"/>
      <c r="L63" s="1297"/>
      <c r="M63" s="1297"/>
      <c r="N63" s="1297"/>
      <c r="O63" s="1297"/>
      <c r="P63" s="1297"/>
      <c r="Q63" s="1297"/>
      <c r="R63" s="1297"/>
      <c r="S63" s="1297"/>
      <c r="T63" s="1297"/>
      <c r="U63" s="1297"/>
      <c r="V63" s="1297"/>
    </row>
    <row r="64" spans="1:22" x14ac:dyDescent="0.3">
      <c r="A64" s="1310" t="s">
        <v>786</v>
      </c>
      <c r="B64" s="1297"/>
      <c r="C64" s="1297"/>
      <c r="D64" s="1297"/>
      <c r="E64" s="1297"/>
      <c r="F64" s="1297"/>
      <c r="G64" s="1297"/>
      <c r="H64" s="1297"/>
      <c r="I64" s="1297"/>
      <c r="J64" s="1297"/>
      <c r="K64" s="1297"/>
      <c r="L64" s="1297"/>
      <c r="M64" s="1297"/>
      <c r="N64" s="1297"/>
      <c r="O64" s="1297"/>
      <c r="P64" s="1297"/>
      <c r="Q64" s="1297"/>
      <c r="R64" s="1297"/>
      <c r="S64" s="1297"/>
      <c r="T64" s="1297"/>
      <c r="U64" s="1297"/>
      <c r="V64" s="1297"/>
    </row>
    <row r="65" spans="1:22" x14ac:dyDescent="0.3">
      <c r="A65" s="1310" t="s">
        <v>786</v>
      </c>
      <c r="B65" s="1297"/>
      <c r="C65" s="1297"/>
      <c r="D65" s="1297"/>
      <c r="E65" s="1297"/>
      <c r="F65" s="1297"/>
      <c r="G65" s="1297"/>
      <c r="H65" s="1297"/>
      <c r="I65" s="1297"/>
      <c r="J65" s="1297"/>
      <c r="K65" s="1297"/>
      <c r="L65" s="1297"/>
      <c r="M65" s="1297"/>
      <c r="N65" s="1297"/>
      <c r="O65" s="1297"/>
      <c r="P65" s="1297"/>
      <c r="Q65" s="1297"/>
      <c r="R65" s="1297"/>
      <c r="S65" s="1297"/>
      <c r="T65" s="1297"/>
      <c r="U65" s="1297"/>
      <c r="V65" s="1297"/>
    </row>
    <row r="66" spans="1:22" x14ac:dyDescent="0.3">
      <c r="A66" s="1310" t="s">
        <v>786</v>
      </c>
      <c r="B66" s="1297"/>
      <c r="C66" s="1297"/>
      <c r="D66" s="1297"/>
      <c r="E66" s="1297"/>
      <c r="F66" s="1297"/>
      <c r="G66" s="1297"/>
      <c r="H66" s="1297"/>
      <c r="I66" s="1297"/>
      <c r="J66" s="1297"/>
      <c r="K66" s="1297"/>
      <c r="L66" s="1297"/>
      <c r="M66" s="1424"/>
      <c r="N66" s="1297"/>
      <c r="O66" s="1297"/>
      <c r="P66" s="1297"/>
      <c r="Q66" s="1297"/>
      <c r="R66" s="1297"/>
      <c r="S66" s="1297"/>
      <c r="T66" s="1297"/>
      <c r="U66" s="1297"/>
      <c r="V66" s="1297"/>
    </row>
    <row r="67" spans="1:22" ht="15.6" x14ac:dyDescent="0.3">
      <c r="A67" s="1310" t="s">
        <v>786</v>
      </c>
      <c r="B67" s="1303" t="s">
        <v>1286</v>
      </c>
      <c r="C67" s="1303"/>
      <c r="D67" s="1297"/>
      <c r="E67" s="1297"/>
      <c r="F67" s="1297"/>
      <c r="G67" s="1297"/>
      <c r="H67" s="1297"/>
      <c r="I67" s="1297"/>
      <c r="J67" s="1297"/>
      <c r="K67" s="1297"/>
      <c r="L67" s="1297"/>
      <c r="M67" s="1297"/>
      <c r="N67" s="1297"/>
      <c r="O67" s="1297"/>
      <c r="P67" s="1297"/>
      <c r="Q67" s="1297"/>
      <c r="R67" s="1297"/>
      <c r="S67" s="1297"/>
      <c r="T67" s="1297"/>
      <c r="U67" s="1297"/>
      <c r="V67" s="1297"/>
    </row>
    <row r="68" spans="1:22" x14ac:dyDescent="0.3">
      <c r="A68" s="1310" t="s">
        <v>786</v>
      </c>
      <c r="B68" s="1297"/>
      <c r="C68" s="1297"/>
      <c r="D68" s="1297"/>
      <c r="E68" s="1297"/>
      <c r="F68" s="1297"/>
      <c r="G68" s="1297"/>
      <c r="H68" s="1297"/>
      <c r="I68" s="1297"/>
      <c r="J68" s="1297"/>
      <c r="K68" s="1334"/>
      <c r="L68" s="1297"/>
      <c r="M68" s="1297"/>
      <c r="N68" s="1297"/>
      <c r="O68" s="1297"/>
      <c r="P68" s="1297"/>
      <c r="Q68" s="1297"/>
      <c r="R68" s="1297"/>
      <c r="S68" s="1297"/>
      <c r="T68" s="1297"/>
      <c r="U68" s="1297"/>
      <c r="V68" s="1297"/>
    </row>
    <row r="69" spans="1:22" x14ac:dyDescent="0.3">
      <c r="A69" s="1310" t="s">
        <v>786</v>
      </c>
      <c r="B69" s="2471" t="s">
        <v>1287</v>
      </c>
      <c r="C69" s="2472"/>
      <c r="D69" s="2472"/>
      <c r="E69" s="2472"/>
      <c r="F69" s="2472"/>
      <c r="G69" s="2472"/>
      <c r="H69" s="2472"/>
      <c r="I69" s="2472"/>
      <c r="J69" s="2472"/>
      <c r="K69" s="2472"/>
      <c r="L69" s="2472"/>
      <c r="M69" s="2472"/>
      <c r="N69" s="2472"/>
      <c r="O69" s="2472"/>
      <c r="P69" s="2472"/>
      <c r="Q69" s="2472"/>
      <c r="R69" s="2472"/>
      <c r="S69" s="2472"/>
      <c r="T69" s="2472"/>
      <c r="U69" s="2472"/>
      <c r="V69" s="1297"/>
    </row>
    <row r="70" spans="1:22" x14ac:dyDescent="0.3">
      <c r="A70" s="1310" t="s">
        <v>786</v>
      </c>
      <c r="B70" s="1297"/>
      <c r="C70" s="1297"/>
      <c r="D70" s="1297"/>
      <c r="E70" s="1297"/>
      <c r="F70" s="1297"/>
      <c r="G70" s="1297"/>
      <c r="H70" s="1297"/>
      <c r="I70" s="1297"/>
      <c r="J70" s="1297"/>
      <c r="K70" s="1297"/>
      <c r="L70" s="1297"/>
      <c r="M70" s="1297"/>
      <c r="N70" s="1297"/>
      <c r="O70" s="1297"/>
      <c r="P70" s="1297"/>
      <c r="Q70" s="1297"/>
      <c r="R70" s="1297"/>
      <c r="S70" s="1297"/>
      <c r="T70" s="1297"/>
      <c r="U70" s="1297"/>
      <c r="V70" s="1297"/>
    </row>
    <row r="71" spans="1:22" x14ac:dyDescent="0.3">
      <c r="A71" s="1310" t="s">
        <v>786</v>
      </c>
      <c r="B71" s="2497" t="s">
        <v>1183</v>
      </c>
      <c r="C71" s="2475" t="s">
        <v>1258</v>
      </c>
      <c r="D71" s="2499" t="s">
        <v>1288</v>
      </c>
      <c r="E71" s="2502"/>
      <c r="F71" s="2483" t="s">
        <v>1289</v>
      </c>
      <c r="G71" s="2484"/>
      <c r="H71" s="2484"/>
      <c r="I71" s="2484"/>
      <c r="J71" s="2484"/>
      <c r="K71" s="2485"/>
      <c r="L71" s="2486"/>
      <c r="M71" s="2483" t="s">
        <v>1290</v>
      </c>
      <c r="N71" s="2484"/>
      <c r="O71" s="2484"/>
      <c r="P71" s="2484"/>
      <c r="Q71" s="2484"/>
      <c r="R71" s="2485"/>
      <c r="S71" s="2486"/>
      <c r="T71" s="2483" t="s">
        <v>1291</v>
      </c>
      <c r="U71" s="2489"/>
      <c r="V71" s="1297"/>
    </row>
    <row r="72" spans="1:22" x14ac:dyDescent="0.3">
      <c r="A72" s="1310" t="s">
        <v>786</v>
      </c>
      <c r="B72" s="2487"/>
      <c r="C72" s="2498"/>
      <c r="D72" s="2500"/>
      <c r="E72" s="2503"/>
      <c r="F72" s="2492" t="s">
        <v>47</v>
      </c>
      <c r="G72" s="2493"/>
      <c r="H72" s="2493"/>
      <c r="I72" s="2494" t="s">
        <v>81</v>
      </c>
      <c r="J72" s="2495"/>
      <c r="K72" s="2496"/>
      <c r="L72" s="2487"/>
      <c r="M72" s="2492" t="s">
        <v>47</v>
      </c>
      <c r="N72" s="2493"/>
      <c r="O72" s="2493"/>
      <c r="P72" s="2494" t="s">
        <v>81</v>
      </c>
      <c r="Q72" s="2493"/>
      <c r="R72" s="2491"/>
      <c r="S72" s="2487"/>
      <c r="T72" s="2490"/>
      <c r="U72" s="2491"/>
      <c r="V72" s="1297"/>
    </row>
    <row r="73" spans="1:22" ht="66" x14ac:dyDescent="0.3">
      <c r="A73" s="1310" t="s">
        <v>786</v>
      </c>
      <c r="B73" s="2488"/>
      <c r="C73" s="2498"/>
      <c r="D73" s="2501"/>
      <c r="E73" s="2504"/>
      <c r="F73" s="1402" t="s">
        <v>1262</v>
      </c>
      <c r="G73" s="1403" t="s">
        <v>1231</v>
      </c>
      <c r="H73" s="1403" t="s">
        <v>1232</v>
      </c>
      <c r="I73" s="1404" t="s">
        <v>1262</v>
      </c>
      <c r="J73" s="1403" t="s">
        <v>1231</v>
      </c>
      <c r="K73" s="1405" t="s">
        <v>1232</v>
      </c>
      <c r="L73" s="2488"/>
      <c r="M73" s="1402" t="s">
        <v>1263</v>
      </c>
      <c r="N73" s="1403" t="s">
        <v>1231</v>
      </c>
      <c r="O73" s="1403" t="s">
        <v>1232</v>
      </c>
      <c r="P73" s="1404" t="s">
        <v>1263</v>
      </c>
      <c r="Q73" s="1403" t="s">
        <v>1231</v>
      </c>
      <c r="R73" s="1405" t="s">
        <v>1232</v>
      </c>
      <c r="S73" s="2488"/>
      <c r="T73" s="1449" t="s">
        <v>544</v>
      </c>
      <c r="U73" s="1450" t="s">
        <v>81</v>
      </c>
      <c r="V73" s="1297"/>
    </row>
    <row r="74" spans="1:22" ht="43.2" x14ac:dyDescent="0.3">
      <c r="A74" s="1310" t="s">
        <v>786</v>
      </c>
      <c r="B74" s="1451" t="s">
        <v>1183</v>
      </c>
      <c r="C74" s="1452" t="s">
        <v>1264</v>
      </c>
      <c r="D74" s="1346" t="s">
        <v>1265</v>
      </c>
      <c r="E74" s="1453" t="s">
        <v>1241</v>
      </c>
      <c r="F74" s="1409" t="s">
        <v>1266</v>
      </c>
      <c r="G74" s="1409" t="s">
        <v>1267</v>
      </c>
      <c r="H74" s="1411" t="s">
        <v>1268</v>
      </c>
      <c r="I74" s="1409" t="s">
        <v>1269</v>
      </c>
      <c r="J74" s="1409" t="s">
        <v>1270</v>
      </c>
      <c r="K74" s="1411" t="s">
        <v>1271</v>
      </c>
      <c r="L74" s="1409" t="s">
        <v>1246</v>
      </c>
      <c r="M74" s="1409" t="s">
        <v>1272</v>
      </c>
      <c r="N74" s="1411" t="s">
        <v>1273</v>
      </c>
      <c r="O74" s="1411" t="s">
        <v>1274</v>
      </c>
      <c r="P74" s="1409" t="s">
        <v>1275</v>
      </c>
      <c r="Q74" s="1411" t="s">
        <v>1276</v>
      </c>
      <c r="R74" s="1411" t="s">
        <v>1277</v>
      </c>
      <c r="S74" s="1409" t="s">
        <v>1251</v>
      </c>
      <c r="T74" s="1411" t="s">
        <v>1278</v>
      </c>
      <c r="U74" s="1411" t="s">
        <v>1279</v>
      </c>
      <c r="V74" s="1297"/>
    </row>
    <row r="75" spans="1:22" x14ac:dyDescent="0.3">
      <c r="A75" s="1310" t="s">
        <v>786</v>
      </c>
      <c r="B75" s="1454" t="s">
        <v>1136</v>
      </c>
      <c r="C75" s="1455"/>
      <c r="D75" s="1456"/>
      <c r="E75" s="1457"/>
      <c r="F75" s="1416" t="s">
        <v>694</v>
      </c>
      <c r="G75" s="1418" t="s">
        <v>694</v>
      </c>
      <c r="H75" s="1418" t="s">
        <v>694</v>
      </c>
      <c r="I75" s="1417" t="s">
        <v>694</v>
      </c>
      <c r="J75" s="1417" t="s">
        <v>694</v>
      </c>
      <c r="K75" s="1418" t="s">
        <v>694</v>
      </c>
      <c r="L75" s="1457"/>
      <c r="M75" s="1416" t="s">
        <v>694</v>
      </c>
      <c r="N75" s="1417" t="s">
        <v>694</v>
      </c>
      <c r="O75" s="1418" t="s">
        <v>694</v>
      </c>
      <c r="P75" s="1417" t="s">
        <v>694</v>
      </c>
      <c r="Q75" s="1417" t="s">
        <v>694</v>
      </c>
      <c r="R75" s="1418" t="s">
        <v>694</v>
      </c>
      <c r="S75" s="1457"/>
      <c r="T75" s="1458">
        <v>0</v>
      </c>
      <c r="U75" s="1413">
        <v>0</v>
      </c>
      <c r="V75" s="1297"/>
    </row>
    <row r="76" spans="1:22" x14ac:dyDescent="0.3">
      <c r="A76" s="1310" t="s">
        <v>786</v>
      </c>
      <c r="B76" s="1297"/>
      <c r="C76" s="1297"/>
      <c r="D76" s="1297"/>
      <c r="E76" s="1297"/>
      <c r="F76" s="1297"/>
      <c r="G76" s="1297"/>
      <c r="H76" s="1297"/>
      <c r="I76" s="1297"/>
      <c r="J76" s="1297"/>
      <c r="K76" s="1297"/>
      <c r="L76" s="1297"/>
      <c r="M76" s="1297"/>
      <c r="N76" s="1297"/>
      <c r="O76" s="1297"/>
      <c r="P76" s="1297"/>
      <c r="Q76" s="1297"/>
      <c r="R76" s="1297"/>
      <c r="S76" s="1297"/>
      <c r="T76" s="1297"/>
      <c r="U76" s="1297"/>
      <c r="V76" s="1297"/>
    </row>
    <row r="77" spans="1:22" x14ac:dyDescent="0.3">
      <c r="A77" s="1310" t="s">
        <v>786</v>
      </c>
      <c r="B77" s="1297"/>
      <c r="C77" s="1297"/>
      <c r="D77" s="1297"/>
      <c r="E77" s="1297"/>
      <c r="F77" s="1297"/>
      <c r="G77" s="1297"/>
      <c r="H77" s="1297"/>
      <c r="I77" s="1297"/>
      <c r="J77" s="1297"/>
      <c r="K77" s="1297"/>
      <c r="L77" s="1297"/>
      <c r="M77" s="1297"/>
      <c r="N77" s="1297"/>
      <c r="O77" s="1297"/>
      <c r="P77" s="1297"/>
      <c r="Q77" s="1297"/>
      <c r="R77" s="1297"/>
      <c r="S77" s="1297"/>
      <c r="T77" s="1297"/>
      <c r="U77" s="1297"/>
      <c r="V77" s="1297"/>
    </row>
    <row r="78" spans="1:22" ht="15.6" x14ac:dyDescent="0.3">
      <c r="A78" s="1310" t="s">
        <v>786</v>
      </c>
      <c r="B78" s="1303" t="s">
        <v>1292</v>
      </c>
      <c r="C78" s="1297"/>
      <c r="D78" s="1297"/>
      <c r="E78" s="1297"/>
      <c r="F78" s="1297"/>
      <c r="G78" s="1297"/>
      <c r="H78" s="1297"/>
      <c r="I78" s="1297"/>
      <c r="J78" s="1297"/>
      <c r="K78" s="1297"/>
      <c r="L78" s="1297"/>
      <c r="M78" s="1297"/>
      <c r="N78" s="1297"/>
      <c r="O78" s="1297"/>
      <c r="P78" s="1297"/>
      <c r="Q78" s="1297"/>
      <c r="R78" s="1297"/>
      <c r="S78" s="1297"/>
      <c r="T78" s="1297"/>
      <c r="U78" s="1297"/>
      <c r="V78" s="1297"/>
    </row>
    <row r="79" spans="1:22" x14ac:dyDescent="0.3">
      <c r="A79" s="1310" t="s">
        <v>786</v>
      </c>
      <c r="C79" s="1297"/>
      <c r="D79" s="1297"/>
      <c r="E79" s="1297"/>
      <c r="F79" s="1297"/>
      <c r="G79" s="1297"/>
      <c r="H79" s="1297"/>
      <c r="I79" s="1297"/>
      <c r="J79" s="1297"/>
      <c r="K79" s="1297"/>
      <c r="L79" s="1297"/>
      <c r="M79" s="1297"/>
      <c r="N79" s="1297"/>
      <c r="O79" s="1297"/>
      <c r="P79" s="1297"/>
      <c r="Q79" s="1297"/>
      <c r="R79" s="1297"/>
      <c r="S79" s="1297"/>
      <c r="T79" s="1297"/>
      <c r="U79" s="1297"/>
      <c r="V79" s="1297"/>
    </row>
    <row r="80" spans="1:22" x14ac:dyDescent="0.3">
      <c r="A80" s="1310" t="s">
        <v>786</v>
      </c>
      <c r="B80" s="2477" t="s">
        <v>1293</v>
      </c>
      <c r="C80" s="2478"/>
      <c r="D80" s="2478"/>
      <c r="E80" s="2479"/>
      <c r="F80" s="2479"/>
      <c r="G80" s="2479"/>
      <c r="H80" s="2479"/>
      <c r="I80" s="2479"/>
      <c r="J80" s="2480"/>
      <c r="K80" s="2480"/>
      <c r="L80" s="2480"/>
      <c r="M80" s="2480"/>
      <c r="N80" s="2480"/>
      <c r="O80" s="2480"/>
      <c r="P80" s="2480"/>
      <c r="Q80" s="2480"/>
      <c r="R80" s="2481" t="s">
        <v>1294</v>
      </c>
      <c r="S80" s="2479"/>
      <c r="T80" s="2479"/>
      <c r="U80" s="2482"/>
      <c r="V80" s="1297"/>
    </row>
    <row r="81" spans="1:22" x14ac:dyDescent="0.3">
      <c r="A81" s="1310" t="s">
        <v>786</v>
      </c>
      <c r="B81" s="1459" t="s">
        <v>1295</v>
      </c>
      <c r="C81" s="2466" t="s">
        <v>1296</v>
      </c>
      <c r="D81" s="2467"/>
      <c r="E81" s="2467"/>
      <c r="F81" s="2467"/>
      <c r="G81" s="2467"/>
      <c r="H81" s="2467"/>
      <c r="I81" s="2467"/>
      <c r="J81" s="2468"/>
      <c r="K81" s="2468"/>
      <c r="L81" s="2468"/>
      <c r="M81" s="2468"/>
      <c r="N81" s="2468"/>
      <c r="O81" s="2468"/>
      <c r="P81" s="2468"/>
      <c r="Q81" s="2468"/>
      <c r="R81" s="1460"/>
      <c r="S81" s="1461">
        <v>12</v>
      </c>
      <c r="T81" s="2469" t="s">
        <v>1297</v>
      </c>
      <c r="U81" s="2470"/>
      <c r="V81" s="1297"/>
    </row>
    <row r="82" spans="1:22" x14ac:dyDescent="0.3">
      <c r="A82" s="1310" t="s">
        <v>786</v>
      </c>
      <c r="B82" s="1462" t="s">
        <v>1298</v>
      </c>
      <c r="C82" s="2466" t="s">
        <v>1299</v>
      </c>
      <c r="D82" s="2467"/>
      <c r="E82" s="2467"/>
      <c r="F82" s="2467"/>
      <c r="G82" s="2467"/>
      <c r="H82" s="2467"/>
      <c r="I82" s="2467"/>
      <c r="J82" s="2468"/>
      <c r="K82" s="2468"/>
      <c r="L82" s="2468"/>
      <c r="M82" s="2468"/>
      <c r="N82" s="2468"/>
      <c r="O82" s="2468"/>
      <c r="P82" s="2468"/>
      <c r="Q82" s="2468"/>
      <c r="R82" s="1460"/>
      <c r="S82" s="1461">
        <v>25</v>
      </c>
      <c r="T82" s="2469" t="s">
        <v>1297</v>
      </c>
      <c r="U82" s="2470"/>
      <c r="V82" s="1297"/>
    </row>
    <row r="83" spans="1:22" x14ac:dyDescent="0.3">
      <c r="A83" s="1310" t="s">
        <v>786</v>
      </c>
      <c r="B83" s="1462" t="s">
        <v>1300</v>
      </c>
      <c r="C83" s="2466" t="s">
        <v>1301</v>
      </c>
      <c r="D83" s="2467"/>
      <c r="E83" s="2467"/>
      <c r="F83" s="2467"/>
      <c r="G83" s="2467"/>
      <c r="H83" s="2467"/>
      <c r="I83" s="2467"/>
      <c r="J83" s="2468"/>
      <c r="K83" s="2468"/>
      <c r="L83" s="2468"/>
      <c r="M83" s="2468"/>
      <c r="N83" s="2468"/>
      <c r="O83" s="2468"/>
      <c r="P83" s="2468"/>
      <c r="Q83" s="2468"/>
      <c r="R83" s="1460"/>
      <c r="S83" s="1461">
        <v>44</v>
      </c>
      <c r="T83" s="2469" t="s">
        <v>1297</v>
      </c>
      <c r="U83" s="2470"/>
      <c r="V83" s="1297"/>
    </row>
    <row r="84" spans="1:22" x14ac:dyDescent="0.3">
      <c r="A84" s="1310" t="s">
        <v>786</v>
      </c>
      <c r="B84" s="1297"/>
      <c r="C84" s="1297"/>
      <c r="D84" s="1297"/>
      <c r="E84" s="1297"/>
      <c r="F84" s="1297"/>
      <c r="G84" s="1297"/>
      <c r="H84" s="1297"/>
      <c r="I84" s="1297"/>
      <c r="J84" s="1297"/>
      <c r="K84" s="1297"/>
      <c r="L84" s="1297"/>
      <c r="M84" s="1297"/>
      <c r="N84" s="1297"/>
      <c r="O84" s="1297"/>
      <c r="P84" s="1297"/>
      <c r="Q84" s="1297"/>
      <c r="R84" s="1297"/>
      <c r="S84" s="1297"/>
      <c r="T84" s="1297"/>
      <c r="U84" s="1297"/>
      <c r="V84" s="1297"/>
    </row>
    <row r="85" spans="1:22" x14ac:dyDescent="0.3">
      <c r="A85" s="1310" t="s">
        <v>786</v>
      </c>
      <c r="B85" s="2471" t="s">
        <v>1302</v>
      </c>
      <c r="C85" s="2472"/>
      <c r="D85" s="2472"/>
      <c r="E85" s="2472"/>
      <c r="F85" s="2472"/>
      <c r="G85" s="2472"/>
      <c r="H85" s="2472"/>
      <c r="I85" s="2472"/>
      <c r="J85" s="2472"/>
      <c r="K85" s="2472"/>
      <c r="L85" s="2472"/>
      <c r="M85" s="2472"/>
      <c r="N85" s="2472"/>
      <c r="O85" s="2472"/>
      <c r="P85" s="2472"/>
      <c r="Q85" s="2472"/>
      <c r="R85" s="2472"/>
      <c r="S85" s="2472"/>
      <c r="T85" s="2472"/>
      <c r="U85" s="2472"/>
      <c r="V85" s="1297"/>
    </row>
    <row r="86" spans="1:22" x14ac:dyDescent="0.3">
      <c r="A86" s="1310" t="s">
        <v>786</v>
      </c>
      <c r="B86" s="1297"/>
      <c r="C86" s="1297"/>
      <c r="D86" s="1297"/>
      <c r="E86" s="1297"/>
      <c r="F86" s="1297"/>
      <c r="G86" s="1297"/>
      <c r="H86" s="1297"/>
      <c r="I86" s="1297"/>
      <c r="J86" s="1297"/>
      <c r="K86" s="1297"/>
      <c r="L86" s="1297"/>
      <c r="M86" s="1297"/>
      <c r="N86" s="1297"/>
      <c r="O86" s="1297"/>
      <c r="P86" s="1297"/>
      <c r="Q86" s="1297"/>
      <c r="R86" s="1297"/>
      <c r="S86" s="1297"/>
      <c r="T86" s="1297"/>
      <c r="U86" s="1297"/>
      <c r="V86" s="1297"/>
    </row>
    <row r="87" spans="1:22" x14ac:dyDescent="0.3">
      <c r="A87" s="1310" t="s">
        <v>786</v>
      </c>
      <c r="B87" s="2473" t="s">
        <v>1183</v>
      </c>
      <c r="C87" s="2475" t="s">
        <v>1303</v>
      </c>
      <c r="D87" s="2454" t="s">
        <v>1304</v>
      </c>
      <c r="E87" s="2455"/>
      <c r="F87" s="2454" t="s">
        <v>1305</v>
      </c>
      <c r="G87" s="2476"/>
      <c r="H87" s="2455"/>
      <c r="I87" s="2454" t="s">
        <v>1306</v>
      </c>
      <c r="J87" s="2455"/>
      <c r="K87" s="2454" t="s">
        <v>1307</v>
      </c>
      <c r="L87" s="2455"/>
      <c r="M87" s="2454" t="s">
        <v>1308</v>
      </c>
      <c r="N87" s="2455"/>
      <c r="O87" s="2454" t="s">
        <v>1309</v>
      </c>
      <c r="P87" s="2455"/>
      <c r="Q87" s="2454" t="s">
        <v>1310</v>
      </c>
      <c r="R87" s="2455"/>
      <c r="S87" s="2458" t="s">
        <v>1311</v>
      </c>
      <c r="T87" s="2454" t="s">
        <v>1312</v>
      </c>
      <c r="U87" s="2455"/>
      <c r="V87" s="1297"/>
    </row>
    <row r="88" spans="1:22" x14ac:dyDescent="0.3">
      <c r="A88" s="1310" t="s">
        <v>786</v>
      </c>
      <c r="B88" s="2473"/>
      <c r="C88" s="2475"/>
      <c r="D88" s="2456"/>
      <c r="E88" s="2457"/>
      <c r="F88" s="2460" t="s">
        <v>1313</v>
      </c>
      <c r="G88" s="2462" t="s">
        <v>1314</v>
      </c>
      <c r="H88" s="2464" t="s">
        <v>1315</v>
      </c>
      <c r="I88" s="2456"/>
      <c r="J88" s="2457"/>
      <c r="K88" s="2456"/>
      <c r="L88" s="2457"/>
      <c r="M88" s="2456"/>
      <c r="N88" s="2457"/>
      <c r="O88" s="2456"/>
      <c r="P88" s="2457"/>
      <c r="Q88" s="2456"/>
      <c r="R88" s="2457"/>
      <c r="S88" s="2458"/>
      <c r="T88" s="2456"/>
      <c r="U88" s="2457"/>
      <c r="V88" s="1297"/>
    </row>
    <row r="89" spans="1:22" x14ac:dyDescent="0.3">
      <c r="A89" s="1310" t="s">
        <v>786</v>
      </c>
      <c r="B89" s="2474"/>
      <c r="C89" s="2459"/>
      <c r="D89" s="1449" t="s">
        <v>1316</v>
      </c>
      <c r="E89" s="1405" t="s">
        <v>1317</v>
      </c>
      <c r="F89" s="2461"/>
      <c r="G89" s="2463"/>
      <c r="H89" s="2465"/>
      <c r="I89" s="1449" t="s">
        <v>47</v>
      </c>
      <c r="J89" s="1405" t="s">
        <v>81</v>
      </c>
      <c r="K89" s="1449" t="s">
        <v>47</v>
      </c>
      <c r="L89" s="1405" t="s">
        <v>81</v>
      </c>
      <c r="M89" s="1449" t="s">
        <v>47</v>
      </c>
      <c r="N89" s="1405" t="s">
        <v>81</v>
      </c>
      <c r="O89" s="1449" t="s">
        <v>47</v>
      </c>
      <c r="P89" s="1405" t="s">
        <v>81</v>
      </c>
      <c r="Q89" s="1449" t="s">
        <v>47</v>
      </c>
      <c r="R89" s="1405" t="s">
        <v>81</v>
      </c>
      <c r="S89" s="2459"/>
      <c r="T89" s="1449" t="s">
        <v>47</v>
      </c>
      <c r="U89" s="1405" t="s">
        <v>81</v>
      </c>
      <c r="V89" s="1297"/>
    </row>
    <row r="90" spans="1:22" ht="53.4" x14ac:dyDescent="0.3">
      <c r="A90" s="1310" t="s">
        <v>786</v>
      </c>
      <c r="B90" s="1463" t="s">
        <v>1183</v>
      </c>
      <c r="C90" s="1463" t="s">
        <v>1318</v>
      </c>
      <c r="D90" s="1464" t="s">
        <v>1319</v>
      </c>
      <c r="E90" s="1463" t="s">
        <v>1320</v>
      </c>
      <c r="F90" s="1465" t="s">
        <v>1321</v>
      </c>
      <c r="G90" s="1466" t="s">
        <v>1322</v>
      </c>
      <c r="H90" s="1466" t="s">
        <v>1323</v>
      </c>
      <c r="I90" s="1465" t="s">
        <v>1324</v>
      </c>
      <c r="J90" s="1466" t="s">
        <v>1325</v>
      </c>
      <c r="K90" s="1466" t="s">
        <v>1326</v>
      </c>
      <c r="L90" s="1464" t="s">
        <v>1327</v>
      </c>
      <c r="M90" s="1465" t="s">
        <v>1328</v>
      </c>
      <c r="N90" s="1466" t="s">
        <v>1329</v>
      </c>
      <c r="O90" s="1466" t="s">
        <v>1330</v>
      </c>
      <c r="P90" s="1465" t="s">
        <v>1331</v>
      </c>
      <c r="Q90" s="1466" t="s">
        <v>1332</v>
      </c>
      <c r="R90" s="1466" t="s">
        <v>1333</v>
      </c>
      <c r="S90" s="1464" t="s">
        <v>1334</v>
      </c>
      <c r="T90" s="1466" t="s">
        <v>1335</v>
      </c>
      <c r="U90" s="1465" t="s">
        <v>1336</v>
      </c>
      <c r="V90" s="1297"/>
    </row>
    <row r="91" spans="1:22" x14ac:dyDescent="0.3">
      <c r="A91" s="1310" t="s">
        <v>786</v>
      </c>
      <c r="B91" s="1467" t="s">
        <v>1136</v>
      </c>
      <c r="C91" s="1468"/>
      <c r="D91" s="1469"/>
      <c r="E91" s="1469"/>
      <c r="F91" s="1470"/>
      <c r="G91" s="1471"/>
      <c r="H91" s="1472">
        <v>120</v>
      </c>
      <c r="I91" s="1413" t="s">
        <v>170</v>
      </c>
      <c r="J91" s="1413" t="s">
        <v>170</v>
      </c>
      <c r="K91" s="1473">
        <v>0</v>
      </c>
      <c r="L91" s="1473">
        <v>0</v>
      </c>
      <c r="M91" s="1474">
        <v>0</v>
      </c>
      <c r="N91" s="1413">
        <v>0</v>
      </c>
      <c r="O91" s="1473">
        <v>0</v>
      </c>
      <c r="P91" s="1473">
        <v>0</v>
      </c>
      <c r="Q91" s="1413">
        <v>0</v>
      </c>
      <c r="R91" s="1413">
        <v>0</v>
      </c>
      <c r="S91" s="1475">
        <v>3285</v>
      </c>
      <c r="T91" s="1476">
        <v>0</v>
      </c>
      <c r="U91" s="1476">
        <v>0</v>
      </c>
      <c r="V91" s="1297"/>
    </row>
    <row r="92" spans="1:22" x14ac:dyDescent="0.3">
      <c r="A92" s="1310" t="s">
        <v>786</v>
      </c>
      <c r="B92" s="1477" t="s">
        <v>1337</v>
      </c>
      <c r="C92" s="1297"/>
      <c r="D92" s="1297"/>
      <c r="E92" s="1297"/>
      <c r="F92" s="1297"/>
      <c r="G92" s="1297"/>
      <c r="H92" s="1297"/>
      <c r="I92" s="1297"/>
      <c r="J92" s="1297"/>
      <c r="K92" s="1297"/>
      <c r="L92" s="1297"/>
      <c r="M92" s="1297"/>
      <c r="N92" s="1297"/>
      <c r="O92" s="1297"/>
      <c r="P92" s="1297"/>
      <c r="Q92" s="1297"/>
      <c r="R92" s="1297"/>
      <c r="S92" s="1297"/>
      <c r="T92" s="1297"/>
      <c r="U92" s="1297"/>
      <c r="V92" s="1297"/>
    </row>
  </sheetData>
  <mergeCells count="106">
    <mergeCell ref="B15:S15"/>
    <mergeCell ref="B16:S16"/>
    <mergeCell ref="B17:S17"/>
    <mergeCell ref="B18:S18"/>
    <mergeCell ref="B19:S19"/>
    <mergeCell ref="Q21:U21"/>
    <mergeCell ref="N9:O9"/>
    <mergeCell ref="P9:Q9"/>
    <mergeCell ref="R9:S9"/>
    <mergeCell ref="T9:U9"/>
    <mergeCell ref="B13:S13"/>
    <mergeCell ref="B14:S14"/>
    <mergeCell ref="B9:C10"/>
    <mergeCell ref="D9:E9"/>
    <mergeCell ref="F9:G9"/>
    <mergeCell ref="H9:I9"/>
    <mergeCell ref="J9:K9"/>
    <mergeCell ref="L9:M9"/>
    <mergeCell ref="B26:U26"/>
    <mergeCell ref="B28:B30"/>
    <mergeCell ref="C28:C30"/>
    <mergeCell ref="D28:D30"/>
    <mergeCell ref="E28:E30"/>
    <mergeCell ref="F28:F30"/>
    <mergeCell ref="G28:G30"/>
    <mergeCell ref="H29:I29"/>
    <mergeCell ref="J29:J30"/>
    <mergeCell ref="K29:K30"/>
    <mergeCell ref="S29:S30"/>
    <mergeCell ref="T29:T30"/>
    <mergeCell ref="U29:U30"/>
    <mergeCell ref="B42:V42"/>
    <mergeCell ref="B44:B46"/>
    <mergeCell ref="C44:C46"/>
    <mergeCell ref="D44:D46"/>
    <mergeCell ref="E44:E46"/>
    <mergeCell ref="L44:L46"/>
    <mergeCell ref="M44:R44"/>
    <mergeCell ref="L29:L30"/>
    <mergeCell ref="M29:N29"/>
    <mergeCell ref="O29:O30"/>
    <mergeCell ref="P29:P30"/>
    <mergeCell ref="Q29:Q30"/>
    <mergeCell ref="R29:R30"/>
    <mergeCell ref="S44:S46"/>
    <mergeCell ref="T44:U45"/>
    <mergeCell ref="M45:O45"/>
    <mergeCell ref="P45:R45"/>
    <mergeCell ref="T56:T57"/>
    <mergeCell ref="U56:U57"/>
    <mergeCell ref="B69:U69"/>
    <mergeCell ref="H55:K55"/>
    <mergeCell ref="L55:L57"/>
    <mergeCell ref="M55:P55"/>
    <mergeCell ref="Q55:Q57"/>
    <mergeCell ref="R55:U55"/>
    <mergeCell ref="H56:I56"/>
    <mergeCell ref="J56:J57"/>
    <mergeCell ref="K56:K57"/>
    <mergeCell ref="M56:N56"/>
    <mergeCell ref="O56:O57"/>
    <mergeCell ref="B55:B57"/>
    <mergeCell ref="C55:C57"/>
    <mergeCell ref="D55:D57"/>
    <mergeCell ref="E55:E57"/>
    <mergeCell ref="F55:F57"/>
    <mergeCell ref="G55:G57"/>
    <mergeCell ref="P56:P57"/>
    <mergeCell ref="R56:R57"/>
    <mergeCell ref="S56:S57"/>
    <mergeCell ref="B80:Q80"/>
    <mergeCell ref="R80:U80"/>
    <mergeCell ref="C81:Q81"/>
    <mergeCell ref="T81:U81"/>
    <mergeCell ref="C82:Q82"/>
    <mergeCell ref="T82:U82"/>
    <mergeCell ref="M71:R71"/>
    <mergeCell ref="S71:S73"/>
    <mergeCell ref="T71:U72"/>
    <mergeCell ref="F72:H72"/>
    <mergeCell ref="I72:K72"/>
    <mergeCell ref="M72:O72"/>
    <mergeCell ref="P72:R72"/>
    <mergeCell ref="B71:B73"/>
    <mergeCell ref="C71:C73"/>
    <mergeCell ref="D71:D73"/>
    <mergeCell ref="E71:E73"/>
    <mergeCell ref="F71:K71"/>
    <mergeCell ref="L71:L73"/>
    <mergeCell ref="O87:P88"/>
    <mergeCell ref="Q87:R88"/>
    <mergeCell ref="S87:S89"/>
    <mergeCell ref="T87:U88"/>
    <mergeCell ref="F88:F89"/>
    <mergeCell ref="G88:G89"/>
    <mergeCell ref="H88:H89"/>
    <mergeCell ref="C83:Q83"/>
    <mergeCell ref="T83:U83"/>
    <mergeCell ref="B85:U85"/>
    <mergeCell ref="B87:B89"/>
    <mergeCell ref="C87:C89"/>
    <mergeCell ref="D87:E88"/>
    <mergeCell ref="F87:H87"/>
    <mergeCell ref="I87:J88"/>
    <mergeCell ref="K87:L88"/>
    <mergeCell ref="M87:N88"/>
  </mergeCells>
  <pageMargins left="0.7" right="0.7" top="0.75" bottom="0.75" header="0.3" footer="0.3"/>
  <pageSetup orientation="portrait" r:id="rId1"/>
  <ignoredErrors>
    <ignoredError sqref="D12 I12" unlockedFormula="1"/>
    <ignoredError sqref="E12 F12:H12" formula="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FF0000"/>
  </sheetPr>
  <dimension ref="A1:AO345"/>
  <sheetViews>
    <sheetView workbookViewId="0">
      <selection activeCell="C100" sqref="C100"/>
    </sheetView>
  </sheetViews>
  <sheetFormatPr defaultColWidth="9.109375" defaultRowHeight="14.4" x14ac:dyDescent="0.3"/>
  <cols>
    <col min="2" max="2" width="13.44140625" customWidth="1"/>
    <col min="3" max="3" width="24.109375" bestFit="1" customWidth="1"/>
    <col min="4" max="4" width="18.44140625" customWidth="1"/>
    <col min="5" max="5" width="21.88671875" customWidth="1"/>
    <col min="6" max="6" width="19.88671875" customWidth="1"/>
    <col min="7" max="7" width="13.5546875" customWidth="1"/>
    <col min="8" max="8" width="45.6640625" customWidth="1"/>
    <col min="9" max="9" width="10.5546875" bestFit="1" customWidth="1"/>
    <col min="10" max="10" width="12.88671875" customWidth="1"/>
  </cols>
  <sheetData>
    <row r="1" spans="1:41" x14ac:dyDescent="0.3">
      <c r="A1">
        <v>1</v>
      </c>
      <c r="C1">
        <v>1</v>
      </c>
      <c r="D1">
        <f>C1+1</f>
        <v>2</v>
      </c>
      <c r="E1">
        <f t="shared" ref="E1:T1" si="0">D1+1</f>
        <v>3</v>
      </c>
      <c r="F1">
        <f t="shared" si="0"/>
        <v>4</v>
      </c>
      <c r="G1">
        <f t="shared" si="0"/>
        <v>5</v>
      </c>
      <c r="H1">
        <f t="shared" si="0"/>
        <v>6</v>
      </c>
      <c r="I1">
        <f t="shared" si="0"/>
        <v>7</v>
      </c>
      <c r="J1">
        <f t="shared" si="0"/>
        <v>8</v>
      </c>
      <c r="K1">
        <f t="shared" si="0"/>
        <v>9</v>
      </c>
      <c r="L1">
        <f t="shared" si="0"/>
        <v>10</v>
      </c>
      <c r="M1">
        <f>L1+1</f>
        <v>11</v>
      </c>
      <c r="N1">
        <f t="shared" si="0"/>
        <v>12</v>
      </c>
      <c r="O1">
        <f t="shared" si="0"/>
        <v>13</v>
      </c>
      <c r="P1">
        <f t="shared" si="0"/>
        <v>14</v>
      </c>
      <c r="Q1">
        <f>P1+1</f>
        <v>15</v>
      </c>
      <c r="R1">
        <f t="shared" si="0"/>
        <v>16</v>
      </c>
      <c r="S1">
        <f t="shared" si="0"/>
        <v>17</v>
      </c>
      <c r="T1">
        <f t="shared" si="0"/>
        <v>18</v>
      </c>
      <c r="U1">
        <f t="shared" ref="U1" si="1">T1+1</f>
        <v>19</v>
      </c>
      <c r="V1">
        <f t="shared" ref="V1" si="2">U1+1</f>
        <v>20</v>
      </c>
      <c r="W1">
        <f t="shared" ref="W1" si="3">V1+1</f>
        <v>21</v>
      </c>
      <c r="X1">
        <f t="shared" ref="X1" si="4">W1+1</f>
        <v>22</v>
      </c>
      <c r="Y1">
        <f t="shared" ref="Y1" si="5">X1+1</f>
        <v>23</v>
      </c>
      <c r="Z1">
        <f t="shared" ref="Z1" si="6">Y1+1</f>
        <v>24</v>
      </c>
      <c r="AA1">
        <f t="shared" ref="AA1" si="7">Z1+1</f>
        <v>25</v>
      </c>
      <c r="AB1">
        <f t="shared" ref="AB1" si="8">AA1+1</f>
        <v>26</v>
      </c>
      <c r="AC1">
        <f t="shared" ref="AC1" si="9">AB1+1</f>
        <v>27</v>
      </c>
      <c r="AD1">
        <f t="shared" ref="AD1" si="10">AC1+1</f>
        <v>28</v>
      </c>
      <c r="AE1">
        <f t="shared" ref="AE1" si="11">AD1+1</f>
        <v>29</v>
      </c>
      <c r="AF1">
        <f t="shared" ref="AF1" si="12">AE1+1</f>
        <v>30</v>
      </c>
      <c r="AG1">
        <f t="shared" ref="AG1" si="13">AF1+1</f>
        <v>31</v>
      </c>
      <c r="AH1">
        <f t="shared" ref="AH1" si="14">AG1+1</f>
        <v>32</v>
      </c>
      <c r="AI1">
        <f t="shared" ref="AI1" si="15">AH1+1</f>
        <v>33</v>
      </c>
      <c r="AJ1">
        <f t="shared" ref="AJ1" si="16">AI1+1</f>
        <v>34</v>
      </c>
      <c r="AK1">
        <f t="shared" ref="AK1" si="17">AJ1+1</f>
        <v>35</v>
      </c>
      <c r="AL1">
        <f t="shared" ref="AL1" si="18">AK1+1</f>
        <v>36</v>
      </c>
      <c r="AM1">
        <f t="shared" ref="AM1" si="19">AL1+1</f>
        <v>37</v>
      </c>
      <c r="AN1">
        <f t="shared" ref="AN1" si="20">AM1+1</f>
        <v>38</v>
      </c>
      <c r="AO1">
        <f t="shared" ref="AO1" si="21">AN1+1</f>
        <v>39</v>
      </c>
    </row>
    <row r="2" spans="1:41" x14ac:dyDescent="0.3">
      <c r="A2">
        <f>A1+1</f>
        <v>2</v>
      </c>
      <c r="B2" s="33" t="s">
        <v>167</v>
      </c>
      <c r="C2" t="s">
        <v>847</v>
      </c>
    </row>
    <row r="3" spans="1:41" ht="15" x14ac:dyDescent="0.35">
      <c r="A3">
        <f>A2+1</f>
        <v>3</v>
      </c>
      <c r="B3" s="655" t="s">
        <v>1977</v>
      </c>
      <c r="C3" t="s">
        <v>890</v>
      </c>
      <c r="L3" t="s">
        <v>159</v>
      </c>
      <c r="O3" t="s">
        <v>221</v>
      </c>
      <c r="U3" t="s">
        <v>891</v>
      </c>
    </row>
    <row r="4" spans="1:41" ht="15" x14ac:dyDescent="0.35">
      <c r="A4">
        <f t="shared" ref="A4:B28" si="22">A3+1</f>
        <v>4</v>
      </c>
      <c r="B4" s="654" t="s">
        <v>1978</v>
      </c>
      <c r="C4" t="s">
        <v>2140</v>
      </c>
      <c r="D4" t="s">
        <v>805</v>
      </c>
      <c r="E4" t="s">
        <v>806</v>
      </c>
      <c r="F4" t="s">
        <v>807</v>
      </c>
      <c r="G4" t="s">
        <v>846</v>
      </c>
      <c r="H4" t="s">
        <v>892</v>
      </c>
      <c r="I4" t="s">
        <v>99</v>
      </c>
      <c r="J4" t="s">
        <v>77</v>
      </c>
      <c r="K4" t="s">
        <v>162</v>
      </c>
      <c r="L4" t="s">
        <v>808</v>
      </c>
      <c r="M4" t="s">
        <v>809</v>
      </c>
      <c r="N4" t="s">
        <v>279</v>
      </c>
      <c r="O4" t="s">
        <v>848</v>
      </c>
      <c r="P4" t="s">
        <v>849</v>
      </c>
      <c r="Q4" t="s">
        <v>850</v>
      </c>
      <c r="R4" t="s">
        <v>851</v>
      </c>
      <c r="S4" t="s">
        <v>852</v>
      </c>
      <c r="T4" t="s">
        <v>893</v>
      </c>
      <c r="U4" t="s">
        <v>2141</v>
      </c>
      <c r="V4" t="s">
        <v>894</v>
      </c>
      <c r="W4" t="s">
        <v>2142</v>
      </c>
      <c r="X4" t="s">
        <v>895</v>
      </c>
      <c r="Y4" t="s">
        <v>2143</v>
      </c>
      <c r="Z4" t="s">
        <v>896</v>
      </c>
      <c r="AA4" t="s">
        <v>2144</v>
      </c>
      <c r="AB4" t="s">
        <v>2145</v>
      </c>
      <c r="AC4" t="s">
        <v>2146</v>
      </c>
      <c r="AD4" t="s">
        <v>2147</v>
      </c>
      <c r="AE4" t="s">
        <v>2148</v>
      </c>
      <c r="AF4" t="s">
        <v>2149</v>
      </c>
      <c r="AG4" t="s">
        <v>2150</v>
      </c>
      <c r="AH4" t="s">
        <v>2151</v>
      </c>
      <c r="AI4" t="s">
        <v>2152</v>
      </c>
      <c r="AJ4" t="s">
        <v>2153</v>
      </c>
      <c r="AK4" t="s">
        <v>2154</v>
      </c>
      <c r="AL4" t="s">
        <v>2155</v>
      </c>
      <c r="AM4" t="s">
        <v>2156</v>
      </c>
      <c r="AN4" t="s">
        <v>2157</v>
      </c>
      <c r="AO4" t="s">
        <v>2158</v>
      </c>
    </row>
    <row r="5" spans="1:41" x14ac:dyDescent="0.3">
      <c r="A5">
        <f t="shared" si="22"/>
        <v>5</v>
      </c>
      <c r="B5" s="661" t="s">
        <v>845</v>
      </c>
      <c r="C5" t="s">
        <v>2159</v>
      </c>
      <c r="I5" t="s">
        <v>136</v>
      </c>
      <c r="J5" t="s">
        <v>346</v>
      </c>
      <c r="L5" t="s">
        <v>823</v>
      </c>
      <c r="M5" t="s">
        <v>823</v>
      </c>
      <c r="N5" t="s">
        <v>135</v>
      </c>
      <c r="O5" t="s">
        <v>853</v>
      </c>
      <c r="P5" t="s">
        <v>853</v>
      </c>
      <c r="Q5" t="s">
        <v>854</v>
      </c>
      <c r="R5" t="s">
        <v>853</v>
      </c>
      <c r="S5" t="s">
        <v>854</v>
      </c>
      <c r="T5" t="s">
        <v>853</v>
      </c>
      <c r="U5" t="s">
        <v>136</v>
      </c>
      <c r="V5" t="s">
        <v>136</v>
      </c>
      <c r="W5" t="s">
        <v>136</v>
      </c>
      <c r="X5" t="s">
        <v>136</v>
      </c>
      <c r="Y5" t="s">
        <v>136</v>
      </c>
      <c r="Z5" t="s">
        <v>136</v>
      </c>
      <c r="AA5" t="s">
        <v>136</v>
      </c>
      <c r="AB5" t="s">
        <v>136</v>
      </c>
      <c r="AC5" t="s">
        <v>136</v>
      </c>
      <c r="AD5" t="s">
        <v>136</v>
      </c>
      <c r="AE5" t="s">
        <v>136</v>
      </c>
      <c r="AF5" t="s">
        <v>136</v>
      </c>
      <c r="AG5" t="s">
        <v>136</v>
      </c>
      <c r="AH5" t="s">
        <v>136</v>
      </c>
      <c r="AI5" t="s">
        <v>136</v>
      </c>
      <c r="AJ5" t="s">
        <v>136</v>
      </c>
      <c r="AK5" t="s">
        <v>136</v>
      </c>
      <c r="AL5" t="s">
        <v>136</v>
      </c>
      <c r="AM5" t="s">
        <v>136</v>
      </c>
      <c r="AN5" t="s">
        <v>136</v>
      </c>
      <c r="AO5" t="s">
        <v>136</v>
      </c>
    </row>
    <row r="6" spans="1:41" x14ac:dyDescent="0.3">
      <c r="A6">
        <f t="shared" si="22"/>
        <v>6</v>
      </c>
      <c r="B6">
        <v>1</v>
      </c>
      <c r="C6" t="s">
        <v>2287</v>
      </c>
      <c r="D6" t="s">
        <v>2285</v>
      </c>
      <c r="E6" t="s">
        <v>825</v>
      </c>
      <c r="F6" t="s">
        <v>2265</v>
      </c>
      <c r="G6" t="s">
        <v>166</v>
      </c>
      <c r="H6" t="s">
        <v>2288</v>
      </c>
      <c r="I6">
        <v>602.02739999999994</v>
      </c>
      <c r="J6">
        <v>6020.27</v>
      </c>
      <c r="K6">
        <v>1</v>
      </c>
      <c r="L6">
        <v>10</v>
      </c>
      <c r="M6">
        <v>10</v>
      </c>
      <c r="N6">
        <v>3</v>
      </c>
      <c r="O6">
        <v>236</v>
      </c>
      <c r="P6">
        <v>236</v>
      </c>
      <c r="Q6">
        <v>8760</v>
      </c>
      <c r="R6">
        <v>-99996</v>
      </c>
      <c r="S6">
        <v>0</v>
      </c>
      <c r="T6">
        <v>361.2</v>
      </c>
      <c r="U6">
        <v>0</v>
      </c>
      <c r="V6">
        <v>0</v>
      </c>
      <c r="W6">
        <v>0</v>
      </c>
      <c r="X6">
        <v>0</v>
      </c>
      <c r="Y6">
        <v>0</v>
      </c>
      <c r="Z6">
        <v>0</v>
      </c>
      <c r="AA6">
        <v>0</v>
      </c>
      <c r="AB6">
        <v>0</v>
      </c>
      <c r="AC6">
        <v>0</v>
      </c>
      <c r="AD6">
        <v>0</v>
      </c>
      <c r="AE6">
        <v>0</v>
      </c>
      <c r="AF6">
        <v>0</v>
      </c>
      <c r="AG6">
        <v>0</v>
      </c>
      <c r="AH6">
        <v>0</v>
      </c>
      <c r="AI6">
        <v>0</v>
      </c>
      <c r="AJ6">
        <v>0</v>
      </c>
      <c r="AK6">
        <v>945.9</v>
      </c>
      <c r="AL6">
        <v>0</v>
      </c>
      <c r="AM6">
        <v>0</v>
      </c>
      <c r="AN6">
        <v>602</v>
      </c>
      <c r="AO6">
        <v>0</v>
      </c>
    </row>
    <row r="7" spans="1:41" x14ac:dyDescent="0.3">
      <c r="A7">
        <f t="shared" si="22"/>
        <v>7</v>
      </c>
      <c r="B7" s="10">
        <f>B6+1</f>
        <v>2</v>
      </c>
      <c r="C7" t="s">
        <v>2289</v>
      </c>
      <c r="D7" t="s">
        <v>2285</v>
      </c>
      <c r="E7" t="s">
        <v>825</v>
      </c>
      <c r="F7" t="s">
        <v>2286</v>
      </c>
      <c r="G7" t="s">
        <v>166</v>
      </c>
      <c r="H7" t="s">
        <v>2290</v>
      </c>
      <c r="I7">
        <v>1031.7492</v>
      </c>
      <c r="J7">
        <v>10317.5</v>
      </c>
      <c r="K7">
        <v>1</v>
      </c>
      <c r="L7">
        <v>3</v>
      </c>
      <c r="M7">
        <v>3</v>
      </c>
      <c r="N7">
        <v>1.5</v>
      </c>
      <c r="O7">
        <v>354.9</v>
      </c>
      <c r="P7">
        <v>354.9</v>
      </c>
      <c r="Q7">
        <v>8760</v>
      </c>
      <c r="R7">
        <v>-99996</v>
      </c>
      <c r="S7">
        <v>0</v>
      </c>
      <c r="T7">
        <v>1547.6</v>
      </c>
      <c r="U7">
        <v>0</v>
      </c>
      <c r="V7">
        <v>0</v>
      </c>
      <c r="W7">
        <v>0</v>
      </c>
      <c r="X7">
        <v>0</v>
      </c>
      <c r="Y7">
        <v>0</v>
      </c>
      <c r="Z7">
        <v>0</v>
      </c>
      <c r="AA7">
        <v>0</v>
      </c>
      <c r="AB7">
        <v>0</v>
      </c>
      <c r="AC7">
        <v>0</v>
      </c>
      <c r="AD7">
        <v>0</v>
      </c>
      <c r="AE7">
        <v>0</v>
      </c>
      <c r="AF7">
        <v>0</v>
      </c>
      <c r="AG7">
        <v>0</v>
      </c>
      <c r="AH7">
        <v>0</v>
      </c>
      <c r="AI7">
        <v>0</v>
      </c>
      <c r="AJ7">
        <v>0</v>
      </c>
      <c r="AK7">
        <v>1247.3</v>
      </c>
      <c r="AL7">
        <v>0</v>
      </c>
      <c r="AM7">
        <v>0</v>
      </c>
      <c r="AN7">
        <v>1031.7</v>
      </c>
      <c r="AO7">
        <v>0</v>
      </c>
    </row>
    <row r="8" spans="1:41" x14ac:dyDescent="0.3">
      <c r="A8">
        <f t="shared" si="22"/>
        <v>8</v>
      </c>
      <c r="B8" s="10">
        <f t="shared" si="22"/>
        <v>3</v>
      </c>
      <c r="C8" t="s">
        <v>2291</v>
      </c>
      <c r="D8" t="s">
        <v>2292</v>
      </c>
      <c r="E8" t="s">
        <v>825</v>
      </c>
      <c r="F8" t="s">
        <v>2293</v>
      </c>
      <c r="G8" t="s">
        <v>166</v>
      </c>
      <c r="H8" t="s">
        <v>2294</v>
      </c>
      <c r="I8">
        <v>2056.806</v>
      </c>
      <c r="J8">
        <v>32908.9</v>
      </c>
      <c r="K8">
        <v>1</v>
      </c>
      <c r="L8">
        <v>67</v>
      </c>
      <c r="M8">
        <v>67</v>
      </c>
      <c r="N8">
        <v>68.599999999999994</v>
      </c>
      <c r="O8">
        <v>1596.1</v>
      </c>
      <c r="P8">
        <v>1596.1</v>
      </c>
      <c r="Q8">
        <v>8760</v>
      </c>
      <c r="R8">
        <v>-99996</v>
      </c>
      <c r="S8">
        <v>0</v>
      </c>
      <c r="T8">
        <v>2673.8</v>
      </c>
      <c r="U8">
        <v>0</v>
      </c>
      <c r="V8">
        <v>0</v>
      </c>
      <c r="W8">
        <v>1480.2</v>
      </c>
      <c r="X8">
        <v>592.1</v>
      </c>
      <c r="Y8">
        <v>0</v>
      </c>
      <c r="Z8">
        <v>0</v>
      </c>
      <c r="AA8">
        <v>0</v>
      </c>
      <c r="AB8">
        <v>0</v>
      </c>
      <c r="AC8">
        <v>0</v>
      </c>
      <c r="AD8">
        <v>0</v>
      </c>
      <c r="AE8">
        <v>0</v>
      </c>
      <c r="AF8">
        <v>0</v>
      </c>
      <c r="AG8">
        <v>0</v>
      </c>
      <c r="AH8">
        <v>0</v>
      </c>
      <c r="AI8">
        <v>0</v>
      </c>
      <c r="AJ8">
        <v>0</v>
      </c>
      <c r="AK8">
        <v>0</v>
      </c>
      <c r="AL8">
        <v>0</v>
      </c>
      <c r="AM8">
        <v>0</v>
      </c>
      <c r="AN8">
        <v>2056.8000000000002</v>
      </c>
      <c r="AO8">
        <v>0</v>
      </c>
    </row>
    <row r="9" spans="1:41" x14ac:dyDescent="0.3">
      <c r="A9">
        <f t="shared" si="22"/>
        <v>9</v>
      </c>
      <c r="B9" s="10">
        <f t="shared" si="22"/>
        <v>4</v>
      </c>
      <c r="C9" t="s">
        <v>2295</v>
      </c>
      <c r="D9" t="s">
        <v>2292</v>
      </c>
      <c r="E9" t="s">
        <v>825</v>
      </c>
      <c r="F9" t="s">
        <v>2296</v>
      </c>
      <c r="G9" t="s">
        <v>166</v>
      </c>
      <c r="H9" t="s">
        <v>2297</v>
      </c>
      <c r="I9">
        <v>1350.7968000000001</v>
      </c>
      <c r="J9">
        <v>21612.7</v>
      </c>
      <c r="K9">
        <v>1</v>
      </c>
      <c r="L9">
        <v>67</v>
      </c>
      <c r="M9">
        <v>67</v>
      </c>
      <c r="N9">
        <v>45</v>
      </c>
      <c r="O9">
        <v>907.7</v>
      </c>
      <c r="P9">
        <v>907.7</v>
      </c>
      <c r="Q9">
        <v>8760</v>
      </c>
      <c r="R9">
        <v>-99996</v>
      </c>
      <c r="S9">
        <v>0</v>
      </c>
      <c r="T9">
        <v>1756</v>
      </c>
      <c r="U9">
        <v>0</v>
      </c>
      <c r="V9">
        <v>0</v>
      </c>
      <c r="W9">
        <v>1474.9</v>
      </c>
      <c r="X9">
        <v>590</v>
      </c>
      <c r="Y9">
        <v>0</v>
      </c>
      <c r="Z9">
        <v>0</v>
      </c>
      <c r="AA9">
        <v>0</v>
      </c>
      <c r="AB9">
        <v>0</v>
      </c>
      <c r="AC9">
        <v>56.3</v>
      </c>
      <c r="AD9">
        <v>0</v>
      </c>
      <c r="AE9">
        <v>0</v>
      </c>
      <c r="AF9">
        <v>0</v>
      </c>
      <c r="AG9">
        <v>0</v>
      </c>
      <c r="AH9">
        <v>0</v>
      </c>
      <c r="AI9">
        <v>0</v>
      </c>
      <c r="AJ9">
        <v>0</v>
      </c>
      <c r="AK9">
        <v>0</v>
      </c>
      <c r="AL9">
        <v>0</v>
      </c>
      <c r="AM9">
        <v>0</v>
      </c>
      <c r="AN9">
        <v>1350.8</v>
      </c>
      <c r="AO9">
        <v>0</v>
      </c>
    </row>
    <row r="10" spans="1:41" x14ac:dyDescent="0.3">
      <c r="A10">
        <f t="shared" si="22"/>
        <v>10</v>
      </c>
      <c r="B10" s="10">
        <f t="shared" si="22"/>
        <v>5</v>
      </c>
      <c r="C10" t="s">
        <v>2298</v>
      </c>
      <c r="D10" t="s">
        <v>2292</v>
      </c>
      <c r="E10" t="s">
        <v>825</v>
      </c>
      <c r="F10" t="s">
        <v>2299</v>
      </c>
      <c r="G10" t="s">
        <v>166</v>
      </c>
      <c r="H10" t="s">
        <v>2300</v>
      </c>
      <c r="I10">
        <v>337.37290000000002</v>
      </c>
      <c r="J10">
        <v>5397.97</v>
      </c>
      <c r="K10">
        <v>1</v>
      </c>
      <c r="L10">
        <v>10</v>
      </c>
      <c r="M10">
        <v>10</v>
      </c>
      <c r="N10">
        <v>1.7</v>
      </c>
      <c r="O10">
        <v>110.7</v>
      </c>
      <c r="P10">
        <v>110.7</v>
      </c>
      <c r="Q10">
        <v>8760</v>
      </c>
      <c r="R10">
        <v>-99996</v>
      </c>
      <c r="S10">
        <v>0</v>
      </c>
      <c r="T10">
        <v>168.7</v>
      </c>
      <c r="U10">
        <v>0</v>
      </c>
      <c r="V10">
        <v>0</v>
      </c>
      <c r="W10">
        <v>121.1</v>
      </c>
      <c r="X10">
        <v>48.4</v>
      </c>
      <c r="Y10">
        <v>0</v>
      </c>
      <c r="Z10">
        <v>0</v>
      </c>
      <c r="AA10">
        <v>0</v>
      </c>
      <c r="AB10">
        <v>0</v>
      </c>
      <c r="AC10">
        <v>0</v>
      </c>
      <c r="AD10">
        <v>0</v>
      </c>
      <c r="AE10">
        <v>0</v>
      </c>
      <c r="AF10">
        <v>0</v>
      </c>
      <c r="AG10">
        <v>0</v>
      </c>
      <c r="AH10">
        <v>0</v>
      </c>
      <c r="AI10">
        <v>0</v>
      </c>
      <c r="AJ10">
        <v>0</v>
      </c>
      <c r="AK10">
        <v>0</v>
      </c>
      <c r="AL10">
        <v>0</v>
      </c>
      <c r="AM10">
        <v>0</v>
      </c>
      <c r="AN10">
        <v>337.4</v>
      </c>
      <c r="AO10">
        <v>0</v>
      </c>
    </row>
    <row r="11" spans="1:41" x14ac:dyDescent="0.3">
      <c r="A11">
        <f t="shared" si="22"/>
        <v>11</v>
      </c>
      <c r="B11" s="10">
        <f t="shared" si="22"/>
        <v>6</v>
      </c>
      <c r="C11" t="s">
        <v>2301</v>
      </c>
      <c r="D11" t="s">
        <v>2292</v>
      </c>
      <c r="E11" t="s">
        <v>844</v>
      </c>
      <c r="F11" t="s">
        <v>834</v>
      </c>
      <c r="G11" t="s">
        <v>166</v>
      </c>
      <c r="H11" t="s">
        <v>2297</v>
      </c>
      <c r="I11">
        <v>211.21340000000001</v>
      </c>
      <c r="J11">
        <v>3379.41</v>
      </c>
      <c r="K11">
        <v>1</v>
      </c>
      <c r="L11">
        <v>-99996</v>
      </c>
      <c r="M11">
        <v>0</v>
      </c>
      <c r="N11">
        <v>0</v>
      </c>
      <c r="O11">
        <v>-99996</v>
      </c>
      <c r="P11">
        <v>0</v>
      </c>
      <c r="Q11">
        <v>0</v>
      </c>
      <c r="R11">
        <v>-99996</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211.2</v>
      </c>
      <c r="AO11">
        <v>0</v>
      </c>
    </row>
    <row r="12" spans="1:41" x14ac:dyDescent="0.3">
      <c r="A12">
        <f t="shared" si="22"/>
        <v>12</v>
      </c>
      <c r="B12" s="10">
        <f t="shared" si="22"/>
        <v>7</v>
      </c>
      <c r="C12" t="s">
        <v>2302</v>
      </c>
      <c r="D12" t="s">
        <v>2292</v>
      </c>
      <c r="E12" t="s">
        <v>844</v>
      </c>
      <c r="F12" t="s">
        <v>2265</v>
      </c>
      <c r="G12" t="s">
        <v>166</v>
      </c>
      <c r="H12" t="s">
        <v>2297</v>
      </c>
      <c r="I12">
        <v>183.64619999999999</v>
      </c>
      <c r="J12">
        <v>2938.34</v>
      </c>
      <c r="K12">
        <v>1</v>
      </c>
      <c r="L12">
        <v>10</v>
      </c>
      <c r="M12">
        <v>10</v>
      </c>
      <c r="N12">
        <v>0.9</v>
      </c>
      <c r="O12">
        <v>72</v>
      </c>
      <c r="P12">
        <v>72</v>
      </c>
      <c r="Q12">
        <v>8760</v>
      </c>
      <c r="R12">
        <v>-99996</v>
      </c>
      <c r="S12">
        <v>0</v>
      </c>
      <c r="T12">
        <v>110.2</v>
      </c>
      <c r="U12">
        <v>0</v>
      </c>
      <c r="V12">
        <v>0</v>
      </c>
      <c r="W12">
        <v>0</v>
      </c>
      <c r="X12">
        <v>0</v>
      </c>
      <c r="Y12">
        <v>0</v>
      </c>
      <c r="Z12">
        <v>0</v>
      </c>
      <c r="AA12">
        <v>0</v>
      </c>
      <c r="AB12">
        <v>0</v>
      </c>
      <c r="AC12">
        <v>0</v>
      </c>
      <c r="AD12">
        <v>0</v>
      </c>
      <c r="AE12">
        <v>0</v>
      </c>
      <c r="AF12">
        <v>0</v>
      </c>
      <c r="AG12">
        <v>0</v>
      </c>
      <c r="AH12">
        <v>0</v>
      </c>
      <c r="AI12">
        <v>0</v>
      </c>
      <c r="AJ12">
        <v>0</v>
      </c>
      <c r="AK12">
        <v>0</v>
      </c>
      <c r="AL12">
        <v>0</v>
      </c>
      <c r="AM12">
        <v>0</v>
      </c>
      <c r="AN12">
        <v>183.6</v>
      </c>
      <c r="AO12">
        <v>0</v>
      </c>
    </row>
    <row r="13" spans="1:41" x14ac:dyDescent="0.3">
      <c r="A13">
        <f t="shared" si="22"/>
        <v>13</v>
      </c>
      <c r="B13" s="10">
        <f t="shared" si="22"/>
        <v>8</v>
      </c>
      <c r="C13" t="s">
        <v>2303</v>
      </c>
      <c r="D13" t="s">
        <v>2292</v>
      </c>
      <c r="E13" t="s">
        <v>825</v>
      </c>
      <c r="F13" t="s">
        <v>2435</v>
      </c>
      <c r="G13" t="s">
        <v>166</v>
      </c>
      <c r="H13" t="s">
        <v>2304</v>
      </c>
      <c r="I13">
        <v>1232.3525</v>
      </c>
      <c r="J13">
        <v>19717.599999999999</v>
      </c>
      <c r="K13">
        <v>1</v>
      </c>
      <c r="L13">
        <v>10</v>
      </c>
      <c r="M13">
        <v>10</v>
      </c>
      <c r="N13">
        <v>6.2</v>
      </c>
      <c r="O13">
        <v>1294</v>
      </c>
      <c r="P13">
        <v>1294</v>
      </c>
      <c r="Q13">
        <v>2253</v>
      </c>
      <c r="R13">
        <v>-99996</v>
      </c>
      <c r="S13">
        <v>0</v>
      </c>
      <c r="T13">
        <v>1355.6</v>
      </c>
      <c r="U13">
        <v>0</v>
      </c>
      <c r="V13">
        <v>0</v>
      </c>
      <c r="W13">
        <v>1225.9000000000001</v>
      </c>
      <c r="X13">
        <v>490.4</v>
      </c>
      <c r="Y13">
        <v>0</v>
      </c>
      <c r="Z13">
        <v>0</v>
      </c>
      <c r="AA13">
        <v>0</v>
      </c>
      <c r="AB13">
        <v>0</v>
      </c>
      <c r="AC13">
        <v>0</v>
      </c>
      <c r="AD13">
        <v>0</v>
      </c>
      <c r="AE13">
        <v>0</v>
      </c>
      <c r="AF13">
        <v>0</v>
      </c>
      <c r="AG13">
        <v>0</v>
      </c>
      <c r="AH13">
        <v>0</v>
      </c>
      <c r="AI13">
        <v>0</v>
      </c>
      <c r="AJ13">
        <v>0</v>
      </c>
      <c r="AK13">
        <v>0</v>
      </c>
      <c r="AL13">
        <v>0</v>
      </c>
      <c r="AM13">
        <v>0</v>
      </c>
      <c r="AN13">
        <v>1232.4000000000001</v>
      </c>
      <c r="AO13">
        <v>0</v>
      </c>
    </row>
    <row r="14" spans="1:41" x14ac:dyDescent="0.3">
      <c r="A14">
        <f t="shared" si="22"/>
        <v>14</v>
      </c>
      <c r="B14" s="10">
        <f t="shared" si="22"/>
        <v>9</v>
      </c>
      <c r="C14" t="s">
        <v>2305</v>
      </c>
      <c r="D14" t="s">
        <v>2292</v>
      </c>
      <c r="E14" t="s">
        <v>825</v>
      </c>
      <c r="F14" t="s">
        <v>2435</v>
      </c>
      <c r="G14" t="s">
        <v>166</v>
      </c>
      <c r="H14" t="s">
        <v>2306</v>
      </c>
      <c r="I14">
        <v>4173.6235999999999</v>
      </c>
      <c r="J14">
        <v>66778</v>
      </c>
      <c r="K14">
        <v>1</v>
      </c>
      <c r="L14">
        <v>10</v>
      </c>
      <c r="M14">
        <v>10</v>
      </c>
      <c r="N14">
        <v>20.9</v>
      </c>
      <c r="O14">
        <v>4382.3</v>
      </c>
      <c r="P14">
        <v>4382.3</v>
      </c>
      <c r="Q14">
        <v>2253</v>
      </c>
      <c r="R14">
        <v>-99996</v>
      </c>
      <c r="S14">
        <v>0</v>
      </c>
      <c r="T14">
        <v>4591</v>
      </c>
      <c r="U14">
        <v>0</v>
      </c>
      <c r="V14">
        <v>0</v>
      </c>
      <c r="W14">
        <v>2460.1999999999998</v>
      </c>
      <c r="X14">
        <v>984.1</v>
      </c>
      <c r="Y14">
        <v>0</v>
      </c>
      <c r="Z14">
        <v>0</v>
      </c>
      <c r="AA14">
        <v>0</v>
      </c>
      <c r="AB14">
        <v>0</v>
      </c>
      <c r="AC14">
        <v>0</v>
      </c>
      <c r="AD14">
        <v>0</v>
      </c>
      <c r="AE14">
        <v>0</v>
      </c>
      <c r="AF14">
        <v>0</v>
      </c>
      <c r="AG14">
        <v>0</v>
      </c>
      <c r="AH14">
        <v>0</v>
      </c>
      <c r="AI14">
        <v>0</v>
      </c>
      <c r="AJ14">
        <v>0</v>
      </c>
      <c r="AK14">
        <v>0</v>
      </c>
      <c r="AL14">
        <v>0</v>
      </c>
      <c r="AM14">
        <v>0</v>
      </c>
      <c r="AN14">
        <v>4173.6000000000004</v>
      </c>
      <c r="AO14">
        <v>0</v>
      </c>
    </row>
    <row r="15" spans="1:41" x14ac:dyDescent="0.3">
      <c r="A15">
        <f t="shared" si="22"/>
        <v>15</v>
      </c>
      <c r="B15" s="10">
        <f t="shared" si="22"/>
        <v>10</v>
      </c>
      <c r="C15" t="s">
        <v>2307</v>
      </c>
      <c r="D15" t="s">
        <v>2292</v>
      </c>
      <c r="E15" t="s">
        <v>825</v>
      </c>
      <c r="F15" t="s">
        <v>2435</v>
      </c>
      <c r="G15" t="s">
        <v>166</v>
      </c>
      <c r="H15" t="s">
        <v>2308</v>
      </c>
      <c r="I15">
        <v>2081.0798</v>
      </c>
      <c r="J15">
        <v>33297.300000000003</v>
      </c>
      <c r="K15">
        <v>1</v>
      </c>
      <c r="L15">
        <v>10</v>
      </c>
      <c r="M15">
        <v>10</v>
      </c>
      <c r="N15">
        <v>10.4</v>
      </c>
      <c r="O15">
        <v>2185.1</v>
      </c>
      <c r="P15">
        <v>2185.1</v>
      </c>
      <c r="Q15">
        <v>2253</v>
      </c>
      <c r="R15">
        <v>-99996</v>
      </c>
      <c r="S15">
        <v>0</v>
      </c>
      <c r="T15">
        <v>2289.1999999999998</v>
      </c>
      <c r="U15">
        <v>0</v>
      </c>
      <c r="V15">
        <v>0</v>
      </c>
      <c r="W15">
        <v>2221.8000000000002</v>
      </c>
      <c r="X15">
        <v>776.6</v>
      </c>
      <c r="Y15">
        <v>0</v>
      </c>
      <c r="Z15">
        <v>0</v>
      </c>
      <c r="AA15">
        <v>0</v>
      </c>
      <c r="AB15">
        <v>0</v>
      </c>
      <c r="AC15">
        <v>163</v>
      </c>
      <c r="AD15">
        <v>0</v>
      </c>
      <c r="AE15">
        <v>0</v>
      </c>
      <c r="AF15">
        <v>0</v>
      </c>
      <c r="AG15">
        <v>0</v>
      </c>
      <c r="AH15">
        <v>0</v>
      </c>
      <c r="AI15">
        <v>0</v>
      </c>
      <c r="AJ15">
        <v>0</v>
      </c>
      <c r="AK15">
        <v>0</v>
      </c>
      <c r="AL15">
        <v>0</v>
      </c>
      <c r="AM15">
        <v>0</v>
      </c>
      <c r="AN15">
        <v>2013.9</v>
      </c>
      <c r="AO15">
        <v>0</v>
      </c>
    </row>
    <row r="16" spans="1:41" x14ac:dyDescent="0.3">
      <c r="A16">
        <f t="shared" si="22"/>
        <v>16</v>
      </c>
      <c r="B16" s="10">
        <f t="shared" si="22"/>
        <v>11</v>
      </c>
      <c r="C16" t="s">
        <v>2309</v>
      </c>
      <c r="D16" t="s">
        <v>2292</v>
      </c>
      <c r="E16" t="s">
        <v>825</v>
      </c>
      <c r="F16" t="s">
        <v>2286</v>
      </c>
      <c r="G16" t="s">
        <v>166</v>
      </c>
      <c r="H16" t="s">
        <v>2310</v>
      </c>
      <c r="I16">
        <v>262.20839999999998</v>
      </c>
      <c r="J16">
        <v>4195.33</v>
      </c>
      <c r="K16">
        <v>1</v>
      </c>
      <c r="L16">
        <v>3</v>
      </c>
      <c r="M16">
        <v>3</v>
      </c>
      <c r="N16">
        <v>0.4</v>
      </c>
      <c r="O16">
        <v>90.2</v>
      </c>
      <c r="P16">
        <v>90.2</v>
      </c>
      <c r="Q16">
        <v>8760</v>
      </c>
      <c r="R16">
        <v>-99996</v>
      </c>
      <c r="S16">
        <v>0</v>
      </c>
      <c r="T16">
        <v>393.3</v>
      </c>
      <c r="U16">
        <v>0</v>
      </c>
      <c r="V16">
        <v>0</v>
      </c>
      <c r="W16">
        <v>523</v>
      </c>
      <c r="X16">
        <v>0</v>
      </c>
      <c r="Y16">
        <v>0</v>
      </c>
      <c r="Z16">
        <v>0</v>
      </c>
      <c r="AA16">
        <v>0</v>
      </c>
      <c r="AB16">
        <v>0</v>
      </c>
      <c r="AC16">
        <v>0</v>
      </c>
      <c r="AD16">
        <v>0</v>
      </c>
      <c r="AE16">
        <v>0</v>
      </c>
      <c r="AF16">
        <v>0</v>
      </c>
      <c r="AG16">
        <v>0</v>
      </c>
      <c r="AH16">
        <v>0</v>
      </c>
      <c r="AI16">
        <v>0</v>
      </c>
      <c r="AJ16">
        <v>0</v>
      </c>
      <c r="AK16">
        <v>0</v>
      </c>
      <c r="AL16">
        <v>0</v>
      </c>
      <c r="AM16">
        <v>0</v>
      </c>
      <c r="AN16">
        <v>262.2</v>
      </c>
      <c r="AO16">
        <v>0</v>
      </c>
    </row>
    <row r="17" spans="1:41" x14ac:dyDescent="0.3">
      <c r="A17">
        <f t="shared" si="22"/>
        <v>17</v>
      </c>
      <c r="B17" s="10">
        <f t="shared" si="22"/>
        <v>12</v>
      </c>
      <c r="C17" t="s">
        <v>2311</v>
      </c>
      <c r="D17" t="s">
        <v>2292</v>
      </c>
      <c r="E17" t="s">
        <v>844</v>
      </c>
      <c r="F17" t="s">
        <v>2265</v>
      </c>
      <c r="G17" t="s">
        <v>166</v>
      </c>
      <c r="H17" t="s">
        <v>2312</v>
      </c>
      <c r="I17">
        <v>225.3484</v>
      </c>
      <c r="J17">
        <v>3605.57</v>
      </c>
      <c r="K17">
        <v>1</v>
      </c>
      <c r="L17">
        <v>10</v>
      </c>
      <c r="M17">
        <v>10</v>
      </c>
      <c r="N17">
        <v>1.1000000000000001</v>
      </c>
      <c r="O17">
        <v>88.3</v>
      </c>
      <c r="P17">
        <v>88.3</v>
      </c>
      <c r="Q17">
        <v>8760</v>
      </c>
      <c r="R17">
        <v>-99996</v>
      </c>
      <c r="S17">
        <v>0</v>
      </c>
      <c r="T17">
        <v>135.19999999999999</v>
      </c>
      <c r="U17">
        <v>0</v>
      </c>
      <c r="V17">
        <v>0</v>
      </c>
      <c r="W17">
        <v>135.4</v>
      </c>
      <c r="X17">
        <v>0</v>
      </c>
      <c r="Y17">
        <v>0</v>
      </c>
      <c r="Z17">
        <v>0</v>
      </c>
      <c r="AA17">
        <v>0</v>
      </c>
      <c r="AB17">
        <v>0</v>
      </c>
      <c r="AC17">
        <v>0</v>
      </c>
      <c r="AD17">
        <v>0</v>
      </c>
      <c r="AE17">
        <v>0</v>
      </c>
      <c r="AF17">
        <v>0</v>
      </c>
      <c r="AG17">
        <v>0</v>
      </c>
      <c r="AH17">
        <v>0</v>
      </c>
      <c r="AI17">
        <v>0</v>
      </c>
      <c r="AJ17">
        <v>0</v>
      </c>
      <c r="AK17">
        <v>0</v>
      </c>
      <c r="AL17">
        <v>0</v>
      </c>
      <c r="AM17">
        <v>0</v>
      </c>
      <c r="AN17">
        <v>21</v>
      </c>
      <c r="AO17">
        <v>0</v>
      </c>
    </row>
    <row r="18" spans="1:41" x14ac:dyDescent="0.3">
      <c r="A18">
        <f t="shared" si="22"/>
        <v>18</v>
      </c>
      <c r="B18" s="10">
        <f t="shared" si="22"/>
        <v>13</v>
      </c>
      <c r="C18" t="s">
        <v>2313</v>
      </c>
      <c r="D18" t="s">
        <v>2292</v>
      </c>
      <c r="E18" t="s">
        <v>844</v>
      </c>
      <c r="F18" t="s">
        <v>834</v>
      </c>
      <c r="G18" t="s">
        <v>166</v>
      </c>
      <c r="H18" t="s">
        <v>2312</v>
      </c>
      <c r="I18">
        <v>149.10720000000001</v>
      </c>
      <c r="J18">
        <v>2385.7199999999998</v>
      </c>
      <c r="K18">
        <v>1</v>
      </c>
      <c r="L18">
        <v>-99996</v>
      </c>
      <c r="M18">
        <v>0</v>
      </c>
      <c r="N18">
        <v>0</v>
      </c>
      <c r="O18">
        <v>-99996</v>
      </c>
      <c r="P18">
        <v>0</v>
      </c>
      <c r="Q18">
        <v>0</v>
      </c>
      <c r="R18">
        <v>-99996</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3">
      <c r="A19">
        <f t="shared" si="22"/>
        <v>19</v>
      </c>
      <c r="B19" s="10">
        <f t="shared" si="22"/>
        <v>14</v>
      </c>
      <c r="C19" t="s">
        <v>2314</v>
      </c>
      <c r="D19" t="s">
        <v>2292</v>
      </c>
      <c r="E19" t="s">
        <v>825</v>
      </c>
      <c r="F19" t="s">
        <v>2315</v>
      </c>
      <c r="G19" t="s">
        <v>166</v>
      </c>
      <c r="H19" t="s">
        <v>2316</v>
      </c>
      <c r="I19">
        <v>657.36040000000003</v>
      </c>
      <c r="J19">
        <v>10517.8</v>
      </c>
      <c r="K19">
        <v>1</v>
      </c>
      <c r="L19">
        <v>0</v>
      </c>
      <c r="M19">
        <v>0</v>
      </c>
      <c r="N19">
        <v>0</v>
      </c>
      <c r="O19">
        <v>199.8</v>
      </c>
      <c r="P19">
        <v>199.8</v>
      </c>
      <c r="Q19">
        <v>8760</v>
      </c>
      <c r="R19">
        <v>-99996</v>
      </c>
      <c r="S19">
        <v>0</v>
      </c>
      <c r="T19">
        <v>525.9</v>
      </c>
      <c r="U19">
        <v>0</v>
      </c>
      <c r="V19">
        <v>0</v>
      </c>
      <c r="W19">
        <v>1472.2</v>
      </c>
      <c r="X19">
        <v>0</v>
      </c>
      <c r="Y19">
        <v>0</v>
      </c>
      <c r="Z19">
        <v>0</v>
      </c>
      <c r="AA19">
        <v>0</v>
      </c>
      <c r="AB19">
        <v>0</v>
      </c>
      <c r="AC19">
        <v>657.4</v>
      </c>
      <c r="AD19">
        <v>0</v>
      </c>
      <c r="AE19">
        <v>0</v>
      </c>
      <c r="AF19">
        <v>0</v>
      </c>
      <c r="AG19">
        <v>0</v>
      </c>
      <c r="AH19">
        <v>0</v>
      </c>
      <c r="AI19">
        <v>0</v>
      </c>
      <c r="AJ19">
        <v>0</v>
      </c>
      <c r="AK19">
        <v>0</v>
      </c>
      <c r="AL19">
        <v>0</v>
      </c>
      <c r="AM19">
        <v>0</v>
      </c>
      <c r="AN19">
        <v>657.4</v>
      </c>
      <c r="AO19">
        <v>0</v>
      </c>
    </row>
    <row r="20" spans="1:41" x14ac:dyDescent="0.3">
      <c r="A20">
        <f t="shared" si="22"/>
        <v>20</v>
      </c>
      <c r="B20" s="10">
        <f t="shared" si="22"/>
        <v>15</v>
      </c>
      <c r="C20" t="s">
        <v>2317</v>
      </c>
      <c r="D20" t="s">
        <v>2292</v>
      </c>
      <c r="E20" t="s">
        <v>825</v>
      </c>
      <c r="F20" t="s">
        <v>2286</v>
      </c>
      <c r="G20" t="s">
        <v>166</v>
      </c>
      <c r="H20" t="s">
        <v>2318</v>
      </c>
      <c r="I20">
        <v>1337.0291</v>
      </c>
      <c r="J20">
        <v>21392.5</v>
      </c>
      <c r="K20">
        <v>1</v>
      </c>
      <c r="L20">
        <v>3</v>
      </c>
      <c r="M20">
        <v>3</v>
      </c>
      <c r="N20">
        <v>2</v>
      </c>
      <c r="O20">
        <v>459.9</v>
      </c>
      <c r="P20">
        <v>459.9</v>
      </c>
      <c r="Q20">
        <v>8760</v>
      </c>
      <c r="R20">
        <v>-99996</v>
      </c>
      <c r="S20">
        <v>0</v>
      </c>
      <c r="T20">
        <v>2005.5</v>
      </c>
      <c r="U20">
        <v>0</v>
      </c>
      <c r="V20">
        <v>0</v>
      </c>
      <c r="W20">
        <v>1317.8</v>
      </c>
      <c r="X20">
        <v>0</v>
      </c>
      <c r="Y20">
        <v>361</v>
      </c>
      <c r="Z20">
        <v>0</v>
      </c>
      <c r="AA20">
        <v>0</v>
      </c>
      <c r="AB20">
        <v>0</v>
      </c>
      <c r="AC20">
        <v>0</v>
      </c>
      <c r="AD20">
        <v>0</v>
      </c>
      <c r="AE20">
        <v>0</v>
      </c>
      <c r="AF20">
        <v>0</v>
      </c>
      <c r="AG20">
        <v>0</v>
      </c>
      <c r="AH20">
        <v>0</v>
      </c>
      <c r="AI20">
        <v>0</v>
      </c>
      <c r="AJ20">
        <v>0</v>
      </c>
      <c r="AK20">
        <v>0</v>
      </c>
      <c r="AL20">
        <v>0</v>
      </c>
      <c r="AM20">
        <v>0</v>
      </c>
      <c r="AN20">
        <v>1205.5</v>
      </c>
      <c r="AO20">
        <v>0</v>
      </c>
    </row>
    <row r="21" spans="1:41" x14ac:dyDescent="0.3">
      <c r="A21">
        <f t="shared" si="22"/>
        <v>21</v>
      </c>
      <c r="B21" s="10">
        <f t="shared" si="22"/>
        <v>16</v>
      </c>
      <c r="C21" t="s">
        <v>2319</v>
      </c>
      <c r="D21" t="s">
        <v>2292</v>
      </c>
      <c r="E21" t="s">
        <v>825</v>
      </c>
      <c r="F21" t="s">
        <v>2299</v>
      </c>
      <c r="G21" t="s">
        <v>166</v>
      </c>
      <c r="H21" t="s">
        <v>2312</v>
      </c>
      <c r="I21">
        <v>538.16390000000001</v>
      </c>
      <c r="J21">
        <v>8610.6200000000008</v>
      </c>
      <c r="K21">
        <v>1</v>
      </c>
      <c r="L21">
        <v>10</v>
      </c>
      <c r="M21">
        <v>10</v>
      </c>
      <c r="N21">
        <v>2.7</v>
      </c>
      <c r="O21">
        <v>176.5</v>
      </c>
      <c r="P21">
        <v>176.5</v>
      </c>
      <c r="Q21">
        <v>8760</v>
      </c>
      <c r="R21">
        <v>-99996</v>
      </c>
      <c r="S21">
        <v>0</v>
      </c>
      <c r="T21">
        <v>269.10000000000002</v>
      </c>
      <c r="U21">
        <v>0</v>
      </c>
      <c r="V21">
        <v>0</v>
      </c>
      <c r="W21">
        <v>446.1</v>
      </c>
      <c r="X21">
        <v>0</v>
      </c>
      <c r="Y21">
        <v>249.3</v>
      </c>
      <c r="Z21">
        <v>0</v>
      </c>
      <c r="AA21">
        <v>0</v>
      </c>
      <c r="AB21">
        <v>0</v>
      </c>
      <c r="AC21">
        <v>0</v>
      </c>
      <c r="AD21">
        <v>0</v>
      </c>
      <c r="AE21">
        <v>0</v>
      </c>
      <c r="AF21">
        <v>0</v>
      </c>
      <c r="AG21">
        <v>0</v>
      </c>
      <c r="AH21">
        <v>0</v>
      </c>
      <c r="AI21">
        <v>0</v>
      </c>
      <c r="AJ21">
        <v>0</v>
      </c>
      <c r="AK21">
        <v>0</v>
      </c>
      <c r="AL21">
        <v>0</v>
      </c>
      <c r="AM21">
        <v>0</v>
      </c>
      <c r="AN21">
        <v>156.6</v>
      </c>
      <c r="AO21">
        <v>0</v>
      </c>
    </row>
    <row r="22" spans="1:41" x14ac:dyDescent="0.3">
      <c r="A22">
        <f t="shared" si="22"/>
        <v>22</v>
      </c>
      <c r="B22" s="10">
        <f t="shared" si="22"/>
        <v>17</v>
      </c>
      <c r="C22" t="s">
        <v>2320</v>
      </c>
      <c r="D22" t="s">
        <v>2292</v>
      </c>
      <c r="E22" t="s">
        <v>70</v>
      </c>
      <c r="F22" t="s">
        <v>829</v>
      </c>
      <c r="G22" t="s">
        <v>166</v>
      </c>
      <c r="H22" t="s">
        <v>2321</v>
      </c>
      <c r="I22">
        <v>0</v>
      </c>
      <c r="J22">
        <v>5623.76</v>
      </c>
      <c r="K22">
        <v>1</v>
      </c>
      <c r="L22">
        <v>-99996</v>
      </c>
      <c r="M22">
        <v>0</v>
      </c>
      <c r="N22">
        <v>0</v>
      </c>
      <c r="O22">
        <v>-99996</v>
      </c>
      <c r="P22">
        <v>0</v>
      </c>
      <c r="Q22">
        <v>0</v>
      </c>
      <c r="R22">
        <v>-99996</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row>
    <row r="23" spans="1:41" x14ac:dyDescent="0.3">
      <c r="A23">
        <f t="shared" si="22"/>
        <v>23</v>
      </c>
      <c r="B23" s="10">
        <f t="shared" si="22"/>
        <v>18</v>
      </c>
      <c r="C23" t="s">
        <v>2322</v>
      </c>
      <c r="D23" t="s">
        <v>2323</v>
      </c>
      <c r="E23" t="s">
        <v>825</v>
      </c>
      <c r="F23" t="s">
        <v>2299</v>
      </c>
      <c r="G23" t="s">
        <v>166</v>
      </c>
      <c r="H23" t="s">
        <v>2324</v>
      </c>
      <c r="I23">
        <v>1795.9657999999999</v>
      </c>
      <c r="J23">
        <v>17959.7</v>
      </c>
      <c r="K23">
        <v>1</v>
      </c>
      <c r="L23">
        <v>10</v>
      </c>
      <c r="M23">
        <v>10</v>
      </c>
      <c r="N23">
        <v>9</v>
      </c>
      <c r="O23">
        <v>589.1</v>
      </c>
      <c r="P23">
        <v>589.1</v>
      </c>
      <c r="Q23">
        <v>8760</v>
      </c>
      <c r="R23">
        <v>-99996</v>
      </c>
      <c r="S23">
        <v>0</v>
      </c>
      <c r="T23">
        <v>898</v>
      </c>
      <c r="U23">
        <v>0</v>
      </c>
      <c r="V23">
        <v>0</v>
      </c>
      <c r="W23">
        <v>185.9</v>
      </c>
      <c r="X23">
        <v>12.1</v>
      </c>
      <c r="Y23">
        <v>0</v>
      </c>
      <c r="Z23">
        <v>0</v>
      </c>
      <c r="AA23">
        <v>0</v>
      </c>
      <c r="AB23">
        <v>0</v>
      </c>
      <c r="AC23">
        <v>0</v>
      </c>
      <c r="AD23">
        <v>0</v>
      </c>
      <c r="AE23">
        <v>0</v>
      </c>
      <c r="AF23">
        <v>0</v>
      </c>
      <c r="AG23">
        <v>0</v>
      </c>
      <c r="AH23">
        <v>29.8</v>
      </c>
      <c r="AI23">
        <v>0</v>
      </c>
      <c r="AJ23">
        <v>0</v>
      </c>
      <c r="AK23">
        <v>0</v>
      </c>
      <c r="AL23">
        <v>0</v>
      </c>
      <c r="AM23">
        <v>0</v>
      </c>
      <c r="AN23">
        <v>0</v>
      </c>
      <c r="AO23">
        <v>0</v>
      </c>
    </row>
    <row r="24" spans="1:41" x14ac:dyDescent="0.3">
      <c r="A24">
        <f t="shared" si="22"/>
        <v>24</v>
      </c>
      <c r="B24" s="10">
        <f t="shared" si="22"/>
        <v>19</v>
      </c>
      <c r="C24" t="s">
        <v>2325</v>
      </c>
      <c r="D24" t="s">
        <v>2323</v>
      </c>
      <c r="E24" t="s">
        <v>825</v>
      </c>
      <c r="F24" t="s">
        <v>839</v>
      </c>
      <c r="G24" t="s">
        <v>166</v>
      </c>
      <c r="H24" t="s">
        <v>2326</v>
      </c>
      <c r="I24">
        <v>641.20320000000004</v>
      </c>
      <c r="J24">
        <v>6412.03</v>
      </c>
      <c r="K24">
        <v>1</v>
      </c>
      <c r="L24">
        <v>10</v>
      </c>
      <c r="M24">
        <v>10</v>
      </c>
      <c r="N24">
        <v>3.2</v>
      </c>
      <c r="O24">
        <v>379.6</v>
      </c>
      <c r="P24">
        <v>379.6</v>
      </c>
      <c r="Q24">
        <v>2253</v>
      </c>
      <c r="R24">
        <v>-99996</v>
      </c>
      <c r="S24">
        <v>0</v>
      </c>
      <c r="T24">
        <v>705.3</v>
      </c>
      <c r="U24">
        <v>0</v>
      </c>
      <c r="V24">
        <v>0</v>
      </c>
      <c r="W24">
        <v>511.2</v>
      </c>
      <c r="X24">
        <v>44.2</v>
      </c>
      <c r="Y24">
        <v>0</v>
      </c>
      <c r="Z24">
        <v>0</v>
      </c>
      <c r="AA24">
        <v>0</v>
      </c>
      <c r="AB24">
        <v>0</v>
      </c>
      <c r="AC24">
        <v>57.9</v>
      </c>
      <c r="AD24">
        <v>0</v>
      </c>
      <c r="AE24">
        <v>0</v>
      </c>
      <c r="AF24">
        <v>0</v>
      </c>
      <c r="AG24">
        <v>0</v>
      </c>
      <c r="AH24">
        <v>89.2</v>
      </c>
      <c r="AI24">
        <v>0</v>
      </c>
      <c r="AJ24">
        <v>0</v>
      </c>
      <c r="AK24">
        <v>0</v>
      </c>
      <c r="AL24">
        <v>0</v>
      </c>
      <c r="AM24">
        <v>0</v>
      </c>
      <c r="AN24">
        <v>0</v>
      </c>
      <c r="AO24">
        <v>0</v>
      </c>
    </row>
    <row r="25" spans="1:41" x14ac:dyDescent="0.3">
      <c r="A25">
        <f t="shared" si="22"/>
        <v>25</v>
      </c>
      <c r="B25" s="10">
        <f t="shared" si="22"/>
        <v>20</v>
      </c>
      <c r="C25" t="s">
        <v>2327</v>
      </c>
      <c r="D25" t="s">
        <v>2323</v>
      </c>
      <c r="E25" t="s">
        <v>825</v>
      </c>
      <c r="F25" t="s">
        <v>2328</v>
      </c>
      <c r="G25" t="s">
        <v>165</v>
      </c>
      <c r="H25" t="s">
        <v>2329</v>
      </c>
      <c r="I25">
        <v>1321.32</v>
      </c>
      <c r="J25">
        <v>13213.2</v>
      </c>
      <c r="K25">
        <v>1</v>
      </c>
      <c r="L25">
        <v>2</v>
      </c>
      <c r="M25">
        <v>0</v>
      </c>
      <c r="N25">
        <v>2.9</v>
      </c>
      <c r="O25">
        <v>792.8</v>
      </c>
      <c r="P25">
        <v>792.8</v>
      </c>
      <c r="Q25">
        <v>854</v>
      </c>
      <c r="R25">
        <v>-99996</v>
      </c>
      <c r="S25">
        <v>0</v>
      </c>
      <c r="T25">
        <v>1413.8</v>
      </c>
      <c r="U25">
        <v>455</v>
      </c>
      <c r="V25">
        <v>91</v>
      </c>
      <c r="W25">
        <v>0</v>
      </c>
      <c r="X25">
        <v>0</v>
      </c>
      <c r="Y25">
        <v>0</v>
      </c>
      <c r="Z25">
        <v>0</v>
      </c>
      <c r="AA25">
        <v>142</v>
      </c>
      <c r="AB25">
        <v>0</v>
      </c>
      <c r="AC25">
        <v>0</v>
      </c>
      <c r="AD25">
        <v>0</v>
      </c>
      <c r="AE25">
        <v>0</v>
      </c>
      <c r="AF25">
        <v>0</v>
      </c>
      <c r="AG25">
        <v>270.60000000000002</v>
      </c>
      <c r="AH25">
        <v>0</v>
      </c>
      <c r="AI25">
        <v>0</v>
      </c>
      <c r="AJ25">
        <v>0</v>
      </c>
      <c r="AK25">
        <v>0</v>
      </c>
      <c r="AL25">
        <v>0</v>
      </c>
      <c r="AM25">
        <v>0</v>
      </c>
      <c r="AN25">
        <v>0</v>
      </c>
      <c r="AO25">
        <v>0</v>
      </c>
    </row>
    <row r="26" spans="1:41" x14ac:dyDescent="0.3">
      <c r="A26">
        <f t="shared" si="22"/>
        <v>26</v>
      </c>
      <c r="B26" s="10">
        <f t="shared" si="22"/>
        <v>21</v>
      </c>
      <c r="C26" t="s">
        <v>2330</v>
      </c>
      <c r="D26" t="s">
        <v>2323</v>
      </c>
      <c r="E26" t="s">
        <v>825</v>
      </c>
      <c r="F26" t="s">
        <v>2328</v>
      </c>
      <c r="G26" t="s">
        <v>165</v>
      </c>
      <c r="H26" t="s">
        <v>2331</v>
      </c>
      <c r="I26">
        <v>1116.5980999999999</v>
      </c>
      <c r="J26">
        <v>11166</v>
      </c>
      <c r="K26">
        <v>1</v>
      </c>
      <c r="L26">
        <v>2</v>
      </c>
      <c r="M26">
        <v>0</v>
      </c>
      <c r="N26">
        <v>2.4</v>
      </c>
      <c r="O26">
        <v>670</v>
      </c>
      <c r="P26">
        <v>670</v>
      </c>
      <c r="Q26">
        <v>854</v>
      </c>
      <c r="R26">
        <v>-99996</v>
      </c>
      <c r="S26">
        <v>0</v>
      </c>
      <c r="T26">
        <v>1194.8</v>
      </c>
      <c r="U26">
        <v>655.6</v>
      </c>
      <c r="V26">
        <v>131.1</v>
      </c>
      <c r="W26">
        <v>0</v>
      </c>
      <c r="X26">
        <v>0</v>
      </c>
      <c r="Y26">
        <v>0</v>
      </c>
      <c r="Z26">
        <v>0</v>
      </c>
      <c r="AA26">
        <v>0</v>
      </c>
      <c r="AB26">
        <v>0</v>
      </c>
      <c r="AC26">
        <v>0</v>
      </c>
      <c r="AD26">
        <v>0</v>
      </c>
      <c r="AE26">
        <v>0</v>
      </c>
      <c r="AF26">
        <v>0</v>
      </c>
      <c r="AG26">
        <v>1019.4</v>
      </c>
      <c r="AH26">
        <v>0</v>
      </c>
      <c r="AI26">
        <v>0</v>
      </c>
      <c r="AJ26">
        <v>0</v>
      </c>
      <c r="AK26">
        <v>0</v>
      </c>
      <c r="AL26">
        <v>0</v>
      </c>
      <c r="AM26">
        <v>0</v>
      </c>
      <c r="AN26">
        <v>0</v>
      </c>
      <c r="AO26">
        <v>0</v>
      </c>
    </row>
    <row r="27" spans="1:41" x14ac:dyDescent="0.3">
      <c r="A27">
        <f t="shared" si="22"/>
        <v>27</v>
      </c>
      <c r="B27" s="10">
        <f t="shared" si="22"/>
        <v>22</v>
      </c>
      <c r="C27" t="s">
        <v>2332</v>
      </c>
      <c r="D27" t="s">
        <v>2323</v>
      </c>
      <c r="E27" t="s">
        <v>844</v>
      </c>
      <c r="F27" t="s">
        <v>2315</v>
      </c>
      <c r="G27" t="s">
        <v>166</v>
      </c>
      <c r="H27" t="s">
        <v>2324</v>
      </c>
      <c r="I27">
        <v>135.05760000000001</v>
      </c>
      <c r="J27">
        <v>1350.58</v>
      </c>
      <c r="K27">
        <v>1</v>
      </c>
      <c r="L27">
        <v>0</v>
      </c>
      <c r="M27">
        <v>0</v>
      </c>
      <c r="N27">
        <v>0</v>
      </c>
      <c r="O27">
        <v>41.1</v>
      </c>
      <c r="P27">
        <v>41.1</v>
      </c>
      <c r="Q27">
        <v>8760</v>
      </c>
      <c r="R27">
        <v>-99996</v>
      </c>
      <c r="S27">
        <v>0</v>
      </c>
      <c r="T27">
        <v>108</v>
      </c>
      <c r="U27">
        <v>0</v>
      </c>
      <c r="V27">
        <v>0</v>
      </c>
      <c r="W27">
        <v>0</v>
      </c>
      <c r="X27">
        <v>0</v>
      </c>
      <c r="Y27">
        <v>0</v>
      </c>
      <c r="Z27">
        <v>0</v>
      </c>
      <c r="AA27">
        <v>0</v>
      </c>
      <c r="AB27">
        <v>0</v>
      </c>
      <c r="AC27">
        <v>0</v>
      </c>
      <c r="AD27">
        <v>0</v>
      </c>
      <c r="AE27">
        <v>0</v>
      </c>
      <c r="AF27">
        <v>0</v>
      </c>
      <c r="AG27">
        <v>0</v>
      </c>
      <c r="AH27">
        <v>71.900000000000006</v>
      </c>
      <c r="AI27">
        <v>0</v>
      </c>
      <c r="AJ27">
        <v>0</v>
      </c>
      <c r="AK27">
        <v>0</v>
      </c>
      <c r="AL27">
        <v>0</v>
      </c>
      <c r="AM27">
        <v>0</v>
      </c>
      <c r="AN27">
        <v>0</v>
      </c>
      <c r="AO27">
        <v>0</v>
      </c>
    </row>
    <row r="28" spans="1:41" x14ac:dyDescent="0.3">
      <c r="A28">
        <f t="shared" si="22"/>
        <v>28</v>
      </c>
      <c r="B28" s="10">
        <f t="shared" si="22"/>
        <v>23</v>
      </c>
      <c r="C28" t="s">
        <v>2333</v>
      </c>
      <c r="D28" t="s">
        <v>2323</v>
      </c>
      <c r="E28" t="s">
        <v>825</v>
      </c>
      <c r="F28" t="s">
        <v>2328</v>
      </c>
      <c r="G28" t="s">
        <v>165</v>
      </c>
      <c r="H28" t="s">
        <v>2334</v>
      </c>
      <c r="I28">
        <v>3678.0304999999998</v>
      </c>
      <c r="J28">
        <v>36780.300000000003</v>
      </c>
      <c r="K28">
        <v>1</v>
      </c>
      <c r="L28">
        <v>2</v>
      </c>
      <c r="M28">
        <v>0</v>
      </c>
      <c r="N28">
        <v>8.1</v>
      </c>
      <c r="O28">
        <v>2206.8000000000002</v>
      </c>
      <c r="P28">
        <v>2206.8000000000002</v>
      </c>
      <c r="Q28">
        <v>854</v>
      </c>
      <c r="R28">
        <v>-99996</v>
      </c>
      <c r="S28">
        <v>0</v>
      </c>
      <c r="T28">
        <v>3935.5</v>
      </c>
      <c r="U28">
        <v>1428.2</v>
      </c>
      <c r="V28">
        <v>285.60000000000002</v>
      </c>
      <c r="W28">
        <v>0</v>
      </c>
      <c r="X28">
        <v>0</v>
      </c>
      <c r="Y28">
        <v>0</v>
      </c>
      <c r="Z28">
        <v>0</v>
      </c>
      <c r="AA28">
        <v>0</v>
      </c>
      <c r="AB28">
        <v>0</v>
      </c>
      <c r="AC28">
        <v>0</v>
      </c>
      <c r="AD28">
        <v>0</v>
      </c>
      <c r="AE28">
        <v>0</v>
      </c>
      <c r="AF28">
        <v>0</v>
      </c>
      <c r="AG28">
        <v>633</v>
      </c>
      <c r="AH28">
        <v>0</v>
      </c>
      <c r="AI28">
        <v>0</v>
      </c>
      <c r="AJ28">
        <v>0</v>
      </c>
      <c r="AK28">
        <v>0</v>
      </c>
      <c r="AL28">
        <v>0</v>
      </c>
      <c r="AM28">
        <v>0</v>
      </c>
      <c r="AN28">
        <v>0</v>
      </c>
      <c r="AO28">
        <v>0</v>
      </c>
    </row>
    <row r="29" spans="1:41" x14ac:dyDescent="0.3">
      <c r="A29">
        <f t="shared" ref="A29" si="23">A28+1</f>
        <v>29</v>
      </c>
      <c r="B29" s="10">
        <f t="shared" ref="B29:B92" si="24">B28+1</f>
        <v>24</v>
      </c>
      <c r="C29" t="s">
        <v>2335</v>
      </c>
      <c r="D29" t="s">
        <v>2323</v>
      </c>
      <c r="E29" t="s">
        <v>825</v>
      </c>
      <c r="F29" t="s">
        <v>2328</v>
      </c>
      <c r="G29" t="s">
        <v>165</v>
      </c>
      <c r="H29" t="s">
        <v>2336</v>
      </c>
      <c r="I29">
        <v>1160.8827000000001</v>
      </c>
      <c r="J29">
        <v>11608.8</v>
      </c>
      <c r="K29">
        <v>1</v>
      </c>
      <c r="L29">
        <v>2</v>
      </c>
      <c r="M29">
        <v>0</v>
      </c>
      <c r="N29">
        <v>2.5</v>
      </c>
      <c r="O29">
        <v>696.5</v>
      </c>
      <c r="P29">
        <v>696.5</v>
      </c>
      <c r="Q29">
        <v>854</v>
      </c>
      <c r="R29">
        <v>-99996</v>
      </c>
      <c r="S29">
        <v>0</v>
      </c>
      <c r="T29">
        <v>1242.0999999999999</v>
      </c>
      <c r="U29">
        <v>531.70000000000005</v>
      </c>
      <c r="V29">
        <v>106.3</v>
      </c>
      <c r="W29">
        <v>0</v>
      </c>
      <c r="X29">
        <v>0</v>
      </c>
      <c r="Y29">
        <v>0</v>
      </c>
      <c r="Z29">
        <v>0</v>
      </c>
      <c r="AA29">
        <v>0</v>
      </c>
      <c r="AB29">
        <v>0</v>
      </c>
      <c r="AC29">
        <v>0</v>
      </c>
      <c r="AD29">
        <v>0</v>
      </c>
      <c r="AE29">
        <v>0</v>
      </c>
      <c r="AF29">
        <v>0</v>
      </c>
      <c r="AG29">
        <v>211.3</v>
      </c>
      <c r="AH29">
        <v>0</v>
      </c>
      <c r="AI29">
        <v>0</v>
      </c>
      <c r="AJ29">
        <v>0</v>
      </c>
      <c r="AK29">
        <v>0</v>
      </c>
      <c r="AL29">
        <v>0</v>
      </c>
      <c r="AM29">
        <v>0</v>
      </c>
      <c r="AN29">
        <v>0</v>
      </c>
      <c r="AO29">
        <v>0</v>
      </c>
    </row>
    <row r="30" spans="1:41" x14ac:dyDescent="0.3">
      <c r="A30">
        <f t="shared" ref="A30" si="25">A29+1</f>
        <v>30</v>
      </c>
      <c r="B30" s="10">
        <f t="shared" si="24"/>
        <v>25</v>
      </c>
      <c r="C30" t="s">
        <v>2337</v>
      </c>
      <c r="D30" t="s">
        <v>2323</v>
      </c>
      <c r="E30" t="s">
        <v>825</v>
      </c>
      <c r="F30" t="s">
        <v>2328</v>
      </c>
      <c r="G30" t="s">
        <v>165</v>
      </c>
      <c r="H30" t="s">
        <v>2338</v>
      </c>
      <c r="I30">
        <v>1858.692</v>
      </c>
      <c r="J30">
        <v>18586.900000000001</v>
      </c>
      <c r="K30">
        <v>1</v>
      </c>
      <c r="L30">
        <v>2</v>
      </c>
      <c r="M30">
        <v>0</v>
      </c>
      <c r="N30">
        <v>4.0999999999999996</v>
      </c>
      <c r="O30">
        <v>1115.2</v>
      </c>
      <c r="P30">
        <v>1115.2</v>
      </c>
      <c r="Q30">
        <v>854</v>
      </c>
      <c r="R30">
        <v>-99996</v>
      </c>
      <c r="S30">
        <v>0</v>
      </c>
      <c r="T30">
        <v>1988.8</v>
      </c>
      <c r="U30">
        <v>809.1</v>
      </c>
      <c r="V30">
        <v>161.80000000000001</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3">
      <c r="A31">
        <f t="shared" ref="A31" si="26">A30+1</f>
        <v>31</v>
      </c>
      <c r="B31" s="10">
        <f t="shared" si="24"/>
        <v>26</v>
      </c>
      <c r="C31" t="s">
        <v>2339</v>
      </c>
      <c r="D31" t="s">
        <v>2323</v>
      </c>
      <c r="E31" t="s">
        <v>825</v>
      </c>
      <c r="F31" t="s">
        <v>2328</v>
      </c>
      <c r="G31" t="s">
        <v>165</v>
      </c>
      <c r="H31" t="s">
        <v>2340</v>
      </c>
      <c r="I31">
        <v>872.66200000000003</v>
      </c>
      <c r="J31">
        <v>8726.6200000000008</v>
      </c>
      <c r="K31">
        <v>1</v>
      </c>
      <c r="L31">
        <v>2</v>
      </c>
      <c r="M31">
        <v>0</v>
      </c>
      <c r="N31">
        <v>1.9</v>
      </c>
      <c r="O31">
        <v>523.6</v>
      </c>
      <c r="P31">
        <v>523.6</v>
      </c>
      <c r="Q31">
        <v>854</v>
      </c>
      <c r="R31">
        <v>-99996</v>
      </c>
      <c r="S31">
        <v>0</v>
      </c>
      <c r="T31">
        <v>933.7</v>
      </c>
      <c r="U31">
        <v>590.9</v>
      </c>
      <c r="V31">
        <v>118.2</v>
      </c>
      <c r="W31">
        <v>0</v>
      </c>
      <c r="X31">
        <v>0</v>
      </c>
      <c r="Y31">
        <v>0</v>
      </c>
      <c r="Z31">
        <v>0</v>
      </c>
      <c r="AA31">
        <v>0</v>
      </c>
      <c r="AB31">
        <v>0</v>
      </c>
      <c r="AC31">
        <v>0</v>
      </c>
      <c r="AD31">
        <v>0</v>
      </c>
      <c r="AE31">
        <v>0</v>
      </c>
      <c r="AF31">
        <v>0</v>
      </c>
      <c r="AG31">
        <v>143.80000000000001</v>
      </c>
      <c r="AH31">
        <v>0</v>
      </c>
      <c r="AI31">
        <v>0</v>
      </c>
      <c r="AJ31">
        <v>0</v>
      </c>
      <c r="AK31">
        <v>0</v>
      </c>
      <c r="AL31">
        <v>0</v>
      </c>
      <c r="AM31">
        <v>0</v>
      </c>
      <c r="AN31">
        <v>0</v>
      </c>
      <c r="AO31">
        <v>0</v>
      </c>
    </row>
    <row r="32" spans="1:41" x14ac:dyDescent="0.3">
      <c r="A32">
        <f t="shared" ref="A32" si="27">A31+1</f>
        <v>32</v>
      </c>
      <c r="B32" s="10">
        <f t="shared" si="24"/>
        <v>27</v>
      </c>
      <c r="C32" t="s">
        <v>2341</v>
      </c>
      <c r="D32" t="s">
        <v>2323</v>
      </c>
      <c r="E32" t="s">
        <v>825</v>
      </c>
      <c r="F32" t="s">
        <v>2328</v>
      </c>
      <c r="G32" t="s">
        <v>165</v>
      </c>
      <c r="H32" t="s">
        <v>2342</v>
      </c>
      <c r="I32">
        <v>1347.52</v>
      </c>
      <c r="J32">
        <v>13475.2</v>
      </c>
      <c r="K32">
        <v>1</v>
      </c>
      <c r="L32">
        <v>2</v>
      </c>
      <c r="M32">
        <v>0</v>
      </c>
      <c r="N32">
        <v>3</v>
      </c>
      <c r="O32">
        <v>808.5</v>
      </c>
      <c r="P32">
        <v>808.5</v>
      </c>
      <c r="Q32">
        <v>854</v>
      </c>
      <c r="R32">
        <v>-99996</v>
      </c>
      <c r="S32">
        <v>0</v>
      </c>
      <c r="T32">
        <v>1441.8</v>
      </c>
      <c r="U32">
        <v>858.4</v>
      </c>
      <c r="V32">
        <v>171.7</v>
      </c>
      <c r="W32">
        <v>0</v>
      </c>
      <c r="X32">
        <v>0</v>
      </c>
      <c r="Y32">
        <v>0</v>
      </c>
      <c r="Z32">
        <v>0</v>
      </c>
      <c r="AA32">
        <v>0</v>
      </c>
      <c r="AB32">
        <v>0</v>
      </c>
      <c r="AC32">
        <v>0</v>
      </c>
      <c r="AD32">
        <v>0</v>
      </c>
      <c r="AE32">
        <v>0</v>
      </c>
      <c r="AF32">
        <v>0</v>
      </c>
      <c r="AG32">
        <v>272.5</v>
      </c>
      <c r="AH32">
        <v>0</v>
      </c>
      <c r="AI32">
        <v>0</v>
      </c>
      <c r="AJ32">
        <v>0</v>
      </c>
      <c r="AK32">
        <v>0</v>
      </c>
      <c r="AL32">
        <v>0</v>
      </c>
      <c r="AM32">
        <v>0</v>
      </c>
      <c r="AN32">
        <v>0</v>
      </c>
      <c r="AO32">
        <v>0</v>
      </c>
    </row>
    <row r="33" spans="1:41" x14ac:dyDescent="0.3">
      <c r="A33">
        <f t="shared" ref="A33" si="28">A32+1</f>
        <v>33</v>
      </c>
      <c r="B33" s="10">
        <f t="shared" si="24"/>
        <v>28</v>
      </c>
      <c r="C33" t="s">
        <v>2343</v>
      </c>
      <c r="D33" t="s">
        <v>2323</v>
      </c>
      <c r="E33" t="s">
        <v>825</v>
      </c>
      <c r="F33" t="s">
        <v>2344</v>
      </c>
      <c r="G33" t="s">
        <v>166</v>
      </c>
      <c r="H33" t="s">
        <v>2345</v>
      </c>
      <c r="I33">
        <v>272.42880000000002</v>
      </c>
      <c r="J33">
        <v>2724.29</v>
      </c>
      <c r="K33">
        <v>1</v>
      </c>
      <c r="L33">
        <v>10</v>
      </c>
      <c r="M33">
        <v>10</v>
      </c>
      <c r="N33">
        <v>2.7</v>
      </c>
      <c r="O33">
        <v>115.5</v>
      </c>
      <c r="P33">
        <v>115.5</v>
      </c>
      <c r="Q33">
        <v>8760</v>
      </c>
      <c r="R33">
        <v>-99996</v>
      </c>
      <c r="S33">
        <v>0</v>
      </c>
      <c r="T33">
        <v>163.5</v>
      </c>
      <c r="U33">
        <v>0</v>
      </c>
      <c r="V33">
        <v>0</v>
      </c>
      <c r="W33">
        <v>65</v>
      </c>
      <c r="X33">
        <v>13</v>
      </c>
      <c r="Y33">
        <v>0</v>
      </c>
      <c r="Z33">
        <v>0</v>
      </c>
      <c r="AA33">
        <v>0</v>
      </c>
      <c r="AB33">
        <v>0</v>
      </c>
      <c r="AC33">
        <v>0</v>
      </c>
      <c r="AD33">
        <v>0</v>
      </c>
      <c r="AE33">
        <v>0</v>
      </c>
      <c r="AF33">
        <v>0</v>
      </c>
      <c r="AG33">
        <v>0</v>
      </c>
      <c r="AH33">
        <v>0</v>
      </c>
      <c r="AI33">
        <v>0</v>
      </c>
      <c r="AJ33">
        <v>0</v>
      </c>
      <c r="AK33">
        <v>0</v>
      </c>
      <c r="AL33">
        <v>0</v>
      </c>
      <c r="AM33">
        <v>0</v>
      </c>
      <c r="AN33">
        <v>0</v>
      </c>
      <c r="AO33">
        <v>0</v>
      </c>
    </row>
    <row r="34" spans="1:41" x14ac:dyDescent="0.3">
      <c r="A34">
        <f t="shared" ref="A34" si="29">A33+1</f>
        <v>34</v>
      </c>
      <c r="B34" s="10">
        <f t="shared" si="24"/>
        <v>29</v>
      </c>
      <c r="C34" t="s">
        <v>2346</v>
      </c>
      <c r="D34" t="s">
        <v>2323</v>
      </c>
      <c r="E34" t="s">
        <v>844</v>
      </c>
      <c r="F34" t="s">
        <v>834</v>
      </c>
      <c r="G34" t="s">
        <v>165</v>
      </c>
      <c r="H34" t="s">
        <v>2324</v>
      </c>
      <c r="I34">
        <v>211.21340000000001</v>
      </c>
      <c r="J34">
        <v>2112.13</v>
      </c>
      <c r="K34">
        <v>1</v>
      </c>
      <c r="L34">
        <v>-99996</v>
      </c>
      <c r="M34">
        <v>0</v>
      </c>
      <c r="N34">
        <v>0</v>
      </c>
      <c r="O34">
        <v>-99996</v>
      </c>
      <c r="P34">
        <v>0</v>
      </c>
      <c r="Q34">
        <v>0</v>
      </c>
      <c r="R34">
        <v>-99996</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3">
      <c r="A35">
        <f t="shared" ref="A35" si="30">A34+1</f>
        <v>35</v>
      </c>
      <c r="B35" s="10">
        <f t="shared" si="24"/>
        <v>30</v>
      </c>
      <c r="C35" t="s">
        <v>2347</v>
      </c>
      <c r="D35" t="s">
        <v>2323</v>
      </c>
      <c r="E35" t="s">
        <v>844</v>
      </c>
      <c r="F35" t="s">
        <v>2265</v>
      </c>
      <c r="G35" t="s">
        <v>166</v>
      </c>
      <c r="H35" t="s">
        <v>2324</v>
      </c>
      <c r="I35">
        <v>236.34819999999999</v>
      </c>
      <c r="J35">
        <v>2363.48</v>
      </c>
      <c r="K35">
        <v>1</v>
      </c>
      <c r="L35">
        <v>10</v>
      </c>
      <c r="M35">
        <v>10</v>
      </c>
      <c r="N35">
        <v>1.2</v>
      </c>
      <c r="O35">
        <v>92.6</v>
      </c>
      <c r="P35">
        <v>92.6</v>
      </c>
      <c r="Q35">
        <v>8760</v>
      </c>
      <c r="R35">
        <v>-99996</v>
      </c>
      <c r="S35">
        <v>0</v>
      </c>
      <c r="T35">
        <v>141.80000000000001</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3">
      <c r="A36">
        <f t="shared" ref="A36" si="31">A35+1</f>
        <v>36</v>
      </c>
      <c r="B36" s="10">
        <f t="shared" si="24"/>
        <v>31</v>
      </c>
      <c r="C36" t="s">
        <v>2348</v>
      </c>
      <c r="D36" t="s">
        <v>2323</v>
      </c>
      <c r="E36" t="s">
        <v>825</v>
      </c>
      <c r="F36" t="s">
        <v>2328</v>
      </c>
      <c r="G36" t="s">
        <v>165</v>
      </c>
      <c r="H36" t="s">
        <v>2349</v>
      </c>
      <c r="I36">
        <v>3034.0410000000002</v>
      </c>
      <c r="J36">
        <v>30340.400000000001</v>
      </c>
      <c r="K36">
        <v>1</v>
      </c>
      <c r="L36">
        <v>2</v>
      </c>
      <c r="M36">
        <v>0</v>
      </c>
      <c r="N36">
        <v>6.7</v>
      </c>
      <c r="O36">
        <v>1820.4</v>
      </c>
      <c r="P36">
        <v>1820.4</v>
      </c>
      <c r="Q36">
        <v>854</v>
      </c>
      <c r="R36">
        <v>-99996</v>
      </c>
      <c r="S36">
        <v>0</v>
      </c>
      <c r="T36">
        <v>3246.4</v>
      </c>
      <c r="U36">
        <v>1016.9</v>
      </c>
      <c r="V36">
        <v>203.4</v>
      </c>
      <c r="W36">
        <v>0</v>
      </c>
      <c r="X36">
        <v>0</v>
      </c>
      <c r="Y36">
        <v>0</v>
      </c>
      <c r="Z36">
        <v>0</v>
      </c>
      <c r="AA36">
        <v>0</v>
      </c>
      <c r="AB36">
        <v>0</v>
      </c>
      <c r="AC36">
        <v>0</v>
      </c>
      <c r="AD36">
        <v>0</v>
      </c>
      <c r="AE36">
        <v>0</v>
      </c>
      <c r="AF36">
        <v>0</v>
      </c>
      <c r="AG36">
        <v>1795.2</v>
      </c>
      <c r="AH36">
        <v>0</v>
      </c>
      <c r="AI36">
        <v>0</v>
      </c>
      <c r="AJ36">
        <v>0</v>
      </c>
      <c r="AK36">
        <v>0</v>
      </c>
      <c r="AL36">
        <v>0</v>
      </c>
      <c r="AM36">
        <v>0</v>
      </c>
      <c r="AN36">
        <v>0</v>
      </c>
      <c r="AO36">
        <v>0</v>
      </c>
    </row>
    <row r="37" spans="1:41" x14ac:dyDescent="0.3">
      <c r="A37">
        <f t="shared" ref="A37" si="32">A36+1</f>
        <v>37</v>
      </c>
      <c r="B37" s="10">
        <f t="shared" si="24"/>
        <v>32</v>
      </c>
      <c r="C37" t="s">
        <v>2350</v>
      </c>
      <c r="D37" t="s">
        <v>2323</v>
      </c>
      <c r="E37" t="s">
        <v>844</v>
      </c>
      <c r="F37" t="s">
        <v>2286</v>
      </c>
      <c r="G37" t="s">
        <v>166</v>
      </c>
      <c r="H37" t="s">
        <v>2324</v>
      </c>
      <c r="I37">
        <v>347.74279999999999</v>
      </c>
      <c r="J37">
        <v>3477.43</v>
      </c>
      <c r="K37">
        <v>1</v>
      </c>
      <c r="L37">
        <v>3</v>
      </c>
      <c r="M37">
        <v>3</v>
      </c>
      <c r="N37">
        <v>0.5</v>
      </c>
      <c r="O37">
        <v>119.6</v>
      </c>
      <c r="P37">
        <v>119.6</v>
      </c>
      <c r="Q37">
        <v>8760</v>
      </c>
      <c r="R37">
        <v>-99996</v>
      </c>
      <c r="S37">
        <v>0</v>
      </c>
      <c r="T37">
        <v>521.6</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3">
      <c r="A38">
        <f t="shared" ref="A38" si="33">A37+1</f>
        <v>38</v>
      </c>
      <c r="B38" s="10">
        <f t="shared" si="24"/>
        <v>33</v>
      </c>
      <c r="C38" t="s">
        <v>2351</v>
      </c>
      <c r="D38" t="s">
        <v>2323</v>
      </c>
      <c r="E38" t="s">
        <v>844</v>
      </c>
      <c r="F38" t="s">
        <v>834</v>
      </c>
      <c r="G38" t="s">
        <v>166</v>
      </c>
      <c r="H38" t="s">
        <v>2324</v>
      </c>
      <c r="I38">
        <v>178.88640000000001</v>
      </c>
      <c r="J38">
        <v>1788.86</v>
      </c>
      <c r="K38">
        <v>1</v>
      </c>
      <c r="L38">
        <v>-99996</v>
      </c>
      <c r="M38">
        <v>0</v>
      </c>
      <c r="N38">
        <v>0</v>
      </c>
      <c r="O38">
        <v>-99996</v>
      </c>
      <c r="P38">
        <v>0</v>
      </c>
      <c r="Q38">
        <v>0</v>
      </c>
      <c r="R38">
        <v>-99996</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row>
    <row r="39" spans="1:41" x14ac:dyDescent="0.3">
      <c r="A39">
        <f t="shared" ref="A39" si="34">A38+1</f>
        <v>39</v>
      </c>
      <c r="B39" s="10">
        <f t="shared" si="24"/>
        <v>34</v>
      </c>
      <c r="C39" t="s">
        <v>2352</v>
      </c>
      <c r="D39" t="s">
        <v>2323</v>
      </c>
      <c r="E39" t="s">
        <v>844</v>
      </c>
      <c r="F39" t="s">
        <v>2265</v>
      </c>
      <c r="G39" t="s">
        <v>166</v>
      </c>
      <c r="H39" t="s">
        <v>2324</v>
      </c>
      <c r="I39">
        <v>232.53399999999999</v>
      </c>
      <c r="J39">
        <v>2325.34</v>
      </c>
      <c r="K39">
        <v>1</v>
      </c>
      <c r="L39">
        <v>10</v>
      </c>
      <c r="M39">
        <v>10</v>
      </c>
      <c r="N39">
        <v>1.2</v>
      </c>
      <c r="O39">
        <v>91.2</v>
      </c>
      <c r="P39">
        <v>91.2</v>
      </c>
      <c r="Q39">
        <v>8760</v>
      </c>
      <c r="R39">
        <v>-99996</v>
      </c>
      <c r="S39">
        <v>0</v>
      </c>
      <c r="T39">
        <v>139.5</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3">
      <c r="A40">
        <f t="shared" ref="A40" si="35">A39+1</f>
        <v>40</v>
      </c>
      <c r="B40" s="10">
        <f t="shared" si="24"/>
        <v>35</v>
      </c>
      <c r="C40" t="s">
        <v>2353</v>
      </c>
      <c r="D40" t="s">
        <v>2323</v>
      </c>
      <c r="E40" t="s">
        <v>825</v>
      </c>
      <c r="F40" t="s">
        <v>2328</v>
      </c>
      <c r="G40" t="s">
        <v>165</v>
      </c>
      <c r="H40" t="s">
        <v>2354</v>
      </c>
      <c r="I40">
        <v>839.5806</v>
      </c>
      <c r="J40">
        <v>8395.81</v>
      </c>
      <c r="K40">
        <v>1</v>
      </c>
      <c r="L40">
        <v>2</v>
      </c>
      <c r="M40">
        <v>0</v>
      </c>
      <c r="N40">
        <v>1.8</v>
      </c>
      <c r="O40">
        <v>503.7</v>
      </c>
      <c r="P40">
        <v>503.7</v>
      </c>
      <c r="Q40">
        <v>854</v>
      </c>
      <c r="R40">
        <v>-99996</v>
      </c>
      <c r="S40">
        <v>0</v>
      </c>
      <c r="T40">
        <v>898.4</v>
      </c>
      <c r="U40">
        <v>502.6</v>
      </c>
      <c r="V40">
        <v>70.3</v>
      </c>
      <c r="W40">
        <v>0</v>
      </c>
      <c r="X40">
        <v>0</v>
      </c>
      <c r="Y40">
        <v>0</v>
      </c>
      <c r="Z40">
        <v>0</v>
      </c>
      <c r="AA40">
        <v>0</v>
      </c>
      <c r="AB40">
        <v>0</v>
      </c>
      <c r="AC40">
        <v>0</v>
      </c>
      <c r="AD40">
        <v>0</v>
      </c>
      <c r="AE40">
        <v>0</v>
      </c>
      <c r="AF40">
        <v>0</v>
      </c>
      <c r="AG40">
        <v>491.6</v>
      </c>
      <c r="AH40">
        <v>0</v>
      </c>
      <c r="AI40">
        <v>0</v>
      </c>
      <c r="AJ40">
        <v>0</v>
      </c>
      <c r="AK40">
        <v>0</v>
      </c>
      <c r="AL40">
        <v>0</v>
      </c>
      <c r="AM40">
        <v>0</v>
      </c>
      <c r="AN40">
        <v>0</v>
      </c>
      <c r="AO40">
        <v>0</v>
      </c>
    </row>
    <row r="41" spans="1:41" x14ac:dyDescent="0.3">
      <c r="A41">
        <f t="shared" ref="A41" si="36">A40+1</f>
        <v>41</v>
      </c>
      <c r="B41" s="10">
        <f t="shared" si="24"/>
        <v>36</v>
      </c>
      <c r="C41" t="s">
        <v>2355</v>
      </c>
      <c r="D41" t="s">
        <v>2323</v>
      </c>
      <c r="E41" t="s">
        <v>844</v>
      </c>
      <c r="F41" t="s">
        <v>2315</v>
      </c>
      <c r="G41" t="s">
        <v>166</v>
      </c>
      <c r="H41" t="s">
        <v>2324</v>
      </c>
      <c r="I41">
        <v>187.88740000000001</v>
      </c>
      <c r="J41">
        <v>1878.87</v>
      </c>
      <c r="K41">
        <v>1</v>
      </c>
      <c r="L41">
        <v>0</v>
      </c>
      <c r="M41">
        <v>0</v>
      </c>
      <c r="N41">
        <v>0</v>
      </c>
      <c r="O41">
        <v>57.1</v>
      </c>
      <c r="P41">
        <v>57.1</v>
      </c>
      <c r="Q41">
        <v>8760</v>
      </c>
      <c r="R41">
        <v>-99996</v>
      </c>
      <c r="S41">
        <v>0</v>
      </c>
      <c r="T41">
        <v>150.30000000000001</v>
      </c>
      <c r="U41">
        <v>0</v>
      </c>
      <c r="V41">
        <v>0</v>
      </c>
      <c r="W41">
        <v>305.10000000000002</v>
      </c>
      <c r="X41">
        <v>0</v>
      </c>
      <c r="Y41">
        <v>0</v>
      </c>
      <c r="Z41">
        <v>0</v>
      </c>
      <c r="AA41">
        <v>0</v>
      </c>
      <c r="AB41">
        <v>0</v>
      </c>
      <c r="AC41">
        <v>0</v>
      </c>
      <c r="AD41">
        <v>0</v>
      </c>
      <c r="AE41">
        <v>0</v>
      </c>
      <c r="AF41">
        <v>0</v>
      </c>
      <c r="AG41">
        <v>0</v>
      </c>
      <c r="AH41">
        <v>169.4</v>
      </c>
      <c r="AI41">
        <v>0</v>
      </c>
      <c r="AJ41">
        <v>0</v>
      </c>
      <c r="AK41">
        <v>0</v>
      </c>
      <c r="AL41">
        <v>0</v>
      </c>
      <c r="AM41">
        <v>0</v>
      </c>
      <c r="AN41">
        <v>0</v>
      </c>
      <c r="AO41">
        <v>0</v>
      </c>
    </row>
    <row r="42" spans="1:41" x14ac:dyDescent="0.3">
      <c r="A42">
        <f t="shared" ref="A42" si="37">A41+1</f>
        <v>42</v>
      </c>
      <c r="B42" s="10">
        <f t="shared" si="24"/>
        <v>37</v>
      </c>
      <c r="C42" t="s">
        <v>2356</v>
      </c>
      <c r="D42" t="s">
        <v>2357</v>
      </c>
      <c r="E42" t="s">
        <v>825</v>
      </c>
      <c r="F42" t="s">
        <v>2299</v>
      </c>
      <c r="G42" t="s">
        <v>166</v>
      </c>
      <c r="H42" t="s">
        <v>2358</v>
      </c>
      <c r="I42">
        <v>1916.0455999999999</v>
      </c>
      <c r="J42">
        <v>19160.5</v>
      </c>
      <c r="K42">
        <v>3</v>
      </c>
      <c r="L42">
        <v>10</v>
      </c>
      <c r="M42">
        <v>10</v>
      </c>
      <c r="N42">
        <v>9.6</v>
      </c>
      <c r="O42">
        <v>628.5</v>
      </c>
      <c r="P42">
        <v>628.5</v>
      </c>
      <c r="Q42">
        <v>8760</v>
      </c>
      <c r="R42">
        <v>-99996</v>
      </c>
      <c r="S42">
        <v>0</v>
      </c>
      <c r="T42">
        <v>958</v>
      </c>
      <c r="U42">
        <v>0</v>
      </c>
      <c r="V42">
        <v>0</v>
      </c>
      <c r="W42">
        <v>120.4</v>
      </c>
      <c r="X42">
        <v>24.1</v>
      </c>
      <c r="Y42">
        <v>0</v>
      </c>
      <c r="Z42">
        <v>0</v>
      </c>
      <c r="AA42">
        <v>0</v>
      </c>
      <c r="AB42">
        <v>0</v>
      </c>
      <c r="AC42">
        <v>0</v>
      </c>
      <c r="AD42">
        <v>0</v>
      </c>
      <c r="AE42">
        <v>0</v>
      </c>
      <c r="AF42">
        <v>0</v>
      </c>
      <c r="AG42">
        <v>0</v>
      </c>
      <c r="AH42">
        <v>0</v>
      </c>
      <c r="AI42">
        <v>0</v>
      </c>
      <c r="AJ42">
        <v>0</v>
      </c>
      <c r="AK42">
        <v>0</v>
      </c>
      <c r="AL42">
        <v>0</v>
      </c>
      <c r="AM42">
        <v>0</v>
      </c>
      <c r="AN42">
        <v>0</v>
      </c>
      <c r="AO42">
        <v>0</v>
      </c>
    </row>
    <row r="43" spans="1:41" x14ac:dyDescent="0.3">
      <c r="A43">
        <f t="shared" ref="A43" si="38">A42+1</f>
        <v>43</v>
      </c>
      <c r="B43" s="10">
        <f t="shared" si="24"/>
        <v>38</v>
      </c>
      <c r="C43" t="s">
        <v>2359</v>
      </c>
      <c r="D43" t="s">
        <v>2357</v>
      </c>
      <c r="E43" t="s">
        <v>825</v>
      </c>
      <c r="F43" t="s">
        <v>2328</v>
      </c>
      <c r="G43" t="s">
        <v>165</v>
      </c>
      <c r="H43" t="s">
        <v>2360</v>
      </c>
      <c r="I43">
        <v>872.36159999999995</v>
      </c>
      <c r="J43">
        <v>8723.6200000000008</v>
      </c>
      <c r="K43">
        <v>3</v>
      </c>
      <c r="L43">
        <v>2</v>
      </c>
      <c r="M43">
        <v>0</v>
      </c>
      <c r="N43">
        <v>1.9</v>
      </c>
      <c r="O43">
        <v>523.4</v>
      </c>
      <c r="P43">
        <v>523.4</v>
      </c>
      <c r="Q43">
        <v>854</v>
      </c>
      <c r="R43">
        <v>-99996</v>
      </c>
      <c r="S43">
        <v>0</v>
      </c>
      <c r="T43">
        <v>933.4</v>
      </c>
      <c r="U43">
        <v>622</v>
      </c>
      <c r="V43">
        <v>124.4</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3">
      <c r="A44">
        <f t="shared" ref="A44" si="39">A43+1</f>
        <v>44</v>
      </c>
      <c r="B44" s="10">
        <f t="shared" si="24"/>
        <v>39</v>
      </c>
      <c r="C44" t="s">
        <v>2361</v>
      </c>
      <c r="D44" t="s">
        <v>2357</v>
      </c>
      <c r="E44" t="s">
        <v>825</v>
      </c>
      <c r="F44" t="s">
        <v>2328</v>
      </c>
      <c r="G44" t="s">
        <v>165</v>
      </c>
      <c r="H44" t="s">
        <v>2362</v>
      </c>
      <c r="I44">
        <v>1660.6944000000001</v>
      </c>
      <c r="J44">
        <v>16606.900000000001</v>
      </c>
      <c r="K44">
        <v>3</v>
      </c>
      <c r="L44">
        <v>2</v>
      </c>
      <c r="M44">
        <v>0</v>
      </c>
      <c r="N44">
        <v>3.6</v>
      </c>
      <c r="O44">
        <v>996.4</v>
      </c>
      <c r="P44">
        <v>996.4</v>
      </c>
      <c r="Q44">
        <v>854</v>
      </c>
      <c r="R44">
        <v>-99996</v>
      </c>
      <c r="S44">
        <v>0</v>
      </c>
      <c r="T44">
        <v>1776.9</v>
      </c>
      <c r="U44">
        <v>640.70000000000005</v>
      </c>
      <c r="V44">
        <v>128.1</v>
      </c>
      <c r="W44">
        <v>0</v>
      </c>
      <c r="X44">
        <v>0</v>
      </c>
      <c r="Y44">
        <v>0</v>
      </c>
      <c r="Z44">
        <v>0</v>
      </c>
      <c r="AA44">
        <v>0</v>
      </c>
      <c r="AB44">
        <v>0</v>
      </c>
      <c r="AC44">
        <v>0</v>
      </c>
      <c r="AD44">
        <v>0</v>
      </c>
      <c r="AE44">
        <v>0</v>
      </c>
      <c r="AF44">
        <v>0</v>
      </c>
      <c r="AG44">
        <v>0</v>
      </c>
      <c r="AH44">
        <v>0</v>
      </c>
      <c r="AI44">
        <v>0</v>
      </c>
      <c r="AJ44">
        <v>0</v>
      </c>
      <c r="AK44">
        <v>0</v>
      </c>
      <c r="AL44">
        <v>0</v>
      </c>
      <c r="AM44">
        <v>0</v>
      </c>
      <c r="AN44">
        <v>0</v>
      </c>
      <c r="AO44">
        <v>0</v>
      </c>
    </row>
    <row r="45" spans="1:41" x14ac:dyDescent="0.3">
      <c r="A45">
        <f t="shared" ref="A45" si="40">A44+1</f>
        <v>45</v>
      </c>
      <c r="B45" s="10">
        <f t="shared" si="24"/>
        <v>40</v>
      </c>
      <c r="C45" t="s">
        <v>2363</v>
      </c>
      <c r="D45" t="s">
        <v>2357</v>
      </c>
      <c r="E45" t="s">
        <v>825</v>
      </c>
      <c r="F45" t="s">
        <v>2328</v>
      </c>
      <c r="G45" t="s">
        <v>165</v>
      </c>
      <c r="H45" t="s">
        <v>2364</v>
      </c>
      <c r="I45">
        <v>1116.5980999999999</v>
      </c>
      <c r="J45">
        <v>11166</v>
      </c>
      <c r="K45">
        <v>3</v>
      </c>
      <c r="L45">
        <v>2</v>
      </c>
      <c r="M45">
        <v>0</v>
      </c>
      <c r="N45">
        <v>2.4</v>
      </c>
      <c r="O45">
        <v>670</v>
      </c>
      <c r="P45">
        <v>670</v>
      </c>
      <c r="Q45">
        <v>854</v>
      </c>
      <c r="R45">
        <v>-99996</v>
      </c>
      <c r="S45">
        <v>0</v>
      </c>
      <c r="T45">
        <v>1194.8</v>
      </c>
      <c r="U45">
        <v>686.8</v>
      </c>
      <c r="V45">
        <v>137.4</v>
      </c>
      <c r="W45">
        <v>0</v>
      </c>
      <c r="X45">
        <v>0</v>
      </c>
      <c r="Y45">
        <v>0</v>
      </c>
      <c r="Z45">
        <v>0</v>
      </c>
      <c r="AA45">
        <v>0</v>
      </c>
      <c r="AB45">
        <v>0</v>
      </c>
      <c r="AC45">
        <v>0</v>
      </c>
      <c r="AD45">
        <v>0</v>
      </c>
      <c r="AE45">
        <v>0</v>
      </c>
      <c r="AF45">
        <v>0</v>
      </c>
      <c r="AG45">
        <v>0</v>
      </c>
      <c r="AH45">
        <v>0</v>
      </c>
      <c r="AI45">
        <v>0</v>
      </c>
      <c r="AJ45">
        <v>0</v>
      </c>
      <c r="AK45">
        <v>0</v>
      </c>
      <c r="AL45">
        <v>0</v>
      </c>
      <c r="AM45">
        <v>0</v>
      </c>
      <c r="AN45">
        <v>0</v>
      </c>
      <c r="AO45">
        <v>0</v>
      </c>
    </row>
    <row r="46" spans="1:41" x14ac:dyDescent="0.3">
      <c r="A46">
        <f t="shared" ref="A46" si="41">A45+1</f>
        <v>46</v>
      </c>
      <c r="B46" s="10">
        <f t="shared" si="24"/>
        <v>41</v>
      </c>
      <c r="C46" t="s">
        <v>2365</v>
      </c>
      <c r="D46" t="s">
        <v>2357</v>
      </c>
      <c r="E46" t="s">
        <v>844</v>
      </c>
      <c r="F46" t="s">
        <v>2315</v>
      </c>
      <c r="G46" t="s">
        <v>166</v>
      </c>
      <c r="H46" t="s">
        <v>2358</v>
      </c>
      <c r="I46">
        <v>135.05760000000001</v>
      </c>
      <c r="J46">
        <v>1350.58</v>
      </c>
      <c r="K46">
        <v>3</v>
      </c>
      <c r="L46">
        <v>0</v>
      </c>
      <c r="M46">
        <v>0</v>
      </c>
      <c r="N46">
        <v>0</v>
      </c>
      <c r="O46">
        <v>41.1</v>
      </c>
      <c r="P46">
        <v>41.1</v>
      </c>
      <c r="Q46">
        <v>8760</v>
      </c>
      <c r="R46">
        <v>-99996</v>
      </c>
      <c r="S46">
        <v>0</v>
      </c>
      <c r="T46">
        <v>108</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3">
      <c r="A47">
        <f t="shared" ref="A47" si="42">A46+1</f>
        <v>47</v>
      </c>
      <c r="B47" s="10">
        <f t="shared" si="24"/>
        <v>42</v>
      </c>
      <c r="C47" t="s">
        <v>2366</v>
      </c>
      <c r="D47" t="s">
        <v>2357</v>
      </c>
      <c r="E47" t="s">
        <v>825</v>
      </c>
      <c r="F47" t="s">
        <v>2328</v>
      </c>
      <c r="G47" t="s">
        <v>165</v>
      </c>
      <c r="H47" t="s">
        <v>2367</v>
      </c>
      <c r="I47">
        <v>3678.0304999999998</v>
      </c>
      <c r="J47">
        <v>36780.300000000003</v>
      </c>
      <c r="K47">
        <v>3</v>
      </c>
      <c r="L47">
        <v>2</v>
      </c>
      <c r="M47">
        <v>0</v>
      </c>
      <c r="N47">
        <v>8.1</v>
      </c>
      <c r="O47">
        <v>2206.8000000000002</v>
      </c>
      <c r="P47">
        <v>2206.8000000000002</v>
      </c>
      <c r="Q47">
        <v>854</v>
      </c>
      <c r="R47">
        <v>-99996</v>
      </c>
      <c r="S47">
        <v>0</v>
      </c>
      <c r="T47">
        <v>3935.5</v>
      </c>
      <c r="U47">
        <v>1428.2</v>
      </c>
      <c r="V47">
        <v>285.60000000000002</v>
      </c>
      <c r="W47">
        <v>0</v>
      </c>
      <c r="X47">
        <v>0</v>
      </c>
      <c r="Y47">
        <v>0</v>
      </c>
      <c r="Z47">
        <v>0</v>
      </c>
      <c r="AA47">
        <v>0</v>
      </c>
      <c r="AB47">
        <v>0</v>
      </c>
      <c r="AC47">
        <v>0</v>
      </c>
      <c r="AD47">
        <v>0</v>
      </c>
      <c r="AE47">
        <v>0</v>
      </c>
      <c r="AF47">
        <v>0</v>
      </c>
      <c r="AG47">
        <v>0</v>
      </c>
      <c r="AH47">
        <v>0</v>
      </c>
      <c r="AI47">
        <v>0</v>
      </c>
      <c r="AJ47">
        <v>0</v>
      </c>
      <c r="AK47">
        <v>0</v>
      </c>
      <c r="AL47">
        <v>0</v>
      </c>
      <c r="AM47">
        <v>0</v>
      </c>
      <c r="AN47">
        <v>0</v>
      </c>
      <c r="AO47">
        <v>0</v>
      </c>
    </row>
    <row r="48" spans="1:41" x14ac:dyDescent="0.3">
      <c r="A48">
        <f t="shared" ref="A48" si="43">A47+1</f>
        <v>48</v>
      </c>
      <c r="B48" s="10">
        <f t="shared" si="24"/>
        <v>43</v>
      </c>
      <c r="C48" t="s">
        <v>2368</v>
      </c>
      <c r="D48" t="s">
        <v>2357</v>
      </c>
      <c r="E48" t="s">
        <v>825</v>
      </c>
      <c r="F48" t="s">
        <v>2328</v>
      </c>
      <c r="G48" t="s">
        <v>165</v>
      </c>
      <c r="H48" t="s">
        <v>2369</v>
      </c>
      <c r="I48">
        <v>1160.8827000000001</v>
      </c>
      <c r="J48">
        <v>11608.8</v>
      </c>
      <c r="K48">
        <v>3</v>
      </c>
      <c r="L48">
        <v>2</v>
      </c>
      <c r="M48">
        <v>0</v>
      </c>
      <c r="N48">
        <v>2.5</v>
      </c>
      <c r="O48">
        <v>696.5</v>
      </c>
      <c r="P48">
        <v>696.5</v>
      </c>
      <c r="Q48">
        <v>854</v>
      </c>
      <c r="R48">
        <v>-99996</v>
      </c>
      <c r="S48">
        <v>0</v>
      </c>
      <c r="T48">
        <v>1242.0999999999999</v>
      </c>
      <c r="U48">
        <v>531.70000000000005</v>
      </c>
      <c r="V48">
        <v>106.3</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3">
      <c r="A49">
        <f t="shared" ref="A49" si="44">A48+1</f>
        <v>49</v>
      </c>
      <c r="B49" s="10">
        <f t="shared" si="24"/>
        <v>44</v>
      </c>
      <c r="C49" t="s">
        <v>2370</v>
      </c>
      <c r="D49" t="s">
        <v>2357</v>
      </c>
      <c r="E49" t="s">
        <v>825</v>
      </c>
      <c r="F49" t="s">
        <v>2328</v>
      </c>
      <c r="G49" t="s">
        <v>165</v>
      </c>
      <c r="H49" t="s">
        <v>2371</v>
      </c>
      <c r="I49">
        <v>1858.692</v>
      </c>
      <c r="J49">
        <v>18586.900000000001</v>
      </c>
      <c r="K49">
        <v>3</v>
      </c>
      <c r="L49">
        <v>2</v>
      </c>
      <c r="M49">
        <v>0</v>
      </c>
      <c r="N49">
        <v>4.0999999999999996</v>
      </c>
      <c r="O49">
        <v>1115.2</v>
      </c>
      <c r="P49">
        <v>1115.2</v>
      </c>
      <c r="Q49">
        <v>854</v>
      </c>
      <c r="R49">
        <v>-99996</v>
      </c>
      <c r="S49">
        <v>0</v>
      </c>
      <c r="T49">
        <v>1988.8</v>
      </c>
      <c r="U49">
        <v>809.1</v>
      </c>
      <c r="V49">
        <v>161.80000000000001</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3">
      <c r="A50">
        <f t="shared" ref="A50" si="45">A49+1</f>
        <v>50</v>
      </c>
      <c r="B50" s="10">
        <f t="shared" si="24"/>
        <v>45</v>
      </c>
      <c r="C50" t="s">
        <v>2372</v>
      </c>
      <c r="D50" t="s">
        <v>2357</v>
      </c>
      <c r="E50" t="s">
        <v>825</v>
      </c>
      <c r="F50" t="s">
        <v>2328</v>
      </c>
      <c r="G50" t="s">
        <v>165</v>
      </c>
      <c r="H50" t="s">
        <v>2373</v>
      </c>
      <c r="I50">
        <v>872.66200000000003</v>
      </c>
      <c r="J50">
        <v>8726.6200000000008</v>
      </c>
      <c r="K50">
        <v>3</v>
      </c>
      <c r="L50">
        <v>2</v>
      </c>
      <c r="M50">
        <v>0</v>
      </c>
      <c r="N50">
        <v>1.9</v>
      </c>
      <c r="O50">
        <v>523.6</v>
      </c>
      <c r="P50">
        <v>523.6</v>
      </c>
      <c r="Q50">
        <v>854</v>
      </c>
      <c r="R50">
        <v>-99996</v>
      </c>
      <c r="S50">
        <v>0</v>
      </c>
      <c r="T50">
        <v>933.7</v>
      </c>
      <c r="U50">
        <v>590.9</v>
      </c>
      <c r="V50">
        <v>118.2</v>
      </c>
      <c r="W50">
        <v>0</v>
      </c>
      <c r="X50">
        <v>0</v>
      </c>
      <c r="Y50">
        <v>0</v>
      </c>
      <c r="Z50">
        <v>0</v>
      </c>
      <c r="AA50">
        <v>0</v>
      </c>
      <c r="AB50">
        <v>0</v>
      </c>
      <c r="AC50">
        <v>0</v>
      </c>
      <c r="AD50">
        <v>0</v>
      </c>
      <c r="AE50">
        <v>0</v>
      </c>
      <c r="AF50">
        <v>0</v>
      </c>
      <c r="AG50">
        <v>0</v>
      </c>
      <c r="AH50">
        <v>0</v>
      </c>
      <c r="AI50">
        <v>0</v>
      </c>
      <c r="AJ50">
        <v>0</v>
      </c>
      <c r="AK50">
        <v>0</v>
      </c>
      <c r="AL50">
        <v>0</v>
      </c>
      <c r="AM50">
        <v>0</v>
      </c>
      <c r="AN50">
        <v>0</v>
      </c>
      <c r="AO50">
        <v>0</v>
      </c>
    </row>
    <row r="51" spans="1:41" x14ac:dyDescent="0.3">
      <c r="A51">
        <f t="shared" ref="A51" si="46">A50+1</f>
        <v>51</v>
      </c>
      <c r="B51" s="10">
        <f t="shared" si="24"/>
        <v>46</v>
      </c>
      <c r="C51" t="s">
        <v>2374</v>
      </c>
      <c r="D51" t="s">
        <v>2357</v>
      </c>
      <c r="E51" t="s">
        <v>825</v>
      </c>
      <c r="F51" t="s">
        <v>2328</v>
      </c>
      <c r="G51" t="s">
        <v>165</v>
      </c>
      <c r="H51" t="s">
        <v>2375</v>
      </c>
      <c r="I51">
        <v>1347.52</v>
      </c>
      <c r="J51">
        <v>13475.2</v>
      </c>
      <c r="K51">
        <v>3</v>
      </c>
      <c r="L51">
        <v>2</v>
      </c>
      <c r="M51">
        <v>0</v>
      </c>
      <c r="N51">
        <v>3</v>
      </c>
      <c r="O51">
        <v>808.5</v>
      </c>
      <c r="P51">
        <v>808.5</v>
      </c>
      <c r="Q51">
        <v>854</v>
      </c>
      <c r="R51">
        <v>-99996</v>
      </c>
      <c r="S51">
        <v>0</v>
      </c>
      <c r="T51">
        <v>1441.8</v>
      </c>
      <c r="U51">
        <v>858.4</v>
      </c>
      <c r="V51">
        <v>171.7</v>
      </c>
      <c r="W51">
        <v>0</v>
      </c>
      <c r="X51">
        <v>0</v>
      </c>
      <c r="Y51">
        <v>0</v>
      </c>
      <c r="Z51">
        <v>0</v>
      </c>
      <c r="AA51">
        <v>0</v>
      </c>
      <c r="AB51">
        <v>0</v>
      </c>
      <c r="AC51">
        <v>0</v>
      </c>
      <c r="AD51">
        <v>0</v>
      </c>
      <c r="AE51">
        <v>0</v>
      </c>
      <c r="AF51">
        <v>0</v>
      </c>
      <c r="AG51">
        <v>0</v>
      </c>
      <c r="AH51">
        <v>0</v>
      </c>
      <c r="AI51">
        <v>0</v>
      </c>
      <c r="AJ51">
        <v>0</v>
      </c>
      <c r="AK51">
        <v>0</v>
      </c>
      <c r="AL51">
        <v>0</v>
      </c>
      <c r="AM51">
        <v>0</v>
      </c>
      <c r="AN51">
        <v>0</v>
      </c>
      <c r="AO51">
        <v>0</v>
      </c>
    </row>
    <row r="52" spans="1:41" x14ac:dyDescent="0.3">
      <c r="A52">
        <f t="shared" ref="A52" si="47">A51+1</f>
        <v>52</v>
      </c>
      <c r="B52" s="10">
        <f t="shared" si="24"/>
        <v>47</v>
      </c>
      <c r="C52" t="s">
        <v>2376</v>
      </c>
      <c r="D52" t="s">
        <v>2357</v>
      </c>
      <c r="E52" t="s">
        <v>825</v>
      </c>
      <c r="F52" t="s">
        <v>2344</v>
      </c>
      <c r="G52" t="s">
        <v>166</v>
      </c>
      <c r="H52" t="s">
        <v>2377</v>
      </c>
      <c r="I52">
        <v>272.42880000000002</v>
      </c>
      <c r="J52">
        <v>2724.29</v>
      </c>
      <c r="K52">
        <v>3</v>
      </c>
      <c r="L52">
        <v>10</v>
      </c>
      <c r="M52">
        <v>10</v>
      </c>
      <c r="N52">
        <v>2.7</v>
      </c>
      <c r="O52">
        <v>115.5</v>
      </c>
      <c r="P52">
        <v>115.5</v>
      </c>
      <c r="Q52">
        <v>8760</v>
      </c>
      <c r="R52">
        <v>-99996</v>
      </c>
      <c r="S52">
        <v>0</v>
      </c>
      <c r="T52">
        <v>163.5</v>
      </c>
      <c r="U52">
        <v>0</v>
      </c>
      <c r="V52">
        <v>0</v>
      </c>
      <c r="W52">
        <v>65</v>
      </c>
      <c r="X52">
        <v>13</v>
      </c>
      <c r="Y52">
        <v>0</v>
      </c>
      <c r="Z52">
        <v>0</v>
      </c>
      <c r="AA52">
        <v>0</v>
      </c>
      <c r="AB52">
        <v>0</v>
      </c>
      <c r="AC52">
        <v>0</v>
      </c>
      <c r="AD52">
        <v>0</v>
      </c>
      <c r="AE52">
        <v>0</v>
      </c>
      <c r="AF52">
        <v>0</v>
      </c>
      <c r="AG52">
        <v>0</v>
      </c>
      <c r="AH52">
        <v>0</v>
      </c>
      <c r="AI52">
        <v>0</v>
      </c>
      <c r="AJ52">
        <v>0</v>
      </c>
      <c r="AK52">
        <v>0</v>
      </c>
      <c r="AL52">
        <v>0</v>
      </c>
      <c r="AM52">
        <v>0</v>
      </c>
      <c r="AN52">
        <v>0</v>
      </c>
      <c r="AO52">
        <v>0</v>
      </c>
    </row>
    <row r="53" spans="1:41" x14ac:dyDescent="0.3">
      <c r="A53">
        <f t="shared" ref="A53" si="48">A52+1</f>
        <v>53</v>
      </c>
      <c r="B53" s="10">
        <f t="shared" si="24"/>
        <v>48</v>
      </c>
      <c r="C53" t="s">
        <v>2378</v>
      </c>
      <c r="D53" t="s">
        <v>2357</v>
      </c>
      <c r="E53" t="s">
        <v>844</v>
      </c>
      <c r="F53" t="s">
        <v>834</v>
      </c>
      <c r="G53" t="s">
        <v>165</v>
      </c>
      <c r="H53" t="s">
        <v>2358</v>
      </c>
      <c r="I53">
        <v>211.21340000000001</v>
      </c>
      <c r="J53">
        <v>2112.13</v>
      </c>
      <c r="K53">
        <v>3</v>
      </c>
      <c r="L53">
        <v>-99996</v>
      </c>
      <c r="M53">
        <v>0</v>
      </c>
      <c r="N53">
        <v>0</v>
      </c>
      <c r="O53">
        <v>-99996</v>
      </c>
      <c r="P53">
        <v>0</v>
      </c>
      <c r="Q53">
        <v>0</v>
      </c>
      <c r="R53">
        <v>-99996</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3">
      <c r="A54">
        <f t="shared" ref="A54" si="49">A53+1</f>
        <v>54</v>
      </c>
      <c r="B54" s="10">
        <f t="shared" si="24"/>
        <v>49</v>
      </c>
      <c r="C54" t="s">
        <v>2379</v>
      </c>
      <c r="D54" t="s">
        <v>2357</v>
      </c>
      <c r="E54" t="s">
        <v>844</v>
      </c>
      <c r="F54" t="s">
        <v>2265</v>
      </c>
      <c r="G54" t="s">
        <v>166</v>
      </c>
      <c r="H54" t="s">
        <v>2358</v>
      </c>
      <c r="I54">
        <v>236.34819999999999</v>
      </c>
      <c r="J54">
        <v>2363.48</v>
      </c>
      <c r="K54">
        <v>3</v>
      </c>
      <c r="L54">
        <v>10</v>
      </c>
      <c r="M54">
        <v>10</v>
      </c>
      <c r="N54">
        <v>1.2</v>
      </c>
      <c r="O54">
        <v>92.6</v>
      </c>
      <c r="P54">
        <v>92.6</v>
      </c>
      <c r="Q54">
        <v>8760</v>
      </c>
      <c r="R54">
        <v>-99996</v>
      </c>
      <c r="S54">
        <v>0</v>
      </c>
      <c r="T54">
        <v>141.80000000000001</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3">
      <c r="A55">
        <f t="shared" ref="A55" si="50">A54+1</f>
        <v>55</v>
      </c>
      <c r="B55" s="10">
        <f t="shared" si="24"/>
        <v>50</v>
      </c>
      <c r="C55" t="s">
        <v>2380</v>
      </c>
      <c r="D55" t="s">
        <v>2357</v>
      </c>
      <c r="E55" t="s">
        <v>825</v>
      </c>
      <c r="F55" t="s">
        <v>2328</v>
      </c>
      <c r="G55" t="s">
        <v>165</v>
      </c>
      <c r="H55" t="s">
        <v>2381</v>
      </c>
      <c r="I55">
        <v>3034.0410000000002</v>
      </c>
      <c r="J55">
        <v>30340.400000000001</v>
      </c>
      <c r="K55">
        <v>3</v>
      </c>
      <c r="L55">
        <v>2</v>
      </c>
      <c r="M55">
        <v>0</v>
      </c>
      <c r="N55">
        <v>6.7</v>
      </c>
      <c r="O55">
        <v>1820.4</v>
      </c>
      <c r="P55">
        <v>1820.4</v>
      </c>
      <c r="Q55">
        <v>854</v>
      </c>
      <c r="R55">
        <v>-99996</v>
      </c>
      <c r="S55">
        <v>0</v>
      </c>
      <c r="T55">
        <v>3246.4</v>
      </c>
      <c r="U55">
        <v>1016.9</v>
      </c>
      <c r="V55">
        <v>203.4</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3">
      <c r="A56">
        <f t="shared" ref="A56" si="51">A55+1</f>
        <v>56</v>
      </c>
      <c r="B56" s="10">
        <f t="shared" si="24"/>
        <v>51</v>
      </c>
      <c r="C56" t="s">
        <v>2382</v>
      </c>
      <c r="D56" t="s">
        <v>2357</v>
      </c>
      <c r="E56" t="s">
        <v>844</v>
      </c>
      <c r="F56" t="s">
        <v>2286</v>
      </c>
      <c r="G56" t="s">
        <v>166</v>
      </c>
      <c r="H56" t="s">
        <v>2358</v>
      </c>
      <c r="I56">
        <v>347.74279999999999</v>
      </c>
      <c r="J56">
        <v>3477.43</v>
      </c>
      <c r="K56">
        <v>3</v>
      </c>
      <c r="L56">
        <v>3</v>
      </c>
      <c r="M56">
        <v>3</v>
      </c>
      <c r="N56">
        <v>0.5</v>
      </c>
      <c r="O56">
        <v>119.6</v>
      </c>
      <c r="P56">
        <v>119.6</v>
      </c>
      <c r="Q56">
        <v>8760</v>
      </c>
      <c r="R56">
        <v>-99996</v>
      </c>
      <c r="S56">
        <v>0</v>
      </c>
      <c r="T56">
        <v>521.6</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3">
      <c r="A57">
        <f t="shared" ref="A57" si="52">A56+1</f>
        <v>57</v>
      </c>
      <c r="B57" s="10">
        <f t="shared" si="24"/>
        <v>52</v>
      </c>
      <c r="C57" t="s">
        <v>2383</v>
      </c>
      <c r="D57" t="s">
        <v>2357</v>
      </c>
      <c r="E57" t="s">
        <v>844</v>
      </c>
      <c r="F57" t="s">
        <v>834</v>
      </c>
      <c r="G57" t="s">
        <v>166</v>
      </c>
      <c r="H57" t="s">
        <v>2358</v>
      </c>
      <c r="I57">
        <v>178.88640000000001</v>
      </c>
      <c r="J57">
        <v>1788.86</v>
      </c>
      <c r="K57">
        <v>3</v>
      </c>
      <c r="L57">
        <v>-99996</v>
      </c>
      <c r="M57">
        <v>0</v>
      </c>
      <c r="N57">
        <v>0</v>
      </c>
      <c r="O57">
        <v>-99996</v>
      </c>
      <c r="P57">
        <v>0</v>
      </c>
      <c r="Q57">
        <v>0</v>
      </c>
      <c r="R57">
        <v>-99996</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3">
      <c r="A58">
        <f t="shared" ref="A58" si="53">A57+1</f>
        <v>58</v>
      </c>
      <c r="B58" s="10">
        <f t="shared" si="24"/>
        <v>53</v>
      </c>
      <c r="C58" t="s">
        <v>2384</v>
      </c>
      <c r="D58" t="s">
        <v>2357</v>
      </c>
      <c r="E58" t="s">
        <v>844</v>
      </c>
      <c r="F58" t="s">
        <v>2265</v>
      </c>
      <c r="G58" t="s">
        <v>166</v>
      </c>
      <c r="H58" t="s">
        <v>2358</v>
      </c>
      <c r="I58">
        <v>232.53399999999999</v>
      </c>
      <c r="J58">
        <v>2325.34</v>
      </c>
      <c r="K58">
        <v>3</v>
      </c>
      <c r="L58">
        <v>10</v>
      </c>
      <c r="M58">
        <v>10</v>
      </c>
      <c r="N58">
        <v>1.2</v>
      </c>
      <c r="O58">
        <v>91.2</v>
      </c>
      <c r="P58">
        <v>91.2</v>
      </c>
      <c r="Q58">
        <v>8760</v>
      </c>
      <c r="R58">
        <v>-99996</v>
      </c>
      <c r="S58">
        <v>0</v>
      </c>
      <c r="T58">
        <v>139.5</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3">
      <c r="A59">
        <f t="shared" ref="A59" si="54">A58+1</f>
        <v>59</v>
      </c>
      <c r="B59" s="10">
        <f t="shared" si="24"/>
        <v>54</v>
      </c>
      <c r="C59" t="s">
        <v>2385</v>
      </c>
      <c r="D59" t="s">
        <v>2357</v>
      </c>
      <c r="E59" t="s">
        <v>825</v>
      </c>
      <c r="F59" t="s">
        <v>2328</v>
      </c>
      <c r="G59" t="s">
        <v>165</v>
      </c>
      <c r="H59" t="s">
        <v>2386</v>
      </c>
      <c r="I59">
        <v>688.28060000000005</v>
      </c>
      <c r="J59">
        <v>6882.81</v>
      </c>
      <c r="K59">
        <v>3</v>
      </c>
      <c r="L59">
        <v>2</v>
      </c>
      <c r="M59">
        <v>0</v>
      </c>
      <c r="N59">
        <v>1.5</v>
      </c>
      <c r="O59">
        <v>413</v>
      </c>
      <c r="P59">
        <v>413</v>
      </c>
      <c r="Q59">
        <v>854</v>
      </c>
      <c r="R59">
        <v>-99996</v>
      </c>
      <c r="S59">
        <v>0</v>
      </c>
      <c r="T59">
        <v>736.5</v>
      </c>
      <c r="U59">
        <v>251.3</v>
      </c>
      <c r="V59">
        <v>50.3</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3">
      <c r="A60">
        <f t="shared" ref="A60" si="55">A59+1</f>
        <v>60</v>
      </c>
      <c r="B60" s="10">
        <f t="shared" si="24"/>
        <v>55</v>
      </c>
      <c r="C60" t="s">
        <v>2387</v>
      </c>
      <c r="D60" t="s">
        <v>2357</v>
      </c>
      <c r="E60" t="s">
        <v>844</v>
      </c>
      <c r="F60" t="s">
        <v>2315</v>
      </c>
      <c r="G60" t="s">
        <v>166</v>
      </c>
      <c r="H60" t="s">
        <v>2358</v>
      </c>
      <c r="I60">
        <v>187.88740000000001</v>
      </c>
      <c r="J60">
        <v>1878.87</v>
      </c>
      <c r="K60">
        <v>3</v>
      </c>
      <c r="L60">
        <v>0</v>
      </c>
      <c r="M60">
        <v>0</v>
      </c>
      <c r="N60">
        <v>0</v>
      </c>
      <c r="O60">
        <v>57.1</v>
      </c>
      <c r="P60">
        <v>57.1</v>
      </c>
      <c r="Q60">
        <v>8760</v>
      </c>
      <c r="R60">
        <v>-99996</v>
      </c>
      <c r="S60">
        <v>0</v>
      </c>
      <c r="T60">
        <v>150.30000000000001</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3">
      <c r="A61">
        <f t="shared" ref="A61" si="56">A60+1</f>
        <v>61</v>
      </c>
      <c r="B61" s="10">
        <f t="shared" si="24"/>
        <v>56</v>
      </c>
      <c r="C61" t="s">
        <v>2388</v>
      </c>
      <c r="D61" t="s">
        <v>2357</v>
      </c>
      <c r="E61" t="s">
        <v>825</v>
      </c>
      <c r="F61" t="s">
        <v>2328</v>
      </c>
      <c r="G61" t="s">
        <v>165</v>
      </c>
      <c r="H61" t="s">
        <v>2389</v>
      </c>
      <c r="I61">
        <v>662.92970000000003</v>
      </c>
      <c r="J61">
        <v>6629.3</v>
      </c>
      <c r="K61">
        <v>3</v>
      </c>
      <c r="L61">
        <v>2</v>
      </c>
      <c r="M61">
        <v>0</v>
      </c>
      <c r="N61">
        <v>1.5</v>
      </c>
      <c r="O61">
        <v>397.8</v>
      </c>
      <c r="P61">
        <v>397.8</v>
      </c>
      <c r="Q61">
        <v>854</v>
      </c>
      <c r="R61">
        <v>-99996</v>
      </c>
      <c r="S61">
        <v>0</v>
      </c>
      <c r="T61">
        <v>709.3</v>
      </c>
      <c r="U61">
        <v>586</v>
      </c>
      <c r="V61">
        <v>117.2</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3">
      <c r="A62">
        <f t="shared" ref="A62" si="57">A61+1</f>
        <v>62</v>
      </c>
      <c r="B62" s="10">
        <f t="shared" si="24"/>
        <v>57</v>
      </c>
      <c r="C62" t="s">
        <v>2390</v>
      </c>
      <c r="D62" t="s">
        <v>2391</v>
      </c>
      <c r="E62" t="s">
        <v>825</v>
      </c>
      <c r="F62" t="s">
        <v>2299</v>
      </c>
      <c r="G62" t="s">
        <v>166</v>
      </c>
      <c r="H62" t="s">
        <v>2392</v>
      </c>
      <c r="I62">
        <v>1916.0455999999999</v>
      </c>
      <c r="J62">
        <v>19160.5</v>
      </c>
      <c r="K62">
        <v>1</v>
      </c>
      <c r="L62">
        <v>10</v>
      </c>
      <c r="M62">
        <v>10</v>
      </c>
      <c r="N62">
        <v>9.6</v>
      </c>
      <c r="O62">
        <v>628.5</v>
      </c>
      <c r="P62">
        <v>628.5</v>
      </c>
      <c r="Q62">
        <v>8760</v>
      </c>
      <c r="R62">
        <v>-99996</v>
      </c>
      <c r="S62">
        <v>0</v>
      </c>
      <c r="T62">
        <v>958</v>
      </c>
      <c r="U62">
        <v>0</v>
      </c>
      <c r="V62">
        <v>0</v>
      </c>
      <c r="W62">
        <v>120.4</v>
      </c>
      <c r="X62">
        <v>24.1</v>
      </c>
      <c r="Y62">
        <v>0</v>
      </c>
      <c r="Z62">
        <v>0</v>
      </c>
      <c r="AA62">
        <v>0</v>
      </c>
      <c r="AB62">
        <v>0</v>
      </c>
      <c r="AC62">
        <v>1916</v>
      </c>
      <c r="AD62">
        <v>0</v>
      </c>
      <c r="AE62">
        <v>0</v>
      </c>
      <c r="AF62">
        <v>0</v>
      </c>
      <c r="AG62">
        <v>0</v>
      </c>
      <c r="AH62">
        <v>0</v>
      </c>
      <c r="AI62">
        <v>0</v>
      </c>
      <c r="AJ62">
        <v>0</v>
      </c>
      <c r="AK62">
        <v>0</v>
      </c>
      <c r="AL62">
        <v>0</v>
      </c>
      <c r="AM62">
        <v>0</v>
      </c>
      <c r="AN62">
        <v>0</v>
      </c>
      <c r="AO62">
        <v>0</v>
      </c>
    </row>
    <row r="63" spans="1:41" x14ac:dyDescent="0.3">
      <c r="A63">
        <f t="shared" ref="A63" si="58">A62+1</f>
        <v>63</v>
      </c>
      <c r="B63" s="10">
        <f t="shared" si="24"/>
        <v>58</v>
      </c>
      <c r="C63" t="s">
        <v>2393</v>
      </c>
      <c r="D63" t="s">
        <v>2391</v>
      </c>
      <c r="E63" t="s">
        <v>825</v>
      </c>
      <c r="F63" t="s">
        <v>2328</v>
      </c>
      <c r="G63" t="s">
        <v>165</v>
      </c>
      <c r="H63" t="s">
        <v>2394</v>
      </c>
      <c r="I63">
        <v>872.36159999999995</v>
      </c>
      <c r="J63">
        <v>8723.6200000000008</v>
      </c>
      <c r="K63">
        <v>1</v>
      </c>
      <c r="L63">
        <v>2</v>
      </c>
      <c r="M63">
        <v>0</v>
      </c>
      <c r="N63">
        <v>1.9</v>
      </c>
      <c r="O63">
        <v>523.4</v>
      </c>
      <c r="P63">
        <v>523.4</v>
      </c>
      <c r="Q63">
        <v>854</v>
      </c>
      <c r="R63">
        <v>-99996</v>
      </c>
      <c r="S63">
        <v>0</v>
      </c>
      <c r="T63">
        <v>933.4</v>
      </c>
      <c r="U63">
        <v>622</v>
      </c>
      <c r="V63">
        <v>124.4</v>
      </c>
      <c r="W63">
        <v>0</v>
      </c>
      <c r="X63">
        <v>0</v>
      </c>
      <c r="Y63">
        <v>0</v>
      </c>
      <c r="Z63">
        <v>0</v>
      </c>
      <c r="AA63">
        <v>872.4</v>
      </c>
      <c r="AB63">
        <v>0</v>
      </c>
      <c r="AC63">
        <v>0</v>
      </c>
      <c r="AD63">
        <v>0</v>
      </c>
      <c r="AE63">
        <v>0</v>
      </c>
      <c r="AF63">
        <v>0</v>
      </c>
      <c r="AG63">
        <v>0</v>
      </c>
      <c r="AH63">
        <v>0</v>
      </c>
      <c r="AI63">
        <v>0</v>
      </c>
      <c r="AJ63">
        <v>0</v>
      </c>
      <c r="AK63">
        <v>0</v>
      </c>
      <c r="AL63">
        <v>0</v>
      </c>
      <c r="AM63">
        <v>0</v>
      </c>
      <c r="AN63">
        <v>0</v>
      </c>
      <c r="AO63">
        <v>0</v>
      </c>
    </row>
    <row r="64" spans="1:41" x14ac:dyDescent="0.3">
      <c r="A64">
        <f t="shared" ref="A64" si="59">A63+1</f>
        <v>64</v>
      </c>
      <c r="B64" s="10">
        <f t="shared" si="24"/>
        <v>59</v>
      </c>
      <c r="C64" t="s">
        <v>2395</v>
      </c>
      <c r="D64" t="s">
        <v>2391</v>
      </c>
      <c r="E64" t="s">
        <v>825</v>
      </c>
      <c r="F64" t="s">
        <v>2328</v>
      </c>
      <c r="G64" t="s">
        <v>165</v>
      </c>
      <c r="H64" t="s">
        <v>2396</v>
      </c>
      <c r="I64">
        <v>1660.6944000000001</v>
      </c>
      <c r="J64">
        <v>16606.900000000001</v>
      </c>
      <c r="K64">
        <v>1</v>
      </c>
      <c r="L64">
        <v>2</v>
      </c>
      <c r="M64">
        <v>0</v>
      </c>
      <c r="N64">
        <v>3.6</v>
      </c>
      <c r="O64">
        <v>996.4</v>
      </c>
      <c r="P64">
        <v>996.4</v>
      </c>
      <c r="Q64">
        <v>854</v>
      </c>
      <c r="R64">
        <v>-99996</v>
      </c>
      <c r="S64">
        <v>0</v>
      </c>
      <c r="T64">
        <v>1776.9</v>
      </c>
      <c r="U64">
        <v>640.70000000000005</v>
      </c>
      <c r="V64">
        <v>128.1</v>
      </c>
      <c r="W64">
        <v>0</v>
      </c>
      <c r="X64">
        <v>0</v>
      </c>
      <c r="Y64">
        <v>0</v>
      </c>
      <c r="Z64">
        <v>0</v>
      </c>
      <c r="AA64">
        <v>1660.7</v>
      </c>
      <c r="AB64">
        <v>0</v>
      </c>
      <c r="AC64">
        <v>0</v>
      </c>
      <c r="AD64">
        <v>0</v>
      </c>
      <c r="AE64">
        <v>0</v>
      </c>
      <c r="AF64">
        <v>0</v>
      </c>
      <c r="AG64">
        <v>0</v>
      </c>
      <c r="AH64">
        <v>0</v>
      </c>
      <c r="AI64">
        <v>0</v>
      </c>
      <c r="AJ64">
        <v>0</v>
      </c>
      <c r="AK64">
        <v>0</v>
      </c>
      <c r="AL64">
        <v>0</v>
      </c>
      <c r="AM64">
        <v>0</v>
      </c>
      <c r="AN64">
        <v>0</v>
      </c>
      <c r="AO64">
        <v>0</v>
      </c>
    </row>
    <row r="65" spans="1:41" x14ac:dyDescent="0.3">
      <c r="A65">
        <f t="shared" ref="A65" si="60">A64+1</f>
        <v>65</v>
      </c>
      <c r="B65" s="10">
        <f t="shared" si="24"/>
        <v>60</v>
      </c>
      <c r="C65" t="s">
        <v>2397</v>
      </c>
      <c r="D65" t="s">
        <v>2391</v>
      </c>
      <c r="E65" t="s">
        <v>825</v>
      </c>
      <c r="F65" t="s">
        <v>2328</v>
      </c>
      <c r="G65" t="s">
        <v>165</v>
      </c>
      <c r="H65" t="s">
        <v>2398</v>
      </c>
      <c r="I65">
        <v>1116.5980999999999</v>
      </c>
      <c r="J65">
        <v>11166</v>
      </c>
      <c r="K65">
        <v>1</v>
      </c>
      <c r="L65">
        <v>2</v>
      </c>
      <c r="M65">
        <v>0</v>
      </c>
      <c r="N65">
        <v>2.4</v>
      </c>
      <c r="O65">
        <v>670</v>
      </c>
      <c r="P65">
        <v>670</v>
      </c>
      <c r="Q65">
        <v>854</v>
      </c>
      <c r="R65">
        <v>-99996</v>
      </c>
      <c r="S65">
        <v>0</v>
      </c>
      <c r="T65">
        <v>1194.8</v>
      </c>
      <c r="U65">
        <v>686.8</v>
      </c>
      <c r="V65">
        <v>137.4</v>
      </c>
      <c r="W65">
        <v>0</v>
      </c>
      <c r="X65">
        <v>0</v>
      </c>
      <c r="Y65">
        <v>0</v>
      </c>
      <c r="Z65">
        <v>0</v>
      </c>
      <c r="AA65">
        <v>1116.5999999999999</v>
      </c>
      <c r="AB65">
        <v>0</v>
      </c>
      <c r="AC65">
        <v>0</v>
      </c>
      <c r="AD65">
        <v>0</v>
      </c>
      <c r="AE65">
        <v>0</v>
      </c>
      <c r="AF65">
        <v>0</v>
      </c>
      <c r="AG65">
        <v>0</v>
      </c>
      <c r="AH65">
        <v>0</v>
      </c>
      <c r="AI65">
        <v>0</v>
      </c>
      <c r="AJ65">
        <v>0</v>
      </c>
      <c r="AK65">
        <v>0</v>
      </c>
      <c r="AL65">
        <v>0</v>
      </c>
      <c r="AM65">
        <v>0</v>
      </c>
      <c r="AN65">
        <v>0</v>
      </c>
      <c r="AO65">
        <v>0</v>
      </c>
    </row>
    <row r="66" spans="1:41" x14ac:dyDescent="0.3">
      <c r="A66">
        <f t="shared" ref="A66" si="61">A65+1</f>
        <v>66</v>
      </c>
      <c r="B66" s="10">
        <f t="shared" si="24"/>
        <v>61</v>
      </c>
      <c r="C66" t="s">
        <v>2399</v>
      </c>
      <c r="D66" t="s">
        <v>2391</v>
      </c>
      <c r="E66" t="s">
        <v>844</v>
      </c>
      <c r="F66" t="s">
        <v>2315</v>
      </c>
      <c r="G66" t="s">
        <v>166</v>
      </c>
      <c r="H66" t="s">
        <v>2392</v>
      </c>
      <c r="I66">
        <v>135.05760000000001</v>
      </c>
      <c r="J66">
        <v>1350.58</v>
      </c>
      <c r="K66">
        <v>1</v>
      </c>
      <c r="L66">
        <v>0</v>
      </c>
      <c r="M66">
        <v>0</v>
      </c>
      <c r="N66">
        <v>0</v>
      </c>
      <c r="O66">
        <v>41.1</v>
      </c>
      <c r="P66">
        <v>41.1</v>
      </c>
      <c r="Q66">
        <v>8760</v>
      </c>
      <c r="R66">
        <v>-99996</v>
      </c>
      <c r="S66">
        <v>0</v>
      </c>
      <c r="T66">
        <v>108</v>
      </c>
      <c r="U66">
        <v>0</v>
      </c>
      <c r="V66">
        <v>0</v>
      </c>
      <c r="W66">
        <v>0</v>
      </c>
      <c r="X66">
        <v>0</v>
      </c>
      <c r="Y66">
        <v>0</v>
      </c>
      <c r="Z66">
        <v>0</v>
      </c>
      <c r="AA66">
        <v>0</v>
      </c>
      <c r="AB66">
        <v>0</v>
      </c>
      <c r="AC66">
        <v>135.1</v>
      </c>
      <c r="AD66">
        <v>0</v>
      </c>
      <c r="AE66">
        <v>0</v>
      </c>
      <c r="AF66">
        <v>0</v>
      </c>
      <c r="AG66">
        <v>0</v>
      </c>
      <c r="AH66">
        <v>0</v>
      </c>
      <c r="AI66">
        <v>0</v>
      </c>
      <c r="AJ66">
        <v>0</v>
      </c>
      <c r="AK66">
        <v>0</v>
      </c>
      <c r="AL66">
        <v>0</v>
      </c>
      <c r="AM66">
        <v>0</v>
      </c>
      <c r="AN66">
        <v>0</v>
      </c>
      <c r="AO66">
        <v>0</v>
      </c>
    </row>
    <row r="67" spans="1:41" x14ac:dyDescent="0.3">
      <c r="A67">
        <f t="shared" ref="A67" si="62">A66+1</f>
        <v>67</v>
      </c>
      <c r="B67" s="10">
        <f t="shared" si="24"/>
        <v>62</v>
      </c>
      <c r="C67" t="s">
        <v>2400</v>
      </c>
      <c r="D67" t="s">
        <v>2391</v>
      </c>
      <c r="E67" t="s">
        <v>825</v>
      </c>
      <c r="F67" t="s">
        <v>2328</v>
      </c>
      <c r="G67" t="s">
        <v>165</v>
      </c>
      <c r="H67" t="s">
        <v>2401</v>
      </c>
      <c r="I67">
        <v>3678.0304999999998</v>
      </c>
      <c r="J67">
        <v>36780.300000000003</v>
      </c>
      <c r="K67">
        <v>1</v>
      </c>
      <c r="L67">
        <v>2</v>
      </c>
      <c r="M67">
        <v>0</v>
      </c>
      <c r="N67">
        <v>8.1</v>
      </c>
      <c r="O67">
        <v>2206.8000000000002</v>
      </c>
      <c r="P67">
        <v>2206.8000000000002</v>
      </c>
      <c r="Q67">
        <v>854</v>
      </c>
      <c r="R67">
        <v>-99996</v>
      </c>
      <c r="S67">
        <v>0</v>
      </c>
      <c r="T67">
        <v>3935.5</v>
      </c>
      <c r="U67">
        <v>1428.2</v>
      </c>
      <c r="V67">
        <v>285.60000000000002</v>
      </c>
      <c r="W67">
        <v>0</v>
      </c>
      <c r="X67">
        <v>0</v>
      </c>
      <c r="Y67">
        <v>0</v>
      </c>
      <c r="Z67">
        <v>0</v>
      </c>
      <c r="AA67">
        <v>3678</v>
      </c>
      <c r="AB67">
        <v>0</v>
      </c>
      <c r="AC67">
        <v>0</v>
      </c>
      <c r="AD67">
        <v>0</v>
      </c>
      <c r="AE67">
        <v>0</v>
      </c>
      <c r="AF67">
        <v>0</v>
      </c>
      <c r="AG67">
        <v>0</v>
      </c>
      <c r="AH67">
        <v>0</v>
      </c>
      <c r="AI67">
        <v>0</v>
      </c>
      <c r="AJ67">
        <v>0</v>
      </c>
      <c r="AK67">
        <v>0</v>
      </c>
      <c r="AL67">
        <v>0</v>
      </c>
      <c r="AM67">
        <v>0</v>
      </c>
      <c r="AN67">
        <v>0</v>
      </c>
      <c r="AO67">
        <v>0</v>
      </c>
    </row>
    <row r="68" spans="1:41" x14ac:dyDescent="0.3">
      <c r="A68">
        <f t="shared" ref="A68" si="63">A67+1</f>
        <v>68</v>
      </c>
      <c r="B68" s="10">
        <f t="shared" si="24"/>
        <v>63</v>
      </c>
      <c r="C68" t="s">
        <v>2402</v>
      </c>
      <c r="D68" t="s">
        <v>2391</v>
      </c>
      <c r="E68" t="s">
        <v>825</v>
      </c>
      <c r="F68" t="s">
        <v>2328</v>
      </c>
      <c r="G68" t="s">
        <v>165</v>
      </c>
      <c r="H68" t="s">
        <v>2403</v>
      </c>
      <c r="I68">
        <v>1160.8827000000001</v>
      </c>
      <c r="J68">
        <v>11608.8</v>
      </c>
      <c r="K68">
        <v>1</v>
      </c>
      <c r="L68">
        <v>2</v>
      </c>
      <c r="M68">
        <v>0</v>
      </c>
      <c r="N68">
        <v>2.5</v>
      </c>
      <c r="O68">
        <v>696.5</v>
      </c>
      <c r="P68">
        <v>696.5</v>
      </c>
      <c r="Q68">
        <v>854</v>
      </c>
      <c r="R68">
        <v>-99996</v>
      </c>
      <c r="S68">
        <v>0</v>
      </c>
      <c r="T68">
        <v>1242.0999999999999</v>
      </c>
      <c r="U68">
        <v>531.70000000000005</v>
      </c>
      <c r="V68">
        <v>106.3</v>
      </c>
      <c r="W68">
        <v>0</v>
      </c>
      <c r="X68">
        <v>0</v>
      </c>
      <c r="Y68">
        <v>0</v>
      </c>
      <c r="Z68">
        <v>0</v>
      </c>
      <c r="AA68">
        <v>1160.9000000000001</v>
      </c>
      <c r="AB68">
        <v>0</v>
      </c>
      <c r="AC68">
        <v>0</v>
      </c>
      <c r="AD68">
        <v>0</v>
      </c>
      <c r="AE68">
        <v>0</v>
      </c>
      <c r="AF68">
        <v>0</v>
      </c>
      <c r="AG68">
        <v>0</v>
      </c>
      <c r="AH68">
        <v>0</v>
      </c>
      <c r="AI68">
        <v>0</v>
      </c>
      <c r="AJ68">
        <v>0</v>
      </c>
      <c r="AK68">
        <v>0</v>
      </c>
      <c r="AL68">
        <v>0</v>
      </c>
      <c r="AM68">
        <v>0</v>
      </c>
      <c r="AN68">
        <v>0</v>
      </c>
      <c r="AO68">
        <v>0</v>
      </c>
    </row>
    <row r="69" spans="1:41" x14ac:dyDescent="0.3">
      <c r="A69">
        <f t="shared" ref="A69" si="64">A68+1</f>
        <v>69</v>
      </c>
      <c r="B69" s="10">
        <f t="shared" si="24"/>
        <v>64</v>
      </c>
      <c r="C69" t="s">
        <v>2404</v>
      </c>
      <c r="D69" t="s">
        <v>2391</v>
      </c>
      <c r="E69" t="s">
        <v>825</v>
      </c>
      <c r="F69" t="s">
        <v>2328</v>
      </c>
      <c r="G69" t="s">
        <v>165</v>
      </c>
      <c r="H69" t="s">
        <v>2405</v>
      </c>
      <c r="I69">
        <v>1858.692</v>
      </c>
      <c r="J69">
        <v>18586.900000000001</v>
      </c>
      <c r="K69">
        <v>1</v>
      </c>
      <c r="L69">
        <v>2</v>
      </c>
      <c r="M69">
        <v>0</v>
      </c>
      <c r="N69">
        <v>4.0999999999999996</v>
      </c>
      <c r="O69">
        <v>1115.2</v>
      </c>
      <c r="P69">
        <v>1115.2</v>
      </c>
      <c r="Q69">
        <v>854</v>
      </c>
      <c r="R69">
        <v>-99996</v>
      </c>
      <c r="S69">
        <v>0</v>
      </c>
      <c r="T69">
        <v>1988.8</v>
      </c>
      <c r="U69">
        <v>809.1</v>
      </c>
      <c r="V69">
        <v>161.80000000000001</v>
      </c>
      <c r="W69">
        <v>0</v>
      </c>
      <c r="X69">
        <v>0</v>
      </c>
      <c r="Y69">
        <v>0</v>
      </c>
      <c r="Z69">
        <v>0</v>
      </c>
      <c r="AA69">
        <v>1858.7</v>
      </c>
      <c r="AB69">
        <v>0</v>
      </c>
      <c r="AC69">
        <v>0</v>
      </c>
      <c r="AD69">
        <v>0</v>
      </c>
      <c r="AE69">
        <v>0</v>
      </c>
      <c r="AF69">
        <v>0</v>
      </c>
      <c r="AG69">
        <v>0</v>
      </c>
      <c r="AH69">
        <v>0</v>
      </c>
      <c r="AI69">
        <v>0</v>
      </c>
      <c r="AJ69">
        <v>0</v>
      </c>
      <c r="AK69">
        <v>0</v>
      </c>
      <c r="AL69">
        <v>0</v>
      </c>
      <c r="AM69">
        <v>0</v>
      </c>
      <c r="AN69">
        <v>0</v>
      </c>
      <c r="AO69">
        <v>0</v>
      </c>
    </row>
    <row r="70" spans="1:41" x14ac:dyDescent="0.3">
      <c r="A70">
        <f t="shared" ref="A70" si="65">A69+1</f>
        <v>70</v>
      </c>
      <c r="B70" s="10">
        <f t="shared" si="24"/>
        <v>65</v>
      </c>
      <c r="C70" t="s">
        <v>2406</v>
      </c>
      <c r="D70" t="s">
        <v>2391</v>
      </c>
      <c r="E70" t="s">
        <v>825</v>
      </c>
      <c r="F70" t="s">
        <v>2328</v>
      </c>
      <c r="G70" t="s">
        <v>165</v>
      </c>
      <c r="H70" t="s">
        <v>2407</v>
      </c>
      <c r="I70">
        <v>872.66200000000003</v>
      </c>
      <c r="J70">
        <v>8726.6200000000008</v>
      </c>
      <c r="K70">
        <v>1</v>
      </c>
      <c r="L70">
        <v>2</v>
      </c>
      <c r="M70">
        <v>0</v>
      </c>
      <c r="N70">
        <v>1.9</v>
      </c>
      <c r="O70">
        <v>523.6</v>
      </c>
      <c r="P70">
        <v>523.6</v>
      </c>
      <c r="Q70">
        <v>854</v>
      </c>
      <c r="R70">
        <v>-99996</v>
      </c>
      <c r="S70">
        <v>0</v>
      </c>
      <c r="T70">
        <v>933.7</v>
      </c>
      <c r="U70">
        <v>590.9</v>
      </c>
      <c r="V70">
        <v>118.2</v>
      </c>
      <c r="W70">
        <v>0</v>
      </c>
      <c r="X70">
        <v>0</v>
      </c>
      <c r="Y70">
        <v>0</v>
      </c>
      <c r="Z70">
        <v>0</v>
      </c>
      <c r="AA70">
        <v>872.7</v>
      </c>
      <c r="AB70">
        <v>0</v>
      </c>
      <c r="AC70">
        <v>0</v>
      </c>
      <c r="AD70">
        <v>0</v>
      </c>
      <c r="AE70">
        <v>0</v>
      </c>
      <c r="AF70">
        <v>0</v>
      </c>
      <c r="AG70">
        <v>0</v>
      </c>
      <c r="AH70">
        <v>0</v>
      </c>
      <c r="AI70">
        <v>0</v>
      </c>
      <c r="AJ70">
        <v>0</v>
      </c>
      <c r="AK70">
        <v>0</v>
      </c>
      <c r="AL70">
        <v>0</v>
      </c>
      <c r="AM70">
        <v>0</v>
      </c>
      <c r="AN70">
        <v>0</v>
      </c>
      <c r="AO70">
        <v>0</v>
      </c>
    </row>
    <row r="71" spans="1:41" x14ac:dyDescent="0.3">
      <c r="A71">
        <f t="shared" ref="A71" si="66">A70+1</f>
        <v>71</v>
      </c>
      <c r="B71" s="10">
        <f t="shared" si="24"/>
        <v>66</v>
      </c>
      <c r="C71" t="s">
        <v>2408</v>
      </c>
      <c r="D71" t="s">
        <v>2391</v>
      </c>
      <c r="E71" t="s">
        <v>825</v>
      </c>
      <c r="F71" t="s">
        <v>2328</v>
      </c>
      <c r="G71" t="s">
        <v>165</v>
      </c>
      <c r="H71" t="s">
        <v>2409</v>
      </c>
      <c r="I71">
        <v>1347.52</v>
      </c>
      <c r="J71">
        <v>13475.2</v>
      </c>
      <c r="K71">
        <v>1</v>
      </c>
      <c r="L71">
        <v>2</v>
      </c>
      <c r="M71">
        <v>0</v>
      </c>
      <c r="N71">
        <v>3</v>
      </c>
      <c r="O71">
        <v>808.5</v>
      </c>
      <c r="P71">
        <v>808.5</v>
      </c>
      <c r="Q71">
        <v>854</v>
      </c>
      <c r="R71">
        <v>-99996</v>
      </c>
      <c r="S71">
        <v>0</v>
      </c>
      <c r="T71">
        <v>1441.8</v>
      </c>
      <c r="U71">
        <v>858.4</v>
      </c>
      <c r="V71">
        <v>171.7</v>
      </c>
      <c r="W71">
        <v>0</v>
      </c>
      <c r="X71">
        <v>0</v>
      </c>
      <c r="Y71">
        <v>0</v>
      </c>
      <c r="Z71">
        <v>0</v>
      </c>
      <c r="AA71">
        <v>1347.5</v>
      </c>
      <c r="AB71">
        <v>0</v>
      </c>
      <c r="AC71">
        <v>0</v>
      </c>
      <c r="AD71">
        <v>0</v>
      </c>
      <c r="AE71">
        <v>0</v>
      </c>
      <c r="AF71">
        <v>0</v>
      </c>
      <c r="AG71">
        <v>0</v>
      </c>
      <c r="AH71">
        <v>0</v>
      </c>
      <c r="AI71">
        <v>0</v>
      </c>
      <c r="AJ71">
        <v>0</v>
      </c>
      <c r="AK71">
        <v>0</v>
      </c>
      <c r="AL71">
        <v>0</v>
      </c>
      <c r="AM71">
        <v>0</v>
      </c>
      <c r="AN71">
        <v>0</v>
      </c>
      <c r="AO71">
        <v>0</v>
      </c>
    </row>
    <row r="72" spans="1:41" x14ac:dyDescent="0.3">
      <c r="A72">
        <f t="shared" ref="A72" si="67">A71+1</f>
        <v>72</v>
      </c>
      <c r="B72" s="10">
        <f t="shared" si="24"/>
        <v>67</v>
      </c>
      <c r="C72" t="s">
        <v>2410</v>
      </c>
      <c r="D72" t="s">
        <v>2391</v>
      </c>
      <c r="E72" t="s">
        <v>825</v>
      </c>
      <c r="F72" t="s">
        <v>2344</v>
      </c>
      <c r="G72" t="s">
        <v>166</v>
      </c>
      <c r="H72" t="s">
        <v>2411</v>
      </c>
      <c r="I72">
        <v>272.42880000000002</v>
      </c>
      <c r="J72">
        <v>2724.29</v>
      </c>
      <c r="K72">
        <v>1</v>
      </c>
      <c r="L72">
        <v>10</v>
      </c>
      <c r="M72">
        <v>10</v>
      </c>
      <c r="N72">
        <v>2.7</v>
      </c>
      <c r="O72">
        <v>115.5</v>
      </c>
      <c r="P72">
        <v>115.5</v>
      </c>
      <c r="Q72">
        <v>8760</v>
      </c>
      <c r="R72">
        <v>-99996</v>
      </c>
      <c r="S72">
        <v>0</v>
      </c>
      <c r="T72">
        <v>163.5</v>
      </c>
      <c r="U72">
        <v>0</v>
      </c>
      <c r="V72">
        <v>0</v>
      </c>
      <c r="W72">
        <v>65</v>
      </c>
      <c r="X72">
        <v>13</v>
      </c>
      <c r="Y72">
        <v>0</v>
      </c>
      <c r="Z72">
        <v>0</v>
      </c>
      <c r="AA72">
        <v>0</v>
      </c>
      <c r="AB72">
        <v>0</v>
      </c>
      <c r="AC72">
        <v>0</v>
      </c>
      <c r="AD72">
        <v>0</v>
      </c>
      <c r="AE72">
        <v>0</v>
      </c>
      <c r="AF72">
        <v>0</v>
      </c>
      <c r="AG72">
        <v>0</v>
      </c>
      <c r="AH72">
        <v>0</v>
      </c>
      <c r="AI72">
        <v>0</v>
      </c>
      <c r="AJ72">
        <v>0</v>
      </c>
      <c r="AK72">
        <v>0</v>
      </c>
      <c r="AL72">
        <v>0</v>
      </c>
      <c r="AM72">
        <v>0</v>
      </c>
      <c r="AN72">
        <v>0</v>
      </c>
      <c r="AO72">
        <v>0</v>
      </c>
    </row>
    <row r="73" spans="1:41" x14ac:dyDescent="0.3">
      <c r="A73">
        <f t="shared" ref="A73" si="68">A72+1</f>
        <v>73</v>
      </c>
      <c r="B73" s="10">
        <f t="shared" si="24"/>
        <v>68</v>
      </c>
      <c r="C73" t="s">
        <v>2412</v>
      </c>
      <c r="D73" t="s">
        <v>2391</v>
      </c>
      <c r="E73" t="s">
        <v>844</v>
      </c>
      <c r="F73" t="s">
        <v>834</v>
      </c>
      <c r="G73" t="s">
        <v>165</v>
      </c>
      <c r="H73" t="s">
        <v>2392</v>
      </c>
      <c r="I73">
        <v>211.21340000000001</v>
      </c>
      <c r="J73">
        <v>2112.13</v>
      </c>
      <c r="K73">
        <v>1</v>
      </c>
      <c r="L73">
        <v>-99996</v>
      </c>
      <c r="M73">
        <v>0</v>
      </c>
      <c r="N73">
        <v>0</v>
      </c>
      <c r="O73">
        <v>-99996</v>
      </c>
      <c r="P73">
        <v>0</v>
      </c>
      <c r="Q73">
        <v>0</v>
      </c>
      <c r="R73">
        <v>-99996</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row>
    <row r="74" spans="1:41" x14ac:dyDescent="0.3">
      <c r="A74">
        <f t="shared" ref="A74" si="69">A73+1</f>
        <v>74</v>
      </c>
      <c r="B74" s="10">
        <f t="shared" si="24"/>
        <v>69</v>
      </c>
      <c r="C74" t="s">
        <v>2413</v>
      </c>
      <c r="D74" t="s">
        <v>2391</v>
      </c>
      <c r="E74" t="s">
        <v>844</v>
      </c>
      <c r="F74" t="s">
        <v>2265</v>
      </c>
      <c r="G74" t="s">
        <v>166</v>
      </c>
      <c r="H74" t="s">
        <v>2392</v>
      </c>
      <c r="I74">
        <v>236.34819999999999</v>
      </c>
      <c r="J74">
        <v>2363.48</v>
      </c>
      <c r="K74">
        <v>1</v>
      </c>
      <c r="L74">
        <v>10</v>
      </c>
      <c r="M74">
        <v>10</v>
      </c>
      <c r="N74">
        <v>1.2</v>
      </c>
      <c r="O74">
        <v>92.6</v>
      </c>
      <c r="P74">
        <v>92.6</v>
      </c>
      <c r="Q74">
        <v>8760</v>
      </c>
      <c r="R74">
        <v>-99996</v>
      </c>
      <c r="S74">
        <v>0</v>
      </c>
      <c r="T74">
        <v>141.80000000000001</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row>
    <row r="75" spans="1:41" x14ac:dyDescent="0.3">
      <c r="A75">
        <f t="shared" ref="A75" si="70">A74+1</f>
        <v>75</v>
      </c>
      <c r="B75" s="10">
        <f t="shared" si="24"/>
        <v>70</v>
      </c>
      <c r="C75" t="s">
        <v>2414</v>
      </c>
      <c r="D75" t="s">
        <v>2391</v>
      </c>
      <c r="E75" t="s">
        <v>825</v>
      </c>
      <c r="F75" t="s">
        <v>2328</v>
      </c>
      <c r="G75" t="s">
        <v>165</v>
      </c>
      <c r="H75" t="s">
        <v>2415</v>
      </c>
      <c r="I75">
        <v>3034.0410000000002</v>
      </c>
      <c r="J75">
        <v>30340.400000000001</v>
      </c>
      <c r="K75">
        <v>1</v>
      </c>
      <c r="L75">
        <v>2</v>
      </c>
      <c r="M75">
        <v>0</v>
      </c>
      <c r="N75">
        <v>6.7</v>
      </c>
      <c r="O75">
        <v>1820.4</v>
      </c>
      <c r="P75">
        <v>1820.4</v>
      </c>
      <c r="Q75">
        <v>854</v>
      </c>
      <c r="R75">
        <v>-99996</v>
      </c>
      <c r="S75">
        <v>0</v>
      </c>
      <c r="T75">
        <v>3246.4</v>
      </c>
      <c r="U75">
        <v>1016.9</v>
      </c>
      <c r="V75">
        <v>203.4</v>
      </c>
      <c r="W75">
        <v>0</v>
      </c>
      <c r="X75">
        <v>0</v>
      </c>
      <c r="Y75">
        <v>0</v>
      </c>
      <c r="Z75">
        <v>0</v>
      </c>
      <c r="AA75">
        <v>3034</v>
      </c>
      <c r="AB75">
        <v>0</v>
      </c>
      <c r="AC75">
        <v>0</v>
      </c>
      <c r="AD75">
        <v>0</v>
      </c>
      <c r="AE75">
        <v>0</v>
      </c>
      <c r="AF75">
        <v>0</v>
      </c>
      <c r="AG75">
        <v>0</v>
      </c>
      <c r="AH75">
        <v>0</v>
      </c>
      <c r="AI75">
        <v>0</v>
      </c>
      <c r="AJ75">
        <v>0</v>
      </c>
      <c r="AK75">
        <v>0</v>
      </c>
      <c r="AL75">
        <v>0</v>
      </c>
      <c r="AM75">
        <v>0</v>
      </c>
      <c r="AN75">
        <v>0</v>
      </c>
      <c r="AO75">
        <v>0</v>
      </c>
    </row>
    <row r="76" spans="1:41" x14ac:dyDescent="0.3">
      <c r="A76">
        <f t="shared" ref="A76" si="71">A75+1</f>
        <v>76</v>
      </c>
      <c r="B76" s="10">
        <f t="shared" si="24"/>
        <v>71</v>
      </c>
      <c r="C76" t="s">
        <v>2416</v>
      </c>
      <c r="D76" t="s">
        <v>2391</v>
      </c>
      <c r="E76" t="s">
        <v>844</v>
      </c>
      <c r="F76" t="s">
        <v>2286</v>
      </c>
      <c r="G76" t="s">
        <v>166</v>
      </c>
      <c r="H76" t="s">
        <v>2392</v>
      </c>
      <c r="I76">
        <v>347.74279999999999</v>
      </c>
      <c r="J76">
        <v>3477.43</v>
      </c>
      <c r="K76">
        <v>1</v>
      </c>
      <c r="L76">
        <v>3</v>
      </c>
      <c r="M76">
        <v>3</v>
      </c>
      <c r="N76">
        <v>0.5</v>
      </c>
      <c r="O76">
        <v>119.6</v>
      </c>
      <c r="P76">
        <v>119.6</v>
      </c>
      <c r="Q76">
        <v>8760</v>
      </c>
      <c r="R76">
        <v>-99996</v>
      </c>
      <c r="S76">
        <v>0</v>
      </c>
      <c r="T76">
        <v>521.6</v>
      </c>
      <c r="U76">
        <v>0</v>
      </c>
      <c r="V76">
        <v>0</v>
      </c>
      <c r="W76">
        <v>0</v>
      </c>
      <c r="X76">
        <v>0</v>
      </c>
      <c r="Y76">
        <v>0</v>
      </c>
      <c r="Z76">
        <v>0</v>
      </c>
      <c r="AA76">
        <v>0</v>
      </c>
      <c r="AB76">
        <v>0</v>
      </c>
      <c r="AC76">
        <v>212.4</v>
      </c>
      <c r="AD76">
        <v>0</v>
      </c>
      <c r="AE76">
        <v>0</v>
      </c>
      <c r="AF76">
        <v>0</v>
      </c>
      <c r="AG76">
        <v>0</v>
      </c>
      <c r="AH76">
        <v>0</v>
      </c>
      <c r="AI76">
        <v>0</v>
      </c>
      <c r="AJ76">
        <v>0</v>
      </c>
      <c r="AK76">
        <v>0</v>
      </c>
      <c r="AL76">
        <v>0</v>
      </c>
      <c r="AM76">
        <v>0</v>
      </c>
      <c r="AN76">
        <v>0</v>
      </c>
      <c r="AO76">
        <v>0</v>
      </c>
    </row>
    <row r="77" spans="1:41" x14ac:dyDescent="0.3">
      <c r="A77">
        <f t="shared" ref="A77" si="72">A76+1</f>
        <v>77</v>
      </c>
      <c r="B77" s="10">
        <f t="shared" si="24"/>
        <v>72</v>
      </c>
      <c r="C77" t="s">
        <v>2417</v>
      </c>
      <c r="D77" t="s">
        <v>2391</v>
      </c>
      <c r="E77" t="s">
        <v>844</v>
      </c>
      <c r="F77" t="s">
        <v>834</v>
      </c>
      <c r="G77" t="s">
        <v>166</v>
      </c>
      <c r="H77" t="s">
        <v>2392</v>
      </c>
      <c r="I77">
        <v>178.88640000000001</v>
      </c>
      <c r="J77">
        <v>1788.86</v>
      </c>
      <c r="K77">
        <v>1</v>
      </c>
      <c r="L77">
        <v>-99996</v>
      </c>
      <c r="M77">
        <v>0</v>
      </c>
      <c r="N77">
        <v>0</v>
      </c>
      <c r="O77">
        <v>-99996</v>
      </c>
      <c r="P77">
        <v>0</v>
      </c>
      <c r="Q77">
        <v>0</v>
      </c>
      <c r="R77">
        <v>-99996</v>
      </c>
      <c r="S77">
        <v>0</v>
      </c>
      <c r="T77">
        <v>0</v>
      </c>
      <c r="U77">
        <v>0</v>
      </c>
      <c r="V77">
        <v>0</v>
      </c>
      <c r="W77">
        <v>0</v>
      </c>
      <c r="X77">
        <v>0</v>
      </c>
      <c r="Y77">
        <v>0</v>
      </c>
      <c r="Z77">
        <v>0</v>
      </c>
      <c r="AA77">
        <v>0</v>
      </c>
      <c r="AB77">
        <v>0</v>
      </c>
      <c r="AC77">
        <v>83.4</v>
      </c>
      <c r="AD77">
        <v>0</v>
      </c>
      <c r="AE77">
        <v>0</v>
      </c>
      <c r="AF77">
        <v>0</v>
      </c>
      <c r="AG77">
        <v>0</v>
      </c>
      <c r="AH77">
        <v>0</v>
      </c>
      <c r="AI77">
        <v>0</v>
      </c>
      <c r="AJ77">
        <v>0</v>
      </c>
      <c r="AK77">
        <v>0</v>
      </c>
      <c r="AL77">
        <v>0</v>
      </c>
      <c r="AM77">
        <v>0</v>
      </c>
      <c r="AN77">
        <v>0</v>
      </c>
      <c r="AO77">
        <v>0</v>
      </c>
    </row>
    <row r="78" spans="1:41" x14ac:dyDescent="0.3">
      <c r="A78">
        <f t="shared" ref="A78" si="73">A77+1</f>
        <v>78</v>
      </c>
      <c r="B78" s="10">
        <f t="shared" si="24"/>
        <v>73</v>
      </c>
      <c r="C78" t="s">
        <v>2418</v>
      </c>
      <c r="D78" t="s">
        <v>2391</v>
      </c>
      <c r="E78" t="s">
        <v>844</v>
      </c>
      <c r="F78" t="s">
        <v>2265</v>
      </c>
      <c r="G78" t="s">
        <v>166</v>
      </c>
      <c r="H78" t="s">
        <v>2392</v>
      </c>
      <c r="I78">
        <v>232.53399999999999</v>
      </c>
      <c r="J78">
        <v>2325.34</v>
      </c>
      <c r="K78">
        <v>1</v>
      </c>
      <c r="L78">
        <v>10</v>
      </c>
      <c r="M78">
        <v>10</v>
      </c>
      <c r="N78">
        <v>1.2</v>
      </c>
      <c r="O78">
        <v>91.2</v>
      </c>
      <c r="P78">
        <v>91.2</v>
      </c>
      <c r="Q78">
        <v>8760</v>
      </c>
      <c r="R78">
        <v>-99996</v>
      </c>
      <c r="S78">
        <v>0</v>
      </c>
      <c r="T78">
        <v>139.5</v>
      </c>
      <c r="U78">
        <v>0</v>
      </c>
      <c r="V78">
        <v>0</v>
      </c>
      <c r="W78">
        <v>0</v>
      </c>
      <c r="X78">
        <v>0</v>
      </c>
      <c r="Y78">
        <v>0</v>
      </c>
      <c r="Z78">
        <v>0</v>
      </c>
      <c r="AA78">
        <v>0</v>
      </c>
      <c r="AB78">
        <v>0</v>
      </c>
      <c r="AC78">
        <v>35.4</v>
      </c>
      <c r="AD78">
        <v>0</v>
      </c>
      <c r="AE78">
        <v>0</v>
      </c>
      <c r="AF78">
        <v>0</v>
      </c>
      <c r="AG78">
        <v>0</v>
      </c>
      <c r="AH78">
        <v>0</v>
      </c>
      <c r="AI78">
        <v>0</v>
      </c>
      <c r="AJ78">
        <v>0</v>
      </c>
      <c r="AK78">
        <v>0</v>
      </c>
      <c r="AL78">
        <v>0</v>
      </c>
      <c r="AM78">
        <v>0</v>
      </c>
      <c r="AN78">
        <v>0</v>
      </c>
      <c r="AO78">
        <v>0</v>
      </c>
    </row>
    <row r="79" spans="1:41" x14ac:dyDescent="0.3">
      <c r="A79">
        <f t="shared" ref="A79" si="74">A78+1</f>
        <v>79</v>
      </c>
      <c r="B79" s="10">
        <f t="shared" si="24"/>
        <v>74</v>
      </c>
      <c r="C79" t="s">
        <v>2419</v>
      </c>
      <c r="D79" t="s">
        <v>2391</v>
      </c>
      <c r="E79" t="s">
        <v>825</v>
      </c>
      <c r="F79" t="s">
        <v>2328</v>
      </c>
      <c r="G79" t="s">
        <v>165</v>
      </c>
      <c r="H79" t="s">
        <v>2420</v>
      </c>
      <c r="I79">
        <v>688.28060000000005</v>
      </c>
      <c r="J79">
        <v>6882.81</v>
      </c>
      <c r="K79">
        <v>1</v>
      </c>
      <c r="L79">
        <v>2</v>
      </c>
      <c r="M79">
        <v>0</v>
      </c>
      <c r="N79">
        <v>1.5</v>
      </c>
      <c r="O79">
        <v>413</v>
      </c>
      <c r="P79">
        <v>413</v>
      </c>
      <c r="Q79">
        <v>854</v>
      </c>
      <c r="R79">
        <v>-99996</v>
      </c>
      <c r="S79">
        <v>0</v>
      </c>
      <c r="T79">
        <v>736.5</v>
      </c>
      <c r="U79">
        <v>251.3</v>
      </c>
      <c r="V79">
        <v>50.3</v>
      </c>
      <c r="W79">
        <v>0</v>
      </c>
      <c r="X79">
        <v>0</v>
      </c>
      <c r="Y79">
        <v>0</v>
      </c>
      <c r="Z79">
        <v>0</v>
      </c>
      <c r="AA79">
        <v>688.3</v>
      </c>
      <c r="AB79">
        <v>0</v>
      </c>
      <c r="AC79">
        <v>0</v>
      </c>
      <c r="AD79">
        <v>0</v>
      </c>
      <c r="AE79">
        <v>0</v>
      </c>
      <c r="AF79">
        <v>0</v>
      </c>
      <c r="AG79">
        <v>0</v>
      </c>
      <c r="AH79">
        <v>0</v>
      </c>
      <c r="AI79">
        <v>0</v>
      </c>
      <c r="AJ79">
        <v>0</v>
      </c>
      <c r="AK79">
        <v>0</v>
      </c>
      <c r="AL79">
        <v>0</v>
      </c>
      <c r="AM79">
        <v>0</v>
      </c>
      <c r="AN79">
        <v>0</v>
      </c>
      <c r="AO79">
        <v>0</v>
      </c>
    </row>
    <row r="80" spans="1:41" x14ac:dyDescent="0.3">
      <c r="A80">
        <f t="shared" ref="A80" si="75">A79+1</f>
        <v>80</v>
      </c>
      <c r="B80" s="10">
        <f t="shared" si="24"/>
        <v>75</v>
      </c>
      <c r="C80" t="s">
        <v>2421</v>
      </c>
      <c r="D80" t="s">
        <v>2391</v>
      </c>
      <c r="E80" t="s">
        <v>844</v>
      </c>
      <c r="F80" t="s">
        <v>2315</v>
      </c>
      <c r="G80" t="s">
        <v>166</v>
      </c>
      <c r="H80" t="s">
        <v>2392</v>
      </c>
      <c r="I80">
        <v>187.88740000000001</v>
      </c>
      <c r="J80">
        <v>1878.87</v>
      </c>
      <c r="K80">
        <v>1</v>
      </c>
      <c r="L80">
        <v>0</v>
      </c>
      <c r="M80">
        <v>0</v>
      </c>
      <c r="N80">
        <v>0</v>
      </c>
      <c r="O80">
        <v>57.1</v>
      </c>
      <c r="P80">
        <v>57.1</v>
      </c>
      <c r="Q80">
        <v>8760</v>
      </c>
      <c r="R80">
        <v>-99996</v>
      </c>
      <c r="S80">
        <v>0</v>
      </c>
      <c r="T80">
        <v>150.30000000000001</v>
      </c>
      <c r="U80">
        <v>0</v>
      </c>
      <c r="V80">
        <v>0</v>
      </c>
      <c r="W80">
        <v>0</v>
      </c>
      <c r="X80">
        <v>0</v>
      </c>
      <c r="Y80">
        <v>0</v>
      </c>
      <c r="Z80">
        <v>0</v>
      </c>
      <c r="AA80">
        <v>0</v>
      </c>
      <c r="AB80">
        <v>0</v>
      </c>
      <c r="AC80">
        <v>187.9</v>
      </c>
      <c r="AD80">
        <v>0</v>
      </c>
      <c r="AE80">
        <v>0</v>
      </c>
      <c r="AF80">
        <v>0</v>
      </c>
      <c r="AG80">
        <v>0</v>
      </c>
      <c r="AH80">
        <v>0</v>
      </c>
      <c r="AI80">
        <v>0</v>
      </c>
      <c r="AJ80">
        <v>0</v>
      </c>
      <c r="AK80">
        <v>0</v>
      </c>
      <c r="AL80">
        <v>0</v>
      </c>
      <c r="AM80">
        <v>0</v>
      </c>
      <c r="AN80">
        <v>0</v>
      </c>
      <c r="AO80">
        <v>0</v>
      </c>
    </row>
    <row r="81" spans="1:41" x14ac:dyDescent="0.3">
      <c r="A81">
        <f t="shared" ref="A81" si="76">A80+1</f>
        <v>81</v>
      </c>
      <c r="B81" s="10">
        <f t="shared" si="24"/>
        <v>76</v>
      </c>
      <c r="C81" t="s">
        <v>2422</v>
      </c>
      <c r="D81" t="s">
        <v>2391</v>
      </c>
      <c r="E81" t="s">
        <v>825</v>
      </c>
      <c r="F81" t="s">
        <v>2328</v>
      </c>
      <c r="G81" t="s">
        <v>165</v>
      </c>
      <c r="H81" t="s">
        <v>2423</v>
      </c>
      <c r="I81">
        <v>662.92970000000003</v>
      </c>
      <c r="J81">
        <v>6629.3</v>
      </c>
      <c r="K81">
        <v>1</v>
      </c>
      <c r="L81">
        <v>2</v>
      </c>
      <c r="M81">
        <v>0</v>
      </c>
      <c r="N81">
        <v>1.5</v>
      </c>
      <c r="O81">
        <v>397.8</v>
      </c>
      <c r="P81">
        <v>397.8</v>
      </c>
      <c r="Q81">
        <v>854</v>
      </c>
      <c r="R81">
        <v>-99996</v>
      </c>
      <c r="S81">
        <v>0</v>
      </c>
      <c r="T81">
        <v>709.3</v>
      </c>
      <c r="U81">
        <v>586</v>
      </c>
      <c r="V81">
        <v>117.2</v>
      </c>
      <c r="W81">
        <v>0</v>
      </c>
      <c r="X81">
        <v>0</v>
      </c>
      <c r="Y81">
        <v>0</v>
      </c>
      <c r="Z81">
        <v>0</v>
      </c>
      <c r="AA81">
        <v>662.9</v>
      </c>
      <c r="AB81">
        <v>0</v>
      </c>
      <c r="AC81">
        <v>0</v>
      </c>
      <c r="AD81">
        <v>0</v>
      </c>
      <c r="AE81">
        <v>0</v>
      </c>
      <c r="AF81">
        <v>0</v>
      </c>
      <c r="AG81">
        <v>0</v>
      </c>
      <c r="AH81">
        <v>0</v>
      </c>
      <c r="AI81">
        <v>0</v>
      </c>
      <c r="AJ81">
        <v>0</v>
      </c>
      <c r="AK81">
        <v>0</v>
      </c>
      <c r="AL81">
        <v>0</v>
      </c>
      <c r="AM81">
        <v>0</v>
      </c>
      <c r="AN81">
        <v>0</v>
      </c>
      <c r="AO81">
        <v>0</v>
      </c>
    </row>
    <row r="82" spans="1:41" x14ac:dyDescent="0.3">
      <c r="A82">
        <f t="shared" ref="A82" si="77">A81+1</f>
        <v>82</v>
      </c>
      <c r="B82" s="10">
        <f t="shared" si="24"/>
        <v>77</v>
      </c>
      <c r="C82" t="s">
        <v>2424</v>
      </c>
      <c r="D82" t="s">
        <v>68</v>
      </c>
      <c r="E82" t="s">
        <v>825</v>
      </c>
      <c r="F82" t="s">
        <v>2265</v>
      </c>
      <c r="G82" t="s">
        <v>166</v>
      </c>
      <c r="H82" t="s">
        <v>2425</v>
      </c>
      <c r="I82">
        <v>197.10499999999999</v>
      </c>
      <c r="J82">
        <v>1971.05</v>
      </c>
      <c r="K82">
        <v>1</v>
      </c>
      <c r="L82">
        <v>10</v>
      </c>
      <c r="M82">
        <v>10</v>
      </c>
      <c r="N82">
        <v>1</v>
      </c>
      <c r="O82">
        <v>77.3</v>
      </c>
      <c r="P82">
        <v>77.3</v>
      </c>
      <c r="Q82">
        <v>8760</v>
      </c>
      <c r="R82">
        <v>-99996</v>
      </c>
      <c r="S82">
        <v>0</v>
      </c>
      <c r="T82">
        <v>118.3</v>
      </c>
      <c r="U82">
        <v>0</v>
      </c>
      <c r="V82">
        <v>0</v>
      </c>
      <c r="W82">
        <v>473.4</v>
      </c>
      <c r="X82">
        <v>0</v>
      </c>
      <c r="Y82">
        <v>0</v>
      </c>
      <c r="Z82">
        <v>0</v>
      </c>
      <c r="AA82">
        <v>0</v>
      </c>
      <c r="AB82">
        <v>0</v>
      </c>
      <c r="AC82">
        <v>197.1</v>
      </c>
      <c r="AD82">
        <v>0</v>
      </c>
      <c r="AE82">
        <v>0</v>
      </c>
      <c r="AF82">
        <v>0</v>
      </c>
      <c r="AG82">
        <v>0</v>
      </c>
      <c r="AH82">
        <v>0</v>
      </c>
      <c r="AI82">
        <v>0</v>
      </c>
      <c r="AJ82">
        <v>0</v>
      </c>
      <c r="AK82">
        <v>0</v>
      </c>
      <c r="AL82">
        <v>0</v>
      </c>
      <c r="AM82">
        <v>0</v>
      </c>
      <c r="AN82">
        <v>0</v>
      </c>
      <c r="AO82">
        <v>0</v>
      </c>
    </row>
    <row r="83" spans="1:41" x14ac:dyDescent="0.3">
      <c r="A83">
        <f t="shared" ref="A83" si="78">A82+1</f>
        <v>83</v>
      </c>
      <c r="B83" s="10">
        <f t="shared" si="24"/>
        <v>78</v>
      </c>
      <c r="C83" t="s">
        <v>2426</v>
      </c>
      <c r="D83" t="s">
        <v>68</v>
      </c>
      <c r="E83" t="s">
        <v>844</v>
      </c>
      <c r="F83" t="s">
        <v>834</v>
      </c>
      <c r="G83" t="s">
        <v>166</v>
      </c>
      <c r="H83" t="s">
        <v>2425</v>
      </c>
      <c r="I83">
        <v>127.9872</v>
      </c>
      <c r="J83">
        <v>1279.8699999999999</v>
      </c>
      <c r="K83">
        <v>1</v>
      </c>
      <c r="L83">
        <v>-99996</v>
      </c>
      <c r="M83">
        <v>0</v>
      </c>
      <c r="N83">
        <v>0</v>
      </c>
      <c r="O83">
        <v>-99996</v>
      </c>
      <c r="P83">
        <v>0</v>
      </c>
      <c r="Q83">
        <v>0</v>
      </c>
      <c r="R83">
        <v>-99996</v>
      </c>
      <c r="S83">
        <v>0</v>
      </c>
      <c r="T83">
        <v>0</v>
      </c>
      <c r="U83">
        <v>0</v>
      </c>
      <c r="V83">
        <v>0</v>
      </c>
      <c r="W83">
        <v>211.2</v>
      </c>
      <c r="X83">
        <v>0</v>
      </c>
      <c r="Y83">
        <v>0</v>
      </c>
      <c r="Z83">
        <v>0</v>
      </c>
      <c r="AA83">
        <v>0</v>
      </c>
      <c r="AB83">
        <v>0</v>
      </c>
      <c r="AC83">
        <v>128</v>
      </c>
      <c r="AD83">
        <v>0</v>
      </c>
      <c r="AE83">
        <v>0</v>
      </c>
      <c r="AF83">
        <v>0</v>
      </c>
      <c r="AG83">
        <v>0</v>
      </c>
      <c r="AH83">
        <v>0</v>
      </c>
      <c r="AI83">
        <v>0</v>
      </c>
      <c r="AJ83">
        <v>0</v>
      </c>
      <c r="AK83">
        <v>0</v>
      </c>
      <c r="AL83">
        <v>0</v>
      </c>
      <c r="AM83">
        <v>0</v>
      </c>
      <c r="AN83">
        <v>0</v>
      </c>
      <c r="AO83">
        <v>0</v>
      </c>
    </row>
    <row r="84" spans="1:41" x14ac:dyDescent="0.3">
      <c r="A84">
        <f t="shared" ref="A84" si="79">A83+1</f>
        <v>84</v>
      </c>
      <c r="B84" s="10">
        <f t="shared" si="24"/>
        <v>79</v>
      </c>
      <c r="C84" t="s">
        <v>2427</v>
      </c>
      <c r="D84" t="s">
        <v>68</v>
      </c>
      <c r="E84" t="s">
        <v>825</v>
      </c>
      <c r="F84" t="s">
        <v>2286</v>
      </c>
      <c r="G84" t="s">
        <v>166</v>
      </c>
      <c r="H84" t="s">
        <v>2428</v>
      </c>
      <c r="I84">
        <v>102.77760000000001</v>
      </c>
      <c r="J84">
        <v>1027.78</v>
      </c>
      <c r="K84">
        <v>1</v>
      </c>
      <c r="L84">
        <v>3</v>
      </c>
      <c r="M84">
        <v>3</v>
      </c>
      <c r="N84">
        <v>0.2</v>
      </c>
      <c r="O84">
        <v>35.4</v>
      </c>
      <c r="P84">
        <v>35.4</v>
      </c>
      <c r="Q84">
        <v>8760</v>
      </c>
      <c r="R84">
        <v>-99996</v>
      </c>
      <c r="S84">
        <v>0</v>
      </c>
      <c r="T84">
        <v>154.19999999999999</v>
      </c>
      <c r="U84">
        <v>0</v>
      </c>
      <c r="V84">
        <v>0</v>
      </c>
      <c r="W84">
        <v>290.8</v>
      </c>
      <c r="X84">
        <v>0</v>
      </c>
      <c r="Y84">
        <v>0</v>
      </c>
      <c r="Z84">
        <v>0</v>
      </c>
      <c r="AA84">
        <v>0</v>
      </c>
      <c r="AB84">
        <v>0</v>
      </c>
      <c r="AC84">
        <v>102.8</v>
      </c>
      <c r="AD84">
        <v>0</v>
      </c>
      <c r="AE84">
        <v>0</v>
      </c>
      <c r="AF84">
        <v>0</v>
      </c>
      <c r="AG84">
        <v>0</v>
      </c>
      <c r="AH84">
        <v>0</v>
      </c>
      <c r="AI84">
        <v>0</v>
      </c>
      <c r="AJ84">
        <v>0</v>
      </c>
      <c r="AK84">
        <v>0</v>
      </c>
      <c r="AL84">
        <v>0</v>
      </c>
      <c r="AM84">
        <v>0</v>
      </c>
      <c r="AN84">
        <v>0</v>
      </c>
      <c r="AO84">
        <v>0</v>
      </c>
    </row>
    <row r="85" spans="1:41" x14ac:dyDescent="0.3">
      <c r="A85">
        <f t="shared" ref="A85" si="80">A84+1</f>
        <v>85</v>
      </c>
      <c r="B85" s="10">
        <f t="shared" si="24"/>
        <v>80</v>
      </c>
      <c r="C85" t="s">
        <v>2429</v>
      </c>
      <c r="D85" t="s">
        <v>68</v>
      </c>
      <c r="E85" t="s">
        <v>825</v>
      </c>
      <c r="F85" t="s">
        <v>2265</v>
      </c>
      <c r="G85" t="s">
        <v>166</v>
      </c>
      <c r="H85" t="s">
        <v>2430</v>
      </c>
      <c r="I85">
        <v>236.34819999999999</v>
      </c>
      <c r="J85">
        <v>2363.48</v>
      </c>
      <c r="K85">
        <v>1</v>
      </c>
      <c r="L85">
        <v>10</v>
      </c>
      <c r="M85">
        <v>10</v>
      </c>
      <c r="N85">
        <v>1.2</v>
      </c>
      <c r="O85">
        <v>92.6</v>
      </c>
      <c r="P85">
        <v>92.6</v>
      </c>
      <c r="Q85">
        <v>8760</v>
      </c>
      <c r="R85">
        <v>-99996</v>
      </c>
      <c r="S85">
        <v>0</v>
      </c>
      <c r="T85">
        <v>141.80000000000001</v>
      </c>
      <c r="U85">
        <v>0</v>
      </c>
      <c r="V85">
        <v>0</v>
      </c>
      <c r="W85">
        <v>435.9</v>
      </c>
      <c r="X85">
        <v>0</v>
      </c>
      <c r="Y85">
        <v>0</v>
      </c>
      <c r="Z85">
        <v>0</v>
      </c>
      <c r="AA85">
        <v>0</v>
      </c>
      <c r="AB85">
        <v>0</v>
      </c>
      <c r="AC85">
        <v>236.3</v>
      </c>
      <c r="AD85">
        <v>0</v>
      </c>
      <c r="AE85">
        <v>0</v>
      </c>
      <c r="AF85">
        <v>0</v>
      </c>
      <c r="AG85">
        <v>0</v>
      </c>
      <c r="AH85">
        <v>0</v>
      </c>
      <c r="AI85">
        <v>0</v>
      </c>
      <c r="AJ85">
        <v>0</v>
      </c>
      <c r="AK85">
        <v>0</v>
      </c>
      <c r="AL85">
        <v>0</v>
      </c>
      <c r="AM85">
        <v>0</v>
      </c>
      <c r="AN85">
        <v>0</v>
      </c>
      <c r="AO85">
        <v>0</v>
      </c>
    </row>
    <row r="86" spans="1:41" x14ac:dyDescent="0.3">
      <c r="A86">
        <f t="shared" ref="A86" si="81">A85+1</f>
        <v>86</v>
      </c>
      <c r="B86" s="10">
        <f t="shared" si="24"/>
        <v>81</v>
      </c>
      <c r="C86" t="s">
        <v>2431</v>
      </c>
      <c r="D86" t="s">
        <v>68</v>
      </c>
      <c r="E86" t="s">
        <v>844</v>
      </c>
      <c r="F86" t="s">
        <v>834</v>
      </c>
      <c r="G86" t="s">
        <v>166</v>
      </c>
      <c r="H86" t="s">
        <v>2430</v>
      </c>
      <c r="I86">
        <v>211.21340000000001</v>
      </c>
      <c r="J86">
        <v>2112.13</v>
      </c>
      <c r="K86">
        <v>1</v>
      </c>
      <c r="L86">
        <v>-99996</v>
      </c>
      <c r="M86">
        <v>0</v>
      </c>
      <c r="N86">
        <v>0</v>
      </c>
      <c r="O86">
        <v>-99996</v>
      </c>
      <c r="P86">
        <v>0</v>
      </c>
      <c r="Q86">
        <v>0</v>
      </c>
      <c r="R86">
        <v>-99996</v>
      </c>
      <c r="S86">
        <v>0</v>
      </c>
      <c r="T86">
        <v>0</v>
      </c>
      <c r="U86">
        <v>0</v>
      </c>
      <c r="V86">
        <v>0</v>
      </c>
      <c r="W86">
        <v>208.4</v>
      </c>
      <c r="X86">
        <v>0</v>
      </c>
      <c r="Y86">
        <v>0</v>
      </c>
      <c r="Z86">
        <v>0</v>
      </c>
      <c r="AA86">
        <v>0</v>
      </c>
      <c r="AB86">
        <v>0</v>
      </c>
      <c r="AC86">
        <v>211.2</v>
      </c>
      <c r="AD86">
        <v>0</v>
      </c>
      <c r="AE86">
        <v>0</v>
      </c>
      <c r="AF86">
        <v>0</v>
      </c>
      <c r="AG86">
        <v>0</v>
      </c>
      <c r="AH86">
        <v>0</v>
      </c>
      <c r="AI86">
        <v>0</v>
      </c>
      <c r="AJ86">
        <v>0</v>
      </c>
      <c r="AK86">
        <v>0</v>
      </c>
      <c r="AL86">
        <v>0</v>
      </c>
      <c r="AM86">
        <v>0</v>
      </c>
      <c r="AN86">
        <v>0</v>
      </c>
      <c r="AO86">
        <v>0</v>
      </c>
    </row>
    <row r="87" spans="1:41" x14ac:dyDescent="0.3">
      <c r="A87">
        <f t="shared" ref="A87" si="82">A86+1</f>
        <v>87</v>
      </c>
      <c r="B87" s="10">
        <f t="shared" si="24"/>
        <v>82</v>
      </c>
      <c r="C87" t="s">
        <v>2432</v>
      </c>
      <c r="D87" t="s">
        <v>68</v>
      </c>
      <c r="E87" t="s">
        <v>825</v>
      </c>
      <c r="F87" t="s">
        <v>2286</v>
      </c>
      <c r="G87" t="s">
        <v>166</v>
      </c>
      <c r="H87" t="s">
        <v>2433</v>
      </c>
      <c r="I87">
        <v>272.42880000000002</v>
      </c>
      <c r="J87">
        <v>2724.29</v>
      </c>
      <c r="K87">
        <v>1</v>
      </c>
      <c r="L87">
        <v>3</v>
      </c>
      <c r="M87">
        <v>3</v>
      </c>
      <c r="N87">
        <v>0.4</v>
      </c>
      <c r="O87">
        <v>93.7</v>
      </c>
      <c r="P87">
        <v>93.7</v>
      </c>
      <c r="Q87">
        <v>8760</v>
      </c>
      <c r="R87">
        <v>-99996</v>
      </c>
      <c r="S87">
        <v>0</v>
      </c>
      <c r="T87">
        <v>408.6</v>
      </c>
      <c r="U87">
        <v>0</v>
      </c>
      <c r="V87">
        <v>0</v>
      </c>
      <c r="W87">
        <v>471.5</v>
      </c>
      <c r="X87">
        <v>0</v>
      </c>
      <c r="Y87">
        <v>0</v>
      </c>
      <c r="Z87">
        <v>0</v>
      </c>
      <c r="AA87">
        <v>0</v>
      </c>
      <c r="AB87">
        <v>0</v>
      </c>
      <c r="AC87">
        <v>272.39999999999998</v>
      </c>
      <c r="AD87">
        <v>0</v>
      </c>
      <c r="AE87">
        <v>0</v>
      </c>
      <c r="AF87">
        <v>0</v>
      </c>
      <c r="AG87">
        <v>0</v>
      </c>
      <c r="AH87">
        <v>0</v>
      </c>
      <c r="AI87">
        <v>0</v>
      </c>
      <c r="AJ87">
        <v>0</v>
      </c>
      <c r="AK87">
        <v>0</v>
      </c>
      <c r="AL87">
        <v>0</v>
      </c>
      <c r="AM87">
        <v>0</v>
      </c>
      <c r="AN87">
        <v>0</v>
      </c>
      <c r="AO87">
        <v>0</v>
      </c>
    </row>
    <row r="88" spans="1:41" x14ac:dyDescent="0.3">
      <c r="A88">
        <f t="shared" ref="A88" si="83">A87+1</f>
        <v>88</v>
      </c>
      <c r="B88" s="10">
        <f t="shared" si="24"/>
        <v>83</v>
      </c>
    </row>
    <row r="89" spans="1:41" x14ac:dyDescent="0.3">
      <c r="A89">
        <f t="shared" ref="A89" si="84">A88+1</f>
        <v>89</v>
      </c>
      <c r="B89" s="10">
        <f t="shared" si="24"/>
        <v>84</v>
      </c>
      <c r="C89" s="844"/>
      <c r="D89" s="844"/>
      <c r="E89" s="844"/>
      <c r="F89" s="844"/>
      <c r="G89" s="844"/>
      <c r="H89" s="844"/>
      <c r="I89" s="844"/>
      <c r="J89" s="844"/>
      <c r="K89" s="844"/>
      <c r="L89" s="844"/>
      <c r="M89" s="844"/>
      <c r="N89" s="844"/>
      <c r="O89" s="844"/>
      <c r="P89" s="844"/>
      <c r="Q89" s="844"/>
      <c r="R89" s="844"/>
      <c r="S89" s="844"/>
      <c r="T89" s="844"/>
      <c r="U89" s="844"/>
      <c r="V89" s="844"/>
      <c r="W89" s="844"/>
      <c r="X89" s="844"/>
      <c r="Y89" s="844"/>
      <c r="Z89" s="844"/>
    </row>
    <row r="90" spans="1:41" x14ac:dyDescent="0.3">
      <c r="A90">
        <f t="shared" ref="A90" si="85">A89+1</f>
        <v>90</v>
      </c>
      <c r="B90" s="10">
        <f t="shared" si="24"/>
        <v>85</v>
      </c>
    </row>
    <row r="91" spans="1:41" x14ac:dyDescent="0.3">
      <c r="A91">
        <f t="shared" ref="A91" si="86">A90+1</f>
        <v>91</v>
      </c>
      <c r="B91" s="10">
        <f t="shared" si="24"/>
        <v>86</v>
      </c>
    </row>
    <row r="92" spans="1:41" x14ac:dyDescent="0.3">
      <c r="A92">
        <f t="shared" ref="A92" si="87">A91+1</f>
        <v>92</v>
      </c>
      <c r="B92" s="10">
        <f t="shared" si="24"/>
        <v>87</v>
      </c>
    </row>
    <row r="93" spans="1:41" x14ac:dyDescent="0.3">
      <c r="A93">
        <f t="shared" ref="A93" si="88">A92+1</f>
        <v>93</v>
      </c>
      <c r="B93" s="10">
        <f t="shared" ref="B93:B156" si="89">B92+1</f>
        <v>88</v>
      </c>
    </row>
    <row r="94" spans="1:41" x14ac:dyDescent="0.3">
      <c r="A94">
        <f t="shared" ref="A94" si="90">A93+1</f>
        <v>94</v>
      </c>
      <c r="B94" s="10">
        <f t="shared" si="89"/>
        <v>89</v>
      </c>
      <c r="C94" s="844"/>
      <c r="D94" s="844"/>
      <c r="E94" s="844"/>
      <c r="F94" s="844"/>
      <c r="G94" s="844"/>
      <c r="H94" s="844"/>
      <c r="I94" s="844"/>
      <c r="J94" s="844"/>
      <c r="K94" s="844"/>
      <c r="L94" s="844"/>
      <c r="M94" s="844"/>
      <c r="N94" s="844"/>
      <c r="O94" s="844"/>
      <c r="P94" s="844"/>
      <c r="Q94" s="844"/>
      <c r="R94" s="844"/>
      <c r="S94" s="844"/>
      <c r="T94" s="844"/>
      <c r="U94" s="844"/>
      <c r="V94" s="844"/>
      <c r="W94" s="844"/>
      <c r="X94" s="844"/>
      <c r="Y94" s="844"/>
      <c r="Z94" s="844"/>
    </row>
    <row r="95" spans="1:41" x14ac:dyDescent="0.3">
      <c r="A95">
        <f t="shared" ref="A95" si="91">A94+1</f>
        <v>95</v>
      </c>
      <c r="B95" s="10">
        <f t="shared" si="89"/>
        <v>90</v>
      </c>
      <c r="C95" s="844"/>
      <c r="D95" s="844"/>
      <c r="E95" s="844"/>
      <c r="F95" s="844"/>
      <c r="G95" s="844"/>
      <c r="H95" s="844"/>
      <c r="I95" s="844"/>
      <c r="J95" s="844"/>
      <c r="K95" s="844"/>
      <c r="L95" s="844"/>
      <c r="M95" s="844"/>
      <c r="N95" s="844"/>
      <c r="O95" s="844"/>
      <c r="P95" s="844"/>
      <c r="Q95" s="844"/>
      <c r="R95" s="844"/>
      <c r="S95" s="844"/>
      <c r="T95" s="844"/>
      <c r="U95" s="844"/>
      <c r="V95" s="844"/>
      <c r="W95" s="844"/>
      <c r="X95" s="844"/>
      <c r="Y95" s="844"/>
      <c r="Z95" s="844"/>
    </row>
    <row r="96" spans="1:41" x14ac:dyDescent="0.3">
      <c r="A96">
        <f t="shared" ref="A96" si="92">A95+1</f>
        <v>96</v>
      </c>
      <c r="B96" s="10">
        <f t="shared" si="89"/>
        <v>91</v>
      </c>
      <c r="C96" s="844"/>
      <c r="D96" s="844"/>
      <c r="E96" s="844"/>
      <c r="F96" s="844"/>
      <c r="G96" s="844"/>
      <c r="H96" s="844"/>
      <c r="I96" s="844"/>
      <c r="J96" s="844"/>
      <c r="K96" s="844"/>
      <c r="L96" s="844"/>
      <c r="M96" s="844"/>
      <c r="N96" s="844"/>
      <c r="O96" s="844"/>
      <c r="P96" s="844"/>
      <c r="Q96" s="844"/>
      <c r="R96" s="844"/>
      <c r="S96" s="844"/>
      <c r="T96" s="844"/>
      <c r="U96" s="844"/>
      <c r="V96" s="844"/>
      <c r="W96" s="844"/>
      <c r="X96" s="844"/>
      <c r="Y96" s="844"/>
      <c r="Z96" s="844"/>
    </row>
    <row r="97" spans="1:26" x14ac:dyDescent="0.3">
      <c r="A97">
        <f t="shared" ref="A97" si="93">A96+1</f>
        <v>97</v>
      </c>
      <c r="B97" s="10">
        <f t="shared" si="89"/>
        <v>92</v>
      </c>
      <c r="C97" s="844"/>
      <c r="D97" s="844"/>
      <c r="E97" s="844"/>
      <c r="F97" s="844"/>
      <c r="G97" s="844"/>
      <c r="H97" s="844"/>
      <c r="I97" s="844"/>
      <c r="J97" s="844"/>
      <c r="K97" s="844"/>
      <c r="L97" s="844"/>
      <c r="M97" s="844"/>
      <c r="N97" s="844"/>
      <c r="O97" s="844"/>
      <c r="P97" s="844"/>
      <c r="Q97" s="844"/>
      <c r="R97" s="844"/>
      <c r="S97" s="844"/>
      <c r="T97" s="844"/>
      <c r="U97" s="844"/>
      <c r="V97" s="844"/>
      <c r="W97" s="844"/>
      <c r="X97" s="844"/>
      <c r="Y97" s="844"/>
      <c r="Z97" s="844"/>
    </row>
    <row r="98" spans="1:26" x14ac:dyDescent="0.3">
      <c r="A98">
        <f t="shared" ref="A98" si="94">A97+1</f>
        <v>98</v>
      </c>
      <c r="B98" s="10">
        <f t="shared" si="89"/>
        <v>93</v>
      </c>
      <c r="C98" s="844"/>
      <c r="D98" s="844"/>
      <c r="E98" s="844"/>
      <c r="F98" s="844"/>
      <c r="G98" s="844"/>
      <c r="H98" s="844"/>
      <c r="I98" s="844"/>
      <c r="J98" s="844"/>
      <c r="K98" s="844"/>
      <c r="L98" s="844"/>
      <c r="M98" s="844"/>
      <c r="N98" s="844"/>
      <c r="O98" s="844"/>
      <c r="P98" s="844"/>
      <c r="Q98" s="844"/>
      <c r="R98" s="844"/>
      <c r="S98" s="844"/>
      <c r="T98" s="844"/>
      <c r="U98" s="844"/>
      <c r="V98" s="844"/>
      <c r="W98" s="844"/>
      <c r="X98" s="844"/>
      <c r="Y98" s="844"/>
      <c r="Z98" s="844"/>
    </row>
    <row r="99" spans="1:26" x14ac:dyDescent="0.3">
      <c r="A99">
        <f t="shared" ref="A99" si="95">A98+1</f>
        <v>99</v>
      </c>
      <c r="B99" s="10">
        <f t="shared" si="89"/>
        <v>94</v>
      </c>
      <c r="C99" s="844"/>
      <c r="D99" s="844"/>
      <c r="E99" s="844"/>
      <c r="F99" s="844"/>
      <c r="G99" s="844"/>
      <c r="H99" s="844"/>
      <c r="I99" s="844"/>
      <c r="J99" s="844"/>
      <c r="K99" s="844"/>
      <c r="L99" s="844"/>
      <c r="M99" s="844"/>
      <c r="N99" s="844"/>
      <c r="O99" s="844"/>
      <c r="P99" s="844"/>
      <c r="Q99" s="844"/>
      <c r="R99" s="844"/>
      <c r="S99" s="844"/>
      <c r="T99" s="844"/>
      <c r="U99" s="844"/>
      <c r="V99" s="844"/>
      <c r="W99" s="844"/>
      <c r="X99" s="844"/>
      <c r="Y99" s="844"/>
      <c r="Z99" s="844"/>
    </row>
    <row r="100" spans="1:26" x14ac:dyDescent="0.3">
      <c r="A100">
        <f t="shared" ref="A100" si="96">A99+1</f>
        <v>100</v>
      </c>
      <c r="B100" s="10">
        <f t="shared" si="89"/>
        <v>95</v>
      </c>
      <c r="C100" s="844"/>
      <c r="D100" s="844"/>
      <c r="E100" s="844"/>
      <c r="F100" s="844"/>
      <c r="G100" s="844"/>
      <c r="H100" s="844"/>
      <c r="I100" s="844"/>
      <c r="J100" s="844"/>
      <c r="K100" s="844"/>
      <c r="L100" s="844"/>
      <c r="M100" s="844"/>
      <c r="N100" s="844"/>
      <c r="O100" s="844"/>
      <c r="P100" s="844"/>
      <c r="Q100" s="844"/>
      <c r="R100" s="844"/>
      <c r="S100" s="844"/>
      <c r="T100" s="844"/>
      <c r="U100" s="844"/>
      <c r="V100" s="844"/>
      <c r="W100" s="844"/>
      <c r="X100" s="844"/>
      <c r="Y100" s="844"/>
      <c r="Z100" s="844"/>
    </row>
    <row r="101" spans="1:26" x14ac:dyDescent="0.3">
      <c r="A101">
        <f t="shared" ref="A101" si="97">A100+1</f>
        <v>101</v>
      </c>
      <c r="B101" s="10">
        <f t="shared" si="89"/>
        <v>96</v>
      </c>
      <c r="C101" s="844"/>
      <c r="D101" s="844"/>
      <c r="E101" s="844"/>
      <c r="F101" s="844"/>
      <c r="G101" s="844"/>
      <c r="H101" s="844"/>
      <c r="I101" s="844"/>
      <c r="J101" s="844"/>
      <c r="K101" s="844"/>
      <c r="L101" s="844"/>
      <c r="M101" s="844"/>
      <c r="N101" s="844"/>
      <c r="O101" s="844"/>
      <c r="P101" s="844"/>
      <c r="Q101" s="844"/>
      <c r="R101" s="844"/>
      <c r="S101" s="844"/>
      <c r="T101" s="844"/>
      <c r="U101" s="844"/>
      <c r="V101" s="844"/>
      <c r="W101" s="844"/>
      <c r="X101" s="844"/>
      <c r="Y101" s="844"/>
      <c r="Z101" s="844"/>
    </row>
    <row r="102" spans="1:26" x14ac:dyDescent="0.3">
      <c r="A102">
        <f t="shared" ref="A102" si="98">A101+1</f>
        <v>102</v>
      </c>
      <c r="B102" s="10">
        <f t="shared" si="89"/>
        <v>97</v>
      </c>
      <c r="C102" s="844"/>
      <c r="D102" s="844"/>
      <c r="E102" s="844"/>
      <c r="F102" s="844"/>
      <c r="G102" s="844"/>
      <c r="H102" s="844"/>
      <c r="I102" s="844"/>
      <c r="J102" s="844"/>
      <c r="K102" s="844"/>
      <c r="L102" s="844"/>
      <c r="M102" s="844"/>
      <c r="N102" s="844"/>
      <c r="O102" s="844"/>
      <c r="P102" s="844"/>
      <c r="Q102" s="844"/>
      <c r="R102" s="844"/>
      <c r="S102" s="844"/>
      <c r="T102" s="844"/>
      <c r="U102" s="844"/>
      <c r="V102" s="844"/>
      <c r="W102" s="844"/>
      <c r="X102" s="844"/>
      <c r="Y102" s="844"/>
      <c r="Z102" s="844"/>
    </row>
    <row r="103" spans="1:26" x14ac:dyDescent="0.3">
      <c r="A103">
        <f t="shared" ref="A103" si="99">A102+1</f>
        <v>103</v>
      </c>
      <c r="B103" s="10">
        <f t="shared" si="89"/>
        <v>98</v>
      </c>
      <c r="C103" s="844"/>
      <c r="D103" s="844"/>
      <c r="E103" s="844"/>
      <c r="F103" s="844"/>
      <c r="G103" s="844"/>
      <c r="H103" s="844"/>
      <c r="I103" s="844"/>
      <c r="J103" s="844"/>
      <c r="K103" s="844"/>
      <c r="L103" s="844"/>
      <c r="M103" s="844"/>
      <c r="N103" s="844"/>
      <c r="O103" s="844"/>
      <c r="P103" s="844"/>
      <c r="Q103" s="844"/>
      <c r="R103" s="844"/>
      <c r="S103" s="844"/>
      <c r="T103" s="844"/>
      <c r="U103" s="844"/>
      <c r="V103" s="844"/>
      <c r="W103" s="844"/>
      <c r="X103" s="844"/>
      <c r="Y103" s="844"/>
      <c r="Z103" s="844"/>
    </row>
    <row r="104" spans="1:26" x14ac:dyDescent="0.3">
      <c r="A104">
        <f t="shared" ref="A104" si="100">A103+1</f>
        <v>104</v>
      </c>
      <c r="B104" s="10">
        <f t="shared" si="89"/>
        <v>99</v>
      </c>
      <c r="C104" s="844"/>
      <c r="D104" s="844"/>
      <c r="E104" s="844"/>
      <c r="F104" s="844"/>
      <c r="G104" s="844"/>
      <c r="H104" s="844"/>
      <c r="I104" s="844"/>
      <c r="J104" s="844"/>
      <c r="K104" s="844"/>
      <c r="L104" s="844"/>
      <c r="M104" s="844"/>
      <c r="N104" s="844"/>
      <c r="O104" s="844"/>
      <c r="P104" s="844"/>
      <c r="Q104" s="844"/>
      <c r="R104" s="844"/>
      <c r="S104" s="844"/>
      <c r="T104" s="844"/>
      <c r="U104" s="844"/>
      <c r="V104" s="844"/>
      <c r="W104" s="844"/>
      <c r="X104" s="844"/>
      <c r="Y104" s="844"/>
      <c r="Z104" s="844"/>
    </row>
    <row r="105" spans="1:26" x14ac:dyDescent="0.3">
      <c r="A105">
        <f t="shared" ref="A105" si="101">A104+1</f>
        <v>105</v>
      </c>
      <c r="B105" s="10">
        <f t="shared" si="89"/>
        <v>100</v>
      </c>
      <c r="C105" s="844"/>
      <c r="D105" s="844"/>
      <c r="E105" s="844"/>
      <c r="F105" s="844"/>
      <c r="G105" s="844"/>
      <c r="H105" s="844"/>
      <c r="I105" s="844"/>
      <c r="J105" s="844"/>
      <c r="K105" s="844"/>
      <c r="L105" s="844"/>
      <c r="M105" s="844"/>
      <c r="N105" s="844"/>
      <c r="O105" s="844"/>
      <c r="P105" s="844"/>
      <c r="Q105" s="844"/>
      <c r="R105" s="844"/>
      <c r="S105" s="844"/>
      <c r="T105" s="844"/>
      <c r="U105" s="844"/>
      <c r="V105" s="844"/>
      <c r="W105" s="844"/>
      <c r="X105" s="844"/>
      <c r="Y105" s="844"/>
      <c r="Z105" s="844"/>
    </row>
    <row r="106" spans="1:26" x14ac:dyDescent="0.3">
      <c r="A106">
        <f t="shared" ref="A106" si="102">A105+1</f>
        <v>106</v>
      </c>
      <c r="B106" s="10">
        <f t="shared" si="89"/>
        <v>101</v>
      </c>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row>
    <row r="107" spans="1:26" x14ac:dyDescent="0.3">
      <c r="A107">
        <f t="shared" ref="A107" si="103">A106+1</f>
        <v>107</v>
      </c>
      <c r="B107" s="10">
        <f t="shared" si="89"/>
        <v>102</v>
      </c>
      <c r="C107" s="844"/>
      <c r="D107" s="844"/>
      <c r="E107" s="844"/>
      <c r="F107" s="844"/>
      <c r="G107" s="844"/>
      <c r="H107" s="844"/>
      <c r="I107" s="844"/>
      <c r="J107" s="844"/>
      <c r="K107" s="844"/>
      <c r="L107" s="844"/>
      <c r="M107" s="844"/>
      <c r="N107" s="844"/>
      <c r="O107" s="844"/>
      <c r="P107" s="844"/>
      <c r="Q107" s="844"/>
      <c r="R107" s="844"/>
      <c r="S107" s="844"/>
      <c r="T107" s="844"/>
      <c r="U107" s="844"/>
      <c r="V107" s="844"/>
      <c r="W107" s="844"/>
      <c r="X107" s="844"/>
      <c r="Y107" s="844"/>
      <c r="Z107" s="844"/>
    </row>
    <row r="108" spans="1:26" x14ac:dyDescent="0.3">
      <c r="A108">
        <f t="shared" ref="A108" si="104">A107+1</f>
        <v>108</v>
      </c>
      <c r="B108" s="10">
        <f t="shared" si="89"/>
        <v>103</v>
      </c>
      <c r="C108" s="844"/>
      <c r="D108" s="844"/>
      <c r="E108" s="844"/>
      <c r="F108" s="844"/>
      <c r="G108" s="844"/>
      <c r="H108" s="844"/>
      <c r="I108" s="844"/>
      <c r="J108" s="844"/>
      <c r="K108" s="844"/>
      <c r="L108" s="844"/>
      <c r="M108" s="844"/>
      <c r="N108" s="844"/>
      <c r="O108" s="844"/>
      <c r="P108" s="844"/>
      <c r="Q108" s="844"/>
      <c r="R108" s="844"/>
      <c r="S108" s="844"/>
      <c r="T108" s="844"/>
      <c r="U108" s="844"/>
      <c r="V108" s="844"/>
      <c r="W108" s="844"/>
      <c r="X108" s="844"/>
      <c r="Y108" s="844"/>
      <c r="Z108" s="844"/>
    </row>
    <row r="109" spans="1:26" x14ac:dyDescent="0.3">
      <c r="A109">
        <f t="shared" ref="A109" si="105">A108+1</f>
        <v>109</v>
      </c>
      <c r="B109" s="10">
        <f t="shared" si="89"/>
        <v>104</v>
      </c>
      <c r="C109" s="844"/>
      <c r="D109" s="844"/>
      <c r="E109" s="844"/>
      <c r="F109" s="844"/>
      <c r="G109" s="844"/>
      <c r="H109" s="844"/>
      <c r="I109" s="844"/>
      <c r="J109" s="844"/>
      <c r="K109" s="844"/>
      <c r="L109" s="844"/>
      <c r="M109" s="844"/>
      <c r="N109" s="844"/>
      <c r="O109" s="844"/>
      <c r="P109" s="844"/>
      <c r="Q109" s="844"/>
      <c r="R109" s="844"/>
      <c r="S109" s="844"/>
      <c r="T109" s="844"/>
      <c r="U109" s="844"/>
      <c r="V109" s="844"/>
      <c r="W109" s="844"/>
      <c r="X109" s="844"/>
      <c r="Y109" s="844"/>
      <c r="Z109" s="844"/>
    </row>
    <row r="110" spans="1:26" x14ac:dyDescent="0.3">
      <c r="A110">
        <f t="shared" ref="A110" si="106">A109+1</f>
        <v>110</v>
      </c>
      <c r="B110" s="10">
        <f t="shared" si="89"/>
        <v>105</v>
      </c>
      <c r="C110" s="844"/>
      <c r="D110" s="844"/>
      <c r="E110" s="844"/>
      <c r="F110" s="844"/>
      <c r="G110" s="844"/>
      <c r="H110" s="844"/>
      <c r="I110" s="844"/>
      <c r="J110" s="844"/>
      <c r="K110" s="844"/>
      <c r="L110" s="844"/>
      <c r="M110" s="844"/>
      <c r="N110" s="844"/>
      <c r="O110" s="844"/>
      <c r="P110" s="844"/>
      <c r="Q110" s="844"/>
      <c r="R110" s="844"/>
      <c r="S110" s="844"/>
      <c r="T110" s="844"/>
      <c r="U110" s="844"/>
      <c r="V110" s="844"/>
      <c r="W110" s="844"/>
      <c r="X110" s="844"/>
      <c r="Y110" s="844"/>
      <c r="Z110" s="844"/>
    </row>
    <row r="111" spans="1:26" x14ac:dyDescent="0.3">
      <c r="A111">
        <f t="shared" ref="A111" si="107">A110+1</f>
        <v>111</v>
      </c>
      <c r="B111" s="10">
        <f t="shared" si="89"/>
        <v>106</v>
      </c>
      <c r="C111" s="844"/>
      <c r="D111" s="844"/>
      <c r="E111" s="844"/>
      <c r="F111" s="844"/>
      <c r="G111" s="844"/>
      <c r="H111" s="844"/>
      <c r="I111" s="844"/>
      <c r="J111" s="844"/>
      <c r="K111" s="844"/>
      <c r="L111" s="844"/>
      <c r="M111" s="844"/>
      <c r="N111" s="844"/>
      <c r="O111" s="844"/>
      <c r="P111" s="844"/>
      <c r="Q111" s="844"/>
      <c r="R111" s="844"/>
      <c r="S111" s="844"/>
      <c r="T111" s="844"/>
      <c r="U111" s="844"/>
      <c r="V111" s="844"/>
      <c r="W111" s="844"/>
      <c r="X111" s="844"/>
      <c r="Y111" s="844"/>
      <c r="Z111" s="844"/>
    </row>
    <row r="112" spans="1:26" x14ac:dyDescent="0.3">
      <c r="A112">
        <f t="shared" ref="A112" si="108">A111+1</f>
        <v>112</v>
      </c>
      <c r="B112" s="10">
        <f t="shared" si="89"/>
        <v>107</v>
      </c>
      <c r="C112" s="844"/>
      <c r="D112" s="844"/>
      <c r="E112" s="844"/>
      <c r="F112" s="844"/>
      <c r="G112" s="844"/>
      <c r="H112" s="844"/>
      <c r="I112" s="844"/>
      <c r="J112" s="844"/>
      <c r="K112" s="844"/>
      <c r="L112" s="844"/>
      <c r="M112" s="844"/>
      <c r="N112" s="844"/>
      <c r="O112" s="844"/>
      <c r="P112" s="844"/>
      <c r="Q112" s="844"/>
      <c r="R112" s="844"/>
      <c r="S112" s="844"/>
      <c r="T112" s="844"/>
      <c r="U112" s="844"/>
      <c r="V112" s="844"/>
      <c r="W112" s="844"/>
      <c r="X112" s="844"/>
      <c r="Y112" s="844"/>
      <c r="Z112" s="844"/>
    </row>
    <row r="113" spans="1:26" x14ac:dyDescent="0.3">
      <c r="A113">
        <f t="shared" ref="A113" si="109">A112+1</f>
        <v>113</v>
      </c>
      <c r="B113" s="10">
        <f t="shared" si="89"/>
        <v>108</v>
      </c>
      <c r="C113" s="844"/>
      <c r="D113" s="844"/>
      <c r="E113" s="844"/>
      <c r="F113" s="844"/>
      <c r="G113" s="844"/>
      <c r="H113" s="844"/>
      <c r="I113" s="844"/>
      <c r="J113" s="844"/>
      <c r="K113" s="844"/>
      <c r="L113" s="844"/>
      <c r="M113" s="844"/>
      <c r="N113" s="844"/>
      <c r="O113" s="844"/>
      <c r="P113" s="844"/>
      <c r="Q113" s="844"/>
      <c r="R113" s="844"/>
      <c r="S113" s="844"/>
      <c r="T113" s="844"/>
      <c r="U113" s="844"/>
      <c r="V113" s="844"/>
      <c r="W113" s="844"/>
      <c r="X113" s="844"/>
      <c r="Y113" s="844"/>
      <c r="Z113" s="844"/>
    </row>
    <row r="114" spans="1:26" x14ac:dyDescent="0.3">
      <c r="A114">
        <f t="shared" ref="A114" si="110">A113+1</f>
        <v>114</v>
      </c>
      <c r="B114" s="10">
        <f t="shared" si="89"/>
        <v>109</v>
      </c>
      <c r="C114" s="844"/>
      <c r="D114" s="844"/>
      <c r="E114" s="844"/>
      <c r="F114" s="844"/>
      <c r="G114" s="844"/>
      <c r="H114" s="844"/>
      <c r="I114" s="844"/>
      <c r="J114" s="844"/>
      <c r="K114" s="844"/>
      <c r="L114" s="844"/>
      <c r="M114" s="844"/>
      <c r="N114" s="844"/>
      <c r="O114" s="844"/>
      <c r="P114" s="844"/>
      <c r="Q114" s="844"/>
      <c r="R114" s="844"/>
      <c r="S114" s="844"/>
      <c r="T114" s="844"/>
      <c r="U114" s="844"/>
      <c r="V114" s="844"/>
      <c r="W114" s="844"/>
      <c r="X114" s="844"/>
      <c r="Y114" s="844"/>
      <c r="Z114" s="844"/>
    </row>
    <row r="115" spans="1:26" x14ac:dyDescent="0.3">
      <c r="A115">
        <f t="shared" ref="A115" si="111">A114+1</f>
        <v>115</v>
      </c>
      <c r="B115" s="10">
        <f t="shared" si="89"/>
        <v>110</v>
      </c>
      <c r="C115" s="844"/>
      <c r="D115" s="844"/>
      <c r="E115" s="844"/>
      <c r="F115" s="844"/>
      <c r="G115" s="844"/>
      <c r="H115" s="844"/>
      <c r="I115" s="844"/>
      <c r="J115" s="844"/>
      <c r="K115" s="844"/>
      <c r="L115" s="844"/>
      <c r="M115" s="844"/>
      <c r="N115" s="844"/>
      <c r="O115" s="844"/>
      <c r="P115" s="844"/>
      <c r="Q115" s="844"/>
      <c r="R115" s="844"/>
      <c r="S115" s="844"/>
      <c r="T115" s="844"/>
      <c r="U115" s="844"/>
      <c r="V115" s="844"/>
      <c r="W115" s="844"/>
      <c r="X115" s="844"/>
      <c r="Y115" s="844"/>
      <c r="Z115" s="844"/>
    </row>
    <row r="116" spans="1:26" x14ac:dyDescent="0.3">
      <c r="A116">
        <f t="shared" ref="A116" si="112">A115+1</f>
        <v>116</v>
      </c>
      <c r="B116" s="10">
        <f t="shared" si="89"/>
        <v>111</v>
      </c>
      <c r="C116" s="844"/>
      <c r="D116" s="844"/>
      <c r="E116" s="844"/>
      <c r="F116" s="844"/>
      <c r="G116" s="844"/>
      <c r="H116" s="844"/>
      <c r="I116" s="844"/>
      <c r="J116" s="844"/>
      <c r="K116" s="844"/>
      <c r="L116" s="844"/>
      <c r="M116" s="844"/>
      <c r="N116" s="844"/>
      <c r="O116" s="844"/>
      <c r="P116" s="844"/>
      <c r="Q116" s="844"/>
      <c r="R116" s="844"/>
      <c r="S116" s="844"/>
      <c r="T116" s="844"/>
      <c r="U116" s="844"/>
      <c r="V116" s="844"/>
      <c r="W116" s="844"/>
      <c r="X116" s="844"/>
      <c r="Y116" s="844"/>
      <c r="Z116" s="844"/>
    </row>
    <row r="117" spans="1:26" x14ac:dyDescent="0.3">
      <c r="A117">
        <f t="shared" ref="A117" si="113">A116+1</f>
        <v>117</v>
      </c>
      <c r="B117" s="10">
        <f t="shared" si="89"/>
        <v>112</v>
      </c>
      <c r="C117" s="844"/>
      <c r="D117" s="844"/>
      <c r="E117" s="844"/>
      <c r="F117" s="844"/>
      <c r="G117" s="844"/>
      <c r="H117" s="844"/>
      <c r="I117" s="844"/>
      <c r="J117" s="844"/>
      <c r="K117" s="844"/>
      <c r="L117" s="844"/>
      <c r="M117" s="844"/>
      <c r="N117" s="844"/>
      <c r="O117" s="844"/>
      <c r="P117" s="844"/>
      <c r="Q117" s="844"/>
      <c r="R117" s="844"/>
      <c r="S117" s="844"/>
      <c r="T117" s="844"/>
      <c r="U117" s="844"/>
      <c r="V117" s="844"/>
      <c r="W117" s="844"/>
      <c r="X117" s="844"/>
      <c r="Y117" s="844"/>
      <c r="Z117" s="844"/>
    </row>
    <row r="118" spans="1:26" x14ac:dyDescent="0.3">
      <c r="A118">
        <f t="shared" ref="A118" si="114">A117+1</f>
        <v>118</v>
      </c>
      <c r="B118" s="10">
        <f t="shared" si="89"/>
        <v>113</v>
      </c>
      <c r="C118" s="844"/>
      <c r="D118" s="844"/>
      <c r="E118" s="844"/>
      <c r="F118" s="844"/>
      <c r="G118" s="844"/>
      <c r="H118" s="844"/>
      <c r="I118" s="844"/>
      <c r="J118" s="844"/>
      <c r="K118" s="844"/>
      <c r="L118" s="844"/>
      <c r="M118" s="844"/>
      <c r="N118" s="844"/>
      <c r="O118" s="844"/>
      <c r="P118" s="844"/>
      <c r="Q118" s="844"/>
      <c r="R118" s="844"/>
      <c r="S118" s="844"/>
      <c r="T118" s="844"/>
      <c r="U118" s="844"/>
      <c r="V118" s="844"/>
      <c r="W118" s="844"/>
      <c r="X118" s="844"/>
      <c r="Y118" s="844"/>
      <c r="Z118" s="844"/>
    </row>
    <row r="119" spans="1:26" x14ac:dyDescent="0.3">
      <c r="A119">
        <f t="shared" ref="A119" si="115">A118+1</f>
        <v>119</v>
      </c>
      <c r="B119" s="10">
        <f t="shared" si="89"/>
        <v>114</v>
      </c>
      <c r="C119" s="844"/>
      <c r="D119" s="844"/>
      <c r="E119" s="844"/>
      <c r="F119" s="844"/>
      <c r="G119" s="844"/>
      <c r="H119" s="844"/>
      <c r="I119" s="844"/>
      <c r="J119" s="844"/>
      <c r="K119" s="844"/>
      <c r="L119" s="844"/>
      <c r="M119" s="844"/>
      <c r="N119" s="844"/>
      <c r="O119" s="844"/>
      <c r="P119" s="844"/>
      <c r="Q119" s="844"/>
      <c r="R119" s="844"/>
      <c r="S119" s="844"/>
      <c r="T119" s="844"/>
      <c r="U119" s="844"/>
      <c r="V119" s="844"/>
      <c r="W119" s="844"/>
      <c r="X119" s="844"/>
      <c r="Y119" s="844"/>
      <c r="Z119" s="844"/>
    </row>
    <row r="120" spans="1:26" x14ac:dyDescent="0.3">
      <c r="A120">
        <f t="shared" ref="A120" si="116">A119+1</f>
        <v>120</v>
      </c>
      <c r="B120" s="10">
        <f t="shared" si="89"/>
        <v>115</v>
      </c>
      <c r="C120" s="844"/>
      <c r="D120" s="844"/>
      <c r="E120" s="844"/>
      <c r="F120" s="844"/>
      <c r="G120" s="844"/>
      <c r="H120" s="844"/>
      <c r="I120" s="844"/>
      <c r="J120" s="844"/>
      <c r="K120" s="844"/>
      <c r="L120" s="844"/>
      <c r="M120" s="844"/>
      <c r="N120" s="844"/>
      <c r="O120" s="844"/>
      <c r="P120" s="844"/>
      <c r="Q120" s="844"/>
      <c r="R120" s="844"/>
      <c r="S120" s="844"/>
      <c r="T120" s="844"/>
      <c r="U120" s="844"/>
      <c r="V120" s="844"/>
      <c r="W120" s="844"/>
      <c r="X120" s="844"/>
      <c r="Y120" s="844"/>
      <c r="Z120" s="844"/>
    </row>
    <row r="121" spans="1:26" x14ac:dyDescent="0.3">
      <c r="A121">
        <f t="shared" ref="A121" si="117">A120+1</f>
        <v>121</v>
      </c>
      <c r="B121" s="10">
        <f t="shared" si="89"/>
        <v>116</v>
      </c>
      <c r="C121" s="844"/>
      <c r="D121" s="844"/>
      <c r="E121" s="844"/>
      <c r="F121" s="844"/>
      <c r="G121" s="844"/>
      <c r="H121" s="844"/>
      <c r="I121" s="844"/>
      <c r="J121" s="844"/>
      <c r="K121" s="844"/>
      <c r="L121" s="844"/>
      <c r="M121" s="844"/>
      <c r="N121" s="844"/>
      <c r="O121" s="844"/>
      <c r="P121" s="844"/>
      <c r="Q121" s="844"/>
      <c r="R121" s="844"/>
      <c r="S121" s="844"/>
      <c r="T121" s="844"/>
      <c r="U121" s="844"/>
      <c r="V121" s="844"/>
      <c r="W121" s="844"/>
      <c r="X121" s="844"/>
      <c r="Y121" s="844"/>
      <c r="Z121" s="844"/>
    </row>
    <row r="122" spans="1:26" x14ac:dyDescent="0.3">
      <c r="A122">
        <f t="shared" ref="A122" si="118">A121+1</f>
        <v>122</v>
      </c>
      <c r="B122" s="10">
        <f t="shared" si="89"/>
        <v>117</v>
      </c>
      <c r="C122" s="844"/>
      <c r="D122" s="844"/>
      <c r="E122" s="844"/>
      <c r="F122" s="844"/>
      <c r="G122" s="844"/>
      <c r="H122" s="844"/>
      <c r="I122" s="844"/>
      <c r="J122" s="844"/>
      <c r="K122" s="844"/>
      <c r="L122" s="844"/>
      <c r="M122" s="844"/>
      <c r="N122" s="844"/>
      <c r="O122" s="844"/>
      <c r="P122" s="844"/>
      <c r="Q122" s="844"/>
      <c r="R122" s="844"/>
      <c r="S122" s="844"/>
      <c r="T122" s="844"/>
      <c r="U122" s="844"/>
      <c r="V122" s="844"/>
      <c r="W122" s="844"/>
      <c r="X122" s="844"/>
      <c r="Y122" s="844"/>
      <c r="Z122" s="844"/>
    </row>
    <row r="123" spans="1:26" x14ac:dyDescent="0.3">
      <c r="A123">
        <f t="shared" ref="A123" si="119">A122+1</f>
        <v>123</v>
      </c>
      <c r="B123" s="10">
        <f t="shared" si="89"/>
        <v>118</v>
      </c>
      <c r="C123" s="844"/>
      <c r="D123" s="844"/>
      <c r="E123" s="844"/>
      <c r="F123" s="844"/>
      <c r="G123" s="844"/>
      <c r="H123" s="844"/>
      <c r="I123" s="844"/>
      <c r="J123" s="844"/>
      <c r="K123" s="844"/>
      <c r="L123" s="844"/>
      <c r="M123" s="844"/>
      <c r="N123" s="844"/>
      <c r="O123" s="844"/>
      <c r="P123" s="844"/>
      <c r="Q123" s="844"/>
      <c r="R123" s="844"/>
      <c r="S123" s="844"/>
      <c r="T123" s="844"/>
      <c r="U123" s="844"/>
      <c r="V123" s="844"/>
      <c r="W123" s="844"/>
      <c r="X123" s="844"/>
      <c r="Y123" s="844"/>
      <c r="Z123" s="844"/>
    </row>
    <row r="124" spans="1:26" x14ac:dyDescent="0.3">
      <c r="A124">
        <f t="shared" ref="A124" si="120">A123+1</f>
        <v>124</v>
      </c>
      <c r="B124" s="10">
        <f t="shared" si="89"/>
        <v>119</v>
      </c>
      <c r="C124" s="844"/>
      <c r="D124" s="844"/>
      <c r="E124" s="844"/>
      <c r="F124" s="844"/>
      <c r="G124" s="844"/>
      <c r="H124" s="844"/>
      <c r="I124" s="844"/>
      <c r="J124" s="844"/>
      <c r="K124" s="844"/>
      <c r="L124" s="844"/>
      <c r="M124" s="844"/>
      <c r="N124" s="844"/>
      <c r="O124" s="844"/>
      <c r="P124" s="844"/>
      <c r="Q124" s="844"/>
      <c r="R124" s="844"/>
      <c r="S124" s="844"/>
      <c r="T124" s="844"/>
      <c r="U124" s="844"/>
      <c r="V124" s="844"/>
      <c r="W124" s="844"/>
      <c r="X124" s="844"/>
      <c r="Y124" s="844"/>
      <c r="Z124" s="844"/>
    </row>
    <row r="125" spans="1:26" x14ac:dyDescent="0.3">
      <c r="A125">
        <f t="shared" ref="A125" si="121">A124+1</f>
        <v>125</v>
      </c>
      <c r="B125" s="10">
        <f t="shared" si="89"/>
        <v>120</v>
      </c>
      <c r="C125" s="844"/>
      <c r="D125" s="844"/>
      <c r="E125" s="844"/>
      <c r="F125" s="844"/>
      <c r="G125" s="844"/>
      <c r="H125" s="844"/>
      <c r="I125" s="844"/>
      <c r="J125" s="844"/>
      <c r="K125" s="844"/>
      <c r="L125" s="844"/>
      <c r="M125" s="844"/>
      <c r="N125" s="844"/>
      <c r="O125" s="844"/>
      <c r="P125" s="844"/>
      <c r="Q125" s="844"/>
      <c r="R125" s="844"/>
      <c r="S125" s="844"/>
      <c r="T125" s="844"/>
      <c r="U125" s="844"/>
      <c r="V125" s="844"/>
      <c r="W125" s="844"/>
      <c r="X125" s="844"/>
      <c r="Y125" s="844"/>
      <c r="Z125" s="844"/>
    </row>
    <row r="126" spans="1:26" x14ac:dyDescent="0.3">
      <c r="A126">
        <f t="shared" ref="A126" si="122">A125+1</f>
        <v>126</v>
      </c>
      <c r="B126" s="10">
        <f t="shared" si="89"/>
        <v>121</v>
      </c>
      <c r="C126" s="844"/>
      <c r="D126" s="844"/>
      <c r="E126" s="844"/>
      <c r="F126" s="844"/>
      <c r="G126" s="844"/>
      <c r="H126" s="844"/>
      <c r="I126" s="844"/>
      <c r="J126" s="844"/>
      <c r="K126" s="844"/>
      <c r="L126" s="844"/>
      <c r="M126" s="844"/>
      <c r="N126" s="844"/>
      <c r="O126" s="844"/>
      <c r="P126" s="844"/>
      <c r="Q126" s="844"/>
      <c r="R126" s="844"/>
      <c r="S126" s="844"/>
      <c r="T126" s="844"/>
      <c r="U126" s="844"/>
      <c r="V126" s="844"/>
      <c r="W126" s="844"/>
      <c r="X126" s="844"/>
      <c r="Y126" s="844"/>
      <c r="Z126" s="844"/>
    </row>
    <row r="127" spans="1:26" x14ac:dyDescent="0.3">
      <c r="A127">
        <f t="shared" ref="A127" si="123">A126+1</f>
        <v>127</v>
      </c>
      <c r="B127" s="10">
        <f t="shared" si="89"/>
        <v>122</v>
      </c>
      <c r="C127" s="844"/>
      <c r="D127" s="844"/>
      <c r="E127" s="844"/>
      <c r="F127" s="844"/>
      <c r="G127" s="844"/>
      <c r="H127" s="844"/>
      <c r="I127" s="844"/>
      <c r="J127" s="844"/>
      <c r="K127" s="844"/>
      <c r="L127" s="844"/>
      <c r="M127" s="844"/>
      <c r="N127" s="844"/>
      <c r="O127" s="844"/>
      <c r="P127" s="844"/>
      <c r="Q127" s="844"/>
      <c r="R127" s="844"/>
      <c r="S127" s="844"/>
      <c r="T127" s="844"/>
      <c r="U127" s="844"/>
      <c r="V127" s="844"/>
      <c r="W127" s="844"/>
      <c r="X127" s="844"/>
      <c r="Y127" s="844"/>
      <c r="Z127" s="844"/>
    </row>
    <row r="128" spans="1:26" x14ac:dyDescent="0.3">
      <c r="A128">
        <f t="shared" ref="A128" si="124">A127+1</f>
        <v>128</v>
      </c>
      <c r="B128" s="10">
        <f t="shared" si="89"/>
        <v>123</v>
      </c>
      <c r="C128" s="844"/>
      <c r="D128" s="844"/>
      <c r="E128" s="844"/>
      <c r="F128" s="844"/>
      <c r="G128" s="844"/>
      <c r="H128" s="844"/>
      <c r="I128" s="844"/>
      <c r="J128" s="844"/>
      <c r="K128" s="844"/>
      <c r="L128" s="844"/>
      <c r="M128" s="844"/>
      <c r="N128" s="844"/>
      <c r="O128" s="844"/>
      <c r="P128" s="844"/>
      <c r="Q128" s="844"/>
      <c r="R128" s="844"/>
      <c r="S128" s="844"/>
      <c r="T128" s="844"/>
      <c r="U128" s="844"/>
      <c r="V128" s="844"/>
      <c r="W128" s="844"/>
      <c r="X128" s="844"/>
      <c r="Y128" s="844"/>
      <c r="Z128" s="844"/>
    </row>
    <row r="129" spans="1:26" x14ac:dyDescent="0.3">
      <c r="A129">
        <f t="shared" ref="A129" si="125">A128+1</f>
        <v>129</v>
      </c>
      <c r="B129" s="10">
        <f t="shared" si="89"/>
        <v>124</v>
      </c>
      <c r="C129" s="844"/>
      <c r="D129" s="844"/>
      <c r="E129" s="844"/>
      <c r="F129" s="844"/>
      <c r="G129" s="844"/>
      <c r="H129" s="844"/>
      <c r="I129" s="844"/>
      <c r="J129" s="844"/>
      <c r="K129" s="844"/>
      <c r="L129" s="844"/>
      <c r="M129" s="844"/>
      <c r="N129" s="844"/>
      <c r="O129" s="844"/>
      <c r="P129" s="844"/>
      <c r="Q129" s="844"/>
      <c r="R129" s="844"/>
      <c r="S129" s="844"/>
      <c r="T129" s="844"/>
      <c r="U129" s="844"/>
      <c r="V129" s="844"/>
      <c r="W129" s="844"/>
      <c r="X129" s="844"/>
      <c r="Y129" s="844"/>
      <c r="Z129" s="844"/>
    </row>
    <row r="130" spans="1:26" x14ac:dyDescent="0.3">
      <c r="A130">
        <f t="shared" ref="A130" si="126">A129+1</f>
        <v>130</v>
      </c>
      <c r="B130" s="10">
        <f t="shared" si="89"/>
        <v>125</v>
      </c>
      <c r="C130" s="844"/>
      <c r="D130" s="844"/>
      <c r="E130" s="844"/>
      <c r="F130" s="844"/>
      <c r="G130" s="844"/>
      <c r="H130" s="844"/>
      <c r="I130" s="844"/>
      <c r="J130" s="844"/>
      <c r="K130" s="844"/>
      <c r="L130" s="844"/>
      <c r="M130" s="844"/>
      <c r="N130" s="844"/>
      <c r="O130" s="844"/>
      <c r="P130" s="844"/>
      <c r="Q130" s="844"/>
      <c r="R130" s="844"/>
      <c r="S130" s="844"/>
      <c r="T130" s="844"/>
      <c r="U130" s="844"/>
      <c r="V130" s="844"/>
      <c r="W130" s="844"/>
      <c r="X130" s="844"/>
      <c r="Y130" s="844"/>
      <c r="Z130" s="844"/>
    </row>
    <row r="131" spans="1:26" x14ac:dyDescent="0.3">
      <c r="A131">
        <f t="shared" ref="A131" si="127">A130+1</f>
        <v>131</v>
      </c>
      <c r="B131" s="10">
        <f t="shared" si="89"/>
        <v>126</v>
      </c>
      <c r="C131" s="844"/>
      <c r="D131" s="844"/>
      <c r="E131" s="844"/>
      <c r="F131" s="844"/>
      <c r="G131" s="844"/>
      <c r="H131" s="844"/>
      <c r="I131" s="844"/>
      <c r="J131" s="844"/>
      <c r="K131" s="844"/>
      <c r="L131" s="844"/>
      <c r="M131" s="844"/>
      <c r="N131" s="844"/>
      <c r="O131" s="844"/>
      <c r="P131" s="844"/>
      <c r="Q131" s="844"/>
      <c r="R131" s="844"/>
      <c r="S131" s="844"/>
      <c r="T131" s="844"/>
      <c r="U131" s="844"/>
      <c r="V131" s="844"/>
      <c r="W131" s="844"/>
      <c r="X131" s="844"/>
      <c r="Y131" s="844"/>
      <c r="Z131" s="844"/>
    </row>
    <row r="132" spans="1:26" x14ac:dyDescent="0.3">
      <c r="A132">
        <f t="shared" ref="A132" si="128">A131+1</f>
        <v>132</v>
      </c>
      <c r="B132" s="10">
        <f t="shared" si="89"/>
        <v>127</v>
      </c>
      <c r="C132" s="844"/>
      <c r="D132" s="844"/>
      <c r="E132" s="844"/>
      <c r="F132" s="844"/>
      <c r="G132" s="844"/>
      <c r="H132" s="844"/>
      <c r="I132" s="844"/>
      <c r="J132" s="844"/>
      <c r="K132" s="844"/>
      <c r="L132" s="844"/>
      <c r="M132" s="844"/>
      <c r="N132" s="844"/>
      <c r="O132" s="844"/>
      <c r="P132" s="844"/>
      <c r="Q132" s="844"/>
      <c r="R132" s="844"/>
      <c r="S132" s="844"/>
      <c r="T132" s="844"/>
      <c r="U132" s="844"/>
      <c r="V132" s="844"/>
      <c r="W132" s="844"/>
      <c r="X132" s="844"/>
      <c r="Y132" s="844"/>
      <c r="Z132" s="844"/>
    </row>
    <row r="133" spans="1:26" x14ac:dyDescent="0.3">
      <c r="A133">
        <f t="shared" ref="A133" si="129">A132+1</f>
        <v>133</v>
      </c>
      <c r="B133" s="10">
        <f t="shared" si="89"/>
        <v>128</v>
      </c>
      <c r="C133" s="844"/>
      <c r="D133" s="844"/>
      <c r="E133" s="844"/>
      <c r="F133" s="844"/>
      <c r="G133" s="844"/>
      <c r="H133" s="844"/>
      <c r="I133" s="844"/>
      <c r="J133" s="844"/>
      <c r="K133" s="844"/>
      <c r="L133" s="844"/>
      <c r="M133" s="844"/>
      <c r="N133" s="844"/>
      <c r="O133" s="844"/>
      <c r="P133" s="844"/>
      <c r="Q133" s="844"/>
      <c r="R133" s="844"/>
      <c r="S133" s="844"/>
      <c r="T133" s="844"/>
      <c r="U133" s="844"/>
      <c r="V133" s="844"/>
      <c r="W133" s="844"/>
      <c r="X133" s="844"/>
      <c r="Y133" s="844"/>
      <c r="Z133" s="844"/>
    </row>
    <row r="134" spans="1:26" x14ac:dyDescent="0.3">
      <c r="A134">
        <f t="shared" ref="A134" si="130">A133+1</f>
        <v>134</v>
      </c>
      <c r="B134" s="10">
        <f t="shared" si="89"/>
        <v>129</v>
      </c>
      <c r="C134" s="844"/>
      <c r="D134" s="844"/>
      <c r="E134" s="844"/>
      <c r="F134" s="844"/>
      <c r="G134" s="844"/>
      <c r="H134" s="844"/>
      <c r="I134" s="844"/>
      <c r="J134" s="844"/>
      <c r="K134" s="844"/>
      <c r="L134" s="844"/>
      <c r="M134" s="844"/>
      <c r="N134" s="844"/>
      <c r="O134" s="844"/>
      <c r="P134" s="844"/>
      <c r="Q134" s="844"/>
      <c r="R134" s="844"/>
      <c r="S134" s="844"/>
      <c r="T134" s="844"/>
      <c r="U134" s="844"/>
      <c r="V134" s="844"/>
      <c r="W134" s="844"/>
      <c r="X134" s="844"/>
      <c r="Y134" s="844"/>
      <c r="Z134" s="844"/>
    </row>
    <row r="135" spans="1:26" x14ac:dyDescent="0.3">
      <c r="A135">
        <f t="shared" ref="A135" si="131">A134+1</f>
        <v>135</v>
      </c>
      <c r="B135" s="10">
        <f t="shared" si="89"/>
        <v>130</v>
      </c>
      <c r="C135" s="844"/>
      <c r="D135" s="844"/>
      <c r="E135" s="844"/>
      <c r="F135" s="844"/>
      <c r="G135" s="844"/>
      <c r="H135" s="844"/>
      <c r="I135" s="844"/>
      <c r="J135" s="844"/>
      <c r="K135" s="844"/>
      <c r="L135" s="844"/>
      <c r="M135" s="844"/>
      <c r="N135" s="844"/>
      <c r="O135" s="844"/>
      <c r="P135" s="844"/>
      <c r="Q135" s="844"/>
      <c r="R135" s="844"/>
      <c r="S135" s="844"/>
      <c r="T135" s="844"/>
      <c r="U135" s="844"/>
      <c r="V135" s="844"/>
      <c r="W135" s="844"/>
      <c r="X135" s="844"/>
      <c r="Y135" s="844"/>
      <c r="Z135" s="844"/>
    </row>
    <row r="136" spans="1:26" x14ac:dyDescent="0.3">
      <c r="A136">
        <f t="shared" ref="A136" si="132">A135+1</f>
        <v>136</v>
      </c>
      <c r="B136" s="10">
        <f t="shared" si="89"/>
        <v>131</v>
      </c>
      <c r="C136" s="844"/>
      <c r="D136" s="844"/>
      <c r="E136" s="844"/>
      <c r="F136" s="844"/>
      <c r="G136" s="844"/>
      <c r="H136" s="844"/>
      <c r="I136" s="844"/>
      <c r="J136" s="844"/>
      <c r="K136" s="844"/>
      <c r="L136" s="844"/>
      <c r="M136" s="844"/>
      <c r="N136" s="844"/>
      <c r="O136" s="844"/>
      <c r="P136" s="844"/>
      <c r="Q136" s="844"/>
      <c r="R136" s="844"/>
      <c r="S136" s="844"/>
      <c r="T136" s="844"/>
      <c r="U136" s="844"/>
      <c r="V136" s="844"/>
      <c r="W136" s="844"/>
      <c r="X136" s="844"/>
      <c r="Y136" s="844"/>
      <c r="Z136" s="844"/>
    </row>
    <row r="137" spans="1:26" x14ac:dyDescent="0.3">
      <c r="A137">
        <f t="shared" ref="A137" si="133">A136+1</f>
        <v>137</v>
      </c>
      <c r="B137" s="10">
        <f t="shared" si="89"/>
        <v>132</v>
      </c>
      <c r="C137" s="844"/>
      <c r="D137" s="844"/>
      <c r="E137" s="844"/>
      <c r="F137" s="844"/>
      <c r="G137" s="844"/>
      <c r="H137" s="844"/>
      <c r="I137" s="844"/>
      <c r="J137" s="844"/>
      <c r="K137" s="844"/>
      <c r="L137" s="844"/>
      <c r="M137" s="844"/>
      <c r="N137" s="844"/>
      <c r="O137" s="844"/>
      <c r="P137" s="844"/>
      <c r="Q137" s="844"/>
      <c r="R137" s="844"/>
      <c r="S137" s="844"/>
      <c r="T137" s="844"/>
      <c r="U137" s="844"/>
      <c r="V137" s="844"/>
      <c r="W137" s="844"/>
      <c r="X137" s="844"/>
      <c r="Y137" s="844"/>
      <c r="Z137" s="844"/>
    </row>
    <row r="138" spans="1:26" x14ac:dyDescent="0.3">
      <c r="A138">
        <f t="shared" ref="A138" si="134">A137+1</f>
        <v>138</v>
      </c>
      <c r="B138" s="10">
        <f t="shared" si="89"/>
        <v>133</v>
      </c>
      <c r="C138" s="844"/>
      <c r="D138" s="844"/>
      <c r="E138" s="844"/>
      <c r="F138" s="844"/>
      <c r="G138" s="844"/>
      <c r="H138" s="844"/>
      <c r="I138" s="844"/>
      <c r="J138" s="844"/>
      <c r="K138" s="844"/>
      <c r="L138" s="844"/>
      <c r="M138" s="844"/>
      <c r="N138" s="844"/>
      <c r="O138" s="844"/>
      <c r="P138" s="844"/>
      <c r="Q138" s="844"/>
      <c r="R138" s="844"/>
      <c r="S138" s="844"/>
      <c r="T138" s="844"/>
      <c r="U138" s="844"/>
      <c r="V138" s="844"/>
      <c r="W138" s="844"/>
      <c r="X138" s="844"/>
      <c r="Y138" s="844"/>
      <c r="Z138" s="844"/>
    </row>
    <row r="139" spans="1:26" x14ac:dyDescent="0.3">
      <c r="A139">
        <f t="shared" ref="A139" si="135">A138+1</f>
        <v>139</v>
      </c>
      <c r="B139" s="10">
        <f t="shared" si="89"/>
        <v>134</v>
      </c>
      <c r="C139" s="844"/>
      <c r="D139" s="844"/>
      <c r="E139" s="844"/>
      <c r="F139" s="844"/>
      <c r="G139" s="844"/>
      <c r="H139" s="844"/>
      <c r="I139" s="844"/>
      <c r="J139" s="844"/>
      <c r="K139" s="844"/>
      <c r="L139" s="844"/>
      <c r="M139" s="844"/>
      <c r="N139" s="844"/>
      <c r="O139" s="844"/>
      <c r="P139" s="844"/>
      <c r="Q139" s="844"/>
      <c r="R139" s="844"/>
      <c r="S139" s="844"/>
      <c r="T139" s="844"/>
      <c r="U139" s="844"/>
      <c r="V139" s="844"/>
      <c r="W139" s="844"/>
      <c r="X139" s="844"/>
      <c r="Y139" s="844"/>
      <c r="Z139" s="844"/>
    </row>
    <row r="140" spans="1:26" x14ac:dyDescent="0.3">
      <c r="A140">
        <f t="shared" ref="A140" si="136">A139+1</f>
        <v>140</v>
      </c>
      <c r="B140" s="10">
        <f t="shared" si="89"/>
        <v>135</v>
      </c>
      <c r="C140" s="844"/>
      <c r="D140" s="844"/>
      <c r="E140" s="844"/>
      <c r="F140" s="844"/>
      <c r="G140" s="844"/>
      <c r="H140" s="844"/>
      <c r="I140" s="844"/>
      <c r="J140" s="844"/>
      <c r="K140" s="844"/>
      <c r="L140" s="844"/>
      <c r="M140" s="844"/>
      <c r="N140" s="844"/>
      <c r="O140" s="844"/>
      <c r="P140" s="844"/>
      <c r="Q140" s="844"/>
      <c r="R140" s="844"/>
      <c r="S140" s="844"/>
      <c r="T140" s="844"/>
      <c r="U140" s="844"/>
      <c r="V140" s="844"/>
      <c r="W140" s="844"/>
      <c r="X140" s="844"/>
      <c r="Y140" s="844"/>
      <c r="Z140" s="844"/>
    </row>
    <row r="141" spans="1:26" x14ac:dyDescent="0.3">
      <c r="A141">
        <f t="shared" ref="A141" si="137">A140+1</f>
        <v>141</v>
      </c>
      <c r="B141" s="10">
        <f t="shared" si="89"/>
        <v>136</v>
      </c>
      <c r="C141" s="844"/>
      <c r="D141" s="844"/>
      <c r="E141" s="844"/>
      <c r="F141" s="844"/>
      <c r="G141" s="844"/>
      <c r="H141" s="844"/>
      <c r="I141" s="844"/>
      <c r="J141" s="844"/>
      <c r="K141" s="844"/>
      <c r="L141" s="844"/>
      <c r="M141" s="844"/>
      <c r="N141" s="844"/>
      <c r="O141" s="844"/>
      <c r="P141" s="844"/>
      <c r="Q141" s="844"/>
      <c r="R141" s="844"/>
      <c r="S141" s="844"/>
      <c r="T141" s="844"/>
      <c r="U141" s="844"/>
      <c r="V141" s="844"/>
      <c r="W141" s="844"/>
      <c r="X141" s="844"/>
      <c r="Y141" s="844"/>
      <c r="Z141" s="844"/>
    </row>
    <row r="142" spans="1:26" x14ac:dyDescent="0.3">
      <c r="A142">
        <f t="shared" ref="A142" si="138">A141+1</f>
        <v>142</v>
      </c>
      <c r="B142" s="10">
        <f t="shared" si="89"/>
        <v>137</v>
      </c>
      <c r="C142" s="844"/>
      <c r="D142" s="844"/>
      <c r="E142" s="844"/>
      <c r="F142" s="844"/>
      <c r="G142" s="844"/>
      <c r="H142" s="844"/>
      <c r="I142" s="844"/>
      <c r="J142" s="844"/>
      <c r="K142" s="844"/>
      <c r="L142" s="844"/>
      <c r="M142" s="844"/>
      <c r="N142" s="844"/>
      <c r="O142" s="844"/>
      <c r="P142" s="844"/>
      <c r="Q142" s="844"/>
      <c r="R142" s="844"/>
      <c r="S142" s="844"/>
      <c r="T142" s="844"/>
      <c r="U142" s="844"/>
      <c r="V142" s="844"/>
      <c r="W142" s="844"/>
      <c r="X142" s="844"/>
      <c r="Y142" s="844"/>
      <c r="Z142" s="844"/>
    </row>
    <row r="143" spans="1:26" x14ac:dyDescent="0.3">
      <c r="A143">
        <f t="shared" ref="A143" si="139">A142+1</f>
        <v>143</v>
      </c>
      <c r="B143" s="10">
        <f t="shared" si="89"/>
        <v>138</v>
      </c>
      <c r="C143" s="844"/>
      <c r="D143" s="844"/>
      <c r="E143" s="844"/>
      <c r="F143" s="844"/>
      <c r="G143" s="844"/>
      <c r="H143" s="844"/>
      <c r="I143" s="844"/>
      <c r="J143" s="844"/>
      <c r="K143" s="844"/>
      <c r="L143" s="844"/>
      <c r="M143" s="844"/>
      <c r="N143" s="844"/>
      <c r="O143" s="844"/>
      <c r="P143" s="844"/>
      <c r="Q143" s="844"/>
      <c r="R143" s="844"/>
      <c r="S143" s="844"/>
      <c r="T143" s="844"/>
      <c r="U143" s="844"/>
      <c r="V143" s="844"/>
      <c r="W143" s="844"/>
      <c r="X143" s="844"/>
      <c r="Y143" s="844"/>
      <c r="Z143" s="844"/>
    </row>
    <row r="144" spans="1:26" x14ac:dyDescent="0.3">
      <c r="A144">
        <f t="shared" ref="A144" si="140">A143+1</f>
        <v>144</v>
      </c>
      <c r="B144" s="10">
        <f t="shared" si="89"/>
        <v>139</v>
      </c>
      <c r="C144" s="844"/>
      <c r="D144" s="844"/>
      <c r="E144" s="844"/>
      <c r="F144" s="844"/>
      <c r="G144" s="844"/>
      <c r="H144" s="844"/>
      <c r="I144" s="844"/>
      <c r="J144" s="844"/>
      <c r="K144" s="844"/>
      <c r="L144" s="844"/>
      <c r="M144" s="844"/>
      <c r="N144" s="844"/>
      <c r="O144" s="844"/>
      <c r="P144" s="844"/>
      <c r="Q144" s="844"/>
      <c r="R144" s="844"/>
      <c r="S144" s="844"/>
      <c r="T144" s="844"/>
      <c r="U144" s="844"/>
      <c r="V144" s="844"/>
      <c r="W144" s="844"/>
      <c r="X144" s="844"/>
      <c r="Y144" s="844"/>
      <c r="Z144" s="844"/>
    </row>
    <row r="145" spans="1:26" x14ac:dyDescent="0.3">
      <c r="A145">
        <f t="shared" ref="A145" si="141">A144+1</f>
        <v>145</v>
      </c>
      <c r="B145" s="10">
        <f t="shared" si="89"/>
        <v>140</v>
      </c>
      <c r="C145" s="844"/>
      <c r="D145" s="844"/>
      <c r="E145" s="844"/>
      <c r="F145" s="844"/>
      <c r="G145" s="844"/>
      <c r="H145" s="844"/>
      <c r="I145" s="844"/>
      <c r="J145" s="844"/>
      <c r="K145" s="844"/>
      <c r="L145" s="844"/>
      <c r="M145" s="844"/>
      <c r="N145" s="844"/>
      <c r="O145" s="844"/>
      <c r="P145" s="844"/>
      <c r="Q145" s="844"/>
      <c r="R145" s="844"/>
      <c r="S145" s="844"/>
      <c r="T145" s="844"/>
      <c r="U145" s="844"/>
      <c r="V145" s="844"/>
      <c r="W145" s="844"/>
      <c r="X145" s="844"/>
      <c r="Y145" s="844"/>
      <c r="Z145" s="844"/>
    </row>
    <row r="146" spans="1:26" x14ac:dyDescent="0.3">
      <c r="A146">
        <f t="shared" ref="A146" si="142">A145+1</f>
        <v>146</v>
      </c>
      <c r="B146" s="10">
        <f t="shared" si="89"/>
        <v>141</v>
      </c>
      <c r="C146" s="844"/>
      <c r="D146" s="844"/>
      <c r="E146" s="844"/>
      <c r="F146" s="844"/>
      <c r="G146" s="844"/>
      <c r="H146" s="844"/>
      <c r="I146" s="844"/>
      <c r="J146" s="844"/>
      <c r="K146" s="844"/>
      <c r="L146" s="844"/>
      <c r="M146" s="844"/>
      <c r="N146" s="844"/>
      <c r="O146" s="844"/>
      <c r="P146" s="844"/>
      <c r="Q146" s="844"/>
      <c r="R146" s="844"/>
      <c r="S146" s="844"/>
      <c r="T146" s="844"/>
      <c r="U146" s="844"/>
      <c r="V146" s="844"/>
      <c r="W146" s="844"/>
      <c r="X146" s="844"/>
      <c r="Y146" s="844"/>
      <c r="Z146" s="844"/>
    </row>
    <row r="147" spans="1:26" x14ac:dyDescent="0.3">
      <c r="A147">
        <f t="shared" ref="A147" si="143">A146+1</f>
        <v>147</v>
      </c>
      <c r="B147" s="10">
        <f t="shared" si="89"/>
        <v>142</v>
      </c>
      <c r="C147" s="844"/>
      <c r="D147" s="844"/>
      <c r="E147" s="844"/>
      <c r="F147" s="844"/>
      <c r="G147" s="844"/>
      <c r="H147" s="844"/>
      <c r="I147" s="844"/>
      <c r="J147" s="844"/>
      <c r="K147" s="844"/>
      <c r="L147" s="844"/>
      <c r="M147" s="844"/>
      <c r="N147" s="844"/>
      <c r="O147" s="844"/>
      <c r="P147" s="844"/>
      <c r="Q147" s="844"/>
      <c r="R147" s="844"/>
      <c r="S147" s="844"/>
      <c r="T147" s="844"/>
      <c r="U147" s="844"/>
      <c r="V147" s="844"/>
      <c r="W147" s="844"/>
      <c r="X147" s="844"/>
      <c r="Y147" s="844"/>
      <c r="Z147" s="844"/>
    </row>
    <row r="148" spans="1:26" x14ac:dyDescent="0.3">
      <c r="A148">
        <f t="shared" ref="A148" si="144">A147+1</f>
        <v>148</v>
      </c>
      <c r="B148" s="10">
        <f t="shared" si="89"/>
        <v>143</v>
      </c>
      <c r="C148" s="844"/>
      <c r="D148" s="844"/>
      <c r="E148" s="844"/>
      <c r="F148" s="844"/>
      <c r="G148" s="844"/>
      <c r="H148" s="844"/>
      <c r="I148" s="844"/>
      <c r="J148" s="844"/>
      <c r="K148" s="844"/>
      <c r="L148" s="844"/>
      <c r="M148" s="844"/>
      <c r="N148" s="844"/>
      <c r="O148" s="844"/>
      <c r="P148" s="844"/>
      <c r="Q148" s="844"/>
      <c r="R148" s="844"/>
      <c r="S148" s="844"/>
      <c r="T148" s="844"/>
      <c r="U148" s="844"/>
      <c r="V148" s="844"/>
      <c r="W148" s="844"/>
      <c r="X148" s="844"/>
      <c r="Y148" s="844"/>
      <c r="Z148" s="844"/>
    </row>
    <row r="149" spans="1:26" x14ac:dyDescent="0.3">
      <c r="A149">
        <f t="shared" ref="A149" si="145">A148+1</f>
        <v>149</v>
      </c>
      <c r="B149" s="10">
        <f t="shared" si="89"/>
        <v>144</v>
      </c>
      <c r="C149" s="844"/>
      <c r="D149" s="844"/>
      <c r="E149" s="844"/>
      <c r="F149" s="844"/>
      <c r="G149" s="844"/>
      <c r="H149" s="844"/>
      <c r="I149" s="844"/>
      <c r="J149" s="844"/>
      <c r="K149" s="844"/>
      <c r="L149" s="844"/>
      <c r="M149" s="844"/>
      <c r="N149" s="844"/>
      <c r="O149" s="844"/>
      <c r="P149" s="844"/>
      <c r="Q149" s="844"/>
      <c r="R149" s="844"/>
      <c r="S149" s="844"/>
      <c r="T149" s="844"/>
      <c r="U149" s="844"/>
      <c r="V149" s="844"/>
      <c r="W149" s="844"/>
      <c r="X149" s="844"/>
      <c r="Y149" s="844"/>
      <c r="Z149" s="844"/>
    </row>
    <row r="150" spans="1:26" x14ac:dyDescent="0.3">
      <c r="A150">
        <f t="shared" ref="A150" si="146">A149+1</f>
        <v>150</v>
      </c>
      <c r="B150" s="10">
        <f t="shared" si="89"/>
        <v>145</v>
      </c>
      <c r="C150" s="844"/>
      <c r="D150" s="844"/>
      <c r="E150" s="844"/>
      <c r="F150" s="844"/>
      <c r="G150" s="844"/>
      <c r="H150" s="844"/>
      <c r="I150" s="844"/>
      <c r="J150" s="844"/>
      <c r="K150" s="844"/>
      <c r="L150" s="844"/>
      <c r="M150" s="844"/>
      <c r="N150" s="844"/>
      <c r="O150" s="844"/>
      <c r="P150" s="844"/>
      <c r="Q150" s="844"/>
      <c r="R150" s="844"/>
      <c r="S150" s="844"/>
      <c r="T150" s="844"/>
      <c r="U150" s="844"/>
      <c r="V150" s="844"/>
      <c r="W150" s="844"/>
      <c r="X150" s="844"/>
      <c r="Y150" s="844"/>
      <c r="Z150" s="844"/>
    </row>
    <row r="151" spans="1:26" x14ac:dyDescent="0.3">
      <c r="A151">
        <f t="shared" ref="A151" si="147">A150+1</f>
        <v>151</v>
      </c>
      <c r="B151" s="10">
        <f t="shared" si="89"/>
        <v>146</v>
      </c>
      <c r="C151" s="844"/>
      <c r="D151" s="844"/>
      <c r="E151" s="844"/>
      <c r="F151" s="844"/>
      <c r="G151" s="844"/>
      <c r="H151" s="844"/>
      <c r="I151" s="844"/>
      <c r="J151" s="844"/>
      <c r="K151" s="844"/>
      <c r="L151" s="844"/>
      <c r="M151" s="844"/>
      <c r="N151" s="844"/>
      <c r="O151" s="844"/>
      <c r="P151" s="844"/>
      <c r="Q151" s="844"/>
      <c r="R151" s="844"/>
      <c r="S151" s="844"/>
      <c r="T151" s="844"/>
      <c r="U151" s="844"/>
      <c r="V151" s="844"/>
      <c r="W151" s="844"/>
      <c r="X151" s="844"/>
      <c r="Y151" s="844"/>
      <c r="Z151" s="844"/>
    </row>
    <row r="152" spans="1:26" x14ac:dyDescent="0.3">
      <c r="A152">
        <f t="shared" ref="A152" si="148">A151+1</f>
        <v>152</v>
      </c>
      <c r="B152" s="10">
        <f t="shared" si="89"/>
        <v>147</v>
      </c>
      <c r="C152" s="844"/>
      <c r="D152" s="844"/>
      <c r="E152" s="844"/>
      <c r="F152" s="844"/>
      <c r="G152" s="844"/>
      <c r="H152" s="844"/>
      <c r="I152" s="844"/>
      <c r="J152" s="844"/>
      <c r="K152" s="844"/>
      <c r="L152" s="844"/>
      <c r="M152" s="844"/>
      <c r="N152" s="844"/>
      <c r="O152" s="844"/>
      <c r="P152" s="844"/>
      <c r="Q152" s="844"/>
      <c r="R152" s="844"/>
      <c r="S152" s="844"/>
      <c r="T152" s="844"/>
      <c r="U152" s="844"/>
      <c r="V152" s="844"/>
      <c r="W152" s="844"/>
      <c r="X152" s="844"/>
      <c r="Y152" s="844"/>
      <c r="Z152" s="844"/>
    </row>
    <row r="153" spans="1:26" x14ac:dyDescent="0.3">
      <c r="A153">
        <f t="shared" ref="A153" si="149">A152+1</f>
        <v>153</v>
      </c>
      <c r="B153" s="10">
        <f t="shared" si="89"/>
        <v>148</v>
      </c>
      <c r="C153" s="844"/>
      <c r="D153" s="844"/>
      <c r="E153" s="844"/>
      <c r="F153" s="844"/>
      <c r="G153" s="844"/>
      <c r="H153" s="844"/>
      <c r="I153" s="844"/>
      <c r="J153" s="844"/>
      <c r="K153" s="844"/>
      <c r="L153" s="844"/>
      <c r="M153" s="844"/>
      <c r="N153" s="844"/>
      <c r="O153" s="844"/>
      <c r="P153" s="844"/>
      <c r="Q153" s="844"/>
      <c r="R153" s="844"/>
      <c r="S153" s="844"/>
      <c r="T153" s="844"/>
      <c r="U153" s="844"/>
      <c r="V153" s="844"/>
      <c r="W153" s="844"/>
      <c r="X153" s="844"/>
      <c r="Y153" s="844"/>
      <c r="Z153" s="844"/>
    </row>
    <row r="154" spans="1:26" x14ac:dyDescent="0.3">
      <c r="A154">
        <f t="shared" ref="A154" si="150">A153+1</f>
        <v>154</v>
      </c>
      <c r="B154" s="10">
        <f t="shared" si="89"/>
        <v>149</v>
      </c>
      <c r="C154" s="844"/>
      <c r="D154" s="844"/>
      <c r="E154" s="844"/>
      <c r="F154" s="844"/>
      <c r="G154" s="844"/>
      <c r="H154" s="844"/>
      <c r="I154" s="844"/>
      <c r="J154" s="844"/>
      <c r="K154" s="844"/>
      <c r="L154" s="844"/>
      <c r="M154" s="844"/>
      <c r="N154" s="844"/>
      <c r="O154" s="844"/>
      <c r="P154" s="844"/>
      <c r="Q154" s="844"/>
      <c r="R154" s="844"/>
      <c r="S154" s="844"/>
      <c r="T154" s="844"/>
      <c r="U154" s="844"/>
      <c r="V154" s="844"/>
      <c r="W154" s="844"/>
      <c r="X154" s="844"/>
      <c r="Y154" s="844"/>
      <c r="Z154" s="844"/>
    </row>
    <row r="155" spans="1:26" x14ac:dyDescent="0.3">
      <c r="A155">
        <f t="shared" ref="A155" si="151">A154+1</f>
        <v>155</v>
      </c>
      <c r="B155" s="10">
        <f t="shared" si="89"/>
        <v>150</v>
      </c>
      <c r="C155" s="844"/>
      <c r="D155" s="844"/>
      <c r="E155" s="844"/>
      <c r="F155" s="844"/>
      <c r="G155" s="844"/>
      <c r="H155" s="844"/>
      <c r="I155" s="844"/>
      <c r="J155" s="844"/>
      <c r="K155" s="844"/>
      <c r="L155" s="844"/>
      <c r="M155" s="844"/>
      <c r="N155" s="844"/>
      <c r="O155" s="844"/>
      <c r="P155" s="844"/>
      <c r="Q155" s="844"/>
      <c r="R155" s="844"/>
      <c r="S155" s="844"/>
      <c r="T155" s="844"/>
      <c r="U155" s="844"/>
      <c r="V155" s="844"/>
      <c r="W155" s="844"/>
      <c r="X155" s="844"/>
      <c r="Y155" s="844"/>
      <c r="Z155" s="844"/>
    </row>
    <row r="156" spans="1:26" x14ac:dyDescent="0.3">
      <c r="A156">
        <f t="shared" ref="A156" si="152">A155+1</f>
        <v>156</v>
      </c>
      <c r="B156" s="10">
        <f t="shared" si="89"/>
        <v>151</v>
      </c>
      <c r="C156" s="844"/>
      <c r="D156" s="844"/>
      <c r="E156" s="844"/>
      <c r="F156" s="844"/>
      <c r="G156" s="844"/>
      <c r="H156" s="844"/>
      <c r="I156" s="844"/>
      <c r="J156" s="844"/>
      <c r="K156" s="844"/>
      <c r="L156" s="844"/>
      <c r="M156" s="844"/>
      <c r="N156" s="844"/>
      <c r="O156" s="844"/>
      <c r="P156" s="844"/>
      <c r="Q156" s="844"/>
      <c r="R156" s="844"/>
      <c r="S156" s="844"/>
      <c r="T156" s="844"/>
      <c r="U156" s="844"/>
      <c r="V156" s="844"/>
      <c r="W156" s="844"/>
      <c r="X156" s="844"/>
      <c r="Y156" s="844"/>
      <c r="Z156" s="844"/>
    </row>
    <row r="157" spans="1:26" x14ac:dyDescent="0.3">
      <c r="A157">
        <f t="shared" ref="A157" si="153">A156+1</f>
        <v>157</v>
      </c>
      <c r="B157" s="10">
        <f t="shared" ref="B157:B220" si="154">B156+1</f>
        <v>152</v>
      </c>
      <c r="C157" s="844"/>
      <c r="D157" s="844"/>
      <c r="E157" s="844"/>
      <c r="F157" s="844"/>
      <c r="G157" s="844"/>
      <c r="H157" s="844"/>
      <c r="I157" s="844"/>
      <c r="J157" s="844"/>
      <c r="K157" s="844"/>
      <c r="L157" s="844"/>
      <c r="M157" s="844"/>
      <c r="N157" s="844"/>
      <c r="O157" s="844"/>
      <c r="P157" s="844"/>
      <c r="Q157" s="844"/>
      <c r="R157" s="844"/>
      <c r="S157" s="844"/>
      <c r="T157" s="844"/>
      <c r="U157" s="844"/>
      <c r="V157" s="844"/>
      <c r="W157" s="844"/>
      <c r="X157" s="844"/>
      <c r="Y157" s="844"/>
      <c r="Z157" s="844"/>
    </row>
    <row r="158" spans="1:26" x14ac:dyDescent="0.3">
      <c r="A158">
        <f t="shared" ref="A158" si="155">A157+1</f>
        <v>158</v>
      </c>
      <c r="B158" s="10">
        <f t="shared" si="154"/>
        <v>153</v>
      </c>
      <c r="C158" s="844"/>
      <c r="D158" s="844"/>
      <c r="E158" s="844"/>
      <c r="F158" s="844"/>
      <c r="G158" s="844"/>
      <c r="H158" s="844"/>
      <c r="I158" s="844"/>
      <c r="J158" s="844"/>
      <c r="K158" s="844"/>
      <c r="L158" s="844"/>
      <c r="M158" s="844"/>
      <c r="N158" s="844"/>
      <c r="O158" s="844"/>
      <c r="P158" s="844"/>
      <c r="Q158" s="844"/>
      <c r="R158" s="844"/>
      <c r="S158" s="844"/>
      <c r="T158" s="844"/>
      <c r="U158" s="844"/>
      <c r="V158" s="844"/>
      <c r="W158" s="844"/>
      <c r="X158" s="844"/>
      <c r="Y158" s="844"/>
      <c r="Z158" s="844"/>
    </row>
    <row r="159" spans="1:26" x14ac:dyDescent="0.3">
      <c r="A159">
        <f t="shared" ref="A159" si="156">A158+1</f>
        <v>159</v>
      </c>
      <c r="B159" s="10">
        <f t="shared" si="154"/>
        <v>154</v>
      </c>
      <c r="C159" s="844"/>
      <c r="D159" s="844"/>
      <c r="E159" s="844"/>
      <c r="F159" s="844"/>
      <c r="G159" s="844"/>
      <c r="H159" s="844"/>
      <c r="I159" s="844"/>
      <c r="J159" s="844"/>
      <c r="K159" s="844"/>
      <c r="L159" s="844"/>
      <c r="M159" s="844"/>
      <c r="N159" s="844"/>
      <c r="O159" s="844"/>
      <c r="P159" s="844"/>
      <c r="Q159" s="844"/>
      <c r="R159" s="844"/>
      <c r="S159" s="844"/>
      <c r="T159" s="844"/>
      <c r="U159" s="844"/>
      <c r="V159" s="844"/>
      <c r="W159" s="844"/>
      <c r="X159" s="844"/>
      <c r="Y159" s="844"/>
      <c r="Z159" s="844"/>
    </row>
    <row r="160" spans="1:26" x14ac:dyDescent="0.3">
      <c r="A160">
        <f t="shared" ref="A160" si="157">A159+1</f>
        <v>160</v>
      </c>
      <c r="B160" s="10">
        <f t="shared" si="154"/>
        <v>155</v>
      </c>
      <c r="C160" s="844"/>
      <c r="D160" s="844"/>
      <c r="E160" s="844"/>
      <c r="F160" s="844"/>
      <c r="G160" s="844"/>
      <c r="H160" s="844"/>
      <c r="I160" s="844"/>
      <c r="J160" s="844"/>
      <c r="K160" s="844"/>
      <c r="L160" s="844"/>
      <c r="M160" s="844"/>
      <c r="N160" s="844"/>
      <c r="O160" s="844"/>
      <c r="P160" s="844"/>
      <c r="Q160" s="844"/>
      <c r="R160" s="844"/>
      <c r="S160" s="844"/>
      <c r="T160" s="844"/>
      <c r="U160" s="844"/>
      <c r="V160" s="844"/>
      <c r="W160" s="844"/>
      <c r="X160" s="844"/>
      <c r="Y160" s="844"/>
      <c r="Z160" s="844"/>
    </row>
    <row r="161" spans="1:26" x14ac:dyDescent="0.3">
      <c r="A161">
        <f t="shared" ref="A161" si="158">A160+1</f>
        <v>161</v>
      </c>
      <c r="B161" s="10">
        <f t="shared" si="154"/>
        <v>156</v>
      </c>
      <c r="C161" s="844"/>
      <c r="D161" s="844"/>
      <c r="E161" s="844"/>
      <c r="F161" s="844"/>
      <c r="G161" s="844"/>
      <c r="H161" s="844"/>
      <c r="I161" s="844"/>
      <c r="J161" s="844"/>
      <c r="K161" s="844"/>
      <c r="L161" s="844"/>
      <c r="M161" s="844"/>
      <c r="N161" s="844"/>
      <c r="O161" s="844"/>
      <c r="P161" s="844"/>
      <c r="Q161" s="844"/>
      <c r="R161" s="844"/>
      <c r="S161" s="844"/>
      <c r="T161" s="844"/>
      <c r="U161" s="844"/>
      <c r="V161" s="844"/>
      <c r="W161" s="844"/>
      <c r="X161" s="844"/>
      <c r="Y161" s="844"/>
      <c r="Z161" s="844"/>
    </row>
    <row r="162" spans="1:26" x14ac:dyDescent="0.3">
      <c r="A162">
        <f t="shared" ref="A162:B221" si="159">A161+1</f>
        <v>162</v>
      </c>
      <c r="B162" s="10">
        <f t="shared" si="154"/>
        <v>157</v>
      </c>
      <c r="C162" s="844"/>
      <c r="D162" s="844"/>
      <c r="E162" s="844"/>
      <c r="F162" s="844"/>
      <c r="G162" s="844"/>
      <c r="H162" s="844"/>
      <c r="I162" s="844"/>
      <c r="J162" s="844"/>
      <c r="K162" s="844"/>
      <c r="L162" s="844"/>
      <c r="M162" s="844"/>
      <c r="N162" s="844"/>
      <c r="O162" s="844"/>
      <c r="P162" s="844"/>
      <c r="Q162" s="844"/>
      <c r="R162" s="844"/>
      <c r="S162" s="844"/>
      <c r="T162" s="844"/>
      <c r="U162" s="844"/>
      <c r="V162" s="844"/>
      <c r="W162" s="844"/>
      <c r="X162" s="844"/>
      <c r="Y162" s="844"/>
      <c r="Z162" s="844"/>
    </row>
    <row r="163" spans="1:26" x14ac:dyDescent="0.3">
      <c r="A163">
        <f t="shared" si="159"/>
        <v>163</v>
      </c>
      <c r="B163" s="10">
        <f t="shared" si="154"/>
        <v>158</v>
      </c>
      <c r="C163" s="844"/>
      <c r="D163" s="844"/>
      <c r="E163" s="844"/>
      <c r="F163" s="844"/>
      <c r="G163" s="844"/>
      <c r="H163" s="844"/>
      <c r="I163" s="844"/>
      <c r="J163" s="844"/>
      <c r="K163" s="844"/>
      <c r="L163" s="844"/>
      <c r="M163" s="844"/>
      <c r="N163" s="844"/>
      <c r="O163" s="844"/>
      <c r="P163" s="844"/>
      <c r="Q163" s="844"/>
      <c r="R163" s="844"/>
      <c r="S163" s="844"/>
      <c r="T163" s="844"/>
      <c r="U163" s="844"/>
      <c r="V163" s="844"/>
      <c r="W163" s="844"/>
      <c r="X163" s="844"/>
      <c r="Y163" s="844"/>
      <c r="Z163" s="844"/>
    </row>
    <row r="164" spans="1:26" x14ac:dyDescent="0.3">
      <c r="A164">
        <f t="shared" si="159"/>
        <v>164</v>
      </c>
      <c r="B164" s="10">
        <f t="shared" si="154"/>
        <v>159</v>
      </c>
      <c r="C164" s="844"/>
      <c r="D164" s="844"/>
      <c r="E164" s="844"/>
      <c r="F164" s="844"/>
      <c r="G164" s="844"/>
      <c r="H164" s="844"/>
      <c r="I164" s="844"/>
      <c r="J164" s="844"/>
      <c r="K164" s="844"/>
      <c r="L164" s="844"/>
      <c r="M164" s="844"/>
      <c r="N164" s="844"/>
      <c r="O164" s="844"/>
      <c r="P164" s="844"/>
      <c r="Q164" s="844"/>
      <c r="R164" s="844"/>
      <c r="S164" s="844"/>
      <c r="T164" s="844"/>
      <c r="U164" s="844"/>
      <c r="V164" s="844"/>
      <c r="W164" s="844"/>
      <c r="X164" s="844"/>
      <c r="Y164" s="844"/>
      <c r="Z164" s="844"/>
    </row>
    <row r="165" spans="1:26" x14ac:dyDescent="0.3">
      <c r="A165">
        <f t="shared" si="159"/>
        <v>165</v>
      </c>
      <c r="B165" s="10">
        <f t="shared" si="154"/>
        <v>160</v>
      </c>
    </row>
    <row r="166" spans="1:26" x14ac:dyDescent="0.3">
      <c r="A166">
        <f t="shared" si="159"/>
        <v>166</v>
      </c>
      <c r="B166" s="10">
        <f t="shared" si="154"/>
        <v>161</v>
      </c>
    </row>
    <row r="167" spans="1:26" x14ac:dyDescent="0.3">
      <c r="A167">
        <f t="shared" si="159"/>
        <v>167</v>
      </c>
      <c r="B167" s="10">
        <f t="shared" si="154"/>
        <v>162</v>
      </c>
    </row>
    <row r="168" spans="1:26" x14ac:dyDescent="0.3">
      <c r="A168">
        <f t="shared" si="159"/>
        <v>168</v>
      </c>
      <c r="B168" s="10">
        <f t="shared" si="154"/>
        <v>163</v>
      </c>
    </row>
    <row r="169" spans="1:26" x14ac:dyDescent="0.3">
      <c r="A169">
        <f t="shared" si="159"/>
        <v>169</v>
      </c>
      <c r="B169" s="10">
        <f t="shared" si="154"/>
        <v>164</v>
      </c>
    </row>
    <row r="170" spans="1:26" x14ac:dyDescent="0.3">
      <c r="A170">
        <f t="shared" si="159"/>
        <v>170</v>
      </c>
      <c r="B170" s="10">
        <f t="shared" si="154"/>
        <v>165</v>
      </c>
    </row>
    <row r="171" spans="1:26" x14ac:dyDescent="0.3">
      <c r="A171">
        <f t="shared" si="159"/>
        <v>171</v>
      </c>
      <c r="B171" s="10">
        <f t="shared" si="154"/>
        <v>166</v>
      </c>
    </row>
    <row r="172" spans="1:26" x14ac:dyDescent="0.3">
      <c r="A172">
        <f t="shared" si="159"/>
        <v>172</v>
      </c>
      <c r="B172" s="10">
        <f t="shared" si="154"/>
        <v>167</v>
      </c>
    </row>
    <row r="173" spans="1:26" x14ac:dyDescent="0.3">
      <c r="A173">
        <f t="shared" si="159"/>
        <v>173</v>
      </c>
      <c r="B173" s="10">
        <f t="shared" si="154"/>
        <v>168</v>
      </c>
    </row>
    <row r="174" spans="1:26" x14ac:dyDescent="0.3">
      <c r="A174">
        <f t="shared" si="159"/>
        <v>174</v>
      </c>
      <c r="B174" s="10">
        <f t="shared" si="154"/>
        <v>169</v>
      </c>
    </row>
    <row r="175" spans="1:26" x14ac:dyDescent="0.3">
      <c r="A175">
        <f t="shared" si="159"/>
        <v>175</v>
      </c>
      <c r="B175" s="10">
        <f t="shared" si="154"/>
        <v>170</v>
      </c>
    </row>
    <row r="176" spans="1:26" x14ac:dyDescent="0.3">
      <c r="A176">
        <f t="shared" si="159"/>
        <v>176</v>
      </c>
      <c r="B176" s="10">
        <f t="shared" si="154"/>
        <v>171</v>
      </c>
    </row>
    <row r="177" spans="1:2" x14ac:dyDescent="0.3">
      <c r="A177">
        <f t="shared" si="159"/>
        <v>177</v>
      </c>
      <c r="B177" s="10">
        <f t="shared" si="154"/>
        <v>172</v>
      </c>
    </row>
    <row r="178" spans="1:2" x14ac:dyDescent="0.3">
      <c r="A178">
        <f t="shared" si="159"/>
        <v>178</v>
      </c>
      <c r="B178" s="10">
        <f t="shared" si="154"/>
        <v>173</v>
      </c>
    </row>
    <row r="179" spans="1:2" x14ac:dyDescent="0.3">
      <c r="A179">
        <f t="shared" si="159"/>
        <v>179</v>
      </c>
      <c r="B179" s="10">
        <f t="shared" si="154"/>
        <v>174</v>
      </c>
    </row>
    <row r="180" spans="1:2" x14ac:dyDescent="0.3">
      <c r="A180">
        <f t="shared" si="159"/>
        <v>180</v>
      </c>
      <c r="B180" s="10">
        <f t="shared" si="154"/>
        <v>175</v>
      </c>
    </row>
    <row r="181" spans="1:2" x14ac:dyDescent="0.3">
      <c r="A181">
        <f t="shared" si="159"/>
        <v>181</v>
      </c>
      <c r="B181" s="10">
        <f t="shared" si="154"/>
        <v>176</v>
      </c>
    </row>
    <row r="182" spans="1:2" x14ac:dyDescent="0.3">
      <c r="A182">
        <f t="shared" si="159"/>
        <v>182</v>
      </c>
      <c r="B182" s="10">
        <f t="shared" si="154"/>
        <v>177</v>
      </c>
    </row>
    <row r="183" spans="1:2" x14ac:dyDescent="0.3">
      <c r="A183">
        <f t="shared" si="159"/>
        <v>183</v>
      </c>
      <c r="B183" s="10">
        <f t="shared" si="154"/>
        <v>178</v>
      </c>
    </row>
    <row r="184" spans="1:2" x14ac:dyDescent="0.3">
      <c r="A184">
        <f t="shared" si="159"/>
        <v>184</v>
      </c>
      <c r="B184" s="10">
        <f t="shared" si="154"/>
        <v>179</v>
      </c>
    </row>
    <row r="185" spans="1:2" x14ac:dyDescent="0.3">
      <c r="A185">
        <f t="shared" si="159"/>
        <v>185</v>
      </c>
      <c r="B185" s="10">
        <f t="shared" si="154"/>
        <v>180</v>
      </c>
    </row>
    <row r="186" spans="1:2" x14ac:dyDescent="0.3">
      <c r="A186">
        <f t="shared" si="159"/>
        <v>186</v>
      </c>
      <c r="B186" s="10">
        <f t="shared" si="154"/>
        <v>181</v>
      </c>
    </row>
    <row r="187" spans="1:2" x14ac:dyDescent="0.3">
      <c r="A187">
        <f t="shared" si="159"/>
        <v>187</v>
      </c>
      <c r="B187" s="10">
        <f t="shared" si="154"/>
        <v>182</v>
      </c>
    </row>
    <row r="188" spans="1:2" x14ac:dyDescent="0.3">
      <c r="A188">
        <f t="shared" si="159"/>
        <v>188</v>
      </c>
      <c r="B188" s="10">
        <f t="shared" si="154"/>
        <v>183</v>
      </c>
    </row>
    <row r="189" spans="1:2" x14ac:dyDescent="0.3">
      <c r="A189">
        <f t="shared" si="159"/>
        <v>189</v>
      </c>
      <c r="B189" s="10">
        <f t="shared" si="154"/>
        <v>184</v>
      </c>
    </row>
    <row r="190" spans="1:2" x14ac:dyDescent="0.3">
      <c r="A190">
        <f t="shared" si="159"/>
        <v>190</v>
      </c>
      <c r="B190" s="10">
        <f t="shared" si="154"/>
        <v>185</v>
      </c>
    </row>
    <row r="191" spans="1:2" x14ac:dyDescent="0.3">
      <c r="A191">
        <f t="shared" si="159"/>
        <v>191</v>
      </c>
      <c r="B191" s="10">
        <f t="shared" si="154"/>
        <v>186</v>
      </c>
    </row>
    <row r="192" spans="1:2" x14ac:dyDescent="0.3">
      <c r="A192">
        <f t="shared" si="159"/>
        <v>192</v>
      </c>
      <c r="B192" s="10">
        <f t="shared" si="154"/>
        <v>187</v>
      </c>
    </row>
    <row r="193" spans="1:2" x14ac:dyDescent="0.3">
      <c r="A193">
        <f t="shared" si="159"/>
        <v>193</v>
      </c>
      <c r="B193" s="10">
        <f t="shared" si="154"/>
        <v>188</v>
      </c>
    </row>
    <row r="194" spans="1:2" x14ac:dyDescent="0.3">
      <c r="A194">
        <f t="shared" si="159"/>
        <v>194</v>
      </c>
      <c r="B194" s="10">
        <f t="shared" si="154"/>
        <v>189</v>
      </c>
    </row>
    <row r="195" spans="1:2" x14ac:dyDescent="0.3">
      <c r="A195">
        <f t="shared" si="159"/>
        <v>195</v>
      </c>
      <c r="B195" s="10">
        <f t="shared" si="154"/>
        <v>190</v>
      </c>
    </row>
    <row r="196" spans="1:2" x14ac:dyDescent="0.3">
      <c r="A196">
        <f t="shared" si="159"/>
        <v>196</v>
      </c>
      <c r="B196" s="10">
        <f t="shared" si="154"/>
        <v>191</v>
      </c>
    </row>
    <row r="197" spans="1:2" x14ac:dyDescent="0.3">
      <c r="A197">
        <f t="shared" si="159"/>
        <v>197</v>
      </c>
      <c r="B197" s="10">
        <f t="shared" si="154"/>
        <v>192</v>
      </c>
    </row>
    <row r="198" spans="1:2" x14ac:dyDescent="0.3">
      <c r="A198">
        <f t="shared" si="159"/>
        <v>198</v>
      </c>
      <c r="B198" s="10">
        <f t="shared" si="154"/>
        <v>193</v>
      </c>
    </row>
    <row r="199" spans="1:2" x14ac:dyDescent="0.3">
      <c r="A199">
        <f t="shared" si="159"/>
        <v>199</v>
      </c>
      <c r="B199" s="10">
        <f t="shared" si="154"/>
        <v>194</v>
      </c>
    </row>
    <row r="200" spans="1:2" x14ac:dyDescent="0.3">
      <c r="A200">
        <f t="shared" si="159"/>
        <v>200</v>
      </c>
      <c r="B200" s="10">
        <f t="shared" si="154"/>
        <v>195</v>
      </c>
    </row>
    <row r="201" spans="1:2" x14ac:dyDescent="0.3">
      <c r="A201">
        <f t="shared" si="159"/>
        <v>201</v>
      </c>
      <c r="B201" s="10">
        <f t="shared" si="154"/>
        <v>196</v>
      </c>
    </row>
    <row r="202" spans="1:2" x14ac:dyDescent="0.3">
      <c r="A202">
        <f t="shared" si="159"/>
        <v>202</v>
      </c>
      <c r="B202" s="10">
        <f t="shared" si="154"/>
        <v>197</v>
      </c>
    </row>
    <row r="203" spans="1:2" x14ac:dyDescent="0.3">
      <c r="A203">
        <f t="shared" si="159"/>
        <v>203</v>
      </c>
      <c r="B203" s="10">
        <f t="shared" si="154"/>
        <v>198</v>
      </c>
    </row>
    <row r="204" spans="1:2" x14ac:dyDescent="0.3">
      <c r="A204">
        <f t="shared" si="159"/>
        <v>204</v>
      </c>
      <c r="B204" s="10">
        <f t="shared" si="154"/>
        <v>199</v>
      </c>
    </row>
    <row r="205" spans="1:2" x14ac:dyDescent="0.3">
      <c r="A205">
        <f t="shared" si="159"/>
        <v>205</v>
      </c>
      <c r="B205" s="10">
        <f t="shared" si="154"/>
        <v>200</v>
      </c>
    </row>
    <row r="206" spans="1:2" x14ac:dyDescent="0.3">
      <c r="A206">
        <f t="shared" si="159"/>
        <v>206</v>
      </c>
      <c r="B206" s="10">
        <f t="shared" si="154"/>
        <v>201</v>
      </c>
    </row>
    <row r="207" spans="1:2" x14ac:dyDescent="0.3">
      <c r="A207">
        <f t="shared" si="159"/>
        <v>207</v>
      </c>
      <c r="B207" s="10">
        <f t="shared" si="154"/>
        <v>202</v>
      </c>
    </row>
    <row r="208" spans="1:2" x14ac:dyDescent="0.3">
      <c r="A208">
        <f t="shared" si="159"/>
        <v>208</v>
      </c>
      <c r="B208" s="10">
        <f t="shared" si="154"/>
        <v>203</v>
      </c>
    </row>
    <row r="209" spans="1:2" x14ac:dyDescent="0.3">
      <c r="A209">
        <f t="shared" si="159"/>
        <v>209</v>
      </c>
      <c r="B209" s="10">
        <f t="shared" si="154"/>
        <v>204</v>
      </c>
    </row>
    <row r="210" spans="1:2" x14ac:dyDescent="0.3">
      <c r="A210">
        <f t="shared" si="159"/>
        <v>210</v>
      </c>
      <c r="B210" s="10">
        <f t="shared" si="154"/>
        <v>205</v>
      </c>
    </row>
    <row r="211" spans="1:2" x14ac:dyDescent="0.3">
      <c r="A211">
        <f t="shared" si="159"/>
        <v>211</v>
      </c>
      <c r="B211" s="10">
        <f t="shared" si="154"/>
        <v>206</v>
      </c>
    </row>
    <row r="212" spans="1:2" x14ac:dyDescent="0.3">
      <c r="A212">
        <f t="shared" si="159"/>
        <v>212</v>
      </c>
      <c r="B212" s="10">
        <f t="shared" si="154"/>
        <v>207</v>
      </c>
    </row>
    <row r="213" spans="1:2" x14ac:dyDescent="0.3">
      <c r="A213">
        <f t="shared" si="159"/>
        <v>213</v>
      </c>
      <c r="B213" s="10">
        <f t="shared" si="154"/>
        <v>208</v>
      </c>
    </row>
    <row r="214" spans="1:2" x14ac:dyDescent="0.3">
      <c r="A214">
        <f t="shared" si="159"/>
        <v>214</v>
      </c>
      <c r="B214" s="10">
        <f t="shared" si="154"/>
        <v>209</v>
      </c>
    </row>
    <row r="215" spans="1:2" x14ac:dyDescent="0.3">
      <c r="A215">
        <f t="shared" si="159"/>
        <v>215</v>
      </c>
      <c r="B215" s="10">
        <f t="shared" si="154"/>
        <v>210</v>
      </c>
    </row>
    <row r="216" spans="1:2" x14ac:dyDescent="0.3">
      <c r="A216">
        <f t="shared" si="159"/>
        <v>216</v>
      </c>
      <c r="B216" s="10">
        <f t="shared" si="154"/>
        <v>211</v>
      </c>
    </row>
    <row r="217" spans="1:2" x14ac:dyDescent="0.3">
      <c r="A217">
        <f t="shared" si="159"/>
        <v>217</v>
      </c>
      <c r="B217" s="10">
        <f t="shared" si="154"/>
        <v>212</v>
      </c>
    </row>
    <row r="218" spans="1:2" x14ac:dyDescent="0.3">
      <c r="A218">
        <f t="shared" si="159"/>
        <v>218</v>
      </c>
      <c r="B218" s="10">
        <f t="shared" si="154"/>
        <v>213</v>
      </c>
    </row>
    <row r="219" spans="1:2" x14ac:dyDescent="0.3">
      <c r="A219">
        <f t="shared" si="159"/>
        <v>219</v>
      </c>
      <c r="B219" s="10">
        <f t="shared" si="154"/>
        <v>214</v>
      </c>
    </row>
    <row r="220" spans="1:2" x14ac:dyDescent="0.3">
      <c r="A220">
        <f t="shared" si="159"/>
        <v>220</v>
      </c>
      <c r="B220" s="10">
        <f t="shared" si="154"/>
        <v>215</v>
      </c>
    </row>
    <row r="221" spans="1:2" x14ac:dyDescent="0.3">
      <c r="A221">
        <f t="shared" si="159"/>
        <v>221</v>
      </c>
      <c r="B221" s="10">
        <f t="shared" si="159"/>
        <v>216</v>
      </c>
    </row>
    <row r="222" spans="1:2" x14ac:dyDescent="0.3">
      <c r="A222">
        <f t="shared" ref="A222:B237" si="160">A221+1</f>
        <v>222</v>
      </c>
      <c r="B222" s="10">
        <f t="shared" si="160"/>
        <v>217</v>
      </c>
    </row>
    <row r="223" spans="1:2" x14ac:dyDescent="0.3">
      <c r="A223">
        <f t="shared" si="160"/>
        <v>223</v>
      </c>
      <c r="B223" s="10">
        <f t="shared" si="160"/>
        <v>218</v>
      </c>
    </row>
    <row r="224" spans="1:2" x14ac:dyDescent="0.3">
      <c r="A224">
        <f t="shared" si="160"/>
        <v>224</v>
      </c>
      <c r="B224" s="10">
        <f t="shared" si="160"/>
        <v>219</v>
      </c>
    </row>
    <row r="225" spans="1:2" x14ac:dyDescent="0.3">
      <c r="A225">
        <f t="shared" si="160"/>
        <v>225</v>
      </c>
      <c r="B225" s="10">
        <f t="shared" si="160"/>
        <v>220</v>
      </c>
    </row>
    <row r="226" spans="1:2" x14ac:dyDescent="0.3">
      <c r="A226">
        <f t="shared" si="160"/>
        <v>226</v>
      </c>
      <c r="B226" s="10">
        <f t="shared" si="160"/>
        <v>221</v>
      </c>
    </row>
    <row r="227" spans="1:2" x14ac:dyDescent="0.3">
      <c r="A227">
        <f t="shared" si="160"/>
        <v>227</v>
      </c>
      <c r="B227" s="10">
        <f t="shared" si="160"/>
        <v>222</v>
      </c>
    </row>
    <row r="228" spans="1:2" x14ac:dyDescent="0.3">
      <c r="A228">
        <f t="shared" si="160"/>
        <v>228</v>
      </c>
      <c r="B228" s="10">
        <f t="shared" si="160"/>
        <v>223</v>
      </c>
    </row>
    <row r="229" spans="1:2" x14ac:dyDescent="0.3">
      <c r="A229">
        <f t="shared" si="160"/>
        <v>229</v>
      </c>
      <c r="B229" s="10">
        <f t="shared" si="160"/>
        <v>224</v>
      </c>
    </row>
    <row r="230" spans="1:2" x14ac:dyDescent="0.3">
      <c r="A230">
        <f t="shared" si="160"/>
        <v>230</v>
      </c>
      <c r="B230" s="10">
        <f t="shared" si="160"/>
        <v>225</v>
      </c>
    </row>
    <row r="231" spans="1:2" x14ac:dyDescent="0.3">
      <c r="A231">
        <f t="shared" si="160"/>
        <v>231</v>
      </c>
      <c r="B231" s="10">
        <f t="shared" si="160"/>
        <v>226</v>
      </c>
    </row>
    <row r="232" spans="1:2" x14ac:dyDescent="0.3">
      <c r="A232">
        <f t="shared" si="160"/>
        <v>232</v>
      </c>
      <c r="B232" s="10">
        <f t="shared" si="160"/>
        <v>227</v>
      </c>
    </row>
    <row r="233" spans="1:2" x14ac:dyDescent="0.3">
      <c r="A233">
        <f t="shared" si="160"/>
        <v>233</v>
      </c>
      <c r="B233" s="10">
        <f t="shared" si="160"/>
        <v>228</v>
      </c>
    </row>
    <row r="234" spans="1:2" x14ac:dyDescent="0.3">
      <c r="A234">
        <f t="shared" si="160"/>
        <v>234</v>
      </c>
      <c r="B234" s="10">
        <f t="shared" si="160"/>
        <v>229</v>
      </c>
    </row>
    <row r="235" spans="1:2" x14ac:dyDescent="0.3">
      <c r="A235">
        <f t="shared" si="160"/>
        <v>235</v>
      </c>
      <c r="B235" s="10">
        <f t="shared" si="160"/>
        <v>230</v>
      </c>
    </row>
    <row r="236" spans="1:2" x14ac:dyDescent="0.3">
      <c r="A236">
        <f t="shared" si="160"/>
        <v>236</v>
      </c>
      <c r="B236" s="10">
        <f t="shared" si="160"/>
        <v>231</v>
      </c>
    </row>
    <row r="237" spans="1:2" x14ac:dyDescent="0.3">
      <c r="A237">
        <f t="shared" si="160"/>
        <v>237</v>
      </c>
      <c r="B237" s="10">
        <f t="shared" si="160"/>
        <v>232</v>
      </c>
    </row>
    <row r="238" spans="1:2" x14ac:dyDescent="0.3">
      <c r="A238">
        <f t="shared" ref="A238:B253" si="161">A237+1</f>
        <v>238</v>
      </c>
      <c r="B238" s="10">
        <f t="shared" si="161"/>
        <v>233</v>
      </c>
    </row>
    <row r="239" spans="1:2" x14ac:dyDescent="0.3">
      <c r="A239">
        <f t="shared" si="161"/>
        <v>239</v>
      </c>
      <c r="B239" s="10">
        <f t="shared" si="161"/>
        <v>234</v>
      </c>
    </row>
    <row r="240" spans="1:2" x14ac:dyDescent="0.3">
      <c r="A240">
        <f t="shared" si="161"/>
        <v>240</v>
      </c>
      <c r="B240" s="10">
        <f t="shared" si="161"/>
        <v>235</v>
      </c>
    </row>
    <row r="241" spans="1:2" x14ac:dyDescent="0.3">
      <c r="A241">
        <f t="shared" si="161"/>
        <v>241</v>
      </c>
      <c r="B241" s="10">
        <f t="shared" si="161"/>
        <v>236</v>
      </c>
    </row>
    <row r="242" spans="1:2" x14ac:dyDescent="0.3">
      <c r="A242">
        <f t="shared" si="161"/>
        <v>242</v>
      </c>
      <c r="B242" s="10">
        <f t="shared" si="161"/>
        <v>237</v>
      </c>
    </row>
    <row r="243" spans="1:2" x14ac:dyDescent="0.3">
      <c r="A243">
        <f t="shared" si="161"/>
        <v>243</v>
      </c>
      <c r="B243" s="10">
        <f t="shared" si="161"/>
        <v>238</v>
      </c>
    </row>
    <row r="244" spans="1:2" x14ac:dyDescent="0.3">
      <c r="A244">
        <f t="shared" si="161"/>
        <v>244</v>
      </c>
      <c r="B244" s="10">
        <f t="shared" si="161"/>
        <v>239</v>
      </c>
    </row>
    <row r="245" spans="1:2" x14ac:dyDescent="0.3">
      <c r="A245">
        <f t="shared" si="161"/>
        <v>245</v>
      </c>
      <c r="B245" s="10">
        <f t="shared" si="161"/>
        <v>240</v>
      </c>
    </row>
    <row r="246" spans="1:2" x14ac:dyDescent="0.3">
      <c r="A246">
        <f t="shared" si="161"/>
        <v>246</v>
      </c>
      <c r="B246" s="10">
        <f t="shared" si="161"/>
        <v>241</v>
      </c>
    </row>
    <row r="247" spans="1:2" x14ac:dyDescent="0.3">
      <c r="A247">
        <f t="shared" si="161"/>
        <v>247</v>
      </c>
      <c r="B247" s="10">
        <f t="shared" si="161"/>
        <v>242</v>
      </c>
    </row>
    <row r="248" spans="1:2" x14ac:dyDescent="0.3">
      <c r="A248">
        <f t="shared" si="161"/>
        <v>248</v>
      </c>
      <c r="B248" s="10">
        <f t="shared" si="161"/>
        <v>243</v>
      </c>
    </row>
    <row r="249" spans="1:2" x14ac:dyDescent="0.3">
      <c r="A249">
        <f t="shared" si="161"/>
        <v>249</v>
      </c>
      <c r="B249" s="10">
        <f t="shared" si="161"/>
        <v>244</v>
      </c>
    </row>
    <row r="250" spans="1:2" x14ac:dyDescent="0.3">
      <c r="A250">
        <f t="shared" si="161"/>
        <v>250</v>
      </c>
      <c r="B250" s="10">
        <f t="shared" si="161"/>
        <v>245</v>
      </c>
    </row>
    <row r="251" spans="1:2" x14ac:dyDescent="0.3">
      <c r="A251">
        <f t="shared" si="161"/>
        <v>251</v>
      </c>
      <c r="B251" s="10">
        <f t="shared" si="161"/>
        <v>246</v>
      </c>
    </row>
    <row r="252" spans="1:2" x14ac:dyDescent="0.3">
      <c r="A252">
        <f t="shared" si="161"/>
        <v>252</v>
      </c>
      <c r="B252" s="10">
        <f t="shared" si="161"/>
        <v>247</v>
      </c>
    </row>
    <row r="253" spans="1:2" x14ac:dyDescent="0.3">
      <c r="A253">
        <f t="shared" si="161"/>
        <v>253</v>
      </c>
      <c r="B253" s="10">
        <f t="shared" si="161"/>
        <v>248</v>
      </c>
    </row>
    <row r="254" spans="1:2" x14ac:dyDescent="0.3">
      <c r="A254">
        <f t="shared" ref="A254:B266" si="162">A253+1</f>
        <v>254</v>
      </c>
      <c r="B254" s="10">
        <f t="shared" si="162"/>
        <v>249</v>
      </c>
    </row>
    <row r="255" spans="1:2" x14ac:dyDescent="0.3">
      <c r="A255">
        <f t="shared" si="162"/>
        <v>255</v>
      </c>
      <c r="B255" s="10">
        <f t="shared" si="162"/>
        <v>250</v>
      </c>
    </row>
    <row r="256" spans="1:2" x14ac:dyDescent="0.3">
      <c r="A256">
        <f t="shared" si="162"/>
        <v>256</v>
      </c>
      <c r="B256" s="10">
        <f t="shared" si="162"/>
        <v>251</v>
      </c>
    </row>
    <row r="257" spans="1:2" x14ac:dyDescent="0.3">
      <c r="A257">
        <f t="shared" si="162"/>
        <v>257</v>
      </c>
      <c r="B257" s="10">
        <f t="shared" si="162"/>
        <v>252</v>
      </c>
    </row>
    <row r="258" spans="1:2" x14ac:dyDescent="0.3">
      <c r="A258">
        <f t="shared" si="162"/>
        <v>258</v>
      </c>
      <c r="B258" s="10">
        <f t="shared" si="162"/>
        <v>253</v>
      </c>
    </row>
    <row r="259" spans="1:2" x14ac:dyDescent="0.3">
      <c r="A259">
        <f t="shared" si="162"/>
        <v>259</v>
      </c>
      <c r="B259" s="10">
        <f t="shared" si="162"/>
        <v>254</v>
      </c>
    </row>
    <row r="260" spans="1:2" x14ac:dyDescent="0.3">
      <c r="A260">
        <f t="shared" si="162"/>
        <v>260</v>
      </c>
      <c r="B260" s="10">
        <f t="shared" si="162"/>
        <v>255</v>
      </c>
    </row>
    <row r="261" spans="1:2" x14ac:dyDescent="0.3">
      <c r="A261">
        <f t="shared" si="162"/>
        <v>261</v>
      </c>
      <c r="B261" s="10">
        <f t="shared" si="162"/>
        <v>256</v>
      </c>
    </row>
    <row r="262" spans="1:2" x14ac:dyDescent="0.3">
      <c r="A262">
        <f t="shared" si="162"/>
        <v>262</v>
      </c>
      <c r="B262" s="10">
        <f t="shared" si="162"/>
        <v>257</v>
      </c>
    </row>
    <row r="263" spans="1:2" x14ac:dyDescent="0.3">
      <c r="A263">
        <f t="shared" si="162"/>
        <v>263</v>
      </c>
      <c r="B263" s="10">
        <f t="shared" si="162"/>
        <v>258</v>
      </c>
    </row>
    <row r="264" spans="1:2" x14ac:dyDescent="0.3">
      <c r="A264">
        <f t="shared" si="162"/>
        <v>264</v>
      </c>
      <c r="B264" s="10">
        <f t="shared" si="162"/>
        <v>259</v>
      </c>
    </row>
    <row r="265" spans="1:2" x14ac:dyDescent="0.3">
      <c r="A265">
        <f t="shared" si="162"/>
        <v>265</v>
      </c>
      <c r="B265" s="10">
        <f t="shared" si="162"/>
        <v>260</v>
      </c>
    </row>
    <row r="266" spans="1:2" x14ac:dyDescent="0.3">
      <c r="A266">
        <f t="shared" si="162"/>
        <v>266</v>
      </c>
      <c r="B266" s="10">
        <f t="shared" si="162"/>
        <v>261</v>
      </c>
    </row>
    <row r="267" spans="1:2" x14ac:dyDescent="0.3">
      <c r="B267" s="28"/>
    </row>
    <row r="268" spans="1:2" x14ac:dyDescent="0.3">
      <c r="B268" s="28"/>
    </row>
    <row r="269" spans="1:2" x14ac:dyDescent="0.3">
      <c r="B269" s="28"/>
    </row>
    <row r="270" spans="1:2" x14ac:dyDescent="0.3">
      <c r="B270" s="28"/>
    </row>
    <row r="271" spans="1:2" x14ac:dyDescent="0.3">
      <c r="B271" s="28"/>
    </row>
    <row r="272" spans="1:2" x14ac:dyDescent="0.3">
      <c r="B272" s="28"/>
    </row>
    <row r="273" spans="2:2" x14ac:dyDescent="0.3">
      <c r="B273" s="28"/>
    </row>
    <row r="274" spans="2:2" x14ac:dyDescent="0.3">
      <c r="B274" s="28"/>
    </row>
    <row r="275" spans="2:2" x14ac:dyDescent="0.3">
      <c r="B275" s="28"/>
    </row>
    <row r="276" spans="2:2" x14ac:dyDescent="0.3">
      <c r="B276" s="28"/>
    </row>
    <row r="277" spans="2:2" x14ac:dyDescent="0.3">
      <c r="B277" s="28"/>
    </row>
    <row r="278" spans="2:2" x14ac:dyDescent="0.3">
      <c r="B278" s="28"/>
    </row>
    <row r="279" spans="2:2" x14ac:dyDescent="0.3">
      <c r="B279" s="28"/>
    </row>
    <row r="280" spans="2:2" x14ac:dyDescent="0.3">
      <c r="B280" s="28"/>
    </row>
    <row r="281" spans="2:2" x14ac:dyDescent="0.3">
      <c r="B281" s="28"/>
    </row>
    <row r="282" spans="2:2" x14ac:dyDescent="0.3">
      <c r="B282" s="28"/>
    </row>
    <row r="283" spans="2:2" x14ac:dyDescent="0.3">
      <c r="B283" s="28"/>
    </row>
    <row r="284" spans="2:2" x14ac:dyDescent="0.3">
      <c r="B284" s="28"/>
    </row>
    <row r="285" spans="2:2" x14ac:dyDescent="0.3">
      <c r="B285" s="28"/>
    </row>
    <row r="286" spans="2:2" x14ac:dyDescent="0.3">
      <c r="B286" s="28"/>
    </row>
    <row r="287" spans="2:2" x14ac:dyDescent="0.3">
      <c r="B287" s="28"/>
    </row>
    <row r="288" spans="2:2" x14ac:dyDescent="0.3">
      <c r="B288" s="28"/>
    </row>
    <row r="289" spans="2:2" x14ac:dyDescent="0.3">
      <c r="B289" s="28"/>
    </row>
    <row r="290" spans="2:2" x14ac:dyDescent="0.3">
      <c r="B290" s="28"/>
    </row>
    <row r="291" spans="2:2" x14ac:dyDescent="0.3">
      <c r="B291" s="28"/>
    </row>
    <row r="292" spans="2:2" x14ac:dyDescent="0.3">
      <c r="B292" s="28"/>
    </row>
    <row r="293" spans="2:2" x14ac:dyDescent="0.3">
      <c r="B293" s="28"/>
    </row>
    <row r="294" spans="2:2" x14ac:dyDescent="0.3">
      <c r="B294" s="28"/>
    </row>
    <row r="295" spans="2:2" x14ac:dyDescent="0.3">
      <c r="B295" s="28"/>
    </row>
    <row r="296" spans="2:2" x14ac:dyDescent="0.3">
      <c r="B296" s="28"/>
    </row>
    <row r="297" spans="2:2" x14ac:dyDescent="0.3">
      <c r="B297" s="28"/>
    </row>
    <row r="298" spans="2:2" x14ac:dyDescent="0.3">
      <c r="B298" s="28"/>
    </row>
    <row r="299" spans="2:2" x14ac:dyDescent="0.3">
      <c r="B299" s="28"/>
    </row>
    <row r="300" spans="2:2" x14ac:dyDescent="0.3">
      <c r="B300" s="28"/>
    </row>
    <row r="301" spans="2:2" x14ac:dyDescent="0.3">
      <c r="B301" s="28"/>
    </row>
    <row r="302" spans="2:2" x14ac:dyDescent="0.3">
      <c r="B302" s="28"/>
    </row>
    <row r="303" spans="2:2" x14ac:dyDescent="0.3">
      <c r="B303" s="28"/>
    </row>
    <row r="304" spans="2:2" x14ac:dyDescent="0.3">
      <c r="B304" s="28"/>
    </row>
    <row r="305" spans="2:2" x14ac:dyDescent="0.3">
      <c r="B305" s="28"/>
    </row>
    <row r="306" spans="2:2" x14ac:dyDescent="0.3">
      <c r="B306" s="28"/>
    </row>
    <row r="307" spans="2:2" x14ac:dyDescent="0.3">
      <c r="B307" s="28"/>
    </row>
    <row r="308" spans="2:2" x14ac:dyDescent="0.3">
      <c r="B308" s="28"/>
    </row>
    <row r="309" spans="2:2" x14ac:dyDescent="0.3">
      <c r="B309" s="28"/>
    </row>
    <row r="310" spans="2:2" x14ac:dyDescent="0.3">
      <c r="B310" s="28"/>
    </row>
    <row r="311" spans="2:2" x14ac:dyDescent="0.3">
      <c r="B311" s="28"/>
    </row>
    <row r="312" spans="2:2" x14ac:dyDescent="0.3">
      <c r="B312" s="28"/>
    </row>
    <row r="313" spans="2:2" x14ac:dyDescent="0.3">
      <c r="B313" s="28"/>
    </row>
    <row r="314" spans="2:2" x14ac:dyDescent="0.3">
      <c r="B314" s="28"/>
    </row>
    <row r="315" spans="2:2" x14ac:dyDescent="0.3">
      <c r="B315" s="28"/>
    </row>
    <row r="316" spans="2:2" x14ac:dyDescent="0.3">
      <c r="B316" s="28"/>
    </row>
    <row r="317" spans="2:2" x14ac:dyDescent="0.3">
      <c r="B317" s="28"/>
    </row>
    <row r="318" spans="2:2" x14ac:dyDescent="0.3">
      <c r="B318" s="28"/>
    </row>
    <row r="319" spans="2:2" x14ac:dyDescent="0.3">
      <c r="B319" s="28"/>
    </row>
    <row r="320" spans="2:2" x14ac:dyDescent="0.3">
      <c r="B320" s="28"/>
    </row>
    <row r="321" spans="2:2" x14ac:dyDescent="0.3">
      <c r="B321" s="28"/>
    </row>
    <row r="322" spans="2:2" x14ac:dyDescent="0.3">
      <c r="B322" s="28"/>
    </row>
    <row r="323" spans="2:2" x14ac:dyDescent="0.3">
      <c r="B323" s="28"/>
    </row>
    <row r="324" spans="2:2" x14ac:dyDescent="0.3">
      <c r="B324" s="28"/>
    </row>
    <row r="325" spans="2:2" x14ac:dyDescent="0.3">
      <c r="B325" s="28"/>
    </row>
    <row r="326" spans="2:2" x14ac:dyDescent="0.3">
      <c r="B326" s="28"/>
    </row>
    <row r="327" spans="2:2" x14ac:dyDescent="0.3">
      <c r="B327" s="28"/>
    </row>
    <row r="328" spans="2:2" x14ac:dyDescent="0.3">
      <c r="B328" s="28"/>
    </row>
    <row r="329" spans="2:2" x14ac:dyDescent="0.3">
      <c r="B329" s="28"/>
    </row>
    <row r="330" spans="2:2" x14ac:dyDescent="0.3">
      <c r="B330" s="28"/>
    </row>
    <row r="331" spans="2:2" x14ac:dyDescent="0.3">
      <c r="B331" s="28"/>
    </row>
    <row r="332" spans="2:2" x14ac:dyDescent="0.3">
      <c r="B332" s="28"/>
    </row>
    <row r="333" spans="2:2" x14ac:dyDescent="0.3">
      <c r="B333" s="28"/>
    </row>
    <row r="334" spans="2:2" x14ac:dyDescent="0.3">
      <c r="B334" s="28"/>
    </row>
    <row r="335" spans="2:2" x14ac:dyDescent="0.3">
      <c r="B335" s="28"/>
    </row>
    <row r="336" spans="2:2" x14ac:dyDescent="0.3">
      <c r="B336" s="28"/>
    </row>
    <row r="337" spans="2:2" x14ac:dyDescent="0.3">
      <c r="B337" s="28"/>
    </row>
    <row r="338" spans="2:2" x14ac:dyDescent="0.3">
      <c r="B338" s="28"/>
    </row>
    <row r="339" spans="2:2" x14ac:dyDescent="0.3">
      <c r="B339" s="28"/>
    </row>
    <row r="340" spans="2:2" x14ac:dyDescent="0.3">
      <c r="B340" s="28"/>
    </row>
    <row r="341" spans="2:2" x14ac:dyDescent="0.3">
      <c r="B341" s="28"/>
    </row>
    <row r="342" spans="2:2" x14ac:dyDescent="0.3">
      <c r="B342" s="28"/>
    </row>
    <row r="343" spans="2:2" x14ac:dyDescent="0.3">
      <c r="B343" s="28"/>
    </row>
    <row r="344" spans="2:2" x14ac:dyDescent="0.3">
      <c r="B344" s="28"/>
    </row>
    <row r="345" spans="2:2" x14ac:dyDescent="0.3">
      <c r="B345" s="28"/>
    </row>
  </sheetData>
  <autoFilter ref="C5:Z215" xr:uid="{00000000-0009-0000-0000-000001000000}">
    <sortState xmlns:xlrd2="http://schemas.microsoft.com/office/spreadsheetml/2017/richdata2" ref="C6:Z266">
      <sortCondition ref="C5:C215"/>
    </sortState>
  </autoFilter>
  <sortState xmlns:xlrd2="http://schemas.microsoft.com/office/spreadsheetml/2017/richdata2" ref="C6:Z97">
    <sortCondition ref="C6:C97"/>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AL93"/>
  <sheetViews>
    <sheetView topLeftCell="B39" workbookViewId="0">
      <selection activeCell="B44" sqref="B44:B45"/>
    </sheetView>
  </sheetViews>
  <sheetFormatPr defaultRowHeight="14.4" x14ac:dyDescent="0.3"/>
  <cols>
    <col min="2" max="2" width="19.5546875" customWidth="1"/>
    <col min="3" max="3" width="33.5546875" customWidth="1"/>
    <col min="4" max="8" width="14.44140625" customWidth="1"/>
    <col min="9" max="9" width="12.44140625" customWidth="1"/>
    <col min="10" max="11" width="10.88671875" customWidth="1"/>
    <col min="12" max="12" width="11.6640625" customWidth="1"/>
    <col min="13" max="16" width="10.88671875" customWidth="1"/>
    <col min="17" max="17" width="12.6640625" customWidth="1"/>
    <col min="18" max="19" width="10.88671875" customWidth="1"/>
    <col min="20" max="20" width="30.44140625" bestFit="1" customWidth="1"/>
    <col min="22" max="22" width="20.6640625" customWidth="1"/>
    <col min="23" max="23" width="31.88671875" customWidth="1"/>
    <col min="24" max="28" width="15.88671875" customWidth="1"/>
    <col min="29" max="29" width="12.6640625" customWidth="1"/>
    <col min="31" max="31" width="28.109375" bestFit="1" customWidth="1"/>
    <col min="32" max="32" width="10.33203125" bestFit="1" customWidth="1"/>
    <col min="33" max="33" width="11.88671875" bestFit="1" customWidth="1"/>
    <col min="37" max="37" width="31.88671875" bestFit="1" customWidth="1"/>
  </cols>
  <sheetData>
    <row r="1" spans="2:38" ht="18" x14ac:dyDescent="0.35">
      <c r="B1" s="9" t="s">
        <v>238</v>
      </c>
      <c r="Q1" s="10" t="s">
        <v>2216</v>
      </c>
      <c r="T1" s="10" t="s">
        <v>2275</v>
      </c>
    </row>
    <row r="2" spans="2:38" x14ac:dyDescent="0.3">
      <c r="B2" s="163" t="s">
        <v>752</v>
      </c>
      <c r="C2" s="548" t="s">
        <v>1977</v>
      </c>
      <c r="P2" s="2294"/>
      <c r="Q2" t="s">
        <v>2252</v>
      </c>
      <c r="T2" t="s">
        <v>165</v>
      </c>
      <c r="U2">
        <v>1</v>
      </c>
    </row>
    <row r="3" spans="2:38" x14ac:dyDescent="0.3">
      <c r="B3" s="163" t="s">
        <v>753</v>
      </c>
      <c r="C3" s="163" t="s">
        <v>1978</v>
      </c>
      <c r="Q3" t="s">
        <v>2276</v>
      </c>
      <c r="T3" t="s">
        <v>166</v>
      </c>
      <c r="U3">
        <v>2</v>
      </c>
    </row>
    <row r="4" spans="2:38" x14ac:dyDescent="0.3">
      <c r="T4" t="s">
        <v>69</v>
      </c>
      <c r="U4">
        <v>1</v>
      </c>
    </row>
    <row r="5" spans="2:38" x14ac:dyDescent="0.3">
      <c r="B5" t="s">
        <v>2216</v>
      </c>
      <c r="T5" t="s">
        <v>70</v>
      </c>
      <c r="U5">
        <v>0</v>
      </c>
    </row>
    <row r="6" spans="2:38" x14ac:dyDescent="0.3">
      <c r="B6" s="1" t="s">
        <v>2252</v>
      </c>
      <c r="G6" s="64"/>
    </row>
    <row r="7" spans="2:38" x14ac:dyDescent="0.3">
      <c r="G7" s="64"/>
    </row>
    <row r="8" spans="2:38" x14ac:dyDescent="0.3">
      <c r="G8" s="64"/>
    </row>
    <row r="9" spans="2:38" x14ac:dyDescent="0.3">
      <c r="G9" s="64"/>
      <c r="J9" t="s">
        <v>293</v>
      </c>
      <c r="K9" t="s">
        <v>292</v>
      </c>
      <c r="N9" t="s">
        <v>293</v>
      </c>
      <c r="O9" t="s">
        <v>292</v>
      </c>
    </row>
    <row r="10" spans="2:38" ht="18" x14ac:dyDescent="0.35">
      <c r="B10" s="9" t="s">
        <v>238</v>
      </c>
      <c r="G10" s="64"/>
      <c r="H10">
        <f>Spaces_Sum!$AN$56</f>
        <v>0</v>
      </c>
      <c r="I10">
        <f>Spaces_Sum!$AO$56</f>
        <v>0</v>
      </c>
      <c r="J10">
        <v>18</v>
      </c>
      <c r="K10">
        <f>Envelope_Sum!$AA$57</f>
        <v>26</v>
      </c>
      <c r="L10">
        <f>Spaces_Sum!$AN$56</f>
        <v>0</v>
      </c>
      <c r="M10">
        <f>Spaces_Sum!$AO$56</f>
        <v>0</v>
      </c>
      <c r="N10">
        <v>18</v>
      </c>
      <c r="O10">
        <f>Envelope_Sum!$AA$57</f>
        <v>26</v>
      </c>
    </row>
    <row r="11" spans="2:38" x14ac:dyDescent="0.3">
      <c r="H11" s="2565" t="s">
        <v>69</v>
      </c>
      <c r="I11" s="2566"/>
      <c r="J11" s="2566"/>
      <c r="K11" s="2566"/>
      <c r="L11" s="2566"/>
      <c r="M11" s="2566"/>
      <c r="N11" s="2566"/>
      <c r="O11" s="2566"/>
      <c r="P11" s="2566"/>
      <c r="Q11" s="2566"/>
      <c r="R11" s="2566"/>
      <c r="S11" s="2567"/>
    </row>
    <row r="12" spans="2:38" x14ac:dyDescent="0.3">
      <c r="F12" s="2558" t="s">
        <v>209</v>
      </c>
      <c r="G12" s="2559"/>
      <c r="H12" s="2558" t="s">
        <v>165</v>
      </c>
      <c r="I12" s="2559"/>
      <c r="J12" s="2559"/>
      <c r="K12" s="2560"/>
      <c r="L12" s="2558" t="s">
        <v>166</v>
      </c>
      <c r="M12" s="2559"/>
      <c r="N12" s="2559"/>
      <c r="O12" s="2560"/>
      <c r="P12" s="2558" t="s">
        <v>205</v>
      </c>
      <c r="Q12" s="2559"/>
      <c r="R12" s="2559"/>
      <c r="S12" s="2560"/>
    </row>
    <row r="13" spans="2:38" x14ac:dyDescent="0.3">
      <c r="E13" s="2382" t="s">
        <v>208</v>
      </c>
      <c r="F13" s="53" t="s">
        <v>207</v>
      </c>
      <c r="G13" s="34" t="s">
        <v>211</v>
      </c>
      <c r="H13" s="53" t="s">
        <v>99</v>
      </c>
      <c r="I13" s="34" t="s">
        <v>77</v>
      </c>
      <c r="J13" s="34" t="s">
        <v>215</v>
      </c>
      <c r="K13" s="34" t="s">
        <v>210</v>
      </c>
      <c r="L13" s="53" t="s">
        <v>99</v>
      </c>
      <c r="M13" s="34" t="s">
        <v>77</v>
      </c>
      <c r="N13" s="34" t="s">
        <v>215</v>
      </c>
      <c r="O13" s="34" t="s">
        <v>210</v>
      </c>
      <c r="P13" s="53" t="s">
        <v>99</v>
      </c>
      <c r="Q13" s="34" t="s">
        <v>77</v>
      </c>
      <c r="R13" s="34" t="s">
        <v>215</v>
      </c>
      <c r="S13" s="54" t="s">
        <v>210</v>
      </c>
    </row>
    <row r="14" spans="2:38" x14ac:dyDescent="0.3">
      <c r="B14" s="12" t="s">
        <v>158</v>
      </c>
      <c r="C14" s="12" t="s">
        <v>14</v>
      </c>
      <c r="D14" s="12" t="s">
        <v>36</v>
      </c>
      <c r="E14" s="2383" t="s">
        <v>168</v>
      </c>
      <c r="F14" s="56" t="s">
        <v>143</v>
      </c>
      <c r="G14" s="57" t="s">
        <v>108</v>
      </c>
      <c r="H14" s="56" t="s">
        <v>143</v>
      </c>
      <c r="I14" s="57" t="s">
        <v>108</v>
      </c>
      <c r="J14" s="57" t="s">
        <v>143</v>
      </c>
      <c r="K14" s="57" t="s">
        <v>143</v>
      </c>
      <c r="L14" s="56" t="s">
        <v>143</v>
      </c>
      <c r="M14" s="57" t="s">
        <v>108</v>
      </c>
      <c r="N14" s="57" t="s">
        <v>143</v>
      </c>
      <c r="O14" s="57" t="s">
        <v>143</v>
      </c>
      <c r="P14" s="56" t="s">
        <v>143</v>
      </c>
      <c r="Q14" s="57" t="s">
        <v>108</v>
      </c>
      <c r="R14" s="57" t="s">
        <v>143</v>
      </c>
      <c r="S14" s="55" t="s">
        <v>143</v>
      </c>
    </row>
    <row r="15" spans="2:38" x14ac:dyDescent="0.3">
      <c r="C15" s="1" t="s">
        <v>1632</v>
      </c>
      <c r="D15" s="1">
        <v>1</v>
      </c>
      <c r="E15" s="2384"/>
      <c r="F15" s="663">
        <f ca="1">SUMIFS(OFFSET(Spaces_Ref,1,Spaces_Sum!$M$50,2000),OFFSET(Spaces_Ref,1,Spaces_Sum!$D$50,2000),Proj_Sum!$C15)</f>
        <v>1633.7765999999999</v>
      </c>
      <c r="G15" s="663">
        <f ca="1">SUMIFS(OFFSET(Spaces_Ref,1,Spaces_Sum!$N$50,2000),OFFSET(Spaces_Ref,1,Spaces_Sum!$D$50,2000),Proj_Sum!$C15)</f>
        <v>16337.77</v>
      </c>
      <c r="H15" s="51">
        <f ca="1">SUMIFS(OFFSET(Spaces_Ref,1,Spaces_Sum!$M$50,2000),OFFSET(Spaces_Ref,1,Spaces_Sum!$D$50,2000),Proj_Sum!$C15,OFFSET(Spaces_Ref,1,Spaces_Sum!$AM$50,2000),1,OFFSET(Spaces_Ref,1,Spaces_Sum!$AJ$50,2000),1)</f>
        <v>0</v>
      </c>
      <c r="I15" s="51">
        <f ca="1">SUMIFS(OFFSET(Spaces_Ref,1,Spaces_Sum!$N$50,2000),OFFSET(Spaces_Ref,1,Spaces_Sum!$D$50,2000),Proj_Sum!$C15,OFFSET(Spaces_Ref,1,Spaces_Sum!$AM$50,2000),1,OFFSET(Spaces_Ref,1,Spaces_Sum!$AJ$50,2000),1)</f>
        <v>0</v>
      </c>
      <c r="J15" s="51">
        <f ca="1">SUMIFS(OFFSET(Spaces_Ref,1,Spaces_Sum!$O$50,2000),OFFSET(Spaces_Ref,1,Spaces_Sum!$D$50,2000),Proj_Sum!$C15)+SUMIFS(OFFSET(Spaces_Ref,1,Spaces_Sum!$S$50,2000),OFFSET(Spaces_Ref,1,Spaces_Sum!$D$50,2000),Proj_Sum!$C15,OFFSET(Spaces_Ref,1,Spaces_Sum!$AN$50,2000),1)</f>
        <v>0</v>
      </c>
      <c r="K15" s="51">
        <f ca="1">SUMIFS(OFFSET(Spaces_Ref,1,Spaces_Sum!$P$50,2000),OFFSET(Spaces_Ref,1,Spaces_Sum!$D$50,2000),Proj_Sum!$C15,OFFSET(Spaces_Ref,1,Spaces_Sum!$AM$50,2000),1,OFFSET(Spaces_Ref,1,Spaces_Sum!$AN$50,2000),1)</f>
        <v>0</v>
      </c>
      <c r="L15" s="51">
        <f ca="1">SUMIFS(OFFSET(Spaces_Ref,1,Spaces_Sum!$M$50,2000),OFFSET(Spaces_Ref,1,Spaces_Sum!$D$50,2000),Proj_Sum!$C15,OFFSET(Spaces_Ref,1,Spaces_Sum!$AM$50,2000),1,OFFSET(Spaces_Ref,1,Spaces_Sum!$AJ$50,2000),0)</f>
        <v>1633.7765999999999</v>
      </c>
      <c r="M15" s="51">
        <f ca="1">SUMIFS(OFFSET(Spaces_Ref,1,Spaces_Sum!$N$50,2000),OFFSET(Spaces_Ref,1,Spaces_Sum!$D$50,2000),Proj_Sum!$C15,OFFSET(Spaces_Ref,1,Spaces_Sum!$AM$50,2000),1,OFFSET(Spaces_Ref,1,Spaces_Sum!$AJ$50,2000),0)</f>
        <v>16337.77</v>
      </c>
      <c r="N15" s="51">
        <f ca="1">SUMIFS(OFFSET(Spaces_Ref,1,Spaces_Sum!$Q$50,2000),OFFSET(Spaces_Ref,1,Spaces_Sum!$D$50,2000),Proj_Sum!$C15,OFFSET(Spaces_Ref,1,Spaces_Sum!$AN$50,2000),0)+SUMIFS(OFFSET(Spaces_Ref,1,Spaces_Sum!$S$50,2000),OFFSET(Spaces_Ref,1,Spaces_Sum!$D$50,2000),Proj_Sum!$C15,OFFSET(Spaces_Ref,1,Spaces_Sum!$AN$50,2000),0)</f>
        <v>0</v>
      </c>
      <c r="O15" s="51">
        <f ca="1">SUMIFS(OFFSET(Spaces_Ref,1,Spaces_Sum!$R$50,2000),OFFSET(Spaces_Ref,1,Spaces_Sum!$D$50,2000),Proj_Sum!$C15,OFFSET(Spaces_Ref,1,Spaces_Sum!$AM$50,2000),1,OFFSET(Spaces_Ref,1,Spaces_Sum!$AN$50,2000),0)+SUMIFS(OFFSET(Spaces_Ref,1,Spaces_Sum!$T$50,2000),OFFSET(Spaces_Ref,1,Spaces_Sum!$D$50,2000),Proj_Sum!$C15,OFFSET(Spaces_Ref,1,Spaces_Sum!$AM$50,2000),1,OFFSET(Spaces_Ref,1,Spaces_Sum!$AN$50,2000),0)</f>
        <v>0</v>
      </c>
      <c r="P15" s="51">
        <f ca="1">H15+L15</f>
        <v>1633.7765999999999</v>
      </c>
      <c r="Q15" s="2">
        <f ca="1">I15+M15</f>
        <v>16337.77</v>
      </c>
      <c r="R15" s="2">
        <f ca="1">J15+N15</f>
        <v>0</v>
      </c>
      <c r="S15" s="52">
        <f ca="1">K15+O15</f>
        <v>0</v>
      </c>
      <c r="AL15" s="13"/>
    </row>
    <row r="16" spans="2:38" x14ac:dyDescent="0.3">
      <c r="C16" s="1" t="s">
        <v>2059</v>
      </c>
      <c r="D16" s="1">
        <v>1</v>
      </c>
      <c r="E16" s="2384"/>
      <c r="F16" s="663">
        <f ca="1">SUMIFS(OFFSET(Spaces_Ref,1,Spaces_Sum!$M$50,2000),OFFSET(Spaces_Ref,1,Spaces_Sum!$D$50,2000),Proj_Sum!$C16)</f>
        <v>14796.108599999998</v>
      </c>
      <c r="G16" s="663">
        <f ca="1">SUMIFS(OFFSET(Spaces_Ref,1,Spaces_Sum!$N$50,2000),OFFSET(Spaces_Ref,1,Spaces_Sum!$D$50,2000),Proj_Sum!$C16)</f>
        <v>242361.52000000002</v>
      </c>
      <c r="H16" s="51">
        <f ca="1">SUMIFS(OFFSET(Spaces_Ref,1,Spaces_Sum!$M$50,2000),OFFSET(Spaces_Ref,1,Spaces_Sum!$D$50,2000),Proj_Sum!$C16,OFFSET(Spaces_Ref,1,Spaces_Sum!$AM$50,2000),1,OFFSET(Spaces_Ref,1,Spaces_Sum!$AJ$50,2000),1)</f>
        <v>0</v>
      </c>
      <c r="I16" s="51">
        <f ca="1">SUMIFS(OFFSET(Spaces_Ref,1,Spaces_Sum!$N$50,2000),OFFSET(Spaces_Ref,1,Spaces_Sum!$D$50,2000),Proj_Sum!$C16,OFFSET(Spaces_Ref,1,Spaces_Sum!$AM$50,2000),1,OFFSET(Spaces_Ref,1,Spaces_Sum!$AJ$50,2000),1)</f>
        <v>0</v>
      </c>
      <c r="J16" s="51">
        <f ca="1">SUMIFS(OFFSET(Spaces_Ref,1,Spaces_Sum!$O$50,2000),OFFSET(Spaces_Ref,1,Spaces_Sum!$D$50,2000),Proj_Sum!$C16)+SUMIFS(OFFSET(Spaces_Ref,1,Spaces_Sum!$S$50,2000),OFFSET(Spaces_Ref,1,Spaces_Sum!$D$50,2000),Proj_Sum!$C16,OFFSET(Spaces_Ref,1,Spaces_Sum!$AN$50,2000),1)</f>
        <v>0</v>
      </c>
      <c r="K16" s="51">
        <f ca="1">SUMIFS(OFFSET(Spaces_Ref,1,Spaces_Sum!$P$50,2000),OFFSET(Spaces_Ref,1,Spaces_Sum!$D$50,2000),Proj_Sum!$C16,OFFSET(Spaces_Ref,1,Spaces_Sum!$AM$50,2000),1,OFFSET(Spaces_Ref,1,Spaces_Sum!$AN$50,2000),1)</f>
        <v>0</v>
      </c>
      <c r="L16" s="51">
        <f ca="1">SUMIFS(OFFSET(Spaces_Ref,1,Spaces_Sum!$M$50,2000),OFFSET(Spaces_Ref,1,Spaces_Sum!$D$50,2000),Proj_Sum!$C16,OFFSET(Spaces_Ref,1,Spaces_Sum!$AM$50,2000),1,OFFSET(Spaces_Ref,1,Spaces_Sum!$AJ$50,2000),0)</f>
        <v>14796.108599999998</v>
      </c>
      <c r="M16" s="51">
        <f ca="1">SUMIFS(OFFSET(Spaces_Ref,1,Spaces_Sum!$N$50,2000),OFFSET(Spaces_Ref,1,Spaces_Sum!$D$50,2000),Proj_Sum!$C16,OFFSET(Spaces_Ref,1,Spaces_Sum!$AM$50,2000),1,OFFSET(Spaces_Ref,1,Spaces_Sum!$AJ$50,2000),0)</f>
        <v>236737.76</v>
      </c>
      <c r="N16" s="51">
        <f ca="1">SUMIFS(OFFSET(Spaces_Ref,1,Spaces_Sum!$Q$50,2000),OFFSET(Spaces_Ref,1,Spaces_Sum!$D$50,2000),Proj_Sum!$C16,OFFSET(Spaces_Ref,1,Spaces_Sum!$AN$50,2000),0)+SUMIFS(OFFSET(Spaces_Ref,1,Spaces_Sum!$S$50,2000),OFFSET(Spaces_Ref,1,Spaces_Sum!$D$50,2000),Proj_Sum!$C16,OFFSET(Spaces_Ref,1,Spaces_Sum!$AN$50,2000),0)</f>
        <v>13488.9</v>
      </c>
      <c r="O16" s="51">
        <f ca="1">SUMIFS(OFFSET(Spaces_Ref,1,Spaces_Sum!$R$50,2000),OFFSET(Spaces_Ref,1,Spaces_Sum!$D$50,2000),Proj_Sum!$C16,OFFSET(Spaces_Ref,1,Spaces_Sum!$AM$50,2000),1,OFFSET(Spaces_Ref,1,Spaces_Sum!$AN$50,2000),0)+SUMIFS(OFFSET(Spaces_Ref,1,Spaces_Sum!$T$50,2000),OFFSET(Spaces_Ref,1,Spaces_Sum!$D$50,2000),Proj_Sum!$C16,OFFSET(Spaces_Ref,1,Spaces_Sum!$AM$50,2000),1,OFFSET(Spaces_Ref,1,Spaces_Sum!$AN$50,2000),0)</f>
        <v>3481.6</v>
      </c>
      <c r="P16" s="51">
        <f t="shared" ref="P16:P20" ca="1" si="0">H16+L16</f>
        <v>14796.108599999998</v>
      </c>
      <c r="Q16" s="2">
        <f t="shared" ref="Q16:Q20" ca="1" si="1">I16+M16</f>
        <v>236737.76</v>
      </c>
      <c r="R16" s="2">
        <f t="shared" ref="R16:R20" ca="1" si="2">J16+N16</f>
        <v>13488.9</v>
      </c>
      <c r="S16" s="52">
        <f t="shared" ref="S16:S20" ca="1" si="3">K16+O16</f>
        <v>3481.6</v>
      </c>
    </row>
    <row r="17" spans="2:19" x14ac:dyDescent="0.3">
      <c r="C17" s="1" t="s">
        <v>859</v>
      </c>
      <c r="D17" s="1">
        <v>1</v>
      </c>
      <c r="E17" s="2384"/>
      <c r="F17" s="663">
        <f ca="1">SUMIFS(OFFSET(Spaces_Ref,1,Spaces_Sum!$M$50,2000),OFFSET(Spaces_Ref,1,Spaces_Sum!$D$50,2000),Proj_Sum!$C17)</f>
        <v>19468.594499999999</v>
      </c>
      <c r="G17" s="663">
        <f ca="1">SUMIFS(OFFSET(Spaces_Ref,1,Spaces_Sum!$N$50,2000),OFFSET(Spaces_Ref,1,Spaces_Sum!$D$50,2000),Proj_Sum!$C17)</f>
        <v>194685.94</v>
      </c>
      <c r="H17" s="51">
        <f ca="1">SUMIFS(OFFSET(Spaces_Ref,1,Spaces_Sum!$M$50,2000),OFFSET(Spaces_Ref,1,Spaces_Sum!$D$50,2000),Proj_Sum!$C17,OFFSET(Spaces_Ref,1,Spaces_Sum!$AM$50,2000),1,OFFSET(Spaces_Ref,1,Spaces_Sum!$AJ$50,2000),1)</f>
        <v>15229.326900000002</v>
      </c>
      <c r="I17" s="51">
        <f ca="1">SUMIFS(OFFSET(Spaces_Ref,1,Spaces_Sum!$N$50,2000),OFFSET(Spaces_Ref,1,Spaces_Sum!$D$50,2000),Proj_Sum!$C17,OFFSET(Spaces_Ref,1,Spaces_Sum!$AM$50,2000),1,OFFSET(Spaces_Ref,1,Spaces_Sum!$AJ$50,2000),1)</f>
        <v>152293.23000000001</v>
      </c>
      <c r="J17" s="51">
        <f ca="1">SUMIFS(OFFSET(Spaces_Ref,1,Spaces_Sum!$O$50,2000),OFFSET(Spaces_Ref,1,Spaces_Sum!$D$50,2000),Proj_Sum!$C17)+SUMIFS(OFFSET(Spaces_Ref,1,Spaces_Sum!$S$50,2000),OFFSET(Spaces_Ref,1,Spaces_Sum!$D$50,2000),Proj_Sum!$C17,OFFSET(Spaces_Ref,1,Spaces_Sum!$AN$50,2000),1)</f>
        <v>6848.4</v>
      </c>
      <c r="K17" s="51">
        <f ca="1">SUMIFS(OFFSET(Spaces_Ref,1,Spaces_Sum!$P$50,2000),OFFSET(Spaces_Ref,1,Spaces_Sum!$D$50,2000),Proj_Sum!$C17,OFFSET(Spaces_Ref,1,Spaces_Sum!$AM$50,2000),1,OFFSET(Spaces_Ref,1,Spaces_Sum!$AN$50,2000),1)</f>
        <v>1339.4</v>
      </c>
      <c r="L17" s="51">
        <f ca="1">SUMIFS(OFFSET(Spaces_Ref,1,Spaces_Sum!$M$50,2000),OFFSET(Spaces_Ref,1,Spaces_Sum!$D$50,2000),Proj_Sum!$C17,OFFSET(Spaces_Ref,1,Spaces_Sum!$AM$50,2000),1,OFFSET(Spaces_Ref,1,Spaces_Sum!$AJ$50,2000),0)</f>
        <v>4239.2676000000001</v>
      </c>
      <c r="M17" s="51">
        <f ca="1">SUMIFS(OFFSET(Spaces_Ref,1,Spaces_Sum!$N$50,2000),OFFSET(Spaces_Ref,1,Spaces_Sum!$D$50,2000),Proj_Sum!$C17,OFFSET(Spaces_Ref,1,Spaces_Sum!$AM$50,2000),1,OFFSET(Spaces_Ref,1,Spaces_Sum!$AJ$50,2000),0)</f>
        <v>42392.71</v>
      </c>
      <c r="N17" s="51">
        <f ca="1">SUMIFS(OFFSET(Spaces_Ref,1,Spaces_Sum!$Q$50,2000),OFFSET(Spaces_Ref,1,Spaces_Sum!$D$50,2000),Proj_Sum!$C17,OFFSET(Spaces_Ref,1,Spaces_Sum!$AN$50,2000),0)+SUMIFS(OFFSET(Spaces_Ref,1,Spaces_Sum!$S$50,2000),OFFSET(Spaces_Ref,1,Spaces_Sum!$D$50,2000),Proj_Sum!$C17,OFFSET(Spaces_Ref,1,Spaces_Sum!$AN$50,2000),0)</f>
        <v>1067.2</v>
      </c>
      <c r="O17" s="51">
        <f ca="1">SUMIFS(OFFSET(Spaces_Ref,1,Spaces_Sum!$R$50,2000),OFFSET(Spaces_Ref,1,Spaces_Sum!$D$50,2000),Proj_Sum!$C17,OFFSET(Spaces_Ref,1,Spaces_Sum!$AM$50,2000),1,OFFSET(Spaces_Ref,1,Spaces_Sum!$AN$50,2000),0)+SUMIFS(OFFSET(Spaces_Ref,1,Spaces_Sum!$T$50,2000),OFFSET(Spaces_Ref,1,Spaces_Sum!$D$50,2000),Proj_Sum!$C17,OFFSET(Spaces_Ref,1,Spaces_Sum!$AM$50,2000),1,OFFSET(Spaces_Ref,1,Spaces_Sum!$AN$50,2000),0)</f>
        <v>69.300000000000011</v>
      </c>
      <c r="P17" s="51">
        <f t="shared" ca="1" si="0"/>
        <v>19468.594500000003</v>
      </c>
      <c r="Q17" s="2">
        <f t="shared" ca="1" si="1"/>
        <v>194685.94</v>
      </c>
      <c r="R17" s="2">
        <f t="shared" ca="1" si="2"/>
        <v>7915.5999999999995</v>
      </c>
      <c r="S17" s="52">
        <f t="shared" ca="1" si="3"/>
        <v>1408.7</v>
      </c>
    </row>
    <row r="18" spans="2:19" x14ac:dyDescent="0.3">
      <c r="C18" s="1" t="s">
        <v>2060</v>
      </c>
      <c r="D18" s="1">
        <v>3</v>
      </c>
      <c r="E18" s="2384"/>
      <c r="F18" s="663">
        <f ca="1">SUMIFS(OFFSET(Spaces_Ref,1,Spaces_Sum!$M$50,2000),OFFSET(Spaces_Ref,1,Spaces_Sum!$D$50,2000),Proj_Sum!$C18)</f>
        <v>20670.836799999997</v>
      </c>
      <c r="G18" s="663">
        <f ca="1">SUMIFS(OFFSET(Spaces_Ref,1,Spaces_Sum!$N$50,2000),OFFSET(Spaces_Ref,1,Spaces_Sum!$D$50,2000),Proj_Sum!$C18)</f>
        <v>206708.33</v>
      </c>
      <c r="H18" s="51">
        <f ca="1">SUMIFS(OFFSET(Spaces_Ref,1,Spaces_Sum!$M$50,2000),OFFSET(Spaces_Ref,1,Spaces_Sum!$D$50,2000),Proj_Sum!$C18,OFFSET(Spaces_Ref,1,Spaces_Sum!$AM$50,2000),1,OFFSET(Spaces_Ref,1,Spaces_Sum!$AJ$50,2000),1)</f>
        <v>16952.692599999998</v>
      </c>
      <c r="I18" s="51">
        <f ca="1">SUMIFS(OFFSET(Spaces_Ref,1,Spaces_Sum!$N$50,2000),OFFSET(Spaces_Ref,1,Spaces_Sum!$D$50,2000),Proj_Sum!$C18,OFFSET(Spaces_Ref,1,Spaces_Sum!$AM$50,2000),1,OFFSET(Spaces_Ref,1,Spaces_Sum!$AJ$50,2000),1)</f>
        <v>169526.85</v>
      </c>
      <c r="J18" s="51">
        <f ca="1">SUMIFS(OFFSET(Spaces_Ref,1,Spaces_Sum!$O$50,2000),OFFSET(Spaces_Ref,1,Spaces_Sum!$D$50,2000),Proj_Sum!$C18)+SUMIFS(OFFSET(Spaces_Ref,1,Spaces_Sum!$S$50,2000),OFFSET(Spaces_Ref,1,Spaces_Sum!$D$50,2000),Proj_Sum!$C18,OFFSET(Spaces_Ref,1,Spaces_Sum!$AN$50,2000),1)</f>
        <v>8021.9999999999991</v>
      </c>
      <c r="K18" s="51">
        <f ca="1">SUMIFS(OFFSET(Spaces_Ref,1,Spaces_Sum!$P$50,2000),OFFSET(Spaces_Ref,1,Spaces_Sum!$D$50,2000),Proj_Sum!$C18,OFFSET(Spaces_Ref,1,Spaces_Sum!$AM$50,2000),1,OFFSET(Spaces_Ref,1,Spaces_Sum!$AN$50,2000),1)</f>
        <v>1604.4</v>
      </c>
      <c r="L18" s="51">
        <f ca="1">SUMIFS(OFFSET(Spaces_Ref,1,Spaces_Sum!$M$50,2000),OFFSET(Spaces_Ref,1,Spaces_Sum!$D$50,2000),Proj_Sum!$C18,OFFSET(Spaces_Ref,1,Spaces_Sum!$AM$50,2000),1,OFFSET(Spaces_Ref,1,Spaces_Sum!$AJ$50,2000),0)</f>
        <v>3718.1442000000002</v>
      </c>
      <c r="M18" s="51">
        <f ca="1">SUMIFS(OFFSET(Spaces_Ref,1,Spaces_Sum!$N$50,2000),OFFSET(Spaces_Ref,1,Spaces_Sum!$D$50,2000),Proj_Sum!$C18,OFFSET(Spaces_Ref,1,Spaces_Sum!$AM$50,2000),1,OFFSET(Spaces_Ref,1,Spaces_Sum!$AJ$50,2000),0)</f>
        <v>37181.480000000003</v>
      </c>
      <c r="N18" s="51">
        <f ca="1">SUMIFS(OFFSET(Spaces_Ref,1,Spaces_Sum!$Q$50,2000),OFFSET(Spaces_Ref,1,Spaces_Sum!$D$50,2000),Proj_Sum!$C18,OFFSET(Spaces_Ref,1,Spaces_Sum!$AN$50,2000),0)+SUMIFS(OFFSET(Spaces_Ref,1,Spaces_Sum!$S$50,2000),OFFSET(Spaces_Ref,1,Spaces_Sum!$D$50,2000),Proj_Sum!$C18,OFFSET(Spaces_Ref,1,Spaces_Sum!$AN$50,2000),0)</f>
        <v>185.4</v>
      </c>
      <c r="O18" s="51">
        <f ca="1">SUMIFS(OFFSET(Spaces_Ref,1,Spaces_Sum!$R$50,2000),OFFSET(Spaces_Ref,1,Spaces_Sum!$D$50,2000),Proj_Sum!$C18,OFFSET(Spaces_Ref,1,Spaces_Sum!$AM$50,2000),1,OFFSET(Spaces_Ref,1,Spaces_Sum!$AN$50,2000),0)+SUMIFS(OFFSET(Spaces_Ref,1,Spaces_Sum!$T$50,2000),OFFSET(Spaces_Ref,1,Spaces_Sum!$D$50,2000),Proj_Sum!$C18,OFFSET(Spaces_Ref,1,Spaces_Sum!$AM$50,2000),1,OFFSET(Spaces_Ref,1,Spaces_Sum!$AN$50,2000),0)</f>
        <v>37.1</v>
      </c>
      <c r="P18" s="51">
        <f t="shared" ca="1" si="0"/>
        <v>20670.836799999997</v>
      </c>
      <c r="Q18" s="2">
        <f t="shared" ca="1" si="1"/>
        <v>206708.33000000002</v>
      </c>
      <c r="R18" s="2">
        <f t="shared" ca="1" si="2"/>
        <v>8207.4</v>
      </c>
      <c r="S18" s="52">
        <f t="shared" ca="1" si="3"/>
        <v>1641.5</v>
      </c>
    </row>
    <row r="19" spans="2:19" x14ac:dyDescent="0.3">
      <c r="C19" s="1" t="s">
        <v>889</v>
      </c>
      <c r="D19" s="1">
        <v>1</v>
      </c>
      <c r="E19" s="2384"/>
      <c r="F19" s="663">
        <f ca="1">SUMIFS(OFFSET(Spaces_Ref,1,Spaces_Sum!$M$50,2000),OFFSET(Spaces_Ref,1,Spaces_Sum!$D$50,2000),Proj_Sum!$C19)</f>
        <v>20670.836799999997</v>
      </c>
      <c r="G19" s="663">
        <f ca="1">SUMIFS(OFFSET(Spaces_Ref,1,Spaces_Sum!$N$50,2000),OFFSET(Spaces_Ref,1,Spaces_Sum!$D$50,2000),Proj_Sum!$C19)</f>
        <v>206708.33</v>
      </c>
      <c r="H19" s="51">
        <f ca="1">SUMIFS(OFFSET(Spaces_Ref,1,Spaces_Sum!$M$50,2000),OFFSET(Spaces_Ref,1,Spaces_Sum!$D$50,2000),Proj_Sum!$C19,OFFSET(Spaces_Ref,1,Spaces_Sum!$AM$50,2000),1,OFFSET(Spaces_Ref,1,Spaces_Sum!$AJ$50,2000),1)</f>
        <v>16952.692599999998</v>
      </c>
      <c r="I19" s="51">
        <f ca="1">SUMIFS(OFFSET(Spaces_Ref,1,Spaces_Sum!$N$50,2000),OFFSET(Spaces_Ref,1,Spaces_Sum!$D$50,2000),Proj_Sum!$C19,OFFSET(Spaces_Ref,1,Spaces_Sum!$AM$50,2000),1,OFFSET(Spaces_Ref,1,Spaces_Sum!$AJ$50,2000),1)</f>
        <v>169526.85</v>
      </c>
      <c r="J19" s="51">
        <f ca="1">SUMIFS(OFFSET(Spaces_Ref,1,Spaces_Sum!$O$50,2000),OFFSET(Spaces_Ref,1,Spaces_Sum!$D$50,2000),Proj_Sum!$C19)+SUMIFS(OFFSET(Spaces_Ref,1,Spaces_Sum!$S$50,2000),OFFSET(Spaces_Ref,1,Spaces_Sum!$D$50,2000),Proj_Sum!$C19,OFFSET(Spaces_Ref,1,Spaces_Sum!$AN$50,2000),1)</f>
        <v>8021.9999999999991</v>
      </c>
      <c r="K19" s="51">
        <f ca="1">SUMIFS(OFFSET(Spaces_Ref,1,Spaces_Sum!$P$50,2000),OFFSET(Spaces_Ref,1,Spaces_Sum!$D$50,2000),Proj_Sum!$C19,OFFSET(Spaces_Ref,1,Spaces_Sum!$AM$50,2000),1,OFFSET(Spaces_Ref,1,Spaces_Sum!$AN$50,2000),1)</f>
        <v>1604.4</v>
      </c>
      <c r="L19" s="51">
        <f ca="1">SUMIFS(OFFSET(Spaces_Ref,1,Spaces_Sum!$M$50,2000),OFFSET(Spaces_Ref,1,Spaces_Sum!$D$50,2000),Proj_Sum!$C19,OFFSET(Spaces_Ref,1,Spaces_Sum!$AM$50,2000),1,OFFSET(Spaces_Ref,1,Spaces_Sum!$AJ$50,2000),0)</f>
        <v>3718.1442000000002</v>
      </c>
      <c r="M19" s="51">
        <f ca="1">SUMIFS(OFFSET(Spaces_Ref,1,Spaces_Sum!$N$50,2000),OFFSET(Spaces_Ref,1,Spaces_Sum!$D$50,2000),Proj_Sum!$C19,OFFSET(Spaces_Ref,1,Spaces_Sum!$AM$50,2000),1,OFFSET(Spaces_Ref,1,Spaces_Sum!$AJ$50,2000),0)</f>
        <v>37181.480000000003</v>
      </c>
      <c r="N19" s="51">
        <f ca="1">SUMIFS(OFFSET(Spaces_Ref,1,Spaces_Sum!$Q$50,2000),OFFSET(Spaces_Ref,1,Spaces_Sum!$D$50,2000),Proj_Sum!$C19,OFFSET(Spaces_Ref,1,Spaces_Sum!$AN$50,2000),0)+SUMIFS(OFFSET(Spaces_Ref,1,Spaces_Sum!$S$50,2000),OFFSET(Spaces_Ref,1,Spaces_Sum!$D$50,2000),Proj_Sum!$C19,OFFSET(Spaces_Ref,1,Spaces_Sum!$AN$50,2000),0)</f>
        <v>185.4</v>
      </c>
      <c r="O19" s="51">
        <f ca="1">SUMIFS(OFFSET(Spaces_Ref,1,Spaces_Sum!$R$50,2000),OFFSET(Spaces_Ref,1,Spaces_Sum!$D$50,2000),Proj_Sum!$C19,OFFSET(Spaces_Ref,1,Spaces_Sum!$AM$50,2000),1,OFFSET(Spaces_Ref,1,Spaces_Sum!$AN$50,2000),0)+SUMIFS(OFFSET(Spaces_Ref,1,Spaces_Sum!$T$50,2000),OFFSET(Spaces_Ref,1,Spaces_Sum!$D$50,2000),Proj_Sum!$C19,OFFSET(Spaces_Ref,1,Spaces_Sum!$AM$50,2000),1,OFFSET(Spaces_Ref,1,Spaces_Sum!$AN$50,2000),0)</f>
        <v>37.1</v>
      </c>
      <c r="P19" s="51">
        <f t="shared" ca="1" si="0"/>
        <v>20670.836799999997</v>
      </c>
      <c r="Q19" s="2">
        <f t="shared" ca="1" si="1"/>
        <v>206708.33000000002</v>
      </c>
      <c r="R19" s="2">
        <f t="shared" ca="1" si="2"/>
        <v>8207.4</v>
      </c>
      <c r="S19" s="52">
        <f t="shared" ca="1" si="3"/>
        <v>1641.5</v>
      </c>
    </row>
    <row r="20" spans="2:19" x14ac:dyDescent="0.3">
      <c r="C20" s="1" t="s">
        <v>2061</v>
      </c>
      <c r="D20" s="1">
        <v>1</v>
      </c>
      <c r="E20" s="2384"/>
      <c r="F20" s="663">
        <f ca="1">SUMIFS(OFFSET(Spaces_Ref,1,Spaces_Sum!$M$50,2000),OFFSET(Spaces_Ref,1,Spaces_Sum!$D$50,2000),Proj_Sum!$C20)</f>
        <v>1147.8602000000001</v>
      </c>
      <c r="G20" s="663">
        <f ca="1">SUMIFS(OFFSET(Spaces_Ref,1,Spaces_Sum!$N$50,2000),OFFSET(Spaces_Ref,1,Spaces_Sum!$D$50,2000),Proj_Sum!$C20)</f>
        <v>11478.600000000002</v>
      </c>
      <c r="H20" s="51">
        <f ca="1">SUMIFS(OFFSET(Spaces_Ref,1,Spaces_Sum!$M$50,2000),OFFSET(Spaces_Ref,1,Spaces_Sum!$D$50,2000),Proj_Sum!$C20,OFFSET(Spaces_Ref,1,Spaces_Sum!$AM$50,2000),1,OFFSET(Spaces_Ref,1,Spaces_Sum!$AJ$50,2000),1)</f>
        <v>0</v>
      </c>
      <c r="I20" s="51">
        <f ca="1">SUMIFS(OFFSET(Spaces_Ref,1,Spaces_Sum!$N$50,2000),OFFSET(Spaces_Ref,1,Spaces_Sum!$D$50,2000),Proj_Sum!$C20,OFFSET(Spaces_Ref,1,Spaces_Sum!$AM$50,2000),1,OFFSET(Spaces_Ref,1,Spaces_Sum!$AJ$50,2000),1)</f>
        <v>0</v>
      </c>
      <c r="J20" s="51">
        <f ca="1">SUMIFS(OFFSET(Spaces_Ref,1,Spaces_Sum!$O$50,2000),OFFSET(Spaces_Ref,1,Spaces_Sum!$D$50,2000),Proj_Sum!$C20)+SUMIFS(OFFSET(Spaces_Ref,1,Spaces_Sum!$S$50,2000),OFFSET(Spaces_Ref,1,Spaces_Sum!$D$50,2000),Proj_Sum!$C20,OFFSET(Spaces_Ref,1,Spaces_Sum!$AN$50,2000),1)</f>
        <v>0</v>
      </c>
      <c r="K20" s="51">
        <f ca="1">SUMIFS(OFFSET(Spaces_Ref,1,Spaces_Sum!$P$50,2000),OFFSET(Spaces_Ref,1,Spaces_Sum!$D$50,2000),Proj_Sum!$C20,OFFSET(Spaces_Ref,1,Spaces_Sum!$AM$50,2000),1,OFFSET(Spaces_Ref,1,Spaces_Sum!$AN$50,2000),1)</f>
        <v>0</v>
      </c>
      <c r="L20" s="51">
        <f ca="1">SUMIFS(OFFSET(Spaces_Ref,1,Spaces_Sum!$M$50,2000),OFFSET(Spaces_Ref,1,Spaces_Sum!$D$50,2000),Proj_Sum!$C20,OFFSET(Spaces_Ref,1,Spaces_Sum!$AM$50,2000),1,OFFSET(Spaces_Ref,1,Spaces_Sum!$AJ$50,2000),0)</f>
        <v>1147.8602000000001</v>
      </c>
      <c r="M20" s="51">
        <f ca="1">SUMIFS(OFFSET(Spaces_Ref,1,Spaces_Sum!$N$50,2000),OFFSET(Spaces_Ref,1,Spaces_Sum!$D$50,2000),Proj_Sum!$C20,OFFSET(Spaces_Ref,1,Spaces_Sum!$AM$50,2000),1,OFFSET(Spaces_Ref,1,Spaces_Sum!$AJ$50,2000),0)</f>
        <v>11478.600000000002</v>
      </c>
      <c r="N20" s="51">
        <f ca="1">SUMIFS(OFFSET(Spaces_Ref,1,Spaces_Sum!$Q$50,2000),OFFSET(Spaces_Ref,1,Spaces_Sum!$D$50,2000),Proj_Sum!$C20,OFFSET(Spaces_Ref,1,Spaces_Sum!$AN$50,2000),0)+SUMIFS(OFFSET(Spaces_Ref,1,Spaces_Sum!$S$50,2000),OFFSET(Spaces_Ref,1,Spaces_Sum!$D$50,2000),Proj_Sum!$C20,OFFSET(Spaces_Ref,1,Spaces_Sum!$AN$50,2000),0)</f>
        <v>2091.1999999999998</v>
      </c>
      <c r="O20" s="51">
        <f ca="1">SUMIFS(OFFSET(Spaces_Ref,1,Spaces_Sum!$R$50,2000),OFFSET(Spaces_Ref,1,Spaces_Sum!$D$50,2000),Proj_Sum!$C20,OFFSET(Spaces_Ref,1,Spaces_Sum!$AM$50,2000),1,OFFSET(Spaces_Ref,1,Spaces_Sum!$AN$50,2000),0)+SUMIFS(OFFSET(Spaces_Ref,1,Spaces_Sum!$T$50,2000),OFFSET(Spaces_Ref,1,Spaces_Sum!$D$50,2000),Proj_Sum!$C20,OFFSET(Spaces_Ref,1,Spaces_Sum!$AM$50,2000),1,OFFSET(Spaces_Ref,1,Spaces_Sum!$AN$50,2000),0)</f>
        <v>0</v>
      </c>
      <c r="P20" s="51">
        <f t="shared" ca="1" si="0"/>
        <v>1147.8602000000001</v>
      </c>
      <c r="Q20" s="2">
        <f t="shared" ca="1" si="1"/>
        <v>11478.600000000002</v>
      </c>
      <c r="R20" s="2">
        <f t="shared" ca="1" si="2"/>
        <v>2091.1999999999998</v>
      </c>
      <c r="S20" s="52">
        <f t="shared" ca="1" si="3"/>
        <v>0</v>
      </c>
    </row>
    <row r="21" spans="2:19" x14ac:dyDescent="0.3">
      <c r="C21" s="1" t="s">
        <v>2062</v>
      </c>
      <c r="D21" s="1"/>
      <c r="E21" s="2384"/>
      <c r="F21" s="663">
        <f ca="1">SUMIFS(OFFSET(Spaces_Ref,1,Spaces_Sum!$M$50,2000),OFFSET(Spaces_Ref,1,Spaces_Sum!$D$50,2000),Proj_Sum!$C21)</f>
        <v>0</v>
      </c>
      <c r="G21" s="663">
        <f ca="1">SUMIFS(OFFSET(Spaces_Ref,1,Spaces_Sum!$N$50,2000),OFFSET(Spaces_Ref,1,Spaces_Sum!$D$50,2000),Proj_Sum!$C21)</f>
        <v>0</v>
      </c>
      <c r="H21" s="51">
        <f ca="1">SUMIFS(OFFSET(Spaces_Ref,1,Spaces_Sum!$M$50,2000),OFFSET(Spaces_Ref,1,Spaces_Sum!$D$50,2000),Proj_Sum!$C21,OFFSET(Spaces_Ref,1,Spaces_Sum!$AM$50,2000),1,OFFSET(Spaces_Ref,1,Spaces_Sum!$AJ$50,2000),1)</f>
        <v>0</v>
      </c>
      <c r="I21" s="51">
        <f ca="1">SUMIFS(OFFSET(Spaces_Ref,1,Spaces_Sum!$N$50,2000),OFFSET(Spaces_Ref,1,Spaces_Sum!$D$50,2000),Proj_Sum!$C21,OFFSET(Spaces_Ref,1,Spaces_Sum!$AM$50,2000),1,OFFSET(Spaces_Ref,1,Spaces_Sum!$AJ$50,2000),1)</f>
        <v>0</v>
      </c>
      <c r="J21" s="51">
        <f ca="1">SUMIFS(OFFSET(Spaces_Ref,1,Spaces_Sum!$O$50,2000),OFFSET(Spaces_Ref,1,Spaces_Sum!$D$50,2000),Proj_Sum!$C21)+SUMIFS(OFFSET(Spaces_Ref,1,Spaces_Sum!$S$50,2000),OFFSET(Spaces_Ref,1,Spaces_Sum!$D$50,2000),Proj_Sum!$C21,OFFSET(Spaces_Ref,1,Spaces_Sum!$AN$50,2000),1)</f>
        <v>0</v>
      </c>
      <c r="K21" s="51">
        <f ca="1">SUMIFS(OFFSET(Spaces_Ref,1,Spaces_Sum!$P$50,2000),OFFSET(Spaces_Ref,1,Spaces_Sum!$D$50,2000),Proj_Sum!$C21,OFFSET(Spaces_Ref,1,Spaces_Sum!$AM$50,2000),1,OFFSET(Spaces_Ref,1,Spaces_Sum!$AN$50,2000),1)</f>
        <v>0</v>
      </c>
      <c r="L21" s="51">
        <f ca="1">SUMIFS(OFFSET(Spaces_Ref,1,Spaces_Sum!$M$50,2000),OFFSET(Spaces_Ref,1,Spaces_Sum!$D$50,2000),Proj_Sum!$C21,OFFSET(Spaces_Ref,1,Spaces_Sum!$AM$50,2000),1,OFFSET(Spaces_Ref,1,Spaces_Sum!$AJ$50,2000),0)</f>
        <v>0</v>
      </c>
      <c r="M21" s="51">
        <f ca="1">SUMIFS(OFFSET(Spaces_Ref,1,Spaces_Sum!$N$50,2000),OFFSET(Spaces_Ref,1,Spaces_Sum!$D$50,2000),Proj_Sum!$C21,OFFSET(Spaces_Ref,1,Spaces_Sum!$AM$50,2000),1,OFFSET(Spaces_Ref,1,Spaces_Sum!$AJ$50,2000),0)</f>
        <v>0</v>
      </c>
      <c r="N21" s="51">
        <f ca="1">SUMIFS(OFFSET(Spaces_Ref,1,Spaces_Sum!$Q$50,2000),OFFSET(Spaces_Ref,1,Spaces_Sum!$D$50,2000),Proj_Sum!$C21,OFFSET(Spaces_Ref,1,Spaces_Sum!$AN$50,2000),0)+SUMIFS(OFFSET(Spaces_Ref,1,Spaces_Sum!$S$50,2000),OFFSET(Spaces_Ref,1,Spaces_Sum!$D$50,2000),Proj_Sum!$C21,OFFSET(Spaces_Ref,1,Spaces_Sum!$AN$50,2000),0)</f>
        <v>0</v>
      </c>
      <c r="O21" s="51">
        <f ca="1">SUMIFS(OFFSET(Spaces_Ref,1,Spaces_Sum!$R$50,2000),OFFSET(Spaces_Ref,1,Spaces_Sum!$D$50,2000),Proj_Sum!$C21,OFFSET(Spaces_Ref,1,Spaces_Sum!$AM$50,2000),1,OFFSET(Spaces_Ref,1,Spaces_Sum!$AN$50,2000),0)+SUMIFS(OFFSET(Spaces_Ref,1,Spaces_Sum!$T$50,2000),OFFSET(Spaces_Ref,1,Spaces_Sum!$D$50,2000),Proj_Sum!$C21,OFFSET(Spaces_Ref,1,Spaces_Sum!$AM$50,2000),1,OFFSET(Spaces_Ref,1,Spaces_Sum!$AN$50,2000),0)</f>
        <v>0</v>
      </c>
      <c r="P21" s="51">
        <f t="shared" ref="P21" ca="1" si="4">H21+L21</f>
        <v>0</v>
      </c>
      <c r="Q21" s="2">
        <f t="shared" ref="Q21" ca="1" si="5">I21+M21</f>
        <v>0</v>
      </c>
      <c r="R21" s="2">
        <f t="shared" ref="R21" ca="1" si="6">J21+N21</f>
        <v>0</v>
      </c>
      <c r="S21" s="52">
        <f t="shared" ref="S21" ca="1" si="7">K21+O21</f>
        <v>0</v>
      </c>
    </row>
    <row r="22" spans="2:19" x14ac:dyDescent="0.3">
      <c r="C22" s="1" t="s">
        <v>2062</v>
      </c>
      <c r="D22" s="1"/>
      <c r="E22" s="2384"/>
      <c r="F22" s="663">
        <f ca="1">SUMIFS(OFFSET(Spaces_Ref,1,Spaces_Sum!$M$50,2000),OFFSET(Spaces_Ref,1,Spaces_Sum!$D$50,2000),Proj_Sum!$C22)</f>
        <v>0</v>
      </c>
      <c r="G22" s="663">
        <f ca="1">SUMIFS(OFFSET(Spaces_Ref,1,Spaces_Sum!$N$50,2000),OFFSET(Spaces_Ref,1,Spaces_Sum!$D$50,2000),Proj_Sum!$C22)</f>
        <v>0</v>
      </c>
      <c r="H22" s="51">
        <f ca="1">SUMIFS(OFFSET(Spaces_Ref,1,Spaces_Sum!$M$50,2000),OFFSET(Spaces_Ref,1,Spaces_Sum!$D$50,2000),Proj_Sum!$C22,OFFSET(Spaces_Ref,1,Spaces_Sum!$AM$50,2000),1,OFFSET(Spaces_Ref,1,Spaces_Sum!$AJ$50,2000),1)</f>
        <v>0</v>
      </c>
      <c r="I22" s="51">
        <f ca="1">SUMIFS(OFFSET(Spaces_Ref,1,Spaces_Sum!$N$50,2000),OFFSET(Spaces_Ref,1,Spaces_Sum!$D$50,2000),Proj_Sum!$C22,OFFSET(Spaces_Ref,1,Spaces_Sum!$AM$50,2000),1,OFFSET(Spaces_Ref,1,Spaces_Sum!$AJ$50,2000),1)</f>
        <v>0</v>
      </c>
      <c r="J22" s="51">
        <f ca="1">SUMIFS(OFFSET(Spaces_Ref,1,Spaces_Sum!$O$50,2000),OFFSET(Spaces_Ref,1,Spaces_Sum!$D$50,2000),Proj_Sum!$C22)+SUMIFS(OFFSET(Spaces_Ref,1,Spaces_Sum!$S$50,2000),OFFSET(Spaces_Ref,1,Spaces_Sum!$D$50,2000),Proj_Sum!$C22,OFFSET(Spaces_Ref,1,Spaces_Sum!$AN$50,2000),1)</f>
        <v>0</v>
      </c>
      <c r="K22" s="51">
        <f ca="1">SUMIFS(OFFSET(Spaces_Ref,1,Spaces_Sum!$P$50,2000),OFFSET(Spaces_Ref,1,Spaces_Sum!$D$50,2000),Proj_Sum!$C22,OFFSET(Spaces_Ref,1,Spaces_Sum!$AM$50,2000),1,OFFSET(Spaces_Ref,1,Spaces_Sum!$AN$50,2000),1)</f>
        <v>0</v>
      </c>
      <c r="L22" s="51">
        <f ca="1">SUMIFS(OFFSET(Spaces_Ref,1,Spaces_Sum!$M$50,2000),OFFSET(Spaces_Ref,1,Spaces_Sum!$D$50,2000),Proj_Sum!$C22,OFFSET(Spaces_Ref,1,Spaces_Sum!$AM$50,2000),1,OFFSET(Spaces_Ref,1,Spaces_Sum!$AJ$50,2000),0)</f>
        <v>0</v>
      </c>
      <c r="M22" s="51">
        <f ca="1">SUMIFS(OFFSET(Spaces_Ref,1,Spaces_Sum!$N$50,2000),OFFSET(Spaces_Ref,1,Spaces_Sum!$D$50,2000),Proj_Sum!$C22,OFFSET(Spaces_Ref,1,Spaces_Sum!$AM$50,2000),1,OFFSET(Spaces_Ref,1,Spaces_Sum!$AJ$50,2000),0)</f>
        <v>0</v>
      </c>
      <c r="N22" s="51">
        <f ca="1">SUMIFS(OFFSET(Spaces_Ref,1,Spaces_Sum!$Q$50,2000),OFFSET(Spaces_Ref,1,Spaces_Sum!$D$50,2000),Proj_Sum!$C22,OFFSET(Spaces_Ref,1,Spaces_Sum!$AN$50,2000),0)+SUMIFS(OFFSET(Spaces_Ref,1,Spaces_Sum!$S$50,2000),OFFSET(Spaces_Ref,1,Spaces_Sum!$D$50,2000),Proj_Sum!$C22,OFFSET(Spaces_Ref,1,Spaces_Sum!$AN$50,2000),0)</f>
        <v>0</v>
      </c>
      <c r="O22" s="51">
        <f ca="1">SUMIFS(OFFSET(Spaces_Ref,1,Spaces_Sum!$R$50,2000),OFFSET(Spaces_Ref,1,Spaces_Sum!$D$50,2000),Proj_Sum!$C22,OFFSET(Spaces_Ref,1,Spaces_Sum!$AM$50,2000),1,OFFSET(Spaces_Ref,1,Spaces_Sum!$AN$50,2000),0)+SUMIFS(OFFSET(Spaces_Ref,1,Spaces_Sum!$T$50,2000),OFFSET(Spaces_Ref,1,Spaces_Sum!$D$50,2000),Proj_Sum!$C22,OFFSET(Spaces_Ref,1,Spaces_Sum!$AM$50,2000),1,OFFSET(Spaces_Ref,1,Spaces_Sum!$AN$50,2000),0)</f>
        <v>0</v>
      </c>
      <c r="P22" s="51">
        <f t="shared" ref="P22:P23" ca="1" si="8">H22+L22</f>
        <v>0</v>
      </c>
      <c r="Q22" s="2">
        <f t="shared" ref="Q22:Q23" ca="1" si="9">I22+M22</f>
        <v>0</v>
      </c>
      <c r="R22" s="2">
        <f t="shared" ref="R22:R23" ca="1" si="10">J22+N22</f>
        <v>0</v>
      </c>
      <c r="S22" s="52">
        <f t="shared" ref="S22:S23" ca="1" si="11">K22+O22</f>
        <v>0</v>
      </c>
    </row>
    <row r="23" spans="2:19" x14ac:dyDescent="0.3">
      <c r="C23" s="1" t="s">
        <v>2062</v>
      </c>
      <c r="D23" s="1"/>
      <c r="E23" s="2384"/>
      <c r="F23" s="663">
        <f ca="1">SUMIFS(OFFSET(Spaces_Ref,1,Spaces_Sum!$M$50,2000),OFFSET(Spaces_Ref,1,Spaces_Sum!$D$50,2000),Proj_Sum!$C23)</f>
        <v>0</v>
      </c>
      <c r="G23" s="663">
        <f ca="1">SUMIFS(OFFSET(Spaces_Ref,1,Spaces_Sum!$N$50,2000),OFFSET(Spaces_Ref,1,Spaces_Sum!$D$50,2000),Proj_Sum!$C23)</f>
        <v>0</v>
      </c>
      <c r="H23" s="51">
        <f ca="1">SUMIFS(OFFSET(Spaces_Ref,1,Spaces_Sum!$M$50,2000),OFFSET(Spaces_Ref,1,Spaces_Sum!$D$50,2000),Proj_Sum!$C23,OFFSET(Spaces_Ref,1,Spaces_Sum!$AM$50,2000),1,OFFSET(Spaces_Ref,1,Spaces_Sum!$AJ$50,2000),1)</f>
        <v>0</v>
      </c>
      <c r="I23" s="51">
        <f ca="1">SUMIFS(OFFSET(Spaces_Ref,1,Spaces_Sum!$N$50,2000),OFFSET(Spaces_Ref,1,Spaces_Sum!$D$50,2000),Proj_Sum!$C23,OFFSET(Spaces_Ref,1,Spaces_Sum!$AM$50,2000),1,OFFSET(Spaces_Ref,1,Spaces_Sum!$AJ$50,2000),1)</f>
        <v>0</v>
      </c>
      <c r="J23" s="51">
        <f ca="1">SUMIFS(OFFSET(Spaces_Ref,1,Spaces_Sum!$O$50,2000),OFFSET(Spaces_Ref,1,Spaces_Sum!$D$50,2000),Proj_Sum!$C23)+SUMIFS(OFFSET(Spaces_Ref,1,Spaces_Sum!$S$50,2000),OFFSET(Spaces_Ref,1,Spaces_Sum!$D$50,2000),Proj_Sum!$C23,OFFSET(Spaces_Ref,1,Spaces_Sum!$AN$50,2000),1)</f>
        <v>0</v>
      </c>
      <c r="K23" s="51">
        <f ca="1">SUMIFS(OFFSET(Spaces_Ref,1,Spaces_Sum!$P$50,2000),OFFSET(Spaces_Ref,1,Spaces_Sum!$D$50,2000),Proj_Sum!$C23,OFFSET(Spaces_Ref,1,Spaces_Sum!$AM$50,2000),1,OFFSET(Spaces_Ref,1,Spaces_Sum!$AN$50,2000),1)</f>
        <v>0</v>
      </c>
      <c r="L23" s="51">
        <f ca="1">SUMIFS(OFFSET(Spaces_Ref,1,Spaces_Sum!$M$50,2000),OFFSET(Spaces_Ref,1,Spaces_Sum!$D$50,2000),Proj_Sum!$C23,OFFSET(Spaces_Ref,1,Spaces_Sum!$AM$50,2000),1,OFFSET(Spaces_Ref,1,Spaces_Sum!$AJ$50,2000),0)</f>
        <v>0</v>
      </c>
      <c r="M23" s="51">
        <f ca="1">SUMIFS(OFFSET(Spaces_Ref,1,Spaces_Sum!$N$50,2000),OFFSET(Spaces_Ref,1,Spaces_Sum!$D$50,2000),Proj_Sum!$C23,OFFSET(Spaces_Ref,1,Spaces_Sum!$AM$50,2000),1,OFFSET(Spaces_Ref,1,Spaces_Sum!$AJ$50,2000),0)</f>
        <v>0</v>
      </c>
      <c r="N23" s="51">
        <f ca="1">SUMIFS(OFFSET(Spaces_Ref,1,Spaces_Sum!$Q$50,2000),OFFSET(Spaces_Ref,1,Spaces_Sum!$D$50,2000),Proj_Sum!$C23,OFFSET(Spaces_Ref,1,Spaces_Sum!$AN$50,2000),0)+SUMIFS(OFFSET(Spaces_Ref,1,Spaces_Sum!$S$50,2000),OFFSET(Spaces_Ref,1,Spaces_Sum!$D$50,2000),Proj_Sum!$C23,OFFSET(Spaces_Ref,1,Spaces_Sum!$AN$50,2000),0)</f>
        <v>0</v>
      </c>
      <c r="O23" s="51">
        <f ca="1">SUMIFS(OFFSET(Spaces_Ref,1,Spaces_Sum!$R$50,2000),OFFSET(Spaces_Ref,1,Spaces_Sum!$D$50,2000),Proj_Sum!$C23,OFFSET(Spaces_Ref,1,Spaces_Sum!$AM$50,2000),1,OFFSET(Spaces_Ref,1,Spaces_Sum!$AN$50,2000),0)+SUMIFS(OFFSET(Spaces_Ref,1,Spaces_Sum!$T$50,2000),OFFSET(Spaces_Ref,1,Spaces_Sum!$D$50,2000),Proj_Sum!$C23,OFFSET(Spaces_Ref,1,Spaces_Sum!$AM$50,2000),1,OFFSET(Spaces_Ref,1,Spaces_Sum!$AN$50,2000),0)</f>
        <v>0</v>
      </c>
      <c r="P23" s="51">
        <f t="shared" ca="1" si="8"/>
        <v>0</v>
      </c>
      <c r="Q23" s="2">
        <f t="shared" ca="1" si="9"/>
        <v>0</v>
      </c>
      <c r="R23" s="2">
        <f t="shared" ca="1" si="10"/>
        <v>0</v>
      </c>
      <c r="S23" s="52">
        <f t="shared" ca="1" si="11"/>
        <v>0</v>
      </c>
    </row>
    <row r="24" spans="2:19" x14ac:dyDescent="0.3">
      <c r="C24" s="1" t="s">
        <v>2062</v>
      </c>
      <c r="D24" s="1"/>
      <c r="E24" s="2384"/>
      <c r="F24" s="663">
        <f ca="1">SUMIFS(OFFSET(Spaces_Ref,1,Spaces_Sum!$M$50,2000),OFFSET(Spaces_Ref,1,Spaces_Sum!$D$50,2000),Proj_Sum!$C24)</f>
        <v>0</v>
      </c>
      <c r="G24" s="663">
        <f ca="1">SUMIFS(OFFSET(Spaces_Ref,1,Spaces_Sum!$N$50,2000),OFFSET(Spaces_Ref,1,Spaces_Sum!$D$50,2000),Proj_Sum!$C24)</f>
        <v>0</v>
      </c>
      <c r="H24" s="51">
        <f ca="1">SUMIFS(OFFSET(Spaces_Ref,1,Spaces_Sum!$M$50,2000),OFFSET(Spaces_Ref,1,Spaces_Sum!$D$50,2000),Proj_Sum!$C24,OFFSET(Spaces_Ref,1,Spaces_Sum!$AM$50,2000),1,OFFSET(Spaces_Ref,1,Spaces_Sum!$AJ$50,2000),1)</f>
        <v>0</v>
      </c>
      <c r="I24" s="51">
        <f ca="1">SUMIFS(OFFSET(Spaces_Ref,1,Spaces_Sum!$N$50,2000),OFFSET(Spaces_Ref,1,Spaces_Sum!$D$50,2000),Proj_Sum!$C24,OFFSET(Spaces_Ref,1,Spaces_Sum!$AM$50,2000),1,OFFSET(Spaces_Ref,1,Spaces_Sum!$AJ$50,2000),1)</f>
        <v>0</v>
      </c>
      <c r="J24" s="51">
        <f ca="1">SUMIFS(OFFSET(Spaces_Ref,1,Spaces_Sum!$O$50,2000),OFFSET(Spaces_Ref,1,Spaces_Sum!$D$50,2000),Proj_Sum!$C24)+SUMIFS(OFFSET(Spaces_Ref,1,Spaces_Sum!$S$50,2000),OFFSET(Spaces_Ref,1,Spaces_Sum!$D$50,2000),Proj_Sum!$C24,OFFSET(Spaces_Ref,1,Spaces_Sum!$AN$50,2000),1)</f>
        <v>0</v>
      </c>
      <c r="K24" s="51">
        <f ca="1">SUMIFS(OFFSET(Spaces_Ref,1,Spaces_Sum!$P$50,2000),OFFSET(Spaces_Ref,1,Spaces_Sum!$D$50,2000),Proj_Sum!$C24,OFFSET(Spaces_Ref,1,Spaces_Sum!$AM$50,2000),1,OFFSET(Spaces_Ref,1,Spaces_Sum!$AN$50,2000),1)</f>
        <v>0</v>
      </c>
      <c r="L24" s="51">
        <f ca="1">SUMIFS(OFFSET(Spaces_Ref,1,Spaces_Sum!$M$50,2000),OFFSET(Spaces_Ref,1,Spaces_Sum!$D$50,2000),Proj_Sum!$C24,OFFSET(Spaces_Ref,1,Spaces_Sum!$AM$50,2000),1,OFFSET(Spaces_Ref,1,Spaces_Sum!$AJ$50,2000),0)</f>
        <v>0</v>
      </c>
      <c r="M24" s="51">
        <f ca="1">SUMIFS(OFFSET(Spaces_Ref,1,Spaces_Sum!$N$50,2000),OFFSET(Spaces_Ref,1,Spaces_Sum!$D$50,2000),Proj_Sum!$C24,OFFSET(Spaces_Ref,1,Spaces_Sum!$AM$50,2000),1,OFFSET(Spaces_Ref,1,Spaces_Sum!$AJ$50,2000),0)</f>
        <v>0</v>
      </c>
      <c r="N24" s="51">
        <f ca="1">SUMIFS(OFFSET(Spaces_Ref,1,Spaces_Sum!$Q$50,2000),OFFSET(Spaces_Ref,1,Spaces_Sum!$D$50,2000),Proj_Sum!$C24,OFFSET(Spaces_Ref,1,Spaces_Sum!$AN$50,2000),0)+SUMIFS(OFFSET(Spaces_Ref,1,Spaces_Sum!$S$50,2000),OFFSET(Spaces_Ref,1,Spaces_Sum!$D$50,2000),Proj_Sum!$C24,OFFSET(Spaces_Ref,1,Spaces_Sum!$AN$50,2000),0)</f>
        <v>0</v>
      </c>
      <c r="O24" s="51">
        <f ca="1">SUMIFS(OFFSET(Spaces_Ref,1,Spaces_Sum!$R$50,2000),OFFSET(Spaces_Ref,1,Spaces_Sum!$D$50,2000),Proj_Sum!$C24,OFFSET(Spaces_Ref,1,Spaces_Sum!$AM$50,2000),1,OFFSET(Spaces_Ref,1,Spaces_Sum!$AN$50,2000),0)+SUMIFS(OFFSET(Spaces_Ref,1,Spaces_Sum!$T$50,2000),OFFSET(Spaces_Ref,1,Spaces_Sum!$D$50,2000),Proj_Sum!$C24,OFFSET(Spaces_Ref,1,Spaces_Sum!$AM$50,2000),1,OFFSET(Spaces_Ref,1,Spaces_Sum!$AN$50,2000),0)</f>
        <v>0</v>
      </c>
      <c r="P24" s="51">
        <f t="shared" ref="P24:P31" ca="1" si="12">H24+L24</f>
        <v>0</v>
      </c>
      <c r="Q24" s="2">
        <f t="shared" ref="Q24:Q31" ca="1" si="13">I24+M24</f>
        <v>0</v>
      </c>
      <c r="R24" s="2">
        <f t="shared" ref="R24:R31" ca="1" si="14">J24+N24</f>
        <v>0</v>
      </c>
      <c r="S24" s="52">
        <f t="shared" ref="S24:S31" ca="1" si="15">K24+O24</f>
        <v>0</v>
      </c>
    </row>
    <row r="25" spans="2:19" x14ac:dyDescent="0.3">
      <c r="C25" s="1" t="s">
        <v>2062</v>
      </c>
      <c r="D25" s="1"/>
      <c r="E25" s="2384"/>
      <c r="F25" s="663">
        <f ca="1">SUMIFS(OFFSET(Spaces_Ref,1,Spaces_Sum!$M$50,2000),OFFSET(Spaces_Ref,1,Spaces_Sum!$D$50,2000),Proj_Sum!$C25)</f>
        <v>0</v>
      </c>
      <c r="G25" s="663">
        <f ca="1">SUMIFS(OFFSET(Spaces_Ref,1,Spaces_Sum!$N$50,2000),OFFSET(Spaces_Ref,1,Spaces_Sum!$D$50,2000),Proj_Sum!$C25)</f>
        <v>0</v>
      </c>
      <c r="H25" s="51">
        <f ca="1">SUMIFS(OFFSET(Spaces_Ref,1,Spaces_Sum!$M$50,2000),OFFSET(Spaces_Ref,1,Spaces_Sum!$D$50,2000),Proj_Sum!$C25,OFFSET(Spaces_Ref,1,Spaces_Sum!$AM$50,2000),1,OFFSET(Spaces_Ref,1,Spaces_Sum!$AJ$50,2000),1)</f>
        <v>0</v>
      </c>
      <c r="I25" s="51">
        <f ca="1">SUMIFS(OFFSET(Spaces_Ref,1,Spaces_Sum!$N$50,2000),OFFSET(Spaces_Ref,1,Spaces_Sum!$D$50,2000),Proj_Sum!$C25,OFFSET(Spaces_Ref,1,Spaces_Sum!$AM$50,2000),1,OFFSET(Spaces_Ref,1,Spaces_Sum!$AJ$50,2000),1)</f>
        <v>0</v>
      </c>
      <c r="J25" s="51">
        <f ca="1">SUMIFS(OFFSET(Spaces_Ref,1,Spaces_Sum!$O$50,2000),OFFSET(Spaces_Ref,1,Spaces_Sum!$D$50,2000),Proj_Sum!$C25)+SUMIFS(OFFSET(Spaces_Ref,1,Spaces_Sum!$S$50,2000),OFFSET(Spaces_Ref,1,Spaces_Sum!$D$50,2000),Proj_Sum!$C25,OFFSET(Spaces_Ref,1,Spaces_Sum!$AN$50,2000),1)</f>
        <v>0</v>
      </c>
      <c r="K25" s="51">
        <f ca="1">SUMIFS(OFFSET(Spaces_Ref,1,Spaces_Sum!$P$50,2000),OFFSET(Spaces_Ref,1,Spaces_Sum!$D$50,2000),Proj_Sum!$C25,OFFSET(Spaces_Ref,1,Spaces_Sum!$AM$50,2000),1,OFFSET(Spaces_Ref,1,Spaces_Sum!$AN$50,2000),1)</f>
        <v>0</v>
      </c>
      <c r="L25" s="51">
        <f ca="1">SUMIFS(OFFSET(Spaces_Ref,1,Spaces_Sum!$M$50,2000),OFFSET(Spaces_Ref,1,Spaces_Sum!$D$50,2000),Proj_Sum!$C25,OFFSET(Spaces_Ref,1,Spaces_Sum!$AM$50,2000),1,OFFSET(Spaces_Ref,1,Spaces_Sum!$AJ$50,2000),0)</f>
        <v>0</v>
      </c>
      <c r="M25" s="51">
        <f ca="1">SUMIFS(OFFSET(Spaces_Ref,1,Spaces_Sum!$N$50,2000),OFFSET(Spaces_Ref,1,Spaces_Sum!$D$50,2000),Proj_Sum!$C25,OFFSET(Spaces_Ref,1,Spaces_Sum!$AM$50,2000),1,OFFSET(Spaces_Ref,1,Spaces_Sum!$AJ$50,2000),0)</f>
        <v>0</v>
      </c>
      <c r="N25" s="51">
        <f ca="1">SUMIFS(OFFSET(Spaces_Ref,1,Spaces_Sum!$Q$50,2000),OFFSET(Spaces_Ref,1,Spaces_Sum!$D$50,2000),Proj_Sum!$C25,OFFSET(Spaces_Ref,1,Spaces_Sum!$AN$50,2000),0)+SUMIFS(OFFSET(Spaces_Ref,1,Spaces_Sum!$S$50,2000),OFFSET(Spaces_Ref,1,Spaces_Sum!$D$50,2000),Proj_Sum!$C25,OFFSET(Spaces_Ref,1,Spaces_Sum!$AN$50,2000),0)</f>
        <v>0</v>
      </c>
      <c r="O25" s="51">
        <f ca="1">SUMIFS(OFFSET(Spaces_Ref,1,Spaces_Sum!$R$50,2000),OFFSET(Spaces_Ref,1,Spaces_Sum!$D$50,2000),Proj_Sum!$C25,OFFSET(Spaces_Ref,1,Spaces_Sum!$AM$50,2000),1,OFFSET(Spaces_Ref,1,Spaces_Sum!$AN$50,2000),0)+SUMIFS(OFFSET(Spaces_Ref,1,Spaces_Sum!$T$50,2000),OFFSET(Spaces_Ref,1,Spaces_Sum!$D$50,2000),Proj_Sum!$C25,OFFSET(Spaces_Ref,1,Spaces_Sum!$AM$50,2000),1,OFFSET(Spaces_Ref,1,Spaces_Sum!$AN$50,2000),0)</f>
        <v>0</v>
      </c>
      <c r="P25" s="51">
        <f t="shared" ca="1" si="12"/>
        <v>0</v>
      </c>
      <c r="Q25" s="2">
        <f t="shared" ca="1" si="13"/>
        <v>0</v>
      </c>
      <c r="R25" s="2">
        <f t="shared" ca="1" si="14"/>
        <v>0</v>
      </c>
      <c r="S25" s="52">
        <f t="shared" ca="1" si="15"/>
        <v>0</v>
      </c>
    </row>
    <row r="26" spans="2:19" x14ac:dyDescent="0.3">
      <c r="C26" s="1" t="s">
        <v>2062</v>
      </c>
      <c r="D26" s="1"/>
      <c r="E26" s="2384"/>
      <c r="F26" s="663">
        <f ca="1">SUMIFS(OFFSET(Spaces_Ref,1,Spaces_Sum!$M$50,2000),OFFSET(Spaces_Ref,1,Spaces_Sum!$D$50,2000),Proj_Sum!$C26)</f>
        <v>0</v>
      </c>
      <c r="G26" s="663">
        <f ca="1">SUMIFS(OFFSET(Spaces_Ref,1,Spaces_Sum!$N$50,2000),OFFSET(Spaces_Ref,1,Spaces_Sum!$D$50,2000),Proj_Sum!$C26)</f>
        <v>0</v>
      </c>
      <c r="H26" s="51">
        <f ca="1">SUMIFS(OFFSET(Spaces_Ref,1,Spaces_Sum!$M$50,2000),OFFSET(Spaces_Ref,1,Spaces_Sum!$D$50,2000),Proj_Sum!$C26,OFFSET(Spaces_Ref,1,Spaces_Sum!$AM$50,2000),1,OFFSET(Spaces_Ref,1,Spaces_Sum!$AJ$50,2000),1)</f>
        <v>0</v>
      </c>
      <c r="I26" s="51">
        <f ca="1">SUMIFS(OFFSET(Spaces_Ref,1,Spaces_Sum!$N$50,2000),OFFSET(Spaces_Ref,1,Spaces_Sum!$D$50,2000),Proj_Sum!$C26,OFFSET(Spaces_Ref,1,Spaces_Sum!$AM$50,2000),1,OFFSET(Spaces_Ref,1,Spaces_Sum!$AJ$50,2000),1)</f>
        <v>0</v>
      </c>
      <c r="J26" s="51">
        <f ca="1">SUMIFS(OFFSET(Spaces_Ref,1,Spaces_Sum!$O$50,2000),OFFSET(Spaces_Ref,1,Spaces_Sum!$D$50,2000),Proj_Sum!$C26)+SUMIFS(OFFSET(Spaces_Ref,1,Spaces_Sum!$S$50,2000),OFFSET(Spaces_Ref,1,Spaces_Sum!$D$50,2000),Proj_Sum!$C26,OFFSET(Spaces_Ref,1,Spaces_Sum!$AN$50,2000),1)</f>
        <v>0</v>
      </c>
      <c r="K26" s="51">
        <f ca="1">SUMIFS(OFFSET(Spaces_Ref,1,Spaces_Sum!$P$50,2000),OFFSET(Spaces_Ref,1,Spaces_Sum!$D$50,2000),Proj_Sum!$C26,OFFSET(Spaces_Ref,1,Spaces_Sum!$AM$50,2000),1,OFFSET(Spaces_Ref,1,Spaces_Sum!$AN$50,2000),1)</f>
        <v>0</v>
      </c>
      <c r="L26" s="51">
        <f ca="1">SUMIFS(OFFSET(Spaces_Ref,1,Spaces_Sum!$M$50,2000),OFFSET(Spaces_Ref,1,Spaces_Sum!$D$50,2000),Proj_Sum!$C26,OFFSET(Spaces_Ref,1,Spaces_Sum!$AM$50,2000),1,OFFSET(Spaces_Ref,1,Spaces_Sum!$AJ$50,2000),0)</f>
        <v>0</v>
      </c>
      <c r="M26" s="51">
        <f ca="1">SUMIFS(OFFSET(Spaces_Ref,1,Spaces_Sum!$N$50,2000),OFFSET(Spaces_Ref,1,Spaces_Sum!$D$50,2000),Proj_Sum!$C26,OFFSET(Spaces_Ref,1,Spaces_Sum!$AM$50,2000),1,OFFSET(Spaces_Ref,1,Spaces_Sum!$AJ$50,2000),0)</f>
        <v>0</v>
      </c>
      <c r="N26" s="51">
        <f ca="1">SUMIFS(OFFSET(Spaces_Ref,1,Spaces_Sum!$Q$50,2000),OFFSET(Spaces_Ref,1,Spaces_Sum!$D$50,2000),Proj_Sum!$C26,OFFSET(Spaces_Ref,1,Spaces_Sum!$AN$50,2000),0)+SUMIFS(OFFSET(Spaces_Ref,1,Spaces_Sum!$S$50,2000),OFFSET(Spaces_Ref,1,Spaces_Sum!$D$50,2000),Proj_Sum!$C26,OFFSET(Spaces_Ref,1,Spaces_Sum!$AN$50,2000),0)</f>
        <v>0</v>
      </c>
      <c r="O26" s="51">
        <f ca="1">SUMIFS(OFFSET(Spaces_Ref,1,Spaces_Sum!$R$50,2000),OFFSET(Spaces_Ref,1,Spaces_Sum!$D$50,2000),Proj_Sum!$C26,OFFSET(Spaces_Ref,1,Spaces_Sum!$AM$50,2000),1,OFFSET(Spaces_Ref,1,Spaces_Sum!$AN$50,2000),0)+SUMIFS(OFFSET(Spaces_Ref,1,Spaces_Sum!$T$50,2000),OFFSET(Spaces_Ref,1,Spaces_Sum!$D$50,2000),Proj_Sum!$C26,OFFSET(Spaces_Ref,1,Spaces_Sum!$AM$50,2000),1,OFFSET(Spaces_Ref,1,Spaces_Sum!$AN$50,2000),0)</f>
        <v>0</v>
      </c>
      <c r="P26" s="51">
        <f t="shared" ca="1" si="12"/>
        <v>0</v>
      </c>
      <c r="Q26" s="2">
        <f t="shared" ca="1" si="13"/>
        <v>0</v>
      </c>
      <c r="R26" s="2">
        <f t="shared" ca="1" si="14"/>
        <v>0</v>
      </c>
      <c r="S26" s="52">
        <f t="shared" ca="1" si="15"/>
        <v>0</v>
      </c>
    </row>
    <row r="27" spans="2:19" x14ac:dyDescent="0.3">
      <c r="C27" s="1" t="s">
        <v>2062</v>
      </c>
      <c r="D27" s="1"/>
      <c r="E27" s="2384"/>
      <c r="F27" s="663">
        <f ca="1">SUMIFS(OFFSET(Spaces_Ref,1,Spaces_Sum!$M$50,2000),OFFSET(Spaces_Ref,1,Spaces_Sum!$D$50,2000),Proj_Sum!$C27)</f>
        <v>0</v>
      </c>
      <c r="G27" s="663">
        <f ca="1">SUMIFS(OFFSET(Spaces_Ref,1,Spaces_Sum!$N$50,2000),OFFSET(Spaces_Ref,1,Spaces_Sum!$D$50,2000),Proj_Sum!$C27)</f>
        <v>0</v>
      </c>
      <c r="H27" s="51">
        <f ca="1">SUMIFS(OFFSET(Spaces_Ref,1,Spaces_Sum!$M$50,2000),OFFSET(Spaces_Ref,1,Spaces_Sum!$D$50,2000),Proj_Sum!$C27,OFFSET(Spaces_Ref,1,Spaces_Sum!$AM$50,2000),1,OFFSET(Spaces_Ref,1,Spaces_Sum!$AJ$50,2000),1)</f>
        <v>0</v>
      </c>
      <c r="I27" s="51">
        <f ca="1">SUMIFS(OFFSET(Spaces_Ref,1,Spaces_Sum!$N$50,2000),OFFSET(Spaces_Ref,1,Spaces_Sum!$D$50,2000),Proj_Sum!$C27,OFFSET(Spaces_Ref,1,Spaces_Sum!$AM$50,2000),1,OFFSET(Spaces_Ref,1,Spaces_Sum!$AJ$50,2000),1)</f>
        <v>0</v>
      </c>
      <c r="J27" s="51">
        <f ca="1">SUMIFS(OFFSET(Spaces_Ref,1,Spaces_Sum!$O$50,2000),OFFSET(Spaces_Ref,1,Spaces_Sum!$D$50,2000),Proj_Sum!$C27)+SUMIFS(OFFSET(Spaces_Ref,1,Spaces_Sum!$S$50,2000),OFFSET(Spaces_Ref,1,Spaces_Sum!$D$50,2000),Proj_Sum!$C27,OFFSET(Spaces_Ref,1,Spaces_Sum!$AN$50,2000),1)</f>
        <v>0</v>
      </c>
      <c r="K27" s="51">
        <f ca="1">SUMIFS(OFFSET(Spaces_Ref,1,Spaces_Sum!$P$50,2000),OFFSET(Spaces_Ref,1,Spaces_Sum!$D$50,2000),Proj_Sum!$C27,OFFSET(Spaces_Ref,1,Spaces_Sum!$AM$50,2000),1,OFFSET(Spaces_Ref,1,Spaces_Sum!$AN$50,2000),1)</f>
        <v>0</v>
      </c>
      <c r="L27" s="51">
        <f ca="1">SUMIFS(OFFSET(Spaces_Ref,1,Spaces_Sum!$M$50,2000),OFFSET(Spaces_Ref,1,Spaces_Sum!$D$50,2000),Proj_Sum!$C27,OFFSET(Spaces_Ref,1,Spaces_Sum!$AM$50,2000),1,OFFSET(Spaces_Ref,1,Spaces_Sum!$AJ$50,2000),0)</f>
        <v>0</v>
      </c>
      <c r="M27" s="51">
        <f ca="1">SUMIFS(OFFSET(Spaces_Ref,1,Spaces_Sum!$N$50,2000),OFFSET(Spaces_Ref,1,Spaces_Sum!$D$50,2000),Proj_Sum!$C27,OFFSET(Spaces_Ref,1,Spaces_Sum!$AM$50,2000),1,OFFSET(Spaces_Ref,1,Spaces_Sum!$AJ$50,2000),0)</f>
        <v>0</v>
      </c>
      <c r="N27" s="51">
        <f ca="1">SUMIFS(OFFSET(Spaces_Ref,1,Spaces_Sum!$Q$50,2000),OFFSET(Spaces_Ref,1,Spaces_Sum!$D$50,2000),Proj_Sum!$C27,OFFSET(Spaces_Ref,1,Spaces_Sum!$AN$50,2000),0)+SUMIFS(OFFSET(Spaces_Ref,1,Spaces_Sum!$S$50,2000),OFFSET(Spaces_Ref,1,Spaces_Sum!$D$50,2000),Proj_Sum!$C27,OFFSET(Spaces_Ref,1,Spaces_Sum!$AN$50,2000),0)</f>
        <v>0</v>
      </c>
      <c r="O27" s="51">
        <f ca="1">SUMIFS(OFFSET(Spaces_Ref,1,Spaces_Sum!$R$50,2000),OFFSET(Spaces_Ref,1,Spaces_Sum!$D$50,2000),Proj_Sum!$C27,OFFSET(Spaces_Ref,1,Spaces_Sum!$AM$50,2000),1,OFFSET(Spaces_Ref,1,Spaces_Sum!$AN$50,2000),0)+SUMIFS(OFFSET(Spaces_Ref,1,Spaces_Sum!$T$50,2000),OFFSET(Spaces_Ref,1,Spaces_Sum!$D$50,2000),Proj_Sum!$C27,OFFSET(Spaces_Ref,1,Spaces_Sum!$AM$50,2000),1,OFFSET(Spaces_Ref,1,Spaces_Sum!$AN$50,2000),0)</f>
        <v>0</v>
      </c>
      <c r="P27" s="51">
        <f t="shared" ca="1" si="12"/>
        <v>0</v>
      </c>
      <c r="Q27" s="2">
        <f t="shared" ca="1" si="13"/>
        <v>0</v>
      </c>
      <c r="R27" s="2">
        <f t="shared" ca="1" si="14"/>
        <v>0</v>
      </c>
      <c r="S27" s="52">
        <f t="shared" ca="1" si="15"/>
        <v>0</v>
      </c>
    </row>
    <row r="28" spans="2:19" x14ac:dyDescent="0.3">
      <c r="C28" s="1" t="s">
        <v>2062</v>
      </c>
      <c r="D28" s="1"/>
      <c r="E28" s="2384"/>
      <c r="F28" s="663">
        <f ca="1">SUMIFS(OFFSET(Spaces_Ref,1,Spaces_Sum!$M$50,2000),OFFSET(Spaces_Ref,1,Spaces_Sum!$D$50,2000),Proj_Sum!$C28)</f>
        <v>0</v>
      </c>
      <c r="G28" s="663">
        <f ca="1">SUMIFS(OFFSET(Spaces_Ref,1,Spaces_Sum!$N$50,2000),OFFSET(Spaces_Ref,1,Spaces_Sum!$D$50,2000),Proj_Sum!$C28)</f>
        <v>0</v>
      </c>
      <c r="H28" s="51">
        <f ca="1">SUMIFS(OFFSET(Spaces_Ref,1,Spaces_Sum!$M$50,2000),OFFSET(Spaces_Ref,1,Spaces_Sum!$D$50,2000),Proj_Sum!$C28,OFFSET(Spaces_Ref,1,Spaces_Sum!$AM$50,2000),1,OFFSET(Spaces_Ref,1,Spaces_Sum!$AJ$50,2000),1)</f>
        <v>0</v>
      </c>
      <c r="I28" s="51">
        <f ca="1">SUMIFS(OFFSET(Spaces_Ref,1,Spaces_Sum!$N$50,2000),OFFSET(Spaces_Ref,1,Spaces_Sum!$D$50,2000),Proj_Sum!$C28,OFFSET(Spaces_Ref,1,Spaces_Sum!$AM$50,2000),1,OFFSET(Spaces_Ref,1,Spaces_Sum!$AJ$50,2000),1)</f>
        <v>0</v>
      </c>
      <c r="J28" s="51">
        <f ca="1">SUMIFS(OFFSET(Spaces_Ref,1,Spaces_Sum!$O$50,2000),OFFSET(Spaces_Ref,1,Spaces_Sum!$D$50,2000),Proj_Sum!$C28)+SUMIFS(OFFSET(Spaces_Ref,1,Spaces_Sum!$S$50,2000),OFFSET(Spaces_Ref,1,Spaces_Sum!$D$50,2000),Proj_Sum!$C28,OFFSET(Spaces_Ref,1,Spaces_Sum!$AN$50,2000),1)</f>
        <v>0</v>
      </c>
      <c r="K28" s="51">
        <f ca="1">SUMIFS(OFFSET(Spaces_Ref,1,Spaces_Sum!$P$50,2000),OFFSET(Spaces_Ref,1,Spaces_Sum!$D$50,2000),Proj_Sum!$C28,OFFSET(Spaces_Ref,1,Spaces_Sum!$AM$50,2000),1,OFFSET(Spaces_Ref,1,Spaces_Sum!$AN$50,2000),1)</f>
        <v>0</v>
      </c>
      <c r="L28" s="51">
        <f ca="1">SUMIFS(OFFSET(Spaces_Ref,1,Spaces_Sum!$M$50,2000),OFFSET(Spaces_Ref,1,Spaces_Sum!$D$50,2000),Proj_Sum!$C28,OFFSET(Spaces_Ref,1,Spaces_Sum!$AM$50,2000),1,OFFSET(Spaces_Ref,1,Spaces_Sum!$AJ$50,2000),0)</f>
        <v>0</v>
      </c>
      <c r="M28" s="51">
        <f ca="1">SUMIFS(OFFSET(Spaces_Ref,1,Spaces_Sum!$N$50,2000),OFFSET(Spaces_Ref,1,Spaces_Sum!$D$50,2000),Proj_Sum!$C28,OFFSET(Spaces_Ref,1,Spaces_Sum!$AM$50,2000),1,OFFSET(Spaces_Ref,1,Spaces_Sum!$AJ$50,2000),0)</f>
        <v>0</v>
      </c>
      <c r="N28" s="51">
        <f ca="1">SUMIFS(OFFSET(Spaces_Ref,1,Spaces_Sum!$Q$50,2000),OFFSET(Spaces_Ref,1,Spaces_Sum!$D$50,2000),Proj_Sum!$C28,OFFSET(Spaces_Ref,1,Spaces_Sum!$AN$50,2000),0)+SUMIFS(OFFSET(Spaces_Ref,1,Spaces_Sum!$S$50,2000),OFFSET(Spaces_Ref,1,Spaces_Sum!$D$50,2000),Proj_Sum!$C28,OFFSET(Spaces_Ref,1,Spaces_Sum!$AN$50,2000),0)</f>
        <v>0</v>
      </c>
      <c r="O28" s="51">
        <f ca="1">SUMIFS(OFFSET(Spaces_Ref,1,Spaces_Sum!$R$50,2000),OFFSET(Spaces_Ref,1,Spaces_Sum!$D$50,2000),Proj_Sum!$C28,OFFSET(Spaces_Ref,1,Spaces_Sum!$AM$50,2000),1,OFFSET(Spaces_Ref,1,Spaces_Sum!$AN$50,2000),0)+SUMIFS(OFFSET(Spaces_Ref,1,Spaces_Sum!$T$50,2000),OFFSET(Spaces_Ref,1,Spaces_Sum!$D$50,2000),Proj_Sum!$C28,OFFSET(Spaces_Ref,1,Spaces_Sum!$AM$50,2000),1,OFFSET(Spaces_Ref,1,Spaces_Sum!$AN$50,2000),0)</f>
        <v>0</v>
      </c>
      <c r="P28" s="51">
        <f t="shared" ca="1" si="12"/>
        <v>0</v>
      </c>
      <c r="Q28" s="2">
        <f t="shared" ca="1" si="13"/>
        <v>0</v>
      </c>
      <c r="R28" s="2">
        <f t="shared" ca="1" si="14"/>
        <v>0</v>
      </c>
      <c r="S28" s="52">
        <f t="shared" ca="1" si="15"/>
        <v>0</v>
      </c>
    </row>
    <row r="29" spans="2:19" x14ac:dyDescent="0.3">
      <c r="C29" s="1" t="s">
        <v>2062</v>
      </c>
      <c r="D29" s="1"/>
      <c r="E29" s="2384"/>
      <c r="F29" s="663">
        <f ca="1">SUMIFS(OFFSET(Spaces_Ref,1,Spaces_Sum!$M$50,2000),OFFSET(Spaces_Ref,1,Spaces_Sum!$D$50,2000),Proj_Sum!$C29)</f>
        <v>0</v>
      </c>
      <c r="G29" s="663">
        <f ca="1">SUMIFS(OFFSET(Spaces_Ref,1,Spaces_Sum!$N$50,2000),OFFSET(Spaces_Ref,1,Spaces_Sum!$D$50,2000),Proj_Sum!$C29)</f>
        <v>0</v>
      </c>
      <c r="H29" s="51">
        <f ca="1">SUMIFS(OFFSET(Spaces_Ref,1,Spaces_Sum!$M$50,2000),OFFSET(Spaces_Ref,1,Spaces_Sum!$D$50,2000),Proj_Sum!$C29,OFFSET(Spaces_Ref,1,Spaces_Sum!$AM$50,2000),1,OFFSET(Spaces_Ref,1,Spaces_Sum!$AJ$50,2000),1)</f>
        <v>0</v>
      </c>
      <c r="I29" s="51">
        <f ca="1">SUMIFS(OFFSET(Spaces_Ref,1,Spaces_Sum!$N$50,2000),OFFSET(Spaces_Ref,1,Spaces_Sum!$D$50,2000),Proj_Sum!$C29,OFFSET(Spaces_Ref,1,Spaces_Sum!$AM$50,2000),1,OFFSET(Spaces_Ref,1,Spaces_Sum!$AJ$50,2000),1)</f>
        <v>0</v>
      </c>
      <c r="J29" s="51">
        <f ca="1">SUMIFS(OFFSET(Spaces_Ref,1,Spaces_Sum!$O$50,2000),OFFSET(Spaces_Ref,1,Spaces_Sum!$D$50,2000),Proj_Sum!$C29)+SUMIFS(OFFSET(Spaces_Ref,1,Spaces_Sum!$S$50,2000),OFFSET(Spaces_Ref,1,Spaces_Sum!$D$50,2000),Proj_Sum!$C29,OFFSET(Spaces_Ref,1,Spaces_Sum!$AN$50,2000),1)</f>
        <v>0</v>
      </c>
      <c r="K29" s="51">
        <f ca="1">SUMIFS(OFFSET(Spaces_Ref,1,Spaces_Sum!$P$50,2000),OFFSET(Spaces_Ref,1,Spaces_Sum!$D$50,2000),Proj_Sum!$C29,OFFSET(Spaces_Ref,1,Spaces_Sum!$AM$50,2000),1,OFFSET(Spaces_Ref,1,Spaces_Sum!$AN$50,2000),1)</f>
        <v>0</v>
      </c>
      <c r="L29" s="51">
        <f ca="1">SUMIFS(OFFSET(Spaces_Ref,1,Spaces_Sum!$M$50,2000),OFFSET(Spaces_Ref,1,Spaces_Sum!$D$50,2000),Proj_Sum!$C29,OFFSET(Spaces_Ref,1,Spaces_Sum!$AM$50,2000),1,OFFSET(Spaces_Ref,1,Spaces_Sum!$AJ$50,2000),0)</f>
        <v>0</v>
      </c>
      <c r="M29" s="51">
        <f ca="1">SUMIFS(OFFSET(Spaces_Ref,1,Spaces_Sum!$N$50,2000),OFFSET(Spaces_Ref,1,Spaces_Sum!$D$50,2000),Proj_Sum!$C29,OFFSET(Spaces_Ref,1,Spaces_Sum!$AM$50,2000),1,OFFSET(Spaces_Ref,1,Spaces_Sum!$AJ$50,2000),0)</f>
        <v>0</v>
      </c>
      <c r="N29" s="51">
        <f ca="1">SUMIFS(OFFSET(Spaces_Ref,1,Spaces_Sum!$Q$50,2000),OFFSET(Spaces_Ref,1,Spaces_Sum!$D$50,2000),Proj_Sum!$C29,OFFSET(Spaces_Ref,1,Spaces_Sum!$AN$50,2000),0)+SUMIFS(OFFSET(Spaces_Ref,1,Spaces_Sum!$S$50,2000),OFFSET(Spaces_Ref,1,Spaces_Sum!$D$50,2000),Proj_Sum!$C29,OFFSET(Spaces_Ref,1,Spaces_Sum!$AN$50,2000),0)</f>
        <v>0</v>
      </c>
      <c r="O29" s="51">
        <f ca="1">SUMIFS(OFFSET(Spaces_Ref,1,Spaces_Sum!$R$50,2000),OFFSET(Spaces_Ref,1,Spaces_Sum!$D$50,2000),Proj_Sum!$C29,OFFSET(Spaces_Ref,1,Spaces_Sum!$AM$50,2000),1,OFFSET(Spaces_Ref,1,Spaces_Sum!$AN$50,2000),0)+SUMIFS(OFFSET(Spaces_Ref,1,Spaces_Sum!$T$50,2000),OFFSET(Spaces_Ref,1,Spaces_Sum!$D$50,2000),Proj_Sum!$C29,OFFSET(Spaces_Ref,1,Spaces_Sum!$AM$50,2000),1,OFFSET(Spaces_Ref,1,Spaces_Sum!$AN$50,2000),0)</f>
        <v>0</v>
      </c>
      <c r="P29" s="51">
        <f t="shared" ca="1" si="12"/>
        <v>0</v>
      </c>
      <c r="Q29" s="2">
        <f t="shared" ca="1" si="13"/>
        <v>0</v>
      </c>
      <c r="R29" s="2">
        <f t="shared" ca="1" si="14"/>
        <v>0</v>
      </c>
      <c r="S29" s="52">
        <f t="shared" ca="1" si="15"/>
        <v>0</v>
      </c>
    </row>
    <row r="30" spans="2:19" x14ac:dyDescent="0.3">
      <c r="C30" s="1" t="s">
        <v>2062</v>
      </c>
      <c r="D30" s="1"/>
      <c r="E30" s="2384"/>
      <c r="F30" s="663">
        <f ca="1">SUMIFS(OFFSET(Spaces_Ref,1,Spaces_Sum!$M$50,2000),OFFSET(Spaces_Ref,1,Spaces_Sum!$D$50,2000),Proj_Sum!$C30)</f>
        <v>0</v>
      </c>
      <c r="G30" s="663">
        <f ca="1">SUMIFS(OFFSET(Spaces_Ref,1,Spaces_Sum!$N$50,2000),OFFSET(Spaces_Ref,1,Spaces_Sum!$D$50,2000),Proj_Sum!$C30)</f>
        <v>0</v>
      </c>
      <c r="H30" s="51">
        <f ca="1">SUMIFS(OFFSET(Spaces_Ref,1,Spaces_Sum!$M$50,2000),OFFSET(Spaces_Ref,1,Spaces_Sum!$D$50,2000),Proj_Sum!$C30,OFFSET(Spaces_Ref,1,Spaces_Sum!$AM$50,2000),1,OFFSET(Spaces_Ref,1,Spaces_Sum!$AJ$50,2000),1)</f>
        <v>0</v>
      </c>
      <c r="I30" s="51">
        <f ca="1">SUMIFS(OFFSET(Spaces_Ref,1,Spaces_Sum!$N$50,2000),OFFSET(Spaces_Ref,1,Spaces_Sum!$D$50,2000),Proj_Sum!$C30,OFFSET(Spaces_Ref,1,Spaces_Sum!$AM$50,2000),1,OFFSET(Spaces_Ref,1,Spaces_Sum!$AJ$50,2000),1)</f>
        <v>0</v>
      </c>
      <c r="J30" s="51">
        <f ca="1">SUMIFS(OFFSET(Spaces_Ref,1,Spaces_Sum!$O$50,2000),OFFSET(Spaces_Ref,1,Spaces_Sum!$D$50,2000),Proj_Sum!$C30)+SUMIFS(OFFSET(Spaces_Ref,1,Spaces_Sum!$S$50,2000),OFFSET(Spaces_Ref,1,Spaces_Sum!$D$50,2000),Proj_Sum!$C30,OFFSET(Spaces_Ref,1,Spaces_Sum!$AN$50,2000),1)</f>
        <v>0</v>
      </c>
      <c r="K30" s="51">
        <f ca="1">SUMIFS(OFFSET(Spaces_Ref,1,Spaces_Sum!$P$50,2000),OFFSET(Spaces_Ref,1,Spaces_Sum!$D$50,2000),Proj_Sum!$C30,OFFSET(Spaces_Ref,1,Spaces_Sum!$AM$50,2000),1,OFFSET(Spaces_Ref,1,Spaces_Sum!$AN$50,2000),1)</f>
        <v>0</v>
      </c>
      <c r="L30" s="51">
        <f ca="1">SUMIFS(OFFSET(Spaces_Ref,1,Spaces_Sum!$M$50,2000),OFFSET(Spaces_Ref,1,Spaces_Sum!$D$50,2000),Proj_Sum!$C30,OFFSET(Spaces_Ref,1,Spaces_Sum!$AM$50,2000),1,OFFSET(Spaces_Ref,1,Spaces_Sum!$AJ$50,2000),0)</f>
        <v>0</v>
      </c>
      <c r="M30" s="51">
        <f ca="1">SUMIFS(OFFSET(Spaces_Ref,1,Spaces_Sum!$N$50,2000),OFFSET(Spaces_Ref,1,Spaces_Sum!$D$50,2000),Proj_Sum!$C30,OFFSET(Spaces_Ref,1,Spaces_Sum!$AM$50,2000),1,OFFSET(Spaces_Ref,1,Spaces_Sum!$AJ$50,2000),0)</f>
        <v>0</v>
      </c>
      <c r="N30" s="51">
        <f ca="1">SUMIFS(OFFSET(Spaces_Ref,1,Spaces_Sum!$Q$50,2000),OFFSET(Spaces_Ref,1,Spaces_Sum!$D$50,2000),Proj_Sum!$C30,OFFSET(Spaces_Ref,1,Spaces_Sum!$AN$50,2000),0)+SUMIFS(OFFSET(Spaces_Ref,1,Spaces_Sum!$S$50,2000),OFFSET(Spaces_Ref,1,Spaces_Sum!$D$50,2000),Proj_Sum!$C30,OFFSET(Spaces_Ref,1,Spaces_Sum!$AN$50,2000),0)</f>
        <v>0</v>
      </c>
      <c r="O30" s="51">
        <f ca="1">SUMIFS(OFFSET(Spaces_Ref,1,Spaces_Sum!$R$50,2000),OFFSET(Spaces_Ref,1,Spaces_Sum!$D$50,2000),Proj_Sum!$C30,OFFSET(Spaces_Ref,1,Spaces_Sum!$AM$50,2000),1,OFFSET(Spaces_Ref,1,Spaces_Sum!$AN$50,2000),0)+SUMIFS(OFFSET(Spaces_Ref,1,Spaces_Sum!$T$50,2000),OFFSET(Spaces_Ref,1,Spaces_Sum!$D$50,2000),Proj_Sum!$C30,OFFSET(Spaces_Ref,1,Spaces_Sum!$AM$50,2000),1,OFFSET(Spaces_Ref,1,Spaces_Sum!$AN$50,2000),0)</f>
        <v>0</v>
      </c>
      <c r="P30" s="51">
        <f t="shared" ca="1" si="12"/>
        <v>0</v>
      </c>
      <c r="Q30" s="2">
        <f t="shared" ca="1" si="13"/>
        <v>0</v>
      </c>
      <c r="R30" s="2">
        <f t="shared" ca="1" si="14"/>
        <v>0</v>
      </c>
      <c r="S30" s="52">
        <f t="shared" ca="1" si="15"/>
        <v>0</v>
      </c>
    </row>
    <row r="31" spans="2:19" ht="15" thickBot="1" x14ac:dyDescent="0.35">
      <c r="B31" s="11"/>
      <c r="C31" s="1730" t="s">
        <v>2062</v>
      </c>
      <c r="D31" s="1730"/>
      <c r="E31" s="2385"/>
      <c r="F31" s="664">
        <f ca="1">SUMIFS(OFFSET(Spaces_Ref,1,Spaces_Sum!$M$50,2000),OFFSET(Spaces_Ref,1,Spaces_Sum!$D$50,2000),Proj_Sum!$C31)</f>
        <v>0</v>
      </c>
      <c r="G31" s="664">
        <f ca="1">SUMIFS(OFFSET(Spaces_Ref,1,Spaces_Sum!$N$50,2000),OFFSET(Spaces_Ref,1,Spaces_Sum!$D$50,2000),Proj_Sum!$C31)</f>
        <v>0</v>
      </c>
      <c r="H31" s="155">
        <f ca="1">SUMIFS(OFFSET(Spaces_Ref,1,Spaces_Sum!$M$50,2000),OFFSET(Spaces_Ref,1,Spaces_Sum!$D$50,2000),Proj_Sum!$C31,OFFSET(Spaces_Ref,1,Spaces_Sum!$AM$50,2000),1,OFFSET(Spaces_Ref,1,Spaces_Sum!$AJ$50,2000),1)</f>
        <v>0</v>
      </c>
      <c r="I31" s="155">
        <f ca="1">SUMIFS(OFFSET(Spaces_Ref,1,Spaces_Sum!$N$50,2000),OFFSET(Spaces_Ref,1,Spaces_Sum!$D$50,2000),Proj_Sum!$C31,OFFSET(Spaces_Ref,1,Spaces_Sum!$AM$50,2000),1,OFFSET(Spaces_Ref,1,Spaces_Sum!$AJ$50,2000),1)</f>
        <v>0</v>
      </c>
      <c r="J31" s="155">
        <f ca="1">SUMIFS(OFFSET(Spaces_Ref,1,Spaces_Sum!$O$50,2000),OFFSET(Spaces_Ref,1,Spaces_Sum!$D$50,2000),Proj_Sum!$C31)+SUMIFS(OFFSET(Spaces_Ref,1,Spaces_Sum!$S$50,2000),OFFSET(Spaces_Ref,1,Spaces_Sum!$D$50,2000),Proj_Sum!$C31,OFFSET(Spaces_Ref,1,Spaces_Sum!$AN$50,2000),1)</f>
        <v>0</v>
      </c>
      <c r="K31" s="155">
        <f ca="1">SUMIFS(OFFSET(Spaces_Ref,1,Spaces_Sum!$P$50,2000),OFFSET(Spaces_Ref,1,Spaces_Sum!$D$50,2000),Proj_Sum!$C31,OFFSET(Spaces_Ref,1,Spaces_Sum!$AM$50,2000),1,OFFSET(Spaces_Ref,1,Spaces_Sum!$AN$50,2000),1)</f>
        <v>0</v>
      </c>
      <c r="L31" s="155">
        <f ca="1">SUMIFS(OFFSET(Spaces_Ref,1,Spaces_Sum!$M$50,2000),OFFSET(Spaces_Ref,1,Spaces_Sum!$D$50,2000),Proj_Sum!$C31,OFFSET(Spaces_Ref,1,Spaces_Sum!$AM$50,2000),1,OFFSET(Spaces_Ref,1,Spaces_Sum!$AJ$50,2000),0)</f>
        <v>0</v>
      </c>
      <c r="M31" s="155">
        <f ca="1">SUMIFS(OFFSET(Spaces_Ref,1,Spaces_Sum!$N$50,2000),OFFSET(Spaces_Ref,1,Spaces_Sum!$D$50,2000),Proj_Sum!$C31,OFFSET(Spaces_Ref,1,Spaces_Sum!$AM$50,2000),1,OFFSET(Spaces_Ref,1,Spaces_Sum!$AJ$50,2000),0)</f>
        <v>0</v>
      </c>
      <c r="N31" s="155">
        <f ca="1">SUMIFS(OFFSET(Spaces_Ref,1,Spaces_Sum!$Q$50,2000),OFFSET(Spaces_Ref,1,Spaces_Sum!$D$50,2000),Proj_Sum!$C31,OFFSET(Spaces_Ref,1,Spaces_Sum!$AN$50,2000),0)+SUMIFS(OFFSET(Spaces_Ref,1,Spaces_Sum!$S$50,2000),OFFSET(Spaces_Ref,1,Spaces_Sum!$D$50,2000),Proj_Sum!$C31,OFFSET(Spaces_Ref,1,Spaces_Sum!$AN$50,2000),0)</f>
        <v>0</v>
      </c>
      <c r="O31" s="155">
        <f ca="1">SUMIFS(OFFSET(Spaces_Ref,1,Spaces_Sum!$R$50,2000),OFFSET(Spaces_Ref,1,Spaces_Sum!$D$50,2000),Proj_Sum!$C31,OFFSET(Spaces_Ref,1,Spaces_Sum!$AM$50,2000),1,OFFSET(Spaces_Ref,1,Spaces_Sum!$AN$50,2000),0)+SUMIFS(OFFSET(Spaces_Ref,1,Spaces_Sum!$T$50,2000),OFFSET(Spaces_Ref,1,Spaces_Sum!$D$50,2000),Proj_Sum!$C31,OFFSET(Spaces_Ref,1,Spaces_Sum!$AM$50,2000),1,OFFSET(Spaces_Ref,1,Spaces_Sum!$AN$50,2000),0)</f>
        <v>0</v>
      </c>
      <c r="P31" s="155">
        <f t="shared" ca="1" si="12"/>
        <v>0</v>
      </c>
      <c r="Q31" s="58">
        <f t="shared" ca="1" si="13"/>
        <v>0</v>
      </c>
      <c r="R31" s="58">
        <f t="shared" ca="1" si="14"/>
        <v>0</v>
      </c>
      <c r="S31" s="156">
        <f t="shared" ca="1" si="15"/>
        <v>0</v>
      </c>
    </row>
    <row r="32" spans="2:19" ht="15" thickTop="1" x14ac:dyDescent="0.3">
      <c r="B32" t="s">
        <v>206</v>
      </c>
      <c r="D32">
        <f>SUM(D15:D31)</f>
        <v>8</v>
      </c>
      <c r="F32" s="2">
        <f ca="1">SUMPRODUCT(F15:F31,$D15:$D31)</f>
        <v>119729.68709999998</v>
      </c>
      <c r="G32" s="2">
        <f ca="1">SUMPRODUCT(G15:G31,$D15:$D31)</f>
        <v>1291697.1500000001</v>
      </c>
      <c r="H32" s="2">
        <f t="shared" ref="H32:S32" ca="1" si="16">SUMPRODUCT(H15:H31,$D15:$D31)</f>
        <v>83040.097299999994</v>
      </c>
      <c r="I32" s="2">
        <f t="shared" ca="1" si="16"/>
        <v>830400.63</v>
      </c>
      <c r="J32" s="2">
        <f t="shared" ca="1" si="16"/>
        <v>38936.399999999994</v>
      </c>
      <c r="K32" s="2">
        <f t="shared" ca="1" si="16"/>
        <v>7757</v>
      </c>
      <c r="L32" s="2">
        <f t="shared" ca="1" si="16"/>
        <v>36689.589800000002</v>
      </c>
      <c r="M32" s="2">
        <f t="shared" ca="1" si="16"/>
        <v>455672.75999999995</v>
      </c>
      <c r="N32" s="2">
        <f t="shared" ca="1" si="16"/>
        <v>17388.900000000001</v>
      </c>
      <c r="O32" s="2">
        <f t="shared" ca="1" si="16"/>
        <v>3699.3</v>
      </c>
      <c r="P32" s="2">
        <f ca="1">SUMPRODUCT(P15:P31,$D15:$D31)</f>
        <v>119729.68709999998</v>
      </c>
      <c r="Q32" s="2">
        <f t="shared" ca="1" si="16"/>
        <v>1286073.3900000001</v>
      </c>
      <c r="R32" s="2">
        <f t="shared" ca="1" si="16"/>
        <v>56325.299999999996</v>
      </c>
      <c r="S32" s="2">
        <f t="shared" ca="1" si="16"/>
        <v>11456.3</v>
      </c>
    </row>
    <row r="33" spans="2:20" x14ac:dyDescent="0.3">
      <c r="F33" s="2"/>
      <c r="G33" s="2"/>
      <c r="H33" s="2"/>
      <c r="I33" s="2"/>
      <c r="J33" s="2"/>
      <c r="K33" s="2"/>
      <c r="M33" s="2"/>
      <c r="S33" s="1752">
        <f ca="1">S32/R32</f>
        <v>0.20339527707797384</v>
      </c>
    </row>
    <row r="34" spans="2:20" x14ac:dyDescent="0.3">
      <c r="E34" s="1753" t="s">
        <v>1875</v>
      </c>
      <c r="F34" s="2">
        <f ca="1">F32-P32</f>
        <v>0</v>
      </c>
      <c r="G34" s="2"/>
      <c r="H34" s="2"/>
      <c r="I34" s="2"/>
      <c r="J34" s="2"/>
      <c r="K34" s="2"/>
      <c r="M34" s="2"/>
      <c r="S34" s="1752"/>
    </row>
    <row r="35" spans="2:20" x14ac:dyDescent="0.3">
      <c r="E35" s="1753" t="s">
        <v>100</v>
      </c>
      <c r="F35" s="906">
        <f ca="1">Spaces_Sum!H38</f>
        <v>1332.6484</v>
      </c>
      <c r="G35" s="2"/>
      <c r="H35" s="2"/>
      <c r="I35" s="2"/>
      <c r="J35" s="2"/>
      <c r="K35" s="2"/>
      <c r="M35" s="2"/>
      <c r="S35" s="1752"/>
    </row>
    <row r="36" spans="2:20" x14ac:dyDescent="0.3">
      <c r="E36" s="1753" t="s">
        <v>1876</v>
      </c>
      <c r="F36" s="2">
        <f ca="1">F34-F35</f>
        <v>-1332.6484</v>
      </c>
      <c r="G36" s="2"/>
      <c r="H36" s="2"/>
      <c r="I36" s="2"/>
      <c r="J36" s="2"/>
      <c r="K36" s="2"/>
      <c r="L36" s="2"/>
      <c r="M36" s="2"/>
      <c r="N36" s="2"/>
      <c r="O36" s="2"/>
      <c r="P36" s="2"/>
      <c r="Q36" s="2"/>
      <c r="R36" s="2"/>
      <c r="S36" s="2"/>
    </row>
    <row r="38" spans="2:20" ht="18" x14ac:dyDescent="0.35">
      <c r="B38" s="9" t="s">
        <v>2230</v>
      </c>
    </row>
    <row r="39" spans="2:20" ht="15" thickBot="1" x14ac:dyDescent="0.35">
      <c r="E39">
        <v>1</v>
      </c>
      <c r="F39">
        <f>E39+1</f>
        <v>2</v>
      </c>
      <c r="G39">
        <f t="shared" ref="G39:H39" si="17">F39+1</f>
        <v>3</v>
      </c>
      <c r="H39">
        <f t="shared" si="17"/>
        <v>4</v>
      </c>
      <c r="I39">
        <f t="shared" ref="I39" si="18">H39+1</f>
        <v>5</v>
      </c>
      <c r="J39">
        <f t="shared" ref="J39" si="19">I39+1</f>
        <v>6</v>
      </c>
      <c r="K39">
        <f t="shared" ref="K39" si="20">J39+1</f>
        <v>7</v>
      </c>
      <c r="L39">
        <f t="shared" ref="L39:M39" si="21">K39+1</f>
        <v>8</v>
      </c>
      <c r="M39">
        <f t="shared" si="21"/>
        <v>9</v>
      </c>
    </row>
    <row r="40" spans="2:20" x14ac:dyDescent="0.3">
      <c r="D40" s="584" t="s">
        <v>592</v>
      </c>
      <c r="E40" s="569" t="s">
        <v>157</v>
      </c>
      <c r="F40" s="569" t="s">
        <v>880</v>
      </c>
      <c r="G40" s="569" t="s">
        <v>159</v>
      </c>
      <c r="H40" s="568" t="s">
        <v>1438</v>
      </c>
      <c r="I40" s="569" t="s">
        <v>1439</v>
      </c>
      <c r="J40" s="569"/>
      <c r="K40" s="569"/>
      <c r="L40" s="569" t="s">
        <v>1440</v>
      </c>
      <c r="M40" s="1621" t="s">
        <v>544</v>
      </c>
    </row>
    <row r="41" spans="2:20" x14ac:dyDescent="0.3">
      <c r="C41" s="10"/>
      <c r="D41" s="582"/>
      <c r="E41" s="21"/>
      <c r="F41" s="21"/>
      <c r="G41" s="21" t="s">
        <v>160</v>
      </c>
      <c r="H41" s="582" t="s">
        <v>98</v>
      </c>
      <c r="I41" s="21" t="s">
        <v>98</v>
      </c>
      <c r="J41" s="21" t="s">
        <v>226</v>
      </c>
      <c r="K41" s="21" t="s">
        <v>539</v>
      </c>
      <c r="L41" s="21" t="s">
        <v>746</v>
      </c>
      <c r="M41" s="583" t="s">
        <v>746</v>
      </c>
      <c r="S41" t="s">
        <v>591</v>
      </c>
    </row>
    <row r="42" spans="2:20" x14ac:dyDescent="0.3">
      <c r="C42" s="216">
        <v>1</v>
      </c>
      <c r="D42" s="585">
        <v>1</v>
      </c>
      <c r="E42" t="s">
        <v>860</v>
      </c>
      <c r="F42" t="s">
        <v>842</v>
      </c>
      <c r="H42" s="830">
        <f ca="1">'Unit Loads-Simple'!$N$46</f>
        <v>1.2932014034211974</v>
      </c>
      <c r="I42" s="23">
        <f ca="1">'Unit Loads-Simple'!$K$46</f>
        <v>1.2932014034211974</v>
      </c>
      <c r="J42" t="s">
        <v>979</v>
      </c>
      <c r="K42" cm="1">
        <f t="array" ref="K42">_xlfn.IFS(CompType=S901G_2010_LEED,3285,CompType=S901G_2019,2117)</f>
        <v>2117</v>
      </c>
      <c r="L42" s="1622">
        <f t="shared" ref="L42:L69" ca="1" si="22">H42*$K42/1000</f>
        <v>2.7377073710426747</v>
      </c>
      <c r="M42" s="1623">
        <f t="shared" ref="M42:M69" ca="1" si="23">I42*$K42/1000</f>
        <v>2.7377073710426747</v>
      </c>
      <c r="S42">
        <v>1</v>
      </c>
      <c r="T42" t="s">
        <v>585</v>
      </c>
    </row>
    <row r="43" spans="2:20" x14ac:dyDescent="0.3">
      <c r="C43" s="216">
        <f>1+C42</f>
        <v>2</v>
      </c>
      <c r="D43" s="585">
        <v>1</v>
      </c>
      <c r="E43" t="s">
        <v>876</v>
      </c>
      <c r="F43" t="s">
        <v>842</v>
      </c>
      <c r="H43" s="830">
        <f ca="1">'Unit Loads-Simple'!$N$46</f>
        <v>1.2932014034211974</v>
      </c>
      <c r="I43" s="23">
        <f ca="1">'Unit Loads-Simple'!$K$46</f>
        <v>1.2932014034211974</v>
      </c>
      <c r="J43" t="s">
        <v>979</v>
      </c>
      <c r="K43" cm="1">
        <f t="array" ref="K43">_xlfn.IFS(CompType=S901G_2010_LEED,3285,CompType=S901G_2019,2117)</f>
        <v>2117</v>
      </c>
      <c r="L43" s="1622">
        <f t="shared" ca="1" si="22"/>
        <v>2.7377073710426747</v>
      </c>
      <c r="M43" s="1623">
        <f t="shared" ca="1" si="23"/>
        <v>2.7377073710426747</v>
      </c>
      <c r="S43">
        <v>2</v>
      </c>
      <c r="T43" t="s">
        <v>1010</v>
      </c>
    </row>
    <row r="44" spans="2:20" x14ac:dyDescent="0.3">
      <c r="C44" s="216">
        <f t="shared" ref="C44:C66" si="24">1+C43</f>
        <v>3</v>
      </c>
      <c r="D44" s="585">
        <v>2</v>
      </c>
      <c r="E44" t="s">
        <v>864</v>
      </c>
      <c r="F44" t="s">
        <v>877</v>
      </c>
      <c r="H44" s="830">
        <f>L44/$K44*1000</f>
        <v>0.48706240487062408</v>
      </c>
      <c r="I44" s="23">
        <f>M44/$K44*1000</f>
        <v>0.48706240487062408</v>
      </c>
      <c r="J44" t="s">
        <v>980</v>
      </c>
      <c r="K44">
        <v>3285</v>
      </c>
      <c r="L44" s="1622">
        <v>1.6</v>
      </c>
      <c r="M44" s="1623">
        <f>L44</f>
        <v>1.6</v>
      </c>
      <c r="S44">
        <v>3</v>
      </c>
      <c r="T44" t="s">
        <v>586</v>
      </c>
    </row>
    <row r="45" spans="2:20" x14ac:dyDescent="0.3">
      <c r="C45" s="216">
        <f t="shared" si="24"/>
        <v>4</v>
      </c>
      <c r="D45" s="585">
        <v>2</v>
      </c>
      <c r="E45" t="s">
        <v>1874</v>
      </c>
      <c r="F45" t="s">
        <v>835</v>
      </c>
      <c r="H45" s="830">
        <f>L45/$K45*1000</f>
        <v>0.48706240487062408</v>
      </c>
      <c r="I45" s="23">
        <f>M45/$K45*1000</f>
        <v>0.48706240487062408</v>
      </c>
      <c r="J45" t="s">
        <v>980</v>
      </c>
      <c r="K45">
        <v>3285</v>
      </c>
      <c r="L45" s="1622">
        <v>1.6</v>
      </c>
      <c r="M45" s="1623">
        <f>L45</f>
        <v>1.6</v>
      </c>
      <c r="S45">
        <v>4</v>
      </c>
      <c r="T45" t="s">
        <v>587</v>
      </c>
    </row>
    <row r="46" spans="2:20" x14ac:dyDescent="0.3">
      <c r="C46" s="216">
        <f t="shared" si="24"/>
        <v>5</v>
      </c>
      <c r="D46" s="585">
        <v>2</v>
      </c>
      <c r="E46" t="s">
        <v>1872</v>
      </c>
      <c r="F46" t="s">
        <v>1873</v>
      </c>
      <c r="H46" s="2197">
        <f ca="1">'Lndy Loads-Simple'!$N$39</f>
        <v>28.632771207600054</v>
      </c>
      <c r="I46" s="2198">
        <f ca="1">'Lndy Loads-Simple'!$K$39</f>
        <v>28.632771207600054</v>
      </c>
      <c r="J46" t="s">
        <v>980</v>
      </c>
      <c r="K46">
        <v>3285</v>
      </c>
      <c r="L46" s="1622">
        <f t="shared" ref="L46" ca="1" si="25">H46*$K46/1000</f>
        <v>94.05865341696618</v>
      </c>
      <c r="M46" s="1623">
        <f t="shared" ref="M46" ca="1" si="26">I46*$K46/1000</f>
        <v>94.05865341696618</v>
      </c>
      <c r="S46">
        <v>5</v>
      </c>
      <c r="T46" t="s">
        <v>588</v>
      </c>
    </row>
    <row r="47" spans="2:20" x14ac:dyDescent="0.3">
      <c r="C47" s="216">
        <f t="shared" si="24"/>
        <v>6</v>
      </c>
      <c r="D47" s="585">
        <v>2</v>
      </c>
      <c r="E47" t="s">
        <v>866</v>
      </c>
      <c r="F47" t="s">
        <v>1374</v>
      </c>
      <c r="H47" s="830">
        <f>L47/$K47*1000</f>
        <v>0.48706240487062408</v>
      </c>
      <c r="I47" s="23">
        <f>M47/$K47*1000</f>
        <v>0.48706240487062408</v>
      </c>
      <c r="J47" t="s">
        <v>980</v>
      </c>
      <c r="K47">
        <v>3285</v>
      </c>
      <c r="L47" s="1622">
        <v>1.6</v>
      </c>
      <c r="M47" s="1623">
        <f t="shared" ref="M47:M68" si="27">L47</f>
        <v>1.6</v>
      </c>
      <c r="S47">
        <v>6</v>
      </c>
      <c r="T47" t="s">
        <v>565</v>
      </c>
    </row>
    <row r="48" spans="2:20" x14ac:dyDescent="0.3">
      <c r="C48" s="216">
        <f t="shared" si="24"/>
        <v>7</v>
      </c>
      <c r="D48" s="585">
        <v>2</v>
      </c>
      <c r="E48" t="s">
        <v>867</v>
      </c>
      <c r="F48" t="s">
        <v>153</v>
      </c>
      <c r="H48" s="830">
        <f t="shared" ref="H48:H62" si="28">L48/$K48*1000</f>
        <v>0.21308980213089801</v>
      </c>
      <c r="I48" s="23">
        <f t="shared" ref="I48:I62" si="29">M48/$K48*1000</f>
        <v>0.21308980213089801</v>
      </c>
      <c r="J48" t="s">
        <v>980</v>
      </c>
      <c r="K48">
        <v>3285</v>
      </c>
      <c r="L48" s="1622">
        <v>0.7</v>
      </c>
      <c r="M48" s="1623">
        <f t="shared" si="27"/>
        <v>0.7</v>
      </c>
      <c r="S48">
        <v>7</v>
      </c>
      <c r="T48" t="s">
        <v>560</v>
      </c>
    </row>
    <row r="49" spans="3:20" x14ac:dyDescent="0.3">
      <c r="C49" s="216">
        <f t="shared" si="24"/>
        <v>8</v>
      </c>
      <c r="D49" s="585">
        <v>3</v>
      </c>
      <c r="E49" t="s">
        <v>861</v>
      </c>
      <c r="F49" t="s">
        <v>836</v>
      </c>
      <c r="H49" s="830">
        <f t="shared" si="28"/>
        <v>0.21308980213089801</v>
      </c>
      <c r="I49" s="23">
        <f t="shared" si="29"/>
        <v>0.21308980213089801</v>
      </c>
      <c r="J49" t="s">
        <v>980</v>
      </c>
      <c r="K49">
        <v>3285</v>
      </c>
      <c r="L49" s="1622">
        <v>0.7</v>
      </c>
      <c r="M49" s="1623">
        <f t="shared" si="27"/>
        <v>0.7</v>
      </c>
      <c r="S49">
        <v>8</v>
      </c>
      <c r="T49" t="s">
        <v>589</v>
      </c>
    </row>
    <row r="50" spans="3:20" x14ac:dyDescent="0.3">
      <c r="C50" s="216">
        <f t="shared" si="24"/>
        <v>9</v>
      </c>
      <c r="D50" s="585">
        <v>3</v>
      </c>
      <c r="E50" t="s">
        <v>862</v>
      </c>
      <c r="F50" t="s">
        <v>747</v>
      </c>
      <c r="H50" s="830">
        <f t="shared" si="28"/>
        <v>0.21308980213089801</v>
      </c>
      <c r="I50" s="23">
        <f t="shared" si="29"/>
        <v>0.21308980213089801</v>
      </c>
      <c r="J50" t="s">
        <v>980</v>
      </c>
      <c r="K50">
        <v>3285</v>
      </c>
      <c r="L50" s="1622">
        <v>0.7</v>
      </c>
      <c r="M50" s="1623">
        <f t="shared" si="27"/>
        <v>0.7</v>
      </c>
      <c r="S50">
        <v>9</v>
      </c>
      <c r="T50" t="s">
        <v>977</v>
      </c>
    </row>
    <row r="51" spans="3:20" x14ac:dyDescent="0.3">
      <c r="C51" s="216">
        <f t="shared" si="24"/>
        <v>10</v>
      </c>
      <c r="D51" s="585">
        <v>3</v>
      </c>
      <c r="E51" t="s">
        <v>863</v>
      </c>
      <c r="F51" t="s">
        <v>35</v>
      </c>
      <c r="H51" s="830">
        <f t="shared" si="28"/>
        <v>0.21308980213089801</v>
      </c>
      <c r="I51" s="23">
        <f t="shared" si="29"/>
        <v>0.21308980213089801</v>
      </c>
      <c r="J51" t="s">
        <v>980</v>
      </c>
      <c r="K51">
        <v>3285</v>
      </c>
      <c r="L51" s="1622">
        <v>0.7</v>
      </c>
      <c r="M51" s="1623">
        <f t="shared" si="27"/>
        <v>0.7</v>
      </c>
      <c r="S51">
        <v>10</v>
      </c>
      <c r="T51" t="s">
        <v>1427</v>
      </c>
    </row>
    <row r="52" spans="3:20" x14ac:dyDescent="0.3">
      <c r="C52" s="216">
        <f t="shared" si="24"/>
        <v>11</v>
      </c>
      <c r="D52" s="585">
        <v>3</v>
      </c>
      <c r="E52" t="s">
        <v>868</v>
      </c>
      <c r="F52" t="s">
        <v>836</v>
      </c>
      <c r="H52" s="830">
        <f t="shared" si="28"/>
        <v>0.21308980213089801</v>
      </c>
      <c r="I52" s="23">
        <f t="shared" si="29"/>
        <v>0.21308980213089801</v>
      </c>
      <c r="J52" t="s">
        <v>980</v>
      </c>
      <c r="K52">
        <v>3285</v>
      </c>
      <c r="L52" s="1622">
        <v>0.7</v>
      </c>
      <c r="M52" s="1623">
        <f t="shared" si="27"/>
        <v>0.7</v>
      </c>
    </row>
    <row r="53" spans="3:20" x14ac:dyDescent="0.3">
      <c r="C53" s="216">
        <f t="shared" si="24"/>
        <v>12</v>
      </c>
      <c r="D53" s="585">
        <v>4</v>
      </c>
      <c r="E53" t="s">
        <v>865</v>
      </c>
      <c r="F53" t="s">
        <v>839</v>
      </c>
      <c r="H53" s="830">
        <f t="shared" si="28"/>
        <v>1.6984402079722705</v>
      </c>
      <c r="I53" s="23">
        <f t="shared" si="29"/>
        <v>1.6984402079722705</v>
      </c>
      <c r="J53" t="s">
        <v>981</v>
      </c>
      <c r="K53">
        <v>2885</v>
      </c>
      <c r="L53" s="1624">
        <v>4.9000000000000004</v>
      </c>
      <c r="M53" s="1623">
        <f t="shared" si="27"/>
        <v>4.9000000000000004</v>
      </c>
    </row>
    <row r="54" spans="3:20" x14ac:dyDescent="0.3">
      <c r="C54" s="216">
        <f t="shared" si="24"/>
        <v>13</v>
      </c>
      <c r="D54" s="585">
        <v>4</v>
      </c>
      <c r="E54" t="s">
        <v>1368</v>
      </c>
      <c r="F54" t="s">
        <v>826</v>
      </c>
      <c r="H54" s="830">
        <f t="shared" si="28"/>
        <v>1.6984402079722705</v>
      </c>
      <c r="I54" s="23">
        <f t="shared" si="29"/>
        <v>1.6984402079722705</v>
      </c>
      <c r="J54" t="s">
        <v>981</v>
      </c>
      <c r="K54">
        <v>2885</v>
      </c>
      <c r="L54" s="1624">
        <v>4.9000000000000004</v>
      </c>
      <c r="M54" s="1623">
        <f t="shared" si="27"/>
        <v>4.9000000000000004</v>
      </c>
    </row>
    <row r="55" spans="3:20" x14ac:dyDescent="0.3">
      <c r="D55" s="585">
        <v>5</v>
      </c>
      <c r="E55" t="s">
        <v>1011</v>
      </c>
      <c r="F55" t="s">
        <v>826</v>
      </c>
      <c r="H55" s="830">
        <f t="shared" si="28"/>
        <v>1.6984402079722705</v>
      </c>
      <c r="I55" s="23">
        <f t="shared" si="29"/>
        <v>1.6984402079722705</v>
      </c>
      <c r="J55" t="s">
        <v>981</v>
      </c>
      <c r="K55">
        <v>2885</v>
      </c>
      <c r="L55" s="1624">
        <v>4.9000000000000004</v>
      </c>
      <c r="M55" s="1623">
        <f t="shared" si="27"/>
        <v>4.9000000000000004</v>
      </c>
    </row>
    <row r="56" spans="3:20" x14ac:dyDescent="0.3">
      <c r="C56" s="216">
        <f>1+C53</f>
        <v>13</v>
      </c>
      <c r="D56" s="585">
        <v>6</v>
      </c>
      <c r="E56" t="s">
        <v>869</v>
      </c>
      <c r="F56" t="s">
        <v>843</v>
      </c>
      <c r="H56" s="830">
        <f t="shared" si="28"/>
        <v>0</v>
      </c>
      <c r="I56" s="23">
        <f t="shared" si="29"/>
        <v>0</v>
      </c>
      <c r="J56" t="s">
        <v>982</v>
      </c>
      <c r="K56">
        <v>8760</v>
      </c>
      <c r="L56" s="1624">
        <v>0</v>
      </c>
      <c r="M56" s="1623">
        <f t="shared" si="27"/>
        <v>0</v>
      </c>
    </row>
    <row r="57" spans="3:20" x14ac:dyDescent="0.3">
      <c r="C57" s="216">
        <f t="shared" si="24"/>
        <v>14</v>
      </c>
      <c r="D57" s="585">
        <v>7</v>
      </c>
      <c r="E57" t="s">
        <v>872</v>
      </c>
      <c r="F57" t="s">
        <v>878</v>
      </c>
      <c r="H57" s="830">
        <f t="shared" si="28"/>
        <v>0.21308980213089801</v>
      </c>
      <c r="I57" s="23">
        <f t="shared" si="29"/>
        <v>0.21308980213089801</v>
      </c>
      <c r="J57" t="s">
        <v>980</v>
      </c>
      <c r="K57">
        <v>3285</v>
      </c>
      <c r="L57" s="1622">
        <v>0.7</v>
      </c>
      <c r="M57" s="1623">
        <f t="shared" si="27"/>
        <v>0.7</v>
      </c>
    </row>
    <row r="58" spans="3:20" x14ac:dyDescent="0.3">
      <c r="C58" s="216">
        <f t="shared" si="24"/>
        <v>15</v>
      </c>
      <c r="D58" s="585">
        <v>7</v>
      </c>
      <c r="E58" t="s">
        <v>1426</v>
      </c>
      <c r="F58" t="s">
        <v>878</v>
      </c>
      <c r="H58" s="830">
        <f t="shared" si="28"/>
        <v>0.21308980213089801</v>
      </c>
      <c r="I58" s="23">
        <f t="shared" si="29"/>
        <v>0.21308980213089801</v>
      </c>
      <c r="J58" t="s">
        <v>980</v>
      </c>
      <c r="K58">
        <v>3285</v>
      </c>
      <c r="L58" s="1622">
        <v>0.7</v>
      </c>
      <c r="M58" s="1623">
        <f t="shared" si="27"/>
        <v>0.7</v>
      </c>
    </row>
    <row r="59" spans="3:20" x14ac:dyDescent="0.3">
      <c r="C59" s="216">
        <f t="shared" si="24"/>
        <v>16</v>
      </c>
      <c r="D59" s="585">
        <v>7</v>
      </c>
      <c r="E59" t="s">
        <v>873</v>
      </c>
      <c r="F59" t="s">
        <v>879</v>
      </c>
      <c r="H59" s="830">
        <f t="shared" si="28"/>
        <v>0.21308980213089801</v>
      </c>
      <c r="I59" s="23">
        <f t="shared" si="29"/>
        <v>0.21308980213089801</v>
      </c>
      <c r="J59" t="s">
        <v>980</v>
      </c>
      <c r="K59">
        <v>3285</v>
      </c>
      <c r="L59" s="1622">
        <v>0.7</v>
      </c>
      <c r="M59" s="1623">
        <f t="shared" si="27"/>
        <v>0.7</v>
      </c>
    </row>
    <row r="60" spans="3:20" x14ac:dyDescent="0.3">
      <c r="C60" s="216">
        <f t="shared" si="24"/>
        <v>17</v>
      </c>
      <c r="D60" s="585">
        <v>8</v>
      </c>
      <c r="E60" t="s">
        <v>870</v>
      </c>
      <c r="F60" t="s">
        <v>837</v>
      </c>
      <c r="H60" s="830">
        <f t="shared" si="28"/>
        <v>0.21308980213089801</v>
      </c>
      <c r="I60" s="23">
        <f t="shared" si="29"/>
        <v>0.21308980213089801</v>
      </c>
      <c r="J60" t="s">
        <v>980</v>
      </c>
      <c r="K60">
        <v>3285</v>
      </c>
      <c r="L60" s="1622">
        <v>0.7</v>
      </c>
      <c r="M60" s="1623">
        <f t="shared" si="27"/>
        <v>0.7</v>
      </c>
    </row>
    <row r="61" spans="3:20" x14ac:dyDescent="0.3">
      <c r="C61" s="216">
        <f t="shared" si="24"/>
        <v>18</v>
      </c>
      <c r="D61" s="585">
        <v>8</v>
      </c>
      <c r="E61" t="s">
        <v>1422</v>
      </c>
      <c r="F61" t="s">
        <v>156</v>
      </c>
      <c r="H61" s="830">
        <f t="shared" si="28"/>
        <v>0.55459272097053736</v>
      </c>
      <c r="I61" s="23">
        <f t="shared" si="29"/>
        <v>0.55459272097053736</v>
      </c>
      <c r="J61" t="s">
        <v>981</v>
      </c>
      <c r="K61">
        <v>2885</v>
      </c>
      <c r="L61" s="1622">
        <v>1.6</v>
      </c>
      <c r="M61" s="1623">
        <f t="shared" si="27"/>
        <v>1.6</v>
      </c>
    </row>
    <row r="62" spans="3:20" x14ac:dyDescent="0.3">
      <c r="C62" s="216">
        <f t="shared" si="24"/>
        <v>19</v>
      </c>
      <c r="D62" s="585">
        <v>8</v>
      </c>
      <c r="E62" t="s">
        <v>874</v>
      </c>
      <c r="F62" t="s">
        <v>878</v>
      </c>
      <c r="H62" s="830">
        <f t="shared" si="28"/>
        <v>0.21308980213089801</v>
      </c>
      <c r="I62" s="23">
        <f t="shared" si="29"/>
        <v>0.21308980213089801</v>
      </c>
      <c r="J62" t="s">
        <v>980</v>
      </c>
      <c r="K62">
        <v>3285</v>
      </c>
      <c r="L62" s="1622">
        <v>0.7</v>
      </c>
      <c r="M62" s="1623">
        <f t="shared" si="27"/>
        <v>0.7</v>
      </c>
    </row>
    <row r="63" spans="3:20" x14ac:dyDescent="0.3">
      <c r="C63" s="216">
        <f t="shared" si="24"/>
        <v>20</v>
      </c>
      <c r="D63" s="585">
        <v>8</v>
      </c>
      <c r="E63" t="s">
        <v>871</v>
      </c>
      <c r="F63" t="s">
        <v>344</v>
      </c>
      <c r="H63" s="61"/>
      <c r="L63" s="1622">
        <f t="shared" si="22"/>
        <v>0</v>
      </c>
      <c r="M63" s="1623">
        <f t="shared" si="27"/>
        <v>0</v>
      </c>
    </row>
    <row r="64" spans="3:20" x14ac:dyDescent="0.3">
      <c r="C64" s="216">
        <f t="shared" si="24"/>
        <v>21</v>
      </c>
      <c r="D64" s="585">
        <v>9</v>
      </c>
      <c r="E64" t="s">
        <v>1948</v>
      </c>
      <c r="F64" t="s">
        <v>784</v>
      </c>
      <c r="H64" s="61"/>
      <c r="L64" s="1622">
        <f t="shared" si="22"/>
        <v>0</v>
      </c>
      <c r="M64" s="1623">
        <f t="shared" si="27"/>
        <v>0</v>
      </c>
    </row>
    <row r="65" spans="2:13" x14ac:dyDescent="0.3">
      <c r="C65" s="216">
        <f t="shared" si="24"/>
        <v>22</v>
      </c>
      <c r="D65" s="585">
        <v>9</v>
      </c>
      <c r="E65" t="s">
        <v>1423</v>
      </c>
      <c r="F65" t="s">
        <v>1424</v>
      </c>
      <c r="H65" s="61"/>
      <c r="L65" s="1622">
        <f t="shared" si="22"/>
        <v>0</v>
      </c>
      <c r="M65" s="1623">
        <f t="shared" si="27"/>
        <v>0</v>
      </c>
    </row>
    <row r="66" spans="2:13" x14ac:dyDescent="0.3">
      <c r="C66" s="216">
        <f t="shared" si="24"/>
        <v>23</v>
      </c>
      <c r="D66" s="585">
        <v>9</v>
      </c>
      <c r="E66" t="s">
        <v>1364</v>
      </c>
      <c r="F66" t="s">
        <v>1425</v>
      </c>
      <c r="H66" s="61"/>
      <c r="L66" s="1622">
        <f t="shared" si="22"/>
        <v>0</v>
      </c>
      <c r="M66" s="1623">
        <f t="shared" si="27"/>
        <v>0</v>
      </c>
    </row>
    <row r="67" spans="2:13" x14ac:dyDescent="0.3">
      <c r="D67" s="585"/>
      <c r="H67" s="61"/>
      <c r="L67" s="1622">
        <f t="shared" si="22"/>
        <v>0</v>
      </c>
      <c r="M67" s="1623">
        <f t="shared" si="27"/>
        <v>0</v>
      </c>
    </row>
    <row r="68" spans="2:13" x14ac:dyDescent="0.3">
      <c r="D68" s="585"/>
      <c r="H68" s="61"/>
      <c r="L68" s="1622">
        <f t="shared" si="22"/>
        <v>0</v>
      </c>
      <c r="M68" s="1623">
        <f t="shared" si="27"/>
        <v>0</v>
      </c>
    </row>
    <row r="69" spans="2:13" ht="15" thickBot="1" x14ac:dyDescent="0.35">
      <c r="D69" s="18">
        <v>0</v>
      </c>
      <c r="E69" s="164"/>
      <c r="F69" s="164"/>
      <c r="G69" s="164"/>
      <c r="H69" s="18"/>
      <c r="I69" s="164"/>
      <c r="J69" s="164"/>
      <c r="K69" s="164"/>
      <c r="L69" s="1625">
        <f t="shared" si="22"/>
        <v>0</v>
      </c>
      <c r="M69" s="1626">
        <f t="shared" si="23"/>
        <v>0</v>
      </c>
    </row>
    <row r="72" spans="2:13" ht="18" x14ac:dyDescent="0.35">
      <c r="B72" s="9" t="s">
        <v>2093</v>
      </c>
    </row>
    <row r="73" spans="2:13" x14ac:dyDescent="0.3">
      <c r="B73" s="231"/>
      <c r="C73" s="2572" t="s">
        <v>2094</v>
      </c>
      <c r="D73" s="2573"/>
      <c r="E73" s="2574"/>
      <c r="F73" s="2575" t="s">
        <v>1875</v>
      </c>
      <c r="G73" s="2576"/>
      <c r="H73" s="2561" t="s">
        <v>2095</v>
      </c>
    </row>
    <row r="74" spans="2:13" x14ac:dyDescent="0.3">
      <c r="B74" s="231"/>
      <c r="C74" s="2169" t="s">
        <v>2096</v>
      </c>
      <c r="D74" s="2563" t="s">
        <v>2097</v>
      </c>
      <c r="E74" s="2564"/>
      <c r="F74" s="2563" t="s">
        <v>2097</v>
      </c>
      <c r="G74" s="2564"/>
      <c r="H74" s="2562"/>
    </row>
    <row r="75" spans="2:13" x14ac:dyDescent="0.3">
      <c r="B75" s="2568" t="s">
        <v>13</v>
      </c>
      <c r="C75" s="2171" t="s">
        <v>2098</v>
      </c>
      <c r="D75" s="2172" t="s">
        <v>2098</v>
      </c>
      <c r="E75" s="2170" t="s">
        <v>2099</v>
      </c>
      <c r="F75" s="2172" t="s">
        <v>2098</v>
      </c>
      <c r="G75" s="2170" t="s">
        <v>2099</v>
      </c>
      <c r="H75" s="2171" t="s">
        <v>537</v>
      </c>
    </row>
    <row r="76" spans="2:13" x14ac:dyDescent="0.3">
      <c r="B76" s="2569"/>
      <c r="C76" s="2171" t="s">
        <v>302</v>
      </c>
      <c r="D76" s="2172" t="s">
        <v>302</v>
      </c>
      <c r="E76" s="2173" t="s">
        <v>302</v>
      </c>
      <c r="F76" s="2172" t="s">
        <v>302</v>
      </c>
      <c r="G76" s="2171" t="s">
        <v>302</v>
      </c>
      <c r="H76" s="2171" t="s">
        <v>302</v>
      </c>
    </row>
    <row r="77" spans="2:13" x14ac:dyDescent="0.3">
      <c r="B77" s="2174" t="s">
        <v>165</v>
      </c>
      <c r="C77" s="2175">
        <f ca="1">SUMIF(Spaces_Sum!$D$23:$D$47,1,Spaces_Sum!$I$23:$I$47)</f>
        <v>83040.097299999965</v>
      </c>
      <c r="D77" s="2176">
        <v>0</v>
      </c>
      <c r="E77" s="2175">
        <v>0</v>
      </c>
      <c r="F77" s="2177">
        <v>0</v>
      </c>
      <c r="G77" s="2175">
        <v>0</v>
      </c>
      <c r="H77" s="2175">
        <f ca="1">SUM(C77:G77)</f>
        <v>83040.097299999965</v>
      </c>
    </row>
    <row r="78" spans="2:13" x14ac:dyDescent="0.3">
      <c r="B78" s="2178" t="s">
        <v>2100</v>
      </c>
      <c r="C78" s="2179" cm="1">
        <f t="array" ref="C78">SUM(SUMIF(Spaces_Sum!$D$23:$D$47,{2,3,4},Spaces_Sum!$I$23:$I$47))-SUM(SUMIF(Spaces_Sum!$E$23:$E$47,{"Strs","Vest"},Spaces_Sum!$I$23:$I$47))</f>
        <v>3269.3189000000007</v>
      </c>
      <c r="D78" s="2180" cm="1">
        <f t="array" aca="1" ref="D78" ca="1">SUM(SUMIF(Spaces_Sum!$D$23:$D$47,{7,8},Spaces_Sum!$I$23:$I$47))+SUM(SUMIF(Spaces_Sum!$E$23:$E$47,{"Strs","Vest"},Spaces_Sum!$I$23:$I$47))-SUMIF(Spaces_Sum!$E$23:$E$47,"Elev",Spaces_Sum!$I$23:$I$47)</f>
        <v>10805.878700000001</v>
      </c>
      <c r="E78" s="2179">
        <f ca="1">SUMIF(Spaces_Sum!$E$23:$E$47,"Elev",Spaces_Sum!$I$23:$I$47)+SUMIF(Spaces_Sum!$D$23:$D$47,9,Spaces_Sum!$I$23:$I$47)</f>
        <v>2650.0201999999999</v>
      </c>
      <c r="F78" s="2181" cm="1">
        <f t="array" ref="F78">SUM(SUMIF(Spaces_Sum!$D$23:$D$47,{2,3,4,7,8},Spaces_Sum!$J$23:$J$47))</f>
        <v>1878.5022999999999</v>
      </c>
      <c r="G78" s="2179">
        <f ca="1">SUMIF(Spaces_Sum!$D$23:$D$47,9,Spaces_Sum!$J$23:$J$47)</f>
        <v>0</v>
      </c>
      <c r="H78" s="2179">
        <f ca="1">SUM(C78:G78)</f>
        <v>18603.720100000002</v>
      </c>
    </row>
    <row r="79" spans="2:13" x14ac:dyDescent="0.3">
      <c r="B79" s="2178" t="s">
        <v>2101</v>
      </c>
      <c r="C79" s="2179">
        <f ca="1">SUMIF(Spaces_Sum!$D$23:$D$47,5,Spaces_Sum!$I$23:$I$47)</f>
        <v>7487.0558999999994</v>
      </c>
      <c r="D79" s="2180">
        <v>0</v>
      </c>
      <c r="E79" s="2179">
        <v>0</v>
      </c>
      <c r="F79" s="2179">
        <f ca="1">SUMIF(Spaces_Sum!$D$23:$D$47,5,Spaces_Sum!$J$23:$J$47)</f>
        <v>0</v>
      </c>
      <c r="G79" s="2179">
        <v>0</v>
      </c>
      <c r="H79" s="2179">
        <f ca="1">SUM(C79:G79)</f>
        <v>7487.0558999999994</v>
      </c>
    </row>
    <row r="80" spans="2:13" ht="15" thickBot="1" x14ac:dyDescent="0.35">
      <c r="B80" s="2182" t="s">
        <v>100</v>
      </c>
      <c r="C80" s="2183">
        <v>0</v>
      </c>
      <c r="D80" s="2184">
        <v>0</v>
      </c>
      <c r="E80" s="2183">
        <v>0</v>
      </c>
      <c r="F80" s="2185">
        <f ca="1">SUMIF(Spaces_Sum!$D$23:$D$47,6,Spaces_Sum!$J$23:$J$47)</f>
        <v>0</v>
      </c>
      <c r="G80" s="2183">
        <v>0</v>
      </c>
      <c r="H80" s="2183">
        <f ca="1">SUM(C80:G80)</f>
        <v>0</v>
      </c>
    </row>
    <row r="81" spans="2:10" ht="15" thickTop="1" x14ac:dyDescent="0.3">
      <c r="B81" s="2186" t="s">
        <v>209</v>
      </c>
      <c r="C81" s="2187">
        <f t="shared" ref="C81:H81" ca="1" si="30">SUM(C77:C80)</f>
        <v>93796.472099999955</v>
      </c>
      <c r="D81" s="2188">
        <f t="shared" ca="1" si="30"/>
        <v>10805.878700000001</v>
      </c>
      <c r="E81" s="2187">
        <f t="shared" ca="1" si="30"/>
        <v>2650.0201999999999</v>
      </c>
      <c r="F81" s="2188">
        <f t="shared" ca="1" si="30"/>
        <v>1878.5022999999999</v>
      </c>
      <c r="G81" s="2187">
        <f t="shared" ca="1" si="30"/>
        <v>0</v>
      </c>
      <c r="H81" s="2187">
        <f t="shared" ca="1" si="30"/>
        <v>109130.87329999998</v>
      </c>
    </row>
    <row r="82" spans="2:10" x14ac:dyDescent="0.3">
      <c r="B82" s="231"/>
      <c r="C82" s="2570">
        <f ca="1">SUM($C$81:$E$81)</f>
        <v>107252.37099999996</v>
      </c>
      <c r="D82" s="2570"/>
      <c r="E82" s="2570"/>
      <c r="F82" s="2570">
        <f ca="1">SUM($F$81:$G$81)</f>
        <v>1878.5022999999999</v>
      </c>
      <c r="G82" s="2571"/>
      <c r="H82" s="2189">
        <f ca="1">SUM($C$82:$G$82)</f>
        <v>109130.87329999995</v>
      </c>
    </row>
    <row r="83" spans="2:10" x14ac:dyDescent="0.3">
      <c r="B83" s="231" t="s">
        <v>2102</v>
      </c>
      <c r="C83" t="s">
        <v>2103</v>
      </c>
      <c r="D83" t="s">
        <v>2104</v>
      </c>
      <c r="E83" t="s">
        <v>2105</v>
      </c>
      <c r="F83" t="s">
        <v>2106</v>
      </c>
      <c r="G83" t="s">
        <v>2107</v>
      </c>
    </row>
    <row r="85" spans="2:10" s="24" customFormat="1" ht="28.8" x14ac:dyDescent="0.3">
      <c r="B85" s="2293" t="s">
        <v>2217</v>
      </c>
      <c r="C85" s="2293" t="s">
        <v>2218</v>
      </c>
      <c r="D85" s="2293" t="s">
        <v>2219</v>
      </c>
      <c r="E85" s="2293" t="s">
        <v>2220</v>
      </c>
      <c r="F85" s="2293" t="s">
        <v>2221</v>
      </c>
      <c r="G85" s="2293" t="s">
        <v>2222</v>
      </c>
      <c r="H85" s="2292" t="s">
        <v>71</v>
      </c>
      <c r="I85" s="2292" t="s">
        <v>71</v>
      </c>
      <c r="J85" s="2292" t="s">
        <v>71</v>
      </c>
    </row>
    <row r="86" spans="2:10" ht="72" x14ac:dyDescent="0.3">
      <c r="B86" s="2556" t="s">
        <v>165</v>
      </c>
      <c r="C86" s="2288" t="s">
        <v>2223</v>
      </c>
      <c r="D86" s="2289">
        <f ca="1">SUMIF(Spaces_Sum!$D$23:$D$48,H86,Spaces_Sum!$H$23:$H$48)+SUMIF(Spaces_Sum!$D$23:$D$48,I86,Spaces_Sum!$H$23:$H$48)+SUMIF(Spaces_Sum!$D$23:$D$48,J86,Spaces_Sum!$H$23:$H$48)</f>
        <v>83040.097299999965</v>
      </c>
      <c r="E86" s="2289">
        <f ca="1">SUMIF(Spaces_Sum!$D$23:$D$48,I86,Spaces_Sum!$I$23:$I$48)+SUMIF(Spaces_Sum!$D$23:$D$48,H86,Spaces_Sum!$I$23:$I$48)+SUMIF(Spaces_Sum!$D$23:$D$48,J86,Spaces_Sum!$I$23:$I$48)</f>
        <v>83040.097299999965</v>
      </c>
      <c r="F86" s="2289">
        <f ca="1">SUMIF(Spaces_Sum!$D$23:$D$48,H86,Spaces_Sum!$J$23:$J$48)+SUMIF(Spaces_Sum!$D$23:$D$48,I86,Spaces_Sum!$J$23:$J$48)+SUMIF(Spaces_Sum!$D$23:$D$48,J86,Spaces_Sum!$J$23:$J$48)</f>
        <v>0</v>
      </c>
      <c r="G86" s="17" t="s">
        <v>2224</v>
      </c>
      <c r="H86">
        <v>1</v>
      </c>
    </row>
    <row r="87" spans="2:10" ht="86.4" x14ac:dyDescent="0.3">
      <c r="B87" s="2556"/>
      <c r="C87" s="2288" t="s">
        <v>1010</v>
      </c>
      <c r="D87" s="2289">
        <f ca="1">SUMIF(Spaces_Sum!$D$23:$D$48,H87,Spaces_Sum!$H$23:$H$48)+SUMIF(Spaces_Sum!$D$23:$D$48,I87,Spaces_Sum!$H$23:$H$48)+SUMIF(Spaces_Sum!$D$23:$D$48,J87,Spaces_Sum!$H$23:$H$48)</f>
        <v>4060.1532000000002</v>
      </c>
      <c r="E87" s="2289">
        <f ca="1">SUMIF(Spaces_Sum!$D$23:$D$48,I87,Spaces_Sum!$I$23:$I$48)+SUMIF(Spaces_Sum!$D$23:$D$48,H87,Spaces_Sum!$I$23:$I$48)+SUMIF(Spaces_Sum!$D$23:$D$48,J87,Spaces_Sum!$I$23:$I$48)</f>
        <v>4060.1532000000002</v>
      </c>
      <c r="F87" s="2289">
        <f ca="1">SUMIF(Spaces_Sum!$D$23:$D$48,H87,Spaces_Sum!$J$23:$J$48)+SUMIF(Spaces_Sum!$D$23:$D$48,I87,Spaces_Sum!$J$23:$J$48)+SUMIF(Spaces_Sum!$D$23:$D$48,J87,Spaces_Sum!$J$23:$J$48)</f>
        <v>0</v>
      </c>
      <c r="G87" s="17" t="s">
        <v>2231</v>
      </c>
      <c r="H87">
        <v>2</v>
      </c>
      <c r="I87">
        <v>4</v>
      </c>
    </row>
    <row r="88" spans="2:10" x14ac:dyDescent="0.3">
      <c r="B88" s="2556"/>
      <c r="C88" s="2288" t="s">
        <v>586</v>
      </c>
      <c r="D88" s="2289">
        <f ca="1">SUMIF(Spaces_Sum!$D$23:$D$48,H88,Spaces_Sum!$H$23:$H$48)+SUMIF(Spaces_Sum!$D$23:$D$48,I88,Spaces_Sum!$H$23:$H$48)+SUMIF(Spaces_Sum!$D$23:$D$48,J88,Spaces_Sum!$H$23:$H$48)</f>
        <v>15475.367999999999</v>
      </c>
      <c r="E88" s="2289">
        <f ca="1">SUMIF(Spaces_Sum!$D$23:$D$48,I88,Spaces_Sum!$I$23:$I$48)+SUMIF(Spaces_Sum!$D$23:$D$48,H88,Spaces_Sum!$I$23:$I$48)+SUMIF(Spaces_Sum!$D$23:$D$48,J88,Spaces_Sum!$I$23:$I$48)</f>
        <v>15475.367999999999</v>
      </c>
      <c r="F88" s="2289">
        <f ca="1">SUMIF(Spaces_Sum!$D$23:$D$48,H88,Spaces_Sum!$J$23:$J$48)+SUMIF(Spaces_Sum!$D$23:$D$48,I88,Spaces_Sum!$J$23:$J$48)+SUMIF(Spaces_Sum!$D$23:$D$48,J88,Spaces_Sum!$J$23:$J$48)</f>
        <v>0</v>
      </c>
      <c r="G88" s="2288" t="s">
        <v>2225</v>
      </c>
      <c r="H88">
        <v>3</v>
      </c>
    </row>
    <row r="89" spans="2:10" x14ac:dyDescent="0.3">
      <c r="B89" s="2556"/>
      <c r="C89" s="2288" t="s">
        <v>2226</v>
      </c>
      <c r="D89" s="2289">
        <f ca="1">SUMIF(Spaces_Sum!$D$23:$D$48,H89,Spaces_Sum!$H$23:$H$48)+SUMIF(Spaces_Sum!$D$23:$D$48,I89,Spaces_Sum!$H$23:$H$48)+SUMIF(Spaces_Sum!$D$23:$D$48,J89,Spaces_Sum!$H$23:$H$48)</f>
        <v>9667.0126999999993</v>
      </c>
      <c r="E89" s="2289">
        <f ca="1">SUMIF(Spaces_Sum!$D$23:$D$48,I89,Spaces_Sum!$I$23:$I$48)+SUMIF(Spaces_Sum!$D$23:$D$48,H89,Spaces_Sum!$I$23:$I$48)+SUMIF(Spaces_Sum!$D$23:$D$48,J89,Spaces_Sum!$I$23:$I$48)</f>
        <v>9667.0126999999993</v>
      </c>
      <c r="F89" s="2289">
        <f ca="1">SUMIF(Spaces_Sum!$D$23:$D$48,H89,Spaces_Sum!$J$23:$J$48)+SUMIF(Spaces_Sum!$D$23:$D$48,I89,Spaces_Sum!$J$23:$J$48)+SUMIF(Spaces_Sum!$D$23:$D$48,J89,Spaces_Sum!$J$23:$J$48)</f>
        <v>0</v>
      </c>
      <c r="G89" s="2288" t="s">
        <v>2225</v>
      </c>
      <c r="H89">
        <v>7</v>
      </c>
      <c r="I89">
        <v>8</v>
      </c>
    </row>
    <row r="90" spans="2:10" x14ac:dyDescent="0.3">
      <c r="B90" s="2288" t="s">
        <v>218</v>
      </c>
      <c r="C90" s="2288" t="s">
        <v>588</v>
      </c>
      <c r="D90" s="2289">
        <f ca="1">SUMIF(Spaces_Sum!$D$23:$D$48,H90,Spaces_Sum!$H$23:$H$48)+SUMIF(Spaces_Sum!$D$23:$D$48,I90,Spaces_Sum!$H$23:$H$48)+SUMIF(Spaces_Sum!$D$23:$D$48,J90,Spaces_Sum!$H$23:$H$48)</f>
        <v>7487.0558999999994</v>
      </c>
      <c r="E90" s="2289">
        <f ca="1">SUMIF(Spaces_Sum!$D$23:$D$48,I90,Spaces_Sum!$I$23:$I$48)+SUMIF(Spaces_Sum!$D$23:$D$48,H90,Spaces_Sum!$I$23:$I$48)+SUMIF(Spaces_Sum!$D$23:$D$48,J90,Spaces_Sum!$I$23:$I$48)</f>
        <v>7487.0558999999994</v>
      </c>
      <c r="F90" s="2289">
        <f ca="1">SUMIF(Spaces_Sum!$D$23:$D$48,H90,Spaces_Sum!$J$23:$J$48)+SUMIF(Spaces_Sum!$D$23:$D$48,I90,Spaces_Sum!$J$23:$J$48)+SUMIF(Spaces_Sum!$D$23:$D$48,J90,Spaces_Sum!$J$23:$J$48)</f>
        <v>0</v>
      </c>
      <c r="G90" s="2288" t="s">
        <v>2227</v>
      </c>
      <c r="H90">
        <v>5</v>
      </c>
    </row>
    <row r="91" spans="2:10" x14ac:dyDescent="0.3">
      <c r="B91" s="2288" t="s">
        <v>103</v>
      </c>
      <c r="C91" s="2288" t="s">
        <v>565</v>
      </c>
      <c r="D91" s="2289">
        <f ca="1">SUMIF(Spaces_Sum!$D$23:$D$48,H91,Spaces_Sum!$H$23:$H$48)+SUMIF(Spaces_Sum!$D$23:$D$48,I91,Spaces_Sum!$H$23:$H$48)+SUMIF(Spaces_Sum!$D$23:$D$48,J91,Spaces_Sum!$H$23:$H$48)</f>
        <v>0</v>
      </c>
      <c r="E91" s="2289">
        <f ca="1">SUMIF(Spaces_Sum!$D$23:$D$48,I91,Spaces_Sum!$I$23:$I$48)+SUMIF(Spaces_Sum!$D$23:$D$48,H91,Spaces_Sum!$I$23:$I$48)+SUMIF(Spaces_Sum!$D$23:$D$48,J91,Spaces_Sum!$I$23:$I$48)</f>
        <v>0</v>
      </c>
      <c r="F91" s="2289">
        <f ca="1">SUMIF(Spaces_Sum!$D$23:$D$48,H91,Spaces_Sum!$J$23:$J$48)+SUMIF(Spaces_Sum!$D$23:$D$48,I91,Spaces_Sum!$J$23:$J$48)+SUMIF(Spaces_Sum!$D$23:$D$48,J91,Spaces_Sum!$J$23:$J$48)</f>
        <v>0</v>
      </c>
      <c r="G91" s="2288" t="s">
        <v>2228</v>
      </c>
      <c r="H91">
        <v>6</v>
      </c>
    </row>
    <row r="92" spans="2:10" x14ac:dyDescent="0.3">
      <c r="B92" s="2290" t="s">
        <v>41</v>
      </c>
      <c r="C92" s="2290"/>
      <c r="D92" s="2291">
        <f ca="1">SUM(D86:D91)</f>
        <v>119729.68709999998</v>
      </c>
      <c r="E92" s="2291">
        <f ca="1">SUM(E86:E91)</f>
        <v>119729.68709999998</v>
      </c>
      <c r="F92" s="2291">
        <f ca="1">SUM(F86:F91)</f>
        <v>0</v>
      </c>
      <c r="G92" s="2290"/>
    </row>
    <row r="93" spans="2:10" x14ac:dyDescent="0.3">
      <c r="H93" s="2557" t="s">
        <v>2229</v>
      </c>
      <c r="I93" s="2557"/>
      <c r="J93" s="2557"/>
    </row>
  </sheetData>
  <sortState xmlns:xlrd2="http://schemas.microsoft.com/office/spreadsheetml/2017/richdata2" ref="U7:Y24">
    <sortCondition ref="V7:V24"/>
  </sortState>
  <mergeCells count="15">
    <mergeCell ref="P12:S12"/>
    <mergeCell ref="H11:S11"/>
    <mergeCell ref="B75:B76"/>
    <mergeCell ref="C82:E82"/>
    <mergeCell ref="F82:G82"/>
    <mergeCell ref="C73:E73"/>
    <mergeCell ref="F73:G73"/>
    <mergeCell ref="B86:B89"/>
    <mergeCell ref="H93:J93"/>
    <mergeCell ref="F12:G12"/>
    <mergeCell ref="H12:K12"/>
    <mergeCell ref="L12:O12"/>
    <mergeCell ref="H73:H74"/>
    <mergeCell ref="D74:E74"/>
    <mergeCell ref="F74:G74"/>
  </mergeCells>
  <phoneticPr fontId="22" type="noConversion"/>
  <conditionalFormatting sqref="C82:E82">
    <cfRule type="cellIs" dxfId="52" priority="3" operator="notEqual">
      <formula>$P$32</formula>
    </cfRule>
  </conditionalFormatting>
  <conditionalFormatting sqref="F82:G82">
    <cfRule type="cellIs" dxfId="51" priority="2" operator="notEqual">
      <formula>$F$34</formula>
    </cfRule>
  </conditionalFormatting>
  <conditionalFormatting sqref="H82">
    <cfRule type="cellIs" dxfId="50" priority="1" operator="notEqual">
      <formula>$F$32</formula>
    </cfRule>
  </conditionalFormatting>
  <dataValidations count="1">
    <dataValidation type="list" allowBlank="1" showInputMessage="1" showErrorMessage="1" sqref="B6" xr:uid="{6D49F11D-0993-42F9-9AE0-0C9528668310}">
      <formula1>$Q$2:$Q$3</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00FF00"/>
    <pageSetUpPr fitToPage="1"/>
  </sheetPr>
  <dimension ref="A1:AX168"/>
  <sheetViews>
    <sheetView topLeftCell="A63" zoomScale="70" zoomScaleNormal="70" workbookViewId="0">
      <selection activeCell="M82" sqref="M82"/>
    </sheetView>
  </sheetViews>
  <sheetFormatPr defaultColWidth="9.109375" defaultRowHeight="14.4" outlineLevelRow="1" outlineLevelCol="1" x14ac:dyDescent="0.3"/>
  <cols>
    <col min="1" max="1" width="17.33203125" customWidth="1"/>
    <col min="2" max="2" width="19.33203125" customWidth="1"/>
    <col min="3" max="3" width="17.109375" customWidth="1"/>
    <col min="4" max="4" width="12.88671875" customWidth="1"/>
    <col min="5" max="5" width="11.5546875" customWidth="1"/>
    <col min="6" max="6" width="9.33203125" customWidth="1"/>
    <col min="7" max="7" width="10.88671875" customWidth="1"/>
    <col min="8" max="8" width="9.109375" customWidth="1"/>
    <col min="9" max="9" width="8.6640625" customWidth="1"/>
    <col min="10" max="12" width="15.88671875" customWidth="1"/>
    <col min="13" max="14" width="13.44140625" customWidth="1"/>
    <col min="15" max="15" width="14.88671875" customWidth="1"/>
    <col min="16" max="16" width="14.88671875" hidden="1" customWidth="1" outlineLevel="1"/>
    <col min="17" max="18" width="15.5546875" hidden="1" customWidth="1" outlineLevel="1"/>
    <col min="19" max="22" width="15.88671875" hidden="1" customWidth="1" outlineLevel="1"/>
    <col min="23" max="23" width="14.5546875" hidden="1" customWidth="1" outlineLevel="1"/>
    <col min="24" max="26" width="15.88671875" hidden="1" customWidth="1" outlineLevel="1"/>
    <col min="27" max="27" width="14.5546875" hidden="1" customWidth="1" outlineLevel="1"/>
    <col min="28" max="28" width="15.88671875" hidden="1" customWidth="1" outlineLevel="1"/>
    <col min="29" max="30" width="14.5546875" hidden="1" customWidth="1" outlineLevel="1"/>
    <col min="31" max="32" width="11.109375" hidden="1" customWidth="1" outlineLevel="1"/>
    <col min="33" max="33" width="10.109375" hidden="1" customWidth="1" outlineLevel="1"/>
    <col min="34" max="34" width="13.44140625" customWidth="1" collapsed="1"/>
    <col min="35" max="37" width="13.44140625" customWidth="1"/>
    <col min="38" max="49" width="17" customWidth="1"/>
    <col min="50" max="50" width="8.44140625" customWidth="1"/>
  </cols>
  <sheetData>
    <row r="1" spans="1:50" ht="18" x14ac:dyDescent="0.35">
      <c r="A1" s="9" t="s">
        <v>239</v>
      </c>
    </row>
    <row r="2" spans="1:50" x14ac:dyDescent="0.3">
      <c r="A2" s="163" t="s">
        <v>752</v>
      </c>
      <c r="B2" s="548" t="s">
        <v>1977</v>
      </c>
    </row>
    <row r="3" spans="1:50" x14ac:dyDescent="0.3">
      <c r="A3" s="163" t="s">
        <v>753</v>
      </c>
      <c r="B3" s="163" t="s">
        <v>1978</v>
      </c>
      <c r="N3">
        <f ca="1">AK3*$E$78*AK5/24</f>
        <v>0</v>
      </c>
    </row>
    <row r="5" spans="1:50" x14ac:dyDescent="0.3">
      <c r="B5" t="s">
        <v>271</v>
      </c>
    </row>
    <row r="6" spans="1:50" x14ac:dyDescent="0.3">
      <c r="C6" t="s">
        <v>359</v>
      </c>
      <c r="D6" t="s">
        <v>360</v>
      </c>
      <c r="N6">
        <f ca="1">AK6*$E$78*AK8/24</f>
        <v>0</v>
      </c>
    </row>
    <row r="7" spans="1:50" x14ac:dyDescent="0.3">
      <c r="B7" t="s">
        <v>785</v>
      </c>
      <c r="C7">
        <v>1</v>
      </c>
      <c r="D7">
        <v>0.56999999999999995</v>
      </c>
      <c r="N7" s="1910"/>
    </row>
    <row r="8" spans="1:50" x14ac:dyDescent="0.3">
      <c r="B8" t="s">
        <v>358</v>
      </c>
      <c r="C8">
        <v>0</v>
      </c>
      <c r="D8">
        <v>1</v>
      </c>
    </row>
    <row r="9" spans="1:50" ht="15" x14ac:dyDescent="0.35">
      <c r="B9" t="s">
        <v>438</v>
      </c>
      <c r="C9">
        <v>1</v>
      </c>
      <c r="D9">
        <v>1</v>
      </c>
      <c r="AK9" s="2120" t="s">
        <v>2066</v>
      </c>
      <c r="AL9" s="2238">
        <v>1.25</v>
      </c>
      <c r="AM9" t="s">
        <v>2067</v>
      </c>
      <c r="AN9" s="2578"/>
      <c r="AO9" s="2578"/>
    </row>
    <row r="10" spans="1:50" x14ac:dyDescent="0.3">
      <c r="B10" t="s">
        <v>81</v>
      </c>
      <c r="AK10" s="1753" t="s">
        <v>2253</v>
      </c>
      <c r="AL10" s="1">
        <v>110</v>
      </c>
      <c r="AN10" s="2578"/>
      <c r="AO10" s="2578"/>
    </row>
    <row r="11" spans="1:50" x14ac:dyDescent="0.3">
      <c r="B11" s="192" t="s">
        <v>361</v>
      </c>
      <c r="AI11" t="s">
        <v>269</v>
      </c>
    </row>
    <row r="12" spans="1:50" x14ac:dyDescent="0.3">
      <c r="C12" t="s">
        <v>363</v>
      </c>
      <c r="D12" t="s">
        <v>362</v>
      </c>
      <c r="AL12">
        <v>0</v>
      </c>
      <c r="AM12">
        <v>1</v>
      </c>
      <c r="AN12">
        <v>0</v>
      </c>
      <c r="AO12">
        <v>1</v>
      </c>
      <c r="AP12">
        <v>0</v>
      </c>
      <c r="AQ12">
        <v>1</v>
      </c>
      <c r="AR12">
        <v>0</v>
      </c>
      <c r="AS12">
        <v>1</v>
      </c>
      <c r="AT12">
        <v>0</v>
      </c>
      <c r="AU12">
        <v>1</v>
      </c>
      <c r="AW12">
        <v>0</v>
      </c>
    </row>
    <row r="13" spans="1:50" s="24" customFormat="1" ht="28.8" x14ac:dyDescent="0.3">
      <c r="B13" s="938" t="s">
        <v>358</v>
      </c>
      <c r="C13" s="24">
        <f ca="1">OFFSET($B$6,MATCH($B13,$B$7:$B$10,0),1)</f>
        <v>0</v>
      </c>
      <c r="D13" s="24">
        <f ca="1">OFFSET($B$6,MATCH($B13,$B$7:$B$10,0),2)</f>
        <v>1</v>
      </c>
      <c r="R13" s="939" t="s">
        <v>268</v>
      </c>
      <c r="AK13" s="940" t="s">
        <v>669</v>
      </c>
      <c r="AL13" s="194" t="s">
        <v>2058</v>
      </c>
      <c r="AM13" s="194" t="s">
        <v>2055</v>
      </c>
      <c r="AN13" s="194" t="s">
        <v>2057</v>
      </c>
      <c r="AO13" s="194" t="s">
        <v>2056</v>
      </c>
      <c r="AP13" s="194" t="s">
        <v>1866</v>
      </c>
      <c r="AQ13" s="194" t="s">
        <v>1867</v>
      </c>
      <c r="AR13" s="194" t="s">
        <v>1868</v>
      </c>
      <c r="AS13" s="194" t="s">
        <v>1869</v>
      </c>
      <c r="AT13" s="194" t="s">
        <v>1870</v>
      </c>
      <c r="AU13" s="194" t="s">
        <v>1871</v>
      </c>
      <c r="AV13" s="194" t="s">
        <v>1106</v>
      </c>
      <c r="AW13" s="194" t="s">
        <v>78</v>
      </c>
    </row>
    <row r="14" spans="1:50" x14ac:dyDescent="0.3">
      <c r="D14" s="2"/>
      <c r="Q14" s="2"/>
      <c r="AH14" t="s">
        <v>270</v>
      </c>
      <c r="AL14" s="2279">
        <f>MAX($AL$10-AM14,0)</f>
        <v>65</v>
      </c>
      <c r="AM14" s="2280">
        <v>45</v>
      </c>
      <c r="AN14" s="2279">
        <f>MAX($AL$10-AO14,0)</f>
        <v>60</v>
      </c>
      <c r="AO14" s="2280">
        <v>50</v>
      </c>
      <c r="AP14" s="2279">
        <f>MAX($AL$10-AQ14,0)</f>
        <v>40</v>
      </c>
      <c r="AQ14" s="2280">
        <v>70</v>
      </c>
      <c r="AR14" s="2279">
        <f>MAX($AL$10-AS14,0)</f>
        <v>50</v>
      </c>
      <c r="AS14" s="2280">
        <v>60</v>
      </c>
      <c r="AT14" s="2279">
        <f>MAX($AL$10-AU14,0)</f>
        <v>30</v>
      </c>
      <c r="AU14" s="2280">
        <v>80</v>
      </c>
      <c r="AV14" s="2280">
        <v>50</v>
      </c>
      <c r="AW14" s="2280">
        <v>160</v>
      </c>
    </row>
    <row r="15" spans="1:50" x14ac:dyDescent="0.3">
      <c r="B15" s="153">
        <v>1</v>
      </c>
      <c r="C15" s="153">
        <f>B15+1</f>
        <v>2</v>
      </c>
      <c r="D15" s="153">
        <f t="shared" ref="D15:AM15" si="0">C15+1</f>
        <v>3</v>
      </c>
      <c r="E15" s="153">
        <f t="shared" si="0"/>
        <v>4</v>
      </c>
      <c r="F15" s="153">
        <f t="shared" si="0"/>
        <v>5</v>
      </c>
      <c r="G15" s="153">
        <f t="shared" si="0"/>
        <v>6</v>
      </c>
      <c r="H15" s="153">
        <f t="shared" si="0"/>
        <v>7</v>
      </c>
      <c r="I15" s="153">
        <f t="shared" si="0"/>
        <v>8</v>
      </c>
      <c r="J15" s="153">
        <f t="shared" si="0"/>
        <v>9</v>
      </c>
      <c r="K15" s="153">
        <f t="shared" ref="K15" si="1">J15+1</f>
        <v>10</v>
      </c>
      <c r="L15" s="153">
        <f t="shared" ref="L15" si="2">K15+1</f>
        <v>11</v>
      </c>
      <c r="M15" s="153">
        <f t="shared" ref="M15" si="3">L15+1</f>
        <v>12</v>
      </c>
      <c r="N15" s="153">
        <f t="shared" ref="N15" si="4">M15+1</f>
        <v>13</v>
      </c>
      <c r="O15" s="153">
        <f t="shared" ref="O15" si="5">N15+1</f>
        <v>14</v>
      </c>
      <c r="P15" s="153">
        <f t="shared" ref="P15" si="6">O15+1</f>
        <v>15</v>
      </c>
      <c r="Q15" s="153">
        <f t="shared" ref="Q15" si="7">P15+1</f>
        <v>16</v>
      </c>
      <c r="R15" s="153">
        <f t="shared" si="0"/>
        <v>17</v>
      </c>
      <c r="S15" s="153">
        <f t="shared" si="0"/>
        <v>18</v>
      </c>
      <c r="T15" s="153">
        <f t="shared" si="0"/>
        <v>19</v>
      </c>
      <c r="U15" s="153">
        <f t="shared" ref="U15" si="8">T15+1</f>
        <v>20</v>
      </c>
      <c r="V15" s="153">
        <f t="shared" ref="V15" si="9">U15+1</f>
        <v>21</v>
      </c>
      <c r="W15" s="153">
        <f t="shared" ref="W15" si="10">V15+1</f>
        <v>22</v>
      </c>
      <c r="X15" s="153">
        <f t="shared" ref="X15" si="11">W15+1</f>
        <v>23</v>
      </c>
      <c r="Y15" s="153">
        <f t="shared" ref="Y15" si="12">X15+1</f>
        <v>24</v>
      </c>
      <c r="Z15" s="153">
        <f t="shared" ref="Z15" si="13">Y15+1</f>
        <v>25</v>
      </c>
      <c r="AA15" s="153">
        <f t="shared" ref="AA15" si="14">Z15+1</f>
        <v>26</v>
      </c>
      <c r="AB15" s="153">
        <f t="shared" ref="AB15" si="15">AA15+1</f>
        <v>27</v>
      </c>
      <c r="AC15" s="153">
        <f t="shared" ref="AC15" si="16">AB15+1</f>
        <v>28</v>
      </c>
      <c r="AD15" s="153">
        <f t="shared" ref="AD15" si="17">AC15+1</f>
        <v>29</v>
      </c>
      <c r="AE15" s="153">
        <f t="shared" ref="AE15" si="18">AD15+1</f>
        <v>30</v>
      </c>
      <c r="AF15" s="153">
        <f t="shared" ref="AF15" si="19">AE15+1</f>
        <v>31</v>
      </c>
      <c r="AG15" s="153">
        <f t="shared" si="0"/>
        <v>32</v>
      </c>
      <c r="AH15" s="153">
        <f>AG15+1</f>
        <v>33</v>
      </c>
      <c r="AI15" s="153">
        <f>AH15+1</f>
        <v>34</v>
      </c>
      <c r="AJ15" s="153"/>
      <c r="AK15" s="153">
        <f>AI15+1</f>
        <v>35</v>
      </c>
      <c r="AL15" s="371">
        <f>AK15+1</f>
        <v>36</v>
      </c>
      <c r="AM15" s="371">
        <f t="shared" si="0"/>
        <v>37</v>
      </c>
      <c r="AN15" s="371">
        <f t="shared" ref="AN15" si="20">AM15+1</f>
        <v>38</v>
      </c>
      <c r="AO15" s="371">
        <f t="shared" ref="AO15" si="21">AN15+1</f>
        <v>39</v>
      </c>
      <c r="AP15" s="371">
        <f t="shared" ref="AP15" si="22">AO15+1</f>
        <v>40</v>
      </c>
      <c r="AQ15" s="371">
        <f t="shared" ref="AQ15" si="23">AP15+1</f>
        <v>41</v>
      </c>
      <c r="AR15" s="371">
        <f t="shared" ref="AR15" si="24">AQ15+1</f>
        <v>42</v>
      </c>
      <c r="AS15" s="371">
        <f t="shared" ref="AS15" si="25">AR15+1</f>
        <v>43</v>
      </c>
      <c r="AT15" s="371">
        <f t="shared" ref="AT15" si="26">AS15+1</f>
        <v>44</v>
      </c>
      <c r="AU15" s="371">
        <f t="shared" ref="AU15" si="27">AT15+1</f>
        <v>45</v>
      </c>
      <c r="AV15" s="371">
        <f t="shared" ref="AV15" si="28">AU15+1</f>
        <v>46</v>
      </c>
      <c r="AW15" s="371">
        <f t="shared" ref="AW15" si="29">AV15+1</f>
        <v>47</v>
      </c>
      <c r="AX15" s="153"/>
    </row>
    <row r="16" spans="1:50" ht="43.2" x14ac:dyDescent="0.3">
      <c r="A16" s="152" t="s">
        <v>290</v>
      </c>
      <c r="B16" s="24"/>
      <c r="C16" s="17" t="s">
        <v>754</v>
      </c>
      <c r="D16" s="17" t="s">
        <v>124</v>
      </c>
      <c r="E16" s="17" t="s">
        <v>224</v>
      </c>
      <c r="F16" s="17" t="s">
        <v>96</v>
      </c>
      <c r="G16" s="17" t="s">
        <v>756</v>
      </c>
      <c r="H16" s="17" t="s">
        <v>79</v>
      </c>
      <c r="I16" s="136" t="s">
        <v>107</v>
      </c>
      <c r="J16" s="17" t="s">
        <v>298</v>
      </c>
      <c r="K16" s="17" t="s">
        <v>549</v>
      </c>
      <c r="L16" s="17" t="s">
        <v>716</v>
      </c>
      <c r="M16" s="17" t="s">
        <v>441</v>
      </c>
      <c r="N16" s="217"/>
      <c r="O16" s="214"/>
      <c r="P16" s="233"/>
      <c r="R16" s="134" t="s">
        <v>1535</v>
      </c>
      <c r="S16" s="134" t="s">
        <v>1566</v>
      </c>
      <c r="T16" s="134" t="s">
        <v>1588</v>
      </c>
      <c r="U16" s="134" t="s">
        <v>1863</v>
      </c>
      <c r="V16" s="134" t="s">
        <v>1610</v>
      </c>
      <c r="W16" s="134" t="s">
        <v>1632</v>
      </c>
      <c r="X16" s="134" t="s">
        <v>1664</v>
      </c>
      <c r="Y16" s="134" t="s">
        <v>1681</v>
      </c>
      <c r="Z16" s="134" t="s">
        <v>1864</v>
      </c>
      <c r="AA16" s="134" t="s">
        <v>1702</v>
      </c>
      <c r="AB16" s="134" t="s">
        <v>1723</v>
      </c>
      <c r="AC16" s="134" t="s">
        <v>1747</v>
      </c>
      <c r="AD16" s="134" t="s">
        <v>1770</v>
      </c>
      <c r="AE16" s="134" t="s">
        <v>1865</v>
      </c>
      <c r="AF16" s="134" t="s">
        <v>1792</v>
      </c>
      <c r="AG16" s="144"/>
      <c r="AH16" s="145" t="s">
        <v>297</v>
      </c>
      <c r="AI16" s="145" t="s">
        <v>2284</v>
      </c>
      <c r="AJ16" s="145" t="s">
        <v>2068</v>
      </c>
      <c r="AK16" s="1523" t="s">
        <v>1421</v>
      </c>
      <c r="AL16" s="145" t="str">
        <f t="shared" ref="AL16:AV16" si="30">AL13&amp;" ("&amp;AL14&amp;"cfm)"</f>
        <v>ERV-1, Boost (65cfm)</v>
      </c>
      <c r="AM16" s="145" t="str">
        <f t="shared" si="30"/>
        <v>ERV-1, Continuous (45cfm)</v>
      </c>
      <c r="AN16" s="145" t="str">
        <f t="shared" si="30"/>
        <v>ERV-2, Boost (60cfm)</v>
      </c>
      <c r="AO16" s="145" t="str">
        <f t="shared" si="30"/>
        <v>ERV-2, Continuous (50cfm)</v>
      </c>
      <c r="AP16" s="145" t="str">
        <f t="shared" si="30"/>
        <v>WEF-3, Boost (40cfm)</v>
      </c>
      <c r="AQ16" s="145" t="str">
        <f t="shared" si="30"/>
        <v>WEF-3, Continuous (70cfm)</v>
      </c>
      <c r="AR16" s="145" t="str">
        <f t="shared" si="30"/>
        <v>WEF-4, Boost (50cfm)</v>
      </c>
      <c r="AS16" s="145" t="str">
        <f t="shared" ref="AS16" si="31">AS13&amp;" ("&amp;AS14&amp;"cfm)"</f>
        <v>WEF-4, Continuous (60cfm)</v>
      </c>
      <c r="AT16" s="145" t="str">
        <f t="shared" ref="AT16" si="32">AT13&amp;" ("&amp;AT14&amp;"cfm)"</f>
        <v>WEF-5, Boost (30cfm)</v>
      </c>
      <c r="AU16" s="145" t="str">
        <f t="shared" ref="AU16" si="33">AU13&amp;" ("&amp;AU14&amp;"cfm)"</f>
        <v>WEF-5, Continuous (80cfm)</v>
      </c>
      <c r="AV16" s="145" t="str">
        <f t="shared" si="30"/>
        <v>Laundry Fan (50cfm)</v>
      </c>
      <c r="AW16" s="134" t="s">
        <v>78</v>
      </c>
      <c r="AX16" s="144"/>
    </row>
    <row r="17" spans="1:50" x14ac:dyDescent="0.3">
      <c r="A17" s="2"/>
      <c r="B17" s="153">
        <v>1</v>
      </c>
      <c r="C17" s="2117">
        <v>0.01</v>
      </c>
      <c r="D17" s="705">
        <v>1</v>
      </c>
      <c r="E17" s="705">
        <v>1319</v>
      </c>
      <c r="F17" s="705">
        <v>3</v>
      </c>
      <c r="G17" s="369">
        <f t="shared" ref="G17:G48" si="34">IF(F17="","",INDEX($B$86:$D$92,MATCH(F17,$B$86:$B$92,0),3))</f>
        <v>3</v>
      </c>
      <c r="H17" s="705">
        <v>1</v>
      </c>
      <c r="I17" s="705"/>
      <c r="J17" s="705"/>
      <c r="K17" s="138">
        <f t="shared" ref="K17" si="35">J17*H17</f>
        <v>0</v>
      </c>
      <c r="L17" s="138">
        <f>D17*H17-K17</f>
        <v>1</v>
      </c>
      <c r="M17" s="147">
        <f ca="1">IF($B$13="Proposed",O17,$C$13+(G17*$D$13))</f>
        <v>3</v>
      </c>
      <c r="N17" s="212"/>
      <c r="O17" s="215"/>
      <c r="P17" s="216"/>
      <c r="Q17">
        <f>E17*D17</f>
        <v>1319</v>
      </c>
      <c r="R17" s="137"/>
      <c r="S17" s="137"/>
      <c r="T17" s="137"/>
      <c r="U17" s="137"/>
      <c r="V17" s="137"/>
      <c r="W17" s="137"/>
      <c r="X17" s="137"/>
      <c r="Y17" s="137"/>
      <c r="Z17" s="137"/>
      <c r="AA17" s="137"/>
      <c r="AB17" s="137"/>
      <c r="AC17" s="137"/>
      <c r="AD17" s="137"/>
      <c r="AE17" s="137"/>
      <c r="AF17" s="137"/>
      <c r="AG17" s="144"/>
      <c r="AH17" s="2241">
        <f>IFERROR((0.01*E17)+(7.5*(G17+1)),0)</f>
        <v>43.19</v>
      </c>
      <c r="AI17" s="2121">
        <f t="shared" ref="AI17:AI48" si="36">IFERROR(INDEX($AN$88:$AR$95,MATCH($E17,$AL$88:$AL$95,1),MATCH($G17,$AN$86:$AR$86,1))*$AL$9,0)</f>
        <v>68.75</v>
      </c>
      <c r="AJ17" s="2121">
        <f>ROUNDUP(MAX(AH17:AI17)/5,0)*5</f>
        <v>70</v>
      </c>
      <c r="AK17" s="663">
        <f t="shared" ref="AK17:AK48" si="37">SUMPRODUCT($AL$12:$AW$12,$AL$14:$AW$14,AL17:AW17)</f>
        <v>70</v>
      </c>
      <c r="AL17" s="146"/>
      <c r="AM17" s="146"/>
      <c r="AN17" s="146"/>
      <c r="AO17" s="146"/>
      <c r="AP17" s="146">
        <v>1</v>
      </c>
      <c r="AQ17" s="146">
        <v>1</v>
      </c>
      <c r="AR17" s="146"/>
      <c r="AS17" s="146"/>
      <c r="AT17" s="146"/>
      <c r="AU17" s="146"/>
      <c r="AV17" s="146"/>
      <c r="AW17" s="138">
        <v>1</v>
      </c>
      <c r="AX17" s="144"/>
    </row>
    <row r="18" spans="1:50" x14ac:dyDescent="0.3">
      <c r="A18" s="2"/>
      <c r="B18" s="153">
        <f>B17+1</f>
        <v>2</v>
      </c>
      <c r="C18" s="2117"/>
      <c r="D18" s="705">
        <v>5</v>
      </c>
      <c r="E18" s="705">
        <v>1131</v>
      </c>
      <c r="F18" s="705">
        <v>3</v>
      </c>
      <c r="G18" s="369">
        <f t="shared" si="34"/>
        <v>3</v>
      </c>
      <c r="H18" s="705">
        <f>H17</f>
        <v>1</v>
      </c>
      <c r="I18" s="705"/>
      <c r="J18" s="705"/>
      <c r="K18" s="138">
        <f t="shared" ref="K18:K73" si="38">J18*H18</f>
        <v>0</v>
      </c>
      <c r="L18" s="138">
        <f t="shared" ref="L18:L73" si="39">D18*H18-K18</f>
        <v>5</v>
      </c>
      <c r="M18" s="147">
        <f t="shared" ref="M18:M36" ca="1" si="40">IF($B$13="Proposed",O18,$C$13+(G18*$D$13))</f>
        <v>3</v>
      </c>
      <c r="N18" s="212"/>
      <c r="O18" s="215"/>
      <c r="P18" s="216"/>
      <c r="Q18">
        <f t="shared" ref="Q18:Q73" si="41">E18*D18</f>
        <v>5655</v>
      </c>
      <c r="R18" s="137"/>
      <c r="S18" s="137"/>
      <c r="T18" s="137"/>
      <c r="U18" s="137"/>
      <c r="V18" s="137"/>
      <c r="W18" s="137"/>
      <c r="X18" s="137"/>
      <c r="Y18" s="137"/>
      <c r="Z18" s="137"/>
      <c r="AA18" s="137"/>
      <c r="AB18" s="137"/>
      <c r="AC18" s="137"/>
      <c r="AD18" s="137"/>
      <c r="AE18" s="137"/>
      <c r="AF18" s="137"/>
      <c r="AG18" s="144"/>
      <c r="AH18" s="147">
        <f t="shared" ref="AH18:AH73" si="42">IFERROR((0.01*E18)+(7.5*(G18+1)),0)</f>
        <v>41.31</v>
      </c>
      <c r="AI18" s="2121">
        <f t="shared" si="36"/>
        <v>68.75</v>
      </c>
      <c r="AJ18" s="2121">
        <f t="shared" ref="AJ18:AJ73" si="43">ROUNDUP(MAX(AH18:AI18)/5,0)*5</f>
        <v>70</v>
      </c>
      <c r="AK18" s="663">
        <f t="shared" si="37"/>
        <v>70</v>
      </c>
      <c r="AL18" s="146"/>
      <c r="AM18" s="146"/>
      <c r="AN18" s="146"/>
      <c r="AO18" s="146"/>
      <c r="AP18" s="146">
        <v>1</v>
      </c>
      <c r="AQ18" s="146">
        <v>1</v>
      </c>
      <c r="AR18" s="146"/>
      <c r="AS18" s="146"/>
      <c r="AT18" s="146"/>
      <c r="AU18" s="146"/>
      <c r="AV18" s="146"/>
      <c r="AW18" s="138">
        <v>1</v>
      </c>
      <c r="AX18" s="144"/>
    </row>
    <row r="19" spans="1:50" outlineLevel="1" x14ac:dyDescent="0.3">
      <c r="A19" s="2"/>
      <c r="B19" s="153">
        <f t="shared" ref="B19:B81" si="44">B18+1</f>
        <v>3</v>
      </c>
      <c r="C19" s="2117"/>
      <c r="D19" s="705">
        <v>10</v>
      </c>
      <c r="E19" s="705">
        <v>945</v>
      </c>
      <c r="F19" s="705">
        <v>2</v>
      </c>
      <c r="G19" s="369">
        <f t="shared" si="34"/>
        <v>2</v>
      </c>
      <c r="H19" s="705">
        <f t="shared" ref="H19:H33" si="45">H18</f>
        <v>1</v>
      </c>
      <c r="I19" s="705"/>
      <c r="J19" s="705"/>
      <c r="K19" s="138">
        <f t="shared" si="38"/>
        <v>0</v>
      </c>
      <c r="L19" s="138">
        <f t="shared" si="39"/>
        <v>10</v>
      </c>
      <c r="M19" s="147">
        <f t="shared" ca="1" si="40"/>
        <v>2</v>
      </c>
      <c r="N19" s="212"/>
      <c r="O19" s="215"/>
      <c r="P19" s="216"/>
      <c r="Q19">
        <f t="shared" si="41"/>
        <v>9450</v>
      </c>
      <c r="R19" s="137"/>
      <c r="S19" s="137"/>
      <c r="T19" s="137"/>
      <c r="U19" s="137"/>
      <c r="V19" s="137"/>
      <c r="W19" s="137"/>
      <c r="X19" s="137"/>
      <c r="Y19" s="137"/>
      <c r="Z19" s="137"/>
      <c r="AA19" s="137"/>
      <c r="AB19" s="137"/>
      <c r="AC19" s="137"/>
      <c r="AD19" s="137"/>
      <c r="AE19" s="137"/>
      <c r="AF19" s="137"/>
      <c r="AH19" s="147">
        <f t="shared" si="42"/>
        <v>31.950000000000003</v>
      </c>
      <c r="AI19" s="2121">
        <f t="shared" si="36"/>
        <v>50</v>
      </c>
      <c r="AJ19" s="2121">
        <f t="shared" si="43"/>
        <v>50</v>
      </c>
      <c r="AK19" s="663">
        <f t="shared" si="37"/>
        <v>50</v>
      </c>
      <c r="AL19" s="146"/>
      <c r="AM19" s="146"/>
      <c r="AN19" s="146">
        <v>1</v>
      </c>
      <c r="AO19" s="146">
        <v>1</v>
      </c>
      <c r="AP19" s="146"/>
      <c r="AQ19" s="146"/>
      <c r="AR19" s="146"/>
      <c r="AS19" s="146"/>
      <c r="AT19" s="146"/>
      <c r="AU19" s="146"/>
      <c r="AV19" s="146"/>
      <c r="AW19" s="138">
        <v>1</v>
      </c>
      <c r="AX19" s="2"/>
    </row>
    <row r="20" spans="1:50" outlineLevel="1" x14ac:dyDescent="0.3">
      <c r="A20" s="2"/>
      <c r="B20" s="153">
        <f t="shared" si="44"/>
        <v>4</v>
      </c>
      <c r="C20" s="2117"/>
      <c r="D20" s="705">
        <v>10</v>
      </c>
      <c r="E20" s="705">
        <v>878</v>
      </c>
      <c r="F20" s="705">
        <v>2</v>
      </c>
      <c r="G20" s="369">
        <f t="shared" si="34"/>
        <v>2</v>
      </c>
      <c r="H20" s="705">
        <f t="shared" si="45"/>
        <v>1</v>
      </c>
      <c r="I20" s="705"/>
      <c r="J20" s="705"/>
      <c r="K20" s="138">
        <f t="shared" si="38"/>
        <v>0</v>
      </c>
      <c r="L20" s="138">
        <f t="shared" si="39"/>
        <v>10</v>
      </c>
      <c r="M20" s="147">
        <f t="shared" ca="1" si="40"/>
        <v>2</v>
      </c>
      <c r="N20" s="212"/>
      <c r="O20" s="215"/>
      <c r="P20" s="216"/>
      <c r="Q20">
        <f t="shared" si="41"/>
        <v>8780</v>
      </c>
      <c r="R20" s="137"/>
      <c r="S20" s="137"/>
      <c r="T20" s="137"/>
      <c r="U20" s="137"/>
      <c r="V20" s="137"/>
      <c r="W20" s="137"/>
      <c r="X20" s="137"/>
      <c r="Y20" s="137"/>
      <c r="Z20" s="137"/>
      <c r="AA20" s="137"/>
      <c r="AB20" s="137"/>
      <c r="AC20" s="137"/>
      <c r="AD20" s="137"/>
      <c r="AE20" s="137"/>
      <c r="AF20" s="137"/>
      <c r="AH20" s="147">
        <f t="shared" si="42"/>
        <v>31.28</v>
      </c>
      <c r="AI20" s="2121">
        <f t="shared" si="36"/>
        <v>50</v>
      </c>
      <c r="AJ20" s="2121">
        <f t="shared" si="43"/>
        <v>50</v>
      </c>
      <c r="AK20" s="663">
        <f t="shared" si="37"/>
        <v>50</v>
      </c>
      <c r="AL20" s="146"/>
      <c r="AM20" s="146"/>
      <c r="AN20" s="146">
        <v>1</v>
      </c>
      <c r="AO20" s="146">
        <v>1</v>
      </c>
      <c r="AP20" s="146"/>
      <c r="AQ20" s="146"/>
      <c r="AR20" s="146"/>
      <c r="AS20" s="146"/>
      <c r="AT20" s="146"/>
      <c r="AU20" s="146"/>
      <c r="AV20" s="146"/>
      <c r="AW20" s="138">
        <v>1</v>
      </c>
      <c r="AX20" s="2"/>
    </row>
    <row r="21" spans="1:50" outlineLevel="1" x14ac:dyDescent="0.3">
      <c r="A21" s="2"/>
      <c r="B21" s="153">
        <f t="shared" si="44"/>
        <v>5</v>
      </c>
      <c r="C21" s="2117"/>
      <c r="D21" s="705">
        <v>5</v>
      </c>
      <c r="E21" s="705">
        <v>1166</v>
      </c>
      <c r="F21" s="705">
        <v>3</v>
      </c>
      <c r="G21" s="369">
        <f t="shared" si="34"/>
        <v>3</v>
      </c>
      <c r="H21" s="705">
        <f t="shared" si="45"/>
        <v>1</v>
      </c>
      <c r="I21" s="705"/>
      <c r="J21" s="705"/>
      <c r="K21" s="138">
        <f t="shared" si="38"/>
        <v>0</v>
      </c>
      <c r="L21" s="138">
        <f t="shared" si="39"/>
        <v>5</v>
      </c>
      <c r="M21" s="147">
        <f t="shared" ca="1" si="40"/>
        <v>3</v>
      </c>
      <c r="N21" s="212"/>
      <c r="O21" s="215"/>
      <c r="P21" s="216"/>
      <c r="Q21">
        <f t="shared" si="41"/>
        <v>5830</v>
      </c>
      <c r="R21" s="137"/>
      <c r="S21" s="137"/>
      <c r="T21" s="137"/>
      <c r="U21" s="137"/>
      <c r="V21" s="137"/>
      <c r="W21" s="137"/>
      <c r="X21" s="137"/>
      <c r="Y21" s="137"/>
      <c r="Z21" s="137"/>
      <c r="AA21" s="137"/>
      <c r="AB21" s="137"/>
      <c r="AC21" s="137"/>
      <c r="AD21" s="137"/>
      <c r="AE21" s="137"/>
      <c r="AF21" s="137"/>
      <c r="AH21" s="147">
        <f t="shared" si="42"/>
        <v>41.66</v>
      </c>
      <c r="AI21" s="2121">
        <f t="shared" si="36"/>
        <v>68.75</v>
      </c>
      <c r="AJ21" s="2121">
        <f t="shared" si="43"/>
        <v>70</v>
      </c>
      <c r="AK21" s="663">
        <f t="shared" si="37"/>
        <v>70</v>
      </c>
      <c r="AL21" s="146"/>
      <c r="AM21" s="146"/>
      <c r="AN21" s="146"/>
      <c r="AO21" s="146"/>
      <c r="AP21" s="146">
        <v>1</v>
      </c>
      <c r="AQ21" s="146">
        <v>1</v>
      </c>
      <c r="AR21" s="146"/>
      <c r="AS21" s="146"/>
      <c r="AT21" s="146"/>
      <c r="AU21" s="146"/>
      <c r="AV21" s="146"/>
      <c r="AW21" s="138">
        <v>1</v>
      </c>
      <c r="AX21" s="2"/>
    </row>
    <row r="22" spans="1:50" outlineLevel="1" x14ac:dyDescent="0.3">
      <c r="A22" s="2"/>
      <c r="B22" s="153">
        <f t="shared" si="44"/>
        <v>6</v>
      </c>
      <c r="C22" s="2117"/>
      <c r="D22" s="705">
        <v>5</v>
      </c>
      <c r="E22" s="705">
        <v>919</v>
      </c>
      <c r="F22" s="705">
        <v>2</v>
      </c>
      <c r="G22" s="369">
        <f t="shared" si="34"/>
        <v>2</v>
      </c>
      <c r="H22" s="705">
        <f t="shared" si="45"/>
        <v>1</v>
      </c>
      <c r="I22" s="705"/>
      <c r="J22" s="705"/>
      <c r="K22" s="138">
        <f t="shared" si="38"/>
        <v>0</v>
      </c>
      <c r="L22" s="138">
        <f t="shared" si="39"/>
        <v>5</v>
      </c>
      <c r="M22" s="147">
        <f t="shared" ca="1" si="40"/>
        <v>2</v>
      </c>
      <c r="N22" s="212"/>
      <c r="O22" s="215"/>
      <c r="P22" s="216"/>
      <c r="Q22">
        <f t="shared" si="41"/>
        <v>4595</v>
      </c>
      <c r="R22" s="137"/>
      <c r="S22" s="137"/>
      <c r="T22" s="137"/>
      <c r="U22" s="137"/>
      <c r="V22" s="137"/>
      <c r="W22" s="137"/>
      <c r="X22" s="137"/>
      <c r="Y22" s="137"/>
      <c r="Z22" s="137"/>
      <c r="AA22" s="137"/>
      <c r="AB22" s="137"/>
      <c r="AC22" s="137"/>
      <c r="AD22" s="137"/>
      <c r="AE22" s="137"/>
      <c r="AF22" s="137"/>
      <c r="AH22" s="147">
        <f t="shared" si="42"/>
        <v>31.689999999999998</v>
      </c>
      <c r="AI22" s="2121">
        <f t="shared" si="36"/>
        <v>50</v>
      </c>
      <c r="AJ22" s="2121">
        <f t="shared" si="43"/>
        <v>50</v>
      </c>
      <c r="AK22" s="663">
        <f t="shared" si="37"/>
        <v>50</v>
      </c>
      <c r="AL22" s="146"/>
      <c r="AM22" s="146"/>
      <c r="AN22" s="146">
        <v>1</v>
      </c>
      <c r="AO22" s="146">
        <v>1</v>
      </c>
      <c r="AP22" s="146"/>
      <c r="AQ22" s="146"/>
      <c r="AR22" s="146"/>
      <c r="AS22" s="146"/>
      <c r="AT22" s="146"/>
      <c r="AU22" s="146"/>
      <c r="AV22" s="146"/>
      <c r="AW22" s="138">
        <v>1</v>
      </c>
      <c r="AX22" s="2"/>
    </row>
    <row r="23" spans="1:50" s="50" customFormat="1" outlineLevel="1" x14ac:dyDescent="0.3">
      <c r="A23" s="121"/>
      <c r="B23" s="153">
        <f t="shared" si="44"/>
        <v>7</v>
      </c>
      <c r="C23" s="2117"/>
      <c r="D23" s="705">
        <v>5</v>
      </c>
      <c r="E23" s="705">
        <v>928</v>
      </c>
      <c r="F23" s="705">
        <v>2</v>
      </c>
      <c r="G23" s="369">
        <f t="shared" si="34"/>
        <v>2</v>
      </c>
      <c r="H23" s="705">
        <f t="shared" si="45"/>
        <v>1</v>
      </c>
      <c r="I23" s="705"/>
      <c r="J23" s="705"/>
      <c r="K23" s="138">
        <f t="shared" si="38"/>
        <v>0</v>
      </c>
      <c r="L23" s="138">
        <f t="shared" si="39"/>
        <v>5</v>
      </c>
      <c r="M23" s="147">
        <f t="shared" ca="1" si="40"/>
        <v>2</v>
      </c>
      <c r="N23" s="499"/>
      <c r="O23" s="499"/>
      <c r="P23" s="121"/>
      <c r="Q23">
        <f t="shared" si="41"/>
        <v>4640</v>
      </c>
      <c r="R23" s="137"/>
      <c r="S23" s="137"/>
      <c r="T23" s="137"/>
      <c r="U23" s="137"/>
      <c r="V23" s="137"/>
      <c r="W23" s="137"/>
      <c r="X23" s="137"/>
      <c r="Y23" s="137"/>
      <c r="Z23" s="137"/>
      <c r="AA23" s="137"/>
      <c r="AB23" s="137"/>
      <c r="AC23" s="137"/>
      <c r="AD23" s="137"/>
      <c r="AE23" s="137"/>
      <c r="AF23" s="137"/>
      <c r="AH23" s="147">
        <f t="shared" si="42"/>
        <v>31.78</v>
      </c>
      <c r="AI23" s="2121">
        <f t="shared" si="36"/>
        <v>50</v>
      </c>
      <c r="AJ23" s="2121">
        <f t="shared" si="43"/>
        <v>50</v>
      </c>
      <c r="AK23" s="663">
        <f t="shared" si="37"/>
        <v>50</v>
      </c>
      <c r="AL23" s="146"/>
      <c r="AM23" s="146"/>
      <c r="AN23" s="146">
        <v>1</v>
      </c>
      <c r="AO23" s="146">
        <v>1</v>
      </c>
      <c r="AP23" s="146"/>
      <c r="AQ23" s="146"/>
      <c r="AR23" s="146"/>
      <c r="AS23" s="146"/>
      <c r="AT23" s="146"/>
      <c r="AU23" s="146"/>
      <c r="AV23" s="146"/>
      <c r="AW23" s="138">
        <v>1</v>
      </c>
      <c r="AX23" s="121"/>
    </row>
    <row r="24" spans="1:50" s="50" customFormat="1" outlineLevel="1" x14ac:dyDescent="0.3">
      <c r="A24" s="121"/>
      <c r="B24" s="153">
        <f t="shared" si="44"/>
        <v>8</v>
      </c>
      <c r="C24" s="2117"/>
      <c r="D24" s="705">
        <v>5</v>
      </c>
      <c r="E24" s="705">
        <v>869</v>
      </c>
      <c r="F24" s="705">
        <v>2</v>
      </c>
      <c r="G24" s="369">
        <f t="shared" si="34"/>
        <v>2</v>
      </c>
      <c r="H24" s="705">
        <f t="shared" si="45"/>
        <v>1</v>
      </c>
      <c r="I24" s="705"/>
      <c r="J24" s="705"/>
      <c r="K24" s="138">
        <f t="shared" si="38"/>
        <v>0</v>
      </c>
      <c r="L24" s="138">
        <f t="shared" si="39"/>
        <v>5</v>
      </c>
      <c r="M24" s="147">
        <f t="shared" ca="1" si="40"/>
        <v>2</v>
      </c>
      <c r="N24" s="499"/>
      <c r="O24" s="499"/>
      <c r="P24" s="121"/>
      <c r="Q24">
        <f t="shared" si="41"/>
        <v>4345</v>
      </c>
      <c r="R24" s="137"/>
      <c r="S24" s="137"/>
      <c r="T24" s="137"/>
      <c r="U24" s="137"/>
      <c r="V24" s="137"/>
      <c r="W24" s="137"/>
      <c r="X24" s="137"/>
      <c r="Y24" s="137"/>
      <c r="Z24" s="137"/>
      <c r="AA24" s="137"/>
      <c r="AB24" s="137"/>
      <c r="AC24" s="137"/>
      <c r="AD24" s="137"/>
      <c r="AE24" s="137"/>
      <c r="AF24" s="137"/>
      <c r="AH24" s="147">
        <f t="shared" si="42"/>
        <v>31.189999999999998</v>
      </c>
      <c r="AI24" s="2121">
        <f t="shared" si="36"/>
        <v>50</v>
      </c>
      <c r="AJ24" s="2121">
        <f t="shared" si="43"/>
        <v>50</v>
      </c>
      <c r="AK24" s="663">
        <f t="shared" si="37"/>
        <v>50</v>
      </c>
      <c r="AL24" s="146"/>
      <c r="AM24" s="146"/>
      <c r="AN24" s="146">
        <v>1</v>
      </c>
      <c r="AO24" s="146">
        <v>1</v>
      </c>
      <c r="AP24" s="146"/>
      <c r="AQ24" s="146"/>
      <c r="AR24" s="146"/>
      <c r="AS24" s="146"/>
      <c r="AT24" s="146"/>
      <c r="AU24" s="146"/>
      <c r="AV24" s="146"/>
      <c r="AW24" s="138">
        <v>1</v>
      </c>
      <c r="AX24" s="121"/>
    </row>
    <row r="25" spans="1:50" outlineLevel="1" x14ac:dyDescent="0.3">
      <c r="A25" s="2"/>
      <c r="B25" s="153">
        <f t="shared" si="44"/>
        <v>9</v>
      </c>
      <c r="C25" s="2117"/>
      <c r="D25" s="705">
        <v>5</v>
      </c>
      <c r="E25" s="705">
        <v>1344</v>
      </c>
      <c r="F25" s="705">
        <v>3</v>
      </c>
      <c r="G25" s="369">
        <f t="shared" si="34"/>
        <v>3</v>
      </c>
      <c r="H25" s="705">
        <f t="shared" si="45"/>
        <v>1</v>
      </c>
      <c r="I25" s="705"/>
      <c r="J25" s="705"/>
      <c r="K25" s="138">
        <f t="shared" si="38"/>
        <v>0</v>
      </c>
      <c r="L25" s="138">
        <f t="shared" si="39"/>
        <v>5</v>
      </c>
      <c r="M25" s="147">
        <f t="shared" ca="1" si="40"/>
        <v>3</v>
      </c>
      <c r="N25" s="212"/>
      <c r="O25" s="215"/>
      <c r="P25" s="216"/>
      <c r="Q25">
        <f t="shared" si="41"/>
        <v>6720</v>
      </c>
      <c r="R25" s="137"/>
      <c r="S25" s="137"/>
      <c r="T25" s="137"/>
      <c r="U25" s="137"/>
      <c r="V25" s="137"/>
      <c r="W25" s="137"/>
      <c r="X25" s="137"/>
      <c r="Y25" s="137"/>
      <c r="Z25" s="137"/>
      <c r="AA25" s="137"/>
      <c r="AB25" s="137"/>
      <c r="AC25" s="137"/>
      <c r="AD25" s="137"/>
      <c r="AE25" s="137"/>
      <c r="AF25" s="137"/>
      <c r="AH25" s="147">
        <f t="shared" si="42"/>
        <v>43.44</v>
      </c>
      <c r="AI25" s="2121">
        <f t="shared" si="36"/>
        <v>68.75</v>
      </c>
      <c r="AJ25" s="2121">
        <f t="shared" si="43"/>
        <v>70</v>
      </c>
      <c r="AK25" s="663">
        <f t="shared" si="37"/>
        <v>70</v>
      </c>
      <c r="AL25" s="146"/>
      <c r="AM25" s="146"/>
      <c r="AN25" s="146"/>
      <c r="AO25" s="146"/>
      <c r="AP25" s="146">
        <v>1</v>
      </c>
      <c r="AQ25" s="146">
        <v>1</v>
      </c>
      <c r="AR25" s="146"/>
      <c r="AS25" s="146"/>
      <c r="AT25" s="146"/>
      <c r="AU25" s="146"/>
      <c r="AV25" s="146"/>
      <c r="AW25" s="138">
        <v>1</v>
      </c>
      <c r="AX25" s="2"/>
    </row>
    <row r="26" spans="1:50" outlineLevel="1" x14ac:dyDescent="0.3">
      <c r="A26" s="2"/>
      <c r="B26" s="153">
        <f t="shared" si="44"/>
        <v>10</v>
      </c>
      <c r="C26" s="2117"/>
      <c r="D26" s="705">
        <v>5</v>
      </c>
      <c r="E26" s="705">
        <v>624</v>
      </c>
      <c r="F26" s="705">
        <v>1</v>
      </c>
      <c r="G26" s="369">
        <f t="shared" si="34"/>
        <v>1</v>
      </c>
      <c r="H26" s="705">
        <f t="shared" si="45"/>
        <v>1</v>
      </c>
      <c r="I26" s="705"/>
      <c r="J26" s="705"/>
      <c r="K26" s="138">
        <f t="shared" si="38"/>
        <v>0</v>
      </c>
      <c r="L26" s="138">
        <f t="shared" si="39"/>
        <v>5</v>
      </c>
      <c r="M26" s="147">
        <f t="shared" ca="1" si="40"/>
        <v>1</v>
      </c>
      <c r="N26" s="212"/>
      <c r="O26" s="215"/>
      <c r="P26" s="216"/>
      <c r="Q26">
        <f t="shared" si="41"/>
        <v>3120</v>
      </c>
      <c r="R26" s="137"/>
      <c r="S26" s="137"/>
      <c r="T26" s="137"/>
      <c r="U26" s="137"/>
      <c r="V26" s="137"/>
      <c r="W26" s="137"/>
      <c r="X26" s="137"/>
      <c r="Y26" s="137"/>
      <c r="Z26" s="137"/>
      <c r="AA26" s="137"/>
      <c r="AB26" s="137"/>
      <c r="AC26" s="137"/>
      <c r="AD26" s="137"/>
      <c r="AE26" s="137"/>
      <c r="AF26" s="137"/>
      <c r="AH26" s="147">
        <f t="shared" si="42"/>
        <v>21.240000000000002</v>
      </c>
      <c r="AI26" s="2121">
        <f t="shared" si="36"/>
        <v>43.75</v>
      </c>
      <c r="AJ26" s="2121">
        <f t="shared" si="43"/>
        <v>45</v>
      </c>
      <c r="AK26" s="663">
        <f t="shared" si="37"/>
        <v>45</v>
      </c>
      <c r="AL26" s="146">
        <v>1</v>
      </c>
      <c r="AM26" s="146">
        <v>1</v>
      </c>
      <c r="AN26" s="146"/>
      <c r="AO26" s="146"/>
      <c r="AP26" s="146"/>
      <c r="AQ26" s="146"/>
      <c r="AR26" s="146"/>
      <c r="AS26" s="146"/>
      <c r="AT26" s="146"/>
      <c r="AU26" s="146"/>
      <c r="AV26" s="146"/>
      <c r="AW26" s="138">
        <v>1</v>
      </c>
      <c r="AX26" s="2"/>
    </row>
    <row r="27" spans="1:50" outlineLevel="1" x14ac:dyDescent="0.3">
      <c r="A27" s="2"/>
      <c r="B27" s="153">
        <f t="shared" si="44"/>
        <v>11</v>
      </c>
      <c r="C27" s="2117"/>
      <c r="D27" s="705">
        <v>10</v>
      </c>
      <c r="E27" s="705">
        <v>638</v>
      </c>
      <c r="F27" s="705">
        <v>1</v>
      </c>
      <c r="G27" s="369">
        <f t="shared" si="34"/>
        <v>1</v>
      </c>
      <c r="H27" s="705">
        <f t="shared" si="45"/>
        <v>1</v>
      </c>
      <c r="I27" s="705"/>
      <c r="J27" s="705"/>
      <c r="K27" s="138">
        <f t="shared" si="38"/>
        <v>0</v>
      </c>
      <c r="L27" s="138">
        <f t="shared" si="39"/>
        <v>10</v>
      </c>
      <c r="M27" s="147">
        <f t="shared" ca="1" si="40"/>
        <v>1</v>
      </c>
      <c r="N27" s="212"/>
      <c r="O27" s="215"/>
      <c r="P27" s="216"/>
      <c r="Q27">
        <f t="shared" si="41"/>
        <v>6380</v>
      </c>
      <c r="R27" s="137"/>
      <c r="S27" s="137"/>
      <c r="T27" s="137"/>
      <c r="U27" s="137"/>
      <c r="V27" s="137"/>
      <c r="W27" s="137"/>
      <c r="X27" s="137"/>
      <c r="Y27" s="137"/>
      <c r="Z27" s="137"/>
      <c r="AA27" s="137"/>
      <c r="AB27" s="137"/>
      <c r="AC27" s="137"/>
      <c r="AD27" s="137"/>
      <c r="AE27" s="137"/>
      <c r="AF27" s="137"/>
      <c r="AH27" s="147">
        <f t="shared" si="42"/>
        <v>21.38</v>
      </c>
      <c r="AI27" s="2121">
        <f t="shared" si="36"/>
        <v>43.75</v>
      </c>
      <c r="AJ27" s="2121">
        <f t="shared" si="43"/>
        <v>45</v>
      </c>
      <c r="AK27" s="663">
        <f t="shared" si="37"/>
        <v>45</v>
      </c>
      <c r="AL27" s="146">
        <v>1</v>
      </c>
      <c r="AM27" s="146">
        <v>1</v>
      </c>
      <c r="AN27" s="146"/>
      <c r="AO27" s="146"/>
      <c r="AP27" s="146"/>
      <c r="AQ27" s="146"/>
      <c r="AR27" s="146"/>
      <c r="AS27" s="146"/>
      <c r="AT27" s="146"/>
      <c r="AU27" s="146"/>
      <c r="AV27" s="146"/>
      <c r="AW27" s="138">
        <v>1</v>
      </c>
      <c r="AX27" s="2"/>
    </row>
    <row r="28" spans="1:50" outlineLevel="1" x14ac:dyDescent="0.3">
      <c r="A28" s="2"/>
      <c r="B28" s="153">
        <f t="shared" si="44"/>
        <v>12</v>
      </c>
      <c r="C28" s="2117"/>
      <c r="D28" s="705">
        <v>5</v>
      </c>
      <c r="E28" s="705">
        <v>1128</v>
      </c>
      <c r="F28" s="705">
        <v>3</v>
      </c>
      <c r="G28" s="369">
        <f t="shared" si="34"/>
        <v>3</v>
      </c>
      <c r="H28" s="705">
        <f t="shared" si="45"/>
        <v>1</v>
      </c>
      <c r="I28" s="705"/>
      <c r="J28" s="705"/>
      <c r="K28" s="138">
        <f t="shared" si="38"/>
        <v>0</v>
      </c>
      <c r="L28" s="138">
        <f t="shared" si="39"/>
        <v>5</v>
      </c>
      <c r="M28" s="147">
        <f t="shared" ca="1" si="40"/>
        <v>3</v>
      </c>
      <c r="N28" s="212"/>
      <c r="O28" s="215"/>
      <c r="P28" s="216"/>
      <c r="Q28">
        <f t="shared" si="41"/>
        <v>5640</v>
      </c>
      <c r="R28" s="137"/>
      <c r="S28" s="137"/>
      <c r="T28" s="137"/>
      <c r="U28" s="137"/>
      <c r="V28" s="137"/>
      <c r="W28" s="137"/>
      <c r="X28" s="137"/>
      <c r="Y28" s="137"/>
      <c r="Z28" s="137"/>
      <c r="AA28" s="137"/>
      <c r="AB28" s="137"/>
      <c r="AC28" s="137"/>
      <c r="AD28" s="137"/>
      <c r="AE28" s="137"/>
      <c r="AF28" s="137"/>
      <c r="AH28" s="147">
        <f t="shared" si="42"/>
        <v>41.28</v>
      </c>
      <c r="AI28" s="2121">
        <f t="shared" si="36"/>
        <v>68.75</v>
      </c>
      <c r="AJ28" s="2121">
        <f t="shared" si="43"/>
        <v>70</v>
      </c>
      <c r="AK28" s="663">
        <f t="shared" si="37"/>
        <v>70</v>
      </c>
      <c r="AL28" s="146"/>
      <c r="AM28" s="146"/>
      <c r="AN28" s="146"/>
      <c r="AO28" s="146"/>
      <c r="AP28" s="146">
        <v>1</v>
      </c>
      <c r="AQ28" s="146">
        <v>1</v>
      </c>
      <c r="AR28" s="146"/>
      <c r="AS28" s="146"/>
      <c r="AT28" s="146"/>
      <c r="AU28" s="146"/>
      <c r="AV28" s="146"/>
      <c r="AW28" s="138">
        <v>1</v>
      </c>
      <c r="AX28" s="2"/>
    </row>
    <row r="29" spans="1:50" outlineLevel="1" x14ac:dyDescent="0.3">
      <c r="A29" s="2"/>
      <c r="B29" s="153">
        <f t="shared" si="44"/>
        <v>13</v>
      </c>
      <c r="C29" s="2117"/>
      <c r="D29" s="705">
        <v>1</v>
      </c>
      <c r="E29" s="705">
        <v>820</v>
      </c>
      <c r="F29" s="705">
        <v>2</v>
      </c>
      <c r="G29" s="369">
        <f t="shared" si="34"/>
        <v>2</v>
      </c>
      <c r="H29" s="705">
        <f t="shared" si="45"/>
        <v>1</v>
      </c>
      <c r="I29" s="705"/>
      <c r="J29" s="705"/>
      <c r="K29" s="138">
        <f t="shared" si="38"/>
        <v>0</v>
      </c>
      <c r="L29" s="138">
        <f t="shared" si="39"/>
        <v>1</v>
      </c>
      <c r="M29" s="147">
        <f t="shared" ca="1" si="40"/>
        <v>2</v>
      </c>
      <c r="N29" s="212"/>
      <c r="O29" s="215"/>
      <c r="P29" s="216"/>
      <c r="Q29">
        <f t="shared" si="41"/>
        <v>820</v>
      </c>
      <c r="R29" s="137"/>
      <c r="S29" s="137"/>
      <c r="T29" s="137"/>
      <c r="U29" s="137"/>
      <c r="V29" s="137"/>
      <c r="W29" s="137"/>
      <c r="X29" s="137"/>
      <c r="Y29" s="137"/>
      <c r="Z29" s="137"/>
      <c r="AA29" s="137"/>
      <c r="AB29" s="137"/>
      <c r="AC29" s="137"/>
      <c r="AD29" s="137"/>
      <c r="AE29" s="137"/>
      <c r="AF29" s="137"/>
      <c r="AH29" s="147">
        <f t="shared" si="42"/>
        <v>30.7</v>
      </c>
      <c r="AI29" s="2121">
        <f t="shared" si="36"/>
        <v>50</v>
      </c>
      <c r="AJ29" s="2121">
        <f t="shared" si="43"/>
        <v>50</v>
      </c>
      <c r="AK29" s="663">
        <f t="shared" si="37"/>
        <v>50</v>
      </c>
      <c r="AL29" s="146"/>
      <c r="AM29" s="146"/>
      <c r="AN29" s="146">
        <v>1</v>
      </c>
      <c r="AO29" s="146">
        <v>1</v>
      </c>
      <c r="AP29" s="146"/>
      <c r="AQ29" s="146"/>
      <c r="AR29" s="146"/>
      <c r="AS29" s="146"/>
      <c r="AT29" s="146"/>
      <c r="AU29" s="146"/>
      <c r="AV29" s="146"/>
      <c r="AW29" s="138">
        <v>1</v>
      </c>
      <c r="AX29" s="2"/>
    </row>
    <row r="30" spans="1:50" outlineLevel="1" x14ac:dyDescent="0.3">
      <c r="A30" s="2"/>
      <c r="B30" s="153">
        <f t="shared" si="44"/>
        <v>14</v>
      </c>
      <c r="C30" s="2117"/>
      <c r="D30" s="705">
        <v>4</v>
      </c>
      <c r="E30" s="705">
        <v>869</v>
      </c>
      <c r="F30" s="705">
        <v>2</v>
      </c>
      <c r="G30" s="369">
        <f t="shared" si="34"/>
        <v>2</v>
      </c>
      <c r="H30" s="705">
        <f t="shared" si="45"/>
        <v>1</v>
      </c>
      <c r="I30" s="705"/>
      <c r="J30" s="705"/>
      <c r="K30" s="138">
        <f t="shared" si="38"/>
        <v>0</v>
      </c>
      <c r="L30" s="138">
        <f t="shared" si="39"/>
        <v>4</v>
      </c>
      <c r="M30" s="147">
        <f t="shared" ca="1" si="40"/>
        <v>2</v>
      </c>
      <c r="N30" s="212"/>
      <c r="O30" s="215"/>
      <c r="P30" s="216"/>
      <c r="Q30">
        <f t="shared" si="41"/>
        <v>3476</v>
      </c>
      <c r="R30" s="137"/>
      <c r="S30" s="137"/>
      <c r="T30" s="137"/>
      <c r="U30" s="137"/>
      <c r="V30" s="137"/>
      <c r="W30" s="137"/>
      <c r="X30" s="137"/>
      <c r="Y30" s="137"/>
      <c r="Z30" s="137"/>
      <c r="AA30" s="137"/>
      <c r="AB30" s="137"/>
      <c r="AC30" s="137"/>
      <c r="AD30" s="137"/>
      <c r="AE30" s="137"/>
      <c r="AF30" s="137"/>
      <c r="AH30" s="147">
        <f t="shared" si="42"/>
        <v>31.189999999999998</v>
      </c>
      <c r="AI30" s="2121">
        <f t="shared" si="36"/>
        <v>50</v>
      </c>
      <c r="AJ30" s="2121">
        <f t="shared" si="43"/>
        <v>50</v>
      </c>
      <c r="AK30" s="663">
        <f t="shared" si="37"/>
        <v>50</v>
      </c>
      <c r="AL30" s="146"/>
      <c r="AM30" s="146"/>
      <c r="AN30" s="146">
        <v>1</v>
      </c>
      <c r="AO30" s="146">
        <v>1</v>
      </c>
      <c r="AP30" s="146"/>
      <c r="AQ30" s="146"/>
      <c r="AR30" s="146"/>
      <c r="AS30" s="146"/>
      <c r="AT30" s="146"/>
      <c r="AU30" s="146"/>
      <c r="AV30" s="146"/>
      <c r="AW30" s="138">
        <v>1</v>
      </c>
      <c r="AX30" s="2"/>
    </row>
    <row r="31" spans="1:50" s="50" customFormat="1" outlineLevel="1" x14ac:dyDescent="0.3">
      <c r="A31" s="121"/>
      <c r="B31" s="153">
        <f t="shared" si="44"/>
        <v>15</v>
      </c>
      <c r="C31" s="2117"/>
      <c r="D31" s="705">
        <v>8</v>
      </c>
      <c r="E31" s="705">
        <v>832</v>
      </c>
      <c r="F31" s="705">
        <v>2</v>
      </c>
      <c r="G31" s="369">
        <f t="shared" si="34"/>
        <v>2</v>
      </c>
      <c r="H31" s="705">
        <f t="shared" si="45"/>
        <v>1</v>
      </c>
      <c r="I31" s="705"/>
      <c r="J31" s="705"/>
      <c r="K31" s="138">
        <f t="shared" si="38"/>
        <v>0</v>
      </c>
      <c r="L31" s="138">
        <f t="shared" si="39"/>
        <v>8</v>
      </c>
      <c r="M31" s="147">
        <f t="shared" ca="1" si="40"/>
        <v>2</v>
      </c>
      <c r="N31" s="212"/>
      <c r="O31" s="215"/>
      <c r="P31" s="121"/>
      <c r="Q31">
        <f t="shared" si="41"/>
        <v>6656</v>
      </c>
      <c r="R31" s="137"/>
      <c r="S31" s="137"/>
      <c r="T31" s="137"/>
      <c r="U31" s="137"/>
      <c r="V31" s="137"/>
      <c r="W31" s="137"/>
      <c r="X31" s="137"/>
      <c r="Y31" s="137"/>
      <c r="Z31" s="137"/>
      <c r="AA31" s="137"/>
      <c r="AB31" s="137"/>
      <c r="AC31" s="137"/>
      <c r="AD31" s="137"/>
      <c r="AE31" s="137"/>
      <c r="AF31" s="137"/>
      <c r="AH31" s="147">
        <f t="shared" si="42"/>
        <v>30.82</v>
      </c>
      <c r="AI31" s="2121">
        <f t="shared" si="36"/>
        <v>50</v>
      </c>
      <c r="AJ31" s="2121">
        <f t="shared" si="43"/>
        <v>50</v>
      </c>
      <c r="AK31" s="663">
        <f t="shared" si="37"/>
        <v>50</v>
      </c>
      <c r="AL31" s="146"/>
      <c r="AM31" s="146"/>
      <c r="AN31" s="146">
        <v>1</v>
      </c>
      <c r="AO31" s="146">
        <v>1</v>
      </c>
      <c r="AP31" s="146"/>
      <c r="AQ31" s="146"/>
      <c r="AR31" s="146"/>
      <c r="AS31" s="146"/>
      <c r="AT31" s="146"/>
      <c r="AU31" s="146"/>
      <c r="AV31" s="146"/>
      <c r="AW31" s="138">
        <v>1</v>
      </c>
      <c r="AX31" s="121"/>
    </row>
    <row r="32" spans="1:50" outlineLevel="1" x14ac:dyDescent="0.3">
      <c r="A32" s="2"/>
      <c r="B32" s="153">
        <f t="shared" si="44"/>
        <v>16</v>
      </c>
      <c r="C32" s="2117"/>
      <c r="D32" s="705">
        <v>4</v>
      </c>
      <c r="E32" s="705">
        <v>667</v>
      </c>
      <c r="F32" s="705">
        <v>1</v>
      </c>
      <c r="G32" s="369">
        <f t="shared" si="34"/>
        <v>1</v>
      </c>
      <c r="H32" s="705">
        <f t="shared" si="45"/>
        <v>1</v>
      </c>
      <c r="I32" s="705"/>
      <c r="J32" s="705"/>
      <c r="K32" s="138">
        <f t="shared" si="38"/>
        <v>0</v>
      </c>
      <c r="L32" s="138">
        <f t="shared" si="39"/>
        <v>4</v>
      </c>
      <c r="M32" s="147">
        <f t="shared" ca="1" si="40"/>
        <v>1</v>
      </c>
      <c r="N32" s="212"/>
      <c r="O32" s="215"/>
      <c r="P32" s="216"/>
      <c r="Q32">
        <f t="shared" si="41"/>
        <v>2668</v>
      </c>
      <c r="R32" s="137"/>
      <c r="S32" s="137"/>
      <c r="T32" s="137"/>
      <c r="U32" s="137"/>
      <c r="V32" s="137"/>
      <c r="W32" s="137"/>
      <c r="X32" s="137"/>
      <c r="Y32" s="137"/>
      <c r="Z32" s="137"/>
      <c r="AA32" s="137"/>
      <c r="AB32" s="137"/>
      <c r="AC32" s="137"/>
      <c r="AD32" s="137"/>
      <c r="AE32" s="137"/>
      <c r="AF32" s="137"/>
      <c r="AH32" s="147">
        <f t="shared" si="42"/>
        <v>21.67</v>
      </c>
      <c r="AI32" s="2121">
        <f t="shared" si="36"/>
        <v>43.75</v>
      </c>
      <c r="AJ32" s="2121">
        <f t="shared" si="43"/>
        <v>45</v>
      </c>
      <c r="AK32" s="663">
        <f t="shared" si="37"/>
        <v>45</v>
      </c>
      <c r="AL32" s="146">
        <v>1</v>
      </c>
      <c r="AM32" s="146">
        <v>1</v>
      </c>
      <c r="AN32" s="146"/>
      <c r="AO32" s="146"/>
      <c r="AP32" s="146"/>
      <c r="AQ32" s="146"/>
      <c r="AR32" s="146"/>
      <c r="AS32" s="146"/>
      <c r="AT32" s="146"/>
      <c r="AU32" s="146"/>
      <c r="AV32" s="146"/>
      <c r="AW32" s="138">
        <v>1</v>
      </c>
      <c r="AX32" s="2"/>
    </row>
    <row r="33" spans="1:50" s="50" customFormat="1" outlineLevel="1" x14ac:dyDescent="0.3">
      <c r="A33" s="121"/>
      <c r="B33" s="153">
        <f t="shared" si="44"/>
        <v>17</v>
      </c>
      <c r="C33" s="2118"/>
      <c r="D33" s="705">
        <v>4</v>
      </c>
      <c r="E33" s="705">
        <v>640</v>
      </c>
      <c r="F33" s="705">
        <v>1</v>
      </c>
      <c r="G33" s="369">
        <f t="shared" si="34"/>
        <v>1</v>
      </c>
      <c r="H33" s="705">
        <f t="shared" si="45"/>
        <v>1</v>
      </c>
      <c r="I33" s="705"/>
      <c r="J33" s="705"/>
      <c r="K33" s="138">
        <f t="shared" si="38"/>
        <v>0</v>
      </c>
      <c r="L33" s="138">
        <f t="shared" si="39"/>
        <v>4</v>
      </c>
      <c r="M33" s="147">
        <f t="shared" ca="1" si="40"/>
        <v>1</v>
      </c>
      <c r="N33" s="212"/>
      <c r="O33" s="215"/>
      <c r="P33" s="121"/>
      <c r="Q33">
        <f t="shared" si="41"/>
        <v>2560</v>
      </c>
      <c r="R33" s="137"/>
      <c r="S33" s="137"/>
      <c r="T33" s="137"/>
      <c r="U33" s="137"/>
      <c r="V33" s="137"/>
      <c r="W33" s="137"/>
      <c r="X33" s="137"/>
      <c r="Y33" s="137"/>
      <c r="Z33" s="137"/>
      <c r="AA33" s="137"/>
      <c r="AB33" s="137"/>
      <c r="AC33" s="137"/>
      <c r="AD33" s="137"/>
      <c r="AE33" s="137"/>
      <c r="AF33" s="137"/>
      <c r="AH33" s="147">
        <f t="shared" si="42"/>
        <v>21.4</v>
      </c>
      <c r="AI33" s="2121">
        <f t="shared" si="36"/>
        <v>43.75</v>
      </c>
      <c r="AJ33" s="2121">
        <f t="shared" si="43"/>
        <v>45</v>
      </c>
      <c r="AK33" s="663">
        <f t="shared" si="37"/>
        <v>45</v>
      </c>
      <c r="AL33" s="146">
        <v>1</v>
      </c>
      <c r="AM33" s="146">
        <v>1</v>
      </c>
      <c r="AN33" s="146"/>
      <c r="AO33" s="146"/>
      <c r="AP33" s="146"/>
      <c r="AQ33" s="146"/>
      <c r="AR33" s="146"/>
      <c r="AS33" s="146"/>
      <c r="AT33" s="146"/>
      <c r="AU33" s="146"/>
      <c r="AV33" s="146"/>
      <c r="AW33" s="138">
        <v>1</v>
      </c>
      <c r="AX33" s="121"/>
    </row>
    <row r="34" spans="1:50" s="50" customFormat="1" outlineLevel="1" x14ac:dyDescent="0.3">
      <c r="A34" s="121"/>
      <c r="B34" s="153">
        <f t="shared" si="44"/>
        <v>18</v>
      </c>
      <c r="C34" s="2117"/>
      <c r="D34" s="705"/>
      <c r="E34" s="705"/>
      <c r="F34" s="705"/>
      <c r="G34" s="369"/>
      <c r="H34" s="705"/>
      <c r="I34" s="705"/>
      <c r="J34" s="705"/>
      <c r="K34" s="138">
        <f t="shared" si="38"/>
        <v>0</v>
      </c>
      <c r="L34" s="138">
        <f t="shared" si="39"/>
        <v>0</v>
      </c>
      <c r="M34" s="147">
        <f t="shared" ca="1" si="40"/>
        <v>0</v>
      </c>
      <c r="N34" s="212"/>
      <c r="O34" s="215"/>
      <c r="P34" s="121"/>
      <c r="Q34">
        <f t="shared" si="41"/>
        <v>0</v>
      </c>
      <c r="R34" s="137"/>
      <c r="S34" s="137"/>
      <c r="T34" s="137"/>
      <c r="U34" s="137"/>
      <c r="V34" s="137"/>
      <c r="W34" s="137"/>
      <c r="X34" s="137"/>
      <c r="Y34" s="137"/>
      <c r="Z34" s="137"/>
      <c r="AA34" s="137"/>
      <c r="AB34" s="137"/>
      <c r="AC34" s="137"/>
      <c r="AD34" s="137"/>
      <c r="AE34" s="137"/>
      <c r="AF34" s="137"/>
      <c r="AH34" s="147">
        <f t="shared" si="42"/>
        <v>7.5</v>
      </c>
      <c r="AI34" s="2121">
        <f t="shared" si="36"/>
        <v>37.5</v>
      </c>
      <c r="AJ34" s="2121">
        <f t="shared" si="43"/>
        <v>40</v>
      </c>
      <c r="AK34" s="663">
        <f t="shared" si="37"/>
        <v>45</v>
      </c>
      <c r="AL34" s="146">
        <v>1</v>
      </c>
      <c r="AM34" s="146">
        <v>1</v>
      </c>
      <c r="AN34" s="146"/>
      <c r="AO34" s="146"/>
      <c r="AP34" s="146"/>
      <c r="AQ34" s="146"/>
      <c r="AR34" s="146"/>
      <c r="AS34" s="146"/>
      <c r="AT34" s="146"/>
      <c r="AU34" s="146"/>
      <c r="AV34" s="146"/>
      <c r="AW34" s="138">
        <v>1</v>
      </c>
      <c r="AX34" s="121"/>
    </row>
    <row r="35" spans="1:50" s="50" customFormat="1" outlineLevel="1" x14ac:dyDescent="0.3">
      <c r="A35" s="121"/>
      <c r="B35" s="153">
        <f t="shared" si="44"/>
        <v>19</v>
      </c>
      <c r="C35" s="2117"/>
      <c r="D35" s="705"/>
      <c r="E35" s="705"/>
      <c r="F35" s="705"/>
      <c r="G35" s="369"/>
      <c r="H35" s="705"/>
      <c r="I35" s="705"/>
      <c r="J35" s="705"/>
      <c r="K35" s="138">
        <f t="shared" si="38"/>
        <v>0</v>
      </c>
      <c r="L35" s="138">
        <f t="shared" si="39"/>
        <v>0</v>
      </c>
      <c r="M35" s="147">
        <f t="shared" ca="1" si="40"/>
        <v>0</v>
      </c>
      <c r="N35" s="212"/>
      <c r="O35" s="215"/>
      <c r="P35" s="121"/>
      <c r="Q35">
        <f t="shared" si="41"/>
        <v>0</v>
      </c>
      <c r="R35" s="137"/>
      <c r="S35" s="137"/>
      <c r="T35" s="137"/>
      <c r="U35" s="137"/>
      <c r="V35" s="137"/>
      <c r="W35" s="137"/>
      <c r="X35" s="137"/>
      <c r="Y35" s="137"/>
      <c r="Z35" s="137"/>
      <c r="AA35" s="137"/>
      <c r="AB35" s="137"/>
      <c r="AC35" s="137"/>
      <c r="AD35" s="137"/>
      <c r="AE35" s="137"/>
      <c r="AF35" s="137"/>
      <c r="AH35" s="147">
        <f t="shared" si="42"/>
        <v>7.5</v>
      </c>
      <c r="AI35" s="2121">
        <f t="shared" si="36"/>
        <v>37.5</v>
      </c>
      <c r="AJ35" s="2121">
        <f t="shared" si="43"/>
        <v>40</v>
      </c>
      <c r="AK35" s="663">
        <f t="shared" si="37"/>
        <v>45</v>
      </c>
      <c r="AL35" s="146">
        <v>1</v>
      </c>
      <c r="AM35" s="146">
        <v>1</v>
      </c>
      <c r="AN35" s="146"/>
      <c r="AO35" s="146"/>
      <c r="AP35" s="146"/>
      <c r="AQ35" s="146"/>
      <c r="AR35" s="146"/>
      <c r="AS35" s="146"/>
      <c r="AT35" s="146"/>
      <c r="AU35" s="146"/>
      <c r="AV35" s="146"/>
      <c r="AW35" s="138">
        <v>1</v>
      </c>
      <c r="AX35" s="121"/>
    </row>
    <row r="36" spans="1:50" s="50" customFormat="1" outlineLevel="1" x14ac:dyDescent="0.3">
      <c r="A36" s="121"/>
      <c r="B36" s="153">
        <f t="shared" si="44"/>
        <v>20</v>
      </c>
      <c r="C36" s="2117"/>
      <c r="D36" s="705"/>
      <c r="E36" s="705"/>
      <c r="F36" s="705"/>
      <c r="G36" s="369"/>
      <c r="H36" s="705"/>
      <c r="I36" s="705"/>
      <c r="J36" s="705"/>
      <c r="K36" s="138">
        <f t="shared" si="38"/>
        <v>0</v>
      </c>
      <c r="L36" s="138">
        <f t="shared" si="39"/>
        <v>0</v>
      </c>
      <c r="M36" s="147">
        <f t="shared" ca="1" si="40"/>
        <v>0</v>
      </c>
      <c r="N36" s="212"/>
      <c r="O36" s="215"/>
      <c r="P36" s="121"/>
      <c r="Q36">
        <f>E36*D36</f>
        <v>0</v>
      </c>
      <c r="R36" s="137"/>
      <c r="S36" s="137"/>
      <c r="T36" s="137"/>
      <c r="U36" s="137"/>
      <c r="V36" s="137"/>
      <c r="W36" s="137"/>
      <c r="X36" s="137"/>
      <c r="Y36" s="137"/>
      <c r="Z36" s="137"/>
      <c r="AA36" s="137"/>
      <c r="AB36" s="137"/>
      <c r="AC36" s="137"/>
      <c r="AD36" s="137"/>
      <c r="AE36" s="137"/>
      <c r="AF36" s="137"/>
      <c r="AH36" s="147">
        <f t="shared" si="42"/>
        <v>7.5</v>
      </c>
      <c r="AI36" s="2121">
        <f t="shared" si="36"/>
        <v>37.5</v>
      </c>
      <c r="AJ36" s="2121">
        <f t="shared" si="43"/>
        <v>40</v>
      </c>
      <c r="AK36" s="663">
        <f t="shared" si="37"/>
        <v>45</v>
      </c>
      <c r="AL36" s="146">
        <v>1</v>
      </c>
      <c r="AM36" s="146">
        <v>1</v>
      </c>
      <c r="AN36" s="146"/>
      <c r="AO36" s="146"/>
      <c r="AP36" s="146"/>
      <c r="AQ36" s="146"/>
      <c r="AR36" s="146"/>
      <c r="AS36" s="146"/>
      <c r="AT36" s="146"/>
      <c r="AU36" s="146"/>
      <c r="AV36" s="146"/>
      <c r="AW36" s="138">
        <v>1</v>
      </c>
      <c r="AX36" s="121"/>
    </row>
    <row r="37" spans="1:50" s="50" customFormat="1" outlineLevel="1" x14ac:dyDescent="0.3">
      <c r="A37" s="121"/>
      <c r="B37" s="153">
        <f t="shared" si="44"/>
        <v>21</v>
      </c>
      <c r="C37" s="705"/>
      <c r="D37" s="705"/>
      <c r="E37" s="705"/>
      <c r="F37" s="705"/>
      <c r="G37" s="369" t="str">
        <f t="shared" si="34"/>
        <v/>
      </c>
      <c r="H37" s="705"/>
      <c r="I37" s="705"/>
      <c r="J37" s="705"/>
      <c r="K37" s="138">
        <f t="shared" si="38"/>
        <v>0</v>
      </c>
      <c r="L37" s="138">
        <f t="shared" si="39"/>
        <v>0</v>
      </c>
      <c r="M37" s="147"/>
      <c r="N37" s="212"/>
      <c r="O37" s="215"/>
      <c r="P37" s="121"/>
      <c r="Q37">
        <f t="shared" si="41"/>
        <v>0</v>
      </c>
      <c r="R37" s="137"/>
      <c r="S37" s="137"/>
      <c r="T37" s="137"/>
      <c r="U37" s="137"/>
      <c r="V37" s="137"/>
      <c r="W37" s="137"/>
      <c r="X37" s="137"/>
      <c r="Y37" s="137"/>
      <c r="Z37" s="137"/>
      <c r="AA37" s="137"/>
      <c r="AB37" s="137"/>
      <c r="AC37" s="137"/>
      <c r="AD37" s="137"/>
      <c r="AE37" s="137"/>
      <c r="AF37" s="137"/>
      <c r="AH37" s="147">
        <f t="shared" si="42"/>
        <v>0</v>
      </c>
      <c r="AI37" s="2121">
        <f t="shared" si="36"/>
        <v>0</v>
      </c>
      <c r="AJ37" s="2121">
        <f t="shared" si="43"/>
        <v>0</v>
      </c>
      <c r="AK37" s="663">
        <f t="shared" si="37"/>
        <v>0</v>
      </c>
      <c r="AL37" s="146"/>
      <c r="AM37" s="146"/>
      <c r="AN37" s="146"/>
      <c r="AO37" s="146"/>
      <c r="AP37" s="146"/>
      <c r="AQ37" s="146"/>
      <c r="AR37" s="146"/>
      <c r="AS37" s="146"/>
      <c r="AT37" s="146"/>
      <c r="AU37" s="146"/>
      <c r="AV37" s="146"/>
      <c r="AW37" s="138"/>
      <c r="AX37" s="121"/>
    </row>
    <row r="38" spans="1:50" s="50" customFormat="1" outlineLevel="1" x14ac:dyDescent="0.3">
      <c r="A38" s="121"/>
      <c r="B38" s="153">
        <f t="shared" si="44"/>
        <v>22</v>
      </c>
      <c r="C38" s="705"/>
      <c r="D38" s="705"/>
      <c r="E38" s="705"/>
      <c r="F38" s="705"/>
      <c r="G38" s="369" t="str">
        <f t="shared" si="34"/>
        <v/>
      </c>
      <c r="H38" s="705"/>
      <c r="I38" s="705"/>
      <c r="J38" s="705"/>
      <c r="K38" s="138">
        <f t="shared" si="38"/>
        <v>0</v>
      </c>
      <c r="L38" s="138">
        <f t="shared" si="39"/>
        <v>0</v>
      </c>
      <c r="M38" s="147"/>
      <c r="N38" s="212"/>
      <c r="O38" s="215"/>
      <c r="P38" s="121"/>
      <c r="Q38">
        <f t="shared" si="41"/>
        <v>0</v>
      </c>
      <c r="R38" s="137"/>
      <c r="S38" s="137"/>
      <c r="T38" s="137"/>
      <c r="U38" s="137"/>
      <c r="V38" s="137"/>
      <c r="W38" s="137"/>
      <c r="X38" s="137"/>
      <c r="Y38" s="137"/>
      <c r="Z38" s="137"/>
      <c r="AA38" s="137"/>
      <c r="AB38" s="137"/>
      <c r="AC38" s="137"/>
      <c r="AD38" s="137"/>
      <c r="AE38" s="137"/>
      <c r="AF38" s="137"/>
      <c r="AH38" s="147">
        <f t="shared" si="42"/>
        <v>0</v>
      </c>
      <c r="AI38" s="2121">
        <f t="shared" si="36"/>
        <v>0</v>
      </c>
      <c r="AJ38" s="2121">
        <f t="shared" si="43"/>
        <v>0</v>
      </c>
      <c r="AK38" s="663">
        <f t="shared" si="37"/>
        <v>0</v>
      </c>
      <c r="AL38" s="146"/>
      <c r="AM38" s="146"/>
      <c r="AN38" s="146"/>
      <c r="AO38" s="146"/>
      <c r="AP38" s="146"/>
      <c r="AQ38" s="146"/>
      <c r="AR38" s="146"/>
      <c r="AS38" s="146"/>
      <c r="AT38" s="146"/>
      <c r="AU38" s="146"/>
      <c r="AV38" s="146"/>
      <c r="AW38" s="138"/>
      <c r="AX38" s="121"/>
    </row>
    <row r="39" spans="1:50" s="50" customFormat="1" outlineLevel="1" x14ac:dyDescent="0.3">
      <c r="A39" s="121"/>
      <c r="B39" s="153">
        <f t="shared" si="44"/>
        <v>23</v>
      </c>
      <c r="C39" s="705"/>
      <c r="D39" s="705"/>
      <c r="E39" s="705"/>
      <c r="F39" s="705"/>
      <c r="G39" s="369" t="str">
        <f t="shared" si="34"/>
        <v/>
      </c>
      <c r="H39" s="705"/>
      <c r="I39" s="705"/>
      <c r="J39" s="705"/>
      <c r="K39" s="138">
        <f t="shared" si="38"/>
        <v>0</v>
      </c>
      <c r="L39" s="138">
        <f t="shared" si="39"/>
        <v>0</v>
      </c>
      <c r="M39" s="147"/>
      <c r="N39" s="212"/>
      <c r="O39" s="215"/>
      <c r="P39" s="121"/>
      <c r="Q39">
        <f t="shared" si="41"/>
        <v>0</v>
      </c>
      <c r="R39" s="137"/>
      <c r="S39" s="137"/>
      <c r="T39" s="137"/>
      <c r="U39" s="137"/>
      <c r="V39" s="137"/>
      <c r="W39" s="137"/>
      <c r="X39" s="137"/>
      <c r="Y39" s="137"/>
      <c r="Z39" s="137"/>
      <c r="AA39" s="137"/>
      <c r="AB39" s="137"/>
      <c r="AC39" s="137"/>
      <c r="AD39" s="137"/>
      <c r="AE39" s="137"/>
      <c r="AF39" s="137"/>
      <c r="AH39" s="147">
        <f t="shared" si="42"/>
        <v>0</v>
      </c>
      <c r="AI39" s="2121">
        <f t="shared" si="36"/>
        <v>0</v>
      </c>
      <c r="AJ39" s="2121">
        <f t="shared" si="43"/>
        <v>0</v>
      </c>
      <c r="AK39" s="663">
        <f t="shared" si="37"/>
        <v>0</v>
      </c>
      <c r="AL39" s="146"/>
      <c r="AM39" s="146"/>
      <c r="AN39" s="146"/>
      <c r="AO39" s="146"/>
      <c r="AP39" s="146"/>
      <c r="AQ39" s="146"/>
      <c r="AR39" s="146"/>
      <c r="AS39" s="146"/>
      <c r="AT39" s="146"/>
      <c r="AU39" s="146"/>
      <c r="AV39" s="146"/>
      <c r="AW39" s="138"/>
      <c r="AX39" s="121"/>
    </row>
    <row r="40" spans="1:50" s="50" customFormat="1" outlineLevel="1" x14ac:dyDescent="0.3">
      <c r="A40" s="121"/>
      <c r="B40" s="153">
        <f t="shared" si="44"/>
        <v>24</v>
      </c>
      <c r="C40" s="705"/>
      <c r="D40" s="705"/>
      <c r="E40" s="705"/>
      <c r="F40" s="705"/>
      <c r="G40" s="369" t="str">
        <f t="shared" si="34"/>
        <v/>
      </c>
      <c r="H40" s="705"/>
      <c r="I40" s="705"/>
      <c r="J40" s="705"/>
      <c r="K40" s="138">
        <f t="shared" si="38"/>
        <v>0</v>
      </c>
      <c r="L40" s="138">
        <f t="shared" si="39"/>
        <v>0</v>
      </c>
      <c r="M40" s="147"/>
      <c r="N40" s="212"/>
      <c r="O40" s="215"/>
      <c r="P40" s="121"/>
      <c r="Q40">
        <f t="shared" si="41"/>
        <v>0</v>
      </c>
      <c r="R40" s="137"/>
      <c r="S40" s="137"/>
      <c r="T40" s="137"/>
      <c r="U40" s="137"/>
      <c r="V40" s="137"/>
      <c r="W40" s="137"/>
      <c r="X40" s="137"/>
      <c r="Y40" s="137"/>
      <c r="Z40" s="137"/>
      <c r="AA40" s="137"/>
      <c r="AB40" s="137"/>
      <c r="AC40" s="137"/>
      <c r="AD40" s="137"/>
      <c r="AE40" s="137"/>
      <c r="AF40" s="137"/>
      <c r="AH40" s="147">
        <f t="shared" si="42"/>
        <v>0</v>
      </c>
      <c r="AI40" s="2121">
        <f t="shared" si="36"/>
        <v>0</v>
      </c>
      <c r="AJ40" s="2121">
        <f t="shared" si="43"/>
        <v>0</v>
      </c>
      <c r="AK40" s="663">
        <f t="shared" si="37"/>
        <v>0</v>
      </c>
      <c r="AL40" s="146"/>
      <c r="AM40" s="146"/>
      <c r="AN40" s="146"/>
      <c r="AO40" s="146"/>
      <c r="AP40" s="146"/>
      <c r="AQ40" s="146"/>
      <c r="AR40" s="146"/>
      <c r="AS40" s="146"/>
      <c r="AT40" s="146"/>
      <c r="AU40" s="146"/>
      <c r="AV40" s="146"/>
      <c r="AW40" s="138"/>
      <c r="AX40" s="121"/>
    </row>
    <row r="41" spans="1:50" s="50" customFormat="1" outlineLevel="1" x14ac:dyDescent="0.3">
      <c r="A41" s="121"/>
      <c r="B41" s="153">
        <f t="shared" si="44"/>
        <v>25</v>
      </c>
      <c r="C41" s="705"/>
      <c r="D41" s="705"/>
      <c r="E41" s="705"/>
      <c r="F41" s="705"/>
      <c r="G41" s="369" t="str">
        <f t="shared" si="34"/>
        <v/>
      </c>
      <c r="H41" s="705"/>
      <c r="I41" s="705"/>
      <c r="J41" s="705"/>
      <c r="K41" s="138">
        <f t="shared" si="38"/>
        <v>0</v>
      </c>
      <c r="L41" s="138">
        <f t="shared" si="39"/>
        <v>0</v>
      </c>
      <c r="M41" s="147"/>
      <c r="N41" s="212"/>
      <c r="O41" s="215"/>
      <c r="P41" s="121"/>
      <c r="Q41">
        <f t="shared" si="41"/>
        <v>0</v>
      </c>
      <c r="R41" s="137"/>
      <c r="S41" s="137"/>
      <c r="T41" s="137"/>
      <c r="U41" s="137"/>
      <c r="V41" s="137"/>
      <c r="W41" s="137"/>
      <c r="X41" s="137"/>
      <c r="Y41" s="137"/>
      <c r="Z41" s="137"/>
      <c r="AA41" s="137"/>
      <c r="AB41" s="137"/>
      <c r="AC41" s="137"/>
      <c r="AD41" s="137"/>
      <c r="AE41" s="137"/>
      <c r="AF41" s="137"/>
      <c r="AH41" s="147">
        <f t="shared" si="42"/>
        <v>0</v>
      </c>
      <c r="AI41" s="2121">
        <f t="shared" si="36"/>
        <v>0</v>
      </c>
      <c r="AJ41" s="2121">
        <f t="shared" si="43"/>
        <v>0</v>
      </c>
      <c r="AK41" s="663">
        <f t="shared" si="37"/>
        <v>0</v>
      </c>
      <c r="AL41" s="146"/>
      <c r="AM41" s="146"/>
      <c r="AN41" s="146"/>
      <c r="AO41" s="146"/>
      <c r="AP41" s="146"/>
      <c r="AQ41" s="146"/>
      <c r="AR41" s="146"/>
      <c r="AS41" s="146"/>
      <c r="AT41" s="146"/>
      <c r="AU41" s="146"/>
      <c r="AV41" s="146"/>
      <c r="AW41" s="138"/>
      <c r="AX41" s="121"/>
    </row>
    <row r="42" spans="1:50" outlineLevel="1" x14ac:dyDescent="0.3">
      <c r="A42" s="2"/>
      <c r="B42" s="153">
        <f t="shared" si="44"/>
        <v>26</v>
      </c>
      <c r="C42" s="705"/>
      <c r="D42" s="705"/>
      <c r="E42" s="705"/>
      <c r="F42" s="705"/>
      <c r="G42" s="369" t="str">
        <f t="shared" si="34"/>
        <v/>
      </c>
      <c r="H42" s="705"/>
      <c r="I42" s="705"/>
      <c r="J42" s="705"/>
      <c r="K42" s="138">
        <f t="shared" si="38"/>
        <v>0</v>
      </c>
      <c r="L42" s="138">
        <f t="shared" si="39"/>
        <v>0</v>
      </c>
      <c r="M42" s="147"/>
      <c r="N42" s="212"/>
      <c r="O42" s="215"/>
      <c r="P42" s="216"/>
      <c r="Q42">
        <f t="shared" si="41"/>
        <v>0</v>
      </c>
      <c r="R42" s="137"/>
      <c r="S42" s="137"/>
      <c r="T42" s="137"/>
      <c r="U42" s="137"/>
      <c r="V42" s="137"/>
      <c r="W42" s="137"/>
      <c r="X42" s="137"/>
      <c r="Y42" s="137"/>
      <c r="Z42" s="137"/>
      <c r="AA42" s="137"/>
      <c r="AB42" s="137"/>
      <c r="AC42" s="137"/>
      <c r="AD42" s="137"/>
      <c r="AE42" s="137"/>
      <c r="AF42" s="137"/>
      <c r="AG42" s="144"/>
      <c r="AH42" s="147">
        <f t="shared" si="42"/>
        <v>0</v>
      </c>
      <c r="AI42" s="2121">
        <f t="shared" si="36"/>
        <v>0</v>
      </c>
      <c r="AJ42" s="2121">
        <f t="shared" si="43"/>
        <v>0</v>
      </c>
      <c r="AK42" s="663">
        <f t="shared" si="37"/>
        <v>0</v>
      </c>
      <c r="AL42" s="146"/>
      <c r="AM42" s="146"/>
      <c r="AN42" s="146"/>
      <c r="AO42" s="146"/>
      <c r="AP42" s="146"/>
      <c r="AQ42" s="146"/>
      <c r="AR42" s="146"/>
      <c r="AS42" s="146"/>
      <c r="AT42" s="146"/>
      <c r="AU42" s="146"/>
      <c r="AV42" s="146"/>
      <c r="AW42" s="138"/>
      <c r="AX42" s="144"/>
    </row>
    <row r="43" spans="1:50" outlineLevel="1" x14ac:dyDescent="0.3">
      <c r="A43" s="2"/>
      <c r="B43" s="153">
        <f t="shared" si="44"/>
        <v>27</v>
      </c>
      <c r="C43" s="705"/>
      <c r="D43" s="705"/>
      <c r="E43" s="705"/>
      <c r="F43" s="705"/>
      <c r="G43" s="369" t="str">
        <f t="shared" si="34"/>
        <v/>
      </c>
      <c r="H43" s="705"/>
      <c r="I43" s="705"/>
      <c r="J43" s="705"/>
      <c r="K43" s="138">
        <f t="shared" si="38"/>
        <v>0</v>
      </c>
      <c r="L43" s="138">
        <f t="shared" si="39"/>
        <v>0</v>
      </c>
      <c r="M43" s="147"/>
      <c r="N43" s="212"/>
      <c r="O43" s="215"/>
      <c r="P43" s="216"/>
      <c r="Q43">
        <f t="shared" si="41"/>
        <v>0</v>
      </c>
      <c r="R43" s="137"/>
      <c r="S43" s="137"/>
      <c r="T43" s="137"/>
      <c r="U43" s="137"/>
      <c r="V43" s="137"/>
      <c r="W43" s="137"/>
      <c r="X43" s="137"/>
      <c r="Y43" s="137"/>
      <c r="Z43" s="137"/>
      <c r="AA43" s="137"/>
      <c r="AB43" s="137"/>
      <c r="AC43" s="137"/>
      <c r="AD43" s="137"/>
      <c r="AE43" s="137"/>
      <c r="AF43" s="137"/>
      <c r="AH43" s="147">
        <f t="shared" si="42"/>
        <v>0</v>
      </c>
      <c r="AI43" s="2121">
        <f t="shared" si="36"/>
        <v>0</v>
      </c>
      <c r="AJ43" s="2121">
        <f t="shared" si="43"/>
        <v>0</v>
      </c>
      <c r="AK43" s="663">
        <f t="shared" si="37"/>
        <v>0</v>
      </c>
      <c r="AL43" s="146"/>
      <c r="AM43" s="146"/>
      <c r="AN43" s="146"/>
      <c r="AO43" s="146"/>
      <c r="AP43" s="146"/>
      <c r="AQ43" s="146"/>
      <c r="AR43" s="146"/>
      <c r="AS43" s="146"/>
      <c r="AT43" s="146"/>
      <c r="AU43" s="146"/>
      <c r="AV43" s="146"/>
      <c r="AW43" s="138"/>
      <c r="AX43" s="2"/>
    </row>
    <row r="44" spans="1:50" outlineLevel="1" x14ac:dyDescent="0.3">
      <c r="A44" s="2"/>
      <c r="B44" s="153">
        <f t="shared" si="44"/>
        <v>28</v>
      </c>
      <c r="C44" s="705"/>
      <c r="D44" s="705"/>
      <c r="E44" s="705"/>
      <c r="F44" s="705"/>
      <c r="G44" s="369" t="str">
        <f t="shared" si="34"/>
        <v/>
      </c>
      <c r="H44" s="705"/>
      <c r="I44" s="705"/>
      <c r="J44" s="705"/>
      <c r="K44" s="138">
        <f t="shared" si="38"/>
        <v>0</v>
      </c>
      <c r="L44" s="138">
        <f t="shared" si="39"/>
        <v>0</v>
      </c>
      <c r="M44" s="147"/>
      <c r="N44" s="212"/>
      <c r="O44" s="215"/>
      <c r="P44" s="216"/>
      <c r="Q44">
        <f t="shared" si="41"/>
        <v>0</v>
      </c>
      <c r="R44" s="137"/>
      <c r="S44" s="137"/>
      <c r="T44" s="137"/>
      <c r="U44" s="137"/>
      <c r="V44" s="137"/>
      <c r="W44" s="137"/>
      <c r="X44" s="137"/>
      <c r="Y44" s="137"/>
      <c r="Z44" s="137"/>
      <c r="AA44" s="137"/>
      <c r="AB44" s="137"/>
      <c r="AC44" s="137"/>
      <c r="AD44" s="137"/>
      <c r="AE44" s="137"/>
      <c r="AF44" s="137"/>
      <c r="AH44" s="147">
        <f t="shared" si="42"/>
        <v>0</v>
      </c>
      <c r="AI44" s="2121">
        <f t="shared" si="36"/>
        <v>0</v>
      </c>
      <c r="AJ44" s="2121">
        <f t="shared" si="43"/>
        <v>0</v>
      </c>
      <c r="AK44" s="663">
        <f t="shared" si="37"/>
        <v>0</v>
      </c>
      <c r="AL44" s="146"/>
      <c r="AM44" s="146"/>
      <c r="AN44" s="146"/>
      <c r="AO44" s="146"/>
      <c r="AP44" s="146"/>
      <c r="AQ44" s="146"/>
      <c r="AR44" s="146"/>
      <c r="AS44" s="146"/>
      <c r="AT44" s="146"/>
      <c r="AU44" s="146"/>
      <c r="AV44" s="146"/>
      <c r="AW44" s="138"/>
      <c r="AX44" s="2"/>
    </row>
    <row r="45" spans="1:50" outlineLevel="1" x14ac:dyDescent="0.3">
      <c r="A45" s="2"/>
      <c r="B45" s="153">
        <f t="shared" si="44"/>
        <v>29</v>
      </c>
      <c r="C45" s="705"/>
      <c r="D45" s="705"/>
      <c r="E45" s="705"/>
      <c r="F45" s="705"/>
      <c r="G45" s="369" t="str">
        <f t="shared" si="34"/>
        <v/>
      </c>
      <c r="H45" s="705"/>
      <c r="I45" s="705"/>
      <c r="J45" s="705"/>
      <c r="K45" s="138">
        <f t="shared" si="38"/>
        <v>0</v>
      </c>
      <c r="L45" s="138">
        <f t="shared" si="39"/>
        <v>0</v>
      </c>
      <c r="M45" s="147"/>
      <c r="N45" s="212"/>
      <c r="O45" s="215"/>
      <c r="P45" s="216"/>
      <c r="Q45">
        <f t="shared" si="41"/>
        <v>0</v>
      </c>
      <c r="R45" s="137"/>
      <c r="S45" s="137"/>
      <c r="T45" s="137"/>
      <c r="U45" s="137"/>
      <c r="V45" s="137"/>
      <c r="W45" s="137"/>
      <c r="X45" s="137"/>
      <c r="Y45" s="137"/>
      <c r="Z45" s="137"/>
      <c r="AA45" s="137"/>
      <c r="AB45" s="137"/>
      <c r="AC45" s="137"/>
      <c r="AD45" s="137"/>
      <c r="AE45" s="137"/>
      <c r="AF45" s="137"/>
      <c r="AH45" s="147">
        <f t="shared" si="42"/>
        <v>0</v>
      </c>
      <c r="AI45" s="2121">
        <f t="shared" si="36"/>
        <v>0</v>
      </c>
      <c r="AJ45" s="2121">
        <f t="shared" si="43"/>
        <v>0</v>
      </c>
      <c r="AK45" s="663">
        <f t="shared" si="37"/>
        <v>0</v>
      </c>
      <c r="AL45" s="146"/>
      <c r="AM45" s="146"/>
      <c r="AN45" s="146"/>
      <c r="AO45" s="146"/>
      <c r="AP45" s="146"/>
      <c r="AQ45" s="146"/>
      <c r="AR45" s="146"/>
      <c r="AS45" s="146"/>
      <c r="AT45" s="146"/>
      <c r="AU45" s="146"/>
      <c r="AV45" s="146"/>
      <c r="AW45" s="138"/>
      <c r="AX45" s="2"/>
    </row>
    <row r="46" spans="1:50" outlineLevel="1" x14ac:dyDescent="0.3">
      <c r="A46" s="2"/>
      <c r="B46" s="153">
        <f t="shared" si="44"/>
        <v>30</v>
      </c>
      <c r="C46" s="705"/>
      <c r="D46" s="705"/>
      <c r="E46" s="705"/>
      <c r="F46" s="705"/>
      <c r="G46" s="369" t="str">
        <f t="shared" si="34"/>
        <v/>
      </c>
      <c r="H46" s="705"/>
      <c r="I46" s="705"/>
      <c r="J46" s="705"/>
      <c r="K46" s="138">
        <f t="shared" si="38"/>
        <v>0</v>
      </c>
      <c r="L46" s="138">
        <f t="shared" si="39"/>
        <v>0</v>
      </c>
      <c r="M46" s="147"/>
      <c r="N46" s="212"/>
      <c r="O46" s="215"/>
      <c r="P46" s="216"/>
      <c r="Q46">
        <f t="shared" si="41"/>
        <v>0</v>
      </c>
      <c r="R46" s="137"/>
      <c r="S46" s="137"/>
      <c r="T46" s="137"/>
      <c r="U46" s="137"/>
      <c r="V46" s="137"/>
      <c r="W46" s="137"/>
      <c r="X46" s="137"/>
      <c r="Y46" s="137"/>
      <c r="Z46" s="137"/>
      <c r="AA46" s="137"/>
      <c r="AB46" s="137"/>
      <c r="AC46" s="137"/>
      <c r="AD46" s="137"/>
      <c r="AE46" s="137"/>
      <c r="AF46" s="137"/>
      <c r="AH46" s="147">
        <f t="shared" si="42"/>
        <v>0</v>
      </c>
      <c r="AI46" s="2121">
        <f t="shared" si="36"/>
        <v>0</v>
      </c>
      <c r="AJ46" s="2121">
        <f t="shared" si="43"/>
        <v>0</v>
      </c>
      <c r="AK46" s="663">
        <f t="shared" si="37"/>
        <v>0</v>
      </c>
      <c r="AL46" s="146"/>
      <c r="AM46" s="146"/>
      <c r="AN46" s="146"/>
      <c r="AO46" s="146"/>
      <c r="AP46" s="146"/>
      <c r="AQ46" s="146"/>
      <c r="AR46" s="146"/>
      <c r="AS46" s="146"/>
      <c r="AT46" s="146"/>
      <c r="AU46" s="146"/>
      <c r="AV46" s="146"/>
      <c r="AW46" s="138"/>
      <c r="AX46" s="2"/>
    </row>
    <row r="47" spans="1:50" s="50" customFormat="1" outlineLevel="1" x14ac:dyDescent="0.3">
      <c r="A47" s="121"/>
      <c r="B47" s="153">
        <f t="shared" si="44"/>
        <v>31</v>
      </c>
      <c r="C47" s="705"/>
      <c r="D47" s="705"/>
      <c r="E47" s="705"/>
      <c r="F47" s="705"/>
      <c r="G47" s="369" t="str">
        <f t="shared" si="34"/>
        <v/>
      </c>
      <c r="H47" s="705"/>
      <c r="I47" s="705"/>
      <c r="J47" s="705"/>
      <c r="K47" s="138">
        <f t="shared" si="38"/>
        <v>0</v>
      </c>
      <c r="L47" s="138">
        <f t="shared" si="39"/>
        <v>0</v>
      </c>
      <c r="M47" s="147"/>
      <c r="N47" s="499"/>
      <c r="O47" s="499"/>
      <c r="P47" s="121"/>
      <c r="Q47">
        <f t="shared" si="41"/>
        <v>0</v>
      </c>
      <c r="R47" s="137"/>
      <c r="S47" s="137"/>
      <c r="T47" s="137"/>
      <c r="U47" s="137"/>
      <c r="V47" s="137"/>
      <c r="W47" s="137"/>
      <c r="X47" s="137"/>
      <c r="Y47" s="137"/>
      <c r="Z47" s="137"/>
      <c r="AA47" s="137"/>
      <c r="AB47" s="137"/>
      <c r="AC47" s="137"/>
      <c r="AD47" s="137"/>
      <c r="AE47" s="137"/>
      <c r="AF47" s="137"/>
      <c r="AH47" s="147">
        <f t="shared" si="42"/>
        <v>0</v>
      </c>
      <c r="AI47" s="2121">
        <f t="shared" si="36"/>
        <v>0</v>
      </c>
      <c r="AJ47" s="2121">
        <f t="shared" si="43"/>
        <v>0</v>
      </c>
      <c r="AK47" s="663">
        <f t="shared" si="37"/>
        <v>0</v>
      </c>
      <c r="AL47" s="146"/>
      <c r="AM47" s="146"/>
      <c r="AN47" s="146"/>
      <c r="AO47" s="146"/>
      <c r="AP47" s="146"/>
      <c r="AQ47" s="146"/>
      <c r="AR47" s="146"/>
      <c r="AS47" s="146"/>
      <c r="AT47" s="146"/>
      <c r="AU47" s="146"/>
      <c r="AV47" s="146"/>
      <c r="AW47" s="138"/>
      <c r="AX47" s="121"/>
    </row>
    <row r="48" spans="1:50" s="50" customFormat="1" outlineLevel="1" x14ac:dyDescent="0.3">
      <c r="A48" s="121"/>
      <c r="B48" s="153">
        <f t="shared" si="44"/>
        <v>32</v>
      </c>
      <c r="C48" s="705"/>
      <c r="D48" s="705"/>
      <c r="E48" s="705"/>
      <c r="F48" s="705"/>
      <c r="G48" s="369" t="str">
        <f t="shared" si="34"/>
        <v/>
      </c>
      <c r="H48" s="705"/>
      <c r="I48" s="705"/>
      <c r="J48" s="705"/>
      <c r="K48" s="138">
        <f t="shared" si="38"/>
        <v>0</v>
      </c>
      <c r="L48" s="138">
        <f t="shared" si="39"/>
        <v>0</v>
      </c>
      <c r="M48" s="147"/>
      <c r="N48" s="499"/>
      <c r="O48" s="499"/>
      <c r="P48" s="121"/>
      <c r="Q48">
        <f t="shared" si="41"/>
        <v>0</v>
      </c>
      <c r="R48" s="137"/>
      <c r="S48" s="137"/>
      <c r="T48" s="137"/>
      <c r="U48" s="137"/>
      <c r="V48" s="137"/>
      <c r="W48" s="137"/>
      <c r="X48" s="137"/>
      <c r="Y48" s="137"/>
      <c r="Z48" s="137"/>
      <c r="AA48" s="137"/>
      <c r="AB48" s="137"/>
      <c r="AC48" s="137"/>
      <c r="AD48" s="137"/>
      <c r="AE48" s="137"/>
      <c r="AF48" s="137"/>
      <c r="AH48" s="147">
        <f t="shared" si="42"/>
        <v>0</v>
      </c>
      <c r="AI48" s="2121">
        <f t="shared" si="36"/>
        <v>0</v>
      </c>
      <c r="AJ48" s="2121">
        <f t="shared" si="43"/>
        <v>0</v>
      </c>
      <c r="AK48" s="663">
        <f t="shared" si="37"/>
        <v>0</v>
      </c>
      <c r="AL48" s="146"/>
      <c r="AM48" s="146"/>
      <c r="AN48" s="146"/>
      <c r="AO48" s="146"/>
      <c r="AP48" s="146"/>
      <c r="AQ48" s="146"/>
      <c r="AR48" s="146"/>
      <c r="AS48" s="146"/>
      <c r="AT48" s="146"/>
      <c r="AU48" s="146"/>
      <c r="AV48" s="146"/>
      <c r="AW48" s="138"/>
      <c r="AX48" s="121"/>
    </row>
    <row r="49" spans="1:50" outlineLevel="1" x14ac:dyDescent="0.3">
      <c r="A49" s="2"/>
      <c r="B49" s="153">
        <f t="shared" si="44"/>
        <v>33</v>
      </c>
      <c r="C49" s="705"/>
      <c r="D49" s="705"/>
      <c r="E49" s="705"/>
      <c r="F49" s="705"/>
      <c r="G49" s="369" t="str">
        <f t="shared" ref="G49:G73" si="46">IF(F49="","",INDEX($B$86:$D$92,MATCH(F49,$B$86:$B$92,0),3))</f>
        <v/>
      </c>
      <c r="H49" s="705"/>
      <c r="I49" s="705"/>
      <c r="J49" s="705"/>
      <c r="K49" s="138">
        <f t="shared" si="38"/>
        <v>0</v>
      </c>
      <c r="L49" s="138">
        <f t="shared" si="39"/>
        <v>0</v>
      </c>
      <c r="M49" s="147"/>
      <c r="N49" s="212"/>
      <c r="O49" s="215"/>
      <c r="P49" s="216"/>
      <c r="Q49">
        <f t="shared" si="41"/>
        <v>0</v>
      </c>
      <c r="R49" s="137"/>
      <c r="S49" s="137"/>
      <c r="T49" s="137"/>
      <c r="U49" s="137"/>
      <c r="V49" s="137"/>
      <c r="W49" s="137"/>
      <c r="X49" s="137"/>
      <c r="Y49" s="137"/>
      <c r="Z49" s="137"/>
      <c r="AA49" s="137"/>
      <c r="AB49" s="137"/>
      <c r="AC49" s="137"/>
      <c r="AD49" s="137"/>
      <c r="AE49" s="137"/>
      <c r="AF49" s="137"/>
      <c r="AH49" s="147">
        <f t="shared" si="42"/>
        <v>0</v>
      </c>
      <c r="AI49" s="2121">
        <f t="shared" ref="AI49:AI73" si="47">IFERROR(INDEX($AN$88:$AR$95,MATCH($E49,$AL$88:$AL$95,1),MATCH($G49,$AN$86:$AR$86,1))*$AL$9,0)</f>
        <v>0</v>
      </c>
      <c r="AJ49" s="2121">
        <f t="shared" si="43"/>
        <v>0</v>
      </c>
      <c r="AK49" s="663">
        <f t="shared" ref="AK49:AK73" si="48">SUMPRODUCT($AL$12:$AW$12,$AL$14:$AW$14,AL49:AW49)</f>
        <v>0</v>
      </c>
      <c r="AL49" s="146"/>
      <c r="AM49" s="146"/>
      <c r="AN49" s="146"/>
      <c r="AO49" s="146"/>
      <c r="AP49" s="146"/>
      <c r="AQ49" s="146"/>
      <c r="AR49" s="146"/>
      <c r="AS49" s="146"/>
      <c r="AT49" s="146"/>
      <c r="AU49" s="146"/>
      <c r="AV49" s="146"/>
      <c r="AW49" s="138"/>
      <c r="AX49" s="2"/>
    </row>
    <row r="50" spans="1:50" outlineLevel="1" x14ac:dyDescent="0.3">
      <c r="A50" s="2"/>
      <c r="B50" s="153">
        <f t="shared" si="44"/>
        <v>34</v>
      </c>
      <c r="C50" s="705"/>
      <c r="D50" s="705"/>
      <c r="E50" s="705"/>
      <c r="F50" s="705"/>
      <c r="G50" s="369" t="str">
        <f t="shared" si="46"/>
        <v/>
      </c>
      <c r="H50" s="705"/>
      <c r="I50" s="705"/>
      <c r="J50" s="705"/>
      <c r="K50" s="138">
        <f t="shared" si="38"/>
        <v>0</v>
      </c>
      <c r="L50" s="138">
        <f t="shared" si="39"/>
        <v>0</v>
      </c>
      <c r="M50" s="147"/>
      <c r="N50" s="212"/>
      <c r="O50" s="215"/>
      <c r="P50" s="216"/>
      <c r="Q50">
        <f t="shared" si="41"/>
        <v>0</v>
      </c>
      <c r="R50" s="137"/>
      <c r="S50" s="137"/>
      <c r="T50" s="137"/>
      <c r="U50" s="137"/>
      <c r="V50" s="137"/>
      <c r="W50" s="137"/>
      <c r="X50" s="137"/>
      <c r="Y50" s="137"/>
      <c r="Z50" s="137"/>
      <c r="AA50" s="137"/>
      <c r="AB50" s="137"/>
      <c r="AC50" s="137"/>
      <c r="AD50" s="137"/>
      <c r="AE50" s="137"/>
      <c r="AF50" s="137"/>
      <c r="AH50" s="147">
        <f t="shared" si="42"/>
        <v>0</v>
      </c>
      <c r="AI50" s="2121">
        <f t="shared" si="47"/>
        <v>0</v>
      </c>
      <c r="AJ50" s="2121">
        <f t="shared" si="43"/>
        <v>0</v>
      </c>
      <c r="AK50" s="663">
        <f t="shared" si="48"/>
        <v>0</v>
      </c>
      <c r="AL50" s="146"/>
      <c r="AM50" s="146"/>
      <c r="AN50" s="146"/>
      <c r="AO50" s="146"/>
      <c r="AP50" s="146"/>
      <c r="AQ50" s="146"/>
      <c r="AR50" s="146"/>
      <c r="AS50" s="146"/>
      <c r="AT50" s="146"/>
      <c r="AU50" s="146"/>
      <c r="AV50" s="146"/>
      <c r="AW50" s="138"/>
      <c r="AX50" s="2"/>
    </row>
    <row r="51" spans="1:50" outlineLevel="1" x14ac:dyDescent="0.3">
      <c r="A51" s="2"/>
      <c r="B51" s="153">
        <f t="shared" si="44"/>
        <v>35</v>
      </c>
      <c r="C51" s="705"/>
      <c r="D51" s="705"/>
      <c r="E51" s="705"/>
      <c r="F51" s="705"/>
      <c r="G51" s="369" t="str">
        <f t="shared" si="46"/>
        <v/>
      </c>
      <c r="H51" s="705"/>
      <c r="I51" s="705"/>
      <c r="J51" s="705"/>
      <c r="K51" s="138">
        <f t="shared" si="38"/>
        <v>0</v>
      </c>
      <c r="L51" s="138">
        <f t="shared" si="39"/>
        <v>0</v>
      </c>
      <c r="M51" s="147"/>
      <c r="N51" s="212"/>
      <c r="O51" s="215"/>
      <c r="P51" s="216"/>
      <c r="Q51">
        <f t="shared" si="41"/>
        <v>0</v>
      </c>
      <c r="R51" s="137"/>
      <c r="S51" s="137"/>
      <c r="T51" s="137"/>
      <c r="U51" s="137"/>
      <c r="V51" s="137"/>
      <c r="W51" s="137"/>
      <c r="X51" s="137"/>
      <c r="Y51" s="137"/>
      <c r="Z51" s="137"/>
      <c r="AA51" s="137"/>
      <c r="AB51" s="137"/>
      <c r="AC51" s="137"/>
      <c r="AD51" s="137"/>
      <c r="AE51" s="137"/>
      <c r="AF51" s="137"/>
      <c r="AH51" s="147">
        <f t="shared" si="42"/>
        <v>0</v>
      </c>
      <c r="AI51" s="2121">
        <f t="shared" si="47"/>
        <v>0</v>
      </c>
      <c r="AJ51" s="2121">
        <f t="shared" si="43"/>
        <v>0</v>
      </c>
      <c r="AK51" s="663">
        <f t="shared" si="48"/>
        <v>0</v>
      </c>
      <c r="AL51" s="146"/>
      <c r="AM51" s="146"/>
      <c r="AN51" s="146"/>
      <c r="AO51" s="146"/>
      <c r="AP51" s="146"/>
      <c r="AQ51" s="146"/>
      <c r="AR51" s="146"/>
      <c r="AS51" s="146"/>
      <c r="AT51" s="146"/>
      <c r="AU51" s="146"/>
      <c r="AV51" s="146"/>
      <c r="AW51" s="138"/>
      <c r="AX51" s="2"/>
    </row>
    <row r="52" spans="1:50" outlineLevel="1" x14ac:dyDescent="0.3">
      <c r="A52" s="2"/>
      <c r="B52" s="153">
        <f t="shared" si="44"/>
        <v>36</v>
      </c>
      <c r="C52" s="705"/>
      <c r="D52" s="705"/>
      <c r="E52" s="705"/>
      <c r="F52" s="705"/>
      <c r="G52" s="369" t="str">
        <f t="shared" si="46"/>
        <v/>
      </c>
      <c r="H52" s="705"/>
      <c r="I52" s="705"/>
      <c r="J52" s="705"/>
      <c r="K52" s="138">
        <f t="shared" si="38"/>
        <v>0</v>
      </c>
      <c r="L52" s="138">
        <f t="shared" si="39"/>
        <v>0</v>
      </c>
      <c r="M52" s="147"/>
      <c r="N52" s="212"/>
      <c r="O52" s="215"/>
      <c r="P52" s="216"/>
      <c r="Q52">
        <f t="shared" si="41"/>
        <v>0</v>
      </c>
      <c r="R52" s="137"/>
      <c r="S52" s="137"/>
      <c r="T52" s="137"/>
      <c r="U52" s="137"/>
      <c r="V52" s="137"/>
      <c r="W52" s="137"/>
      <c r="X52" s="137"/>
      <c r="Y52" s="137"/>
      <c r="Z52" s="137"/>
      <c r="AA52" s="137"/>
      <c r="AB52" s="137"/>
      <c r="AC52" s="137"/>
      <c r="AD52" s="137"/>
      <c r="AE52" s="137"/>
      <c r="AF52" s="137"/>
      <c r="AH52" s="147">
        <f t="shared" si="42"/>
        <v>0</v>
      </c>
      <c r="AI52" s="2121">
        <f t="shared" si="47"/>
        <v>0</v>
      </c>
      <c r="AJ52" s="2121">
        <f t="shared" si="43"/>
        <v>0</v>
      </c>
      <c r="AK52" s="663">
        <f t="shared" si="48"/>
        <v>0</v>
      </c>
      <c r="AL52" s="146"/>
      <c r="AM52" s="146"/>
      <c r="AN52" s="146"/>
      <c r="AO52" s="146"/>
      <c r="AP52" s="146"/>
      <c r="AQ52" s="146"/>
      <c r="AR52" s="146"/>
      <c r="AS52" s="146"/>
      <c r="AT52" s="146"/>
      <c r="AU52" s="146"/>
      <c r="AV52" s="146"/>
      <c r="AW52" s="138"/>
      <c r="AX52" s="2"/>
    </row>
    <row r="53" spans="1:50" outlineLevel="1" x14ac:dyDescent="0.3">
      <c r="A53" s="2"/>
      <c r="B53" s="153">
        <f t="shared" si="44"/>
        <v>37</v>
      </c>
      <c r="C53" s="705"/>
      <c r="D53" s="705"/>
      <c r="E53" s="705"/>
      <c r="F53" s="705"/>
      <c r="G53" s="369" t="str">
        <f t="shared" si="46"/>
        <v/>
      </c>
      <c r="H53" s="705"/>
      <c r="I53" s="705"/>
      <c r="J53" s="705"/>
      <c r="K53" s="138">
        <f t="shared" si="38"/>
        <v>0</v>
      </c>
      <c r="L53" s="138">
        <f t="shared" si="39"/>
        <v>0</v>
      </c>
      <c r="M53" s="147"/>
      <c r="N53" s="212"/>
      <c r="O53" s="215"/>
      <c r="P53" s="216"/>
      <c r="Q53">
        <f t="shared" si="41"/>
        <v>0</v>
      </c>
      <c r="R53" s="137"/>
      <c r="S53" s="137"/>
      <c r="T53" s="137"/>
      <c r="U53" s="137"/>
      <c r="V53" s="137"/>
      <c r="W53" s="137"/>
      <c r="X53" s="137"/>
      <c r="Y53" s="137"/>
      <c r="Z53" s="137"/>
      <c r="AA53" s="137"/>
      <c r="AB53" s="137"/>
      <c r="AC53" s="137"/>
      <c r="AD53" s="137"/>
      <c r="AE53" s="137"/>
      <c r="AF53" s="137"/>
      <c r="AH53" s="147">
        <f t="shared" si="42"/>
        <v>0</v>
      </c>
      <c r="AI53" s="2121">
        <f t="shared" si="47"/>
        <v>0</v>
      </c>
      <c r="AJ53" s="2121">
        <f t="shared" si="43"/>
        <v>0</v>
      </c>
      <c r="AK53" s="663">
        <f t="shared" si="48"/>
        <v>0</v>
      </c>
      <c r="AL53" s="146"/>
      <c r="AM53" s="146"/>
      <c r="AN53" s="146"/>
      <c r="AO53" s="146"/>
      <c r="AP53" s="146"/>
      <c r="AQ53" s="146"/>
      <c r="AR53" s="146"/>
      <c r="AS53" s="146"/>
      <c r="AT53" s="146"/>
      <c r="AU53" s="146"/>
      <c r="AV53" s="146"/>
      <c r="AW53" s="138"/>
      <c r="AX53" s="2"/>
    </row>
    <row r="54" spans="1:50" outlineLevel="1" x14ac:dyDescent="0.3">
      <c r="A54" s="2"/>
      <c r="B54" s="153">
        <f t="shared" si="44"/>
        <v>38</v>
      </c>
      <c r="C54" s="705"/>
      <c r="D54" s="705"/>
      <c r="E54" s="705"/>
      <c r="F54" s="705"/>
      <c r="G54" s="369" t="str">
        <f t="shared" si="46"/>
        <v/>
      </c>
      <c r="H54" s="705"/>
      <c r="I54" s="705"/>
      <c r="J54" s="705"/>
      <c r="K54" s="138">
        <f t="shared" si="38"/>
        <v>0</v>
      </c>
      <c r="L54" s="138">
        <f t="shared" si="39"/>
        <v>0</v>
      </c>
      <c r="M54" s="147"/>
      <c r="N54" s="212"/>
      <c r="O54" s="215"/>
      <c r="P54" s="216"/>
      <c r="Q54">
        <f t="shared" si="41"/>
        <v>0</v>
      </c>
      <c r="R54" s="137"/>
      <c r="S54" s="137"/>
      <c r="T54" s="137"/>
      <c r="U54" s="137"/>
      <c r="V54" s="137"/>
      <c r="W54" s="137"/>
      <c r="X54" s="137"/>
      <c r="Y54" s="137"/>
      <c r="Z54" s="137"/>
      <c r="AA54" s="137"/>
      <c r="AB54" s="137"/>
      <c r="AC54" s="137"/>
      <c r="AD54" s="137"/>
      <c r="AE54" s="137"/>
      <c r="AF54" s="137"/>
      <c r="AH54" s="147">
        <f t="shared" si="42"/>
        <v>0</v>
      </c>
      <c r="AI54" s="2121">
        <f t="shared" si="47"/>
        <v>0</v>
      </c>
      <c r="AJ54" s="2121">
        <f t="shared" si="43"/>
        <v>0</v>
      </c>
      <c r="AK54" s="663">
        <f t="shared" si="48"/>
        <v>0</v>
      </c>
      <c r="AL54" s="146"/>
      <c r="AM54" s="146"/>
      <c r="AN54" s="146"/>
      <c r="AO54" s="146"/>
      <c r="AP54" s="146"/>
      <c r="AQ54" s="146"/>
      <c r="AR54" s="146"/>
      <c r="AS54" s="146"/>
      <c r="AT54" s="146"/>
      <c r="AU54" s="146"/>
      <c r="AV54" s="146"/>
      <c r="AW54" s="138"/>
      <c r="AX54" s="2"/>
    </row>
    <row r="55" spans="1:50" s="50" customFormat="1" outlineLevel="1" x14ac:dyDescent="0.3">
      <c r="A55" s="121"/>
      <c r="B55" s="153">
        <f t="shared" si="44"/>
        <v>39</v>
      </c>
      <c r="C55" s="705"/>
      <c r="D55" s="705"/>
      <c r="E55" s="705"/>
      <c r="F55" s="705"/>
      <c r="G55" s="369" t="str">
        <f t="shared" si="46"/>
        <v/>
      </c>
      <c r="H55" s="705"/>
      <c r="I55" s="705"/>
      <c r="J55" s="705"/>
      <c r="K55" s="138">
        <f t="shared" si="38"/>
        <v>0</v>
      </c>
      <c r="L55" s="138">
        <f t="shared" si="39"/>
        <v>0</v>
      </c>
      <c r="M55" s="147"/>
      <c r="N55" s="212"/>
      <c r="O55" s="215"/>
      <c r="P55" s="121"/>
      <c r="Q55">
        <f t="shared" si="41"/>
        <v>0</v>
      </c>
      <c r="R55" s="137"/>
      <c r="S55" s="137"/>
      <c r="T55" s="137"/>
      <c r="U55" s="137"/>
      <c r="V55" s="137"/>
      <c r="W55" s="137"/>
      <c r="X55" s="137"/>
      <c r="Y55" s="137"/>
      <c r="Z55" s="137"/>
      <c r="AA55" s="137"/>
      <c r="AB55" s="137"/>
      <c r="AC55" s="137"/>
      <c r="AD55" s="137"/>
      <c r="AE55" s="137"/>
      <c r="AF55" s="137"/>
      <c r="AH55" s="147">
        <f t="shared" si="42"/>
        <v>0</v>
      </c>
      <c r="AI55" s="2121">
        <f t="shared" si="47"/>
        <v>0</v>
      </c>
      <c r="AJ55" s="2121">
        <f t="shared" si="43"/>
        <v>0</v>
      </c>
      <c r="AK55" s="663">
        <f t="shared" si="48"/>
        <v>0</v>
      </c>
      <c r="AL55" s="146"/>
      <c r="AM55" s="146"/>
      <c r="AN55" s="146"/>
      <c r="AO55" s="146"/>
      <c r="AP55" s="146"/>
      <c r="AQ55" s="146"/>
      <c r="AR55" s="146"/>
      <c r="AS55" s="146"/>
      <c r="AT55" s="146"/>
      <c r="AU55" s="146"/>
      <c r="AV55" s="146"/>
      <c r="AW55" s="138"/>
      <c r="AX55" s="121"/>
    </row>
    <row r="56" spans="1:50" outlineLevel="1" x14ac:dyDescent="0.3">
      <c r="A56" s="2"/>
      <c r="B56" s="153">
        <f t="shared" si="44"/>
        <v>40</v>
      </c>
      <c r="C56" s="705"/>
      <c r="D56" s="705"/>
      <c r="E56" s="705"/>
      <c r="F56" s="705"/>
      <c r="G56" s="369" t="str">
        <f t="shared" si="46"/>
        <v/>
      </c>
      <c r="H56" s="705"/>
      <c r="I56" s="705"/>
      <c r="J56" s="705"/>
      <c r="K56" s="138">
        <f t="shared" si="38"/>
        <v>0</v>
      </c>
      <c r="L56" s="138">
        <f t="shared" si="39"/>
        <v>0</v>
      </c>
      <c r="M56" s="147"/>
      <c r="N56" s="212"/>
      <c r="O56" s="215"/>
      <c r="P56" s="216"/>
      <c r="Q56">
        <f t="shared" si="41"/>
        <v>0</v>
      </c>
      <c r="R56" s="137"/>
      <c r="S56" s="137"/>
      <c r="T56" s="137"/>
      <c r="U56" s="137"/>
      <c r="V56" s="137"/>
      <c r="W56" s="137"/>
      <c r="X56" s="137"/>
      <c r="Y56" s="137"/>
      <c r="Z56" s="137"/>
      <c r="AA56" s="137"/>
      <c r="AB56" s="137"/>
      <c r="AC56" s="137"/>
      <c r="AD56" s="137"/>
      <c r="AE56" s="137"/>
      <c r="AF56" s="137"/>
      <c r="AH56" s="147">
        <f t="shared" si="42"/>
        <v>0</v>
      </c>
      <c r="AI56" s="2121">
        <f t="shared" si="47"/>
        <v>0</v>
      </c>
      <c r="AJ56" s="2121">
        <f t="shared" si="43"/>
        <v>0</v>
      </c>
      <c r="AK56" s="663">
        <f t="shared" si="48"/>
        <v>0</v>
      </c>
      <c r="AL56" s="146"/>
      <c r="AM56" s="146"/>
      <c r="AN56" s="146"/>
      <c r="AO56" s="146"/>
      <c r="AP56" s="146"/>
      <c r="AQ56" s="146"/>
      <c r="AR56" s="146"/>
      <c r="AS56" s="146"/>
      <c r="AT56" s="146"/>
      <c r="AU56" s="146"/>
      <c r="AV56" s="146"/>
      <c r="AW56" s="138"/>
      <c r="AX56" s="2"/>
    </row>
    <row r="57" spans="1:50" s="50" customFormat="1" outlineLevel="1" x14ac:dyDescent="0.3">
      <c r="A57" s="121"/>
      <c r="B57" s="153">
        <f t="shared" si="44"/>
        <v>41</v>
      </c>
      <c r="C57" s="1517"/>
      <c r="D57" s="705"/>
      <c r="E57" s="705"/>
      <c r="F57" s="705"/>
      <c r="G57" s="369" t="str">
        <f t="shared" si="46"/>
        <v/>
      </c>
      <c r="H57" s="705"/>
      <c r="I57" s="705"/>
      <c r="J57" s="705"/>
      <c r="K57" s="138">
        <f t="shared" si="38"/>
        <v>0</v>
      </c>
      <c r="L57" s="138">
        <f t="shared" si="39"/>
        <v>0</v>
      </c>
      <c r="M57" s="147"/>
      <c r="N57" s="212"/>
      <c r="O57" s="215"/>
      <c r="P57" s="121"/>
      <c r="Q57">
        <f t="shared" si="41"/>
        <v>0</v>
      </c>
      <c r="R57" s="137"/>
      <c r="S57" s="137"/>
      <c r="T57" s="137"/>
      <c r="U57" s="137"/>
      <c r="V57" s="137"/>
      <c r="W57" s="137"/>
      <c r="X57" s="137"/>
      <c r="Y57" s="137"/>
      <c r="Z57" s="137"/>
      <c r="AA57" s="137"/>
      <c r="AB57" s="137"/>
      <c r="AC57" s="137"/>
      <c r="AD57" s="137"/>
      <c r="AE57" s="137"/>
      <c r="AF57" s="137"/>
      <c r="AH57" s="147">
        <f t="shared" si="42"/>
        <v>0</v>
      </c>
      <c r="AI57" s="2121">
        <f t="shared" si="47"/>
        <v>0</v>
      </c>
      <c r="AJ57" s="2121">
        <f t="shared" si="43"/>
        <v>0</v>
      </c>
      <c r="AK57" s="663">
        <f t="shared" si="48"/>
        <v>0</v>
      </c>
      <c r="AL57" s="146"/>
      <c r="AM57" s="146"/>
      <c r="AN57" s="146"/>
      <c r="AO57" s="146"/>
      <c r="AP57" s="146"/>
      <c r="AQ57" s="146"/>
      <c r="AR57" s="146"/>
      <c r="AS57" s="146"/>
      <c r="AT57" s="146"/>
      <c r="AU57" s="146"/>
      <c r="AV57" s="146"/>
      <c r="AW57" s="138"/>
      <c r="AX57" s="121"/>
    </row>
    <row r="58" spans="1:50" s="50" customFormat="1" outlineLevel="1" x14ac:dyDescent="0.3">
      <c r="A58" s="121"/>
      <c r="B58" s="153">
        <f t="shared" si="44"/>
        <v>42</v>
      </c>
      <c r="C58" s="705"/>
      <c r="D58" s="705"/>
      <c r="E58" s="705"/>
      <c r="F58" s="705"/>
      <c r="G58" s="369" t="str">
        <f t="shared" si="46"/>
        <v/>
      </c>
      <c r="H58" s="705"/>
      <c r="I58" s="705"/>
      <c r="J58" s="705"/>
      <c r="K58" s="138">
        <f t="shared" si="38"/>
        <v>0</v>
      </c>
      <c r="L58" s="138">
        <f t="shared" si="39"/>
        <v>0</v>
      </c>
      <c r="M58" s="147"/>
      <c r="N58" s="212"/>
      <c r="O58" s="215"/>
      <c r="P58" s="121"/>
      <c r="Q58">
        <f t="shared" si="41"/>
        <v>0</v>
      </c>
      <c r="R58" s="137"/>
      <c r="S58" s="137"/>
      <c r="T58" s="137"/>
      <c r="U58" s="137"/>
      <c r="V58" s="137"/>
      <c r="W58" s="137"/>
      <c r="X58" s="137"/>
      <c r="Y58" s="137"/>
      <c r="Z58" s="137"/>
      <c r="AA58" s="137"/>
      <c r="AB58" s="137"/>
      <c r="AC58" s="137"/>
      <c r="AD58" s="137"/>
      <c r="AE58" s="137"/>
      <c r="AF58" s="137"/>
      <c r="AH58" s="147">
        <f t="shared" si="42"/>
        <v>0</v>
      </c>
      <c r="AI58" s="2121">
        <f t="shared" si="47"/>
        <v>0</v>
      </c>
      <c r="AJ58" s="2121">
        <f t="shared" si="43"/>
        <v>0</v>
      </c>
      <c r="AK58" s="663">
        <f t="shared" si="48"/>
        <v>0</v>
      </c>
      <c r="AL58" s="146"/>
      <c r="AM58" s="146"/>
      <c r="AN58" s="146"/>
      <c r="AO58" s="146"/>
      <c r="AP58" s="146"/>
      <c r="AQ58" s="146"/>
      <c r="AR58" s="146"/>
      <c r="AS58" s="146"/>
      <c r="AT58" s="146"/>
      <c r="AU58" s="146"/>
      <c r="AV58" s="146"/>
      <c r="AW58" s="138"/>
      <c r="AX58" s="121"/>
    </row>
    <row r="59" spans="1:50" s="50" customFormat="1" outlineLevel="1" x14ac:dyDescent="0.3">
      <c r="A59" s="121"/>
      <c r="B59" s="153">
        <f t="shared" si="44"/>
        <v>43</v>
      </c>
      <c r="C59" s="705"/>
      <c r="D59" s="705"/>
      <c r="E59" s="705"/>
      <c r="F59" s="705"/>
      <c r="G59" s="369" t="str">
        <f t="shared" si="46"/>
        <v/>
      </c>
      <c r="H59" s="705"/>
      <c r="I59" s="705"/>
      <c r="J59" s="705"/>
      <c r="K59" s="138">
        <f t="shared" si="38"/>
        <v>0</v>
      </c>
      <c r="L59" s="138">
        <f t="shared" si="39"/>
        <v>0</v>
      </c>
      <c r="M59" s="147"/>
      <c r="N59" s="212"/>
      <c r="O59" s="215"/>
      <c r="P59" s="121"/>
      <c r="Q59">
        <f t="shared" si="41"/>
        <v>0</v>
      </c>
      <c r="R59" s="137"/>
      <c r="S59" s="137"/>
      <c r="T59" s="137"/>
      <c r="U59" s="137"/>
      <c r="V59" s="137"/>
      <c r="W59" s="137"/>
      <c r="X59" s="137"/>
      <c r="Y59" s="137"/>
      <c r="Z59" s="137"/>
      <c r="AA59" s="137"/>
      <c r="AB59" s="137"/>
      <c r="AC59" s="137"/>
      <c r="AD59" s="137"/>
      <c r="AE59" s="137"/>
      <c r="AF59" s="137"/>
      <c r="AH59" s="147">
        <f t="shared" si="42"/>
        <v>0</v>
      </c>
      <c r="AI59" s="2121">
        <f t="shared" si="47"/>
        <v>0</v>
      </c>
      <c r="AJ59" s="2121">
        <f t="shared" si="43"/>
        <v>0</v>
      </c>
      <c r="AK59" s="663">
        <f t="shared" si="48"/>
        <v>0</v>
      </c>
      <c r="AL59" s="146"/>
      <c r="AM59" s="146"/>
      <c r="AN59" s="146"/>
      <c r="AO59" s="146"/>
      <c r="AP59" s="146"/>
      <c r="AQ59" s="146"/>
      <c r="AR59" s="146"/>
      <c r="AS59" s="146"/>
      <c r="AT59" s="146"/>
      <c r="AU59" s="146"/>
      <c r="AV59" s="146"/>
      <c r="AW59" s="138"/>
      <c r="AX59" s="121"/>
    </row>
    <row r="60" spans="1:50" s="50" customFormat="1" outlineLevel="1" x14ac:dyDescent="0.3">
      <c r="A60" s="121"/>
      <c r="B60" s="153">
        <f t="shared" si="44"/>
        <v>44</v>
      </c>
      <c r="C60" s="705"/>
      <c r="D60" s="705"/>
      <c r="E60" s="705"/>
      <c r="F60" s="705"/>
      <c r="G60" s="369" t="str">
        <f t="shared" si="46"/>
        <v/>
      </c>
      <c r="H60" s="705"/>
      <c r="I60" s="705"/>
      <c r="J60" s="705"/>
      <c r="K60" s="138">
        <f t="shared" si="38"/>
        <v>0</v>
      </c>
      <c r="L60" s="138">
        <f t="shared" si="39"/>
        <v>0</v>
      </c>
      <c r="M60" s="147"/>
      <c r="N60" s="212"/>
      <c r="O60" s="215"/>
      <c r="P60" s="121"/>
      <c r="Q60">
        <f t="shared" si="41"/>
        <v>0</v>
      </c>
      <c r="R60" s="137"/>
      <c r="S60" s="137"/>
      <c r="T60" s="137"/>
      <c r="U60" s="137"/>
      <c r="V60" s="137"/>
      <c r="W60" s="137"/>
      <c r="X60" s="137"/>
      <c r="Y60" s="137"/>
      <c r="Z60" s="137"/>
      <c r="AA60" s="137"/>
      <c r="AB60" s="137"/>
      <c r="AC60" s="137"/>
      <c r="AD60" s="137"/>
      <c r="AE60" s="137"/>
      <c r="AF60" s="137"/>
      <c r="AH60" s="147">
        <f t="shared" si="42"/>
        <v>0</v>
      </c>
      <c r="AI60" s="2121">
        <f t="shared" si="47"/>
        <v>0</v>
      </c>
      <c r="AJ60" s="2121">
        <f t="shared" si="43"/>
        <v>0</v>
      </c>
      <c r="AK60" s="663">
        <f t="shared" si="48"/>
        <v>0</v>
      </c>
      <c r="AL60" s="146"/>
      <c r="AM60" s="146"/>
      <c r="AN60" s="146"/>
      <c r="AO60" s="146"/>
      <c r="AP60" s="146"/>
      <c r="AQ60" s="146"/>
      <c r="AR60" s="146"/>
      <c r="AS60" s="146"/>
      <c r="AT60" s="146"/>
      <c r="AU60" s="146"/>
      <c r="AV60" s="146"/>
      <c r="AW60" s="138"/>
      <c r="AX60" s="121"/>
    </row>
    <row r="61" spans="1:50" s="50" customFormat="1" outlineLevel="1" x14ac:dyDescent="0.3">
      <c r="A61" s="121"/>
      <c r="B61" s="153">
        <f t="shared" si="44"/>
        <v>45</v>
      </c>
      <c r="C61" s="705"/>
      <c r="D61" s="705"/>
      <c r="E61" s="705"/>
      <c r="F61" s="705"/>
      <c r="G61" s="369" t="str">
        <f t="shared" si="46"/>
        <v/>
      </c>
      <c r="H61" s="705"/>
      <c r="I61" s="705"/>
      <c r="J61" s="705"/>
      <c r="K61" s="138">
        <f t="shared" si="38"/>
        <v>0</v>
      </c>
      <c r="L61" s="138">
        <f t="shared" si="39"/>
        <v>0</v>
      </c>
      <c r="M61" s="147"/>
      <c r="N61" s="212"/>
      <c r="O61" s="215"/>
      <c r="P61" s="121"/>
      <c r="Q61">
        <f t="shared" si="41"/>
        <v>0</v>
      </c>
      <c r="R61" s="137"/>
      <c r="S61" s="137"/>
      <c r="T61" s="137"/>
      <c r="U61" s="137"/>
      <c r="V61" s="137"/>
      <c r="W61" s="137"/>
      <c r="X61" s="137"/>
      <c r="Y61" s="137"/>
      <c r="Z61" s="137"/>
      <c r="AA61" s="137"/>
      <c r="AB61" s="137"/>
      <c r="AC61" s="137"/>
      <c r="AD61" s="137"/>
      <c r="AE61" s="137"/>
      <c r="AF61" s="137"/>
      <c r="AH61" s="147">
        <f t="shared" si="42"/>
        <v>0</v>
      </c>
      <c r="AI61" s="2121">
        <f t="shared" si="47"/>
        <v>0</v>
      </c>
      <c r="AJ61" s="2121">
        <f t="shared" si="43"/>
        <v>0</v>
      </c>
      <c r="AK61" s="663">
        <f t="shared" si="48"/>
        <v>0</v>
      </c>
      <c r="AL61" s="146"/>
      <c r="AM61" s="146"/>
      <c r="AN61" s="146"/>
      <c r="AO61" s="146"/>
      <c r="AP61" s="146"/>
      <c r="AQ61" s="146"/>
      <c r="AR61" s="146"/>
      <c r="AS61" s="146"/>
      <c r="AT61" s="146"/>
      <c r="AU61" s="146"/>
      <c r="AV61" s="146"/>
      <c r="AW61" s="138"/>
      <c r="AX61" s="121"/>
    </row>
    <row r="62" spans="1:50" s="50" customFormat="1" outlineLevel="1" x14ac:dyDescent="0.3">
      <c r="A62" s="121"/>
      <c r="B62" s="153">
        <f t="shared" si="44"/>
        <v>46</v>
      </c>
      <c r="C62" s="705"/>
      <c r="D62" s="705"/>
      <c r="E62" s="705"/>
      <c r="F62" s="705"/>
      <c r="G62" s="369" t="str">
        <f t="shared" si="46"/>
        <v/>
      </c>
      <c r="H62" s="705"/>
      <c r="I62" s="705"/>
      <c r="J62" s="705"/>
      <c r="K62" s="138">
        <f t="shared" si="38"/>
        <v>0</v>
      </c>
      <c r="L62" s="138">
        <f t="shared" si="39"/>
        <v>0</v>
      </c>
      <c r="M62" s="147"/>
      <c r="N62" s="212"/>
      <c r="O62" s="215"/>
      <c r="P62" s="121"/>
      <c r="Q62">
        <f t="shared" si="41"/>
        <v>0</v>
      </c>
      <c r="R62" s="137"/>
      <c r="S62" s="137"/>
      <c r="T62" s="137"/>
      <c r="U62" s="137"/>
      <c r="V62" s="137"/>
      <c r="W62" s="137"/>
      <c r="X62" s="137"/>
      <c r="Y62" s="137"/>
      <c r="Z62" s="137"/>
      <c r="AA62" s="137"/>
      <c r="AB62" s="137"/>
      <c r="AC62" s="137"/>
      <c r="AD62" s="137"/>
      <c r="AE62" s="137"/>
      <c r="AF62" s="137"/>
      <c r="AH62" s="147">
        <f t="shared" si="42"/>
        <v>0</v>
      </c>
      <c r="AI62" s="2121">
        <f t="shared" si="47"/>
        <v>0</v>
      </c>
      <c r="AJ62" s="2121">
        <f t="shared" si="43"/>
        <v>0</v>
      </c>
      <c r="AK62" s="663">
        <f t="shared" si="48"/>
        <v>0</v>
      </c>
      <c r="AL62" s="146"/>
      <c r="AM62" s="146"/>
      <c r="AN62" s="146"/>
      <c r="AO62" s="146"/>
      <c r="AP62" s="146"/>
      <c r="AQ62" s="146"/>
      <c r="AR62" s="146"/>
      <c r="AS62" s="146"/>
      <c r="AT62" s="146"/>
      <c r="AU62" s="146"/>
      <c r="AV62" s="146"/>
      <c r="AW62" s="138"/>
      <c r="AX62" s="121"/>
    </row>
    <row r="63" spans="1:50" s="50" customFormat="1" outlineLevel="1" x14ac:dyDescent="0.3">
      <c r="A63" s="121"/>
      <c r="B63" s="153">
        <f t="shared" si="44"/>
        <v>47</v>
      </c>
      <c r="C63" s="705"/>
      <c r="D63" s="705"/>
      <c r="E63" s="705"/>
      <c r="F63" s="705"/>
      <c r="G63" s="369" t="str">
        <f t="shared" si="46"/>
        <v/>
      </c>
      <c r="H63" s="705"/>
      <c r="I63" s="705"/>
      <c r="J63" s="705"/>
      <c r="K63" s="138">
        <f t="shared" si="38"/>
        <v>0</v>
      </c>
      <c r="L63" s="138">
        <f t="shared" si="39"/>
        <v>0</v>
      </c>
      <c r="M63" s="147"/>
      <c r="N63" s="212"/>
      <c r="O63" s="215"/>
      <c r="P63" s="121"/>
      <c r="Q63">
        <f t="shared" si="41"/>
        <v>0</v>
      </c>
      <c r="R63" s="137"/>
      <c r="S63" s="137"/>
      <c r="T63" s="137"/>
      <c r="U63" s="137"/>
      <c r="V63" s="137"/>
      <c r="W63" s="137"/>
      <c r="X63" s="137"/>
      <c r="Y63" s="137"/>
      <c r="Z63" s="137"/>
      <c r="AA63" s="137"/>
      <c r="AB63" s="137"/>
      <c r="AC63" s="137"/>
      <c r="AD63" s="137"/>
      <c r="AE63" s="137"/>
      <c r="AF63" s="137"/>
      <c r="AH63" s="147">
        <f t="shared" si="42"/>
        <v>0</v>
      </c>
      <c r="AI63" s="2121">
        <f t="shared" si="47"/>
        <v>0</v>
      </c>
      <c r="AJ63" s="2121">
        <f t="shared" si="43"/>
        <v>0</v>
      </c>
      <c r="AK63" s="663">
        <f t="shared" si="48"/>
        <v>0</v>
      </c>
      <c r="AL63" s="146"/>
      <c r="AM63" s="146"/>
      <c r="AN63" s="146"/>
      <c r="AO63" s="146"/>
      <c r="AP63" s="146"/>
      <c r="AQ63" s="146"/>
      <c r="AR63" s="146"/>
      <c r="AS63" s="146"/>
      <c r="AT63" s="146"/>
      <c r="AU63" s="146"/>
      <c r="AV63" s="146"/>
      <c r="AW63" s="138"/>
      <c r="AX63" s="121"/>
    </row>
    <row r="64" spans="1:50" s="50" customFormat="1" outlineLevel="1" x14ac:dyDescent="0.3">
      <c r="A64" s="121"/>
      <c r="B64" s="153">
        <f t="shared" si="44"/>
        <v>48</v>
      </c>
      <c r="C64" s="705"/>
      <c r="D64" s="705"/>
      <c r="E64" s="705"/>
      <c r="F64" s="705"/>
      <c r="G64" s="369" t="str">
        <f t="shared" si="46"/>
        <v/>
      </c>
      <c r="H64" s="705"/>
      <c r="I64" s="705"/>
      <c r="J64" s="705"/>
      <c r="K64" s="138">
        <f t="shared" si="38"/>
        <v>0</v>
      </c>
      <c r="L64" s="138">
        <f t="shared" si="39"/>
        <v>0</v>
      </c>
      <c r="M64" s="147"/>
      <c r="N64" s="212"/>
      <c r="O64" s="215"/>
      <c r="P64" s="121"/>
      <c r="Q64">
        <f t="shared" si="41"/>
        <v>0</v>
      </c>
      <c r="R64" s="137"/>
      <c r="S64" s="137"/>
      <c r="T64" s="137"/>
      <c r="U64" s="137"/>
      <c r="V64" s="137"/>
      <c r="W64" s="137"/>
      <c r="X64" s="137"/>
      <c r="Y64" s="137"/>
      <c r="Z64" s="137"/>
      <c r="AA64" s="137"/>
      <c r="AB64" s="137"/>
      <c r="AC64" s="137"/>
      <c r="AD64" s="137"/>
      <c r="AE64" s="137"/>
      <c r="AF64" s="137"/>
      <c r="AH64" s="147">
        <f t="shared" si="42"/>
        <v>0</v>
      </c>
      <c r="AI64" s="2121">
        <f t="shared" si="47"/>
        <v>0</v>
      </c>
      <c r="AJ64" s="2121">
        <f t="shared" si="43"/>
        <v>0</v>
      </c>
      <c r="AK64" s="663">
        <f t="shared" si="48"/>
        <v>0</v>
      </c>
      <c r="AL64" s="146"/>
      <c r="AM64" s="146"/>
      <c r="AN64" s="146"/>
      <c r="AO64" s="146"/>
      <c r="AP64" s="146"/>
      <c r="AQ64" s="146"/>
      <c r="AR64" s="146"/>
      <c r="AS64" s="146"/>
      <c r="AT64" s="146"/>
      <c r="AU64" s="146"/>
      <c r="AV64" s="146"/>
      <c r="AW64" s="138"/>
      <c r="AX64" s="121"/>
    </row>
    <row r="65" spans="1:50" s="50" customFormat="1" outlineLevel="1" x14ac:dyDescent="0.3">
      <c r="A65" s="121"/>
      <c r="B65" s="153">
        <f t="shared" si="44"/>
        <v>49</v>
      </c>
      <c r="C65" s="705"/>
      <c r="D65" s="705"/>
      <c r="E65" s="705"/>
      <c r="F65" s="705"/>
      <c r="G65" s="369" t="str">
        <f t="shared" si="46"/>
        <v/>
      </c>
      <c r="H65" s="705"/>
      <c r="I65" s="705"/>
      <c r="J65" s="705"/>
      <c r="K65" s="138">
        <f t="shared" si="38"/>
        <v>0</v>
      </c>
      <c r="L65" s="138">
        <f t="shared" si="39"/>
        <v>0</v>
      </c>
      <c r="M65" s="147"/>
      <c r="N65" s="212"/>
      <c r="O65" s="215"/>
      <c r="P65" s="121"/>
      <c r="Q65">
        <f t="shared" si="41"/>
        <v>0</v>
      </c>
      <c r="R65" s="137"/>
      <c r="S65" s="137"/>
      <c r="T65" s="137"/>
      <c r="U65" s="137"/>
      <c r="V65" s="137"/>
      <c r="W65" s="137"/>
      <c r="X65" s="137"/>
      <c r="Y65" s="137"/>
      <c r="Z65" s="137"/>
      <c r="AA65" s="137"/>
      <c r="AB65" s="137"/>
      <c r="AC65" s="137"/>
      <c r="AD65" s="137"/>
      <c r="AE65" s="137"/>
      <c r="AF65" s="137"/>
      <c r="AH65" s="147">
        <f t="shared" si="42"/>
        <v>0</v>
      </c>
      <c r="AI65" s="2121">
        <f t="shared" si="47"/>
        <v>0</v>
      </c>
      <c r="AJ65" s="2121">
        <f t="shared" si="43"/>
        <v>0</v>
      </c>
      <c r="AK65" s="663">
        <f t="shared" si="48"/>
        <v>0</v>
      </c>
      <c r="AL65" s="146"/>
      <c r="AM65" s="146"/>
      <c r="AN65" s="146"/>
      <c r="AO65" s="146"/>
      <c r="AP65" s="146"/>
      <c r="AQ65" s="146"/>
      <c r="AR65" s="146"/>
      <c r="AS65" s="146"/>
      <c r="AT65" s="146"/>
      <c r="AU65" s="146"/>
      <c r="AV65" s="146"/>
      <c r="AW65" s="138"/>
      <c r="AX65" s="121"/>
    </row>
    <row r="66" spans="1:50" outlineLevel="1" x14ac:dyDescent="0.3">
      <c r="A66" s="2"/>
      <c r="B66" s="153">
        <f t="shared" si="44"/>
        <v>50</v>
      </c>
      <c r="C66" s="705"/>
      <c r="D66" s="705"/>
      <c r="E66" s="705"/>
      <c r="F66" s="705"/>
      <c r="G66" s="369" t="str">
        <f t="shared" si="46"/>
        <v/>
      </c>
      <c r="H66" s="705"/>
      <c r="I66" s="705"/>
      <c r="J66" s="705"/>
      <c r="K66" s="138">
        <f t="shared" si="38"/>
        <v>0</v>
      </c>
      <c r="L66" s="138">
        <f t="shared" si="39"/>
        <v>0</v>
      </c>
      <c r="M66" s="147"/>
      <c r="N66" s="212"/>
      <c r="O66" s="215"/>
      <c r="P66" s="216"/>
      <c r="Q66">
        <f t="shared" si="41"/>
        <v>0</v>
      </c>
      <c r="R66" s="137"/>
      <c r="S66" s="137"/>
      <c r="T66" s="137"/>
      <c r="U66" s="137"/>
      <c r="V66" s="137"/>
      <c r="W66" s="137"/>
      <c r="X66" s="137"/>
      <c r="Y66" s="137"/>
      <c r="Z66" s="137"/>
      <c r="AA66" s="137"/>
      <c r="AB66" s="137"/>
      <c r="AC66" s="137"/>
      <c r="AD66" s="137"/>
      <c r="AE66" s="137"/>
      <c r="AF66" s="137"/>
      <c r="AG66" s="144"/>
      <c r="AH66" s="147">
        <f t="shared" si="42"/>
        <v>0</v>
      </c>
      <c r="AI66" s="2121">
        <f t="shared" si="47"/>
        <v>0</v>
      </c>
      <c r="AJ66" s="2121">
        <f t="shared" si="43"/>
        <v>0</v>
      </c>
      <c r="AK66" s="663">
        <f t="shared" si="48"/>
        <v>0</v>
      </c>
      <c r="AL66" s="146"/>
      <c r="AM66" s="146"/>
      <c r="AN66" s="146"/>
      <c r="AO66" s="146"/>
      <c r="AP66" s="146"/>
      <c r="AQ66" s="146"/>
      <c r="AR66" s="146"/>
      <c r="AS66" s="146"/>
      <c r="AT66" s="146"/>
      <c r="AU66" s="146"/>
      <c r="AV66" s="146"/>
      <c r="AW66" s="138"/>
      <c r="AX66" s="144"/>
    </row>
    <row r="67" spans="1:50" outlineLevel="1" x14ac:dyDescent="0.3">
      <c r="A67" s="2"/>
      <c r="B67" s="153">
        <f t="shared" si="44"/>
        <v>51</v>
      </c>
      <c r="C67" s="705"/>
      <c r="D67" s="705"/>
      <c r="E67" s="705"/>
      <c r="F67" s="705"/>
      <c r="G67" s="369" t="str">
        <f t="shared" si="46"/>
        <v/>
      </c>
      <c r="H67" s="705"/>
      <c r="I67" s="705"/>
      <c r="J67" s="705"/>
      <c r="K67" s="138">
        <f t="shared" si="38"/>
        <v>0</v>
      </c>
      <c r="L67" s="138">
        <f t="shared" si="39"/>
        <v>0</v>
      </c>
      <c r="M67" s="147"/>
      <c r="N67" s="212"/>
      <c r="O67" s="215"/>
      <c r="P67" s="216"/>
      <c r="Q67">
        <f t="shared" si="41"/>
        <v>0</v>
      </c>
      <c r="R67" s="137"/>
      <c r="S67" s="137"/>
      <c r="T67" s="137"/>
      <c r="U67" s="137"/>
      <c r="V67" s="137"/>
      <c r="W67" s="137"/>
      <c r="X67" s="137"/>
      <c r="Y67" s="137"/>
      <c r="Z67" s="137"/>
      <c r="AA67" s="137"/>
      <c r="AB67" s="137"/>
      <c r="AC67" s="137"/>
      <c r="AD67" s="137"/>
      <c r="AE67" s="137"/>
      <c r="AF67" s="137"/>
      <c r="AH67" s="147">
        <f t="shared" si="42"/>
        <v>0</v>
      </c>
      <c r="AI67" s="2121">
        <f t="shared" si="47"/>
        <v>0</v>
      </c>
      <c r="AJ67" s="2121">
        <f t="shared" si="43"/>
        <v>0</v>
      </c>
      <c r="AK67" s="663">
        <f t="shared" si="48"/>
        <v>0</v>
      </c>
      <c r="AL67" s="146"/>
      <c r="AM67" s="146"/>
      <c r="AN67" s="146"/>
      <c r="AO67" s="146"/>
      <c r="AP67" s="146"/>
      <c r="AQ67" s="146"/>
      <c r="AR67" s="146"/>
      <c r="AS67" s="146"/>
      <c r="AT67" s="146"/>
      <c r="AU67" s="146"/>
      <c r="AV67" s="146"/>
      <c r="AW67" s="138"/>
      <c r="AX67" s="2"/>
    </row>
    <row r="68" spans="1:50" outlineLevel="1" x14ac:dyDescent="0.3">
      <c r="A68" s="2"/>
      <c r="B68" s="153">
        <f t="shared" si="44"/>
        <v>52</v>
      </c>
      <c r="C68" s="705"/>
      <c r="D68" s="705"/>
      <c r="E68" s="705"/>
      <c r="F68" s="705"/>
      <c r="G68" s="369" t="str">
        <f t="shared" si="46"/>
        <v/>
      </c>
      <c r="H68" s="705"/>
      <c r="I68" s="705"/>
      <c r="J68" s="705"/>
      <c r="K68" s="138">
        <f t="shared" si="38"/>
        <v>0</v>
      </c>
      <c r="L68" s="138">
        <f t="shared" si="39"/>
        <v>0</v>
      </c>
      <c r="M68" s="147"/>
      <c r="N68" s="212"/>
      <c r="O68" s="215"/>
      <c r="P68" s="216"/>
      <c r="Q68">
        <f t="shared" si="41"/>
        <v>0</v>
      </c>
      <c r="R68" s="137"/>
      <c r="S68" s="137"/>
      <c r="T68" s="137"/>
      <c r="U68" s="137"/>
      <c r="V68" s="137"/>
      <c r="W68" s="137"/>
      <c r="X68" s="137"/>
      <c r="Y68" s="137"/>
      <c r="Z68" s="137"/>
      <c r="AA68" s="137"/>
      <c r="AB68" s="137"/>
      <c r="AC68" s="137"/>
      <c r="AD68" s="137"/>
      <c r="AE68" s="137"/>
      <c r="AF68" s="137"/>
      <c r="AH68" s="147">
        <f t="shared" si="42"/>
        <v>0</v>
      </c>
      <c r="AI68" s="2121">
        <f t="shared" si="47"/>
        <v>0</v>
      </c>
      <c r="AJ68" s="2121">
        <f t="shared" si="43"/>
        <v>0</v>
      </c>
      <c r="AK68" s="663">
        <f t="shared" si="48"/>
        <v>0</v>
      </c>
      <c r="AL68" s="146"/>
      <c r="AM68" s="146"/>
      <c r="AN68" s="146"/>
      <c r="AO68" s="146"/>
      <c r="AP68" s="146"/>
      <c r="AQ68" s="146"/>
      <c r="AR68" s="146"/>
      <c r="AS68" s="146"/>
      <c r="AT68" s="146"/>
      <c r="AU68" s="146"/>
      <c r="AV68" s="146"/>
      <c r="AW68" s="138"/>
      <c r="AX68" s="2"/>
    </row>
    <row r="69" spans="1:50" outlineLevel="1" x14ac:dyDescent="0.3">
      <c r="A69" s="2"/>
      <c r="B69" s="153">
        <f t="shared" si="44"/>
        <v>53</v>
      </c>
      <c r="C69" s="705"/>
      <c r="D69" s="705"/>
      <c r="E69" s="705"/>
      <c r="F69" s="705"/>
      <c r="G69" s="369" t="str">
        <f t="shared" si="46"/>
        <v/>
      </c>
      <c r="H69" s="705"/>
      <c r="I69" s="705"/>
      <c r="J69" s="705"/>
      <c r="K69" s="138">
        <f t="shared" si="38"/>
        <v>0</v>
      </c>
      <c r="L69" s="138">
        <f t="shared" si="39"/>
        <v>0</v>
      </c>
      <c r="M69" s="147"/>
      <c r="N69" s="212"/>
      <c r="O69" s="215"/>
      <c r="P69" s="216"/>
      <c r="Q69">
        <f t="shared" si="41"/>
        <v>0</v>
      </c>
      <c r="R69" s="137"/>
      <c r="S69" s="137"/>
      <c r="T69" s="137"/>
      <c r="U69" s="137"/>
      <c r="V69" s="137"/>
      <c r="W69" s="137"/>
      <c r="X69" s="137"/>
      <c r="Y69" s="137"/>
      <c r="Z69" s="137"/>
      <c r="AA69" s="137"/>
      <c r="AB69" s="137"/>
      <c r="AC69" s="137"/>
      <c r="AD69" s="137"/>
      <c r="AE69" s="137"/>
      <c r="AF69" s="137"/>
      <c r="AH69" s="147">
        <f t="shared" si="42"/>
        <v>0</v>
      </c>
      <c r="AI69" s="2121">
        <f t="shared" si="47"/>
        <v>0</v>
      </c>
      <c r="AJ69" s="2121">
        <f t="shared" si="43"/>
        <v>0</v>
      </c>
      <c r="AK69" s="663">
        <f t="shared" si="48"/>
        <v>0</v>
      </c>
      <c r="AL69" s="146"/>
      <c r="AM69" s="146"/>
      <c r="AN69" s="146"/>
      <c r="AO69" s="146"/>
      <c r="AP69" s="146"/>
      <c r="AQ69" s="146"/>
      <c r="AR69" s="146"/>
      <c r="AS69" s="146"/>
      <c r="AT69" s="146"/>
      <c r="AU69" s="146"/>
      <c r="AV69" s="146"/>
      <c r="AW69" s="138"/>
      <c r="AX69" s="2"/>
    </row>
    <row r="70" spans="1:50" outlineLevel="1" x14ac:dyDescent="0.3">
      <c r="A70" s="2"/>
      <c r="B70" s="153">
        <f t="shared" si="44"/>
        <v>54</v>
      </c>
      <c r="C70" s="705"/>
      <c r="D70" s="705"/>
      <c r="E70" s="705"/>
      <c r="F70" s="705"/>
      <c r="G70" s="369" t="str">
        <f t="shared" si="46"/>
        <v/>
      </c>
      <c r="H70" s="705"/>
      <c r="I70" s="705"/>
      <c r="J70" s="705"/>
      <c r="K70" s="138">
        <f t="shared" si="38"/>
        <v>0</v>
      </c>
      <c r="L70" s="138">
        <f t="shared" si="39"/>
        <v>0</v>
      </c>
      <c r="M70" s="147"/>
      <c r="N70" s="212"/>
      <c r="O70" s="215"/>
      <c r="P70" s="216"/>
      <c r="Q70">
        <f t="shared" si="41"/>
        <v>0</v>
      </c>
      <c r="R70" s="137"/>
      <c r="S70" s="137"/>
      <c r="T70" s="137"/>
      <c r="U70" s="137"/>
      <c r="V70" s="137"/>
      <c r="W70" s="137"/>
      <c r="X70" s="137"/>
      <c r="Y70" s="137"/>
      <c r="Z70" s="137"/>
      <c r="AA70" s="137"/>
      <c r="AB70" s="137"/>
      <c r="AC70" s="137"/>
      <c r="AD70" s="137"/>
      <c r="AE70" s="137"/>
      <c r="AF70" s="137"/>
      <c r="AH70" s="147">
        <f t="shared" si="42"/>
        <v>0</v>
      </c>
      <c r="AI70" s="2121">
        <f t="shared" si="47"/>
        <v>0</v>
      </c>
      <c r="AJ70" s="2121">
        <f t="shared" si="43"/>
        <v>0</v>
      </c>
      <c r="AK70" s="663">
        <f t="shared" si="48"/>
        <v>0</v>
      </c>
      <c r="AL70" s="146"/>
      <c r="AM70" s="146"/>
      <c r="AN70" s="146"/>
      <c r="AO70" s="146"/>
      <c r="AP70" s="146"/>
      <c r="AQ70" s="146"/>
      <c r="AR70" s="146"/>
      <c r="AS70" s="146"/>
      <c r="AT70" s="146"/>
      <c r="AU70" s="146"/>
      <c r="AV70" s="146"/>
      <c r="AW70" s="138"/>
      <c r="AX70" s="2"/>
    </row>
    <row r="71" spans="1:50" s="50" customFormat="1" outlineLevel="1" x14ac:dyDescent="0.3">
      <c r="A71" s="121"/>
      <c r="B71" s="153">
        <f t="shared" si="44"/>
        <v>55</v>
      </c>
      <c r="C71" s="705"/>
      <c r="D71" s="705"/>
      <c r="E71" s="705"/>
      <c r="F71" s="705"/>
      <c r="G71" s="369" t="str">
        <f t="shared" si="46"/>
        <v/>
      </c>
      <c r="H71" s="705"/>
      <c r="I71" s="705"/>
      <c r="J71" s="705"/>
      <c r="K71" s="138">
        <f t="shared" si="38"/>
        <v>0</v>
      </c>
      <c r="L71" s="138">
        <f t="shared" si="39"/>
        <v>0</v>
      </c>
      <c r="M71" s="147"/>
      <c r="N71" s="499"/>
      <c r="O71" s="499"/>
      <c r="P71" s="121"/>
      <c r="Q71">
        <f t="shared" si="41"/>
        <v>0</v>
      </c>
      <c r="R71" s="137"/>
      <c r="S71" s="137"/>
      <c r="T71" s="137"/>
      <c r="U71" s="137"/>
      <c r="V71" s="137"/>
      <c r="W71" s="137"/>
      <c r="X71" s="137"/>
      <c r="Y71" s="137"/>
      <c r="Z71" s="137"/>
      <c r="AA71" s="137"/>
      <c r="AB71" s="137"/>
      <c r="AC71" s="137"/>
      <c r="AD71" s="137"/>
      <c r="AE71" s="137"/>
      <c r="AF71" s="137"/>
      <c r="AH71" s="147">
        <f t="shared" si="42"/>
        <v>0</v>
      </c>
      <c r="AI71" s="2121">
        <f t="shared" si="47"/>
        <v>0</v>
      </c>
      <c r="AJ71" s="2121">
        <f t="shared" si="43"/>
        <v>0</v>
      </c>
      <c r="AK71" s="663">
        <f t="shared" si="48"/>
        <v>0</v>
      </c>
      <c r="AL71" s="146"/>
      <c r="AM71" s="146"/>
      <c r="AN71" s="146"/>
      <c r="AO71" s="146"/>
      <c r="AP71" s="146"/>
      <c r="AQ71" s="146"/>
      <c r="AR71" s="146"/>
      <c r="AS71" s="146"/>
      <c r="AT71" s="146"/>
      <c r="AU71" s="146"/>
      <c r="AV71" s="146"/>
      <c r="AW71" s="138"/>
      <c r="AX71" s="121"/>
    </row>
    <row r="72" spans="1:50" s="50" customFormat="1" outlineLevel="1" x14ac:dyDescent="0.3">
      <c r="A72" s="121"/>
      <c r="B72" s="153">
        <f t="shared" si="44"/>
        <v>56</v>
      </c>
      <c r="C72" s="705"/>
      <c r="D72" s="705"/>
      <c r="E72" s="705"/>
      <c r="F72" s="705"/>
      <c r="G72" s="369" t="str">
        <f t="shared" si="46"/>
        <v/>
      </c>
      <c r="H72" s="705"/>
      <c r="I72" s="705"/>
      <c r="J72" s="705"/>
      <c r="K72" s="138">
        <f t="shared" si="38"/>
        <v>0</v>
      </c>
      <c r="L72" s="138">
        <f t="shared" si="39"/>
        <v>0</v>
      </c>
      <c r="M72" s="147"/>
      <c r="N72" s="499"/>
      <c r="O72" s="499"/>
      <c r="P72" s="121"/>
      <c r="Q72">
        <f t="shared" si="41"/>
        <v>0</v>
      </c>
      <c r="R72" s="137"/>
      <c r="S72" s="137"/>
      <c r="T72" s="137"/>
      <c r="U72" s="137"/>
      <c r="V72" s="137"/>
      <c r="W72" s="137"/>
      <c r="X72" s="137"/>
      <c r="Y72" s="137"/>
      <c r="Z72" s="137"/>
      <c r="AA72" s="137"/>
      <c r="AB72" s="137"/>
      <c r="AC72" s="137"/>
      <c r="AD72" s="137"/>
      <c r="AE72" s="137"/>
      <c r="AF72" s="137"/>
      <c r="AH72" s="147">
        <f t="shared" si="42"/>
        <v>0</v>
      </c>
      <c r="AI72" s="2121">
        <f t="shared" si="47"/>
        <v>0</v>
      </c>
      <c r="AJ72" s="2121">
        <f t="shared" si="43"/>
        <v>0</v>
      </c>
      <c r="AK72" s="663">
        <f t="shared" si="48"/>
        <v>0</v>
      </c>
      <c r="AL72" s="146"/>
      <c r="AM72" s="146"/>
      <c r="AN72" s="146"/>
      <c r="AO72" s="146"/>
      <c r="AP72" s="146"/>
      <c r="AQ72" s="146"/>
      <c r="AR72" s="146"/>
      <c r="AS72" s="146"/>
      <c r="AT72" s="146"/>
      <c r="AU72" s="146"/>
      <c r="AV72" s="146"/>
      <c r="AW72" s="138"/>
      <c r="AX72" s="121"/>
    </row>
    <row r="73" spans="1:50" outlineLevel="1" x14ac:dyDescent="0.3">
      <c r="A73" s="2"/>
      <c r="B73" s="153">
        <f t="shared" si="44"/>
        <v>57</v>
      </c>
      <c r="C73" s="705"/>
      <c r="D73" s="705"/>
      <c r="E73" s="705"/>
      <c r="F73" s="705"/>
      <c r="G73" s="369" t="str">
        <f t="shared" si="46"/>
        <v/>
      </c>
      <c r="H73" s="705"/>
      <c r="I73" s="705"/>
      <c r="J73" s="705"/>
      <c r="K73" s="138">
        <f t="shared" si="38"/>
        <v>0</v>
      </c>
      <c r="L73" s="138">
        <f t="shared" si="39"/>
        <v>0</v>
      </c>
      <c r="M73" s="147"/>
      <c r="N73" s="212"/>
      <c r="O73" s="215"/>
      <c r="P73" s="216"/>
      <c r="Q73">
        <f t="shared" si="41"/>
        <v>0</v>
      </c>
      <c r="R73" s="137"/>
      <c r="S73" s="137"/>
      <c r="T73" s="137"/>
      <c r="U73" s="137"/>
      <c r="V73" s="137"/>
      <c r="W73" s="137"/>
      <c r="X73" s="137"/>
      <c r="Y73" s="137"/>
      <c r="Z73" s="137"/>
      <c r="AA73" s="137"/>
      <c r="AB73" s="137"/>
      <c r="AC73" s="137"/>
      <c r="AD73" s="137"/>
      <c r="AE73" s="137"/>
      <c r="AF73" s="137"/>
      <c r="AH73" s="147">
        <f t="shared" si="42"/>
        <v>0</v>
      </c>
      <c r="AI73" s="2121">
        <f t="shared" si="47"/>
        <v>0</v>
      </c>
      <c r="AJ73" s="2121">
        <f t="shared" si="43"/>
        <v>0</v>
      </c>
      <c r="AK73" s="663">
        <f t="shared" si="48"/>
        <v>0</v>
      </c>
      <c r="AL73" s="146"/>
      <c r="AM73" s="146"/>
      <c r="AN73" s="146"/>
      <c r="AO73" s="146"/>
      <c r="AP73" s="146"/>
      <c r="AQ73" s="146"/>
      <c r="AR73" s="146"/>
      <c r="AS73" s="146"/>
      <c r="AT73" s="146"/>
      <c r="AU73" s="146"/>
      <c r="AV73" s="146"/>
      <c r="AW73" s="138"/>
      <c r="AX73" s="2"/>
    </row>
    <row r="74" spans="1:50" outlineLevel="1" x14ac:dyDescent="0.3">
      <c r="B74" s="153">
        <f t="shared" si="44"/>
        <v>58</v>
      </c>
      <c r="C74" s="705"/>
      <c r="D74" s="705"/>
      <c r="E74" s="705"/>
      <c r="F74" s="705"/>
      <c r="G74" s="369"/>
      <c r="H74" s="705"/>
      <c r="I74" s="705"/>
      <c r="J74" s="705"/>
      <c r="K74" s="138"/>
      <c r="L74" s="138"/>
      <c r="M74" s="147"/>
      <c r="N74" s="212"/>
      <c r="O74" s="147"/>
      <c r="P74" s="16"/>
      <c r="R74" s="137"/>
      <c r="S74" s="137"/>
      <c r="T74" s="137"/>
      <c r="U74" s="137"/>
      <c r="V74" s="137"/>
      <c r="W74" s="137"/>
      <c r="X74" s="137"/>
      <c r="Y74" s="137"/>
      <c r="Z74" s="137"/>
      <c r="AA74" s="137"/>
      <c r="AB74" s="137"/>
      <c r="AC74" s="137"/>
      <c r="AD74" s="137"/>
      <c r="AE74" s="137"/>
      <c r="AF74" s="137"/>
      <c r="AG74" s="2"/>
      <c r="AH74" s="138"/>
      <c r="AI74" s="161"/>
      <c r="AJ74" s="161"/>
      <c r="AK74" s="378"/>
      <c r="AL74" s="146"/>
      <c r="AM74" s="146"/>
      <c r="AN74" s="146"/>
      <c r="AO74" s="146"/>
      <c r="AP74" s="146"/>
      <c r="AQ74" s="146"/>
      <c r="AR74" s="146"/>
      <c r="AS74" s="135"/>
      <c r="AT74" s="135"/>
      <c r="AU74" s="135"/>
      <c r="AV74" s="135"/>
      <c r="AW74" s="25"/>
      <c r="AX74" s="2"/>
    </row>
    <row r="75" spans="1:50" outlineLevel="1" x14ac:dyDescent="0.3">
      <c r="B75" s="153">
        <f t="shared" si="44"/>
        <v>59</v>
      </c>
      <c r="C75" t="s">
        <v>256</v>
      </c>
      <c r="D75" s="2"/>
      <c r="F75" s="2"/>
      <c r="G75" s="34"/>
      <c r="H75" s="34"/>
      <c r="I75" s="2"/>
      <c r="M75" s="147"/>
      <c r="N75" s="213"/>
      <c r="O75" s="216"/>
      <c r="P75" s="216"/>
      <c r="Q75">
        <f>SUM(Q17:Q74)</f>
        <v>82654</v>
      </c>
      <c r="R75" s="2"/>
      <c r="S75" s="2"/>
      <c r="T75" s="2"/>
      <c r="U75" s="2"/>
      <c r="V75" s="2"/>
      <c r="W75" s="2"/>
      <c r="X75" s="2"/>
      <c r="Y75" s="2"/>
      <c r="Z75" s="2"/>
      <c r="AA75" s="2"/>
      <c r="AB75" s="2"/>
      <c r="AC75" s="2"/>
      <c r="AD75" s="2"/>
      <c r="AE75" s="2"/>
      <c r="AF75" s="2"/>
      <c r="AG75" s="2"/>
      <c r="AH75" s="2"/>
      <c r="AI75" s="2"/>
      <c r="AJ75" s="2"/>
      <c r="AK75" s="2"/>
      <c r="AL75" s="2"/>
      <c r="AR75" s="2"/>
      <c r="AS75" s="2"/>
      <c r="AT75" s="2"/>
      <c r="AU75" s="2"/>
      <c r="AV75" s="2"/>
      <c r="AW75" s="2"/>
      <c r="AX75" s="2"/>
    </row>
    <row r="76" spans="1:50" outlineLevel="1" x14ac:dyDescent="0.3">
      <c r="B76" s="153">
        <f t="shared" si="44"/>
        <v>60</v>
      </c>
      <c r="D76" s="2"/>
      <c r="F76" s="2"/>
      <c r="G76" s="34"/>
      <c r="H76" s="34"/>
      <c r="I76" s="2"/>
      <c r="M76" s="147"/>
      <c r="N76" s="213"/>
      <c r="O76" s="216"/>
      <c r="P76" s="216"/>
      <c r="R76" s="2"/>
      <c r="S76" s="2"/>
      <c r="T76" s="2"/>
      <c r="U76" s="2"/>
      <c r="V76" s="2"/>
      <c r="W76" s="2"/>
      <c r="X76" s="2"/>
      <c r="Y76" s="2"/>
      <c r="Z76" s="2"/>
      <c r="AA76" s="2"/>
      <c r="AB76" s="2"/>
      <c r="AC76" s="2"/>
      <c r="AD76" s="2"/>
      <c r="AE76" s="2"/>
      <c r="AF76" s="2"/>
      <c r="AG76" s="2"/>
      <c r="AH76" s="2"/>
      <c r="AI76" s="2"/>
      <c r="AJ76" s="2"/>
      <c r="AK76" s="2"/>
      <c r="AL76" s="2"/>
      <c r="AR76" s="2"/>
      <c r="AS76" s="2"/>
      <c r="AT76" s="2"/>
      <c r="AU76" s="2"/>
      <c r="AV76" s="2"/>
      <c r="AW76" s="2"/>
      <c r="AX76" s="2"/>
    </row>
    <row r="77" spans="1:50" x14ac:dyDescent="0.3">
      <c r="A77" s="2"/>
      <c r="B77" s="538">
        <f t="shared" si="44"/>
        <v>61</v>
      </c>
      <c r="C77" s="165" t="s">
        <v>273</v>
      </c>
      <c r="D77" s="166">
        <f>SUM(D17:D74)</f>
        <v>92</v>
      </c>
      <c r="E77" s="166">
        <f>SUMPRODUCT(D$17:D$74,E$17:E$74)</f>
        <v>82654</v>
      </c>
      <c r="F77" s="166"/>
      <c r="G77" s="166">
        <f>SUMPRODUCT(G17:G74,$D17:$D74)</f>
        <v>182</v>
      </c>
      <c r="H77" s="166">
        <f>SUMPRODUCT(ROUNDUP(H17:H74,0),$D17:$D74)</f>
        <v>92</v>
      </c>
      <c r="I77" s="166">
        <f>SUMPRODUCT(I17:I74,$D17:$D74)</f>
        <v>0</v>
      </c>
      <c r="J77" s="166">
        <f>SUM(J17:J74)</f>
        <v>0</v>
      </c>
      <c r="K77" s="166">
        <f>SUM(K17:K74)</f>
        <v>0</v>
      </c>
      <c r="L77" s="166">
        <f>SUM(L17:L74)</f>
        <v>92</v>
      </c>
      <c r="M77" s="166">
        <f ca="1">SUMPRODUCT(M17:M74,$D17:$D74)</f>
        <v>182</v>
      </c>
      <c r="N77" s="539">
        <f>SUM(N17:N74)</f>
        <v>0</v>
      </c>
      <c r="O77" s="540">
        <f>SUMPRODUCT(O17:O74,$D17:$D74)</f>
        <v>0</v>
      </c>
      <c r="P77" s="540"/>
      <c r="Q77" s="166" t="s">
        <v>272</v>
      </c>
      <c r="R77" s="166">
        <f t="shared" ref="R77:AF77" si="49">SUM(R17:R75)</f>
        <v>0</v>
      </c>
      <c r="S77" s="166">
        <f t="shared" si="49"/>
        <v>0</v>
      </c>
      <c r="T77" s="166">
        <f t="shared" si="49"/>
        <v>0</v>
      </c>
      <c r="U77" s="166">
        <f t="shared" si="49"/>
        <v>0</v>
      </c>
      <c r="V77" s="166">
        <f t="shared" si="49"/>
        <v>0</v>
      </c>
      <c r="W77" s="166">
        <f t="shared" si="49"/>
        <v>0</v>
      </c>
      <c r="X77" s="166">
        <f t="shared" si="49"/>
        <v>0</v>
      </c>
      <c r="Y77" s="166">
        <f t="shared" si="49"/>
        <v>0</v>
      </c>
      <c r="Z77" s="166">
        <f t="shared" si="49"/>
        <v>0</v>
      </c>
      <c r="AA77" s="166">
        <f t="shared" si="49"/>
        <v>0</v>
      </c>
      <c r="AB77" s="166">
        <f t="shared" si="49"/>
        <v>0</v>
      </c>
      <c r="AC77" s="166">
        <f t="shared" si="49"/>
        <v>0</v>
      </c>
      <c r="AD77" s="166">
        <f t="shared" si="49"/>
        <v>0</v>
      </c>
      <c r="AE77" s="166">
        <f t="shared" si="49"/>
        <v>0</v>
      </c>
      <c r="AF77" s="166">
        <f t="shared" si="49"/>
        <v>0</v>
      </c>
      <c r="AG77" s="165" t="s">
        <v>41</v>
      </c>
      <c r="AH77" s="166">
        <f>SUMPRODUCT($D$17:$D$74,$E$17:$E$74,AH17:AH74)/SUMPRODUCT($D$17:$D$74,$E$17:$E$74)</f>
        <v>32.876228373702425</v>
      </c>
      <c r="AI77" s="166">
        <f>SUMPRODUCT($D$17:$D$74,$E$17:$E$74,AI17:AI74)/SUMPRODUCT($D$17:$D$74,$E$17:$E$74)</f>
        <v>54.594756454618043</v>
      </c>
      <c r="AJ77" s="166">
        <f>SUMPRODUCT($D$17:$D$74,$E$17:$E$74,AJ17:AJ74)/SUMPRODUCT($D$17:$D$74,$E$17:$E$74)</f>
        <v>55.198054540615097</v>
      </c>
      <c r="AK77" s="166">
        <f>SUMPRODUCT($D$17:$D$74,$E$17:$E$74,AK17:AK74)/SUMPRODUCT($D$17:$D$74,$E$17:$E$74)</f>
        <v>55.198054540615097</v>
      </c>
      <c r="AL77" s="166">
        <f t="shared" ref="AL77:AW77" si="50">SUMPRODUCT(AL17:AL74,$D17:$D74)</f>
        <v>23</v>
      </c>
      <c r="AM77" s="166">
        <f t="shared" si="50"/>
        <v>23</v>
      </c>
      <c r="AN77" s="166">
        <f t="shared" si="50"/>
        <v>48</v>
      </c>
      <c r="AO77" s="166">
        <f t="shared" si="50"/>
        <v>48</v>
      </c>
      <c r="AP77" s="166">
        <f t="shared" si="50"/>
        <v>21</v>
      </c>
      <c r="AQ77" s="166">
        <f t="shared" si="50"/>
        <v>21</v>
      </c>
      <c r="AR77" s="166">
        <f t="shared" si="50"/>
        <v>0</v>
      </c>
      <c r="AS77" s="166">
        <f t="shared" si="50"/>
        <v>0</v>
      </c>
      <c r="AT77" s="166">
        <f t="shared" si="50"/>
        <v>0</v>
      </c>
      <c r="AU77" s="166">
        <f t="shared" si="50"/>
        <v>0</v>
      </c>
      <c r="AV77" s="166">
        <f t="shared" si="50"/>
        <v>0</v>
      </c>
      <c r="AW77" s="166">
        <f t="shared" si="50"/>
        <v>92</v>
      </c>
      <c r="AX77" s="2"/>
    </row>
    <row r="78" spans="1:50" x14ac:dyDescent="0.3">
      <c r="B78" s="153">
        <f t="shared" si="44"/>
        <v>62</v>
      </c>
      <c r="C78" t="s">
        <v>274</v>
      </c>
      <c r="E78" s="2">
        <f ca="1">SUM(Spaces_Sum!H23:H24)</f>
        <v>83040.097299999965</v>
      </c>
      <c r="R78" s="153"/>
      <c r="S78" s="153"/>
      <c r="T78" s="153"/>
      <c r="U78" s="153"/>
      <c r="V78" s="153"/>
      <c r="W78" s="153"/>
      <c r="X78" s="153"/>
      <c r="Y78" s="153"/>
      <c r="Z78" s="153"/>
      <c r="AA78" s="153"/>
      <c r="AB78" s="153"/>
      <c r="AC78" s="153"/>
      <c r="AD78" s="153"/>
      <c r="AE78" s="153"/>
      <c r="AF78" s="153"/>
      <c r="AG78" s="153"/>
      <c r="AH78" s="2"/>
      <c r="AI78" s="2">
        <f>SUMPRODUCT(AI17:AI74,D17:D74)</f>
        <v>4850</v>
      </c>
      <c r="AJ78" s="2">
        <f>SUMPRODUCT(AJ17:AJ74,D17:D74)</f>
        <v>4905</v>
      </c>
      <c r="AK78" s="2"/>
    </row>
    <row r="79" spans="1:50" x14ac:dyDescent="0.3">
      <c r="B79" s="153">
        <f t="shared" si="44"/>
        <v>63</v>
      </c>
      <c r="E79" s="1913">
        <f ca="1">E78/E77</f>
        <v>1.0046712476105206</v>
      </c>
    </row>
    <row r="80" spans="1:50" x14ac:dyDescent="0.3">
      <c r="B80" s="153">
        <f t="shared" si="44"/>
        <v>64</v>
      </c>
      <c r="C80" t="s">
        <v>275</v>
      </c>
      <c r="E80" s="2">
        <f>E77/$D$77</f>
        <v>898.41304347826087</v>
      </c>
      <c r="F80" s="14">
        <f>F77/$D$77</f>
        <v>0</v>
      </c>
      <c r="G80" s="14">
        <f>G77/$D$77</f>
        <v>1.9782608695652173</v>
      </c>
      <c r="H80" s="14">
        <f>H77/$D$77</f>
        <v>1</v>
      </c>
      <c r="I80" s="14">
        <f>I77/$D$77</f>
        <v>0</v>
      </c>
      <c r="M80" s="14">
        <f ca="1">E77/$M$77</f>
        <v>454.14285714285717</v>
      </c>
      <c r="N80" t="s">
        <v>296</v>
      </c>
      <c r="O80" s="14"/>
    </row>
    <row r="81" spans="2:44" x14ac:dyDescent="0.3">
      <c r="B81" s="153">
        <f t="shared" si="44"/>
        <v>65</v>
      </c>
      <c r="C81" t="s">
        <v>276</v>
      </c>
      <c r="E81" s="2">
        <f ca="1">E78/$D$77</f>
        <v>902.60975326086918</v>
      </c>
      <c r="M81" s="14">
        <f ca="1">E78/$M$77</f>
        <v>456.26427087912066</v>
      </c>
      <c r="N81" t="s">
        <v>296</v>
      </c>
      <c r="Q81" t="s">
        <v>258</v>
      </c>
      <c r="R81" s="2">
        <f t="shared" ref="R81:AF81" si="51">SUMPRODUCT($E$17:$E$75,R17:R75)</f>
        <v>0</v>
      </c>
      <c r="S81" s="2">
        <f t="shared" si="51"/>
        <v>0</v>
      </c>
      <c r="T81" s="2">
        <f t="shared" si="51"/>
        <v>0</v>
      </c>
      <c r="U81" s="2">
        <f t="shared" si="51"/>
        <v>0</v>
      </c>
      <c r="V81" s="2">
        <f t="shared" si="51"/>
        <v>0</v>
      </c>
      <c r="W81" s="2">
        <f t="shared" si="51"/>
        <v>0</v>
      </c>
      <c r="X81" s="2">
        <f t="shared" si="51"/>
        <v>0</v>
      </c>
      <c r="Y81" s="2">
        <f t="shared" si="51"/>
        <v>0</v>
      </c>
      <c r="Z81" s="2">
        <f t="shared" si="51"/>
        <v>0</v>
      </c>
      <c r="AA81" s="2">
        <f t="shared" si="51"/>
        <v>0</v>
      </c>
      <c r="AB81" s="2">
        <f t="shared" si="51"/>
        <v>0</v>
      </c>
      <c r="AC81" s="2">
        <f t="shared" si="51"/>
        <v>0</v>
      </c>
      <c r="AD81" s="2">
        <f t="shared" si="51"/>
        <v>0</v>
      </c>
      <c r="AE81" s="2">
        <f t="shared" si="51"/>
        <v>0</v>
      </c>
      <c r="AF81" s="2">
        <f t="shared" si="51"/>
        <v>0</v>
      </c>
      <c r="AG81">
        <f>SUM(R81:AF81)</f>
        <v>0</v>
      </c>
      <c r="AH81" s="2"/>
      <c r="AI81">
        <v>700</v>
      </c>
    </row>
    <row r="82" spans="2:44" x14ac:dyDescent="0.3">
      <c r="B82" s="153"/>
      <c r="M82" s="1751">
        <f ca="1">1/M81*1000</f>
        <v>2.1917122681406118</v>
      </c>
      <c r="N82" t="s">
        <v>985</v>
      </c>
      <c r="Q82" t="s">
        <v>257</v>
      </c>
      <c r="R82" s="2"/>
      <c r="S82" s="2"/>
      <c r="T82" s="2"/>
      <c r="U82" s="2"/>
      <c r="V82" s="2"/>
      <c r="W82" s="2"/>
      <c r="X82" s="2"/>
      <c r="Y82" s="2"/>
      <c r="Z82" s="2"/>
      <c r="AA82" s="2"/>
      <c r="AB82" s="2"/>
      <c r="AC82" s="2"/>
      <c r="AD82" s="2"/>
      <c r="AE82" s="2"/>
      <c r="AF82" s="2"/>
      <c r="AG82">
        <f t="shared" ref="AG82:AG83" si="52">SUM(R82:AF82)</f>
        <v>0</v>
      </c>
      <c r="AI82" t="e">
        <f>MATCH($E19,$AK$88:$AK$95,1)</f>
        <v>#N/A</v>
      </c>
    </row>
    <row r="83" spans="2:44" x14ac:dyDescent="0.3">
      <c r="B83" s="153"/>
      <c r="O83" s="16"/>
      <c r="P83" s="16"/>
      <c r="Q83" t="s">
        <v>259</v>
      </c>
      <c r="R83" s="2">
        <f>R82-R81</f>
        <v>0</v>
      </c>
      <c r="S83" s="2">
        <f>S82-S81</f>
        <v>0</v>
      </c>
      <c r="T83" s="2">
        <f>T82-T81</f>
        <v>0</v>
      </c>
      <c r="U83" s="2">
        <f>U82-U81</f>
        <v>0</v>
      </c>
      <c r="V83" s="2">
        <f>V82-V81</f>
        <v>0</v>
      </c>
      <c r="W83" s="2"/>
      <c r="X83" s="2">
        <f>X82-X81</f>
        <v>0</v>
      </c>
      <c r="Y83" s="2">
        <f>Y82-Y81</f>
        <v>0</v>
      </c>
      <c r="Z83" s="2">
        <f>Z82-Z81</f>
        <v>0</v>
      </c>
      <c r="AA83" s="2"/>
      <c r="AB83" s="2">
        <f>AB82-AB81</f>
        <v>0</v>
      </c>
      <c r="AC83" s="2"/>
      <c r="AD83" s="2"/>
      <c r="AE83" s="2"/>
      <c r="AF83" s="2"/>
      <c r="AG83">
        <f t="shared" si="52"/>
        <v>0</v>
      </c>
    </row>
    <row r="84" spans="2:44" x14ac:dyDescent="0.3">
      <c r="B84" s="153"/>
      <c r="H84" s="2579" t="s">
        <v>369</v>
      </c>
      <c r="I84" s="2580"/>
      <c r="J84" s="2579" t="s">
        <v>368</v>
      </c>
      <c r="K84" s="2580"/>
      <c r="L84" s="218" t="s">
        <v>443</v>
      </c>
      <c r="M84" s="2579" t="s">
        <v>548</v>
      </c>
      <c r="N84" s="2580"/>
      <c r="AL84" s="10" t="s">
        <v>2283</v>
      </c>
    </row>
    <row r="85" spans="2:44" x14ac:dyDescent="0.3">
      <c r="B85" s="21" t="s">
        <v>755</v>
      </c>
      <c r="C85" s="21" t="s">
        <v>366</v>
      </c>
      <c r="D85" s="21" t="s">
        <v>1103</v>
      </c>
      <c r="E85" s="21" t="s">
        <v>367</v>
      </c>
      <c r="F85" s="21" t="s">
        <v>1338</v>
      </c>
      <c r="G85" s="21" t="s">
        <v>97</v>
      </c>
      <c r="H85" s="57" t="s">
        <v>300</v>
      </c>
      <c r="I85" s="57" t="s">
        <v>299</v>
      </c>
      <c r="J85" s="57" t="s">
        <v>300</v>
      </c>
      <c r="K85" s="57" t="s">
        <v>299</v>
      </c>
      <c r="L85" s="57"/>
      <c r="M85" s="377" t="s">
        <v>300</v>
      </c>
      <c r="N85" s="377" t="s">
        <v>299</v>
      </c>
      <c r="AL85" s="2577" t="s">
        <v>99</v>
      </c>
      <c r="AM85" s="2577"/>
      <c r="AN85" s="2577" t="s">
        <v>1028</v>
      </c>
      <c r="AO85" s="2577"/>
      <c r="AP85" s="2577"/>
      <c r="AQ85" s="2577"/>
      <c r="AR85" s="2577"/>
    </row>
    <row r="86" spans="2:44" x14ac:dyDescent="0.3">
      <c r="B86" s="34" t="s">
        <v>105</v>
      </c>
      <c r="C86" s="34">
        <v>0</v>
      </c>
      <c r="D86" s="34">
        <v>1</v>
      </c>
      <c r="E86" s="34" t="s">
        <v>123</v>
      </c>
      <c r="F86" s="983" t="str">
        <f t="shared" ref="F86:F92" si="53">IFERROR(SUMPRODUCT(--($F$17:$F$74=$B86),$E$17:$E$74,$D$17:$D$74)/SUMPRODUCT(--($F$17:$F$74=$B86),$D$17:$D$74),"-")</f>
        <v>-</v>
      </c>
      <c r="G86" s="34">
        <f t="shared" ref="G86:G92" si="54">SUMIFS($D$17:$D$74,$F$17:$F$74,$B86)</f>
        <v>0</v>
      </c>
      <c r="H86" s="34">
        <f t="shared" ref="H86:H92" si="55">SUMIFS($J$17:$J$74,$F$17:$F$74,$B86)</f>
        <v>0</v>
      </c>
      <c r="I86" s="34">
        <f t="shared" ref="I86:I92" si="56">G86-H86</f>
        <v>0</v>
      </c>
      <c r="J86" s="1177">
        <f t="shared" ref="J86:J92" ca="1" si="57">IF($B$13="Proposed",SUMIF($J$17:$J$75,$B86,$N$17:$N$75),($C$13+(C86*$D$13))*H86)</f>
        <v>0</v>
      </c>
      <c r="K86" s="1177">
        <f t="shared" ref="K86:K92" ca="1" si="58">IF($B$13="Proposed",SUMIF($G$17:$G$75,$B86,$N$17:$N$75)-J86,($C$13+(C86*$D$13))*I86)</f>
        <v>0</v>
      </c>
      <c r="L86" s="1177">
        <f t="shared" ref="L86:L92" ca="1" si="59">J86+K86</f>
        <v>0</v>
      </c>
      <c r="M86" s="34">
        <f t="shared" ref="M86:M92" si="60">SUMIFS($K$17:$K$74,$F$17:$F$74,$B86)</f>
        <v>0</v>
      </c>
      <c r="N86" s="34">
        <f t="shared" ref="N86:N92" si="61">SUMIFS($L$17:$L$74,$F$17:$F$74,$B86)</f>
        <v>0</v>
      </c>
      <c r="AL86" s="2577"/>
      <c r="AM86" s="2577"/>
      <c r="AN86" s="936">
        <v>0</v>
      </c>
      <c r="AO86" s="936">
        <v>1</v>
      </c>
      <c r="AP86" s="936">
        <v>2</v>
      </c>
      <c r="AQ86" s="936">
        <v>3</v>
      </c>
      <c r="AR86" s="936">
        <v>4</v>
      </c>
    </row>
    <row r="87" spans="2:44" x14ac:dyDescent="0.3">
      <c r="B87" s="34" t="s">
        <v>307</v>
      </c>
      <c r="C87" s="34">
        <v>1</v>
      </c>
      <c r="D87" s="34">
        <v>1</v>
      </c>
      <c r="E87" s="34" t="s">
        <v>1339</v>
      </c>
      <c r="F87" s="983" t="str">
        <f t="shared" si="53"/>
        <v>-</v>
      </c>
      <c r="G87" s="34">
        <f t="shared" si="54"/>
        <v>0</v>
      </c>
      <c r="H87" s="34">
        <f t="shared" si="55"/>
        <v>0</v>
      </c>
      <c r="I87" s="34">
        <f t="shared" si="56"/>
        <v>0</v>
      </c>
      <c r="J87" s="1177">
        <f t="shared" ca="1" si="57"/>
        <v>0</v>
      </c>
      <c r="K87" s="1177">
        <f t="shared" ca="1" si="58"/>
        <v>0</v>
      </c>
      <c r="L87" s="1177">
        <f t="shared" ca="1" si="59"/>
        <v>0</v>
      </c>
      <c r="M87" s="34">
        <f t="shared" si="60"/>
        <v>0</v>
      </c>
      <c r="N87" s="34">
        <f t="shared" si="61"/>
        <v>0</v>
      </c>
      <c r="AL87" s="2577" t="s">
        <v>302</v>
      </c>
      <c r="AM87" s="2577"/>
      <c r="AN87" s="937" t="str">
        <f>"- "&amp;AN86+1</f>
        <v>- 1</v>
      </c>
      <c r="AO87" s="937" t="str">
        <f>"- "&amp;AO86+1</f>
        <v>- 2</v>
      </c>
      <c r="AP87" s="937" t="str">
        <f t="shared" ref="AP87:AR87" si="62">"- "&amp;AP86+1</f>
        <v>- 3</v>
      </c>
      <c r="AQ87" s="937" t="str">
        <f t="shared" si="62"/>
        <v>- 4</v>
      </c>
      <c r="AR87" s="937" t="str">
        <f t="shared" si="62"/>
        <v>- 5</v>
      </c>
    </row>
    <row r="88" spans="2:44" x14ac:dyDescent="0.3">
      <c r="B88" s="34">
        <v>1</v>
      </c>
      <c r="C88" s="34">
        <v>1</v>
      </c>
      <c r="D88" s="34">
        <v>1</v>
      </c>
      <c r="E88" s="34" t="s">
        <v>1184</v>
      </c>
      <c r="F88" s="983">
        <f t="shared" si="53"/>
        <v>640.3478260869565</v>
      </c>
      <c r="G88" s="34">
        <f t="shared" si="54"/>
        <v>23</v>
      </c>
      <c r="H88" s="34">
        <f t="shared" si="55"/>
        <v>0</v>
      </c>
      <c r="I88" s="34">
        <f t="shared" si="56"/>
        <v>23</v>
      </c>
      <c r="J88" s="1177">
        <f t="shared" ca="1" si="57"/>
        <v>0</v>
      </c>
      <c r="K88" s="1177">
        <f t="shared" ca="1" si="58"/>
        <v>23</v>
      </c>
      <c r="L88" s="1177">
        <f t="shared" ca="1" si="59"/>
        <v>23</v>
      </c>
      <c r="M88" s="34">
        <f t="shared" si="60"/>
        <v>0</v>
      </c>
      <c r="N88" s="34">
        <f t="shared" si="61"/>
        <v>23</v>
      </c>
      <c r="AL88" s="925">
        <v>0</v>
      </c>
      <c r="AM88" s="926">
        <v>500</v>
      </c>
      <c r="AN88" s="927">
        <v>30</v>
      </c>
      <c r="AO88" s="928">
        <v>30</v>
      </c>
      <c r="AP88" s="928">
        <v>35</v>
      </c>
      <c r="AQ88" s="928">
        <v>45</v>
      </c>
      <c r="AR88" s="929">
        <v>50</v>
      </c>
    </row>
    <row r="89" spans="2:44" x14ac:dyDescent="0.3">
      <c r="B89" s="34">
        <v>2</v>
      </c>
      <c r="C89" s="34">
        <v>2</v>
      </c>
      <c r="D89" s="34">
        <v>2</v>
      </c>
      <c r="E89" s="34" t="s">
        <v>1185</v>
      </c>
      <c r="F89" s="983">
        <f t="shared" si="53"/>
        <v>890.875</v>
      </c>
      <c r="G89" s="34">
        <f t="shared" si="54"/>
        <v>48</v>
      </c>
      <c r="H89" s="34">
        <f t="shared" si="55"/>
        <v>0</v>
      </c>
      <c r="I89" s="34">
        <f t="shared" si="56"/>
        <v>48</v>
      </c>
      <c r="J89" s="1177">
        <f t="shared" ca="1" si="57"/>
        <v>0</v>
      </c>
      <c r="K89" s="1177">
        <f t="shared" ca="1" si="58"/>
        <v>96</v>
      </c>
      <c r="L89" s="1177">
        <f t="shared" ca="1" si="59"/>
        <v>96</v>
      </c>
      <c r="M89" s="34">
        <f t="shared" si="60"/>
        <v>0</v>
      </c>
      <c r="N89" s="34">
        <f t="shared" si="61"/>
        <v>48</v>
      </c>
      <c r="AL89" s="925">
        <v>500.00009999999997</v>
      </c>
      <c r="AM89" s="925">
        <v>1000</v>
      </c>
      <c r="AN89" s="930">
        <v>30</v>
      </c>
      <c r="AO89" s="931">
        <v>35</v>
      </c>
      <c r="AP89" s="931">
        <v>40</v>
      </c>
      <c r="AQ89" s="931">
        <v>50</v>
      </c>
      <c r="AR89" s="932">
        <v>55</v>
      </c>
    </row>
    <row r="90" spans="2:44" x14ac:dyDescent="0.3">
      <c r="B90" s="34">
        <v>3</v>
      </c>
      <c r="C90" s="34">
        <v>3</v>
      </c>
      <c r="D90" s="34">
        <v>3</v>
      </c>
      <c r="E90" s="34" t="s">
        <v>1186</v>
      </c>
      <c r="F90" s="983">
        <f t="shared" si="53"/>
        <v>1198.2857142857142</v>
      </c>
      <c r="G90" s="34">
        <f t="shared" si="54"/>
        <v>21</v>
      </c>
      <c r="H90" s="34">
        <f t="shared" si="55"/>
        <v>0</v>
      </c>
      <c r="I90" s="34">
        <f t="shared" si="56"/>
        <v>21</v>
      </c>
      <c r="J90" s="1177">
        <f t="shared" ca="1" si="57"/>
        <v>0</v>
      </c>
      <c r="K90" s="1177">
        <f t="shared" ca="1" si="58"/>
        <v>63</v>
      </c>
      <c r="L90" s="1177">
        <f t="shared" ca="1" si="59"/>
        <v>63</v>
      </c>
      <c r="M90" s="34">
        <f t="shared" si="60"/>
        <v>0</v>
      </c>
      <c r="N90" s="34">
        <f t="shared" si="61"/>
        <v>21</v>
      </c>
      <c r="P90" s="14"/>
      <c r="Q90" s="14"/>
      <c r="AL90" s="925">
        <v>1000.0001</v>
      </c>
      <c r="AM90" s="925">
        <v>1500</v>
      </c>
      <c r="AN90" s="930">
        <v>30</v>
      </c>
      <c r="AO90" s="931">
        <v>40</v>
      </c>
      <c r="AP90" s="931">
        <v>45</v>
      </c>
      <c r="AQ90" s="931">
        <v>55</v>
      </c>
      <c r="AR90" s="932">
        <v>60</v>
      </c>
    </row>
    <row r="91" spans="2:44" x14ac:dyDescent="0.3">
      <c r="B91" s="34">
        <v>4</v>
      </c>
      <c r="C91" s="34">
        <v>4</v>
      </c>
      <c r="D91" s="34">
        <v>4</v>
      </c>
      <c r="E91" s="34" t="s">
        <v>1187</v>
      </c>
      <c r="F91" s="983" t="str">
        <f t="shared" si="53"/>
        <v>-</v>
      </c>
      <c r="G91" s="34">
        <f t="shared" si="54"/>
        <v>0</v>
      </c>
      <c r="H91" s="34">
        <f t="shared" si="55"/>
        <v>0</v>
      </c>
      <c r="I91" s="34">
        <f t="shared" si="56"/>
        <v>0</v>
      </c>
      <c r="J91" s="1177">
        <f t="shared" ca="1" si="57"/>
        <v>0</v>
      </c>
      <c r="K91" s="1177">
        <f t="shared" ca="1" si="58"/>
        <v>0</v>
      </c>
      <c r="L91" s="1177">
        <f t="shared" ca="1" si="59"/>
        <v>0</v>
      </c>
      <c r="M91" s="34">
        <f t="shared" si="60"/>
        <v>0</v>
      </c>
      <c r="N91" s="34">
        <f t="shared" si="61"/>
        <v>0</v>
      </c>
      <c r="P91" s="20"/>
      <c r="Q91" s="20"/>
      <c r="AL91" s="925">
        <v>1500.0001</v>
      </c>
      <c r="AM91" s="925">
        <v>2000</v>
      </c>
      <c r="AN91" s="930">
        <v>35</v>
      </c>
      <c r="AO91" s="931">
        <v>45</v>
      </c>
      <c r="AP91" s="931">
        <v>50</v>
      </c>
      <c r="AQ91" s="931">
        <v>60</v>
      </c>
      <c r="AR91" s="932">
        <v>65</v>
      </c>
    </row>
    <row r="92" spans="2:44" x14ac:dyDescent="0.3">
      <c r="B92" s="34" t="s">
        <v>309</v>
      </c>
      <c r="C92" s="34"/>
      <c r="D92" s="34"/>
      <c r="E92" s="34" t="s">
        <v>310</v>
      </c>
      <c r="F92" s="983" t="str">
        <f t="shared" si="53"/>
        <v>-</v>
      </c>
      <c r="G92" s="34">
        <f t="shared" si="54"/>
        <v>0</v>
      </c>
      <c r="H92" s="34">
        <f t="shared" si="55"/>
        <v>0</v>
      </c>
      <c r="I92" s="34">
        <f t="shared" si="56"/>
        <v>0</v>
      </c>
      <c r="J92" s="1177">
        <f t="shared" ca="1" si="57"/>
        <v>0</v>
      </c>
      <c r="K92" s="1177">
        <f t="shared" ca="1" si="58"/>
        <v>0</v>
      </c>
      <c r="L92" s="1177">
        <f t="shared" ca="1" si="59"/>
        <v>0</v>
      </c>
      <c r="M92" s="34">
        <f t="shared" si="60"/>
        <v>0</v>
      </c>
      <c r="N92" s="34">
        <f t="shared" si="61"/>
        <v>0</v>
      </c>
      <c r="P92" s="20"/>
      <c r="Q92" s="20"/>
      <c r="AL92" s="925">
        <v>2000.0001</v>
      </c>
      <c r="AM92" s="925">
        <v>2500</v>
      </c>
      <c r="AN92" s="930">
        <v>40</v>
      </c>
      <c r="AO92" s="931">
        <v>50</v>
      </c>
      <c r="AP92" s="931">
        <v>55</v>
      </c>
      <c r="AQ92" s="931">
        <v>65</v>
      </c>
      <c r="AR92" s="932">
        <v>70</v>
      </c>
    </row>
    <row r="93" spans="2:44" x14ac:dyDescent="0.3">
      <c r="B93" s="165"/>
      <c r="C93" s="165">
        <f>SUMPRODUCT(C86:C91,G86:G91)</f>
        <v>182</v>
      </c>
      <c r="D93" s="1176">
        <f>SUMPRODUCT(D86:D92,$G$86:$G$92)/SUM($G$86:$G$92)</f>
        <v>1.9782608695652173</v>
      </c>
      <c r="E93" s="165"/>
      <c r="F93" s="165"/>
      <c r="G93" s="166">
        <f t="shared" ref="G93:N93" si="63">SUM(G86:G92)</f>
        <v>92</v>
      </c>
      <c r="H93" s="165">
        <f t="shared" si="63"/>
        <v>0</v>
      </c>
      <c r="I93" s="165">
        <f t="shared" si="63"/>
        <v>92</v>
      </c>
      <c r="J93" s="193">
        <f t="shared" ca="1" si="63"/>
        <v>0</v>
      </c>
      <c r="K93" s="193">
        <f ca="1">SUM(K86:K92)</f>
        <v>182</v>
      </c>
      <c r="L93" s="193">
        <f t="shared" ca="1" si="63"/>
        <v>182</v>
      </c>
      <c r="M93" s="193">
        <f t="shared" si="63"/>
        <v>0</v>
      </c>
      <c r="N93" s="193">
        <f t="shared" si="63"/>
        <v>92</v>
      </c>
      <c r="AL93" s="925">
        <v>2500.0001000000002</v>
      </c>
      <c r="AM93" s="925">
        <v>3000</v>
      </c>
      <c r="AN93" s="930">
        <v>45</v>
      </c>
      <c r="AO93" s="931">
        <v>55</v>
      </c>
      <c r="AP93" s="931">
        <v>60</v>
      </c>
      <c r="AQ93" s="931">
        <v>70</v>
      </c>
      <c r="AR93" s="932">
        <v>75</v>
      </c>
    </row>
    <row r="94" spans="2:44" x14ac:dyDescent="0.3">
      <c r="E94" s="2"/>
      <c r="F94" s="2"/>
      <c r="I94" s="19">
        <f>SUM(H93:I93)</f>
        <v>92</v>
      </c>
      <c r="K94" s="19">
        <f ca="1">SUM(J93:K93)</f>
        <v>182</v>
      </c>
      <c r="N94" s="19">
        <f>M93+N93</f>
        <v>92</v>
      </c>
      <c r="AL94" s="925">
        <v>3000.0001000000002</v>
      </c>
      <c r="AM94" s="925">
        <v>3500</v>
      </c>
      <c r="AN94" s="930">
        <v>50</v>
      </c>
      <c r="AO94" s="931">
        <v>60</v>
      </c>
      <c r="AP94" s="931">
        <v>65</v>
      </c>
      <c r="AQ94" s="931">
        <v>75</v>
      </c>
      <c r="AR94" s="932">
        <v>80</v>
      </c>
    </row>
    <row r="95" spans="2:44" x14ac:dyDescent="0.3">
      <c r="B95" t="s">
        <v>2434</v>
      </c>
      <c r="C95">
        <f>SUMPRODUCT(C86:C89,G86:G89)</f>
        <v>119</v>
      </c>
      <c r="G95">
        <f>SUM(G86:G89)</f>
        <v>71</v>
      </c>
      <c r="H95">
        <f t="shared" ref="H95:N95" si="64">SUM(H86:H89)</f>
        <v>0</v>
      </c>
      <c r="I95">
        <f t="shared" si="64"/>
        <v>71</v>
      </c>
      <c r="J95">
        <f t="shared" ca="1" si="64"/>
        <v>0</v>
      </c>
      <c r="K95">
        <f t="shared" ca="1" si="64"/>
        <v>119</v>
      </c>
      <c r="L95">
        <f t="shared" ca="1" si="64"/>
        <v>119</v>
      </c>
      <c r="M95">
        <f t="shared" si="64"/>
        <v>0</v>
      </c>
      <c r="N95">
        <f t="shared" si="64"/>
        <v>71</v>
      </c>
      <c r="AL95" s="925">
        <v>3500.0001000000002</v>
      </c>
      <c r="AM95" s="925">
        <v>4000</v>
      </c>
      <c r="AN95" s="933">
        <v>55</v>
      </c>
      <c r="AO95" s="934">
        <v>65</v>
      </c>
      <c r="AP95" s="934">
        <v>70</v>
      </c>
      <c r="AQ95" s="934">
        <v>80</v>
      </c>
      <c r="AR95" s="935">
        <v>85</v>
      </c>
    </row>
    <row r="96" spans="2:44" x14ac:dyDescent="0.3">
      <c r="E96" s="2"/>
      <c r="AI96" s="19"/>
      <c r="AJ96" s="19"/>
      <c r="AK96" s="19"/>
    </row>
    <row r="97" spans="4:44" x14ac:dyDescent="0.3">
      <c r="M97" s="24"/>
      <c r="N97" s="24"/>
      <c r="AI97" s="19"/>
      <c r="AJ97" s="19"/>
      <c r="AK97" s="19"/>
      <c r="AL97" s="10" t="s">
        <v>2065</v>
      </c>
    </row>
    <row r="98" spans="4:44" x14ac:dyDescent="0.3">
      <c r="J98" s="24"/>
      <c r="K98" s="24"/>
      <c r="L98" s="24"/>
      <c r="M98" s="24"/>
      <c r="N98" s="24"/>
      <c r="AL98" s="2577" t="s">
        <v>99</v>
      </c>
      <c r="AM98" s="2577"/>
      <c r="AN98" s="2577" t="s">
        <v>1028</v>
      </c>
      <c r="AO98" s="2577"/>
      <c r="AP98" s="2577"/>
      <c r="AQ98" s="2577"/>
      <c r="AR98" s="2577"/>
    </row>
    <row r="99" spans="4:44" x14ac:dyDescent="0.3">
      <c r="J99" s="24"/>
      <c r="K99" s="24"/>
      <c r="L99" s="24"/>
      <c r="M99" s="24"/>
      <c r="N99" s="24"/>
      <c r="AL99" s="2577"/>
      <c r="AM99" s="2577"/>
      <c r="AN99" s="936">
        <v>0</v>
      </c>
      <c r="AO99" s="936">
        <f>AN99+1</f>
        <v>1</v>
      </c>
      <c r="AP99" s="936">
        <f t="shared" ref="AP99:AR99" si="65">AO99+1</f>
        <v>2</v>
      </c>
      <c r="AQ99" s="936">
        <f t="shared" si="65"/>
        <v>3</v>
      </c>
      <c r="AR99" s="936">
        <f t="shared" si="65"/>
        <v>4</v>
      </c>
    </row>
    <row r="100" spans="4:44" x14ac:dyDescent="0.3">
      <c r="J100" s="24"/>
      <c r="K100" s="24"/>
      <c r="L100" s="24"/>
      <c r="M100" s="24"/>
      <c r="N100" s="24"/>
      <c r="AL100" s="2577" t="s">
        <v>302</v>
      </c>
      <c r="AM100" s="2577"/>
      <c r="AN100" s="937" t="str">
        <f>"- "&amp;AN99+1</f>
        <v>- 1</v>
      </c>
      <c r="AO100" s="937" t="str">
        <f>"- "&amp;AO99+1</f>
        <v>- 2</v>
      </c>
      <c r="AP100" s="937" t="str">
        <f t="shared" ref="AP100:AR100" si="66">"- "&amp;AP99+1</f>
        <v>- 3</v>
      </c>
      <c r="AQ100" s="937" t="str">
        <f t="shared" si="66"/>
        <v>- 4</v>
      </c>
      <c r="AR100" s="937" t="str">
        <f t="shared" si="66"/>
        <v>- 5</v>
      </c>
    </row>
    <row r="101" spans="4:44" x14ac:dyDescent="0.3">
      <c r="J101" s="24"/>
      <c r="K101" s="24"/>
      <c r="L101" s="24"/>
      <c r="M101" s="24"/>
      <c r="N101" s="24"/>
      <c r="AL101" s="925">
        <v>0</v>
      </c>
      <c r="AM101" s="926">
        <v>1500</v>
      </c>
      <c r="AN101" s="927">
        <v>30</v>
      </c>
      <c r="AO101" s="928">
        <v>45</v>
      </c>
      <c r="AP101" s="928">
        <v>60</v>
      </c>
      <c r="AQ101" s="928">
        <v>75</v>
      </c>
      <c r="AR101" s="929">
        <v>90</v>
      </c>
    </row>
    <row r="102" spans="4:44" x14ac:dyDescent="0.3">
      <c r="D102" s="26"/>
      <c r="J102" s="24"/>
      <c r="K102" s="24"/>
      <c r="L102" s="24"/>
      <c r="M102" s="24"/>
      <c r="N102" s="24"/>
      <c r="AL102" s="925">
        <f>AM101+0.0001</f>
        <v>1500.0001</v>
      </c>
      <c r="AM102" s="925">
        <f>AM101+500</f>
        <v>2000</v>
      </c>
      <c r="AN102" s="930">
        <v>45</v>
      </c>
      <c r="AO102" s="931">
        <v>60</v>
      </c>
      <c r="AP102" s="931">
        <v>75</v>
      </c>
      <c r="AQ102" s="931">
        <v>90</v>
      </c>
      <c r="AR102" s="932">
        <v>105</v>
      </c>
    </row>
    <row r="103" spans="4:44" x14ac:dyDescent="0.3">
      <c r="J103" s="24"/>
      <c r="K103" s="24"/>
      <c r="L103" s="24"/>
      <c r="M103" s="24"/>
      <c r="N103" s="24"/>
      <c r="AL103" s="925">
        <f t="shared" ref="AL103:AL106" si="67">AM102+0.0001</f>
        <v>2000.0001</v>
      </c>
      <c r="AM103" s="925">
        <f t="shared" ref="AM103:AM106" si="68">AM102+500</f>
        <v>2500</v>
      </c>
      <c r="AN103" s="930">
        <v>60</v>
      </c>
      <c r="AO103" s="931">
        <v>75</v>
      </c>
      <c r="AP103" s="931">
        <v>90</v>
      </c>
      <c r="AQ103" s="931">
        <v>105</v>
      </c>
      <c r="AR103" s="932">
        <v>120</v>
      </c>
    </row>
    <row r="104" spans="4:44" x14ac:dyDescent="0.3">
      <c r="J104" s="24"/>
      <c r="K104" s="24"/>
      <c r="L104" s="24"/>
      <c r="M104" s="24"/>
      <c r="N104" s="24"/>
      <c r="W104" s="24"/>
      <c r="AA104" s="24"/>
      <c r="AC104" s="24"/>
      <c r="AD104" s="24"/>
      <c r="AL104" s="925">
        <f t="shared" si="67"/>
        <v>2500.0001000000002</v>
      </c>
      <c r="AM104" s="925">
        <f t="shared" si="68"/>
        <v>3000</v>
      </c>
      <c r="AN104" s="930">
        <v>75</v>
      </c>
      <c r="AO104" s="931">
        <v>90</v>
      </c>
      <c r="AP104" s="931">
        <v>105</v>
      </c>
      <c r="AQ104" s="931">
        <v>120</v>
      </c>
      <c r="AR104" s="932">
        <v>135</v>
      </c>
    </row>
    <row r="105" spans="4:44" x14ac:dyDescent="0.3">
      <c r="J105" s="24"/>
      <c r="K105" s="24"/>
      <c r="L105" s="24"/>
      <c r="M105" s="24"/>
      <c r="N105" s="24"/>
      <c r="AL105" s="925">
        <f t="shared" si="67"/>
        <v>3000.0001000000002</v>
      </c>
      <c r="AM105" s="925">
        <f t="shared" si="68"/>
        <v>3500</v>
      </c>
      <c r="AN105" s="930">
        <v>90</v>
      </c>
      <c r="AO105" s="931">
        <v>105</v>
      </c>
      <c r="AP105" s="931">
        <v>120</v>
      </c>
      <c r="AQ105" s="931">
        <v>135</v>
      </c>
      <c r="AR105" s="932">
        <v>150</v>
      </c>
    </row>
    <row r="106" spans="4:44" x14ac:dyDescent="0.3">
      <c r="J106" s="24"/>
      <c r="K106" s="24"/>
      <c r="L106" s="24"/>
      <c r="M106" s="24"/>
      <c r="N106" s="24"/>
      <c r="AL106" s="925">
        <f t="shared" si="67"/>
        <v>3500.0001000000002</v>
      </c>
      <c r="AM106" s="925">
        <f t="shared" si="68"/>
        <v>4000</v>
      </c>
      <c r="AN106" s="933">
        <v>105</v>
      </c>
      <c r="AO106" s="934">
        <v>120</v>
      </c>
      <c r="AP106" s="934">
        <v>135</v>
      </c>
      <c r="AQ106" s="934">
        <v>150</v>
      </c>
      <c r="AR106" s="935">
        <v>165</v>
      </c>
    </row>
    <row r="107" spans="4:44" x14ac:dyDescent="0.3">
      <c r="J107" s="24"/>
      <c r="K107" s="24"/>
      <c r="L107" s="24"/>
      <c r="M107" s="24"/>
      <c r="N107" s="24"/>
    </row>
    <row r="108" spans="4:44" x14ac:dyDescent="0.3">
      <c r="J108" s="24"/>
      <c r="K108" s="24"/>
      <c r="L108" s="24"/>
      <c r="M108" s="24"/>
      <c r="N108" s="24"/>
    </row>
    <row r="109" spans="4:44" x14ac:dyDescent="0.3">
      <c r="J109" s="24"/>
      <c r="K109" s="24"/>
      <c r="L109" s="24"/>
      <c r="M109" s="24"/>
      <c r="N109" s="24"/>
    </row>
    <row r="110" spans="4:44" x14ac:dyDescent="0.3">
      <c r="J110" s="24"/>
      <c r="K110" s="24"/>
      <c r="L110" s="24"/>
      <c r="M110" s="24"/>
    </row>
    <row r="111" spans="4:44" x14ac:dyDescent="0.3">
      <c r="J111" s="24"/>
      <c r="K111" s="24"/>
      <c r="L111" s="24"/>
      <c r="M111" s="24"/>
    </row>
    <row r="112" spans="4:44" x14ac:dyDescent="0.3">
      <c r="J112" s="24"/>
      <c r="K112" s="24"/>
      <c r="L112" s="24"/>
      <c r="M112" s="24"/>
    </row>
    <row r="113" spans="10:13" x14ac:dyDescent="0.3">
      <c r="J113" s="24"/>
      <c r="K113" s="24"/>
      <c r="L113" s="24"/>
      <c r="M113" s="24"/>
    </row>
    <row r="114" spans="10:13" x14ac:dyDescent="0.3">
      <c r="J114" s="24"/>
      <c r="K114" s="24"/>
      <c r="L114" s="24"/>
      <c r="M114" s="24"/>
    </row>
    <row r="115" spans="10:13" x14ac:dyDescent="0.3">
      <c r="J115" s="24"/>
      <c r="K115" s="24"/>
      <c r="L115" s="24"/>
      <c r="M115" s="24"/>
    </row>
    <row r="116" spans="10:13" x14ac:dyDescent="0.3">
      <c r="J116" s="24"/>
      <c r="K116" s="24"/>
      <c r="L116" s="24"/>
      <c r="M116" s="24"/>
    </row>
    <row r="117" spans="10:13" x14ac:dyDescent="0.3">
      <c r="J117" s="24"/>
      <c r="K117" s="24"/>
      <c r="L117" s="24"/>
      <c r="M117" s="24"/>
    </row>
    <row r="118" spans="10:13" x14ac:dyDescent="0.3">
      <c r="J118" s="24"/>
      <c r="K118" s="24"/>
      <c r="L118" s="24"/>
      <c r="M118" s="24"/>
    </row>
    <row r="119" spans="10:13" x14ac:dyDescent="0.3">
      <c r="J119" s="24"/>
      <c r="K119" s="24"/>
      <c r="L119" s="24"/>
    </row>
    <row r="120" spans="10:13" x14ac:dyDescent="0.3">
      <c r="J120" s="24"/>
      <c r="K120" s="24"/>
    </row>
    <row r="121" spans="10:13" x14ac:dyDescent="0.3">
      <c r="J121" s="24"/>
      <c r="K121" s="24"/>
    </row>
    <row r="122" spans="10:13" x14ac:dyDescent="0.3">
      <c r="J122" s="24"/>
      <c r="K122" s="24"/>
    </row>
    <row r="123" spans="10:13" x14ac:dyDescent="0.3">
      <c r="J123" s="24"/>
      <c r="K123" s="24"/>
    </row>
    <row r="124" spans="10:13" x14ac:dyDescent="0.3">
      <c r="J124" s="24"/>
      <c r="K124" s="24"/>
    </row>
    <row r="125" spans="10:13" x14ac:dyDescent="0.3">
      <c r="J125" s="24"/>
      <c r="K125" s="24"/>
    </row>
    <row r="126" spans="10:13" x14ac:dyDescent="0.3">
      <c r="K126" s="24"/>
    </row>
    <row r="127" spans="10:13" x14ac:dyDescent="0.3">
      <c r="K127" s="24"/>
    </row>
    <row r="128" spans="10:13" x14ac:dyDescent="0.3">
      <c r="K128" s="24"/>
    </row>
    <row r="129" spans="11:11" x14ac:dyDescent="0.3">
      <c r="K129" s="24"/>
    </row>
    <row r="130" spans="11:11" x14ac:dyDescent="0.3">
      <c r="K130" s="24"/>
    </row>
    <row r="131" spans="11:11" x14ac:dyDescent="0.3">
      <c r="K131" s="24"/>
    </row>
    <row r="132" spans="11:11" x14ac:dyDescent="0.3">
      <c r="K132" s="24"/>
    </row>
    <row r="133" spans="11:11" x14ac:dyDescent="0.3">
      <c r="K133" s="24"/>
    </row>
    <row r="134" spans="11:11" x14ac:dyDescent="0.3">
      <c r="K134" s="24"/>
    </row>
    <row r="135" spans="11:11" x14ac:dyDescent="0.3">
      <c r="K135" s="24"/>
    </row>
    <row r="136" spans="11:11" x14ac:dyDescent="0.3">
      <c r="K136" s="24"/>
    </row>
    <row r="137" spans="11:11" x14ac:dyDescent="0.3">
      <c r="K137" s="24"/>
    </row>
    <row r="138" spans="11:11" x14ac:dyDescent="0.3">
      <c r="K138" s="24"/>
    </row>
    <row r="139" spans="11:11" x14ac:dyDescent="0.3">
      <c r="K139" s="24"/>
    </row>
    <row r="140" spans="11:11" x14ac:dyDescent="0.3">
      <c r="K140" s="24"/>
    </row>
    <row r="141" spans="11:11" x14ac:dyDescent="0.3">
      <c r="K141" s="24"/>
    </row>
    <row r="142" spans="11:11" x14ac:dyDescent="0.3">
      <c r="K142" s="24"/>
    </row>
    <row r="143" spans="11:11" x14ac:dyDescent="0.3">
      <c r="K143" s="24"/>
    </row>
    <row r="144" spans="11:11" x14ac:dyDescent="0.3">
      <c r="K144" s="24"/>
    </row>
    <row r="145" spans="11:11" x14ac:dyDescent="0.3">
      <c r="K145" s="24"/>
    </row>
    <row r="146" spans="11:11" x14ac:dyDescent="0.3">
      <c r="K146" s="24"/>
    </row>
    <row r="147" spans="11:11" x14ac:dyDescent="0.3">
      <c r="K147" s="24"/>
    </row>
    <row r="148" spans="11:11" x14ac:dyDescent="0.3">
      <c r="K148" s="24"/>
    </row>
    <row r="149" spans="11:11" x14ac:dyDescent="0.3">
      <c r="K149" s="24"/>
    </row>
    <row r="150" spans="11:11" x14ac:dyDescent="0.3">
      <c r="K150" s="24"/>
    </row>
    <row r="151" spans="11:11" x14ac:dyDescent="0.3">
      <c r="K151" s="24"/>
    </row>
    <row r="152" spans="11:11" x14ac:dyDescent="0.3">
      <c r="K152" s="24"/>
    </row>
    <row r="153" spans="11:11" x14ac:dyDescent="0.3">
      <c r="K153" s="24"/>
    </row>
    <row r="154" spans="11:11" x14ac:dyDescent="0.3">
      <c r="K154" s="24"/>
    </row>
    <row r="155" spans="11:11" x14ac:dyDescent="0.3">
      <c r="K155" s="24"/>
    </row>
    <row r="156" spans="11:11" x14ac:dyDescent="0.3">
      <c r="K156" s="24"/>
    </row>
    <row r="157" spans="11:11" x14ac:dyDescent="0.3">
      <c r="K157" s="24"/>
    </row>
    <row r="158" spans="11:11" x14ac:dyDescent="0.3">
      <c r="K158" s="24"/>
    </row>
    <row r="159" spans="11:11" x14ac:dyDescent="0.3">
      <c r="K159" s="24"/>
    </row>
    <row r="160" spans="11:11" x14ac:dyDescent="0.3">
      <c r="K160" s="24"/>
    </row>
    <row r="161" spans="11:11" x14ac:dyDescent="0.3">
      <c r="K161" s="24"/>
    </row>
    <row r="162" spans="11:11" x14ac:dyDescent="0.3">
      <c r="K162" s="24"/>
    </row>
    <row r="163" spans="11:11" x14ac:dyDescent="0.3">
      <c r="K163" s="24"/>
    </row>
    <row r="164" spans="11:11" x14ac:dyDescent="0.3">
      <c r="K164" s="24"/>
    </row>
    <row r="165" spans="11:11" x14ac:dyDescent="0.3">
      <c r="K165" s="24"/>
    </row>
    <row r="166" spans="11:11" x14ac:dyDescent="0.3">
      <c r="K166" s="24"/>
    </row>
    <row r="167" spans="11:11" x14ac:dyDescent="0.3">
      <c r="K167" s="24"/>
    </row>
    <row r="168" spans="11:11" x14ac:dyDescent="0.3">
      <c r="K168" s="24"/>
    </row>
  </sheetData>
  <autoFilter ref="A16:AX94" xr:uid="{00000000-0009-0000-0000-000003000000}"/>
  <mergeCells count="11">
    <mergeCell ref="H84:I84"/>
    <mergeCell ref="J84:K84"/>
    <mergeCell ref="M84:N84"/>
    <mergeCell ref="AL98:AM99"/>
    <mergeCell ref="AN98:AR98"/>
    <mergeCell ref="AL100:AM100"/>
    <mergeCell ref="AN9:AO9"/>
    <mergeCell ref="AN10:AO10"/>
    <mergeCell ref="AL87:AM87"/>
    <mergeCell ref="AN85:AR85"/>
    <mergeCell ref="AL85:AM86"/>
  </mergeCells>
  <dataValidations disablePrompts="1" count="2">
    <dataValidation type="list" allowBlank="1" showInputMessage="1" showErrorMessage="1" sqref="B13" xr:uid="{00000000-0002-0000-0300-000000000000}">
      <formula1>$B$7:$B$10</formula1>
    </dataValidation>
    <dataValidation type="list" allowBlank="1" showInputMessage="1" showErrorMessage="1" sqref="F17:F74" xr:uid="{00000000-0002-0000-0300-000001000000}">
      <formula1>$B$86:$B$92</formula1>
    </dataValidation>
  </dataValidations>
  <pageMargins left="0.7" right="0.7" top="0.75" bottom="0.75" header="0.3" footer="0.3"/>
  <pageSetup scale="26"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85906-0073-4C3A-83F6-1940DC3A4390}">
  <sheetPr codeName="Sheet7">
    <tabColor theme="5" tint="-0.249977111117893"/>
    <pageSetUpPr fitToPage="1"/>
  </sheetPr>
  <dimension ref="A1:AW168"/>
  <sheetViews>
    <sheetView topLeftCell="O30" workbookViewId="0">
      <selection activeCell="C13" sqref="C13"/>
    </sheetView>
  </sheetViews>
  <sheetFormatPr defaultColWidth="9.109375" defaultRowHeight="14.4" x14ac:dyDescent="0.3"/>
  <cols>
    <col min="1" max="1" width="17.33203125" customWidth="1"/>
    <col min="2" max="2" width="19.33203125" customWidth="1"/>
    <col min="3" max="3" width="64.6640625" customWidth="1"/>
    <col min="4" max="4" width="12.88671875" customWidth="1"/>
    <col min="5" max="5" width="11.5546875" customWidth="1"/>
    <col min="6" max="6" width="9.33203125" customWidth="1"/>
    <col min="7" max="7" width="10.88671875" customWidth="1"/>
    <col min="8" max="8" width="9.109375" customWidth="1"/>
    <col min="9" max="9" width="8.6640625" customWidth="1"/>
    <col min="10" max="12" width="15.88671875" customWidth="1"/>
    <col min="13" max="14" width="13.44140625" customWidth="1"/>
    <col min="15" max="16" width="14.88671875" customWidth="1"/>
    <col min="17" max="17" width="15.5546875" customWidth="1"/>
    <col min="18" max="18" width="15.5546875" hidden="1" customWidth="1"/>
    <col min="19" max="22" width="15.88671875" hidden="1" customWidth="1"/>
    <col min="23" max="23" width="14.5546875" hidden="1" customWidth="1"/>
    <col min="24" max="26" width="15.88671875" hidden="1" customWidth="1"/>
    <col min="27" max="27" width="14.5546875" hidden="1" customWidth="1"/>
    <col min="28" max="28" width="15.88671875" hidden="1" customWidth="1"/>
    <col min="29" max="30" width="14.5546875" hidden="1" customWidth="1"/>
    <col min="31" max="32" width="11.109375" hidden="1" customWidth="1"/>
    <col min="33" max="33" width="10.109375" hidden="1" customWidth="1"/>
    <col min="34" max="36" width="13.44140625" customWidth="1"/>
    <col min="37" max="48" width="17" customWidth="1"/>
    <col min="49" max="49" width="8.44140625" customWidth="1"/>
  </cols>
  <sheetData>
    <row r="1" spans="1:49" ht="18" x14ac:dyDescent="0.35">
      <c r="A1" s="9" t="s">
        <v>239</v>
      </c>
    </row>
    <row r="2" spans="1:49" x14ac:dyDescent="0.3">
      <c r="A2" s="163" t="s">
        <v>752</v>
      </c>
      <c r="B2" s="548" t="s">
        <v>1977</v>
      </c>
    </row>
    <row r="3" spans="1:49" x14ac:dyDescent="0.3">
      <c r="A3" s="163" t="s">
        <v>753</v>
      </c>
      <c r="B3" s="163" t="s">
        <v>1978</v>
      </c>
    </row>
    <row r="5" spans="1:49" x14ac:dyDescent="0.3">
      <c r="B5" t="s">
        <v>271</v>
      </c>
    </row>
    <row r="6" spans="1:49" x14ac:dyDescent="0.3">
      <c r="C6" t="s">
        <v>359</v>
      </c>
      <c r="D6" t="s">
        <v>360</v>
      </c>
    </row>
    <row r="7" spans="1:49" x14ac:dyDescent="0.3">
      <c r="B7" t="s">
        <v>785</v>
      </c>
      <c r="C7">
        <v>1</v>
      </c>
      <c r="D7">
        <v>0.56999999999999995</v>
      </c>
    </row>
    <row r="8" spans="1:49" x14ac:dyDescent="0.3">
      <c r="B8" t="s">
        <v>358</v>
      </c>
      <c r="C8">
        <v>0</v>
      </c>
      <c r="D8">
        <v>1</v>
      </c>
    </row>
    <row r="9" spans="1:49" x14ac:dyDescent="0.3">
      <c r="B9" t="s">
        <v>438</v>
      </c>
      <c r="C9">
        <v>1</v>
      </c>
      <c r="D9">
        <v>1</v>
      </c>
    </row>
    <row r="10" spans="1:49" x14ac:dyDescent="0.3">
      <c r="B10" t="s">
        <v>81</v>
      </c>
      <c r="AQ10" t="s">
        <v>542</v>
      </c>
    </row>
    <row r="11" spans="1:49" x14ac:dyDescent="0.3">
      <c r="B11" s="192" t="s">
        <v>361</v>
      </c>
      <c r="AH11" t="s">
        <v>269</v>
      </c>
    </row>
    <row r="12" spans="1:49" x14ac:dyDescent="0.3">
      <c r="C12" t="s">
        <v>363</v>
      </c>
      <c r="D12" t="s">
        <v>362</v>
      </c>
      <c r="AJ12" t="s">
        <v>2073</v>
      </c>
      <c r="AK12">
        <v>0</v>
      </c>
      <c r="AL12">
        <v>1</v>
      </c>
      <c r="AM12">
        <v>0</v>
      </c>
      <c r="AN12">
        <v>1</v>
      </c>
      <c r="AT12">
        <v>0</v>
      </c>
      <c r="AV12">
        <v>0</v>
      </c>
    </row>
    <row r="13" spans="1:49" s="24" customFormat="1" ht="28.8" x14ac:dyDescent="0.3">
      <c r="B13" s="938" t="s">
        <v>785</v>
      </c>
      <c r="C13" s="24">
        <f ca="1">OFFSET($B$6,MATCH($B13,$B$7:$B$10,0),1)</f>
        <v>1</v>
      </c>
      <c r="D13" s="24">
        <f ca="1">OFFSET($B$6,MATCH($B13,$B$7:$B$10,0),2)</f>
        <v>0.56999999999999995</v>
      </c>
      <c r="R13" s="939" t="s">
        <v>268</v>
      </c>
      <c r="AJ13" s="940" t="s">
        <v>669</v>
      </c>
      <c r="AK13" s="194" t="s">
        <v>2058</v>
      </c>
      <c r="AL13" s="194" t="s">
        <v>2055</v>
      </c>
      <c r="AM13" s="194" t="s">
        <v>2057</v>
      </c>
      <c r="AN13" s="194" t="s">
        <v>2056</v>
      </c>
      <c r="AO13" s="194" t="s">
        <v>1866</v>
      </c>
      <c r="AP13" s="194" t="s">
        <v>1867</v>
      </c>
      <c r="AQ13" s="194" t="s">
        <v>1868</v>
      </c>
      <c r="AR13" s="194" t="s">
        <v>1869</v>
      </c>
      <c r="AS13" s="194" t="s">
        <v>1870</v>
      </c>
      <c r="AT13" s="194" t="s">
        <v>1871</v>
      </c>
      <c r="AU13" s="194" t="s">
        <v>1106</v>
      </c>
      <c r="AV13" s="194" t="s">
        <v>78</v>
      </c>
    </row>
    <row r="14" spans="1:49" x14ac:dyDescent="0.3">
      <c r="D14" s="2"/>
      <c r="Q14" s="2"/>
      <c r="AH14" t="s">
        <v>270</v>
      </c>
      <c r="AK14" s="941">
        <v>30</v>
      </c>
      <c r="AL14" s="941">
        <v>60</v>
      </c>
      <c r="AM14" s="941">
        <v>60</v>
      </c>
      <c r="AN14" s="941">
        <v>120</v>
      </c>
      <c r="AO14" s="941">
        <v>30</v>
      </c>
      <c r="AP14" s="941">
        <v>50</v>
      </c>
      <c r="AQ14" s="941">
        <v>20</v>
      </c>
      <c r="AR14" s="941">
        <v>60</v>
      </c>
      <c r="AS14" s="941">
        <v>30</v>
      </c>
      <c r="AT14" s="941">
        <v>80</v>
      </c>
      <c r="AU14" s="941">
        <v>50</v>
      </c>
      <c r="AV14" s="941">
        <v>100</v>
      </c>
    </row>
    <row r="15" spans="1:49" x14ac:dyDescent="0.3">
      <c r="B15" s="153">
        <v>1</v>
      </c>
      <c r="C15" s="153">
        <f>B15+1</f>
        <v>2</v>
      </c>
      <c r="D15" s="153">
        <f t="shared" ref="D15:AV15" si="0">C15+1</f>
        <v>3</v>
      </c>
      <c r="E15" s="153">
        <f t="shared" si="0"/>
        <v>4</v>
      </c>
      <c r="F15" s="153">
        <f t="shared" si="0"/>
        <v>5</v>
      </c>
      <c r="G15" s="153">
        <f t="shared" si="0"/>
        <v>6</v>
      </c>
      <c r="H15" s="153">
        <f t="shared" si="0"/>
        <v>7</v>
      </c>
      <c r="I15" s="153">
        <f t="shared" si="0"/>
        <v>8</v>
      </c>
      <c r="J15" s="153">
        <f t="shared" si="0"/>
        <v>9</v>
      </c>
      <c r="K15" s="153">
        <f t="shared" si="0"/>
        <v>10</v>
      </c>
      <c r="L15" s="153">
        <f t="shared" si="0"/>
        <v>11</v>
      </c>
      <c r="M15" s="153">
        <f t="shared" si="0"/>
        <v>12</v>
      </c>
      <c r="N15" s="153">
        <f t="shared" si="0"/>
        <v>13</v>
      </c>
      <c r="O15" s="153">
        <f t="shared" si="0"/>
        <v>14</v>
      </c>
      <c r="P15" s="153">
        <f t="shared" si="0"/>
        <v>15</v>
      </c>
      <c r="Q15" s="153">
        <f t="shared" si="0"/>
        <v>16</v>
      </c>
      <c r="R15" s="153">
        <f t="shared" si="0"/>
        <v>17</v>
      </c>
      <c r="S15" s="153">
        <f t="shared" si="0"/>
        <v>18</v>
      </c>
      <c r="T15" s="153">
        <f t="shared" si="0"/>
        <v>19</v>
      </c>
      <c r="U15" s="153">
        <f t="shared" si="0"/>
        <v>20</v>
      </c>
      <c r="V15" s="153">
        <f t="shared" si="0"/>
        <v>21</v>
      </c>
      <c r="W15" s="153">
        <f t="shared" si="0"/>
        <v>22</v>
      </c>
      <c r="X15" s="153">
        <f t="shared" si="0"/>
        <v>23</v>
      </c>
      <c r="Y15" s="153">
        <f t="shared" si="0"/>
        <v>24</v>
      </c>
      <c r="Z15" s="153">
        <f t="shared" si="0"/>
        <v>25</v>
      </c>
      <c r="AA15" s="153">
        <f t="shared" si="0"/>
        <v>26</v>
      </c>
      <c r="AB15" s="153">
        <f t="shared" si="0"/>
        <v>27</v>
      </c>
      <c r="AC15" s="153">
        <f t="shared" si="0"/>
        <v>28</v>
      </c>
      <c r="AD15" s="153">
        <f t="shared" si="0"/>
        <v>29</v>
      </c>
      <c r="AE15" s="153">
        <f t="shared" si="0"/>
        <v>30</v>
      </c>
      <c r="AF15" s="153">
        <f t="shared" si="0"/>
        <v>31</v>
      </c>
      <c r="AG15" s="153">
        <f t="shared" si="0"/>
        <v>32</v>
      </c>
      <c r="AH15" s="153">
        <f>AG15+1</f>
        <v>33</v>
      </c>
      <c r="AI15" s="153">
        <f>AH15+1</f>
        <v>34</v>
      </c>
      <c r="AJ15" s="153">
        <f>AI15+1</f>
        <v>35</v>
      </c>
      <c r="AK15" s="371">
        <f>AJ15+1</f>
        <v>36</v>
      </c>
      <c r="AL15" s="371">
        <f t="shared" si="0"/>
        <v>37</v>
      </c>
      <c r="AM15" s="371">
        <f t="shared" si="0"/>
        <v>38</v>
      </c>
      <c r="AN15" s="371">
        <f t="shared" si="0"/>
        <v>39</v>
      </c>
      <c r="AO15" s="371">
        <f t="shared" si="0"/>
        <v>40</v>
      </c>
      <c r="AP15" s="371">
        <f t="shared" si="0"/>
        <v>41</v>
      </c>
      <c r="AQ15" s="371">
        <f t="shared" si="0"/>
        <v>42</v>
      </c>
      <c r="AR15" s="371">
        <f t="shared" si="0"/>
        <v>43</v>
      </c>
      <c r="AS15" s="371">
        <f t="shared" si="0"/>
        <v>44</v>
      </c>
      <c r="AT15" s="371">
        <f t="shared" si="0"/>
        <v>45</v>
      </c>
      <c r="AU15" s="371">
        <f t="shared" si="0"/>
        <v>46</v>
      </c>
      <c r="AV15" s="371">
        <f t="shared" si="0"/>
        <v>47</v>
      </c>
      <c r="AW15" s="153"/>
    </row>
    <row r="16" spans="1:49" ht="43.2" x14ac:dyDescent="0.3">
      <c r="A16" s="152" t="s">
        <v>290</v>
      </c>
      <c r="B16" s="24"/>
      <c r="C16" s="17" t="s">
        <v>754</v>
      </c>
      <c r="D16" s="17" t="s">
        <v>124</v>
      </c>
      <c r="E16" s="17" t="s">
        <v>224</v>
      </c>
      <c r="F16" s="17" t="s">
        <v>96</v>
      </c>
      <c r="G16" s="17" t="s">
        <v>756</v>
      </c>
      <c r="H16" s="17" t="s">
        <v>79</v>
      </c>
      <c r="I16" s="136" t="s">
        <v>107</v>
      </c>
      <c r="J16" s="17" t="s">
        <v>298</v>
      </c>
      <c r="K16" s="17" t="s">
        <v>549</v>
      </c>
      <c r="L16" s="17" t="s">
        <v>716</v>
      </c>
      <c r="M16" s="17" t="s">
        <v>441</v>
      </c>
      <c r="N16" s="217"/>
      <c r="O16" s="214"/>
      <c r="P16" s="233"/>
      <c r="R16" s="134" t="s">
        <v>1535</v>
      </c>
      <c r="S16" s="134" t="s">
        <v>1566</v>
      </c>
      <c r="T16" s="134" t="s">
        <v>1588</v>
      </c>
      <c r="U16" s="134" t="s">
        <v>1863</v>
      </c>
      <c r="V16" s="134" t="s">
        <v>1610</v>
      </c>
      <c r="W16" s="134" t="s">
        <v>1632</v>
      </c>
      <c r="X16" s="134" t="s">
        <v>1664</v>
      </c>
      <c r="Y16" s="134" t="s">
        <v>1681</v>
      </c>
      <c r="Z16" s="134" t="s">
        <v>1864</v>
      </c>
      <c r="AA16" s="134" t="s">
        <v>1702</v>
      </c>
      <c r="AB16" s="134" t="s">
        <v>1723</v>
      </c>
      <c r="AC16" s="134" t="s">
        <v>1747</v>
      </c>
      <c r="AD16" s="134" t="s">
        <v>1770</v>
      </c>
      <c r="AE16" s="134" t="s">
        <v>1865</v>
      </c>
      <c r="AF16" s="134" t="s">
        <v>1792</v>
      </c>
      <c r="AG16" s="144"/>
      <c r="AH16" s="145" t="s">
        <v>297</v>
      </c>
      <c r="AI16" s="145" t="s">
        <v>2074</v>
      </c>
      <c r="AJ16" s="1523" t="s">
        <v>1421</v>
      </c>
      <c r="AK16" s="145" t="str">
        <f t="shared" ref="AK16:AU16" si="1">AK13&amp;" ("&amp;AK14&amp;"cfm)"</f>
        <v>ERV-1, Boost (30cfm)</v>
      </c>
      <c r="AL16" s="145" t="str">
        <f t="shared" si="1"/>
        <v>ERV-1, Continuous (60cfm)</v>
      </c>
      <c r="AM16" s="145" t="str">
        <f t="shared" si="1"/>
        <v>ERV-2, Boost (60cfm)</v>
      </c>
      <c r="AN16" s="145" t="str">
        <f t="shared" si="1"/>
        <v>ERV-2, Continuous (120cfm)</v>
      </c>
      <c r="AO16" s="145" t="str">
        <f t="shared" si="1"/>
        <v>WEF-3, Boost (30cfm)</v>
      </c>
      <c r="AP16" s="145" t="str">
        <f t="shared" si="1"/>
        <v>WEF-3, Continuous (50cfm)</v>
      </c>
      <c r="AQ16" s="145" t="str">
        <f t="shared" si="1"/>
        <v>WEF-4, Boost (20cfm)</v>
      </c>
      <c r="AR16" s="145" t="str">
        <f t="shared" si="1"/>
        <v>WEF-4, Continuous (60cfm)</v>
      </c>
      <c r="AS16" s="145" t="str">
        <f t="shared" si="1"/>
        <v>WEF-5, Boost (30cfm)</v>
      </c>
      <c r="AT16" s="145" t="str">
        <f t="shared" si="1"/>
        <v>WEF-5, Continuous (80cfm)</v>
      </c>
      <c r="AU16" s="145" t="str">
        <f t="shared" si="1"/>
        <v>Laundry Fan (50cfm)</v>
      </c>
      <c r="AV16" s="134" t="s">
        <v>78</v>
      </c>
      <c r="AW16" s="144"/>
    </row>
    <row r="17" spans="1:49" x14ac:dyDescent="0.3">
      <c r="A17" s="2"/>
      <c r="B17" s="153">
        <v>1</v>
      </c>
      <c r="C17" s="2117">
        <v>0.01</v>
      </c>
      <c r="D17" s="705">
        <v>31</v>
      </c>
      <c r="E17" s="705">
        <v>571</v>
      </c>
      <c r="F17" s="705" t="s">
        <v>1105</v>
      </c>
      <c r="G17" s="369">
        <f t="shared" ref="G17:G73" si="2">IF(F17="","",INDEX($B$86:$D$92,MATCH(F17,$B$86:$B$92,0),3))</f>
        <v>1</v>
      </c>
      <c r="H17" s="705">
        <v>1</v>
      </c>
      <c r="I17" s="705"/>
      <c r="J17" s="705"/>
      <c r="K17" s="138">
        <f t="shared" ref="K17:K73" si="3">J17*H17</f>
        <v>0</v>
      </c>
      <c r="L17" s="138">
        <f>D17*H17-K17</f>
        <v>31</v>
      </c>
      <c r="M17" s="147">
        <f ca="1">IF($B$13="Proposed",O17,$C$13+(G17*$D$13))</f>
        <v>1.5699999999999998</v>
      </c>
      <c r="N17" s="212"/>
      <c r="O17" s="215"/>
      <c r="P17" s="216">
        <f>SUMPRODUCT(Q17:Q25,AI17:AI25)/SUM(Q17:Q25)</f>
        <v>45</v>
      </c>
      <c r="Q17">
        <f>E17*D17</f>
        <v>17701</v>
      </c>
      <c r="R17" s="137"/>
      <c r="S17" s="137"/>
      <c r="T17" s="137"/>
      <c r="U17" s="137"/>
      <c r="V17" s="137"/>
      <c r="W17" s="137"/>
      <c r="X17" s="137"/>
      <c r="Y17" s="137"/>
      <c r="Z17" s="137"/>
      <c r="AA17" s="137"/>
      <c r="AB17" s="137"/>
      <c r="AC17" s="137"/>
      <c r="AD17" s="137"/>
      <c r="AE17" s="137"/>
      <c r="AF17" s="137"/>
      <c r="AG17" s="144"/>
      <c r="AH17" s="25">
        <f>(0.01*E17)+(7.5*(G17+1))</f>
        <v>20.71</v>
      </c>
      <c r="AI17" s="161">
        <f t="shared" ref="AI17:AI73" si="4">INDEX($AM$88:$AQ$95,MATCH($E17,$AK$88:$AK$95,1),MATCH($G17,$AM$86:$AQ$86,1))</f>
        <v>45</v>
      </c>
      <c r="AJ17" s="663">
        <f t="shared" ref="AJ17:AJ73" si="5">SUMPRODUCT($AK$12:$AV$12,$AK$14:$AV$14,AK17:AV17)</f>
        <v>60</v>
      </c>
      <c r="AK17" s="146"/>
      <c r="AL17" s="146">
        <v>1</v>
      </c>
      <c r="AM17" s="146"/>
      <c r="AN17" s="146"/>
      <c r="AO17" s="146"/>
      <c r="AP17" s="146"/>
      <c r="AQ17" s="146"/>
      <c r="AR17" s="146"/>
      <c r="AS17" s="146"/>
      <c r="AT17" s="146"/>
      <c r="AU17" s="146">
        <v>1</v>
      </c>
      <c r="AV17" s="138">
        <v>1</v>
      </c>
      <c r="AW17" s="144"/>
    </row>
    <row r="18" spans="1:49" x14ac:dyDescent="0.3">
      <c r="A18" s="2"/>
      <c r="B18" s="153">
        <f>B17+1</f>
        <v>2</v>
      </c>
      <c r="C18" s="2117">
        <v>0.02</v>
      </c>
      <c r="D18" s="705">
        <v>1</v>
      </c>
      <c r="E18" s="705">
        <v>572</v>
      </c>
      <c r="F18" s="705" t="s">
        <v>1105</v>
      </c>
      <c r="G18" s="369">
        <f t="shared" si="2"/>
        <v>1</v>
      </c>
      <c r="H18" s="705">
        <v>1</v>
      </c>
      <c r="I18" s="705"/>
      <c r="J18" s="705"/>
      <c r="K18" s="138">
        <f t="shared" si="3"/>
        <v>0</v>
      </c>
      <c r="L18" s="138">
        <f t="shared" ref="L18:L73" si="6">D18*H18-K18</f>
        <v>1</v>
      </c>
      <c r="M18" s="147">
        <f t="shared" ref="M18:M36" ca="1" si="7">IF($B$13="Proposed",O18,$C$13+(G18*$D$13))</f>
        <v>1.5699999999999998</v>
      </c>
      <c r="N18" s="212"/>
      <c r="O18" s="215"/>
      <c r="P18" s="216"/>
      <c r="Q18">
        <f t="shared" ref="Q18:Q73" si="8">E18*D18</f>
        <v>572</v>
      </c>
      <c r="R18" s="137"/>
      <c r="S18" s="137"/>
      <c r="T18" s="137"/>
      <c r="U18" s="137"/>
      <c r="V18" s="137"/>
      <c r="W18" s="137"/>
      <c r="X18" s="137"/>
      <c r="Y18" s="137"/>
      <c r="Z18" s="137"/>
      <c r="AA18" s="137"/>
      <c r="AB18" s="137"/>
      <c r="AC18" s="137"/>
      <c r="AD18" s="137"/>
      <c r="AE18" s="137"/>
      <c r="AF18" s="137"/>
      <c r="AG18" s="144"/>
      <c r="AH18" s="147">
        <f t="shared" ref="AH18:AH73" si="9">(0.01*E18)+(7.5*(G18+1))</f>
        <v>20.72</v>
      </c>
      <c r="AI18" s="161">
        <f t="shared" si="4"/>
        <v>45</v>
      </c>
      <c r="AJ18" s="663">
        <f t="shared" si="5"/>
        <v>60</v>
      </c>
      <c r="AK18" s="146"/>
      <c r="AL18" s="146">
        <v>1</v>
      </c>
      <c r="AM18" s="146"/>
      <c r="AN18" s="146"/>
      <c r="AO18" s="146"/>
      <c r="AP18" s="146"/>
      <c r="AQ18" s="146"/>
      <c r="AR18" s="146"/>
      <c r="AS18" s="146"/>
      <c r="AT18" s="146"/>
      <c r="AU18" s="146">
        <v>1</v>
      </c>
      <c r="AV18" s="138">
        <v>1</v>
      </c>
      <c r="AW18" s="144"/>
    </row>
    <row r="19" spans="1:49" x14ac:dyDescent="0.3">
      <c r="A19" s="2"/>
      <c r="B19" s="153">
        <f t="shared" ref="B19:B81" si="10">B18+1</f>
        <v>3</v>
      </c>
      <c r="C19" s="2117" t="s">
        <v>2051</v>
      </c>
      <c r="D19" s="705">
        <v>2</v>
      </c>
      <c r="E19" s="705">
        <v>572</v>
      </c>
      <c r="F19" s="705" t="s">
        <v>1105</v>
      </c>
      <c r="G19" s="369">
        <f t="shared" si="2"/>
        <v>1</v>
      </c>
      <c r="H19" s="705">
        <v>1</v>
      </c>
      <c r="I19" s="705"/>
      <c r="J19" s="705"/>
      <c r="K19" s="138">
        <f t="shared" si="3"/>
        <v>0</v>
      </c>
      <c r="L19" s="138">
        <f t="shared" si="6"/>
        <v>2</v>
      </c>
      <c r="M19" s="147">
        <f t="shared" ca="1" si="7"/>
        <v>1.5699999999999998</v>
      </c>
      <c r="N19" s="212"/>
      <c r="O19" s="215"/>
      <c r="P19" s="216"/>
      <c r="Q19">
        <f t="shared" si="8"/>
        <v>1144</v>
      </c>
      <c r="R19" s="137"/>
      <c r="S19" s="137"/>
      <c r="T19" s="137"/>
      <c r="U19" s="137"/>
      <c r="V19" s="137"/>
      <c r="W19" s="137"/>
      <c r="X19" s="137"/>
      <c r="Y19" s="137"/>
      <c r="Z19" s="137"/>
      <c r="AA19" s="137"/>
      <c r="AB19" s="137"/>
      <c r="AC19" s="137"/>
      <c r="AD19" s="137"/>
      <c r="AE19" s="137"/>
      <c r="AF19" s="137"/>
      <c r="AH19" s="147">
        <f t="shared" si="9"/>
        <v>20.72</v>
      </c>
      <c r="AI19" s="161">
        <f t="shared" si="4"/>
        <v>45</v>
      </c>
      <c r="AJ19" s="663">
        <f t="shared" si="5"/>
        <v>60</v>
      </c>
      <c r="AK19" s="146"/>
      <c r="AL19" s="146">
        <v>1</v>
      </c>
      <c r="AM19" s="146"/>
      <c r="AN19" s="146"/>
      <c r="AO19" s="146"/>
      <c r="AP19" s="146"/>
      <c r="AQ19" s="146"/>
      <c r="AR19" s="146"/>
      <c r="AS19" s="146"/>
      <c r="AT19" s="146"/>
      <c r="AU19" s="146">
        <v>1</v>
      </c>
      <c r="AV19" s="138">
        <v>1</v>
      </c>
      <c r="AW19" s="2"/>
    </row>
    <row r="20" spans="1:49" x14ac:dyDescent="0.3">
      <c r="A20" s="2"/>
      <c r="B20" s="153">
        <f t="shared" si="10"/>
        <v>4</v>
      </c>
      <c r="C20" s="2117">
        <v>1.01</v>
      </c>
      <c r="D20" s="705">
        <v>46</v>
      </c>
      <c r="E20" s="705">
        <v>698</v>
      </c>
      <c r="F20" s="705">
        <v>1</v>
      </c>
      <c r="G20" s="369">
        <f t="shared" si="2"/>
        <v>1</v>
      </c>
      <c r="H20" s="705">
        <v>1</v>
      </c>
      <c r="I20" s="705"/>
      <c r="J20" s="705"/>
      <c r="K20" s="138">
        <f t="shared" si="3"/>
        <v>0</v>
      </c>
      <c r="L20" s="138">
        <f t="shared" si="6"/>
        <v>46</v>
      </c>
      <c r="M20" s="147">
        <f t="shared" ca="1" si="7"/>
        <v>1.5699999999999998</v>
      </c>
      <c r="N20" s="212"/>
      <c r="O20" s="215"/>
      <c r="P20" s="216"/>
      <c r="Q20">
        <f t="shared" si="8"/>
        <v>32108</v>
      </c>
      <c r="R20" s="137"/>
      <c r="S20" s="137"/>
      <c r="T20" s="137"/>
      <c r="U20" s="137"/>
      <c r="V20" s="137"/>
      <c r="W20" s="137"/>
      <c r="X20" s="137"/>
      <c r="Y20" s="137"/>
      <c r="Z20" s="137"/>
      <c r="AA20" s="137"/>
      <c r="AB20" s="137"/>
      <c r="AC20" s="137"/>
      <c r="AD20" s="137"/>
      <c r="AE20" s="137"/>
      <c r="AF20" s="137"/>
      <c r="AH20" s="147">
        <f t="shared" si="9"/>
        <v>21.98</v>
      </c>
      <c r="AI20" s="161">
        <f t="shared" si="4"/>
        <v>45</v>
      </c>
      <c r="AJ20" s="663">
        <f t="shared" si="5"/>
        <v>60</v>
      </c>
      <c r="AK20" s="146"/>
      <c r="AL20" s="146">
        <v>1</v>
      </c>
      <c r="AM20" s="146"/>
      <c r="AN20" s="146"/>
      <c r="AO20" s="146"/>
      <c r="AP20" s="146"/>
      <c r="AQ20" s="146"/>
      <c r="AR20" s="146"/>
      <c r="AS20" s="146"/>
      <c r="AT20" s="146"/>
      <c r="AU20" s="146">
        <v>1</v>
      </c>
      <c r="AV20" s="138">
        <v>1</v>
      </c>
      <c r="AW20" s="2"/>
    </row>
    <row r="21" spans="1:49" x14ac:dyDescent="0.3">
      <c r="A21" s="2"/>
      <c r="B21" s="153">
        <f t="shared" si="10"/>
        <v>5</v>
      </c>
      <c r="C21" s="2117">
        <v>1.02</v>
      </c>
      <c r="D21" s="705">
        <v>8</v>
      </c>
      <c r="E21" s="705">
        <v>666</v>
      </c>
      <c r="F21" s="705">
        <v>1</v>
      </c>
      <c r="G21" s="369">
        <f t="shared" si="2"/>
        <v>1</v>
      </c>
      <c r="H21" s="705">
        <v>1</v>
      </c>
      <c r="I21" s="705"/>
      <c r="J21" s="705"/>
      <c r="K21" s="138">
        <f t="shared" si="3"/>
        <v>0</v>
      </c>
      <c r="L21" s="138">
        <f t="shared" si="6"/>
        <v>8</v>
      </c>
      <c r="M21" s="147">
        <f t="shared" ca="1" si="7"/>
        <v>1.5699999999999998</v>
      </c>
      <c r="N21" s="212"/>
      <c r="O21" s="215"/>
      <c r="P21" s="216"/>
      <c r="Q21">
        <f t="shared" si="8"/>
        <v>5328</v>
      </c>
      <c r="R21" s="137"/>
      <c r="S21" s="137"/>
      <c r="T21" s="137"/>
      <c r="U21" s="137"/>
      <c r="V21" s="137"/>
      <c r="W21" s="137"/>
      <c r="X21" s="137"/>
      <c r="Y21" s="137"/>
      <c r="Z21" s="137"/>
      <c r="AA21" s="137"/>
      <c r="AB21" s="137"/>
      <c r="AC21" s="137"/>
      <c r="AD21" s="137"/>
      <c r="AE21" s="137"/>
      <c r="AF21" s="137"/>
      <c r="AH21" s="147">
        <f t="shared" si="9"/>
        <v>21.66</v>
      </c>
      <c r="AI21" s="161">
        <f t="shared" si="4"/>
        <v>45</v>
      </c>
      <c r="AJ21" s="663">
        <f t="shared" si="5"/>
        <v>60</v>
      </c>
      <c r="AK21" s="146"/>
      <c r="AL21" s="146">
        <v>1</v>
      </c>
      <c r="AM21" s="146"/>
      <c r="AN21" s="146"/>
      <c r="AO21" s="146"/>
      <c r="AP21" s="146"/>
      <c r="AQ21" s="146"/>
      <c r="AR21" s="146"/>
      <c r="AS21" s="146"/>
      <c r="AT21" s="146"/>
      <c r="AU21" s="146">
        <v>1</v>
      </c>
      <c r="AV21" s="138">
        <v>1</v>
      </c>
      <c r="AW21" s="2"/>
    </row>
    <row r="22" spans="1:49" x14ac:dyDescent="0.3">
      <c r="A22" s="2"/>
      <c r="B22" s="153">
        <f t="shared" si="10"/>
        <v>6</v>
      </c>
      <c r="C22" s="2117">
        <v>1.03</v>
      </c>
      <c r="D22" s="705">
        <v>2</v>
      </c>
      <c r="E22" s="705">
        <v>776</v>
      </c>
      <c r="F22" s="705">
        <v>1</v>
      </c>
      <c r="G22" s="369">
        <f t="shared" si="2"/>
        <v>1</v>
      </c>
      <c r="H22" s="705">
        <v>1</v>
      </c>
      <c r="I22" s="705"/>
      <c r="J22" s="705"/>
      <c r="K22" s="138">
        <f t="shared" si="3"/>
        <v>0</v>
      </c>
      <c r="L22" s="138">
        <f t="shared" si="6"/>
        <v>2</v>
      </c>
      <c r="M22" s="147">
        <f t="shared" ca="1" si="7"/>
        <v>1.5699999999999998</v>
      </c>
      <c r="N22" s="212"/>
      <c r="O22" s="215"/>
      <c r="P22" s="216"/>
      <c r="Q22">
        <f t="shared" si="8"/>
        <v>1552</v>
      </c>
      <c r="R22" s="137"/>
      <c r="S22" s="137"/>
      <c r="T22" s="137"/>
      <c r="U22" s="137"/>
      <c r="V22" s="137"/>
      <c r="W22" s="137"/>
      <c r="X22" s="137"/>
      <c r="Y22" s="137"/>
      <c r="Z22" s="137"/>
      <c r="AA22" s="137"/>
      <c r="AB22" s="137"/>
      <c r="AC22" s="137"/>
      <c r="AD22" s="137"/>
      <c r="AE22" s="137"/>
      <c r="AF22" s="137"/>
      <c r="AH22" s="147">
        <f t="shared" si="9"/>
        <v>22.759999999999998</v>
      </c>
      <c r="AI22" s="161">
        <f t="shared" si="4"/>
        <v>45</v>
      </c>
      <c r="AJ22" s="663">
        <f t="shared" si="5"/>
        <v>60</v>
      </c>
      <c r="AK22" s="146"/>
      <c r="AL22" s="146">
        <v>1</v>
      </c>
      <c r="AM22" s="146"/>
      <c r="AN22" s="146"/>
      <c r="AO22" s="146"/>
      <c r="AP22" s="146"/>
      <c r="AQ22" s="146"/>
      <c r="AR22" s="146"/>
      <c r="AS22" s="146"/>
      <c r="AT22" s="146"/>
      <c r="AU22" s="146">
        <v>1</v>
      </c>
      <c r="AV22" s="138">
        <v>1</v>
      </c>
      <c r="AW22" s="2"/>
    </row>
    <row r="23" spans="1:49" s="50" customFormat="1" x14ac:dyDescent="0.3">
      <c r="A23" s="121"/>
      <c r="B23" s="153">
        <f t="shared" si="10"/>
        <v>7</v>
      </c>
      <c r="C23" s="2117" t="s">
        <v>2052</v>
      </c>
      <c r="D23" s="705">
        <v>4</v>
      </c>
      <c r="E23" s="705">
        <v>776</v>
      </c>
      <c r="F23" s="705">
        <v>1</v>
      </c>
      <c r="G23" s="369">
        <f t="shared" si="2"/>
        <v>1</v>
      </c>
      <c r="H23" s="705">
        <v>1</v>
      </c>
      <c r="I23" s="705"/>
      <c r="J23" s="705"/>
      <c r="K23" s="138">
        <f t="shared" si="3"/>
        <v>0</v>
      </c>
      <c r="L23" s="138">
        <f t="shared" si="6"/>
        <v>4</v>
      </c>
      <c r="M23" s="147">
        <f t="shared" ca="1" si="7"/>
        <v>1.5699999999999998</v>
      </c>
      <c r="N23" s="499"/>
      <c r="O23" s="499"/>
      <c r="P23" s="121"/>
      <c r="Q23">
        <f t="shared" si="8"/>
        <v>3104</v>
      </c>
      <c r="R23" s="137"/>
      <c r="S23" s="137"/>
      <c r="T23" s="137"/>
      <c r="U23" s="137"/>
      <c r="V23" s="137"/>
      <c r="W23" s="137"/>
      <c r="X23" s="137"/>
      <c r="Y23" s="137"/>
      <c r="Z23" s="137"/>
      <c r="AA23" s="137"/>
      <c r="AB23" s="137"/>
      <c r="AC23" s="137"/>
      <c r="AD23" s="137"/>
      <c r="AE23" s="137"/>
      <c r="AF23" s="137"/>
      <c r="AH23" s="147">
        <f t="shared" si="9"/>
        <v>22.759999999999998</v>
      </c>
      <c r="AI23" s="161">
        <f t="shared" si="4"/>
        <v>45</v>
      </c>
      <c r="AJ23" s="663">
        <f t="shared" si="5"/>
        <v>60</v>
      </c>
      <c r="AK23" s="146"/>
      <c r="AL23" s="146">
        <v>1</v>
      </c>
      <c r="AM23" s="146"/>
      <c r="AN23" s="146"/>
      <c r="AO23" s="146"/>
      <c r="AP23" s="146"/>
      <c r="AQ23" s="146"/>
      <c r="AR23" s="146"/>
      <c r="AS23" s="146"/>
      <c r="AT23" s="146"/>
      <c r="AU23" s="146">
        <v>1</v>
      </c>
      <c r="AV23" s="138">
        <v>1</v>
      </c>
      <c r="AW23" s="121"/>
    </row>
    <row r="24" spans="1:49" s="50" customFormat="1" x14ac:dyDescent="0.3">
      <c r="A24" s="121"/>
      <c r="B24" s="153">
        <f t="shared" si="10"/>
        <v>8</v>
      </c>
      <c r="C24" s="2117">
        <v>1.04</v>
      </c>
      <c r="D24" s="705">
        <v>3</v>
      </c>
      <c r="E24" s="705">
        <v>763</v>
      </c>
      <c r="F24" s="705">
        <v>1</v>
      </c>
      <c r="G24" s="369">
        <f t="shared" si="2"/>
        <v>1</v>
      </c>
      <c r="H24" s="705">
        <v>1</v>
      </c>
      <c r="I24" s="705"/>
      <c r="J24" s="705"/>
      <c r="K24" s="138">
        <f t="shared" si="3"/>
        <v>0</v>
      </c>
      <c r="L24" s="138">
        <f t="shared" si="6"/>
        <v>3</v>
      </c>
      <c r="M24" s="147">
        <f t="shared" ca="1" si="7"/>
        <v>1.5699999999999998</v>
      </c>
      <c r="N24" s="499"/>
      <c r="O24" s="499"/>
      <c r="P24" s="121"/>
      <c r="Q24">
        <f t="shared" si="8"/>
        <v>2289</v>
      </c>
      <c r="R24" s="137"/>
      <c r="S24" s="137"/>
      <c r="T24" s="137"/>
      <c r="U24" s="137"/>
      <c r="V24" s="137"/>
      <c r="W24" s="137"/>
      <c r="X24" s="137"/>
      <c r="Y24" s="137"/>
      <c r="Z24" s="137"/>
      <c r="AA24" s="137"/>
      <c r="AB24" s="137"/>
      <c r="AC24" s="137"/>
      <c r="AD24" s="137"/>
      <c r="AE24" s="137"/>
      <c r="AF24" s="137"/>
      <c r="AH24" s="147">
        <f t="shared" si="9"/>
        <v>22.63</v>
      </c>
      <c r="AI24" s="161">
        <f t="shared" si="4"/>
        <v>45</v>
      </c>
      <c r="AJ24" s="663">
        <f t="shared" si="5"/>
        <v>60</v>
      </c>
      <c r="AK24" s="146"/>
      <c r="AL24" s="146">
        <v>1</v>
      </c>
      <c r="AM24" s="146"/>
      <c r="AN24" s="146"/>
      <c r="AO24" s="146"/>
      <c r="AP24" s="146"/>
      <c r="AQ24" s="146"/>
      <c r="AR24" s="146"/>
      <c r="AS24" s="146"/>
      <c r="AT24" s="146"/>
      <c r="AU24" s="146">
        <v>1</v>
      </c>
      <c r="AV24" s="138">
        <v>1</v>
      </c>
      <c r="AW24" s="121"/>
    </row>
    <row r="25" spans="1:49" x14ac:dyDescent="0.3">
      <c r="A25" s="2"/>
      <c r="B25" s="153">
        <f t="shared" si="10"/>
        <v>9</v>
      </c>
      <c r="C25" s="2117">
        <v>1.05</v>
      </c>
      <c r="D25" s="705">
        <v>3</v>
      </c>
      <c r="E25" s="705">
        <v>903</v>
      </c>
      <c r="F25" s="705">
        <v>1</v>
      </c>
      <c r="G25" s="369">
        <f t="shared" si="2"/>
        <v>1</v>
      </c>
      <c r="H25" s="705">
        <v>1</v>
      </c>
      <c r="I25" s="705"/>
      <c r="J25" s="705"/>
      <c r="K25" s="138">
        <f t="shared" si="3"/>
        <v>0</v>
      </c>
      <c r="L25" s="138">
        <f t="shared" si="6"/>
        <v>3</v>
      </c>
      <c r="M25" s="147">
        <f t="shared" ca="1" si="7"/>
        <v>1.5699999999999998</v>
      </c>
      <c r="N25" s="212"/>
      <c r="O25" s="215"/>
      <c r="P25" s="216"/>
      <c r="Q25">
        <f t="shared" si="8"/>
        <v>2709</v>
      </c>
      <c r="R25" s="137"/>
      <c r="S25" s="137"/>
      <c r="T25" s="137"/>
      <c r="U25" s="137"/>
      <c r="V25" s="137"/>
      <c r="W25" s="137"/>
      <c r="X25" s="137"/>
      <c r="Y25" s="137"/>
      <c r="Z25" s="137"/>
      <c r="AA25" s="137"/>
      <c r="AB25" s="137"/>
      <c r="AC25" s="137"/>
      <c r="AD25" s="137"/>
      <c r="AE25" s="137"/>
      <c r="AF25" s="137"/>
      <c r="AH25" s="147">
        <f t="shared" si="9"/>
        <v>24.03</v>
      </c>
      <c r="AI25" s="161">
        <f t="shared" si="4"/>
        <v>45</v>
      </c>
      <c r="AJ25" s="663">
        <f t="shared" si="5"/>
        <v>60</v>
      </c>
      <c r="AK25" s="146"/>
      <c r="AL25" s="146">
        <v>1</v>
      </c>
      <c r="AM25" s="146"/>
      <c r="AN25" s="146"/>
      <c r="AO25" s="146"/>
      <c r="AP25" s="146"/>
      <c r="AQ25" s="146"/>
      <c r="AR25" s="146"/>
      <c r="AS25" s="146"/>
      <c r="AT25" s="146"/>
      <c r="AU25" s="146">
        <v>1</v>
      </c>
      <c r="AV25" s="138">
        <v>1</v>
      </c>
      <c r="AW25" s="2"/>
    </row>
    <row r="26" spans="1:49" x14ac:dyDescent="0.3">
      <c r="A26" s="2"/>
      <c r="B26" s="153">
        <f t="shared" si="10"/>
        <v>10</v>
      </c>
      <c r="C26" s="2117">
        <v>2.0099999999999998</v>
      </c>
      <c r="D26" s="705">
        <v>10</v>
      </c>
      <c r="E26" s="705">
        <v>1126</v>
      </c>
      <c r="F26" s="705">
        <v>2</v>
      </c>
      <c r="G26" s="369">
        <f t="shared" si="2"/>
        <v>2</v>
      </c>
      <c r="H26" s="705">
        <v>2</v>
      </c>
      <c r="I26" s="705"/>
      <c r="J26" s="705"/>
      <c r="K26" s="138">
        <f t="shared" si="3"/>
        <v>0</v>
      </c>
      <c r="L26" s="138">
        <f t="shared" si="6"/>
        <v>20</v>
      </c>
      <c r="M26" s="147">
        <f t="shared" ca="1" si="7"/>
        <v>2.1399999999999997</v>
      </c>
      <c r="N26" s="212"/>
      <c r="O26" s="215"/>
      <c r="P26" s="216">
        <f>SUMPRODUCT(Q26:Q36,AI26:AI36)/SUM(Q26:Q36)</f>
        <v>63.262368815592204</v>
      </c>
      <c r="Q26">
        <f t="shared" si="8"/>
        <v>11260</v>
      </c>
      <c r="R26" s="137"/>
      <c r="S26" s="137"/>
      <c r="T26" s="137"/>
      <c r="U26" s="137"/>
      <c r="V26" s="137"/>
      <c r="W26" s="137"/>
      <c r="X26" s="137"/>
      <c r="Y26" s="137"/>
      <c r="Z26" s="137"/>
      <c r="AA26" s="137"/>
      <c r="AB26" s="137"/>
      <c r="AC26" s="137"/>
      <c r="AD26" s="137"/>
      <c r="AE26" s="137"/>
      <c r="AF26" s="137"/>
      <c r="AH26" s="147">
        <f t="shared" si="9"/>
        <v>33.76</v>
      </c>
      <c r="AI26" s="161">
        <f t="shared" si="4"/>
        <v>70</v>
      </c>
      <c r="AJ26" s="663">
        <f t="shared" si="5"/>
        <v>120</v>
      </c>
      <c r="AK26" s="146"/>
      <c r="AL26" s="146"/>
      <c r="AM26" s="146"/>
      <c r="AN26" s="146">
        <v>1</v>
      </c>
      <c r="AO26" s="146"/>
      <c r="AP26" s="146"/>
      <c r="AQ26" s="146"/>
      <c r="AR26" s="146"/>
      <c r="AS26" s="146"/>
      <c r="AT26" s="146"/>
      <c r="AU26" s="146">
        <v>1</v>
      </c>
      <c r="AV26" s="138">
        <v>1</v>
      </c>
      <c r="AW26" s="2"/>
    </row>
    <row r="27" spans="1:49" x14ac:dyDescent="0.3">
      <c r="A27" s="2"/>
      <c r="B27" s="153">
        <f t="shared" si="10"/>
        <v>11</v>
      </c>
      <c r="C27" s="2117" t="s">
        <v>2053</v>
      </c>
      <c r="D27" s="705">
        <v>2</v>
      </c>
      <c r="E27" s="705">
        <v>1126</v>
      </c>
      <c r="F27" s="705">
        <v>2</v>
      </c>
      <c r="G27" s="369">
        <f t="shared" si="2"/>
        <v>2</v>
      </c>
      <c r="H27" s="705">
        <v>2</v>
      </c>
      <c r="I27" s="705"/>
      <c r="J27" s="705"/>
      <c r="K27" s="138">
        <f t="shared" si="3"/>
        <v>0</v>
      </c>
      <c r="L27" s="138">
        <f t="shared" si="6"/>
        <v>4</v>
      </c>
      <c r="M27" s="147">
        <f t="shared" ca="1" si="7"/>
        <v>2.1399999999999997</v>
      </c>
      <c r="N27" s="212"/>
      <c r="O27" s="215"/>
      <c r="P27" s="216"/>
      <c r="Q27">
        <f t="shared" si="8"/>
        <v>2252</v>
      </c>
      <c r="R27" s="137"/>
      <c r="S27" s="137"/>
      <c r="T27" s="137"/>
      <c r="U27" s="137"/>
      <c r="V27" s="137"/>
      <c r="W27" s="137"/>
      <c r="X27" s="137"/>
      <c r="Y27" s="137"/>
      <c r="Z27" s="137"/>
      <c r="AA27" s="137"/>
      <c r="AB27" s="137"/>
      <c r="AC27" s="137"/>
      <c r="AD27" s="137"/>
      <c r="AE27" s="137"/>
      <c r="AF27" s="137"/>
      <c r="AH27" s="147">
        <f t="shared" si="9"/>
        <v>33.76</v>
      </c>
      <c r="AI27" s="161">
        <f t="shared" si="4"/>
        <v>70</v>
      </c>
      <c r="AJ27" s="663">
        <f t="shared" si="5"/>
        <v>120</v>
      </c>
      <c r="AK27" s="146"/>
      <c r="AL27" s="146"/>
      <c r="AM27" s="146"/>
      <c r="AN27" s="146">
        <v>1</v>
      </c>
      <c r="AO27" s="146"/>
      <c r="AP27" s="146"/>
      <c r="AQ27" s="146"/>
      <c r="AR27" s="146"/>
      <c r="AS27" s="146"/>
      <c r="AT27" s="146"/>
      <c r="AU27" s="146">
        <v>1</v>
      </c>
      <c r="AV27" s="138">
        <v>1</v>
      </c>
      <c r="AW27" s="2"/>
    </row>
    <row r="28" spans="1:49" x14ac:dyDescent="0.3">
      <c r="A28" s="2"/>
      <c r="B28" s="153">
        <f t="shared" si="10"/>
        <v>12</v>
      </c>
      <c r="C28" s="2117">
        <v>2.02</v>
      </c>
      <c r="D28" s="705">
        <v>12</v>
      </c>
      <c r="E28" s="705">
        <v>924</v>
      </c>
      <c r="F28" s="705">
        <v>2</v>
      </c>
      <c r="G28" s="369">
        <f t="shared" si="2"/>
        <v>2</v>
      </c>
      <c r="H28" s="705">
        <v>2</v>
      </c>
      <c r="I28" s="705"/>
      <c r="J28" s="705"/>
      <c r="K28" s="138">
        <f t="shared" si="3"/>
        <v>0</v>
      </c>
      <c r="L28" s="138">
        <f t="shared" si="6"/>
        <v>24</v>
      </c>
      <c r="M28" s="147">
        <f t="shared" ca="1" si="7"/>
        <v>2.1399999999999997</v>
      </c>
      <c r="N28" s="212"/>
      <c r="O28" s="215"/>
      <c r="P28" s="216"/>
      <c r="Q28">
        <f t="shared" si="8"/>
        <v>11088</v>
      </c>
      <c r="R28" s="137"/>
      <c r="S28" s="137"/>
      <c r="T28" s="137"/>
      <c r="U28" s="137"/>
      <c r="V28" s="137"/>
      <c r="W28" s="137"/>
      <c r="X28" s="137"/>
      <c r="Y28" s="137"/>
      <c r="Z28" s="137"/>
      <c r="AA28" s="137"/>
      <c r="AB28" s="137"/>
      <c r="AC28" s="137"/>
      <c r="AD28" s="137"/>
      <c r="AE28" s="137"/>
      <c r="AF28" s="137"/>
      <c r="AH28" s="147">
        <f t="shared" si="9"/>
        <v>31.740000000000002</v>
      </c>
      <c r="AI28" s="161">
        <f t="shared" si="4"/>
        <v>55</v>
      </c>
      <c r="AJ28" s="663">
        <f t="shared" si="5"/>
        <v>120</v>
      </c>
      <c r="AK28" s="146"/>
      <c r="AL28" s="146"/>
      <c r="AM28" s="146"/>
      <c r="AN28" s="146">
        <v>1</v>
      </c>
      <c r="AO28" s="146"/>
      <c r="AP28" s="146"/>
      <c r="AQ28" s="146"/>
      <c r="AR28" s="146"/>
      <c r="AS28" s="146"/>
      <c r="AT28" s="146"/>
      <c r="AU28" s="146">
        <v>1</v>
      </c>
      <c r="AV28" s="138">
        <v>1</v>
      </c>
      <c r="AW28" s="2"/>
    </row>
    <row r="29" spans="1:49" x14ac:dyDescent="0.3">
      <c r="A29" s="2"/>
      <c r="B29" s="153">
        <f t="shared" si="10"/>
        <v>13</v>
      </c>
      <c r="C29" s="2117">
        <v>2.0299999999999998</v>
      </c>
      <c r="D29" s="705">
        <v>6</v>
      </c>
      <c r="E29" s="705">
        <v>928</v>
      </c>
      <c r="F29" s="705">
        <v>2</v>
      </c>
      <c r="G29" s="369">
        <f t="shared" si="2"/>
        <v>2</v>
      </c>
      <c r="H29" s="705">
        <v>2</v>
      </c>
      <c r="I29" s="705"/>
      <c r="J29" s="705"/>
      <c r="K29" s="138">
        <f t="shared" si="3"/>
        <v>0</v>
      </c>
      <c r="L29" s="138">
        <f t="shared" si="6"/>
        <v>12</v>
      </c>
      <c r="M29" s="147">
        <f t="shared" ca="1" si="7"/>
        <v>2.1399999999999997</v>
      </c>
      <c r="N29" s="212"/>
      <c r="O29" s="215"/>
      <c r="P29" s="216"/>
      <c r="Q29">
        <f t="shared" si="8"/>
        <v>5568</v>
      </c>
      <c r="R29" s="137"/>
      <c r="S29" s="137"/>
      <c r="T29" s="137"/>
      <c r="U29" s="137"/>
      <c r="V29" s="137"/>
      <c r="W29" s="137"/>
      <c r="X29" s="137"/>
      <c r="Y29" s="137"/>
      <c r="Z29" s="137"/>
      <c r="AA29" s="137"/>
      <c r="AB29" s="137"/>
      <c r="AC29" s="137"/>
      <c r="AD29" s="137"/>
      <c r="AE29" s="137"/>
      <c r="AF29" s="137"/>
      <c r="AH29" s="147">
        <f t="shared" si="9"/>
        <v>31.78</v>
      </c>
      <c r="AI29" s="161">
        <f t="shared" si="4"/>
        <v>55</v>
      </c>
      <c r="AJ29" s="663">
        <f t="shared" si="5"/>
        <v>120</v>
      </c>
      <c r="AK29" s="146"/>
      <c r="AL29" s="146"/>
      <c r="AM29" s="146"/>
      <c r="AN29" s="146">
        <v>1</v>
      </c>
      <c r="AO29" s="146"/>
      <c r="AP29" s="146"/>
      <c r="AQ29" s="146"/>
      <c r="AR29" s="146"/>
      <c r="AS29" s="146"/>
      <c r="AT29" s="146"/>
      <c r="AU29" s="146">
        <v>1</v>
      </c>
      <c r="AV29" s="138">
        <v>1</v>
      </c>
      <c r="AW29" s="2"/>
    </row>
    <row r="30" spans="1:49" x14ac:dyDescent="0.3">
      <c r="A30" s="2"/>
      <c r="B30" s="153">
        <f t="shared" si="10"/>
        <v>14</v>
      </c>
      <c r="C30" s="2117">
        <v>2.04</v>
      </c>
      <c r="D30" s="705">
        <v>3</v>
      </c>
      <c r="E30" s="705">
        <v>914</v>
      </c>
      <c r="F30" s="705">
        <v>2</v>
      </c>
      <c r="G30" s="369">
        <f t="shared" si="2"/>
        <v>2</v>
      </c>
      <c r="H30" s="705">
        <v>2</v>
      </c>
      <c r="I30" s="705"/>
      <c r="J30" s="705"/>
      <c r="K30" s="138">
        <f t="shared" si="3"/>
        <v>0</v>
      </c>
      <c r="L30" s="138">
        <f t="shared" si="6"/>
        <v>6</v>
      </c>
      <c r="M30" s="147">
        <f t="shared" ca="1" si="7"/>
        <v>2.1399999999999997</v>
      </c>
      <c r="N30" s="212"/>
      <c r="O30" s="215"/>
      <c r="P30" s="216"/>
      <c r="Q30">
        <f t="shared" si="8"/>
        <v>2742</v>
      </c>
      <c r="R30" s="137"/>
      <c r="S30" s="137"/>
      <c r="T30" s="137"/>
      <c r="U30" s="137"/>
      <c r="V30" s="137"/>
      <c r="W30" s="137"/>
      <c r="X30" s="137"/>
      <c r="Y30" s="137"/>
      <c r="Z30" s="137"/>
      <c r="AA30" s="137"/>
      <c r="AB30" s="137"/>
      <c r="AC30" s="137"/>
      <c r="AD30" s="137"/>
      <c r="AE30" s="137"/>
      <c r="AF30" s="137"/>
      <c r="AH30" s="147">
        <f t="shared" si="9"/>
        <v>31.64</v>
      </c>
      <c r="AI30" s="161">
        <f t="shared" si="4"/>
        <v>55</v>
      </c>
      <c r="AJ30" s="663">
        <f t="shared" si="5"/>
        <v>120</v>
      </c>
      <c r="AK30" s="146"/>
      <c r="AL30" s="146"/>
      <c r="AM30" s="146"/>
      <c r="AN30" s="146">
        <v>1</v>
      </c>
      <c r="AO30" s="146"/>
      <c r="AP30" s="146"/>
      <c r="AQ30" s="146"/>
      <c r="AR30" s="146"/>
      <c r="AS30" s="146"/>
      <c r="AT30" s="146"/>
      <c r="AU30" s="146">
        <v>1</v>
      </c>
      <c r="AV30" s="138">
        <v>1</v>
      </c>
      <c r="AW30" s="2"/>
    </row>
    <row r="31" spans="1:49" s="50" customFormat="1" x14ac:dyDescent="0.3">
      <c r="A31" s="121"/>
      <c r="B31" s="153">
        <f t="shared" si="10"/>
        <v>15</v>
      </c>
      <c r="C31" s="2117">
        <v>2.0499999999999998</v>
      </c>
      <c r="D31" s="705">
        <v>6</v>
      </c>
      <c r="E31" s="705">
        <v>957</v>
      </c>
      <c r="F31" s="705">
        <v>2</v>
      </c>
      <c r="G31" s="369">
        <f t="shared" si="2"/>
        <v>2</v>
      </c>
      <c r="H31" s="705">
        <v>2</v>
      </c>
      <c r="I31" s="705"/>
      <c r="J31" s="705"/>
      <c r="K31" s="138">
        <f t="shared" si="3"/>
        <v>0</v>
      </c>
      <c r="L31" s="138">
        <f t="shared" si="6"/>
        <v>12</v>
      </c>
      <c r="M31" s="147">
        <f t="shared" ca="1" si="7"/>
        <v>2.1399999999999997</v>
      </c>
      <c r="N31" s="212"/>
      <c r="O31" s="215"/>
      <c r="P31" s="121"/>
      <c r="Q31">
        <f t="shared" si="8"/>
        <v>5742</v>
      </c>
      <c r="R31" s="137"/>
      <c r="S31" s="137"/>
      <c r="T31" s="137"/>
      <c r="U31" s="137"/>
      <c r="V31" s="137"/>
      <c r="W31" s="137"/>
      <c r="X31" s="137"/>
      <c r="Y31" s="137"/>
      <c r="Z31" s="137"/>
      <c r="AA31" s="137"/>
      <c r="AB31" s="137"/>
      <c r="AC31" s="137"/>
      <c r="AD31" s="137"/>
      <c r="AE31" s="137"/>
      <c r="AF31" s="137"/>
      <c r="AH31" s="147">
        <f t="shared" si="9"/>
        <v>32.07</v>
      </c>
      <c r="AI31" s="161">
        <f t="shared" si="4"/>
        <v>55</v>
      </c>
      <c r="AJ31" s="663">
        <f t="shared" si="5"/>
        <v>120</v>
      </c>
      <c r="AK31" s="146"/>
      <c r="AL31" s="146"/>
      <c r="AM31" s="146"/>
      <c r="AN31" s="146">
        <v>1</v>
      </c>
      <c r="AO31" s="146"/>
      <c r="AP31" s="146"/>
      <c r="AQ31" s="146"/>
      <c r="AR31" s="146"/>
      <c r="AS31" s="146"/>
      <c r="AT31" s="146"/>
      <c r="AU31" s="146">
        <v>1</v>
      </c>
      <c r="AV31" s="138">
        <v>1</v>
      </c>
      <c r="AW31" s="121"/>
    </row>
    <row r="32" spans="1:49" x14ac:dyDescent="0.3">
      <c r="A32" s="2"/>
      <c r="B32" s="153">
        <f t="shared" si="10"/>
        <v>16</v>
      </c>
      <c r="C32" s="2117">
        <v>2.06</v>
      </c>
      <c r="D32" s="705">
        <v>5</v>
      </c>
      <c r="E32" s="705">
        <v>964</v>
      </c>
      <c r="F32" s="705">
        <v>2</v>
      </c>
      <c r="G32" s="369">
        <f t="shared" si="2"/>
        <v>2</v>
      </c>
      <c r="H32" s="705">
        <v>2</v>
      </c>
      <c r="I32" s="705"/>
      <c r="J32" s="705"/>
      <c r="K32" s="138">
        <f t="shared" si="3"/>
        <v>0</v>
      </c>
      <c r="L32" s="138">
        <f t="shared" si="6"/>
        <v>10</v>
      </c>
      <c r="M32" s="147">
        <f t="shared" ca="1" si="7"/>
        <v>2.1399999999999997</v>
      </c>
      <c r="N32" s="212"/>
      <c r="O32" s="215"/>
      <c r="P32" s="216"/>
      <c r="Q32">
        <f t="shared" si="8"/>
        <v>4820</v>
      </c>
      <c r="R32" s="137"/>
      <c r="S32" s="137"/>
      <c r="T32" s="137"/>
      <c r="U32" s="137"/>
      <c r="V32" s="137"/>
      <c r="W32" s="137"/>
      <c r="X32" s="137"/>
      <c r="Y32" s="137"/>
      <c r="Z32" s="137"/>
      <c r="AA32" s="137"/>
      <c r="AB32" s="137"/>
      <c r="AC32" s="137"/>
      <c r="AD32" s="137"/>
      <c r="AE32" s="137"/>
      <c r="AF32" s="137"/>
      <c r="AH32" s="147">
        <f t="shared" si="9"/>
        <v>32.14</v>
      </c>
      <c r="AI32" s="161">
        <f t="shared" si="4"/>
        <v>55</v>
      </c>
      <c r="AJ32" s="663">
        <f t="shared" si="5"/>
        <v>120</v>
      </c>
      <c r="AK32" s="146"/>
      <c r="AL32" s="146"/>
      <c r="AM32" s="146"/>
      <c r="AN32" s="146">
        <v>1</v>
      </c>
      <c r="AO32" s="146"/>
      <c r="AP32" s="146"/>
      <c r="AQ32" s="146"/>
      <c r="AR32" s="146"/>
      <c r="AS32" s="146"/>
      <c r="AT32" s="146"/>
      <c r="AU32" s="146">
        <v>1</v>
      </c>
      <c r="AV32" s="138">
        <v>1</v>
      </c>
      <c r="AW32" s="2"/>
    </row>
    <row r="33" spans="1:49" s="50" customFormat="1" x14ac:dyDescent="0.3">
      <c r="A33" s="121"/>
      <c r="B33" s="153">
        <f t="shared" si="10"/>
        <v>17</v>
      </c>
      <c r="C33" s="2118">
        <v>3.01</v>
      </c>
      <c r="D33" s="705">
        <v>6</v>
      </c>
      <c r="E33" s="705">
        <v>1250</v>
      </c>
      <c r="F33" s="705">
        <v>3</v>
      </c>
      <c r="G33" s="369">
        <f t="shared" si="2"/>
        <v>3</v>
      </c>
      <c r="H33" s="705">
        <v>2</v>
      </c>
      <c r="I33" s="705"/>
      <c r="J33" s="705"/>
      <c r="K33" s="138">
        <f t="shared" si="3"/>
        <v>0</v>
      </c>
      <c r="L33" s="138">
        <f t="shared" si="6"/>
        <v>12</v>
      </c>
      <c r="M33" s="147">
        <f t="shared" ca="1" si="7"/>
        <v>2.71</v>
      </c>
      <c r="N33" s="212"/>
      <c r="O33" s="215"/>
      <c r="P33" s="121"/>
      <c r="Q33">
        <f t="shared" si="8"/>
        <v>7500</v>
      </c>
      <c r="R33" s="137"/>
      <c r="S33" s="137"/>
      <c r="T33" s="137"/>
      <c r="U33" s="137"/>
      <c r="V33" s="137"/>
      <c r="W33" s="137"/>
      <c r="X33" s="137"/>
      <c r="Y33" s="137"/>
      <c r="Z33" s="137"/>
      <c r="AA33" s="137"/>
      <c r="AB33" s="137"/>
      <c r="AC33" s="137"/>
      <c r="AD33" s="137"/>
      <c r="AE33" s="137"/>
      <c r="AF33" s="137"/>
      <c r="AH33" s="147">
        <f t="shared" si="9"/>
        <v>42.5</v>
      </c>
      <c r="AI33" s="161">
        <f t="shared" si="4"/>
        <v>70</v>
      </c>
      <c r="AJ33" s="663">
        <f t="shared" si="5"/>
        <v>120</v>
      </c>
      <c r="AK33" s="146"/>
      <c r="AL33" s="146"/>
      <c r="AM33" s="146"/>
      <c r="AN33" s="146">
        <v>1</v>
      </c>
      <c r="AO33" s="146"/>
      <c r="AP33" s="146"/>
      <c r="AQ33" s="146"/>
      <c r="AR33" s="146"/>
      <c r="AS33" s="146"/>
      <c r="AT33" s="146"/>
      <c r="AU33" s="146">
        <v>1</v>
      </c>
      <c r="AV33" s="138">
        <v>1</v>
      </c>
      <c r="AW33" s="121"/>
    </row>
    <row r="34" spans="1:49" s="50" customFormat="1" x14ac:dyDescent="0.3">
      <c r="A34" s="121"/>
      <c r="B34" s="153">
        <f t="shared" si="10"/>
        <v>18</v>
      </c>
      <c r="C34" s="2117" t="s">
        <v>2054</v>
      </c>
      <c r="D34" s="705">
        <v>1</v>
      </c>
      <c r="E34" s="705">
        <v>1339</v>
      </c>
      <c r="F34" s="705">
        <v>3</v>
      </c>
      <c r="G34" s="369">
        <f t="shared" si="2"/>
        <v>3</v>
      </c>
      <c r="H34" s="705">
        <v>2</v>
      </c>
      <c r="I34" s="705"/>
      <c r="J34" s="705"/>
      <c r="K34" s="138">
        <f t="shared" si="3"/>
        <v>0</v>
      </c>
      <c r="L34" s="138">
        <f t="shared" si="6"/>
        <v>2</v>
      </c>
      <c r="M34" s="147">
        <f t="shared" ca="1" si="7"/>
        <v>2.71</v>
      </c>
      <c r="N34" s="212"/>
      <c r="O34" s="215"/>
      <c r="P34" s="121"/>
      <c r="Q34">
        <f t="shared" si="8"/>
        <v>1339</v>
      </c>
      <c r="R34" s="137"/>
      <c r="S34" s="137"/>
      <c r="T34" s="137"/>
      <c r="U34" s="137"/>
      <c r="V34" s="137"/>
      <c r="W34" s="137"/>
      <c r="X34" s="137"/>
      <c r="Y34" s="137"/>
      <c r="Z34" s="137"/>
      <c r="AA34" s="137"/>
      <c r="AB34" s="137"/>
      <c r="AC34" s="137"/>
      <c r="AD34" s="137"/>
      <c r="AE34" s="137"/>
      <c r="AF34" s="137"/>
      <c r="AH34" s="147">
        <f t="shared" si="9"/>
        <v>43.39</v>
      </c>
      <c r="AI34" s="161">
        <f t="shared" si="4"/>
        <v>70</v>
      </c>
      <c r="AJ34" s="663">
        <f t="shared" si="5"/>
        <v>120</v>
      </c>
      <c r="AK34" s="146"/>
      <c r="AL34" s="146"/>
      <c r="AM34" s="146"/>
      <c r="AN34" s="146">
        <v>1</v>
      </c>
      <c r="AO34" s="146"/>
      <c r="AP34" s="146"/>
      <c r="AQ34" s="146"/>
      <c r="AR34" s="146"/>
      <c r="AS34" s="146"/>
      <c r="AT34" s="146"/>
      <c r="AU34" s="146">
        <v>1</v>
      </c>
      <c r="AV34" s="138">
        <v>1</v>
      </c>
      <c r="AW34" s="121"/>
    </row>
    <row r="35" spans="1:49" s="50" customFormat="1" x14ac:dyDescent="0.3">
      <c r="A35" s="121"/>
      <c r="B35" s="153">
        <f t="shared" si="10"/>
        <v>19</v>
      </c>
      <c r="C35" s="2117">
        <v>3.02</v>
      </c>
      <c r="D35" s="705">
        <v>6</v>
      </c>
      <c r="E35" s="705">
        <v>1339</v>
      </c>
      <c r="F35" s="705">
        <v>3</v>
      </c>
      <c r="G35" s="369">
        <f t="shared" si="2"/>
        <v>3</v>
      </c>
      <c r="H35" s="705">
        <v>2</v>
      </c>
      <c r="I35" s="705"/>
      <c r="J35" s="705"/>
      <c r="K35" s="138">
        <f t="shared" si="3"/>
        <v>0</v>
      </c>
      <c r="L35" s="138">
        <f t="shared" si="6"/>
        <v>12</v>
      </c>
      <c r="M35" s="147">
        <f t="shared" ca="1" si="7"/>
        <v>2.71</v>
      </c>
      <c r="N35" s="212"/>
      <c r="O35" s="215"/>
      <c r="P35" s="121"/>
      <c r="Q35">
        <f t="shared" si="8"/>
        <v>8034</v>
      </c>
      <c r="R35" s="137"/>
      <c r="S35" s="137"/>
      <c r="T35" s="137"/>
      <c r="U35" s="137"/>
      <c r="V35" s="137"/>
      <c r="W35" s="137"/>
      <c r="X35" s="137"/>
      <c r="Y35" s="137"/>
      <c r="Z35" s="137"/>
      <c r="AA35" s="137"/>
      <c r="AB35" s="137"/>
      <c r="AC35" s="137"/>
      <c r="AD35" s="137"/>
      <c r="AE35" s="137"/>
      <c r="AF35" s="137"/>
      <c r="AH35" s="147">
        <f t="shared" si="9"/>
        <v>43.39</v>
      </c>
      <c r="AI35" s="161">
        <f t="shared" si="4"/>
        <v>70</v>
      </c>
      <c r="AJ35" s="663">
        <f t="shared" si="5"/>
        <v>120</v>
      </c>
      <c r="AK35" s="146"/>
      <c r="AL35" s="146"/>
      <c r="AM35" s="146"/>
      <c r="AN35" s="146">
        <v>1</v>
      </c>
      <c r="AO35" s="146"/>
      <c r="AP35" s="146"/>
      <c r="AQ35" s="146"/>
      <c r="AR35" s="146"/>
      <c r="AS35" s="146"/>
      <c r="AT35" s="146"/>
      <c r="AU35" s="146">
        <v>1</v>
      </c>
      <c r="AV35" s="138">
        <v>1</v>
      </c>
      <c r="AW35" s="121"/>
    </row>
    <row r="36" spans="1:49" s="50" customFormat="1" x14ac:dyDescent="0.3">
      <c r="A36" s="121"/>
      <c r="B36" s="153">
        <f t="shared" si="10"/>
        <v>20</v>
      </c>
      <c r="C36" s="2117">
        <v>3.03</v>
      </c>
      <c r="D36" s="705">
        <v>5</v>
      </c>
      <c r="E36" s="705">
        <v>1271</v>
      </c>
      <c r="F36" s="705">
        <v>3</v>
      </c>
      <c r="G36" s="369">
        <f t="shared" si="2"/>
        <v>3</v>
      </c>
      <c r="H36" s="705">
        <v>2</v>
      </c>
      <c r="I36" s="705"/>
      <c r="J36" s="705"/>
      <c r="K36" s="138">
        <f t="shared" si="3"/>
        <v>0</v>
      </c>
      <c r="L36" s="138">
        <f t="shared" si="6"/>
        <v>10</v>
      </c>
      <c r="M36" s="147">
        <f t="shared" ca="1" si="7"/>
        <v>2.71</v>
      </c>
      <c r="N36" s="212"/>
      <c r="O36" s="215"/>
      <c r="P36" s="121"/>
      <c r="Q36">
        <f>E36*D36</f>
        <v>6355</v>
      </c>
      <c r="R36" s="137"/>
      <c r="S36" s="137"/>
      <c r="T36" s="137"/>
      <c r="U36" s="137"/>
      <c r="V36" s="137"/>
      <c r="W36" s="137"/>
      <c r="X36" s="137"/>
      <c r="Y36" s="137"/>
      <c r="Z36" s="137"/>
      <c r="AA36" s="137"/>
      <c r="AB36" s="137"/>
      <c r="AC36" s="137"/>
      <c r="AD36" s="137"/>
      <c r="AE36" s="137"/>
      <c r="AF36" s="137"/>
      <c r="AH36" s="147">
        <f t="shared" si="9"/>
        <v>42.71</v>
      </c>
      <c r="AI36" s="161">
        <f t="shared" si="4"/>
        <v>70</v>
      </c>
      <c r="AJ36" s="663">
        <f t="shared" si="5"/>
        <v>120</v>
      </c>
      <c r="AK36" s="146"/>
      <c r="AL36" s="146"/>
      <c r="AM36" s="146"/>
      <c r="AN36" s="146">
        <v>1</v>
      </c>
      <c r="AO36" s="146"/>
      <c r="AP36" s="146"/>
      <c r="AQ36" s="146"/>
      <c r="AR36" s="146"/>
      <c r="AS36" s="146"/>
      <c r="AT36" s="146"/>
      <c r="AU36" s="146">
        <v>1</v>
      </c>
      <c r="AV36" s="138">
        <v>1</v>
      </c>
      <c r="AW36" s="121"/>
    </row>
    <row r="37" spans="1:49" s="50" customFormat="1" hidden="1" x14ac:dyDescent="0.3">
      <c r="A37" s="121"/>
      <c r="B37" s="153">
        <f t="shared" si="10"/>
        <v>21</v>
      </c>
      <c r="C37" s="705"/>
      <c r="D37" s="705"/>
      <c r="E37" s="705"/>
      <c r="F37" s="705"/>
      <c r="G37" s="369" t="str">
        <f t="shared" si="2"/>
        <v/>
      </c>
      <c r="H37" s="705"/>
      <c r="I37" s="705"/>
      <c r="J37" s="705"/>
      <c r="K37" s="138">
        <f t="shared" si="3"/>
        <v>0</v>
      </c>
      <c r="L37" s="138">
        <f t="shared" si="6"/>
        <v>0</v>
      </c>
      <c r="M37" s="147"/>
      <c r="N37" s="212"/>
      <c r="O37" s="215"/>
      <c r="P37" s="121"/>
      <c r="Q37">
        <f t="shared" si="8"/>
        <v>0</v>
      </c>
      <c r="R37" s="137"/>
      <c r="S37" s="137"/>
      <c r="T37" s="137"/>
      <c r="U37" s="137"/>
      <c r="V37" s="137"/>
      <c r="W37" s="137"/>
      <c r="X37" s="137"/>
      <c r="Y37" s="137"/>
      <c r="Z37" s="137"/>
      <c r="AA37" s="137"/>
      <c r="AB37" s="137"/>
      <c r="AC37" s="137"/>
      <c r="AD37" s="137"/>
      <c r="AE37" s="137"/>
      <c r="AF37" s="137"/>
      <c r="AH37" s="147" t="e">
        <f t="shared" si="9"/>
        <v>#VALUE!</v>
      </c>
      <c r="AI37" s="161" t="e">
        <f t="shared" si="4"/>
        <v>#N/A</v>
      </c>
      <c r="AJ37" s="663">
        <f t="shared" si="5"/>
        <v>0</v>
      </c>
      <c r="AK37" s="146"/>
      <c r="AL37" s="146"/>
      <c r="AM37" s="146"/>
      <c r="AN37" s="146"/>
      <c r="AO37" s="146"/>
      <c r="AP37" s="146"/>
      <c r="AQ37" s="146"/>
      <c r="AR37" s="146"/>
      <c r="AS37" s="146"/>
      <c r="AT37" s="146"/>
      <c r="AU37" s="146"/>
      <c r="AV37" s="138"/>
      <c r="AW37" s="121"/>
    </row>
    <row r="38" spans="1:49" s="50" customFormat="1" hidden="1" x14ac:dyDescent="0.3">
      <c r="A38" s="121"/>
      <c r="B38" s="153">
        <f t="shared" si="10"/>
        <v>22</v>
      </c>
      <c r="C38" s="705"/>
      <c r="D38" s="705"/>
      <c r="E38" s="705"/>
      <c r="F38" s="705"/>
      <c r="G38" s="369" t="str">
        <f t="shared" si="2"/>
        <v/>
      </c>
      <c r="H38" s="705"/>
      <c r="I38" s="705"/>
      <c r="J38" s="705"/>
      <c r="K38" s="138">
        <f t="shared" si="3"/>
        <v>0</v>
      </c>
      <c r="L38" s="138">
        <f t="shared" si="6"/>
        <v>0</v>
      </c>
      <c r="M38" s="147"/>
      <c r="N38" s="212"/>
      <c r="O38" s="215"/>
      <c r="P38" s="121"/>
      <c r="Q38">
        <f t="shared" si="8"/>
        <v>0</v>
      </c>
      <c r="R38" s="137"/>
      <c r="S38" s="137"/>
      <c r="T38" s="137"/>
      <c r="U38" s="137"/>
      <c r="V38" s="137"/>
      <c r="W38" s="137"/>
      <c r="X38" s="137"/>
      <c r="Y38" s="137"/>
      <c r="Z38" s="137"/>
      <c r="AA38" s="137"/>
      <c r="AB38" s="137"/>
      <c r="AC38" s="137"/>
      <c r="AD38" s="137"/>
      <c r="AE38" s="137"/>
      <c r="AF38" s="137"/>
      <c r="AH38" s="147" t="e">
        <f t="shared" si="9"/>
        <v>#VALUE!</v>
      </c>
      <c r="AI38" s="161" t="e">
        <f t="shared" si="4"/>
        <v>#N/A</v>
      </c>
      <c r="AJ38" s="663">
        <f t="shared" si="5"/>
        <v>0</v>
      </c>
      <c r="AK38" s="146"/>
      <c r="AL38" s="146"/>
      <c r="AM38" s="146"/>
      <c r="AN38" s="146"/>
      <c r="AO38" s="146"/>
      <c r="AP38" s="146"/>
      <c r="AQ38" s="146"/>
      <c r="AR38" s="146"/>
      <c r="AS38" s="146"/>
      <c r="AT38" s="146"/>
      <c r="AU38" s="146"/>
      <c r="AV38" s="138"/>
      <c r="AW38" s="121"/>
    </row>
    <row r="39" spans="1:49" s="50" customFormat="1" hidden="1" x14ac:dyDescent="0.3">
      <c r="A39" s="121"/>
      <c r="B39" s="153">
        <f t="shared" si="10"/>
        <v>23</v>
      </c>
      <c r="C39" s="705"/>
      <c r="D39" s="705"/>
      <c r="E39" s="705"/>
      <c r="F39" s="705"/>
      <c r="G39" s="369" t="str">
        <f t="shared" si="2"/>
        <v/>
      </c>
      <c r="H39" s="705"/>
      <c r="I39" s="705"/>
      <c r="J39" s="705"/>
      <c r="K39" s="138">
        <f t="shared" si="3"/>
        <v>0</v>
      </c>
      <c r="L39" s="138">
        <f t="shared" si="6"/>
        <v>0</v>
      </c>
      <c r="M39" s="147"/>
      <c r="N39" s="212"/>
      <c r="O39" s="215"/>
      <c r="P39" s="121"/>
      <c r="Q39">
        <f t="shared" si="8"/>
        <v>0</v>
      </c>
      <c r="R39" s="137"/>
      <c r="S39" s="137"/>
      <c r="T39" s="137"/>
      <c r="U39" s="137"/>
      <c r="V39" s="137"/>
      <c r="W39" s="137"/>
      <c r="X39" s="137"/>
      <c r="Y39" s="137"/>
      <c r="Z39" s="137"/>
      <c r="AA39" s="137"/>
      <c r="AB39" s="137"/>
      <c r="AC39" s="137"/>
      <c r="AD39" s="137"/>
      <c r="AE39" s="137"/>
      <c r="AF39" s="137"/>
      <c r="AH39" s="147" t="e">
        <f t="shared" si="9"/>
        <v>#VALUE!</v>
      </c>
      <c r="AI39" s="161" t="e">
        <f t="shared" si="4"/>
        <v>#N/A</v>
      </c>
      <c r="AJ39" s="663">
        <f t="shared" si="5"/>
        <v>0</v>
      </c>
      <c r="AK39" s="146"/>
      <c r="AL39" s="146"/>
      <c r="AM39" s="146"/>
      <c r="AN39" s="146"/>
      <c r="AO39" s="146"/>
      <c r="AP39" s="146"/>
      <c r="AQ39" s="146"/>
      <c r="AR39" s="146"/>
      <c r="AS39" s="146"/>
      <c r="AT39" s="146"/>
      <c r="AU39" s="146"/>
      <c r="AV39" s="138"/>
      <c r="AW39" s="121"/>
    </row>
    <row r="40" spans="1:49" s="50" customFormat="1" hidden="1" x14ac:dyDescent="0.3">
      <c r="A40" s="121"/>
      <c r="B40" s="153">
        <f t="shared" si="10"/>
        <v>24</v>
      </c>
      <c r="C40" s="705"/>
      <c r="D40" s="705"/>
      <c r="E40" s="705"/>
      <c r="F40" s="705"/>
      <c r="G40" s="369" t="str">
        <f t="shared" si="2"/>
        <v/>
      </c>
      <c r="H40" s="705"/>
      <c r="I40" s="705"/>
      <c r="J40" s="705"/>
      <c r="K40" s="138">
        <f t="shared" si="3"/>
        <v>0</v>
      </c>
      <c r="L40" s="138">
        <f t="shared" si="6"/>
        <v>0</v>
      </c>
      <c r="M40" s="147"/>
      <c r="N40" s="212"/>
      <c r="O40" s="215"/>
      <c r="P40" s="121"/>
      <c r="Q40">
        <f t="shared" si="8"/>
        <v>0</v>
      </c>
      <c r="R40" s="137"/>
      <c r="S40" s="137"/>
      <c r="T40" s="137"/>
      <c r="U40" s="137"/>
      <c r="V40" s="137"/>
      <c r="W40" s="137"/>
      <c r="X40" s="137"/>
      <c r="Y40" s="137"/>
      <c r="Z40" s="137"/>
      <c r="AA40" s="137"/>
      <c r="AB40" s="137"/>
      <c r="AC40" s="137"/>
      <c r="AD40" s="137"/>
      <c r="AE40" s="137"/>
      <c r="AF40" s="137"/>
      <c r="AH40" s="147" t="e">
        <f t="shared" si="9"/>
        <v>#VALUE!</v>
      </c>
      <c r="AI40" s="161" t="e">
        <f t="shared" si="4"/>
        <v>#N/A</v>
      </c>
      <c r="AJ40" s="663">
        <f t="shared" si="5"/>
        <v>0</v>
      </c>
      <c r="AK40" s="146"/>
      <c r="AL40" s="146"/>
      <c r="AM40" s="146"/>
      <c r="AN40" s="146"/>
      <c r="AO40" s="146"/>
      <c r="AP40" s="146"/>
      <c r="AQ40" s="146"/>
      <c r="AR40" s="146"/>
      <c r="AS40" s="146"/>
      <c r="AT40" s="146"/>
      <c r="AU40" s="146"/>
      <c r="AV40" s="138"/>
      <c r="AW40" s="121"/>
    </row>
    <row r="41" spans="1:49" s="50" customFormat="1" hidden="1" x14ac:dyDescent="0.3">
      <c r="A41" s="121"/>
      <c r="B41" s="153">
        <f t="shared" si="10"/>
        <v>25</v>
      </c>
      <c r="C41" s="705"/>
      <c r="D41" s="705"/>
      <c r="E41" s="705"/>
      <c r="F41" s="705"/>
      <c r="G41" s="369" t="str">
        <f t="shared" si="2"/>
        <v/>
      </c>
      <c r="H41" s="705"/>
      <c r="I41" s="705"/>
      <c r="J41" s="705"/>
      <c r="K41" s="138">
        <f t="shared" si="3"/>
        <v>0</v>
      </c>
      <c r="L41" s="138">
        <f t="shared" si="6"/>
        <v>0</v>
      </c>
      <c r="M41" s="147"/>
      <c r="N41" s="212"/>
      <c r="O41" s="215"/>
      <c r="P41" s="121"/>
      <c r="Q41">
        <f t="shared" si="8"/>
        <v>0</v>
      </c>
      <c r="R41" s="137"/>
      <c r="S41" s="137"/>
      <c r="T41" s="137"/>
      <c r="U41" s="137"/>
      <c r="V41" s="137"/>
      <c r="W41" s="137"/>
      <c r="X41" s="137"/>
      <c r="Y41" s="137"/>
      <c r="Z41" s="137"/>
      <c r="AA41" s="137"/>
      <c r="AB41" s="137"/>
      <c r="AC41" s="137"/>
      <c r="AD41" s="137"/>
      <c r="AE41" s="137"/>
      <c r="AF41" s="137"/>
      <c r="AH41" s="147" t="e">
        <f t="shared" si="9"/>
        <v>#VALUE!</v>
      </c>
      <c r="AI41" s="161" t="e">
        <f t="shared" si="4"/>
        <v>#N/A</v>
      </c>
      <c r="AJ41" s="663">
        <f t="shared" si="5"/>
        <v>0</v>
      </c>
      <c r="AK41" s="146"/>
      <c r="AL41" s="146"/>
      <c r="AM41" s="146"/>
      <c r="AN41" s="146"/>
      <c r="AO41" s="146"/>
      <c r="AP41" s="146"/>
      <c r="AQ41" s="146"/>
      <c r="AR41" s="146"/>
      <c r="AS41" s="146"/>
      <c r="AT41" s="146"/>
      <c r="AU41" s="146"/>
      <c r="AV41" s="138"/>
      <c r="AW41" s="121"/>
    </row>
    <row r="42" spans="1:49" hidden="1" x14ac:dyDescent="0.3">
      <c r="A42" s="2"/>
      <c r="B42" s="153">
        <f t="shared" si="10"/>
        <v>26</v>
      </c>
      <c r="C42" s="705"/>
      <c r="D42" s="705"/>
      <c r="E42" s="705"/>
      <c r="F42" s="705"/>
      <c r="G42" s="369" t="str">
        <f t="shared" si="2"/>
        <v/>
      </c>
      <c r="H42" s="705"/>
      <c r="I42" s="705"/>
      <c r="J42" s="705"/>
      <c r="K42" s="138">
        <f t="shared" si="3"/>
        <v>0</v>
      </c>
      <c r="L42" s="138">
        <f t="shared" si="6"/>
        <v>0</v>
      </c>
      <c r="M42" s="147"/>
      <c r="N42" s="212"/>
      <c r="O42" s="215"/>
      <c r="P42" s="216"/>
      <c r="Q42">
        <f t="shared" si="8"/>
        <v>0</v>
      </c>
      <c r="R42" s="137"/>
      <c r="S42" s="137"/>
      <c r="T42" s="137"/>
      <c r="U42" s="137"/>
      <c r="V42" s="137"/>
      <c r="W42" s="137"/>
      <c r="X42" s="137"/>
      <c r="Y42" s="137"/>
      <c r="Z42" s="137"/>
      <c r="AA42" s="137"/>
      <c r="AB42" s="137"/>
      <c r="AC42" s="137"/>
      <c r="AD42" s="137"/>
      <c r="AE42" s="137"/>
      <c r="AF42" s="137"/>
      <c r="AG42" s="144"/>
      <c r="AH42" s="147" t="e">
        <f t="shared" si="9"/>
        <v>#VALUE!</v>
      </c>
      <c r="AI42" s="161" t="e">
        <f t="shared" si="4"/>
        <v>#N/A</v>
      </c>
      <c r="AJ42" s="663">
        <f t="shared" si="5"/>
        <v>0</v>
      </c>
      <c r="AK42" s="146"/>
      <c r="AL42" s="146"/>
      <c r="AM42" s="146"/>
      <c r="AN42" s="146"/>
      <c r="AO42" s="146"/>
      <c r="AP42" s="146"/>
      <c r="AQ42" s="146"/>
      <c r="AR42" s="146"/>
      <c r="AS42" s="146"/>
      <c r="AT42" s="146"/>
      <c r="AU42" s="146"/>
      <c r="AV42" s="138"/>
      <c r="AW42" s="144"/>
    </row>
    <row r="43" spans="1:49" hidden="1" x14ac:dyDescent="0.3">
      <c r="A43" s="2"/>
      <c r="B43" s="153">
        <f t="shared" si="10"/>
        <v>27</v>
      </c>
      <c r="C43" s="705"/>
      <c r="D43" s="705"/>
      <c r="E43" s="705"/>
      <c r="F43" s="705"/>
      <c r="G43" s="369" t="str">
        <f t="shared" si="2"/>
        <v/>
      </c>
      <c r="H43" s="705"/>
      <c r="I43" s="705"/>
      <c r="J43" s="705"/>
      <c r="K43" s="138">
        <f t="shared" si="3"/>
        <v>0</v>
      </c>
      <c r="L43" s="138">
        <f t="shared" si="6"/>
        <v>0</v>
      </c>
      <c r="M43" s="147"/>
      <c r="N43" s="212"/>
      <c r="O43" s="215"/>
      <c r="P43" s="216"/>
      <c r="Q43">
        <f t="shared" si="8"/>
        <v>0</v>
      </c>
      <c r="R43" s="137"/>
      <c r="S43" s="137"/>
      <c r="T43" s="137"/>
      <c r="U43" s="137"/>
      <c r="V43" s="137"/>
      <c r="W43" s="137"/>
      <c r="X43" s="137"/>
      <c r="Y43" s="137"/>
      <c r="Z43" s="137"/>
      <c r="AA43" s="137"/>
      <c r="AB43" s="137"/>
      <c r="AC43" s="137"/>
      <c r="AD43" s="137"/>
      <c r="AE43" s="137"/>
      <c r="AF43" s="137"/>
      <c r="AH43" s="147" t="e">
        <f t="shared" si="9"/>
        <v>#VALUE!</v>
      </c>
      <c r="AI43" s="161" t="e">
        <f t="shared" si="4"/>
        <v>#N/A</v>
      </c>
      <c r="AJ43" s="663">
        <f t="shared" si="5"/>
        <v>0</v>
      </c>
      <c r="AK43" s="146"/>
      <c r="AL43" s="146"/>
      <c r="AM43" s="146"/>
      <c r="AN43" s="146"/>
      <c r="AO43" s="146"/>
      <c r="AP43" s="146"/>
      <c r="AQ43" s="146"/>
      <c r="AR43" s="146"/>
      <c r="AS43" s="146"/>
      <c r="AT43" s="146"/>
      <c r="AU43" s="146"/>
      <c r="AV43" s="138"/>
      <c r="AW43" s="2"/>
    </row>
    <row r="44" spans="1:49" hidden="1" x14ac:dyDescent="0.3">
      <c r="A44" s="2"/>
      <c r="B44" s="153">
        <f t="shared" si="10"/>
        <v>28</v>
      </c>
      <c r="C44" s="705"/>
      <c r="D44" s="705"/>
      <c r="E44" s="705"/>
      <c r="F44" s="705"/>
      <c r="G44" s="369" t="str">
        <f t="shared" si="2"/>
        <v/>
      </c>
      <c r="H44" s="705"/>
      <c r="I44" s="705"/>
      <c r="J44" s="705"/>
      <c r="K44" s="138">
        <f t="shared" si="3"/>
        <v>0</v>
      </c>
      <c r="L44" s="138">
        <f t="shared" si="6"/>
        <v>0</v>
      </c>
      <c r="M44" s="147"/>
      <c r="N44" s="212"/>
      <c r="O44" s="215"/>
      <c r="P44" s="216"/>
      <c r="Q44">
        <f t="shared" si="8"/>
        <v>0</v>
      </c>
      <c r="R44" s="137"/>
      <c r="S44" s="137"/>
      <c r="T44" s="137"/>
      <c r="U44" s="137"/>
      <c r="V44" s="137"/>
      <c r="W44" s="137"/>
      <c r="X44" s="137"/>
      <c r="Y44" s="137"/>
      <c r="Z44" s="137"/>
      <c r="AA44" s="137"/>
      <c r="AB44" s="137"/>
      <c r="AC44" s="137"/>
      <c r="AD44" s="137"/>
      <c r="AE44" s="137"/>
      <c r="AF44" s="137"/>
      <c r="AH44" s="147" t="e">
        <f t="shared" si="9"/>
        <v>#VALUE!</v>
      </c>
      <c r="AI44" s="161" t="e">
        <f t="shared" si="4"/>
        <v>#N/A</v>
      </c>
      <c r="AJ44" s="663">
        <f t="shared" si="5"/>
        <v>0</v>
      </c>
      <c r="AK44" s="146"/>
      <c r="AL44" s="146"/>
      <c r="AM44" s="146"/>
      <c r="AN44" s="146"/>
      <c r="AO44" s="146"/>
      <c r="AP44" s="146"/>
      <c r="AQ44" s="146"/>
      <c r="AR44" s="146"/>
      <c r="AS44" s="146"/>
      <c r="AT44" s="146"/>
      <c r="AU44" s="146"/>
      <c r="AV44" s="138"/>
      <c r="AW44" s="2"/>
    </row>
    <row r="45" spans="1:49" hidden="1" x14ac:dyDescent="0.3">
      <c r="A45" s="2"/>
      <c r="B45" s="153">
        <f t="shared" si="10"/>
        <v>29</v>
      </c>
      <c r="C45" s="705"/>
      <c r="D45" s="705"/>
      <c r="E45" s="705"/>
      <c r="F45" s="705"/>
      <c r="G45" s="369" t="str">
        <f t="shared" si="2"/>
        <v/>
      </c>
      <c r="H45" s="705"/>
      <c r="I45" s="705"/>
      <c r="J45" s="705"/>
      <c r="K45" s="138">
        <f t="shared" si="3"/>
        <v>0</v>
      </c>
      <c r="L45" s="138">
        <f t="shared" si="6"/>
        <v>0</v>
      </c>
      <c r="M45" s="147"/>
      <c r="N45" s="212"/>
      <c r="O45" s="215"/>
      <c r="P45" s="216"/>
      <c r="Q45">
        <f t="shared" si="8"/>
        <v>0</v>
      </c>
      <c r="R45" s="137"/>
      <c r="S45" s="137"/>
      <c r="T45" s="137"/>
      <c r="U45" s="137"/>
      <c r="V45" s="137"/>
      <c r="W45" s="137"/>
      <c r="X45" s="137"/>
      <c r="Y45" s="137"/>
      <c r="Z45" s="137"/>
      <c r="AA45" s="137"/>
      <c r="AB45" s="137"/>
      <c r="AC45" s="137"/>
      <c r="AD45" s="137"/>
      <c r="AE45" s="137"/>
      <c r="AF45" s="137"/>
      <c r="AH45" s="147" t="e">
        <f t="shared" si="9"/>
        <v>#VALUE!</v>
      </c>
      <c r="AI45" s="161" t="e">
        <f t="shared" si="4"/>
        <v>#N/A</v>
      </c>
      <c r="AJ45" s="663">
        <f t="shared" si="5"/>
        <v>0</v>
      </c>
      <c r="AK45" s="146"/>
      <c r="AL45" s="146"/>
      <c r="AM45" s="146"/>
      <c r="AN45" s="146"/>
      <c r="AO45" s="146"/>
      <c r="AP45" s="146"/>
      <c r="AQ45" s="146"/>
      <c r="AR45" s="146"/>
      <c r="AS45" s="146"/>
      <c r="AT45" s="146"/>
      <c r="AU45" s="146"/>
      <c r="AV45" s="138"/>
      <c r="AW45" s="2"/>
    </row>
    <row r="46" spans="1:49" hidden="1" x14ac:dyDescent="0.3">
      <c r="A46" s="2"/>
      <c r="B46" s="153">
        <f t="shared" si="10"/>
        <v>30</v>
      </c>
      <c r="C46" s="705"/>
      <c r="D46" s="705"/>
      <c r="E46" s="705"/>
      <c r="F46" s="705"/>
      <c r="G46" s="369" t="str">
        <f t="shared" si="2"/>
        <v/>
      </c>
      <c r="H46" s="705"/>
      <c r="I46" s="705"/>
      <c r="J46" s="705"/>
      <c r="K46" s="138">
        <f t="shared" si="3"/>
        <v>0</v>
      </c>
      <c r="L46" s="138">
        <f t="shared" si="6"/>
        <v>0</v>
      </c>
      <c r="M46" s="147"/>
      <c r="N46" s="212"/>
      <c r="O46" s="215"/>
      <c r="P46" s="216"/>
      <c r="Q46">
        <f t="shared" si="8"/>
        <v>0</v>
      </c>
      <c r="R46" s="137"/>
      <c r="S46" s="137"/>
      <c r="T46" s="137"/>
      <c r="U46" s="137"/>
      <c r="V46" s="137"/>
      <c r="W46" s="137"/>
      <c r="X46" s="137"/>
      <c r="Y46" s="137"/>
      <c r="Z46" s="137"/>
      <c r="AA46" s="137"/>
      <c r="AB46" s="137"/>
      <c r="AC46" s="137"/>
      <c r="AD46" s="137"/>
      <c r="AE46" s="137"/>
      <c r="AF46" s="137"/>
      <c r="AH46" s="147" t="e">
        <f t="shared" si="9"/>
        <v>#VALUE!</v>
      </c>
      <c r="AI46" s="161" t="e">
        <f t="shared" si="4"/>
        <v>#N/A</v>
      </c>
      <c r="AJ46" s="663">
        <f t="shared" si="5"/>
        <v>0</v>
      </c>
      <c r="AK46" s="146"/>
      <c r="AL46" s="146"/>
      <c r="AM46" s="146"/>
      <c r="AN46" s="146"/>
      <c r="AO46" s="146"/>
      <c r="AP46" s="146"/>
      <c r="AQ46" s="146"/>
      <c r="AR46" s="146"/>
      <c r="AS46" s="146"/>
      <c r="AT46" s="146"/>
      <c r="AU46" s="146"/>
      <c r="AV46" s="138"/>
      <c r="AW46" s="2"/>
    </row>
    <row r="47" spans="1:49" s="50" customFormat="1" hidden="1" x14ac:dyDescent="0.3">
      <c r="A47" s="121"/>
      <c r="B47" s="153">
        <f t="shared" si="10"/>
        <v>31</v>
      </c>
      <c r="C47" s="705"/>
      <c r="D47" s="705"/>
      <c r="E47" s="705"/>
      <c r="F47" s="705"/>
      <c r="G47" s="369" t="str">
        <f t="shared" si="2"/>
        <v/>
      </c>
      <c r="H47" s="705"/>
      <c r="I47" s="705"/>
      <c r="J47" s="705"/>
      <c r="K47" s="138">
        <f t="shared" si="3"/>
        <v>0</v>
      </c>
      <c r="L47" s="138">
        <f t="shared" si="6"/>
        <v>0</v>
      </c>
      <c r="M47" s="147"/>
      <c r="N47" s="499"/>
      <c r="O47" s="499"/>
      <c r="P47" s="121"/>
      <c r="Q47">
        <f t="shared" si="8"/>
        <v>0</v>
      </c>
      <c r="R47" s="137"/>
      <c r="S47" s="137"/>
      <c r="T47" s="137"/>
      <c r="U47" s="137"/>
      <c r="V47" s="137"/>
      <c r="W47" s="137"/>
      <c r="X47" s="137"/>
      <c r="Y47" s="137"/>
      <c r="Z47" s="137"/>
      <c r="AA47" s="137"/>
      <c r="AB47" s="137"/>
      <c r="AC47" s="137"/>
      <c r="AD47" s="137"/>
      <c r="AE47" s="137"/>
      <c r="AF47" s="137"/>
      <c r="AH47" s="147" t="e">
        <f t="shared" si="9"/>
        <v>#VALUE!</v>
      </c>
      <c r="AI47" s="161" t="e">
        <f t="shared" si="4"/>
        <v>#N/A</v>
      </c>
      <c r="AJ47" s="663">
        <f t="shared" si="5"/>
        <v>0</v>
      </c>
      <c r="AK47" s="146"/>
      <c r="AL47" s="146"/>
      <c r="AM47" s="146"/>
      <c r="AN47" s="146"/>
      <c r="AO47" s="146"/>
      <c r="AP47" s="146"/>
      <c r="AQ47" s="146"/>
      <c r="AR47" s="146"/>
      <c r="AS47" s="146"/>
      <c r="AT47" s="146"/>
      <c r="AU47" s="146"/>
      <c r="AV47" s="138"/>
      <c r="AW47" s="121"/>
    </row>
    <row r="48" spans="1:49" s="50" customFormat="1" hidden="1" x14ac:dyDescent="0.3">
      <c r="A48" s="121"/>
      <c r="B48" s="153">
        <f t="shared" si="10"/>
        <v>32</v>
      </c>
      <c r="C48" s="705"/>
      <c r="D48" s="705"/>
      <c r="E48" s="705"/>
      <c r="F48" s="705"/>
      <c r="G48" s="369" t="str">
        <f t="shared" si="2"/>
        <v/>
      </c>
      <c r="H48" s="705"/>
      <c r="I48" s="705"/>
      <c r="J48" s="705"/>
      <c r="K48" s="138">
        <f t="shared" si="3"/>
        <v>0</v>
      </c>
      <c r="L48" s="138">
        <f t="shared" si="6"/>
        <v>0</v>
      </c>
      <c r="M48" s="147"/>
      <c r="N48" s="499"/>
      <c r="O48" s="499"/>
      <c r="P48" s="121"/>
      <c r="Q48">
        <f t="shared" si="8"/>
        <v>0</v>
      </c>
      <c r="R48" s="137"/>
      <c r="S48" s="137"/>
      <c r="T48" s="137"/>
      <c r="U48" s="137"/>
      <c r="V48" s="137"/>
      <c r="W48" s="137"/>
      <c r="X48" s="137"/>
      <c r="Y48" s="137"/>
      <c r="Z48" s="137"/>
      <c r="AA48" s="137"/>
      <c r="AB48" s="137"/>
      <c r="AC48" s="137"/>
      <c r="AD48" s="137"/>
      <c r="AE48" s="137"/>
      <c r="AF48" s="137"/>
      <c r="AH48" s="147" t="e">
        <f t="shared" si="9"/>
        <v>#VALUE!</v>
      </c>
      <c r="AI48" s="161" t="e">
        <f t="shared" si="4"/>
        <v>#N/A</v>
      </c>
      <c r="AJ48" s="663">
        <f t="shared" si="5"/>
        <v>0</v>
      </c>
      <c r="AK48" s="146"/>
      <c r="AL48" s="146"/>
      <c r="AM48" s="146"/>
      <c r="AN48" s="146"/>
      <c r="AO48" s="146"/>
      <c r="AP48" s="146"/>
      <c r="AQ48" s="146"/>
      <c r="AR48" s="146"/>
      <c r="AS48" s="146"/>
      <c r="AT48" s="146"/>
      <c r="AU48" s="146"/>
      <c r="AV48" s="138"/>
      <c r="AW48" s="121"/>
    </row>
    <row r="49" spans="1:49" hidden="1" x14ac:dyDescent="0.3">
      <c r="A49" s="2"/>
      <c r="B49" s="153">
        <f t="shared" si="10"/>
        <v>33</v>
      </c>
      <c r="C49" s="705"/>
      <c r="D49" s="705"/>
      <c r="E49" s="705"/>
      <c r="F49" s="705"/>
      <c r="G49" s="369" t="str">
        <f t="shared" si="2"/>
        <v/>
      </c>
      <c r="H49" s="705"/>
      <c r="I49" s="705"/>
      <c r="J49" s="705"/>
      <c r="K49" s="138">
        <f t="shared" si="3"/>
        <v>0</v>
      </c>
      <c r="L49" s="138">
        <f t="shared" si="6"/>
        <v>0</v>
      </c>
      <c r="M49" s="147"/>
      <c r="N49" s="212"/>
      <c r="O49" s="215"/>
      <c r="P49" s="216"/>
      <c r="Q49">
        <f t="shared" si="8"/>
        <v>0</v>
      </c>
      <c r="R49" s="137"/>
      <c r="S49" s="137"/>
      <c r="T49" s="137"/>
      <c r="U49" s="137"/>
      <c r="V49" s="137"/>
      <c r="W49" s="137"/>
      <c r="X49" s="137"/>
      <c r="Y49" s="137"/>
      <c r="Z49" s="137"/>
      <c r="AA49" s="137"/>
      <c r="AB49" s="137"/>
      <c r="AC49" s="137"/>
      <c r="AD49" s="137"/>
      <c r="AE49" s="137"/>
      <c r="AF49" s="137"/>
      <c r="AH49" s="147" t="e">
        <f t="shared" si="9"/>
        <v>#VALUE!</v>
      </c>
      <c r="AI49" s="161" t="e">
        <f t="shared" si="4"/>
        <v>#N/A</v>
      </c>
      <c r="AJ49" s="663">
        <f t="shared" si="5"/>
        <v>0</v>
      </c>
      <c r="AK49" s="146"/>
      <c r="AL49" s="146"/>
      <c r="AM49" s="146"/>
      <c r="AN49" s="146"/>
      <c r="AO49" s="146"/>
      <c r="AP49" s="146"/>
      <c r="AQ49" s="146"/>
      <c r="AR49" s="146"/>
      <c r="AS49" s="146"/>
      <c r="AT49" s="146"/>
      <c r="AU49" s="146"/>
      <c r="AV49" s="138"/>
      <c r="AW49" s="2"/>
    </row>
    <row r="50" spans="1:49" hidden="1" x14ac:dyDescent="0.3">
      <c r="A50" s="2"/>
      <c r="B50" s="153">
        <f t="shared" si="10"/>
        <v>34</v>
      </c>
      <c r="C50" s="705"/>
      <c r="D50" s="705"/>
      <c r="E50" s="705"/>
      <c r="F50" s="705"/>
      <c r="G50" s="369" t="str">
        <f t="shared" si="2"/>
        <v/>
      </c>
      <c r="H50" s="705"/>
      <c r="I50" s="705"/>
      <c r="J50" s="705"/>
      <c r="K50" s="138">
        <f t="shared" si="3"/>
        <v>0</v>
      </c>
      <c r="L50" s="138">
        <f t="shared" si="6"/>
        <v>0</v>
      </c>
      <c r="M50" s="147"/>
      <c r="N50" s="212"/>
      <c r="O50" s="215"/>
      <c r="P50" s="216"/>
      <c r="Q50">
        <f t="shared" si="8"/>
        <v>0</v>
      </c>
      <c r="R50" s="137"/>
      <c r="S50" s="137"/>
      <c r="T50" s="137"/>
      <c r="U50" s="137"/>
      <c r="V50" s="137"/>
      <c r="W50" s="137"/>
      <c r="X50" s="137"/>
      <c r="Y50" s="137"/>
      <c r="Z50" s="137"/>
      <c r="AA50" s="137"/>
      <c r="AB50" s="137"/>
      <c r="AC50" s="137"/>
      <c r="AD50" s="137"/>
      <c r="AE50" s="137"/>
      <c r="AF50" s="137"/>
      <c r="AH50" s="147" t="e">
        <f t="shared" si="9"/>
        <v>#VALUE!</v>
      </c>
      <c r="AI50" s="161" t="e">
        <f t="shared" si="4"/>
        <v>#N/A</v>
      </c>
      <c r="AJ50" s="663">
        <f t="shared" si="5"/>
        <v>0</v>
      </c>
      <c r="AK50" s="146"/>
      <c r="AL50" s="146"/>
      <c r="AM50" s="146"/>
      <c r="AN50" s="146"/>
      <c r="AO50" s="146"/>
      <c r="AP50" s="146"/>
      <c r="AQ50" s="146"/>
      <c r="AR50" s="146"/>
      <c r="AS50" s="146"/>
      <c r="AT50" s="146"/>
      <c r="AU50" s="146"/>
      <c r="AV50" s="138"/>
      <c r="AW50" s="2"/>
    </row>
    <row r="51" spans="1:49" hidden="1" x14ac:dyDescent="0.3">
      <c r="A51" s="2"/>
      <c r="B51" s="153">
        <f t="shared" si="10"/>
        <v>35</v>
      </c>
      <c r="C51" s="705"/>
      <c r="D51" s="705"/>
      <c r="E51" s="705"/>
      <c r="F51" s="705"/>
      <c r="G51" s="369" t="str">
        <f t="shared" si="2"/>
        <v/>
      </c>
      <c r="H51" s="705"/>
      <c r="I51" s="705"/>
      <c r="J51" s="705"/>
      <c r="K51" s="138">
        <f t="shared" si="3"/>
        <v>0</v>
      </c>
      <c r="L51" s="138">
        <f t="shared" si="6"/>
        <v>0</v>
      </c>
      <c r="M51" s="147"/>
      <c r="N51" s="212"/>
      <c r="O51" s="215"/>
      <c r="P51" s="216"/>
      <c r="Q51">
        <f t="shared" si="8"/>
        <v>0</v>
      </c>
      <c r="R51" s="137"/>
      <c r="S51" s="137"/>
      <c r="T51" s="137"/>
      <c r="U51" s="137"/>
      <c r="V51" s="137"/>
      <c r="W51" s="137"/>
      <c r="X51" s="137"/>
      <c r="Y51" s="137"/>
      <c r="Z51" s="137"/>
      <c r="AA51" s="137"/>
      <c r="AB51" s="137"/>
      <c r="AC51" s="137"/>
      <c r="AD51" s="137"/>
      <c r="AE51" s="137"/>
      <c r="AF51" s="137"/>
      <c r="AH51" s="147" t="e">
        <f t="shared" si="9"/>
        <v>#VALUE!</v>
      </c>
      <c r="AI51" s="161" t="e">
        <f t="shared" si="4"/>
        <v>#N/A</v>
      </c>
      <c r="AJ51" s="663">
        <f t="shared" si="5"/>
        <v>0</v>
      </c>
      <c r="AK51" s="146"/>
      <c r="AL51" s="146"/>
      <c r="AM51" s="146"/>
      <c r="AN51" s="146"/>
      <c r="AO51" s="146"/>
      <c r="AP51" s="146"/>
      <c r="AQ51" s="146"/>
      <c r="AR51" s="146"/>
      <c r="AS51" s="146"/>
      <c r="AT51" s="146"/>
      <c r="AU51" s="146"/>
      <c r="AV51" s="138"/>
      <c r="AW51" s="2"/>
    </row>
    <row r="52" spans="1:49" hidden="1" x14ac:dyDescent="0.3">
      <c r="A52" s="2"/>
      <c r="B52" s="153">
        <f t="shared" si="10"/>
        <v>36</v>
      </c>
      <c r="C52" s="705"/>
      <c r="D52" s="705"/>
      <c r="E52" s="705"/>
      <c r="F52" s="705"/>
      <c r="G52" s="369" t="str">
        <f t="shared" si="2"/>
        <v/>
      </c>
      <c r="H52" s="705"/>
      <c r="I52" s="705"/>
      <c r="J52" s="705"/>
      <c r="K52" s="138">
        <f t="shared" si="3"/>
        <v>0</v>
      </c>
      <c r="L52" s="138">
        <f t="shared" si="6"/>
        <v>0</v>
      </c>
      <c r="M52" s="147"/>
      <c r="N52" s="212"/>
      <c r="O52" s="215"/>
      <c r="P52" s="216"/>
      <c r="Q52">
        <f t="shared" si="8"/>
        <v>0</v>
      </c>
      <c r="R52" s="137"/>
      <c r="S52" s="137"/>
      <c r="T52" s="137"/>
      <c r="U52" s="137"/>
      <c r="V52" s="137"/>
      <c r="W52" s="137"/>
      <c r="X52" s="137"/>
      <c r="Y52" s="137"/>
      <c r="Z52" s="137"/>
      <c r="AA52" s="137"/>
      <c r="AB52" s="137"/>
      <c r="AC52" s="137"/>
      <c r="AD52" s="137"/>
      <c r="AE52" s="137"/>
      <c r="AF52" s="137"/>
      <c r="AH52" s="147" t="e">
        <f t="shared" si="9"/>
        <v>#VALUE!</v>
      </c>
      <c r="AI52" s="161" t="e">
        <f t="shared" si="4"/>
        <v>#N/A</v>
      </c>
      <c r="AJ52" s="663">
        <f t="shared" si="5"/>
        <v>0</v>
      </c>
      <c r="AK52" s="146"/>
      <c r="AL52" s="146"/>
      <c r="AM52" s="146"/>
      <c r="AN52" s="146"/>
      <c r="AO52" s="146"/>
      <c r="AP52" s="146"/>
      <c r="AQ52" s="146"/>
      <c r="AR52" s="146"/>
      <c r="AS52" s="146"/>
      <c r="AT52" s="146"/>
      <c r="AU52" s="146"/>
      <c r="AV52" s="138"/>
      <c r="AW52" s="2"/>
    </row>
    <row r="53" spans="1:49" hidden="1" x14ac:dyDescent="0.3">
      <c r="A53" s="2"/>
      <c r="B53" s="153">
        <f t="shared" si="10"/>
        <v>37</v>
      </c>
      <c r="C53" s="705"/>
      <c r="D53" s="705"/>
      <c r="E53" s="705"/>
      <c r="F53" s="705"/>
      <c r="G53" s="369" t="str">
        <f t="shared" si="2"/>
        <v/>
      </c>
      <c r="H53" s="705"/>
      <c r="I53" s="705"/>
      <c r="J53" s="705"/>
      <c r="K53" s="138">
        <f t="shared" si="3"/>
        <v>0</v>
      </c>
      <c r="L53" s="138">
        <f t="shared" si="6"/>
        <v>0</v>
      </c>
      <c r="M53" s="147"/>
      <c r="N53" s="212"/>
      <c r="O53" s="215"/>
      <c r="P53" s="216"/>
      <c r="Q53">
        <f t="shared" si="8"/>
        <v>0</v>
      </c>
      <c r="R53" s="137"/>
      <c r="S53" s="137"/>
      <c r="T53" s="137"/>
      <c r="U53" s="137"/>
      <c r="V53" s="137"/>
      <c r="W53" s="137"/>
      <c r="X53" s="137"/>
      <c r="Y53" s="137"/>
      <c r="Z53" s="137"/>
      <c r="AA53" s="137"/>
      <c r="AB53" s="137"/>
      <c r="AC53" s="137"/>
      <c r="AD53" s="137"/>
      <c r="AE53" s="137"/>
      <c r="AF53" s="137"/>
      <c r="AH53" s="147" t="e">
        <f t="shared" si="9"/>
        <v>#VALUE!</v>
      </c>
      <c r="AI53" s="161" t="e">
        <f t="shared" si="4"/>
        <v>#N/A</v>
      </c>
      <c r="AJ53" s="663">
        <f t="shared" si="5"/>
        <v>0</v>
      </c>
      <c r="AK53" s="146"/>
      <c r="AL53" s="146"/>
      <c r="AM53" s="146"/>
      <c r="AN53" s="146"/>
      <c r="AO53" s="146"/>
      <c r="AP53" s="146"/>
      <c r="AQ53" s="146"/>
      <c r="AR53" s="146"/>
      <c r="AS53" s="146"/>
      <c r="AT53" s="146"/>
      <c r="AU53" s="146"/>
      <c r="AV53" s="138"/>
      <c r="AW53" s="2"/>
    </row>
    <row r="54" spans="1:49" hidden="1" x14ac:dyDescent="0.3">
      <c r="A54" s="2"/>
      <c r="B54" s="153">
        <f t="shared" si="10"/>
        <v>38</v>
      </c>
      <c r="C54" s="705"/>
      <c r="D54" s="705"/>
      <c r="E54" s="705"/>
      <c r="F54" s="705"/>
      <c r="G54" s="369" t="str">
        <f t="shared" si="2"/>
        <v/>
      </c>
      <c r="H54" s="705"/>
      <c r="I54" s="705"/>
      <c r="J54" s="705"/>
      <c r="K54" s="138">
        <f t="shared" si="3"/>
        <v>0</v>
      </c>
      <c r="L54" s="138">
        <f t="shared" si="6"/>
        <v>0</v>
      </c>
      <c r="M54" s="147"/>
      <c r="N54" s="212"/>
      <c r="O54" s="215"/>
      <c r="P54" s="216"/>
      <c r="Q54">
        <f t="shared" si="8"/>
        <v>0</v>
      </c>
      <c r="R54" s="137"/>
      <c r="S54" s="137"/>
      <c r="T54" s="137"/>
      <c r="U54" s="137"/>
      <c r="V54" s="137"/>
      <c r="W54" s="137"/>
      <c r="X54" s="137"/>
      <c r="Y54" s="137"/>
      <c r="Z54" s="137"/>
      <c r="AA54" s="137"/>
      <c r="AB54" s="137"/>
      <c r="AC54" s="137"/>
      <c r="AD54" s="137"/>
      <c r="AE54" s="137"/>
      <c r="AF54" s="137"/>
      <c r="AH54" s="147" t="e">
        <f t="shared" si="9"/>
        <v>#VALUE!</v>
      </c>
      <c r="AI54" s="161" t="e">
        <f t="shared" si="4"/>
        <v>#N/A</v>
      </c>
      <c r="AJ54" s="663">
        <f t="shared" si="5"/>
        <v>0</v>
      </c>
      <c r="AK54" s="146"/>
      <c r="AL54" s="146"/>
      <c r="AM54" s="146"/>
      <c r="AN54" s="146"/>
      <c r="AO54" s="146"/>
      <c r="AP54" s="146"/>
      <c r="AQ54" s="146"/>
      <c r="AR54" s="146"/>
      <c r="AS54" s="146"/>
      <c r="AT54" s="146"/>
      <c r="AU54" s="146"/>
      <c r="AV54" s="138"/>
      <c r="AW54" s="2"/>
    </row>
    <row r="55" spans="1:49" s="50" customFormat="1" hidden="1" x14ac:dyDescent="0.3">
      <c r="A55" s="121"/>
      <c r="B55" s="153">
        <f t="shared" si="10"/>
        <v>39</v>
      </c>
      <c r="C55" s="705"/>
      <c r="D55" s="705"/>
      <c r="E55" s="705"/>
      <c r="F55" s="705"/>
      <c r="G55" s="369" t="str">
        <f t="shared" si="2"/>
        <v/>
      </c>
      <c r="H55" s="705"/>
      <c r="I55" s="705"/>
      <c r="J55" s="705"/>
      <c r="K55" s="138">
        <f t="shared" si="3"/>
        <v>0</v>
      </c>
      <c r="L55" s="138">
        <f t="shared" si="6"/>
        <v>0</v>
      </c>
      <c r="M55" s="147"/>
      <c r="N55" s="212"/>
      <c r="O55" s="215"/>
      <c r="P55" s="121"/>
      <c r="Q55">
        <f t="shared" si="8"/>
        <v>0</v>
      </c>
      <c r="R55" s="137"/>
      <c r="S55" s="137"/>
      <c r="T55" s="137"/>
      <c r="U55" s="137"/>
      <c r="V55" s="137"/>
      <c r="W55" s="137"/>
      <c r="X55" s="137"/>
      <c r="Y55" s="137"/>
      <c r="Z55" s="137"/>
      <c r="AA55" s="137"/>
      <c r="AB55" s="137"/>
      <c r="AC55" s="137"/>
      <c r="AD55" s="137"/>
      <c r="AE55" s="137"/>
      <c r="AF55" s="137"/>
      <c r="AH55" s="147" t="e">
        <f t="shared" si="9"/>
        <v>#VALUE!</v>
      </c>
      <c r="AI55" s="161" t="e">
        <f t="shared" si="4"/>
        <v>#N/A</v>
      </c>
      <c r="AJ55" s="663">
        <f t="shared" si="5"/>
        <v>0</v>
      </c>
      <c r="AK55" s="146"/>
      <c r="AL55" s="146"/>
      <c r="AM55" s="146"/>
      <c r="AN55" s="146"/>
      <c r="AO55" s="146"/>
      <c r="AP55" s="146"/>
      <c r="AQ55" s="146"/>
      <c r="AR55" s="146"/>
      <c r="AS55" s="146"/>
      <c r="AT55" s="146"/>
      <c r="AU55" s="146"/>
      <c r="AV55" s="138"/>
      <c r="AW55" s="121"/>
    </row>
    <row r="56" spans="1:49" hidden="1" x14ac:dyDescent="0.3">
      <c r="A56" s="2"/>
      <c r="B56" s="153">
        <f t="shared" si="10"/>
        <v>40</v>
      </c>
      <c r="C56" s="705"/>
      <c r="D56" s="705"/>
      <c r="E56" s="705"/>
      <c r="F56" s="705"/>
      <c r="G56" s="369" t="str">
        <f t="shared" si="2"/>
        <v/>
      </c>
      <c r="H56" s="705"/>
      <c r="I56" s="705"/>
      <c r="J56" s="705"/>
      <c r="K56" s="138">
        <f t="shared" si="3"/>
        <v>0</v>
      </c>
      <c r="L56" s="138">
        <f t="shared" si="6"/>
        <v>0</v>
      </c>
      <c r="M56" s="147"/>
      <c r="N56" s="212"/>
      <c r="O56" s="215"/>
      <c r="P56" s="216"/>
      <c r="Q56">
        <f t="shared" si="8"/>
        <v>0</v>
      </c>
      <c r="R56" s="137"/>
      <c r="S56" s="137"/>
      <c r="T56" s="137"/>
      <c r="U56" s="137"/>
      <c r="V56" s="137"/>
      <c r="W56" s="137"/>
      <c r="X56" s="137"/>
      <c r="Y56" s="137"/>
      <c r="Z56" s="137"/>
      <c r="AA56" s="137"/>
      <c r="AB56" s="137"/>
      <c r="AC56" s="137"/>
      <c r="AD56" s="137"/>
      <c r="AE56" s="137"/>
      <c r="AF56" s="137"/>
      <c r="AH56" s="147" t="e">
        <f t="shared" si="9"/>
        <v>#VALUE!</v>
      </c>
      <c r="AI56" s="161" t="e">
        <f t="shared" si="4"/>
        <v>#N/A</v>
      </c>
      <c r="AJ56" s="663">
        <f t="shared" si="5"/>
        <v>0</v>
      </c>
      <c r="AK56" s="146"/>
      <c r="AL56" s="146"/>
      <c r="AM56" s="146"/>
      <c r="AN56" s="146"/>
      <c r="AO56" s="146"/>
      <c r="AP56" s="146"/>
      <c r="AQ56" s="146"/>
      <c r="AR56" s="146"/>
      <c r="AS56" s="146"/>
      <c r="AT56" s="146"/>
      <c r="AU56" s="146"/>
      <c r="AV56" s="138"/>
      <c r="AW56" s="2"/>
    </row>
    <row r="57" spans="1:49" s="50" customFormat="1" hidden="1" x14ac:dyDescent="0.3">
      <c r="A57" s="121"/>
      <c r="B57" s="153">
        <f t="shared" si="10"/>
        <v>41</v>
      </c>
      <c r="C57" s="1517"/>
      <c r="D57" s="705"/>
      <c r="E57" s="705"/>
      <c r="F57" s="705"/>
      <c r="G57" s="369" t="str">
        <f t="shared" si="2"/>
        <v/>
      </c>
      <c r="H57" s="705"/>
      <c r="I57" s="705"/>
      <c r="J57" s="705"/>
      <c r="K57" s="138">
        <f t="shared" si="3"/>
        <v>0</v>
      </c>
      <c r="L57" s="138">
        <f t="shared" si="6"/>
        <v>0</v>
      </c>
      <c r="M57" s="147"/>
      <c r="N57" s="212"/>
      <c r="O57" s="215"/>
      <c r="P57" s="121"/>
      <c r="Q57">
        <f t="shared" si="8"/>
        <v>0</v>
      </c>
      <c r="R57" s="137"/>
      <c r="S57" s="137"/>
      <c r="T57" s="137"/>
      <c r="U57" s="137"/>
      <c r="V57" s="137"/>
      <c r="W57" s="137"/>
      <c r="X57" s="137"/>
      <c r="Y57" s="137"/>
      <c r="Z57" s="137"/>
      <c r="AA57" s="137"/>
      <c r="AB57" s="137"/>
      <c r="AC57" s="137"/>
      <c r="AD57" s="137"/>
      <c r="AE57" s="137"/>
      <c r="AF57" s="137"/>
      <c r="AH57" s="147" t="e">
        <f t="shared" si="9"/>
        <v>#VALUE!</v>
      </c>
      <c r="AI57" s="161" t="e">
        <f t="shared" si="4"/>
        <v>#N/A</v>
      </c>
      <c r="AJ57" s="663">
        <f t="shared" si="5"/>
        <v>0</v>
      </c>
      <c r="AK57" s="146"/>
      <c r="AL57" s="146"/>
      <c r="AM57" s="146"/>
      <c r="AN57" s="146"/>
      <c r="AO57" s="146"/>
      <c r="AP57" s="146"/>
      <c r="AQ57" s="146"/>
      <c r="AR57" s="146"/>
      <c r="AS57" s="146"/>
      <c r="AT57" s="146"/>
      <c r="AU57" s="146"/>
      <c r="AV57" s="138"/>
      <c r="AW57" s="121"/>
    </row>
    <row r="58" spans="1:49" s="50" customFormat="1" hidden="1" x14ac:dyDescent="0.3">
      <c r="A58" s="121"/>
      <c r="B58" s="153">
        <f t="shared" si="10"/>
        <v>42</v>
      </c>
      <c r="C58" s="705"/>
      <c r="D58" s="705"/>
      <c r="E58" s="705"/>
      <c r="F58" s="705"/>
      <c r="G58" s="369" t="str">
        <f t="shared" si="2"/>
        <v/>
      </c>
      <c r="H58" s="705"/>
      <c r="I58" s="705"/>
      <c r="J58" s="705"/>
      <c r="K58" s="138">
        <f t="shared" si="3"/>
        <v>0</v>
      </c>
      <c r="L58" s="138">
        <f t="shared" si="6"/>
        <v>0</v>
      </c>
      <c r="M58" s="147"/>
      <c r="N58" s="212"/>
      <c r="O58" s="215"/>
      <c r="P58" s="121"/>
      <c r="Q58">
        <f t="shared" si="8"/>
        <v>0</v>
      </c>
      <c r="R58" s="137"/>
      <c r="S58" s="137"/>
      <c r="T58" s="137"/>
      <c r="U58" s="137"/>
      <c r="V58" s="137"/>
      <c r="W58" s="137"/>
      <c r="X58" s="137"/>
      <c r="Y58" s="137"/>
      <c r="Z58" s="137"/>
      <c r="AA58" s="137"/>
      <c r="AB58" s="137"/>
      <c r="AC58" s="137"/>
      <c r="AD58" s="137"/>
      <c r="AE58" s="137"/>
      <c r="AF58" s="137"/>
      <c r="AH58" s="147" t="e">
        <f t="shared" si="9"/>
        <v>#VALUE!</v>
      </c>
      <c r="AI58" s="161" t="e">
        <f t="shared" si="4"/>
        <v>#N/A</v>
      </c>
      <c r="AJ58" s="663">
        <f t="shared" si="5"/>
        <v>0</v>
      </c>
      <c r="AK58" s="146"/>
      <c r="AL58" s="146"/>
      <c r="AM58" s="146"/>
      <c r="AN58" s="146"/>
      <c r="AO58" s="146"/>
      <c r="AP58" s="146"/>
      <c r="AQ58" s="146"/>
      <c r="AR58" s="146"/>
      <c r="AS58" s="146"/>
      <c r="AT58" s="146"/>
      <c r="AU58" s="146"/>
      <c r="AV58" s="138"/>
      <c r="AW58" s="121"/>
    </row>
    <row r="59" spans="1:49" s="50" customFormat="1" hidden="1" x14ac:dyDescent="0.3">
      <c r="A59" s="121"/>
      <c r="B59" s="153">
        <f t="shared" si="10"/>
        <v>43</v>
      </c>
      <c r="C59" s="705"/>
      <c r="D59" s="705"/>
      <c r="E59" s="705"/>
      <c r="F59" s="705"/>
      <c r="G59" s="369" t="str">
        <f t="shared" si="2"/>
        <v/>
      </c>
      <c r="H59" s="705"/>
      <c r="I59" s="705"/>
      <c r="J59" s="705"/>
      <c r="K59" s="138">
        <f t="shared" si="3"/>
        <v>0</v>
      </c>
      <c r="L59" s="138">
        <f t="shared" si="6"/>
        <v>0</v>
      </c>
      <c r="M59" s="147"/>
      <c r="N59" s="212"/>
      <c r="O59" s="215"/>
      <c r="P59" s="121"/>
      <c r="Q59">
        <f t="shared" si="8"/>
        <v>0</v>
      </c>
      <c r="R59" s="137"/>
      <c r="S59" s="137"/>
      <c r="T59" s="137"/>
      <c r="U59" s="137"/>
      <c r="V59" s="137"/>
      <c r="W59" s="137"/>
      <c r="X59" s="137"/>
      <c r="Y59" s="137"/>
      <c r="Z59" s="137"/>
      <c r="AA59" s="137"/>
      <c r="AB59" s="137"/>
      <c r="AC59" s="137"/>
      <c r="AD59" s="137"/>
      <c r="AE59" s="137"/>
      <c r="AF59" s="137"/>
      <c r="AH59" s="147" t="e">
        <f t="shared" si="9"/>
        <v>#VALUE!</v>
      </c>
      <c r="AI59" s="161" t="e">
        <f t="shared" si="4"/>
        <v>#N/A</v>
      </c>
      <c r="AJ59" s="663">
        <f t="shared" si="5"/>
        <v>0</v>
      </c>
      <c r="AK59" s="146"/>
      <c r="AL59" s="146"/>
      <c r="AM59" s="146"/>
      <c r="AN59" s="146"/>
      <c r="AO59" s="146"/>
      <c r="AP59" s="146"/>
      <c r="AQ59" s="146"/>
      <c r="AR59" s="146"/>
      <c r="AS59" s="146"/>
      <c r="AT59" s="146"/>
      <c r="AU59" s="146"/>
      <c r="AV59" s="138"/>
      <c r="AW59" s="121"/>
    </row>
    <row r="60" spans="1:49" s="50" customFormat="1" hidden="1" x14ac:dyDescent="0.3">
      <c r="A60" s="121"/>
      <c r="B60" s="153">
        <f t="shared" si="10"/>
        <v>44</v>
      </c>
      <c r="C60" s="705"/>
      <c r="D60" s="705"/>
      <c r="E60" s="705"/>
      <c r="F60" s="705"/>
      <c r="G60" s="369" t="str">
        <f t="shared" si="2"/>
        <v/>
      </c>
      <c r="H60" s="705"/>
      <c r="I60" s="705"/>
      <c r="J60" s="705"/>
      <c r="K60" s="138">
        <f t="shared" si="3"/>
        <v>0</v>
      </c>
      <c r="L60" s="138">
        <f t="shared" si="6"/>
        <v>0</v>
      </c>
      <c r="M60" s="147"/>
      <c r="N60" s="212"/>
      <c r="O60" s="215"/>
      <c r="P60" s="121"/>
      <c r="Q60">
        <f t="shared" si="8"/>
        <v>0</v>
      </c>
      <c r="R60" s="137"/>
      <c r="S60" s="137"/>
      <c r="T60" s="137"/>
      <c r="U60" s="137"/>
      <c r="V60" s="137"/>
      <c r="W60" s="137"/>
      <c r="X60" s="137"/>
      <c r="Y60" s="137"/>
      <c r="Z60" s="137"/>
      <c r="AA60" s="137"/>
      <c r="AB60" s="137"/>
      <c r="AC60" s="137"/>
      <c r="AD60" s="137"/>
      <c r="AE60" s="137"/>
      <c r="AF60" s="137"/>
      <c r="AH60" s="147" t="e">
        <f t="shared" si="9"/>
        <v>#VALUE!</v>
      </c>
      <c r="AI60" s="161" t="e">
        <f t="shared" si="4"/>
        <v>#N/A</v>
      </c>
      <c r="AJ60" s="663">
        <f t="shared" si="5"/>
        <v>0</v>
      </c>
      <c r="AK60" s="146"/>
      <c r="AL60" s="146"/>
      <c r="AM60" s="146"/>
      <c r="AN60" s="146"/>
      <c r="AO60" s="146"/>
      <c r="AP60" s="146"/>
      <c r="AQ60" s="146"/>
      <c r="AR60" s="146"/>
      <c r="AS60" s="146"/>
      <c r="AT60" s="146"/>
      <c r="AU60" s="146"/>
      <c r="AV60" s="138"/>
      <c r="AW60" s="121"/>
    </row>
    <row r="61" spans="1:49" s="50" customFormat="1" hidden="1" x14ac:dyDescent="0.3">
      <c r="A61" s="121"/>
      <c r="B61" s="153">
        <f t="shared" si="10"/>
        <v>45</v>
      </c>
      <c r="C61" s="705"/>
      <c r="D61" s="705"/>
      <c r="E61" s="705"/>
      <c r="F61" s="705"/>
      <c r="G61" s="369" t="str">
        <f t="shared" si="2"/>
        <v/>
      </c>
      <c r="H61" s="705"/>
      <c r="I61" s="705"/>
      <c r="J61" s="705"/>
      <c r="K61" s="138">
        <f t="shared" si="3"/>
        <v>0</v>
      </c>
      <c r="L61" s="138">
        <f t="shared" si="6"/>
        <v>0</v>
      </c>
      <c r="M61" s="147"/>
      <c r="N61" s="212"/>
      <c r="O61" s="215"/>
      <c r="P61" s="121"/>
      <c r="Q61">
        <f t="shared" si="8"/>
        <v>0</v>
      </c>
      <c r="R61" s="137"/>
      <c r="S61" s="137"/>
      <c r="T61" s="137"/>
      <c r="U61" s="137"/>
      <c r="V61" s="137"/>
      <c r="W61" s="137"/>
      <c r="X61" s="137"/>
      <c r="Y61" s="137"/>
      <c r="Z61" s="137"/>
      <c r="AA61" s="137"/>
      <c r="AB61" s="137"/>
      <c r="AC61" s="137"/>
      <c r="AD61" s="137"/>
      <c r="AE61" s="137"/>
      <c r="AF61" s="137"/>
      <c r="AH61" s="147" t="e">
        <f t="shared" si="9"/>
        <v>#VALUE!</v>
      </c>
      <c r="AI61" s="161" t="e">
        <f t="shared" si="4"/>
        <v>#N/A</v>
      </c>
      <c r="AJ61" s="663">
        <f t="shared" si="5"/>
        <v>0</v>
      </c>
      <c r="AK61" s="146"/>
      <c r="AL61" s="146"/>
      <c r="AM61" s="146"/>
      <c r="AN61" s="146"/>
      <c r="AO61" s="146"/>
      <c r="AP61" s="146"/>
      <c r="AQ61" s="146"/>
      <c r="AR61" s="146"/>
      <c r="AS61" s="146"/>
      <c r="AT61" s="146"/>
      <c r="AU61" s="146"/>
      <c r="AV61" s="138"/>
      <c r="AW61" s="121"/>
    </row>
    <row r="62" spans="1:49" s="50" customFormat="1" hidden="1" x14ac:dyDescent="0.3">
      <c r="A62" s="121"/>
      <c r="B62" s="153">
        <f t="shared" si="10"/>
        <v>46</v>
      </c>
      <c r="C62" s="705"/>
      <c r="D62" s="705"/>
      <c r="E62" s="705"/>
      <c r="F62" s="705"/>
      <c r="G62" s="369" t="str">
        <f t="shared" si="2"/>
        <v/>
      </c>
      <c r="H62" s="705"/>
      <c r="I62" s="705"/>
      <c r="J62" s="705"/>
      <c r="K62" s="138">
        <f t="shared" si="3"/>
        <v>0</v>
      </c>
      <c r="L62" s="138">
        <f t="shared" si="6"/>
        <v>0</v>
      </c>
      <c r="M62" s="147"/>
      <c r="N62" s="212"/>
      <c r="O62" s="215"/>
      <c r="P62" s="121"/>
      <c r="Q62">
        <f t="shared" si="8"/>
        <v>0</v>
      </c>
      <c r="R62" s="137"/>
      <c r="S62" s="137"/>
      <c r="T62" s="137"/>
      <c r="U62" s="137"/>
      <c r="V62" s="137"/>
      <c r="W62" s="137"/>
      <c r="X62" s="137"/>
      <c r="Y62" s="137"/>
      <c r="Z62" s="137"/>
      <c r="AA62" s="137"/>
      <c r="AB62" s="137"/>
      <c r="AC62" s="137"/>
      <c r="AD62" s="137"/>
      <c r="AE62" s="137"/>
      <c r="AF62" s="137"/>
      <c r="AH62" s="147" t="e">
        <f t="shared" si="9"/>
        <v>#VALUE!</v>
      </c>
      <c r="AI62" s="161" t="e">
        <f t="shared" si="4"/>
        <v>#N/A</v>
      </c>
      <c r="AJ62" s="663">
        <f t="shared" si="5"/>
        <v>0</v>
      </c>
      <c r="AK62" s="146"/>
      <c r="AL62" s="146"/>
      <c r="AM62" s="146"/>
      <c r="AN62" s="146"/>
      <c r="AO62" s="146"/>
      <c r="AP62" s="146"/>
      <c r="AQ62" s="146"/>
      <c r="AR62" s="146"/>
      <c r="AS62" s="146"/>
      <c r="AT62" s="146"/>
      <c r="AU62" s="146"/>
      <c r="AV62" s="138"/>
      <c r="AW62" s="121"/>
    </row>
    <row r="63" spans="1:49" s="50" customFormat="1" hidden="1" x14ac:dyDescent="0.3">
      <c r="A63" s="121"/>
      <c r="B63" s="153">
        <f t="shared" si="10"/>
        <v>47</v>
      </c>
      <c r="C63" s="705"/>
      <c r="D63" s="705"/>
      <c r="E63" s="705"/>
      <c r="F63" s="705"/>
      <c r="G63" s="369" t="str">
        <f t="shared" si="2"/>
        <v/>
      </c>
      <c r="H63" s="705"/>
      <c r="I63" s="705"/>
      <c r="J63" s="705"/>
      <c r="K63" s="138">
        <f t="shared" si="3"/>
        <v>0</v>
      </c>
      <c r="L63" s="138">
        <f t="shared" si="6"/>
        <v>0</v>
      </c>
      <c r="M63" s="147"/>
      <c r="N63" s="212"/>
      <c r="O63" s="215"/>
      <c r="P63" s="121"/>
      <c r="Q63">
        <f t="shared" si="8"/>
        <v>0</v>
      </c>
      <c r="R63" s="137"/>
      <c r="S63" s="137"/>
      <c r="T63" s="137"/>
      <c r="U63" s="137"/>
      <c r="V63" s="137"/>
      <c r="W63" s="137"/>
      <c r="X63" s="137"/>
      <c r="Y63" s="137"/>
      <c r="Z63" s="137"/>
      <c r="AA63" s="137"/>
      <c r="AB63" s="137"/>
      <c r="AC63" s="137"/>
      <c r="AD63" s="137"/>
      <c r="AE63" s="137"/>
      <c r="AF63" s="137"/>
      <c r="AH63" s="147" t="e">
        <f t="shared" si="9"/>
        <v>#VALUE!</v>
      </c>
      <c r="AI63" s="161" t="e">
        <f t="shared" si="4"/>
        <v>#N/A</v>
      </c>
      <c r="AJ63" s="663">
        <f t="shared" si="5"/>
        <v>0</v>
      </c>
      <c r="AK63" s="146"/>
      <c r="AL63" s="146"/>
      <c r="AM63" s="146"/>
      <c r="AN63" s="146"/>
      <c r="AO63" s="146"/>
      <c r="AP63" s="146"/>
      <c r="AQ63" s="146"/>
      <c r="AR63" s="146"/>
      <c r="AS63" s="146"/>
      <c r="AT63" s="146"/>
      <c r="AU63" s="146"/>
      <c r="AV63" s="138"/>
      <c r="AW63" s="121"/>
    </row>
    <row r="64" spans="1:49" s="50" customFormat="1" hidden="1" x14ac:dyDescent="0.3">
      <c r="A64" s="121"/>
      <c r="B64" s="153">
        <f t="shared" si="10"/>
        <v>48</v>
      </c>
      <c r="C64" s="705"/>
      <c r="D64" s="705"/>
      <c r="E64" s="705"/>
      <c r="F64" s="705"/>
      <c r="G64" s="369" t="str">
        <f t="shared" si="2"/>
        <v/>
      </c>
      <c r="H64" s="705"/>
      <c r="I64" s="705"/>
      <c r="J64" s="705"/>
      <c r="K64" s="138">
        <f t="shared" si="3"/>
        <v>0</v>
      </c>
      <c r="L64" s="138">
        <f t="shared" si="6"/>
        <v>0</v>
      </c>
      <c r="M64" s="147"/>
      <c r="N64" s="212"/>
      <c r="O64" s="215"/>
      <c r="P64" s="121"/>
      <c r="Q64">
        <f t="shared" si="8"/>
        <v>0</v>
      </c>
      <c r="R64" s="137"/>
      <c r="S64" s="137"/>
      <c r="T64" s="137"/>
      <c r="U64" s="137"/>
      <c r="V64" s="137"/>
      <c r="W64" s="137"/>
      <c r="X64" s="137"/>
      <c r="Y64" s="137"/>
      <c r="Z64" s="137"/>
      <c r="AA64" s="137"/>
      <c r="AB64" s="137"/>
      <c r="AC64" s="137"/>
      <c r="AD64" s="137"/>
      <c r="AE64" s="137"/>
      <c r="AF64" s="137"/>
      <c r="AH64" s="147" t="e">
        <f t="shared" si="9"/>
        <v>#VALUE!</v>
      </c>
      <c r="AI64" s="161" t="e">
        <f t="shared" si="4"/>
        <v>#N/A</v>
      </c>
      <c r="AJ64" s="663">
        <f t="shared" si="5"/>
        <v>0</v>
      </c>
      <c r="AK64" s="146"/>
      <c r="AL64" s="146"/>
      <c r="AM64" s="146"/>
      <c r="AN64" s="146"/>
      <c r="AO64" s="146"/>
      <c r="AP64" s="146"/>
      <c r="AQ64" s="146"/>
      <c r="AR64" s="146"/>
      <c r="AS64" s="146"/>
      <c r="AT64" s="146"/>
      <c r="AU64" s="146"/>
      <c r="AV64" s="138"/>
      <c r="AW64" s="121"/>
    </row>
    <row r="65" spans="1:49" s="50" customFormat="1" hidden="1" x14ac:dyDescent="0.3">
      <c r="A65" s="121"/>
      <c r="B65" s="153">
        <f t="shared" si="10"/>
        <v>49</v>
      </c>
      <c r="C65" s="705"/>
      <c r="D65" s="705"/>
      <c r="E65" s="705"/>
      <c r="F65" s="705"/>
      <c r="G65" s="369" t="str">
        <f t="shared" si="2"/>
        <v/>
      </c>
      <c r="H65" s="705"/>
      <c r="I65" s="705"/>
      <c r="J65" s="705"/>
      <c r="K65" s="138">
        <f t="shared" si="3"/>
        <v>0</v>
      </c>
      <c r="L65" s="138">
        <f t="shared" si="6"/>
        <v>0</v>
      </c>
      <c r="M65" s="147"/>
      <c r="N65" s="212"/>
      <c r="O65" s="215"/>
      <c r="P65" s="121"/>
      <c r="Q65">
        <f t="shared" si="8"/>
        <v>0</v>
      </c>
      <c r="R65" s="137"/>
      <c r="S65" s="137"/>
      <c r="T65" s="137"/>
      <c r="U65" s="137"/>
      <c r="V65" s="137"/>
      <c r="W65" s="137"/>
      <c r="X65" s="137"/>
      <c r="Y65" s="137"/>
      <c r="Z65" s="137"/>
      <c r="AA65" s="137"/>
      <c r="AB65" s="137"/>
      <c r="AC65" s="137"/>
      <c r="AD65" s="137"/>
      <c r="AE65" s="137"/>
      <c r="AF65" s="137"/>
      <c r="AH65" s="147" t="e">
        <f t="shared" si="9"/>
        <v>#VALUE!</v>
      </c>
      <c r="AI65" s="161" t="e">
        <f t="shared" si="4"/>
        <v>#N/A</v>
      </c>
      <c r="AJ65" s="663">
        <f t="shared" si="5"/>
        <v>0</v>
      </c>
      <c r="AK65" s="146"/>
      <c r="AL65" s="146"/>
      <c r="AM65" s="146"/>
      <c r="AN65" s="146"/>
      <c r="AO65" s="146"/>
      <c r="AP65" s="146"/>
      <c r="AQ65" s="146"/>
      <c r="AR65" s="146"/>
      <c r="AS65" s="146"/>
      <c r="AT65" s="146"/>
      <c r="AU65" s="146"/>
      <c r="AV65" s="138"/>
      <c r="AW65" s="121"/>
    </row>
    <row r="66" spans="1:49" hidden="1" x14ac:dyDescent="0.3">
      <c r="A66" s="2"/>
      <c r="B66" s="153">
        <f t="shared" si="10"/>
        <v>50</v>
      </c>
      <c r="C66" s="705"/>
      <c r="D66" s="705"/>
      <c r="E66" s="705"/>
      <c r="F66" s="705"/>
      <c r="G66" s="369" t="str">
        <f t="shared" si="2"/>
        <v/>
      </c>
      <c r="H66" s="705"/>
      <c r="I66" s="705"/>
      <c r="J66" s="705"/>
      <c r="K66" s="138">
        <f t="shared" si="3"/>
        <v>0</v>
      </c>
      <c r="L66" s="138">
        <f t="shared" si="6"/>
        <v>0</v>
      </c>
      <c r="M66" s="147"/>
      <c r="N66" s="212"/>
      <c r="O66" s="215"/>
      <c r="P66" s="216"/>
      <c r="Q66">
        <f t="shared" si="8"/>
        <v>0</v>
      </c>
      <c r="R66" s="137"/>
      <c r="S66" s="137"/>
      <c r="T66" s="137"/>
      <c r="U66" s="137"/>
      <c r="V66" s="137"/>
      <c r="W66" s="137"/>
      <c r="X66" s="137"/>
      <c r="Y66" s="137"/>
      <c r="Z66" s="137"/>
      <c r="AA66" s="137"/>
      <c r="AB66" s="137"/>
      <c r="AC66" s="137"/>
      <c r="AD66" s="137"/>
      <c r="AE66" s="137"/>
      <c r="AF66" s="137"/>
      <c r="AG66" s="144"/>
      <c r="AH66" s="147" t="e">
        <f t="shared" si="9"/>
        <v>#VALUE!</v>
      </c>
      <c r="AI66" s="161" t="e">
        <f t="shared" si="4"/>
        <v>#N/A</v>
      </c>
      <c r="AJ66" s="663">
        <f t="shared" si="5"/>
        <v>0</v>
      </c>
      <c r="AK66" s="146"/>
      <c r="AL66" s="146"/>
      <c r="AM66" s="146"/>
      <c r="AN66" s="146"/>
      <c r="AO66" s="146"/>
      <c r="AP66" s="146"/>
      <c r="AQ66" s="146"/>
      <c r="AR66" s="146"/>
      <c r="AS66" s="146"/>
      <c r="AT66" s="146"/>
      <c r="AU66" s="146"/>
      <c r="AV66" s="138"/>
      <c r="AW66" s="144"/>
    </row>
    <row r="67" spans="1:49" hidden="1" x14ac:dyDescent="0.3">
      <c r="A67" s="2"/>
      <c r="B67" s="153">
        <f t="shared" si="10"/>
        <v>51</v>
      </c>
      <c r="C67" s="705"/>
      <c r="D67" s="705"/>
      <c r="E67" s="705"/>
      <c r="F67" s="705"/>
      <c r="G67" s="369" t="str">
        <f t="shared" si="2"/>
        <v/>
      </c>
      <c r="H67" s="705"/>
      <c r="I67" s="705"/>
      <c r="J67" s="705"/>
      <c r="K67" s="138">
        <f t="shared" si="3"/>
        <v>0</v>
      </c>
      <c r="L67" s="138">
        <f t="shared" si="6"/>
        <v>0</v>
      </c>
      <c r="M67" s="147"/>
      <c r="N67" s="212"/>
      <c r="O67" s="215"/>
      <c r="P67" s="216"/>
      <c r="Q67">
        <f t="shared" si="8"/>
        <v>0</v>
      </c>
      <c r="R67" s="137"/>
      <c r="S67" s="137"/>
      <c r="T67" s="137"/>
      <c r="U67" s="137"/>
      <c r="V67" s="137"/>
      <c r="W67" s="137"/>
      <c r="X67" s="137"/>
      <c r="Y67" s="137"/>
      <c r="Z67" s="137"/>
      <c r="AA67" s="137"/>
      <c r="AB67" s="137"/>
      <c r="AC67" s="137"/>
      <c r="AD67" s="137"/>
      <c r="AE67" s="137"/>
      <c r="AF67" s="137"/>
      <c r="AH67" s="147" t="e">
        <f t="shared" si="9"/>
        <v>#VALUE!</v>
      </c>
      <c r="AI67" s="161" t="e">
        <f t="shared" si="4"/>
        <v>#N/A</v>
      </c>
      <c r="AJ67" s="663">
        <f t="shared" si="5"/>
        <v>0</v>
      </c>
      <c r="AK67" s="146"/>
      <c r="AL67" s="146"/>
      <c r="AM67" s="146"/>
      <c r="AN67" s="146"/>
      <c r="AO67" s="146"/>
      <c r="AP67" s="146"/>
      <c r="AQ67" s="146"/>
      <c r="AR67" s="146"/>
      <c r="AS67" s="146"/>
      <c r="AT67" s="146"/>
      <c r="AU67" s="146"/>
      <c r="AV67" s="138"/>
      <c r="AW67" s="2"/>
    </row>
    <row r="68" spans="1:49" hidden="1" x14ac:dyDescent="0.3">
      <c r="A68" s="2"/>
      <c r="B68" s="153">
        <f t="shared" si="10"/>
        <v>52</v>
      </c>
      <c r="C68" s="705"/>
      <c r="D68" s="705"/>
      <c r="E68" s="705"/>
      <c r="F68" s="705"/>
      <c r="G68" s="369" t="str">
        <f t="shared" si="2"/>
        <v/>
      </c>
      <c r="H68" s="705"/>
      <c r="I68" s="705"/>
      <c r="J68" s="705"/>
      <c r="K68" s="138">
        <f t="shared" si="3"/>
        <v>0</v>
      </c>
      <c r="L68" s="138">
        <f t="shared" si="6"/>
        <v>0</v>
      </c>
      <c r="M68" s="147"/>
      <c r="N68" s="212"/>
      <c r="O68" s="215"/>
      <c r="P68" s="216"/>
      <c r="Q68">
        <f t="shared" si="8"/>
        <v>0</v>
      </c>
      <c r="R68" s="137"/>
      <c r="S68" s="137"/>
      <c r="T68" s="137"/>
      <c r="U68" s="137"/>
      <c r="V68" s="137"/>
      <c r="W68" s="137"/>
      <c r="X68" s="137"/>
      <c r="Y68" s="137"/>
      <c r="Z68" s="137"/>
      <c r="AA68" s="137"/>
      <c r="AB68" s="137"/>
      <c r="AC68" s="137"/>
      <c r="AD68" s="137"/>
      <c r="AE68" s="137"/>
      <c r="AF68" s="137"/>
      <c r="AH68" s="147" t="e">
        <f t="shared" si="9"/>
        <v>#VALUE!</v>
      </c>
      <c r="AI68" s="161" t="e">
        <f t="shared" si="4"/>
        <v>#N/A</v>
      </c>
      <c r="AJ68" s="663">
        <f t="shared" si="5"/>
        <v>0</v>
      </c>
      <c r="AK68" s="146"/>
      <c r="AL68" s="146"/>
      <c r="AM68" s="146"/>
      <c r="AN68" s="146"/>
      <c r="AO68" s="146"/>
      <c r="AP68" s="146"/>
      <c r="AQ68" s="146"/>
      <c r="AR68" s="146"/>
      <c r="AS68" s="146"/>
      <c r="AT68" s="146"/>
      <c r="AU68" s="146"/>
      <c r="AV68" s="138"/>
      <c r="AW68" s="2"/>
    </row>
    <row r="69" spans="1:49" hidden="1" x14ac:dyDescent="0.3">
      <c r="A69" s="2"/>
      <c r="B69" s="153">
        <f t="shared" si="10"/>
        <v>53</v>
      </c>
      <c r="C69" s="705"/>
      <c r="D69" s="705"/>
      <c r="E69" s="705"/>
      <c r="F69" s="705"/>
      <c r="G69" s="369" t="str">
        <f t="shared" si="2"/>
        <v/>
      </c>
      <c r="H69" s="705"/>
      <c r="I69" s="705"/>
      <c r="J69" s="705"/>
      <c r="K69" s="138">
        <f t="shared" si="3"/>
        <v>0</v>
      </c>
      <c r="L69" s="138">
        <f t="shared" si="6"/>
        <v>0</v>
      </c>
      <c r="M69" s="147"/>
      <c r="N69" s="212"/>
      <c r="O69" s="215"/>
      <c r="P69" s="216"/>
      <c r="Q69">
        <f t="shared" si="8"/>
        <v>0</v>
      </c>
      <c r="R69" s="137"/>
      <c r="S69" s="137"/>
      <c r="T69" s="137"/>
      <c r="U69" s="137"/>
      <c r="V69" s="137"/>
      <c r="W69" s="137"/>
      <c r="X69" s="137"/>
      <c r="Y69" s="137"/>
      <c r="Z69" s="137"/>
      <c r="AA69" s="137"/>
      <c r="AB69" s="137"/>
      <c r="AC69" s="137"/>
      <c r="AD69" s="137"/>
      <c r="AE69" s="137"/>
      <c r="AF69" s="137"/>
      <c r="AH69" s="147" t="e">
        <f t="shared" si="9"/>
        <v>#VALUE!</v>
      </c>
      <c r="AI69" s="161" t="e">
        <f t="shared" si="4"/>
        <v>#N/A</v>
      </c>
      <c r="AJ69" s="663">
        <f t="shared" si="5"/>
        <v>0</v>
      </c>
      <c r="AK69" s="146"/>
      <c r="AL69" s="146"/>
      <c r="AM69" s="146"/>
      <c r="AN69" s="146"/>
      <c r="AO69" s="146"/>
      <c r="AP69" s="146"/>
      <c r="AQ69" s="146"/>
      <c r="AR69" s="146"/>
      <c r="AS69" s="146"/>
      <c r="AT69" s="146"/>
      <c r="AU69" s="146"/>
      <c r="AV69" s="138"/>
      <c r="AW69" s="2"/>
    </row>
    <row r="70" spans="1:49" hidden="1" x14ac:dyDescent="0.3">
      <c r="A70" s="2"/>
      <c r="B70" s="153">
        <f t="shared" si="10"/>
        <v>54</v>
      </c>
      <c r="C70" s="705"/>
      <c r="D70" s="705"/>
      <c r="E70" s="705"/>
      <c r="F70" s="705"/>
      <c r="G70" s="369" t="str">
        <f t="shared" si="2"/>
        <v/>
      </c>
      <c r="H70" s="705"/>
      <c r="I70" s="705"/>
      <c r="J70" s="705"/>
      <c r="K70" s="138">
        <f t="shared" si="3"/>
        <v>0</v>
      </c>
      <c r="L70" s="138">
        <f t="shared" si="6"/>
        <v>0</v>
      </c>
      <c r="M70" s="147"/>
      <c r="N70" s="212"/>
      <c r="O70" s="215"/>
      <c r="P70" s="216"/>
      <c r="Q70">
        <f t="shared" si="8"/>
        <v>0</v>
      </c>
      <c r="R70" s="137"/>
      <c r="S70" s="137"/>
      <c r="T70" s="137"/>
      <c r="U70" s="137"/>
      <c r="V70" s="137"/>
      <c r="W70" s="137"/>
      <c r="X70" s="137"/>
      <c r="Y70" s="137"/>
      <c r="Z70" s="137"/>
      <c r="AA70" s="137"/>
      <c r="AB70" s="137"/>
      <c r="AC70" s="137"/>
      <c r="AD70" s="137"/>
      <c r="AE70" s="137"/>
      <c r="AF70" s="137"/>
      <c r="AH70" s="147" t="e">
        <f t="shared" si="9"/>
        <v>#VALUE!</v>
      </c>
      <c r="AI70" s="161" t="e">
        <f t="shared" si="4"/>
        <v>#N/A</v>
      </c>
      <c r="AJ70" s="663">
        <f t="shared" si="5"/>
        <v>0</v>
      </c>
      <c r="AK70" s="146"/>
      <c r="AL70" s="146"/>
      <c r="AM70" s="146"/>
      <c r="AN70" s="146"/>
      <c r="AO70" s="146"/>
      <c r="AP70" s="146"/>
      <c r="AQ70" s="146"/>
      <c r="AR70" s="146"/>
      <c r="AS70" s="146"/>
      <c r="AT70" s="146"/>
      <c r="AU70" s="146"/>
      <c r="AV70" s="138"/>
      <c r="AW70" s="2"/>
    </row>
    <row r="71" spans="1:49" s="50" customFormat="1" hidden="1" x14ac:dyDescent="0.3">
      <c r="A71" s="121"/>
      <c r="B71" s="153">
        <f t="shared" si="10"/>
        <v>55</v>
      </c>
      <c r="C71" s="705"/>
      <c r="D71" s="705"/>
      <c r="E71" s="705"/>
      <c r="F71" s="705"/>
      <c r="G71" s="369" t="str">
        <f t="shared" si="2"/>
        <v/>
      </c>
      <c r="H71" s="705"/>
      <c r="I71" s="705"/>
      <c r="J71" s="705"/>
      <c r="K71" s="138">
        <f t="shared" si="3"/>
        <v>0</v>
      </c>
      <c r="L71" s="138">
        <f t="shared" si="6"/>
        <v>0</v>
      </c>
      <c r="M71" s="147"/>
      <c r="N71" s="499"/>
      <c r="O71" s="499"/>
      <c r="P71" s="121"/>
      <c r="Q71">
        <f t="shared" si="8"/>
        <v>0</v>
      </c>
      <c r="R71" s="137"/>
      <c r="S71" s="137"/>
      <c r="T71" s="137"/>
      <c r="U71" s="137"/>
      <c r="V71" s="137"/>
      <c r="W71" s="137"/>
      <c r="X71" s="137"/>
      <c r="Y71" s="137"/>
      <c r="Z71" s="137"/>
      <c r="AA71" s="137"/>
      <c r="AB71" s="137"/>
      <c r="AC71" s="137"/>
      <c r="AD71" s="137"/>
      <c r="AE71" s="137"/>
      <c r="AF71" s="137"/>
      <c r="AH71" s="147" t="e">
        <f t="shared" si="9"/>
        <v>#VALUE!</v>
      </c>
      <c r="AI71" s="161" t="e">
        <f t="shared" si="4"/>
        <v>#N/A</v>
      </c>
      <c r="AJ71" s="663">
        <f t="shared" si="5"/>
        <v>0</v>
      </c>
      <c r="AK71" s="146"/>
      <c r="AL71" s="146"/>
      <c r="AM71" s="146"/>
      <c r="AN71" s="146"/>
      <c r="AO71" s="146"/>
      <c r="AP71" s="146"/>
      <c r="AQ71" s="146"/>
      <c r="AR71" s="146"/>
      <c r="AS71" s="146"/>
      <c r="AT71" s="146"/>
      <c r="AU71" s="146"/>
      <c r="AV71" s="138"/>
      <c r="AW71" s="121"/>
    </row>
    <row r="72" spans="1:49" s="50" customFormat="1" hidden="1" x14ac:dyDescent="0.3">
      <c r="A72" s="121"/>
      <c r="B72" s="153">
        <f t="shared" si="10"/>
        <v>56</v>
      </c>
      <c r="C72" s="705"/>
      <c r="D72" s="705"/>
      <c r="E72" s="705"/>
      <c r="F72" s="705"/>
      <c r="G72" s="369" t="str">
        <f t="shared" si="2"/>
        <v/>
      </c>
      <c r="H72" s="705"/>
      <c r="I72" s="705"/>
      <c r="J72" s="705"/>
      <c r="K72" s="138">
        <f t="shared" si="3"/>
        <v>0</v>
      </c>
      <c r="L72" s="138">
        <f t="shared" si="6"/>
        <v>0</v>
      </c>
      <c r="M72" s="147"/>
      <c r="N72" s="499"/>
      <c r="O72" s="499"/>
      <c r="P72" s="121"/>
      <c r="Q72">
        <f t="shared" si="8"/>
        <v>0</v>
      </c>
      <c r="R72" s="137"/>
      <c r="S72" s="137"/>
      <c r="T72" s="137"/>
      <c r="U72" s="137"/>
      <c r="V72" s="137"/>
      <c r="W72" s="137"/>
      <c r="X72" s="137"/>
      <c r="Y72" s="137"/>
      <c r="Z72" s="137"/>
      <c r="AA72" s="137"/>
      <c r="AB72" s="137"/>
      <c r="AC72" s="137"/>
      <c r="AD72" s="137"/>
      <c r="AE72" s="137"/>
      <c r="AF72" s="137"/>
      <c r="AH72" s="147" t="e">
        <f t="shared" si="9"/>
        <v>#VALUE!</v>
      </c>
      <c r="AI72" s="161" t="e">
        <f t="shared" si="4"/>
        <v>#N/A</v>
      </c>
      <c r="AJ72" s="663">
        <f t="shared" si="5"/>
        <v>0</v>
      </c>
      <c r="AK72" s="146"/>
      <c r="AL72" s="146"/>
      <c r="AM72" s="146"/>
      <c r="AN72" s="146"/>
      <c r="AO72" s="146"/>
      <c r="AP72" s="146"/>
      <c r="AQ72" s="146"/>
      <c r="AR72" s="146"/>
      <c r="AS72" s="146"/>
      <c r="AT72" s="146"/>
      <c r="AU72" s="146"/>
      <c r="AV72" s="138"/>
      <c r="AW72" s="121"/>
    </row>
    <row r="73" spans="1:49" hidden="1" x14ac:dyDescent="0.3">
      <c r="A73" s="2"/>
      <c r="B73" s="153">
        <f t="shared" si="10"/>
        <v>57</v>
      </c>
      <c r="C73" s="705"/>
      <c r="D73" s="705"/>
      <c r="E73" s="705"/>
      <c r="F73" s="705"/>
      <c r="G73" s="369" t="str">
        <f t="shared" si="2"/>
        <v/>
      </c>
      <c r="H73" s="705"/>
      <c r="I73" s="705"/>
      <c r="J73" s="705"/>
      <c r="K73" s="138">
        <f t="shared" si="3"/>
        <v>0</v>
      </c>
      <c r="L73" s="138">
        <f t="shared" si="6"/>
        <v>0</v>
      </c>
      <c r="M73" s="147"/>
      <c r="N73" s="212"/>
      <c r="O73" s="215"/>
      <c r="P73" s="216"/>
      <c r="Q73">
        <f t="shared" si="8"/>
        <v>0</v>
      </c>
      <c r="R73" s="137"/>
      <c r="S73" s="137"/>
      <c r="T73" s="137"/>
      <c r="U73" s="137"/>
      <c r="V73" s="137"/>
      <c r="W73" s="137"/>
      <c r="X73" s="137"/>
      <c r="Y73" s="137"/>
      <c r="Z73" s="137"/>
      <c r="AA73" s="137"/>
      <c r="AB73" s="137"/>
      <c r="AC73" s="137"/>
      <c r="AD73" s="137"/>
      <c r="AE73" s="137"/>
      <c r="AF73" s="137"/>
      <c r="AH73" s="147" t="e">
        <f t="shared" si="9"/>
        <v>#VALUE!</v>
      </c>
      <c r="AI73" s="161" t="e">
        <f t="shared" si="4"/>
        <v>#N/A</v>
      </c>
      <c r="AJ73" s="663">
        <f t="shared" si="5"/>
        <v>0</v>
      </c>
      <c r="AK73" s="146"/>
      <c r="AL73" s="146"/>
      <c r="AM73" s="146"/>
      <c r="AN73" s="146"/>
      <c r="AO73" s="146"/>
      <c r="AP73" s="146"/>
      <c r="AQ73" s="146"/>
      <c r="AR73" s="146"/>
      <c r="AS73" s="146"/>
      <c r="AT73" s="146"/>
      <c r="AU73" s="146"/>
      <c r="AV73" s="138"/>
      <c r="AW73" s="2"/>
    </row>
    <row r="74" spans="1:49" hidden="1" x14ac:dyDescent="0.3">
      <c r="B74" s="153">
        <f t="shared" si="10"/>
        <v>58</v>
      </c>
      <c r="C74" s="705"/>
      <c r="D74" s="705"/>
      <c r="E74" s="705"/>
      <c r="F74" s="705"/>
      <c r="G74" s="369"/>
      <c r="H74" s="705"/>
      <c r="I74" s="705"/>
      <c r="J74" s="705"/>
      <c r="K74" s="138"/>
      <c r="L74" s="138"/>
      <c r="M74" s="147"/>
      <c r="N74" s="212"/>
      <c r="O74" s="147"/>
      <c r="P74" s="16"/>
      <c r="R74" s="137"/>
      <c r="S74" s="137"/>
      <c r="T74" s="137"/>
      <c r="U74" s="137"/>
      <c r="V74" s="137"/>
      <c r="W74" s="137"/>
      <c r="X74" s="137"/>
      <c r="Y74" s="137"/>
      <c r="Z74" s="137"/>
      <c r="AA74" s="137"/>
      <c r="AB74" s="137"/>
      <c r="AC74" s="137"/>
      <c r="AD74" s="137"/>
      <c r="AE74" s="137"/>
      <c r="AF74" s="137"/>
      <c r="AG74" s="2"/>
      <c r="AH74" s="138"/>
      <c r="AI74" s="161"/>
      <c r="AJ74" s="378"/>
      <c r="AK74" s="146"/>
      <c r="AL74" s="146"/>
      <c r="AM74" s="146"/>
      <c r="AN74" s="146"/>
      <c r="AO74" s="146"/>
      <c r="AP74" s="146"/>
      <c r="AQ74" s="146"/>
      <c r="AR74" s="135"/>
      <c r="AS74" s="135"/>
      <c r="AT74" s="135"/>
      <c r="AU74" s="135"/>
      <c r="AV74" s="25"/>
      <c r="AW74" s="2"/>
    </row>
    <row r="75" spans="1:49" x14ac:dyDescent="0.3">
      <c r="B75" s="153">
        <f t="shared" si="10"/>
        <v>59</v>
      </c>
      <c r="C75" t="s">
        <v>256</v>
      </c>
      <c r="D75" s="2"/>
      <c r="F75" s="2"/>
      <c r="G75" s="34"/>
      <c r="H75" s="34"/>
      <c r="I75" s="2"/>
      <c r="M75" s="147"/>
      <c r="N75" s="213"/>
      <c r="O75" s="216"/>
      <c r="P75" s="216"/>
      <c r="Q75">
        <f>SUM(Q17:Q74)</f>
        <v>133207</v>
      </c>
      <c r="R75" s="2"/>
      <c r="S75" s="2"/>
      <c r="T75" s="2"/>
      <c r="U75" s="2"/>
      <c r="V75" s="2"/>
      <c r="W75" s="2"/>
      <c r="X75" s="2"/>
      <c r="Y75" s="2"/>
      <c r="Z75" s="2"/>
      <c r="AA75" s="2"/>
      <c r="AB75" s="2"/>
      <c r="AC75" s="2"/>
      <c r="AD75" s="2"/>
      <c r="AE75" s="2"/>
      <c r="AF75" s="2"/>
      <c r="AG75" s="2"/>
      <c r="AH75" s="2"/>
      <c r="AI75" s="2"/>
      <c r="AJ75" s="2"/>
      <c r="AK75" s="2"/>
      <c r="AQ75" s="2"/>
      <c r="AR75" s="2"/>
      <c r="AS75" s="2"/>
      <c r="AT75" s="2"/>
      <c r="AU75" s="2"/>
      <c r="AV75" s="2"/>
      <c r="AW75" s="2"/>
    </row>
    <row r="76" spans="1:49" x14ac:dyDescent="0.3">
      <c r="B76" s="153">
        <f t="shared" si="10"/>
        <v>60</v>
      </c>
      <c r="D76" s="2"/>
      <c r="F76" s="2"/>
      <c r="G76" s="34"/>
      <c r="H76" s="34"/>
      <c r="I76" s="2"/>
      <c r="M76" s="147"/>
      <c r="N76" s="213"/>
      <c r="O76" s="216"/>
      <c r="P76" s="216"/>
      <c r="R76" s="2"/>
      <c r="S76" s="2"/>
      <c r="T76" s="2"/>
      <c r="U76" s="2"/>
      <c r="V76" s="2"/>
      <c r="W76" s="2"/>
      <c r="X76" s="2"/>
      <c r="Y76" s="2"/>
      <c r="Z76" s="2"/>
      <c r="AA76" s="2"/>
      <c r="AB76" s="2"/>
      <c r="AC76" s="2"/>
      <c r="AD76" s="2"/>
      <c r="AE76" s="2"/>
      <c r="AF76" s="2"/>
      <c r="AG76" s="2"/>
      <c r="AH76" s="2"/>
      <c r="AI76" s="2"/>
      <c r="AJ76" s="2"/>
      <c r="AK76" s="2"/>
      <c r="AQ76" s="2"/>
      <c r="AR76" s="2"/>
      <c r="AS76" s="2"/>
      <c r="AT76" s="2"/>
      <c r="AU76" s="2"/>
      <c r="AV76" s="2"/>
      <c r="AW76" s="2"/>
    </row>
    <row r="77" spans="1:49" x14ac:dyDescent="0.3">
      <c r="A77" s="2"/>
      <c r="B77" s="538">
        <f t="shared" si="10"/>
        <v>61</v>
      </c>
      <c r="C77" s="165" t="s">
        <v>273</v>
      </c>
      <c r="D77" s="166">
        <f>SUM(D17:D74)</f>
        <v>162</v>
      </c>
      <c r="E77" s="166">
        <f>SUMPRODUCT(D$17:D$74,E$17:E$74)</f>
        <v>133207</v>
      </c>
      <c r="F77" s="166"/>
      <c r="G77" s="166">
        <f>SUMPRODUCT(G17:G74,$D17:$D74)</f>
        <v>242</v>
      </c>
      <c r="H77" s="166">
        <f>SUMPRODUCT(ROUNDUP(H17:H74,0),$D17:$D74)</f>
        <v>224</v>
      </c>
      <c r="I77" s="166">
        <f>SUMPRODUCT(I17:I74,$D17:$D74)</f>
        <v>0</v>
      </c>
      <c r="J77" s="166">
        <f>SUM(J17:J74)</f>
        <v>0</v>
      </c>
      <c r="K77" s="166">
        <f>SUM(K17:K74)</f>
        <v>0</v>
      </c>
      <c r="L77" s="166">
        <f>SUM(L17:L74)</f>
        <v>224</v>
      </c>
      <c r="M77" s="166">
        <f ca="1">SUMPRODUCT(M17:M74,$D17:$D74)</f>
        <v>299.94</v>
      </c>
      <c r="N77" s="539">
        <f>SUM(N17:N74)</f>
        <v>0</v>
      </c>
      <c r="O77" s="540">
        <f>SUMPRODUCT(O17:O74,$D17:$D74)</f>
        <v>0</v>
      </c>
      <c r="P77" s="540"/>
      <c r="Q77" s="166" t="s">
        <v>272</v>
      </c>
      <c r="R77" s="166">
        <f t="shared" ref="R77:AF77" si="11">SUM(R17:R75)</f>
        <v>0</v>
      </c>
      <c r="S77" s="166">
        <f t="shared" si="11"/>
        <v>0</v>
      </c>
      <c r="T77" s="166">
        <f t="shared" si="11"/>
        <v>0</v>
      </c>
      <c r="U77" s="166">
        <f t="shared" si="11"/>
        <v>0</v>
      </c>
      <c r="V77" s="166">
        <f t="shared" si="11"/>
        <v>0</v>
      </c>
      <c r="W77" s="166">
        <f t="shared" si="11"/>
        <v>0</v>
      </c>
      <c r="X77" s="166">
        <f t="shared" si="11"/>
        <v>0</v>
      </c>
      <c r="Y77" s="166">
        <f t="shared" si="11"/>
        <v>0</v>
      </c>
      <c r="Z77" s="166">
        <f t="shared" si="11"/>
        <v>0</v>
      </c>
      <c r="AA77" s="166">
        <f t="shared" si="11"/>
        <v>0</v>
      </c>
      <c r="AB77" s="166">
        <f t="shared" si="11"/>
        <v>0</v>
      </c>
      <c r="AC77" s="166">
        <f t="shared" si="11"/>
        <v>0</v>
      </c>
      <c r="AD77" s="166">
        <f t="shared" si="11"/>
        <v>0</v>
      </c>
      <c r="AE77" s="166">
        <f t="shared" si="11"/>
        <v>0</v>
      </c>
      <c r="AF77" s="166">
        <f t="shared" si="11"/>
        <v>0</v>
      </c>
      <c r="AG77" s="165" t="s">
        <v>41</v>
      </c>
      <c r="AH77" s="166" t="e">
        <f>SUMPRODUCT($D$17:$D$74,$E$17:$E$74,AH17:AH74)/SUMPRODUCT($D$17:$D$74,$E$17:$E$74)</f>
        <v>#VALUE!</v>
      </c>
      <c r="AI77" s="166" t="e">
        <f>SUMPRODUCT($D$17:$D$74,$E$17:$E$74,AI17:AI74)/SUMPRODUCT($D$17:$D$74,$E$17:$E$74)</f>
        <v>#N/A</v>
      </c>
      <c r="AJ77" s="166">
        <f>SUMPRODUCT($D$17:$D$74,$E$17:$E$74,AJ17:AJ74)/SUMPRODUCT($D$17:$D$74,$E$17:$E$74)</f>
        <v>90.043466184209535</v>
      </c>
      <c r="AK77" s="166">
        <f t="shared" ref="AK77:AV77" si="12">SUMPRODUCT(AK17:AK74,$D17:$D74)</f>
        <v>0</v>
      </c>
      <c r="AL77" s="166">
        <f t="shared" si="12"/>
        <v>100</v>
      </c>
      <c r="AM77" s="166">
        <f t="shared" si="12"/>
        <v>0</v>
      </c>
      <c r="AN77" s="166">
        <f t="shared" si="12"/>
        <v>62</v>
      </c>
      <c r="AO77" s="166">
        <f t="shared" si="12"/>
        <v>0</v>
      </c>
      <c r="AP77" s="166">
        <f t="shared" si="12"/>
        <v>0</v>
      </c>
      <c r="AQ77" s="166">
        <f t="shared" si="12"/>
        <v>0</v>
      </c>
      <c r="AR77" s="166">
        <f t="shared" si="12"/>
        <v>0</v>
      </c>
      <c r="AS77" s="166">
        <f t="shared" si="12"/>
        <v>0</v>
      </c>
      <c r="AT77" s="166">
        <f t="shared" si="12"/>
        <v>0</v>
      </c>
      <c r="AU77" s="166">
        <f t="shared" si="12"/>
        <v>162</v>
      </c>
      <c r="AV77" s="166">
        <f t="shared" si="12"/>
        <v>162</v>
      </c>
      <c r="AW77" s="2"/>
    </row>
    <row r="78" spans="1:49" x14ac:dyDescent="0.3">
      <c r="B78" s="153">
        <f t="shared" si="10"/>
        <v>62</v>
      </c>
      <c r="C78" t="s">
        <v>274</v>
      </c>
      <c r="E78" s="2">
        <v>136290.39260000002</v>
      </c>
      <c r="R78" s="153"/>
      <c r="S78" s="153"/>
      <c r="T78" s="153"/>
      <c r="U78" s="153"/>
      <c r="V78" s="153"/>
      <c r="W78" s="153"/>
      <c r="X78" s="153"/>
      <c r="Y78" s="153"/>
      <c r="Z78" s="153"/>
      <c r="AA78" s="153"/>
      <c r="AB78" s="153"/>
      <c r="AC78" s="153"/>
      <c r="AD78" s="153"/>
      <c r="AE78" s="153"/>
      <c r="AF78" s="153"/>
      <c r="AG78" s="153"/>
      <c r="AH78" s="2"/>
      <c r="AI78" s="2" t="e">
        <f>SUMPRODUCT(AI17:AI74,D17:D74)</f>
        <v>#N/A</v>
      </c>
      <c r="AJ78" s="2"/>
    </row>
    <row r="79" spans="1:49" x14ac:dyDescent="0.3">
      <c r="B79" s="153">
        <f t="shared" si="10"/>
        <v>63</v>
      </c>
      <c r="E79" s="1913">
        <f>E78/E77</f>
        <v>1.0231473766393659</v>
      </c>
    </row>
    <row r="80" spans="1:49" x14ac:dyDescent="0.3">
      <c r="B80" s="153">
        <f t="shared" si="10"/>
        <v>64</v>
      </c>
      <c r="C80" t="s">
        <v>275</v>
      </c>
      <c r="E80" s="2">
        <f>E77/$D$77</f>
        <v>822.26543209876547</v>
      </c>
      <c r="F80" s="14">
        <f>F77/$D$77</f>
        <v>0</v>
      </c>
      <c r="G80" s="14">
        <f>G77/$D$77</f>
        <v>1.4938271604938271</v>
      </c>
      <c r="H80" s="14">
        <f>H77/$D$77</f>
        <v>1.382716049382716</v>
      </c>
      <c r="I80" s="14">
        <f>I77/$D$77</f>
        <v>0</v>
      </c>
      <c r="M80" s="14">
        <f ca="1">E77/$M$77</f>
        <v>444.11215576448626</v>
      </c>
      <c r="N80" t="s">
        <v>296</v>
      </c>
      <c r="O80" s="14"/>
    </row>
    <row r="81" spans="2:43" x14ac:dyDescent="0.3">
      <c r="B81" s="153">
        <f t="shared" si="10"/>
        <v>65</v>
      </c>
      <c r="C81" t="s">
        <v>276</v>
      </c>
      <c r="E81" s="2">
        <f>E78/$D$77</f>
        <v>841.29871975308652</v>
      </c>
      <c r="M81" s="14">
        <f ca="1">E78/$M$77</f>
        <v>454.39218710408755</v>
      </c>
      <c r="N81" t="s">
        <v>296</v>
      </c>
      <c r="Q81" t="s">
        <v>258</v>
      </c>
      <c r="R81" s="2">
        <f t="shared" ref="R81:AF81" si="13">SUMPRODUCT($E$17:$E$75,R17:R75)</f>
        <v>0</v>
      </c>
      <c r="S81" s="2">
        <f t="shared" si="13"/>
        <v>0</v>
      </c>
      <c r="T81" s="2">
        <f t="shared" si="13"/>
        <v>0</v>
      </c>
      <c r="U81" s="2">
        <f t="shared" si="13"/>
        <v>0</v>
      </c>
      <c r="V81" s="2">
        <f t="shared" si="13"/>
        <v>0</v>
      </c>
      <c r="W81" s="2">
        <f t="shared" si="13"/>
        <v>0</v>
      </c>
      <c r="X81" s="2">
        <f t="shared" si="13"/>
        <v>0</v>
      </c>
      <c r="Y81" s="2">
        <f t="shared" si="13"/>
        <v>0</v>
      </c>
      <c r="Z81" s="2">
        <f t="shared" si="13"/>
        <v>0</v>
      </c>
      <c r="AA81" s="2">
        <f t="shared" si="13"/>
        <v>0</v>
      </c>
      <c r="AB81" s="2">
        <f t="shared" si="13"/>
        <v>0</v>
      </c>
      <c r="AC81" s="2">
        <f t="shared" si="13"/>
        <v>0</v>
      </c>
      <c r="AD81" s="2">
        <f t="shared" si="13"/>
        <v>0</v>
      </c>
      <c r="AE81" s="2">
        <f t="shared" si="13"/>
        <v>0</v>
      </c>
      <c r="AF81" s="2">
        <f t="shared" si="13"/>
        <v>0</v>
      </c>
      <c r="AG81">
        <f>SUM(R81:AF81)</f>
        <v>0</v>
      </c>
      <c r="AH81" s="2"/>
      <c r="AI81">
        <v>700</v>
      </c>
    </row>
    <row r="82" spans="2:43" x14ac:dyDescent="0.3">
      <c r="B82" s="153"/>
      <c r="M82" s="1751">
        <f ca="1">1/M81*1000</f>
        <v>2.2007420646317808</v>
      </c>
      <c r="N82" t="s">
        <v>985</v>
      </c>
      <c r="Q82" t="s">
        <v>257</v>
      </c>
      <c r="R82" s="2"/>
      <c r="S82" s="2"/>
      <c r="T82" s="2"/>
      <c r="U82" s="2"/>
      <c r="V82" s="2"/>
      <c r="W82" s="2"/>
      <c r="X82" s="2"/>
      <c r="Y82" s="2"/>
      <c r="Z82" s="2"/>
      <c r="AA82" s="2"/>
      <c r="AB82" s="2"/>
      <c r="AC82" s="2"/>
      <c r="AD82" s="2"/>
      <c r="AE82" s="2"/>
      <c r="AF82" s="2"/>
      <c r="AG82">
        <f t="shared" ref="AG82:AG83" si="14">SUM(R82:AF82)</f>
        <v>0</v>
      </c>
      <c r="AI82" t="e">
        <f>MATCH($E19,$AJ$88:$AJ$95,1)</f>
        <v>#N/A</v>
      </c>
    </row>
    <row r="83" spans="2:43" x14ac:dyDescent="0.3">
      <c r="B83" s="153"/>
      <c r="O83" s="16"/>
      <c r="P83" s="16"/>
      <c r="Q83" t="s">
        <v>259</v>
      </c>
      <c r="R83" s="2">
        <f>R82-R81</f>
        <v>0</v>
      </c>
      <c r="S83" s="2">
        <f>S82-S81</f>
        <v>0</v>
      </c>
      <c r="T83" s="2">
        <f>T82-T81</f>
        <v>0</v>
      </c>
      <c r="U83" s="2">
        <f>U82-U81</f>
        <v>0</v>
      </c>
      <c r="V83" s="2">
        <f>V82-V81</f>
        <v>0</v>
      </c>
      <c r="W83" s="2"/>
      <c r="X83" s="2">
        <f>X82-X81</f>
        <v>0</v>
      </c>
      <c r="Y83" s="2">
        <f>Y82-Y81</f>
        <v>0</v>
      </c>
      <c r="Z83" s="2">
        <f>Z82-Z81</f>
        <v>0</v>
      </c>
      <c r="AA83" s="2"/>
      <c r="AB83" s="2">
        <f>AB82-AB81</f>
        <v>0</v>
      </c>
      <c r="AC83" s="2"/>
      <c r="AD83" s="2"/>
      <c r="AE83" s="2"/>
      <c r="AF83" s="2"/>
      <c r="AG83">
        <f t="shared" si="14"/>
        <v>0</v>
      </c>
    </row>
    <row r="84" spans="2:43" x14ac:dyDescent="0.3">
      <c r="B84" s="153"/>
      <c r="H84" s="2579" t="s">
        <v>369</v>
      </c>
      <c r="I84" s="2580"/>
      <c r="J84" s="2579" t="s">
        <v>368</v>
      </c>
      <c r="K84" s="2580"/>
      <c r="L84" s="218" t="s">
        <v>443</v>
      </c>
      <c r="M84" s="2579" t="s">
        <v>548</v>
      </c>
      <c r="N84" s="2580"/>
      <c r="AK84" s="10" t="s">
        <v>2075</v>
      </c>
    </row>
    <row r="85" spans="2:43" x14ac:dyDescent="0.3">
      <c r="B85" s="21" t="s">
        <v>755</v>
      </c>
      <c r="C85" s="21" t="s">
        <v>366</v>
      </c>
      <c r="D85" s="21" t="s">
        <v>1103</v>
      </c>
      <c r="E85" s="21" t="s">
        <v>367</v>
      </c>
      <c r="F85" s="21" t="s">
        <v>1338</v>
      </c>
      <c r="G85" s="21" t="s">
        <v>97</v>
      </c>
      <c r="H85" s="57" t="s">
        <v>300</v>
      </c>
      <c r="I85" s="57" t="s">
        <v>299</v>
      </c>
      <c r="J85" s="57" t="s">
        <v>300</v>
      </c>
      <c r="K85" s="57" t="s">
        <v>299</v>
      </c>
      <c r="L85" s="57"/>
      <c r="M85" s="377" t="s">
        <v>300</v>
      </c>
      <c r="N85" s="377" t="s">
        <v>299</v>
      </c>
      <c r="AK85" s="2577" t="s">
        <v>99</v>
      </c>
      <c r="AL85" s="2577"/>
      <c r="AM85" s="2577" t="s">
        <v>1028</v>
      </c>
      <c r="AN85" s="2577"/>
      <c r="AO85" s="2577"/>
      <c r="AP85" s="2577"/>
      <c r="AQ85" s="2577"/>
    </row>
    <row r="86" spans="2:43" x14ac:dyDescent="0.3">
      <c r="B86" s="34" t="s">
        <v>105</v>
      </c>
      <c r="C86" s="34">
        <v>0</v>
      </c>
      <c r="D86" s="34">
        <v>1</v>
      </c>
      <c r="E86" s="34" t="s">
        <v>123</v>
      </c>
      <c r="F86" s="983">
        <f t="shared" ref="F86:F92" si="15">IFERROR(SUMPRODUCT(--($F$17:$F$74=$B86),$E$17:$E$74,$D$17:$D$74)/SUMPRODUCT(--($F$17:$F$74=$B86),$D$17:$D$74),"-")</f>
        <v>571.08823529411768</v>
      </c>
      <c r="G86" s="34">
        <f t="shared" ref="G86:G92" si="16">SUMIFS($D$17:$D$74,$F$17:$F$74,$B86)</f>
        <v>34</v>
      </c>
      <c r="H86" s="34">
        <f t="shared" ref="H86:H92" si="17">SUMIFS($J$17:$J$74,$F$17:$F$74,$B86)</f>
        <v>0</v>
      </c>
      <c r="I86" s="34">
        <f t="shared" ref="I86:I92" si="18">G86-H86</f>
        <v>34</v>
      </c>
      <c r="J86" s="1177">
        <f t="shared" ref="J86:J92" ca="1" si="19">IF($B$13="Proposed",SUMIF($J$17:$J$75,$B86,$N$17:$N$75),($C$13+(C86*$D$13))*H86)</f>
        <v>0</v>
      </c>
      <c r="K86" s="1177">
        <f t="shared" ref="K86:K92" ca="1" si="20">IF($B$13="Proposed",SUMIF($G$17:$G$75,$B86,$N$17:$N$75)-J86,($C$13+(C86*$D$13))*I86)</f>
        <v>34</v>
      </c>
      <c r="L86" s="1177">
        <f t="shared" ref="L86:L92" ca="1" si="21">J86+K86</f>
        <v>34</v>
      </c>
      <c r="M86" s="34">
        <f t="shared" ref="M86:M92" si="22">SUMIFS($K$17:$K$74,$F$17:$F$74,$B86)</f>
        <v>0</v>
      </c>
      <c r="N86" s="34">
        <f t="shared" ref="N86:N92" si="23">SUMIFS($L$17:$L$74,$F$17:$F$74,$B86)</f>
        <v>34</v>
      </c>
      <c r="AK86" s="2577"/>
      <c r="AL86" s="2577"/>
      <c r="AM86" s="936">
        <v>0</v>
      </c>
      <c r="AN86" s="936">
        <f>AM86+2</f>
        <v>2</v>
      </c>
      <c r="AO86" s="936">
        <f t="shared" ref="AO86:AQ86" si="24">AN86+2</f>
        <v>4</v>
      </c>
      <c r="AP86" s="936">
        <f t="shared" si="24"/>
        <v>6</v>
      </c>
      <c r="AQ86" s="936">
        <f t="shared" si="24"/>
        <v>8</v>
      </c>
    </row>
    <row r="87" spans="2:43" x14ac:dyDescent="0.3">
      <c r="B87" s="34" t="s">
        <v>307</v>
      </c>
      <c r="C87" s="34">
        <v>1</v>
      </c>
      <c r="D87" s="34">
        <v>1</v>
      </c>
      <c r="E87" s="34" t="s">
        <v>1339</v>
      </c>
      <c r="F87" s="983" t="str">
        <f t="shared" si="15"/>
        <v>-</v>
      </c>
      <c r="G87" s="34">
        <f t="shared" si="16"/>
        <v>0</v>
      </c>
      <c r="H87" s="34">
        <f t="shared" si="17"/>
        <v>0</v>
      </c>
      <c r="I87" s="34">
        <f t="shared" si="18"/>
        <v>0</v>
      </c>
      <c r="J87" s="1177">
        <f t="shared" ca="1" si="19"/>
        <v>0</v>
      </c>
      <c r="K87" s="1177">
        <f t="shared" ca="1" si="20"/>
        <v>0</v>
      </c>
      <c r="L87" s="1177">
        <f t="shared" ca="1" si="21"/>
        <v>0</v>
      </c>
      <c r="M87" s="34">
        <f t="shared" si="22"/>
        <v>0</v>
      </c>
      <c r="N87" s="34">
        <f t="shared" si="23"/>
        <v>0</v>
      </c>
      <c r="AK87" s="2577" t="s">
        <v>302</v>
      </c>
      <c r="AL87" s="2577"/>
      <c r="AM87" s="937" t="str">
        <f>"- "&amp;AM86+1</f>
        <v>- 1</v>
      </c>
      <c r="AN87" s="937" t="str">
        <f>"- "&amp;AN86+1</f>
        <v>- 3</v>
      </c>
      <c r="AO87" s="937" t="str">
        <f t="shared" ref="AO87:AQ87" si="25">"- "&amp;AO86+1</f>
        <v>- 5</v>
      </c>
      <c r="AP87" s="937" t="str">
        <f t="shared" si="25"/>
        <v>- 7</v>
      </c>
      <c r="AQ87" s="937" t="str">
        <f t="shared" si="25"/>
        <v>- 9</v>
      </c>
    </row>
    <row r="88" spans="2:43" x14ac:dyDescent="0.3">
      <c r="B88" s="34">
        <v>1</v>
      </c>
      <c r="C88" s="34">
        <v>1</v>
      </c>
      <c r="D88" s="34">
        <v>1</v>
      </c>
      <c r="E88" s="34" t="s">
        <v>1184</v>
      </c>
      <c r="F88" s="983">
        <f t="shared" si="15"/>
        <v>713.4848484848485</v>
      </c>
      <c r="G88" s="34">
        <f t="shared" si="16"/>
        <v>66</v>
      </c>
      <c r="H88" s="34">
        <f t="shared" si="17"/>
        <v>0</v>
      </c>
      <c r="I88" s="34">
        <f t="shared" si="18"/>
        <v>66</v>
      </c>
      <c r="J88" s="1177">
        <f t="shared" ca="1" si="19"/>
        <v>0</v>
      </c>
      <c r="K88" s="1177">
        <f t="shared" ca="1" si="20"/>
        <v>103.61999999999999</v>
      </c>
      <c r="L88" s="1177">
        <f t="shared" ca="1" si="21"/>
        <v>103.61999999999999</v>
      </c>
      <c r="M88" s="34">
        <f t="shared" si="22"/>
        <v>0</v>
      </c>
      <c r="N88" s="34">
        <f t="shared" si="23"/>
        <v>66</v>
      </c>
      <c r="AK88" s="925">
        <v>0</v>
      </c>
      <c r="AL88" s="926">
        <v>500</v>
      </c>
      <c r="AM88" s="927">
        <v>30</v>
      </c>
      <c r="AN88" s="928">
        <v>40</v>
      </c>
      <c r="AO88" s="928">
        <v>45</v>
      </c>
      <c r="AP88" s="928">
        <v>55</v>
      </c>
      <c r="AQ88" s="929">
        <v>60</v>
      </c>
    </row>
    <row r="89" spans="2:43" x14ac:dyDescent="0.3">
      <c r="B89" s="34">
        <v>2</v>
      </c>
      <c r="C89" s="34">
        <v>2</v>
      </c>
      <c r="D89" s="34">
        <v>2</v>
      </c>
      <c r="E89" s="34" t="s">
        <v>1185</v>
      </c>
      <c r="F89" s="983">
        <f t="shared" si="15"/>
        <v>988</v>
      </c>
      <c r="G89" s="34">
        <f t="shared" si="16"/>
        <v>44</v>
      </c>
      <c r="H89" s="34">
        <f t="shared" si="17"/>
        <v>0</v>
      </c>
      <c r="I89" s="34">
        <f t="shared" si="18"/>
        <v>44</v>
      </c>
      <c r="J89" s="1177">
        <f t="shared" ca="1" si="19"/>
        <v>0</v>
      </c>
      <c r="K89" s="1177">
        <f t="shared" ca="1" si="20"/>
        <v>94.159999999999982</v>
      </c>
      <c r="L89" s="1177">
        <f t="shared" ca="1" si="21"/>
        <v>94.159999999999982</v>
      </c>
      <c r="M89" s="34">
        <f t="shared" si="22"/>
        <v>0</v>
      </c>
      <c r="N89" s="34">
        <f t="shared" si="23"/>
        <v>88</v>
      </c>
      <c r="AK89" s="925">
        <f>AL88+0.0001</f>
        <v>500.00009999999997</v>
      </c>
      <c r="AL89" s="925">
        <f>AL88+500</f>
        <v>1000</v>
      </c>
      <c r="AM89" s="930">
        <f>AM88+15</f>
        <v>45</v>
      </c>
      <c r="AN89" s="931">
        <f t="shared" ref="AN89:AQ94" si="26">AN88+15</f>
        <v>55</v>
      </c>
      <c r="AO89" s="931">
        <f t="shared" si="26"/>
        <v>60</v>
      </c>
      <c r="AP89" s="931">
        <f t="shared" si="26"/>
        <v>70</v>
      </c>
      <c r="AQ89" s="932">
        <f t="shared" si="26"/>
        <v>75</v>
      </c>
    </row>
    <row r="90" spans="2:43" x14ac:dyDescent="0.3">
      <c r="B90" s="34">
        <v>3</v>
      </c>
      <c r="C90" s="34">
        <v>3</v>
      </c>
      <c r="D90" s="34">
        <v>3</v>
      </c>
      <c r="E90" s="34" t="s">
        <v>1186</v>
      </c>
      <c r="F90" s="983">
        <f t="shared" si="15"/>
        <v>1290.4444444444443</v>
      </c>
      <c r="G90" s="34">
        <f t="shared" si="16"/>
        <v>18</v>
      </c>
      <c r="H90" s="34">
        <f t="shared" si="17"/>
        <v>0</v>
      </c>
      <c r="I90" s="34">
        <f t="shared" si="18"/>
        <v>18</v>
      </c>
      <c r="J90" s="1177">
        <f t="shared" ca="1" si="19"/>
        <v>0</v>
      </c>
      <c r="K90" s="1177">
        <f t="shared" ca="1" si="20"/>
        <v>48.78</v>
      </c>
      <c r="L90" s="1177">
        <f t="shared" ca="1" si="21"/>
        <v>48.78</v>
      </c>
      <c r="M90" s="34">
        <f t="shared" si="22"/>
        <v>0</v>
      </c>
      <c r="N90" s="34">
        <f t="shared" si="23"/>
        <v>36</v>
      </c>
      <c r="P90" s="14"/>
      <c r="Q90" s="14"/>
      <c r="AK90" s="925">
        <f t="shared" ref="AK90:AK94" si="27">AL89+0.0001</f>
        <v>1000.0001</v>
      </c>
      <c r="AL90" s="925">
        <f t="shared" ref="AL90:AL94" si="28">AL89+500</f>
        <v>1500</v>
      </c>
      <c r="AM90" s="930">
        <f t="shared" ref="AM90:AM94" si="29">AM89+15</f>
        <v>60</v>
      </c>
      <c r="AN90" s="931">
        <f t="shared" si="26"/>
        <v>70</v>
      </c>
      <c r="AO90" s="931">
        <f t="shared" si="26"/>
        <v>75</v>
      </c>
      <c r="AP90" s="931">
        <f t="shared" si="26"/>
        <v>85</v>
      </c>
      <c r="AQ90" s="932">
        <f t="shared" si="26"/>
        <v>90</v>
      </c>
    </row>
    <row r="91" spans="2:43" x14ac:dyDescent="0.3">
      <c r="B91" s="34">
        <v>4</v>
      </c>
      <c r="C91" s="34">
        <v>4</v>
      </c>
      <c r="D91" s="34">
        <v>4</v>
      </c>
      <c r="E91" s="34" t="s">
        <v>1187</v>
      </c>
      <c r="F91" s="983" t="str">
        <f t="shared" si="15"/>
        <v>-</v>
      </c>
      <c r="G91" s="34">
        <f t="shared" si="16"/>
        <v>0</v>
      </c>
      <c r="H91" s="34">
        <f t="shared" si="17"/>
        <v>0</v>
      </c>
      <c r="I91" s="34">
        <f t="shared" si="18"/>
        <v>0</v>
      </c>
      <c r="J91" s="1177">
        <f t="shared" ca="1" si="19"/>
        <v>0</v>
      </c>
      <c r="K91" s="1177">
        <f t="shared" ca="1" si="20"/>
        <v>0</v>
      </c>
      <c r="L91" s="1177">
        <f t="shared" ca="1" si="21"/>
        <v>0</v>
      </c>
      <c r="M91" s="34">
        <f t="shared" si="22"/>
        <v>0</v>
      </c>
      <c r="N91" s="34">
        <f t="shared" si="23"/>
        <v>0</v>
      </c>
      <c r="P91" s="20"/>
      <c r="Q91" s="20"/>
      <c r="AK91" s="925">
        <f t="shared" si="27"/>
        <v>1500.0001</v>
      </c>
      <c r="AL91" s="925">
        <f t="shared" si="28"/>
        <v>2000</v>
      </c>
      <c r="AM91" s="930">
        <f t="shared" si="29"/>
        <v>75</v>
      </c>
      <c r="AN91" s="931">
        <f t="shared" si="26"/>
        <v>85</v>
      </c>
      <c r="AO91" s="931">
        <f t="shared" si="26"/>
        <v>90</v>
      </c>
      <c r="AP91" s="931">
        <f t="shared" si="26"/>
        <v>100</v>
      </c>
      <c r="AQ91" s="932">
        <f t="shared" si="26"/>
        <v>105</v>
      </c>
    </row>
    <row r="92" spans="2:43" x14ac:dyDescent="0.3">
      <c r="B92" s="34" t="s">
        <v>309</v>
      </c>
      <c r="C92" s="34"/>
      <c r="D92" s="34"/>
      <c r="E92" s="34" t="s">
        <v>310</v>
      </c>
      <c r="F92" s="983" t="str">
        <f t="shared" si="15"/>
        <v>-</v>
      </c>
      <c r="G92" s="34">
        <f t="shared" si="16"/>
        <v>0</v>
      </c>
      <c r="H92" s="34">
        <f t="shared" si="17"/>
        <v>0</v>
      </c>
      <c r="I92" s="34">
        <f t="shared" si="18"/>
        <v>0</v>
      </c>
      <c r="J92" s="1177">
        <f t="shared" ca="1" si="19"/>
        <v>0</v>
      </c>
      <c r="K92" s="1177">
        <f t="shared" ca="1" si="20"/>
        <v>0</v>
      </c>
      <c r="L92" s="1177">
        <f t="shared" ca="1" si="21"/>
        <v>0</v>
      </c>
      <c r="M92" s="34">
        <f t="shared" si="22"/>
        <v>0</v>
      </c>
      <c r="N92" s="34">
        <f t="shared" si="23"/>
        <v>0</v>
      </c>
      <c r="P92" s="20"/>
      <c r="Q92" s="20"/>
      <c r="AK92" s="925">
        <f t="shared" si="27"/>
        <v>2000.0001</v>
      </c>
      <c r="AL92" s="925">
        <f t="shared" si="28"/>
        <v>2500</v>
      </c>
      <c r="AM92" s="930">
        <f t="shared" si="29"/>
        <v>90</v>
      </c>
      <c r="AN92" s="931">
        <f t="shared" si="26"/>
        <v>100</v>
      </c>
      <c r="AO92" s="931">
        <f t="shared" si="26"/>
        <v>105</v>
      </c>
      <c r="AP92" s="931">
        <f t="shared" si="26"/>
        <v>115</v>
      </c>
      <c r="AQ92" s="932">
        <f t="shared" si="26"/>
        <v>120</v>
      </c>
    </row>
    <row r="93" spans="2:43" x14ac:dyDescent="0.3">
      <c r="B93" s="165"/>
      <c r="C93" s="165"/>
      <c r="D93" s="1176">
        <f>SUMPRODUCT(D86:D92,$G$86:$G$92)/SUM($G$86:$G$92)</f>
        <v>1.4938271604938271</v>
      </c>
      <c r="E93" s="165"/>
      <c r="F93" s="165"/>
      <c r="G93" s="166">
        <f t="shared" ref="G93:N93" si="30">SUM(G86:G92)</f>
        <v>162</v>
      </c>
      <c r="H93" s="165">
        <f t="shared" si="30"/>
        <v>0</v>
      </c>
      <c r="I93" s="165">
        <f t="shared" si="30"/>
        <v>162</v>
      </c>
      <c r="J93" s="193">
        <f t="shared" ca="1" si="30"/>
        <v>0</v>
      </c>
      <c r="K93" s="193">
        <f ca="1">SUM(K86:K92)</f>
        <v>280.55999999999995</v>
      </c>
      <c r="L93" s="193">
        <f t="shared" ca="1" si="30"/>
        <v>280.55999999999995</v>
      </c>
      <c r="M93" s="193">
        <f t="shared" si="30"/>
        <v>0</v>
      </c>
      <c r="N93" s="193">
        <f t="shared" si="30"/>
        <v>224</v>
      </c>
      <c r="AK93" s="925">
        <f t="shared" si="27"/>
        <v>2500.0001000000002</v>
      </c>
      <c r="AL93" s="925">
        <f t="shared" si="28"/>
        <v>3000</v>
      </c>
      <c r="AM93" s="930">
        <f t="shared" si="29"/>
        <v>105</v>
      </c>
      <c r="AN93" s="931">
        <f t="shared" si="26"/>
        <v>115</v>
      </c>
      <c r="AO93" s="931">
        <f t="shared" si="26"/>
        <v>120</v>
      </c>
      <c r="AP93" s="931">
        <f t="shared" si="26"/>
        <v>130</v>
      </c>
      <c r="AQ93" s="932">
        <f t="shared" si="26"/>
        <v>135</v>
      </c>
    </row>
    <row r="94" spans="2:43" x14ac:dyDescent="0.3">
      <c r="E94" s="2"/>
      <c r="F94" s="2"/>
      <c r="I94" s="19">
        <f>SUM(H93:I93)</f>
        <v>162</v>
      </c>
      <c r="K94" s="19">
        <f ca="1">SUM(J93:K93)</f>
        <v>280.55999999999995</v>
      </c>
      <c r="N94" s="19">
        <f>M93+N93</f>
        <v>224</v>
      </c>
      <c r="AK94" s="925">
        <f t="shared" si="27"/>
        <v>3000.0001000000002</v>
      </c>
      <c r="AL94" s="925">
        <f t="shared" si="28"/>
        <v>3500</v>
      </c>
      <c r="AM94" s="930">
        <f t="shared" si="29"/>
        <v>120</v>
      </c>
      <c r="AN94" s="931">
        <f t="shared" si="26"/>
        <v>130</v>
      </c>
      <c r="AO94" s="931">
        <f t="shared" si="26"/>
        <v>135</v>
      </c>
      <c r="AP94" s="931">
        <f t="shared" si="26"/>
        <v>145</v>
      </c>
      <c r="AQ94" s="932">
        <f t="shared" si="26"/>
        <v>150</v>
      </c>
    </row>
    <row r="95" spans="2:43" x14ac:dyDescent="0.3">
      <c r="AK95" s="925">
        <f>AL94+0.0001</f>
        <v>3500.0001000000002</v>
      </c>
      <c r="AL95" s="925">
        <f>AL94+500</f>
        <v>4000</v>
      </c>
      <c r="AM95" s="933">
        <f>AM94+15</f>
        <v>135</v>
      </c>
      <c r="AN95" s="934">
        <f>AN94+15</f>
        <v>145</v>
      </c>
      <c r="AO95" s="934">
        <f>AO94+15</f>
        <v>150</v>
      </c>
      <c r="AP95" s="934">
        <f>AP94+15</f>
        <v>160</v>
      </c>
      <c r="AQ95" s="935">
        <f>AQ94+15</f>
        <v>165</v>
      </c>
    </row>
    <row r="96" spans="2:43" x14ac:dyDescent="0.3">
      <c r="E96" s="2"/>
      <c r="AI96" s="19"/>
      <c r="AJ96" s="19"/>
    </row>
    <row r="97" spans="3:36" x14ac:dyDescent="0.3">
      <c r="M97" s="24"/>
      <c r="N97" s="24"/>
      <c r="AI97" s="19"/>
      <c r="AJ97" s="19"/>
    </row>
    <row r="98" spans="3:36" x14ac:dyDescent="0.3">
      <c r="J98" s="24"/>
      <c r="K98" s="24"/>
      <c r="L98" s="24"/>
      <c r="M98" s="24"/>
      <c r="N98" s="24"/>
    </row>
    <row r="99" spans="3:36" x14ac:dyDescent="0.3">
      <c r="J99" s="24"/>
      <c r="K99" s="24"/>
      <c r="L99" s="24"/>
      <c r="M99" s="24"/>
      <c r="N99" s="24"/>
    </row>
    <row r="100" spans="3:36" x14ac:dyDescent="0.3">
      <c r="J100" s="24"/>
      <c r="K100" s="24"/>
      <c r="L100" s="24"/>
      <c r="M100" s="24"/>
      <c r="N100" s="24"/>
    </row>
    <row r="101" spans="3:36" x14ac:dyDescent="0.3">
      <c r="C101" t="s">
        <v>2076</v>
      </c>
      <c r="D101">
        <v>50600</v>
      </c>
      <c r="E101" t="s">
        <v>89</v>
      </c>
      <c r="J101" s="24"/>
      <c r="K101" s="24"/>
      <c r="L101" s="24"/>
      <c r="M101" s="24"/>
      <c r="N101" s="24"/>
    </row>
    <row r="102" spans="3:36" x14ac:dyDescent="0.3">
      <c r="C102" t="s">
        <v>2077</v>
      </c>
      <c r="D102" s="26">
        <f>D101/E78</f>
        <v>0.37126608145085049</v>
      </c>
      <c r="E102" t="s">
        <v>625</v>
      </c>
      <c r="J102" s="24"/>
      <c r="K102" s="24"/>
      <c r="L102" s="24"/>
      <c r="M102" s="24"/>
      <c r="N102" s="24"/>
    </row>
    <row r="103" spans="3:36" x14ac:dyDescent="0.3">
      <c r="J103" s="24"/>
      <c r="K103" s="24"/>
      <c r="L103" s="24"/>
      <c r="M103" s="24"/>
      <c r="N103" s="24"/>
    </row>
    <row r="104" spans="3:36" ht="30.75" customHeight="1" x14ac:dyDescent="0.3">
      <c r="J104" s="24"/>
      <c r="K104" s="24"/>
      <c r="L104" s="24"/>
      <c r="M104" s="24"/>
      <c r="N104" s="24"/>
      <c r="W104" s="24"/>
      <c r="AA104" s="24"/>
      <c r="AC104" s="24"/>
      <c r="AD104" s="24"/>
    </row>
    <row r="105" spans="3:36" x14ac:dyDescent="0.3">
      <c r="J105" s="24"/>
      <c r="K105" s="24"/>
      <c r="L105" s="24"/>
      <c r="M105" s="24"/>
      <c r="N105" s="24"/>
    </row>
    <row r="106" spans="3:36" x14ac:dyDescent="0.3">
      <c r="J106" s="24"/>
      <c r="K106" s="24"/>
      <c r="L106" s="24"/>
      <c r="M106" s="24"/>
      <c r="N106" s="24"/>
    </row>
    <row r="107" spans="3:36" x14ac:dyDescent="0.3">
      <c r="J107" s="24"/>
      <c r="K107" s="24"/>
      <c r="L107" s="24"/>
      <c r="M107" s="24"/>
      <c r="N107" s="24"/>
    </row>
    <row r="108" spans="3:36" x14ac:dyDescent="0.3">
      <c r="J108" s="24"/>
      <c r="K108" s="24"/>
      <c r="L108" s="24"/>
      <c r="M108" s="24"/>
      <c r="N108" s="24"/>
    </row>
    <row r="109" spans="3:36" x14ac:dyDescent="0.3">
      <c r="J109" s="24"/>
      <c r="K109" s="24"/>
      <c r="L109" s="24"/>
      <c r="M109" s="24"/>
      <c r="N109" s="24"/>
    </row>
    <row r="110" spans="3:36" x14ac:dyDescent="0.3">
      <c r="J110" s="24"/>
      <c r="K110" s="24"/>
      <c r="L110" s="24"/>
      <c r="M110" s="24"/>
    </row>
    <row r="111" spans="3:36" x14ac:dyDescent="0.3">
      <c r="J111" s="24"/>
      <c r="K111" s="24"/>
      <c r="L111" s="24"/>
      <c r="M111" s="24"/>
    </row>
    <row r="112" spans="3:36" x14ac:dyDescent="0.3">
      <c r="J112" s="24"/>
      <c r="K112" s="24"/>
      <c r="L112" s="24"/>
      <c r="M112" s="24"/>
    </row>
    <row r="113" spans="10:13" x14ac:dyDescent="0.3">
      <c r="J113" s="24"/>
      <c r="K113" s="24"/>
      <c r="L113" s="24"/>
      <c r="M113" s="24"/>
    </row>
    <row r="114" spans="10:13" x14ac:dyDescent="0.3">
      <c r="J114" s="24"/>
      <c r="K114" s="24"/>
      <c r="L114" s="24"/>
      <c r="M114" s="24"/>
    </row>
    <row r="115" spans="10:13" x14ac:dyDescent="0.3">
      <c r="J115" s="24"/>
      <c r="K115" s="24"/>
      <c r="L115" s="24"/>
      <c r="M115" s="24"/>
    </row>
    <row r="116" spans="10:13" x14ac:dyDescent="0.3">
      <c r="J116" s="24"/>
      <c r="K116" s="24"/>
      <c r="L116" s="24"/>
      <c r="M116" s="24"/>
    </row>
    <row r="117" spans="10:13" x14ac:dyDescent="0.3">
      <c r="J117" s="24"/>
      <c r="K117" s="24"/>
      <c r="L117" s="24"/>
      <c r="M117" s="24"/>
    </row>
    <row r="118" spans="10:13" x14ac:dyDescent="0.3">
      <c r="J118" s="24"/>
      <c r="K118" s="24"/>
      <c r="L118" s="24"/>
      <c r="M118" s="24"/>
    </row>
    <row r="119" spans="10:13" x14ac:dyDescent="0.3">
      <c r="J119" s="24"/>
      <c r="K119" s="24"/>
      <c r="L119" s="24"/>
    </row>
    <row r="120" spans="10:13" x14ac:dyDescent="0.3">
      <c r="J120" s="24"/>
      <c r="K120" s="24"/>
    </row>
    <row r="121" spans="10:13" x14ac:dyDescent="0.3">
      <c r="J121" s="24"/>
      <c r="K121" s="24"/>
    </row>
    <row r="122" spans="10:13" x14ac:dyDescent="0.3">
      <c r="J122" s="24"/>
      <c r="K122" s="24"/>
    </row>
    <row r="123" spans="10:13" x14ac:dyDescent="0.3">
      <c r="J123" s="24"/>
      <c r="K123" s="24"/>
    </row>
    <row r="124" spans="10:13" x14ac:dyDescent="0.3">
      <c r="J124" s="24"/>
      <c r="K124" s="24"/>
    </row>
    <row r="125" spans="10:13" x14ac:dyDescent="0.3">
      <c r="J125" s="24"/>
      <c r="K125" s="24"/>
    </row>
    <row r="126" spans="10:13" x14ac:dyDescent="0.3">
      <c r="K126" s="24"/>
    </row>
    <row r="127" spans="10:13" x14ac:dyDescent="0.3">
      <c r="K127" s="24"/>
    </row>
    <row r="128" spans="10:13" x14ac:dyDescent="0.3">
      <c r="K128" s="24"/>
    </row>
    <row r="129" spans="11:11" x14ac:dyDescent="0.3">
      <c r="K129" s="24"/>
    </row>
    <row r="130" spans="11:11" x14ac:dyDescent="0.3">
      <c r="K130" s="24"/>
    </row>
    <row r="131" spans="11:11" x14ac:dyDescent="0.3">
      <c r="K131" s="24"/>
    </row>
    <row r="132" spans="11:11" x14ac:dyDescent="0.3">
      <c r="K132" s="24"/>
    </row>
    <row r="133" spans="11:11" x14ac:dyDescent="0.3">
      <c r="K133" s="24"/>
    </row>
    <row r="134" spans="11:11" x14ac:dyDescent="0.3">
      <c r="K134" s="24"/>
    </row>
    <row r="135" spans="11:11" x14ac:dyDescent="0.3">
      <c r="K135" s="24"/>
    </row>
    <row r="136" spans="11:11" x14ac:dyDescent="0.3">
      <c r="K136" s="24"/>
    </row>
    <row r="137" spans="11:11" x14ac:dyDescent="0.3">
      <c r="K137" s="24"/>
    </row>
    <row r="138" spans="11:11" x14ac:dyDescent="0.3">
      <c r="K138" s="24"/>
    </row>
    <row r="139" spans="11:11" x14ac:dyDescent="0.3">
      <c r="K139" s="24"/>
    </row>
    <row r="140" spans="11:11" x14ac:dyDescent="0.3">
      <c r="K140" s="24"/>
    </row>
    <row r="141" spans="11:11" x14ac:dyDescent="0.3">
      <c r="K141" s="24"/>
    </row>
    <row r="142" spans="11:11" x14ac:dyDescent="0.3">
      <c r="K142" s="24"/>
    </row>
    <row r="143" spans="11:11" x14ac:dyDescent="0.3">
      <c r="K143" s="24"/>
    </row>
    <row r="144" spans="11:11" x14ac:dyDescent="0.3">
      <c r="K144" s="24"/>
    </row>
    <row r="145" spans="11:11" x14ac:dyDescent="0.3">
      <c r="K145" s="24"/>
    </row>
    <row r="146" spans="11:11" x14ac:dyDescent="0.3">
      <c r="K146" s="24"/>
    </row>
    <row r="147" spans="11:11" x14ac:dyDescent="0.3">
      <c r="K147" s="24"/>
    </row>
    <row r="148" spans="11:11" x14ac:dyDescent="0.3">
      <c r="K148" s="24"/>
    </row>
    <row r="149" spans="11:11" x14ac:dyDescent="0.3">
      <c r="K149" s="24"/>
    </row>
    <row r="150" spans="11:11" x14ac:dyDescent="0.3">
      <c r="K150" s="24"/>
    </row>
    <row r="151" spans="11:11" x14ac:dyDescent="0.3">
      <c r="K151" s="24"/>
    </row>
    <row r="152" spans="11:11" x14ac:dyDescent="0.3">
      <c r="K152" s="24"/>
    </row>
    <row r="153" spans="11:11" x14ac:dyDescent="0.3">
      <c r="K153" s="24"/>
    </row>
    <row r="154" spans="11:11" x14ac:dyDescent="0.3">
      <c r="K154" s="24"/>
    </row>
    <row r="155" spans="11:11" x14ac:dyDescent="0.3">
      <c r="K155" s="24"/>
    </row>
    <row r="156" spans="11:11" x14ac:dyDescent="0.3">
      <c r="K156" s="24"/>
    </row>
    <row r="157" spans="11:11" x14ac:dyDescent="0.3">
      <c r="K157" s="24"/>
    </row>
    <row r="158" spans="11:11" x14ac:dyDescent="0.3">
      <c r="K158" s="24"/>
    </row>
    <row r="159" spans="11:11" x14ac:dyDescent="0.3">
      <c r="K159" s="24"/>
    </row>
    <row r="160" spans="11:11" x14ac:dyDescent="0.3">
      <c r="K160" s="24"/>
    </row>
    <row r="161" spans="11:11" x14ac:dyDescent="0.3">
      <c r="K161" s="24"/>
    </row>
    <row r="162" spans="11:11" x14ac:dyDescent="0.3">
      <c r="K162" s="24"/>
    </row>
    <row r="163" spans="11:11" x14ac:dyDescent="0.3">
      <c r="K163" s="24"/>
    </row>
    <row r="164" spans="11:11" x14ac:dyDescent="0.3">
      <c r="K164" s="24"/>
    </row>
    <row r="165" spans="11:11" x14ac:dyDescent="0.3">
      <c r="K165" s="24"/>
    </row>
    <row r="166" spans="11:11" x14ac:dyDescent="0.3">
      <c r="K166" s="24"/>
    </row>
    <row r="167" spans="11:11" x14ac:dyDescent="0.3">
      <c r="K167" s="24"/>
    </row>
    <row r="168" spans="11:11" x14ac:dyDescent="0.3">
      <c r="K168" s="24"/>
    </row>
  </sheetData>
  <autoFilter ref="A16:AW94" xr:uid="{00000000-0009-0000-0000-000003000000}"/>
  <mergeCells count="6">
    <mergeCell ref="AM85:AQ85"/>
    <mergeCell ref="AK87:AL87"/>
    <mergeCell ref="H84:I84"/>
    <mergeCell ref="J84:K84"/>
    <mergeCell ref="M84:N84"/>
    <mergeCell ref="AK85:AL86"/>
  </mergeCells>
  <dataValidations count="2">
    <dataValidation type="list" allowBlank="1" showInputMessage="1" showErrorMessage="1" sqref="F17:F74" xr:uid="{698548B4-FB6E-4B14-B4B5-49BBDD425C9D}">
      <formula1>$B$86:$B$92</formula1>
    </dataValidation>
    <dataValidation type="list" allowBlank="1" showInputMessage="1" showErrorMessage="1" sqref="B13" xr:uid="{9F923641-4A37-48C1-A6E3-0B79E4B9CAE3}">
      <formula1>$B$7:$B$10</formula1>
    </dataValidation>
  </dataValidations>
  <pageMargins left="0.7" right="0.7" top="0.75" bottom="0.75" header="0.3" footer="0.3"/>
  <pageSetup scale="23"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00FF00"/>
  </sheetPr>
  <dimension ref="A1:CF317"/>
  <sheetViews>
    <sheetView showGridLines="0" topLeftCell="A23" workbookViewId="0">
      <selection activeCell="H30" sqref="H30"/>
    </sheetView>
  </sheetViews>
  <sheetFormatPr defaultColWidth="9.109375" defaultRowHeight="15" outlineLevelCol="1" x14ac:dyDescent="0.35"/>
  <cols>
    <col min="1" max="1" width="9.5546875" style="590" customWidth="1"/>
    <col min="2" max="2" width="4.88671875" style="590" customWidth="1"/>
    <col min="3" max="3" width="27.33203125" style="590" customWidth="1"/>
    <col min="4" max="4" width="8.44140625" style="590" customWidth="1"/>
    <col min="5" max="5" width="12.44140625" style="590" bestFit="1" customWidth="1"/>
    <col min="6" max="6" width="40.109375" style="590" customWidth="1"/>
    <col min="7" max="7" width="30.6640625" style="590" customWidth="1"/>
    <col min="8" max="8" width="16.5546875" style="591" customWidth="1"/>
    <col min="9" max="9" width="12" style="592" customWidth="1"/>
    <col min="10" max="10" width="12.5546875" style="592" customWidth="1"/>
    <col min="11" max="11" width="9.5546875" style="592" customWidth="1"/>
    <col min="12" max="12" width="34.109375" style="592" customWidth="1"/>
    <col min="13" max="23" width="10.6640625" style="592" customWidth="1"/>
    <col min="24" max="35" width="10.6640625" style="590" customWidth="1"/>
    <col min="36" max="37" width="10.6640625" style="590" customWidth="1" outlineLevel="1"/>
    <col min="38" max="63" width="10.6640625" style="590" customWidth="1"/>
    <col min="64" max="65" width="11.109375" style="590" customWidth="1"/>
    <col min="66" max="66" width="10.88671875" style="590" customWidth="1"/>
    <col min="67" max="16384" width="9.109375" style="590"/>
  </cols>
  <sheetData>
    <row r="1" spans="1:43" x14ac:dyDescent="0.35">
      <c r="A1" s="590">
        <v>0</v>
      </c>
      <c r="B1" s="590">
        <f t="shared" ref="B1:AN1" si="0">A1+1</f>
        <v>1</v>
      </c>
      <c r="C1" s="590">
        <f t="shared" si="0"/>
        <v>2</v>
      </c>
      <c r="D1" s="590">
        <f t="shared" si="0"/>
        <v>3</v>
      </c>
      <c r="E1" s="590">
        <f t="shared" si="0"/>
        <v>4</v>
      </c>
      <c r="F1" s="590">
        <f t="shared" si="0"/>
        <v>5</v>
      </c>
      <c r="G1" s="590">
        <f t="shared" si="0"/>
        <v>6</v>
      </c>
      <c r="H1" s="590">
        <f t="shared" si="0"/>
        <v>7</v>
      </c>
      <c r="I1" s="590">
        <f t="shared" si="0"/>
        <v>8</v>
      </c>
      <c r="J1" s="590">
        <f t="shared" si="0"/>
        <v>9</v>
      </c>
      <c r="K1" s="590">
        <f t="shared" si="0"/>
        <v>10</v>
      </c>
      <c r="L1" s="590">
        <f t="shared" si="0"/>
        <v>11</v>
      </c>
      <c r="M1" s="590">
        <f t="shared" si="0"/>
        <v>12</v>
      </c>
      <c r="N1" s="590">
        <f t="shared" si="0"/>
        <v>13</v>
      </c>
      <c r="O1" s="590">
        <f t="shared" si="0"/>
        <v>14</v>
      </c>
      <c r="P1" s="590"/>
      <c r="Q1" s="590"/>
      <c r="R1" s="590"/>
      <c r="S1" s="590"/>
      <c r="T1" s="590"/>
      <c r="U1" s="590"/>
      <c r="V1" s="590"/>
      <c r="W1" s="590">
        <f>O1+1</f>
        <v>15</v>
      </c>
      <c r="X1" s="590">
        <f>W1+1</f>
        <v>16</v>
      </c>
      <c r="Y1" s="590">
        <f t="shared" si="0"/>
        <v>17</v>
      </c>
      <c r="Z1" s="590">
        <f t="shared" si="0"/>
        <v>18</v>
      </c>
      <c r="AA1" s="590">
        <f t="shared" si="0"/>
        <v>19</v>
      </c>
      <c r="AB1" s="590">
        <f t="shared" si="0"/>
        <v>20</v>
      </c>
      <c r="AC1" s="590">
        <f t="shared" si="0"/>
        <v>21</v>
      </c>
      <c r="AD1" s="590">
        <f t="shared" si="0"/>
        <v>22</v>
      </c>
      <c r="AE1" s="590">
        <f t="shared" si="0"/>
        <v>23</v>
      </c>
      <c r="AF1" s="590">
        <f t="shared" si="0"/>
        <v>24</v>
      </c>
      <c r="AG1" s="590">
        <f t="shared" si="0"/>
        <v>25</v>
      </c>
      <c r="AH1" s="590">
        <f t="shared" si="0"/>
        <v>26</v>
      </c>
      <c r="AI1" s="590">
        <f t="shared" si="0"/>
        <v>27</v>
      </c>
      <c r="AJ1" s="590">
        <f t="shared" si="0"/>
        <v>28</v>
      </c>
      <c r="AK1" s="590">
        <f t="shared" si="0"/>
        <v>29</v>
      </c>
      <c r="AL1" s="590">
        <f t="shared" si="0"/>
        <v>30</v>
      </c>
      <c r="AM1" s="590">
        <f t="shared" si="0"/>
        <v>31</v>
      </c>
      <c r="AN1" s="590">
        <f t="shared" si="0"/>
        <v>32</v>
      </c>
      <c r="AO1" s="590">
        <v>1</v>
      </c>
      <c r="AP1" s="590">
        <v>1</v>
      </c>
      <c r="AQ1" s="590">
        <v>1</v>
      </c>
    </row>
    <row r="2" spans="1:43" ht="17.399999999999999" x14ac:dyDescent="0.4">
      <c r="A2" s="656" t="s">
        <v>761</v>
      </c>
      <c r="B2" s="652"/>
      <c r="C2" s="653"/>
      <c r="F2" s="659" t="s">
        <v>777</v>
      </c>
      <c r="G2" s="658"/>
      <c r="H2" s="658"/>
      <c r="I2" s="658"/>
      <c r="J2" s="658"/>
      <c r="L2" s="2217"/>
      <c r="M2" s="2218" t="s">
        <v>2161</v>
      </c>
      <c r="N2" s="2218"/>
      <c r="O2" s="2218"/>
      <c r="P2" s="2218"/>
      <c r="Q2" s="2218"/>
      <c r="R2" s="2219" t="s">
        <v>2162</v>
      </c>
      <c r="S2" s="2219"/>
    </row>
    <row r="3" spans="1:43" ht="48.6" x14ac:dyDescent="0.4">
      <c r="A3" s="654" t="s">
        <v>752</v>
      </c>
      <c r="B3" s="653"/>
      <c r="C3" s="655" t="s">
        <v>1977</v>
      </c>
      <c r="F3" s="653" t="s">
        <v>778</v>
      </c>
      <c r="H3" s="701" t="s">
        <v>41</v>
      </c>
      <c r="I3" s="702" t="s">
        <v>779</v>
      </c>
      <c r="J3" s="702" t="s">
        <v>780</v>
      </c>
      <c r="L3" s="2217"/>
      <c r="M3" s="2220" t="s">
        <v>2163</v>
      </c>
      <c r="N3" s="2220" t="s">
        <v>2164</v>
      </c>
      <c r="O3" s="2220" t="s">
        <v>68</v>
      </c>
      <c r="P3" s="2220" t="s">
        <v>14</v>
      </c>
      <c r="Q3" s="2220" t="s">
        <v>2165</v>
      </c>
      <c r="R3" s="2220" t="s">
        <v>2166</v>
      </c>
      <c r="S3" s="2220" t="s">
        <v>2167</v>
      </c>
    </row>
    <row r="4" spans="1:43" ht="16.2" x14ac:dyDescent="0.4">
      <c r="A4" s="654" t="s">
        <v>753</v>
      </c>
      <c r="B4" s="653"/>
      <c r="C4" s="654" t="s">
        <v>1978</v>
      </c>
      <c r="F4" s="588"/>
      <c r="H4" s="703" t="s">
        <v>136</v>
      </c>
      <c r="I4" s="703" t="s">
        <v>136</v>
      </c>
      <c r="J4" s="703" t="s">
        <v>136</v>
      </c>
      <c r="L4" s="2217"/>
      <c r="M4" s="2221" t="s">
        <v>136</v>
      </c>
      <c r="N4" s="2221" t="s">
        <v>136</v>
      </c>
      <c r="O4" s="2221" t="s">
        <v>136</v>
      </c>
      <c r="P4" s="2221" t="s">
        <v>136</v>
      </c>
      <c r="Q4" s="2221" t="s">
        <v>136</v>
      </c>
      <c r="R4" s="2221" t="s">
        <v>136</v>
      </c>
      <c r="S4" s="2221" t="s">
        <v>136</v>
      </c>
    </row>
    <row r="5" spans="1:43" ht="16.2" x14ac:dyDescent="0.4">
      <c r="A5" s="653"/>
      <c r="B5" s="653"/>
      <c r="C5" s="653"/>
      <c r="E5" s="590">
        <v>1</v>
      </c>
      <c r="F5" s="590" t="s">
        <v>561</v>
      </c>
      <c r="H5" s="596">
        <f t="shared" ref="H5:H12" ca="1" si="1">SUMIFS($H$23:$H$47,$G$23:$G$47,$F5)</f>
        <v>83040.097299999965</v>
      </c>
      <c r="I5" s="596">
        <f t="shared" ref="I5:I12" si="2">SUMIFS($AC$23:$AC$47,$G$23:$G$47,$F5)</f>
        <v>0</v>
      </c>
      <c r="J5" s="596">
        <f t="shared" ref="J5:J12" si="3">SUMIFS($AE$23:$AE$47,$G$23:$G$47,$F5)</f>
        <v>0</v>
      </c>
      <c r="K5" s="1920"/>
      <c r="L5" s="2222" t="s">
        <v>165</v>
      </c>
      <c r="M5" s="2223">
        <f ca="1">_xlfn.AGGREGATE(9,6,OFFSET(Spaces_Ref,1,$AQ$50,2000,1))</f>
        <v>38936.400000000001</v>
      </c>
      <c r="N5" s="2223">
        <f ca="1">_xlfn.AGGREGATE(9,6,OFFSET(Spaces_Ref,1,$BF$50,2000,1))</f>
        <v>0</v>
      </c>
      <c r="O5" s="2223">
        <f ca="1">_xlfn.AGGREGATE(9,6,OFFSET(Spaces_Ref,1,$AW$50,2000,1))</f>
        <v>17094.700000000004</v>
      </c>
      <c r="P5" s="2223">
        <f ca="1">_xlfn.AGGREGATE(9,6,OFFSET(Spaces_Ref,1,$BC$50,2000,1))</f>
        <v>4837.4000000000005</v>
      </c>
      <c r="Q5" s="2223">
        <f ca="1">_xlfn.AGGREGATE(9,6,OFFSET(Spaces_Ref,1,$BI$50,2000,1))</f>
        <v>0</v>
      </c>
      <c r="R5" s="2223">
        <f ca="1">_xlfn.AGGREGATE(9,6,OFFSET(Spaces_Ref,1,$AR$50,2000,1))</f>
        <v>7757.0000000000009</v>
      </c>
      <c r="S5" s="2223">
        <f ca="1">_xlfn.AGGREGATE(9,6,OFFSET(Spaces_Ref,1,$AX$50,2000,1))</f>
        <v>0</v>
      </c>
    </row>
    <row r="6" spans="1:43" ht="16.2" x14ac:dyDescent="0.4">
      <c r="A6" s="657" t="s">
        <v>246</v>
      </c>
      <c r="B6" s="653"/>
      <c r="C6" s="653"/>
      <c r="E6" s="590">
        <v>2</v>
      </c>
      <c r="F6" s="590" t="s">
        <v>562</v>
      </c>
      <c r="H6" s="596">
        <f t="shared" si="1"/>
        <v>0</v>
      </c>
      <c r="I6" s="596">
        <f t="shared" si="2"/>
        <v>0</v>
      </c>
      <c r="J6" s="596">
        <f t="shared" si="3"/>
        <v>0</v>
      </c>
      <c r="L6" s="2222" t="s">
        <v>2168</v>
      </c>
      <c r="M6" s="2223">
        <f ca="1">_xlfn.AGGREGATE(9,6,OFFSET(Spaces_Ref,1,$AS$50,2000,1))</f>
        <v>16778.599999999999</v>
      </c>
      <c r="N6" s="2223">
        <f ca="1">_xlfn.AGGREGATE(9,6,OFFSET(Spaces_Ref,1,$BG$50,2000,1))</f>
        <v>2193.1999999999998</v>
      </c>
      <c r="O6" s="2223">
        <f ca="1">_xlfn.AGGREGATE(9,6,OFFSET(Spaces_Ref,1,$AY$50,2000,1))</f>
        <v>4652.5999999999995</v>
      </c>
      <c r="P6" s="2223">
        <f ca="1">_xlfn.AGGREGATE(9,6,OFFSET(Spaces_Ref,1,$BD$50,2000,1))</f>
        <v>360.3</v>
      </c>
      <c r="Q6" s="2223">
        <f ca="1">_xlfn.AGGREGATE(9,6,OFFSET(Spaces_Ref,1,$BJ$50,2000,1))</f>
        <v>15496.1</v>
      </c>
      <c r="R6" s="2223">
        <f ca="1">_xlfn.AGGREGATE(9,6,OFFSET(Spaces_Ref,1,$AT$50,2000,1))</f>
        <v>3699.2999999999997</v>
      </c>
      <c r="S6" s="2223">
        <f ca="1">_xlfn.AGGREGATE(9,6,OFFSET(Spaces_Ref,1,$AZ$50,2000,1))</f>
        <v>0</v>
      </c>
    </row>
    <row r="7" spans="1:43" ht="16.2" x14ac:dyDescent="0.4">
      <c r="A7" s="590" t="s">
        <v>253</v>
      </c>
      <c r="E7" s="590">
        <v>3</v>
      </c>
      <c r="F7" s="590" t="s">
        <v>563</v>
      </c>
      <c r="H7" s="596">
        <f t="shared" ca="1" si="1"/>
        <v>15475.367999999999</v>
      </c>
      <c r="I7" s="596">
        <f t="shared" si="2"/>
        <v>0</v>
      </c>
      <c r="J7" s="596">
        <f t="shared" si="3"/>
        <v>0</v>
      </c>
      <c r="K7" s="590"/>
      <c r="L7" s="2224" t="s">
        <v>2169</v>
      </c>
      <c r="M7" s="2223">
        <f ca="1">_xlfn.AGGREGATE(9,6,OFFSET(Spaces_Ref,1,$AU$50,2000,1))</f>
        <v>610.29999999999995</v>
      </c>
      <c r="N7" s="2223">
        <f ca="1">_xlfn.AGGREGATE(9,6,OFFSET(Spaces_Ref,1,$BH$50,2000,1))</f>
        <v>0</v>
      </c>
      <c r="O7" s="2223">
        <f ca="1">_xlfn.AGGREGATE(9,6,OFFSET(Spaces_Ref,1,$BA$50,2000,1))</f>
        <v>0</v>
      </c>
      <c r="P7" s="2223">
        <f ca="1">_xlfn.AGGREGATE(9,6,OFFSET(Spaces_Ref,1,$BE$50,2000,1))</f>
        <v>0</v>
      </c>
      <c r="Q7" s="2223">
        <f ca="1">_xlfn.AGGREGATE(9,6,OFFSET(Spaces_Ref,1,$BK$50,2000,1))</f>
        <v>0</v>
      </c>
      <c r="R7" s="2223">
        <f ca="1">_xlfn.AGGREGATE(9,6,OFFSET(Spaces_Ref,1,$AV$50,2000,1))</f>
        <v>0</v>
      </c>
      <c r="S7" s="2223">
        <f ca="1">_xlfn.AGGREGATE(9,6,OFFSET(Spaces_Ref,1,$BB$50,2000,1))</f>
        <v>0</v>
      </c>
      <c r="T7" s="590"/>
      <c r="U7" s="590"/>
      <c r="V7" s="590"/>
      <c r="W7" s="590"/>
    </row>
    <row r="8" spans="1:43" ht="16.2" x14ac:dyDescent="0.4">
      <c r="E8" s="590">
        <v>4</v>
      </c>
      <c r="F8" s="590" t="s">
        <v>564</v>
      </c>
      <c r="H8" s="596">
        <f t="shared" ca="1" si="1"/>
        <v>641.20320000000004</v>
      </c>
      <c r="I8" s="596">
        <f t="shared" si="2"/>
        <v>0</v>
      </c>
      <c r="J8" s="596">
        <f t="shared" si="3"/>
        <v>0</v>
      </c>
      <c r="K8" s="590"/>
      <c r="L8" s="2225" t="s">
        <v>41</v>
      </c>
      <c r="M8" s="2582">
        <f ca="1">SUM(M5:Q7)</f>
        <v>100959.60000000002</v>
      </c>
      <c r="N8" s="2583"/>
      <c r="O8" s="2583"/>
      <c r="P8" s="2583"/>
      <c r="Q8" s="2584"/>
      <c r="R8" s="2582">
        <f ca="1">SUM(R5:S7)</f>
        <v>11456.300000000001</v>
      </c>
      <c r="S8" s="2585"/>
      <c r="T8" s="590"/>
      <c r="U8" s="590"/>
      <c r="V8" s="590"/>
      <c r="W8" s="590"/>
    </row>
    <row r="9" spans="1:43" ht="16.2" x14ac:dyDescent="0.4">
      <c r="E9" s="590">
        <v>5</v>
      </c>
      <c r="F9" s="590" t="s">
        <v>559</v>
      </c>
      <c r="H9" s="596">
        <f t="shared" ca="1" si="1"/>
        <v>7487.0558999999994</v>
      </c>
      <c r="I9" s="596">
        <f t="shared" si="2"/>
        <v>0</v>
      </c>
      <c r="J9" s="596">
        <f t="shared" si="3"/>
        <v>0</v>
      </c>
      <c r="K9" s="590"/>
      <c r="L9" s="2225" t="s">
        <v>228</v>
      </c>
      <c r="M9" s="2226"/>
      <c r="N9" s="2227"/>
      <c r="O9" s="2227"/>
      <c r="P9" s="2227"/>
      <c r="Q9" s="2227"/>
      <c r="R9" s="2228">
        <f ca="1">SUM(R5:R6)/SUM(M5:M7)</f>
        <v>0.20339527707797386</v>
      </c>
      <c r="S9" s="2229"/>
      <c r="T9" s="590"/>
      <c r="U9" s="590"/>
      <c r="V9" s="590"/>
      <c r="W9" s="590"/>
    </row>
    <row r="10" spans="1:43" x14ac:dyDescent="0.35">
      <c r="E10" s="590">
        <v>6</v>
      </c>
      <c r="F10" s="590" t="s">
        <v>565</v>
      </c>
      <c r="H10" s="596">
        <f t="shared" ca="1" si="1"/>
        <v>0</v>
      </c>
      <c r="I10" s="596">
        <f t="shared" si="2"/>
        <v>0</v>
      </c>
      <c r="J10" s="596">
        <f t="shared" si="3"/>
        <v>0</v>
      </c>
      <c r="K10" s="590"/>
      <c r="L10"/>
      <c r="M10"/>
      <c r="N10"/>
      <c r="O10"/>
      <c r="P10"/>
      <c r="Q10"/>
      <c r="R10"/>
      <c r="S10"/>
      <c r="T10"/>
      <c r="U10"/>
      <c r="V10" s="590"/>
      <c r="W10" s="590"/>
    </row>
    <row r="11" spans="1:43" x14ac:dyDescent="0.35">
      <c r="E11" s="590">
        <v>7</v>
      </c>
      <c r="F11" s="590" t="s">
        <v>566</v>
      </c>
      <c r="H11" s="596">
        <f t="shared" ca="1" si="1"/>
        <v>1332.6484</v>
      </c>
      <c r="I11" s="596">
        <f t="shared" si="2"/>
        <v>0</v>
      </c>
      <c r="J11" s="596">
        <f t="shared" si="3"/>
        <v>0</v>
      </c>
      <c r="K11" s="590"/>
      <c r="L11"/>
      <c r="M11"/>
      <c r="N11"/>
      <c r="O11"/>
      <c r="P11"/>
      <c r="Q11"/>
      <c r="R11"/>
      <c r="S11"/>
      <c r="T11"/>
      <c r="U11"/>
      <c r="V11" s="590"/>
      <c r="W11" s="590"/>
    </row>
    <row r="12" spans="1:43" ht="15.6" thickBot="1" x14ac:dyDescent="0.4">
      <c r="E12" s="590">
        <v>8</v>
      </c>
      <c r="F12" s="609" t="s">
        <v>567</v>
      </c>
      <c r="H12" s="610">
        <f t="shared" ca="1" si="1"/>
        <v>8334.3642999999993</v>
      </c>
      <c r="I12" s="610">
        <f t="shared" si="2"/>
        <v>0</v>
      </c>
      <c r="J12" s="610">
        <f t="shared" si="3"/>
        <v>0</v>
      </c>
      <c r="K12" s="590"/>
      <c r="L12"/>
      <c r="M12"/>
      <c r="N12"/>
      <c r="O12"/>
      <c r="P12"/>
      <c r="Q12"/>
      <c r="R12"/>
      <c r="S12"/>
      <c r="T12"/>
      <c r="U12"/>
      <c r="V12" s="590"/>
      <c r="W12" s="590"/>
    </row>
    <row r="13" spans="1:43" ht="15.6" thickTop="1" x14ac:dyDescent="0.35">
      <c r="E13" s="595"/>
      <c r="F13" s="611" t="s">
        <v>82</v>
      </c>
      <c r="H13" s="615">
        <f ca="1">SUM(H5:H12)</f>
        <v>116310.73709999998</v>
      </c>
      <c r="I13" s="612">
        <f>SUM(I5:I12)</f>
        <v>0</v>
      </c>
      <c r="J13" s="612">
        <f>SUM(J5:J12)</f>
        <v>0</v>
      </c>
      <c r="K13" s="590"/>
      <c r="L13"/>
      <c r="M13"/>
      <c r="N13"/>
      <c r="O13"/>
      <c r="P13"/>
      <c r="Q13"/>
      <c r="R13"/>
      <c r="S13"/>
      <c r="T13"/>
      <c r="U13"/>
      <c r="V13" s="590"/>
      <c r="W13" s="590"/>
    </row>
    <row r="14" spans="1:43" x14ac:dyDescent="0.35">
      <c r="E14" s="595"/>
      <c r="F14" s="595"/>
      <c r="H14" s="592">
        <f ca="1">H13-H10</f>
        <v>116310.73709999998</v>
      </c>
      <c r="I14" s="595"/>
      <c r="K14" s="590"/>
      <c r="L14" s="590"/>
      <c r="M14" s="590"/>
      <c r="N14" s="590"/>
      <c r="O14" s="590"/>
      <c r="P14" s="590"/>
      <c r="Q14" s="590"/>
      <c r="R14" s="590"/>
      <c r="S14" s="590"/>
      <c r="T14" s="590"/>
      <c r="U14" s="590"/>
      <c r="V14" s="590"/>
      <c r="W14" s="590"/>
    </row>
    <row r="15" spans="1:43" x14ac:dyDescent="0.35">
      <c r="E15" s="592"/>
      <c r="F15" s="653" t="s">
        <v>781</v>
      </c>
      <c r="H15" s="590" t="s">
        <v>782</v>
      </c>
      <c r="I15" s="590"/>
      <c r="K15" s="590"/>
      <c r="L15" s="590"/>
      <c r="M15" s="590"/>
      <c r="N15" s="590"/>
      <c r="O15" s="590"/>
      <c r="P15" s="590"/>
      <c r="Q15" s="590"/>
      <c r="R15" s="590"/>
      <c r="S15" s="590"/>
      <c r="T15" s="590"/>
      <c r="U15" s="590"/>
      <c r="V15" s="590"/>
      <c r="W15" s="590"/>
    </row>
    <row r="16" spans="1:43" x14ac:dyDescent="0.35">
      <c r="E16" s="592"/>
      <c r="F16" s="594"/>
      <c r="H16" s="589" t="s">
        <v>783</v>
      </c>
      <c r="I16" s="594"/>
      <c r="J16" s="594"/>
    </row>
    <row r="17" spans="2:66" x14ac:dyDescent="0.35">
      <c r="E17" s="592"/>
      <c r="F17" s="590" t="s">
        <v>47</v>
      </c>
      <c r="H17" s="599">
        <v>49.2</v>
      </c>
      <c r="I17" s="590"/>
      <c r="K17" s="590"/>
      <c r="L17" s="590"/>
      <c r="M17" s="590"/>
      <c r="N17" s="590"/>
      <c r="O17" s="590"/>
      <c r="P17" s="590"/>
      <c r="Q17" s="590"/>
      <c r="R17" s="590"/>
      <c r="S17" s="590"/>
      <c r="T17" s="590"/>
      <c r="U17" s="590"/>
      <c r="V17" s="590"/>
      <c r="W17" s="590"/>
    </row>
    <row r="18" spans="2:66" x14ac:dyDescent="0.35">
      <c r="E18" s="592"/>
      <c r="F18" s="590" t="s">
        <v>81</v>
      </c>
      <c r="H18" s="599">
        <v>35.700000000000003</v>
      </c>
      <c r="I18" s="613"/>
      <c r="J18" s="590"/>
      <c r="K18" s="590"/>
      <c r="L18" s="590"/>
      <c r="M18" s="590"/>
      <c r="N18" s="590"/>
      <c r="O18" s="590"/>
      <c r="P18" s="590"/>
      <c r="Q18" s="590"/>
      <c r="R18" s="590"/>
      <c r="S18" s="590"/>
      <c r="T18" s="590"/>
      <c r="U18" s="590"/>
      <c r="V18" s="590"/>
      <c r="W18" s="590"/>
    </row>
    <row r="19" spans="2:66" x14ac:dyDescent="0.35">
      <c r="X19" s="592"/>
    </row>
    <row r="20" spans="2:66" ht="15" customHeight="1" x14ac:dyDescent="0.35">
      <c r="P20" s="2581" t="s">
        <v>69</v>
      </c>
      <c r="Q20" s="2581"/>
      <c r="R20" s="2581" t="s">
        <v>70</v>
      </c>
      <c r="S20" s="2581"/>
      <c r="T20" s="1754" t="s">
        <v>1444</v>
      </c>
      <c r="U20" s="1755"/>
      <c r="V20" s="1755"/>
      <c r="W20" s="1756"/>
      <c r="X20" s="592"/>
      <c r="AC20" s="2581"/>
      <c r="AD20" s="2581"/>
      <c r="AE20" s="2581"/>
      <c r="AF20" s="2581"/>
    </row>
    <row r="21" spans="2:66" ht="45" x14ac:dyDescent="0.35">
      <c r="E21" s="594"/>
      <c r="F21" s="594"/>
      <c r="G21" s="594"/>
      <c r="H21" s="1533" t="str">
        <f ca="1">AO54</f>
        <v>Floor Area x Mult</v>
      </c>
      <c r="I21" s="1533" t="s">
        <v>1428</v>
      </c>
      <c r="J21" s="1533" t="s">
        <v>1429</v>
      </c>
      <c r="K21" s="1533" t="str">
        <f ca="1">AP54</f>
        <v>Volume x Mult</v>
      </c>
      <c r="L21" s="1534" t="s">
        <v>229</v>
      </c>
      <c r="M21" s="700" t="s">
        <v>2261</v>
      </c>
      <c r="N21" s="700" t="s">
        <v>2262</v>
      </c>
      <c r="O21" s="700" t="s">
        <v>2263</v>
      </c>
      <c r="P21" s="590" t="s">
        <v>163</v>
      </c>
      <c r="Q21" s="590" t="s">
        <v>164</v>
      </c>
      <c r="R21" s="590" t="s">
        <v>163</v>
      </c>
      <c r="S21" s="590" t="s">
        <v>164</v>
      </c>
      <c r="T21" s="1757" t="s">
        <v>1441</v>
      </c>
      <c r="U21" s="1628"/>
      <c r="V21" s="1628" t="s">
        <v>1443</v>
      </c>
      <c r="W21" s="1758"/>
      <c r="X21" s="592" t="s">
        <v>1958</v>
      </c>
      <c r="Y21" s="590" t="s">
        <v>1959</v>
      </c>
      <c r="Z21"/>
      <c r="AA21"/>
      <c r="AB21"/>
      <c r="AC21"/>
      <c r="AD21"/>
      <c r="AE21"/>
      <c r="AF21"/>
      <c r="AG21"/>
    </row>
    <row r="22" spans="2:66" x14ac:dyDescent="0.35">
      <c r="C22" s="593" t="s">
        <v>245</v>
      </c>
      <c r="D22" s="594"/>
      <c r="E22" s="594" t="s">
        <v>855</v>
      </c>
      <c r="F22" s="590" t="s">
        <v>880</v>
      </c>
      <c r="G22" s="594" t="s">
        <v>881</v>
      </c>
      <c r="H22" s="616" t="s">
        <v>136</v>
      </c>
      <c r="I22" s="616" t="s">
        <v>136</v>
      </c>
      <c r="J22" s="616" t="s">
        <v>136</v>
      </c>
      <c r="K22" s="616" t="s">
        <v>346</v>
      </c>
      <c r="L22" s="616" t="s">
        <v>141</v>
      </c>
      <c r="M22" s="616" t="s">
        <v>136</v>
      </c>
      <c r="N22" s="616" t="s">
        <v>136</v>
      </c>
      <c r="O22" s="616" t="s">
        <v>136</v>
      </c>
      <c r="P22" s="1627" t="s">
        <v>136</v>
      </c>
      <c r="Q22" s="1627" t="s">
        <v>346</v>
      </c>
      <c r="R22" s="1627" t="s">
        <v>136</v>
      </c>
      <c r="S22" s="1627" t="s">
        <v>346</v>
      </c>
      <c r="T22" s="1759" t="s">
        <v>1442</v>
      </c>
      <c r="U22" s="1627"/>
      <c r="V22" s="1627" t="s">
        <v>1442</v>
      </c>
      <c r="W22" s="1760"/>
      <c r="X22" s="592"/>
      <c r="Z22"/>
      <c r="AA22"/>
      <c r="AB22"/>
      <c r="AC22"/>
      <c r="AD22"/>
      <c r="AE22"/>
      <c r="AF22"/>
      <c r="AG22"/>
      <c r="BN22" s="592"/>
    </row>
    <row r="23" spans="2:66" x14ac:dyDescent="0.35">
      <c r="B23" s="590">
        <v>1</v>
      </c>
      <c r="C23" s="1" t="str">
        <f>Proj_Sum!E42</f>
        <v>Mfam</v>
      </c>
      <c r="D23" s="1">
        <f>Proj_Sum!D42</f>
        <v>1</v>
      </c>
      <c r="E23" s="1" t="str">
        <f>Proj_Sum!E42</f>
        <v>Mfam</v>
      </c>
      <c r="F23" s="1" t="str">
        <f>Proj_Sum!F42</f>
        <v>Multifamily - Dwelling/Sleeping Units</v>
      </c>
      <c r="G23" s="1" t="str">
        <f>VLOOKUP(D23,Proj_Sum!$S$42:$T$51,2)</f>
        <v>Residential (in-unit)</v>
      </c>
      <c r="H23" s="1535">
        <f t="shared" ref="H23:H47" ca="1" si="4">SUMIFS(OFFSET(Spaces_Ref,1,AO$50,1000),OFFSET(Spaces_Ref,1,$E$50,1000),$E23)</f>
        <v>83040.097299999965</v>
      </c>
      <c r="I23" s="1535">
        <f t="shared" ref="I23:I47" ca="1" si="5">SUMIFS(OFFSET(Spaces_Ref,1,$AO$50,1000),OFFSET(Spaces_Ref,1,$AM$50,1000),1,OFFSET(Spaces_Ref,1,$E$50,1000),$E23)</f>
        <v>83040.097299999965</v>
      </c>
      <c r="J23" s="1535">
        <f t="shared" ref="J23:J47" ca="1" si="6">SUMIFS(OFFSET(Spaces_Ref,1,$AO$50,1000),OFFSET(Spaces_Ref,1,$AM$50,1000),0,OFFSET(Spaces_Ref,1,$E$50,1000),$E23)</f>
        <v>0</v>
      </c>
      <c r="K23" s="1535">
        <f t="shared" ref="K23:K47" ca="1" si="7">SUMIFS(OFFSET(Spaces_Ref,1,AP$50,1000),OFFSET(Spaces_Ref,1,$E$50,1000),$E23)</f>
        <v>830400.63000000047</v>
      </c>
      <c r="L23" s="1535">
        <f t="shared" ref="L23:L40" ca="1" si="8">IFERROR(K23/H23,)</f>
        <v>9.9999958694653515</v>
      </c>
      <c r="M23" s="1535">
        <f t="shared" ref="M23:M47" ca="1" si="9">SUMIFS(OFFSET(Spaces_Ref,1,AQ$50,1000),OFFSET(Spaces_Ref,1,$E$50,1000),$E23)</f>
        <v>38936.400000000001</v>
      </c>
      <c r="N23" s="1535">
        <f t="shared" ref="N23:N47" ca="1" si="10">SUMIFS(OFFSET(Spaces_Ref,1,AR$50,1000),OFFSET(Spaces_Ref,1,$E$50,1000),$E23)</f>
        <v>7757.0000000000009</v>
      </c>
      <c r="O23" s="1532">
        <f ca="1">IFERROR(N23/M23,0)</f>
        <v>0.19922232152946859</v>
      </c>
      <c r="P23" s="667">
        <f t="shared" ref="P23:P47" ca="1" si="11">SUMIFS(OFFSET(Spaces_Ref,1,AO$50,1000),OFFSET(Spaces_Ref,1,$E$50,1000),$E23,OFFSET(Spaces_Ref,1,$AM$50,1000),1)</f>
        <v>83040.097299999965</v>
      </c>
      <c r="Q23" s="667">
        <f t="shared" ref="Q23:Q47" ca="1" si="12">SUMIFS(OFFSET(Spaces_Ref,1,AP$50,1000),OFFSET(Spaces_Ref,1,$E$50,1000),$E23,OFFSET(Spaces_Ref,1,$AM$50,1000),1)</f>
        <v>830400.63000000047</v>
      </c>
      <c r="R23" s="667">
        <f t="shared" ref="R23:R47" ca="1" si="13">SUMIFS(OFFSET(Spaces_Ref,1,AO$50,1000),OFFSET(Spaces_Ref,1,$E$50,1000),$E23,OFFSET(Spaces_Ref,1,$AM$50,1000),0)</f>
        <v>0</v>
      </c>
      <c r="S23" s="667">
        <f t="shared" ref="S23:S47" ca="1" si="14">SUMIFS(OFFSET(Spaces_Ref,1,AP$50,1000),OFFSET(Spaces_Ref,1,$E$50,1000),$E23,OFFSET(Spaces_Ref,1,$AM$50,1000),0)</f>
        <v>0</v>
      </c>
      <c r="T23" s="1761">
        <f ca="1">VLOOKUP($E23,Proj_Sum!$E$42:$M$69,Proj_Sum!L$39,FALSE)</f>
        <v>2.7377073710426747</v>
      </c>
      <c r="U23" s="667">
        <f ca="1">$H23*T23</f>
        <v>227339.4864703108</v>
      </c>
      <c r="V23" s="599">
        <f ca="1">VLOOKUP($E23,Proj_Sum!$E$42:$M$69,Proj_Sum!M$39,FALSE)</f>
        <v>2.7377073710426747</v>
      </c>
      <c r="W23" s="1762">
        <f ca="1">$H23*V23</f>
        <v>227339.4864703108</v>
      </c>
      <c r="X23" s="1920">
        <f ca="1">P23/P$48</f>
        <v>0.6935631363560123</v>
      </c>
      <c r="Y23" s="603">
        <f ca="1">T23*$H23*3.412/Proj_Sum!$P$32</f>
        <v>6.4786131712583472</v>
      </c>
      <c r="Z23"/>
      <c r="AA23"/>
      <c r="AB23"/>
      <c r="AC23"/>
      <c r="AD23"/>
      <c r="AE23"/>
      <c r="AF23"/>
      <c r="AG23"/>
      <c r="BN23" s="592"/>
    </row>
    <row r="24" spans="2:66" x14ac:dyDescent="0.35">
      <c r="B24" s="590">
        <f>B23+1</f>
        <v>2</v>
      </c>
      <c r="C24" s="1" t="str">
        <f>Proj_Sum!E43</f>
        <v>Loft</v>
      </c>
      <c r="D24" s="1">
        <f>Proj_Sum!D43</f>
        <v>1</v>
      </c>
      <c r="E24" s="1" t="str">
        <f>Proj_Sum!E43</f>
        <v>Loft</v>
      </c>
      <c r="F24" s="1" t="str">
        <f>Proj_Sum!F43</f>
        <v>Multifamily - Dwelling/Sleeping Units</v>
      </c>
      <c r="G24" s="1" t="str">
        <f>VLOOKUP(D24,Proj_Sum!$S$42:$T$51,2)</f>
        <v>Residential (in-unit)</v>
      </c>
      <c r="H24" s="1535">
        <f t="shared" ca="1" si="4"/>
        <v>0</v>
      </c>
      <c r="I24" s="1535">
        <f t="shared" ca="1" si="5"/>
        <v>0</v>
      </c>
      <c r="J24" s="1535">
        <f t="shared" ca="1" si="6"/>
        <v>0</v>
      </c>
      <c r="K24" s="1535">
        <f t="shared" ca="1" si="7"/>
        <v>0</v>
      </c>
      <c r="L24" s="1535">
        <f t="shared" ca="1" si="8"/>
        <v>0</v>
      </c>
      <c r="M24" s="1535">
        <f ca="1">SUMIFS(OFFSET(Spaces_Ref,1,AQ$50,1000),OFFSET(Spaces_Ref,1,$E$50,1000),$E24)</f>
        <v>0</v>
      </c>
      <c r="N24" s="1535">
        <f t="shared" ca="1" si="10"/>
        <v>0</v>
      </c>
      <c r="O24" s="1535">
        <f t="shared" ref="O24:O40" ca="1" si="15">IFERROR(N24/M24,0)</f>
        <v>0</v>
      </c>
      <c r="P24" s="1532">
        <f t="shared" ca="1" si="11"/>
        <v>0</v>
      </c>
      <c r="Q24" s="1532">
        <f t="shared" ca="1" si="12"/>
        <v>0</v>
      </c>
      <c r="R24" s="1532">
        <f t="shared" ca="1" si="13"/>
        <v>0</v>
      </c>
      <c r="S24" s="1532">
        <f t="shared" ca="1" si="14"/>
        <v>0</v>
      </c>
      <c r="T24" s="1763">
        <f ca="1">VLOOKUP($E24,Proj_Sum!$E$42:$M$69,Proj_Sum!L$39,FALSE)</f>
        <v>2.7377073710426747</v>
      </c>
      <c r="U24" s="667">
        <f t="shared" ref="U24:W40" ca="1" si="16">$H24*T24</f>
        <v>0</v>
      </c>
      <c r="V24" s="599">
        <f ca="1">VLOOKUP($E24,Proj_Sum!$E$42:$M$69,Proj_Sum!M$39,FALSE)</f>
        <v>2.7377073710426747</v>
      </c>
      <c r="W24" s="1762">
        <f t="shared" ca="1" si="16"/>
        <v>0</v>
      </c>
      <c r="X24" s="1920">
        <f t="shared" ref="X24:X47" ca="1" si="17">P24/P$48</f>
        <v>0</v>
      </c>
      <c r="Y24" s="603">
        <f ca="1">T24*$H24*3.412/Proj_Sum!$P$32</f>
        <v>0</v>
      </c>
      <c r="Z24"/>
      <c r="AA24"/>
      <c r="AB24"/>
      <c r="AC24"/>
      <c r="AD24"/>
      <c r="AE24"/>
      <c r="AF24"/>
      <c r="AG24"/>
      <c r="BN24" s="592"/>
    </row>
    <row r="25" spans="2:66" x14ac:dyDescent="0.35">
      <c r="B25" s="590">
        <f t="shared" ref="B25:B47" si="18">B24+1</f>
        <v>3</v>
      </c>
      <c r="C25" s="1" t="str">
        <f>Proj_Sum!E44</f>
        <v>Lnge</v>
      </c>
      <c r="D25" s="1">
        <f>Proj_Sum!D44</f>
        <v>2</v>
      </c>
      <c r="E25" s="1" t="str">
        <f>Proj_Sum!E44</f>
        <v>Lnge</v>
      </c>
      <c r="F25" s="1" t="str">
        <f>Proj_Sum!F44</f>
        <v>Lounge</v>
      </c>
      <c r="G25" s="1" t="str">
        <f>VLOOKUP(D25,Proj_Sum!$S$42:$T$51,2)</f>
        <v>Res-associated</v>
      </c>
      <c r="H25" s="1535">
        <f t="shared" ca="1" si="4"/>
        <v>0</v>
      </c>
      <c r="I25" s="1535">
        <f t="shared" ca="1" si="5"/>
        <v>0</v>
      </c>
      <c r="J25" s="1535">
        <f t="shared" ca="1" si="6"/>
        <v>0</v>
      </c>
      <c r="K25" s="1535">
        <f t="shared" ca="1" si="7"/>
        <v>0</v>
      </c>
      <c r="L25" s="1535">
        <f t="shared" ca="1" si="8"/>
        <v>0</v>
      </c>
      <c r="M25" s="1535">
        <f t="shared" ca="1" si="9"/>
        <v>0</v>
      </c>
      <c r="N25" s="1535">
        <f t="shared" ca="1" si="10"/>
        <v>0</v>
      </c>
      <c r="O25" s="1535">
        <f t="shared" ca="1" si="15"/>
        <v>0</v>
      </c>
      <c r="P25" s="1532">
        <f t="shared" ca="1" si="11"/>
        <v>0</v>
      </c>
      <c r="Q25" s="1532">
        <f t="shared" ca="1" si="12"/>
        <v>0</v>
      </c>
      <c r="R25" s="1532">
        <f t="shared" ca="1" si="13"/>
        <v>0</v>
      </c>
      <c r="S25" s="1532">
        <f t="shared" ca="1" si="14"/>
        <v>0</v>
      </c>
      <c r="T25" s="1763">
        <f>VLOOKUP($E25,Proj_Sum!$E$42:$M$69,Proj_Sum!L$39,FALSE)</f>
        <v>1.6</v>
      </c>
      <c r="U25" s="667">
        <f t="shared" ca="1" si="16"/>
        <v>0</v>
      </c>
      <c r="V25" s="599">
        <f>VLOOKUP($E25,Proj_Sum!$E$42:$M$69,Proj_Sum!M$39,FALSE)</f>
        <v>1.6</v>
      </c>
      <c r="W25" s="1762">
        <f t="shared" ca="1" si="16"/>
        <v>0</v>
      </c>
      <c r="X25" s="1920">
        <f t="shared" ca="1" si="17"/>
        <v>0</v>
      </c>
      <c r="Y25" s="603">
        <f ca="1">T25*$H25*3.412/Proj_Sum!$P$32</f>
        <v>0</v>
      </c>
      <c r="Z25"/>
      <c r="AA25"/>
      <c r="AB25"/>
      <c r="AC25"/>
      <c r="AD25"/>
      <c r="AE25"/>
      <c r="AF25"/>
      <c r="AG25"/>
      <c r="BN25" s="592"/>
    </row>
    <row r="26" spans="2:66" x14ac:dyDescent="0.35">
      <c r="B26" s="590">
        <f t="shared" si="18"/>
        <v>4</v>
      </c>
      <c r="C26" s="1" t="str">
        <f>Proj_Sum!E45</f>
        <v>Mprp</v>
      </c>
      <c r="D26" s="1">
        <f>Proj_Sum!D45</f>
        <v>2</v>
      </c>
      <c r="E26" s="1" t="str">
        <f>Proj_Sum!E45</f>
        <v>Mprp</v>
      </c>
      <c r="F26" s="1" t="str">
        <f>Proj_Sum!F45</f>
        <v>Conference/Meeting/Multipurpose</v>
      </c>
      <c r="G26" s="1" t="str">
        <f>VLOOKUP(D26,Proj_Sum!$S$42:$T$51,2)</f>
        <v>Res-associated</v>
      </c>
      <c r="H26" s="1535">
        <f t="shared" ca="1" si="4"/>
        <v>2056.806</v>
      </c>
      <c r="I26" s="1535">
        <f t="shared" ca="1" si="5"/>
        <v>2056.806</v>
      </c>
      <c r="J26" s="1535">
        <f t="shared" ca="1" si="6"/>
        <v>0</v>
      </c>
      <c r="K26" s="1535">
        <f t="shared" ca="1" si="7"/>
        <v>32908.9</v>
      </c>
      <c r="L26" s="1535">
        <f t="shared" ca="1" si="8"/>
        <v>16.0000019447629</v>
      </c>
      <c r="M26" s="1535">
        <f t="shared" ca="1" si="9"/>
        <v>0</v>
      </c>
      <c r="N26" s="1535">
        <f t="shared" ca="1" si="10"/>
        <v>0</v>
      </c>
      <c r="O26" s="1535">
        <f t="shared" ca="1" si="15"/>
        <v>0</v>
      </c>
      <c r="P26" s="1532">
        <f t="shared" ca="1" si="11"/>
        <v>2056.806</v>
      </c>
      <c r="Q26" s="1532">
        <f t="shared" ca="1" si="12"/>
        <v>32908.9</v>
      </c>
      <c r="R26" s="1532">
        <f t="shared" ca="1" si="13"/>
        <v>0</v>
      </c>
      <c r="S26" s="1532">
        <f t="shared" ca="1" si="14"/>
        <v>0</v>
      </c>
      <c r="T26" s="1763">
        <f>VLOOKUP($E26,Proj_Sum!$E$42:$M$69,Proj_Sum!L$39,FALSE)</f>
        <v>1.6</v>
      </c>
      <c r="U26" s="667">
        <f t="shared" ca="1" si="16"/>
        <v>3290.8896000000004</v>
      </c>
      <c r="V26" s="599">
        <f>VLOOKUP($E26,Proj_Sum!$E$42:$M$69,Proj_Sum!M$39,FALSE)</f>
        <v>1.6</v>
      </c>
      <c r="W26" s="1762">
        <f t="shared" ca="1" si="16"/>
        <v>3290.8896000000004</v>
      </c>
      <c r="X26" s="1920">
        <f t="shared" ca="1" si="17"/>
        <v>1.717874697427486E-2</v>
      </c>
      <c r="Y26" s="603">
        <f ca="1">T26*$H26*3.412/Proj_Sum!$P$32</f>
        <v>9.378221548196132E-2</v>
      </c>
      <c r="Z26"/>
      <c r="AA26"/>
      <c r="AB26"/>
      <c r="AC26"/>
      <c r="AD26"/>
      <c r="AE26"/>
      <c r="AF26"/>
      <c r="AG26"/>
      <c r="BN26" s="592"/>
    </row>
    <row r="27" spans="2:66" x14ac:dyDescent="0.35">
      <c r="B27" s="590">
        <f t="shared" si="18"/>
        <v>5</v>
      </c>
      <c r="C27" s="1" t="str">
        <f>Proj_Sum!E46</f>
        <v>Lndy</v>
      </c>
      <c r="D27" s="1">
        <f>Proj_Sum!D46</f>
        <v>2</v>
      </c>
      <c r="E27" s="1" t="str">
        <f>Proj_Sum!E46</f>
        <v>Lndy</v>
      </c>
      <c r="F27" s="1" t="str">
        <f>Proj_Sum!F46</f>
        <v>Laundry</v>
      </c>
      <c r="G27" s="1" t="str">
        <f>VLOOKUP(D27,Proj_Sum!$S$42:$T$51,2)</f>
        <v>Res-associated</v>
      </c>
      <c r="H27" s="1535">
        <f t="shared" ca="1" si="4"/>
        <v>1362.1440000000002</v>
      </c>
      <c r="I27" s="1535">
        <f t="shared" ca="1" si="5"/>
        <v>1362.1440000000002</v>
      </c>
      <c r="J27" s="1535">
        <f t="shared" ca="1" si="6"/>
        <v>0</v>
      </c>
      <c r="K27" s="1535">
        <f t="shared" ca="1" si="7"/>
        <v>13621.45</v>
      </c>
      <c r="L27" s="1535">
        <f t="shared" ca="1" si="8"/>
        <v>10.000007341367725</v>
      </c>
      <c r="M27" s="1535">
        <f t="shared" ca="1" si="9"/>
        <v>0</v>
      </c>
      <c r="N27" s="1535">
        <f t="shared" ca="1" si="10"/>
        <v>0</v>
      </c>
      <c r="O27" s="1535">
        <f t="shared" ca="1" si="15"/>
        <v>0</v>
      </c>
      <c r="P27" s="1532">
        <f t="shared" ca="1" si="11"/>
        <v>1362.1440000000002</v>
      </c>
      <c r="Q27" s="1532">
        <f t="shared" ca="1" si="12"/>
        <v>13621.45</v>
      </c>
      <c r="R27" s="1532">
        <f t="shared" ca="1" si="13"/>
        <v>0</v>
      </c>
      <c r="S27" s="1532">
        <f t="shared" ca="1" si="14"/>
        <v>0</v>
      </c>
      <c r="T27" s="1763">
        <f ca="1">VLOOKUP($E27,Proj_Sum!$E$42:$M$69,Proj_Sum!L$39,FALSE)</f>
        <v>94.05865341696618</v>
      </c>
      <c r="U27" s="667">
        <f t="shared" ca="1" si="16"/>
        <v>128121.4304</v>
      </c>
      <c r="V27" s="599">
        <f ca="1">VLOOKUP($E27,Proj_Sum!$E$42:$M$69,Proj_Sum!M$39,FALSE)</f>
        <v>94.05865341696618</v>
      </c>
      <c r="W27" s="1762">
        <f t="shared" ca="1" si="16"/>
        <v>128121.4304</v>
      </c>
      <c r="X27" s="1920">
        <f t="shared" ca="1" si="17"/>
        <v>1.1376827527013562E-2</v>
      </c>
      <c r="Y27" s="603">
        <f ca="1">T27*$H27*3.412/Proj_Sum!$P$32</f>
        <v>3.6511439319112697</v>
      </c>
      <c r="Z27" s="597"/>
      <c r="AB27" s="603"/>
      <c r="AC27" s="667"/>
      <c r="AD27" s="667"/>
      <c r="AE27" s="667"/>
      <c r="AF27" s="667"/>
      <c r="AO27" s="598"/>
      <c r="BN27" s="592"/>
    </row>
    <row r="28" spans="2:66" x14ac:dyDescent="0.35">
      <c r="B28" s="590">
        <f t="shared" si="18"/>
        <v>6</v>
      </c>
      <c r="C28" s="1" t="str">
        <f>Proj_Sum!E47</f>
        <v>Fitn</v>
      </c>
      <c r="D28" s="1">
        <f>Proj_Sum!D47</f>
        <v>2</v>
      </c>
      <c r="E28" s="1" t="str">
        <f>Proj_Sum!E47</f>
        <v>Fitn</v>
      </c>
      <c r="F28" s="1" t="str">
        <f>Proj_Sum!F47</f>
        <v>Gymnasium/Fitness Center - Fitness Area 0.72 4</v>
      </c>
      <c r="G28" s="1" t="str">
        <f>VLOOKUP(D28,Proj_Sum!$S$42:$T$51,2)</f>
        <v>Res-associated</v>
      </c>
      <c r="H28" s="1535">
        <f t="shared" ca="1" si="4"/>
        <v>0</v>
      </c>
      <c r="I28" s="1535">
        <f t="shared" ca="1" si="5"/>
        <v>0</v>
      </c>
      <c r="J28" s="1535">
        <f t="shared" ca="1" si="6"/>
        <v>0</v>
      </c>
      <c r="K28" s="1535">
        <f t="shared" ca="1" si="7"/>
        <v>0</v>
      </c>
      <c r="L28" s="1535">
        <f t="shared" ca="1" si="8"/>
        <v>0</v>
      </c>
      <c r="M28" s="1535">
        <f t="shared" ca="1" si="9"/>
        <v>0</v>
      </c>
      <c r="N28" s="1535">
        <f t="shared" ca="1" si="10"/>
        <v>0</v>
      </c>
      <c r="O28" s="1535">
        <f t="shared" ca="1" si="15"/>
        <v>0</v>
      </c>
      <c r="P28" s="1532">
        <f t="shared" ca="1" si="11"/>
        <v>0</v>
      </c>
      <c r="Q28" s="1532">
        <f t="shared" ca="1" si="12"/>
        <v>0</v>
      </c>
      <c r="R28" s="1532">
        <f t="shared" ca="1" si="13"/>
        <v>0</v>
      </c>
      <c r="S28" s="1532">
        <f t="shared" ca="1" si="14"/>
        <v>0</v>
      </c>
      <c r="T28" s="1763">
        <f>VLOOKUP($E28,Proj_Sum!$E$42:$M$69,Proj_Sum!L$39,FALSE)</f>
        <v>1.6</v>
      </c>
      <c r="U28" s="667">
        <f t="shared" ca="1" si="16"/>
        <v>0</v>
      </c>
      <c r="V28" s="599">
        <f>VLOOKUP($E28,Proj_Sum!$E$42:$M$69,Proj_Sum!M$39,FALSE)</f>
        <v>1.6</v>
      </c>
      <c r="W28" s="1762">
        <f t="shared" ca="1" si="16"/>
        <v>0</v>
      </c>
      <c r="X28" s="1920">
        <f t="shared" ca="1" si="17"/>
        <v>0</v>
      </c>
      <c r="Y28" s="603">
        <f ca="1">T28*$H28*3.412/Proj_Sum!$P$32</f>
        <v>0</v>
      </c>
      <c r="Z28" s="597"/>
      <c r="AB28" s="603"/>
      <c r="AC28" s="667"/>
      <c r="AD28" s="667"/>
      <c r="AE28" s="667"/>
      <c r="AF28" s="667"/>
      <c r="AO28" s="598"/>
      <c r="BN28" s="592"/>
    </row>
    <row r="29" spans="2:66" x14ac:dyDescent="0.35">
      <c r="B29" s="590">
        <f t="shared" si="18"/>
        <v>7</v>
      </c>
      <c r="C29" s="1" t="str">
        <f>Proj_Sum!E48</f>
        <v>Rest</v>
      </c>
      <c r="D29" s="1">
        <f>Proj_Sum!D48</f>
        <v>2</v>
      </c>
      <c r="E29" s="1" t="str">
        <f>Proj_Sum!E48</f>
        <v>Rest</v>
      </c>
      <c r="F29" s="1" t="str">
        <f>Proj_Sum!F48</f>
        <v>Restroom</v>
      </c>
      <c r="G29" s="1" t="str">
        <f>VLOOKUP(D29,Proj_Sum!$S$42:$T$51,2)</f>
        <v>Res-associated</v>
      </c>
      <c r="H29" s="1535">
        <f t="shared" ca="1" si="4"/>
        <v>0</v>
      </c>
      <c r="I29" s="1535">
        <f t="shared" ca="1" si="5"/>
        <v>0</v>
      </c>
      <c r="J29" s="1535">
        <f t="shared" ca="1" si="6"/>
        <v>0</v>
      </c>
      <c r="K29" s="1535">
        <f t="shared" ca="1" si="7"/>
        <v>0</v>
      </c>
      <c r="L29" s="1535">
        <f t="shared" ca="1" si="8"/>
        <v>0</v>
      </c>
      <c r="M29" s="1535">
        <f ca="1">SUMIFS(OFFSET(Spaces_Ref,1,AQ$50,1000),OFFSET(Spaces_Ref,1,$E$50,1000),$E29)</f>
        <v>0</v>
      </c>
      <c r="N29" s="1535">
        <f t="shared" ca="1" si="10"/>
        <v>0</v>
      </c>
      <c r="O29" s="1535">
        <f t="shared" ca="1" si="15"/>
        <v>0</v>
      </c>
      <c r="P29" s="1532">
        <f t="shared" ca="1" si="11"/>
        <v>0</v>
      </c>
      <c r="Q29" s="1532">
        <f t="shared" ca="1" si="12"/>
        <v>0</v>
      </c>
      <c r="R29" s="1532">
        <f t="shared" ca="1" si="13"/>
        <v>0</v>
      </c>
      <c r="S29" s="1532">
        <f t="shared" ca="1" si="14"/>
        <v>0</v>
      </c>
      <c r="T29" s="1763">
        <f>VLOOKUP($E29,Proj_Sum!$E$42:$M$69,Proj_Sum!L$39,FALSE)</f>
        <v>0.7</v>
      </c>
      <c r="U29" s="667">
        <f t="shared" ca="1" si="16"/>
        <v>0</v>
      </c>
      <c r="V29" s="599">
        <f>VLOOKUP($E29,Proj_Sum!$E$42:$M$69,Proj_Sum!M$39,FALSE)</f>
        <v>0.7</v>
      </c>
      <c r="W29" s="1762">
        <f t="shared" ca="1" si="16"/>
        <v>0</v>
      </c>
      <c r="X29" s="1920">
        <f t="shared" ca="1" si="17"/>
        <v>0</v>
      </c>
      <c r="Y29" s="603">
        <f ca="1">T29*$H29*3.412/Proj_Sum!$P$32</f>
        <v>0</v>
      </c>
      <c r="Z29" s="597"/>
      <c r="AB29" s="603"/>
      <c r="AC29" s="667"/>
      <c r="AD29" s="667"/>
      <c r="AE29" s="667"/>
      <c r="AF29" s="667"/>
      <c r="AO29" s="598"/>
      <c r="BN29" s="592"/>
    </row>
    <row r="30" spans="2:66" x14ac:dyDescent="0.35">
      <c r="B30" s="590">
        <f t="shared" si="18"/>
        <v>8</v>
      </c>
      <c r="C30" s="1" t="str">
        <f>Proj_Sum!E49</f>
        <v>Corr</v>
      </c>
      <c r="D30" s="1">
        <f>Proj_Sum!D49</f>
        <v>3</v>
      </c>
      <c r="E30" s="1" t="str">
        <f>Proj_Sum!E49</f>
        <v>Corr</v>
      </c>
      <c r="F30" s="1" t="str">
        <f>Proj_Sum!F49</f>
        <v>Corridor/Transition</v>
      </c>
      <c r="G30" s="1" t="str">
        <f>VLOOKUP(D30,Proj_Sum!$S$42:$T$51,2)</f>
        <v>Lobbies / corridors / stairs</v>
      </c>
      <c r="H30" s="1535">
        <f t="shared" ca="1" si="4"/>
        <v>10335.684999999999</v>
      </c>
      <c r="I30" s="1535">
        <f t="shared" ca="1" si="5"/>
        <v>10335.684999999999</v>
      </c>
      <c r="J30" s="1535">
        <f t="shared" ca="1" si="6"/>
        <v>0</v>
      </c>
      <c r="K30" s="1535">
        <f t="shared" ca="1" si="7"/>
        <v>108610.29000000001</v>
      </c>
      <c r="L30" s="1535">
        <f t="shared" ca="1" si="8"/>
        <v>10.508281744267556</v>
      </c>
      <c r="M30" s="1535">
        <f t="shared" ca="1" si="9"/>
        <v>0</v>
      </c>
      <c r="N30" s="1535">
        <f t="shared" ca="1" si="10"/>
        <v>0</v>
      </c>
      <c r="O30" s="1535">
        <f t="shared" ca="1" si="15"/>
        <v>0</v>
      </c>
      <c r="P30" s="1532">
        <f t="shared" ca="1" si="11"/>
        <v>10335.684999999999</v>
      </c>
      <c r="Q30" s="1532">
        <f t="shared" ca="1" si="12"/>
        <v>108610.29000000001</v>
      </c>
      <c r="R30" s="1532">
        <f t="shared" ca="1" si="13"/>
        <v>0</v>
      </c>
      <c r="S30" s="1532">
        <f t="shared" ca="1" si="14"/>
        <v>0</v>
      </c>
      <c r="T30" s="1763">
        <f>VLOOKUP($E30,Proj_Sum!$E$42:$M$69,Proj_Sum!L$39,FALSE)</f>
        <v>0.7</v>
      </c>
      <c r="U30" s="667">
        <f t="shared" ca="1" si="16"/>
        <v>7234.9794999999995</v>
      </c>
      <c r="V30" s="599">
        <f>VLOOKUP($E30,Proj_Sum!$E$42:$M$69,Proj_Sum!M$39,FALSE)</f>
        <v>0.7</v>
      </c>
      <c r="W30" s="1762">
        <f t="shared" ca="1" si="16"/>
        <v>7234.9794999999995</v>
      </c>
      <c r="X30" s="1920">
        <f t="shared" ca="1" si="17"/>
        <v>8.6325165047558217E-2</v>
      </c>
      <c r="Y30" s="603">
        <f ca="1">T30*$H30*3.412/Proj_Sum!$P$32</f>
        <v>0.206179024199588</v>
      </c>
      <c r="Z30" s="597"/>
      <c r="AB30" s="603"/>
      <c r="AC30" s="667"/>
      <c r="AD30" s="667"/>
      <c r="AE30" s="667"/>
      <c r="AF30" s="667"/>
      <c r="AO30" s="598"/>
      <c r="BN30" s="592"/>
    </row>
    <row r="31" spans="2:66" x14ac:dyDescent="0.35">
      <c r="B31" s="590">
        <f t="shared" si="18"/>
        <v>9</v>
      </c>
      <c r="C31" s="1" t="str">
        <f>Proj_Sum!E50</f>
        <v>Strs</v>
      </c>
      <c r="D31" s="1">
        <f>Proj_Sum!D50</f>
        <v>3</v>
      </c>
      <c r="E31" s="1" t="str">
        <f>Proj_Sum!E50</f>
        <v>Strs</v>
      </c>
      <c r="F31" s="1" t="str">
        <f>Proj_Sum!F50</f>
        <v>Stairs</v>
      </c>
      <c r="G31" s="1" t="str">
        <f>VLOOKUP(D31,Proj_Sum!$S$42:$T$51,2)</f>
        <v>Lobbies / corridors / stairs</v>
      </c>
      <c r="H31" s="1535">
        <f t="shared" ca="1" si="4"/>
        <v>3788.8861999999999</v>
      </c>
      <c r="I31" s="1535">
        <f t="shared" ca="1" si="5"/>
        <v>3788.8861999999999</v>
      </c>
      <c r="J31" s="1535">
        <f t="shared" ca="1" si="6"/>
        <v>0</v>
      </c>
      <c r="K31" s="1535">
        <f t="shared" ca="1" si="7"/>
        <v>40342.810000000005</v>
      </c>
      <c r="L31" s="1535">
        <f t="shared" ca="1" si="8"/>
        <v>10.647670019754091</v>
      </c>
      <c r="M31" s="1535">
        <f t="shared" ca="1" si="9"/>
        <v>0</v>
      </c>
      <c r="N31" s="1535">
        <f t="shared" ca="1" si="10"/>
        <v>0</v>
      </c>
      <c r="O31" s="1535">
        <f t="shared" ca="1" si="15"/>
        <v>0</v>
      </c>
      <c r="P31" s="1532">
        <f t="shared" ca="1" si="11"/>
        <v>3788.8861999999999</v>
      </c>
      <c r="Q31" s="1532">
        <f t="shared" ca="1" si="12"/>
        <v>40342.810000000005</v>
      </c>
      <c r="R31" s="1532">
        <f t="shared" ca="1" si="13"/>
        <v>0</v>
      </c>
      <c r="S31" s="1532">
        <f t="shared" ca="1" si="14"/>
        <v>0</v>
      </c>
      <c r="T31" s="1763">
        <f>VLOOKUP($E31,Proj_Sum!$E$42:$M$69,Proj_Sum!L$39,FALSE)</f>
        <v>0.7</v>
      </c>
      <c r="U31" s="667">
        <f t="shared" ca="1" si="16"/>
        <v>2652.2203399999999</v>
      </c>
      <c r="V31" s="599">
        <f>VLOOKUP($E31,Proj_Sum!$E$42:$M$69,Proj_Sum!M$39,FALSE)</f>
        <v>0.7</v>
      </c>
      <c r="W31" s="1762">
        <f t="shared" ca="1" si="16"/>
        <v>2652.2203399999999</v>
      </c>
      <c r="X31" s="1920">
        <f t="shared" ca="1" si="17"/>
        <v>3.1645336188304472E-2</v>
      </c>
      <c r="Y31" s="603">
        <f ca="1">T31*$H31*3.412/Proj_Sum!$P$32</f>
        <v>7.5581720952146381E-2</v>
      </c>
      <c r="Z31" s="597"/>
      <c r="AB31" s="603"/>
      <c r="AC31" s="667"/>
      <c r="AD31" s="667"/>
      <c r="AE31" s="667"/>
      <c r="AF31" s="667"/>
      <c r="AO31" s="598"/>
      <c r="BN31" s="592"/>
    </row>
    <row r="32" spans="2:66" x14ac:dyDescent="0.35">
      <c r="B32" s="590">
        <f t="shared" si="18"/>
        <v>10</v>
      </c>
      <c r="C32" s="1" t="str">
        <f>Proj_Sum!E51</f>
        <v>Lbby</v>
      </c>
      <c r="D32" s="1">
        <f>Proj_Sum!D51</f>
        <v>3</v>
      </c>
      <c r="E32" s="1" t="str">
        <f>Proj_Sum!E51</f>
        <v>Lbby</v>
      </c>
      <c r="F32" s="1" t="str">
        <f>Proj_Sum!F51</f>
        <v>Lobby</v>
      </c>
      <c r="G32" s="1" t="str">
        <f>VLOOKUP(D32,Proj_Sum!$S$42:$T$51,2)</f>
        <v>Lobbies / corridors / stairs</v>
      </c>
      <c r="H32" s="1535">
        <f t="shared" ca="1" si="4"/>
        <v>1350.7968000000001</v>
      </c>
      <c r="I32" s="1535">
        <f t="shared" ca="1" si="5"/>
        <v>1350.7968000000001</v>
      </c>
      <c r="J32" s="1535">
        <f t="shared" ca="1" si="6"/>
        <v>0</v>
      </c>
      <c r="K32" s="1535">
        <f t="shared" ca="1" si="7"/>
        <v>21612.7</v>
      </c>
      <c r="L32" s="1535">
        <f t="shared" ca="1" si="8"/>
        <v>15.999963873174707</v>
      </c>
      <c r="M32" s="1535">
        <f t="shared" ca="1" si="9"/>
        <v>0</v>
      </c>
      <c r="N32" s="1535">
        <f t="shared" ca="1" si="10"/>
        <v>0</v>
      </c>
      <c r="O32" s="1535">
        <f t="shared" ca="1" si="15"/>
        <v>0</v>
      </c>
      <c r="P32" s="1532">
        <f t="shared" ca="1" si="11"/>
        <v>1350.7968000000001</v>
      </c>
      <c r="Q32" s="1532">
        <f t="shared" ca="1" si="12"/>
        <v>21612.7</v>
      </c>
      <c r="R32" s="1532">
        <f t="shared" ca="1" si="13"/>
        <v>0</v>
      </c>
      <c r="S32" s="1532">
        <f t="shared" ca="1" si="14"/>
        <v>0</v>
      </c>
      <c r="T32" s="1763">
        <f>VLOOKUP($E32,Proj_Sum!$E$42:$M$69,Proj_Sum!L$39,FALSE)</f>
        <v>0.7</v>
      </c>
      <c r="U32" s="667">
        <f t="shared" ca="1" si="16"/>
        <v>945.55776000000003</v>
      </c>
      <c r="V32" s="599">
        <f>VLOOKUP($E32,Proj_Sum!$E$42:$M$69,Proj_Sum!M$39,FALSE)</f>
        <v>0.7</v>
      </c>
      <c r="W32" s="1762">
        <f t="shared" ca="1" si="16"/>
        <v>945.55776000000003</v>
      </c>
      <c r="X32" s="1920">
        <f t="shared" ca="1" si="17"/>
        <v>1.1282054039544888E-2</v>
      </c>
      <c r="Y32" s="603">
        <f ca="1">T32*$H32*3.412/Proj_Sum!$P$32</f>
        <v>2.6946057868049007E-2</v>
      </c>
      <c r="Z32" s="597"/>
      <c r="AB32" s="603"/>
      <c r="AC32" s="667"/>
      <c r="AD32" s="667"/>
      <c r="AE32" s="667"/>
      <c r="AF32" s="667"/>
      <c r="AO32" s="598"/>
      <c r="BN32" s="592"/>
    </row>
    <row r="33" spans="2:66" x14ac:dyDescent="0.35">
      <c r="B33" s="590">
        <f t="shared" si="18"/>
        <v>11</v>
      </c>
      <c r="C33" s="1" t="str">
        <f>Proj_Sum!E52</f>
        <v>Vest</v>
      </c>
      <c r="D33" s="1">
        <f>Proj_Sum!D52</f>
        <v>3</v>
      </c>
      <c r="E33" s="1" t="str">
        <f>Proj_Sum!E52</f>
        <v>Vest</v>
      </c>
      <c r="F33" s="1" t="str">
        <f>Proj_Sum!F52</f>
        <v>Corridor/Transition</v>
      </c>
      <c r="G33" s="1" t="str">
        <f>VLOOKUP(D33,Proj_Sum!$S$42:$T$51,2)</f>
        <v>Lobbies / corridors / stairs</v>
      </c>
      <c r="H33" s="1535">
        <f t="shared" ca="1" si="4"/>
        <v>0</v>
      </c>
      <c r="I33" s="1535">
        <f t="shared" ca="1" si="5"/>
        <v>0</v>
      </c>
      <c r="J33" s="1535">
        <f t="shared" ca="1" si="6"/>
        <v>0</v>
      </c>
      <c r="K33" s="1535">
        <f t="shared" ca="1" si="7"/>
        <v>0</v>
      </c>
      <c r="L33" s="1535">
        <f t="shared" ca="1" si="8"/>
        <v>0</v>
      </c>
      <c r="M33" s="1535">
        <f t="shared" ca="1" si="9"/>
        <v>0</v>
      </c>
      <c r="N33" s="1535">
        <f t="shared" ca="1" si="10"/>
        <v>0</v>
      </c>
      <c r="O33" s="1535">
        <f t="shared" ca="1" si="15"/>
        <v>0</v>
      </c>
      <c r="P33" s="1532">
        <f t="shared" ca="1" si="11"/>
        <v>0</v>
      </c>
      <c r="Q33" s="1532">
        <f t="shared" ca="1" si="12"/>
        <v>0</v>
      </c>
      <c r="R33" s="1532">
        <f t="shared" ca="1" si="13"/>
        <v>0</v>
      </c>
      <c r="S33" s="1532">
        <f t="shared" ca="1" si="14"/>
        <v>0</v>
      </c>
      <c r="T33" s="1763">
        <f>VLOOKUP($E33,Proj_Sum!$E$42:$M$69,Proj_Sum!L$39,FALSE)</f>
        <v>0.7</v>
      </c>
      <c r="U33" s="667">
        <f t="shared" ca="1" si="16"/>
        <v>0</v>
      </c>
      <c r="V33" s="599">
        <f>VLOOKUP($E33,Proj_Sum!$E$42:$M$69,Proj_Sum!M$39,FALSE)</f>
        <v>0.7</v>
      </c>
      <c r="W33" s="1762">
        <f t="shared" ca="1" si="16"/>
        <v>0</v>
      </c>
      <c r="X33" s="1920">
        <f t="shared" ca="1" si="17"/>
        <v>0</v>
      </c>
      <c r="Y33" s="603">
        <f ca="1">T33*$H33*3.412/Proj_Sum!$P$32</f>
        <v>0</v>
      </c>
      <c r="Z33" s="597"/>
      <c r="AB33" s="603"/>
      <c r="AC33" s="667"/>
      <c r="AD33" s="667"/>
      <c r="AE33" s="667"/>
      <c r="AF33" s="667"/>
      <c r="AO33" s="596"/>
      <c r="BN33" s="592"/>
    </row>
    <row r="34" spans="2:66" x14ac:dyDescent="0.35">
      <c r="B34" s="590">
        <f t="shared" si="18"/>
        <v>12</v>
      </c>
      <c r="C34" s="1" t="str">
        <f>Proj_Sum!E53</f>
        <v>Ofce</v>
      </c>
      <c r="D34" s="1">
        <f>Proj_Sum!D53</f>
        <v>4</v>
      </c>
      <c r="E34" s="1" t="str">
        <f>Proj_Sum!E53</f>
        <v>Ofce</v>
      </c>
      <c r="F34" s="1" t="str">
        <f>Proj_Sum!F53</f>
        <v>Office - Enclosed</v>
      </c>
      <c r="G34" s="1" t="str">
        <f>VLOOKUP(D34,Proj_Sum!$S$42:$T$51,2)</f>
        <v>Non-residential - offices</v>
      </c>
      <c r="H34" s="1535">
        <f t="shared" ca="1" si="4"/>
        <v>641.20320000000004</v>
      </c>
      <c r="I34" s="1535">
        <f t="shared" ca="1" si="5"/>
        <v>641.20320000000004</v>
      </c>
      <c r="J34" s="1535">
        <f t="shared" ca="1" si="6"/>
        <v>0</v>
      </c>
      <c r="K34" s="1535">
        <f t="shared" ca="1" si="7"/>
        <v>6412.03</v>
      </c>
      <c r="L34" s="1535">
        <f t="shared" ca="1" si="8"/>
        <v>9.999996880863975</v>
      </c>
      <c r="M34" s="1535">
        <f t="shared" ca="1" si="9"/>
        <v>0</v>
      </c>
      <c r="N34" s="1535">
        <f t="shared" ca="1" si="10"/>
        <v>0</v>
      </c>
      <c r="O34" s="1535">
        <f t="shared" ca="1" si="15"/>
        <v>0</v>
      </c>
      <c r="P34" s="1532">
        <f t="shared" ca="1" si="11"/>
        <v>641.20320000000004</v>
      </c>
      <c r="Q34" s="1532">
        <f t="shared" ca="1" si="12"/>
        <v>6412.03</v>
      </c>
      <c r="R34" s="1532">
        <f t="shared" ca="1" si="13"/>
        <v>0</v>
      </c>
      <c r="S34" s="1532">
        <f t="shared" ca="1" si="14"/>
        <v>0</v>
      </c>
      <c r="T34" s="1763">
        <f>VLOOKUP($E34,Proj_Sum!$E$42:$M$69,Proj_Sum!L$39,FALSE)</f>
        <v>4.9000000000000004</v>
      </c>
      <c r="U34" s="667">
        <f t="shared" ca="1" si="16"/>
        <v>3141.8956800000005</v>
      </c>
      <c r="V34" s="599">
        <f>VLOOKUP($E34,Proj_Sum!$E$42:$M$69,Proj_Sum!M$39,FALSE)</f>
        <v>4.9000000000000004</v>
      </c>
      <c r="W34" s="1762">
        <f t="shared" ca="1" si="16"/>
        <v>3141.8956800000005</v>
      </c>
      <c r="X34" s="1920">
        <f t="shared" ca="1" si="17"/>
        <v>5.3554236675191326E-3</v>
      </c>
      <c r="Y34" s="603">
        <f ca="1">T34*$H34*3.412/Proj_Sum!$P$32</f>
        <v>8.9536257212518872E-2</v>
      </c>
      <c r="Z34" s="597"/>
      <c r="AB34" s="603"/>
      <c r="AC34" s="667"/>
      <c r="AD34" s="667"/>
      <c r="AE34" s="667"/>
      <c r="AF34" s="667"/>
      <c r="BN34" s="592"/>
    </row>
    <row r="35" spans="2:66" x14ac:dyDescent="0.35">
      <c r="B35" s="590">
        <f t="shared" si="18"/>
        <v>13</v>
      </c>
      <c r="C35" s="1" t="str">
        <f>Proj_Sum!E54</f>
        <v>Ofco</v>
      </c>
      <c r="D35" s="1">
        <f>Proj_Sum!D54</f>
        <v>4</v>
      </c>
      <c r="E35" s="1" t="str">
        <f>Proj_Sum!E54</f>
        <v>Ofco</v>
      </c>
      <c r="F35" s="1" t="str">
        <f>Proj_Sum!F54</f>
        <v>Office - Open Plan</v>
      </c>
      <c r="G35" s="1" t="str">
        <f>VLOOKUP(D35,Proj_Sum!$S$42:$T$51,2)</f>
        <v>Non-residential - offices</v>
      </c>
      <c r="H35" s="1535">
        <f t="shared" ca="1" si="4"/>
        <v>0</v>
      </c>
      <c r="I35" s="1535">
        <f t="shared" ca="1" si="5"/>
        <v>0</v>
      </c>
      <c r="J35" s="1535">
        <f t="shared" ca="1" si="6"/>
        <v>0</v>
      </c>
      <c r="K35" s="1535">
        <f t="shared" ca="1" si="7"/>
        <v>0</v>
      </c>
      <c r="L35" s="1535">
        <f t="shared" ca="1" si="8"/>
        <v>0</v>
      </c>
      <c r="M35" s="1535">
        <f t="shared" ca="1" si="9"/>
        <v>0</v>
      </c>
      <c r="N35" s="1535">
        <f t="shared" ca="1" si="10"/>
        <v>0</v>
      </c>
      <c r="O35" s="1535">
        <f t="shared" ca="1" si="15"/>
        <v>0</v>
      </c>
      <c r="P35" s="1532">
        <f t="shared" ca="1" si="11"/>
        <v>0</v>
      </c>
      <c r="Q35" s="1532">
        <f t="shared" ca="1" si="12"/>
        <v>0</v>
      </c>
      <c r="R35" s="1532">
        <f t="shared" ca="1" si="13"/>
        <v>0</v>
      </c>
      <c r="S35" s="1532">
        <f t="shared" ca="1" si="14"/>
        <v>0</v>
      </c>
      <c r="T35" s="1763">
        <f>VLOOKUP($E35,Proj_Sum!$E$42:$M$69,Proj_Sum!L$39,FALSE)</f>
        <v>4.9000000000000004</v>
      </c>
      <c r="U35" s="667">
        <f t="shared" ca="1" si="16"/>
        <v>0</v>
      </c>
      <c r="V35" s="599">
        <f>VLOOKUP($E35,Proj_Sum!$E$42:$M$69,Proj_Sum!M$39,FALSE)</f>
        <v>4.9000000000000004</v>
      </c>
      <c r="W35" s="1762">
        <f t="shared" ca="1" si="16"/>
        <v>0</v>
      </c>
      <c r="X35" s="1920">
        <f t="shared" ca="1" si="17"/>
        <v>0</v>
      </c>
      <c r="Y35" s="603">
        <f ca="1">T35*$H35*3.412/Proj_Sum!$P$32</f>
        <v>0</v>
      </c>
      <c r="Z35" s="597"/>
      <c r="AB35" s="603"/>
      <c r="AC35" s="667"/>
      <c r="AD35" s="667"/>
      <c r="AE35" s="667"/>
      <c r="AF35" s="667"/>
      <c r="BN35" s="592"/>
    </row>
    <row r="36" spans="2:66" x14ac:dyDescent="0.35">
      <c r="B36" s="590">
        <f t="shared" si="18"/>
        <v>14</v>
      </c>
      <c r="C36" s="1" t="str">
        <f>Proj_Sum!E55</f>
        <v>Coml</v>
      </c>
      <c r="D36" s="1">
        <f>Proj_Sum!D55</f>
        <v>5</v>
      </c>
      <c r="E36" s="1" t="str">
        <f>Proj_Sum!E55</f>
        <v>Coml</v>
      </c>
      <c r="F36" s="1" t="s">
        <v>2196</v>
      </c>
      <c r="G36" s="1" t="str">
        <f>VLOOKUP(D36,Proj_Sum!$S$42:$T$51,2)</f>
        <v>Non-residential - retail</v>
      </c>
      <c r="H36" s="1535">
        <f t="shared" ca="1" si="4"/>
        <v>7487.0558999999994</v>
      </c>
      <c r="I36" s="1535">
        <f t="shared" ca="1" si="5"/>
        <v>7487.0558999999994</v>
      </c>
      <c r="J36" s="1535">
        <f t="shared" ca="1" si="6"/>
        <v>0</v>
      </c>
      <c r="K36" s="1535">
        <f t="shared" ca="1" si="7"/>
        <v>119792.90000000001</v>
      </c>
      <c r="L36" s="1535">
        <f t="shared" ca="1" si="8"/>
        <v>16.000000747957554</v>
      </c>
      <c r="M36" s="1535">
        <f t="shared" ca="1" si="9"/>
        <v>0</v>
      </c>
      <c r="N36" s="1535">
        <f t="shared" ca="1" si="10"/>
        <v>0</v>
      </c>
      <c r="O36" s="1535">
        <f t="shared" ca="1" si="15"/>
        <v>0</v>
      </c>
      <c r="P36" s="1532">
        <f t="shared" ca="1" si="11"/>
        <v>7487.0558999999994</v>
      </c>
      <c r="Q36" s="1532">
        <f t="shared" ca="1" si="12"/>
        <v>119792.90000000001</v>
      </c>
      <c r="R36" s="1532">
        <f t="shared" ca="1" si="13"/>
        <v>0</v>
      </c>
      <c r="S36" s="1532">
        <f t="shared" ca="1" si="14"/>
        <v>0</v>
      </c>
      <c r="T36" s="1763">
        <f>VLOOKUP($E36,Proj_Sum!$E$42:$M$69,Proj_Sum!L$39,FALSE)</f>
        <v>4.9000000000000004</v>
      </c>
      <c r="U36" s="667">
        <f t="shared" ca="1" si="16"/>
        <v>36686.573909999999</v>
      </c>
      <c r="V36" s="599">
        <f>VLOOKUP($E36,Proj_Sum!$E$42:$M$69,Proj_Sum!M$39,FALSE)</f>
        <v>4.9000000000000004</v>
      </c>
      <c r="W36" s="1762">
        <f t="shared" ca="1" si="16"/>
        <v>36686.573909999999</v>
      </c>
      <c r="X36" s="1920">
        <f t="shared" ca="1" si="17"/>
        <v>6.2532994793068342E-2</v>
      </c>
      <c r="Y36" s="603">
        <f ca="1">T36*$H36*3.412/Proj_Sum!$P$32</f>
        <v>1.045476633346351</v>
      </c>
      <c r="Z36" s="597"/>
      <c r="AB36" s="603"/>
      <c r="AC36" s="667"/>
      <c r="AD36" s="667"/>
      <c r="AE36" s="667"/>
      <c r="AF36" s="667"/>
      <c r="AO36" s="614"/>
      <c r="BN36" s="592"/>
    </row>
    <row r="37" spans="2:66" x14ac:dyDescent="0.35">
      <c r="B37" s="590">
        <f t="shared" si="18"/>
        <v>15</v>
      </c>
      <c r="C37" s="1" t="str">
        <f>Proj_Sum!E56</f>
        <v>Prkg</v>
      </c>
      <c r="D37" s="1">
        <f>Proj_Sum!D56</f>
        <v>6</v>
      </c>
      <c r="E37" s="1" t="str">
        <f>Proj_Sum!E56</f>
        <v>Prkg</v>
      </c>
      <c r="F37" s="1" t="str">
        <f>Proj_Sum!F56</f>
        <v>Parking Garage - Garage Area</v>
      </c>
      <c r="G37" s="1" t="str">
        <f>VLOOKUP(D37,Proj_Sum!$S$42:$T$51,2)</f>
        <v>Parking garage</v>
      </c>
      <c r="H37" s="1535">
        <f t="shared" ca="1" si="4"/>
        <v>0</v>
      </c>
      <c r="I37" s="1535">
        <f t="shared" ca="1" si="5"/>
        <v>0</v>
      </c>
      <c r="J37" s="1535">
        <f t="shared" ca="1" si="6"/>
        <v>0</v>
      </c>
      <c r="K37" s="1535">
        <f t="shared" ca="1" si="7"/>
        <v>0</v>
      </c>
      <c r="L37" s="1535">
        <f t="shared" ca="1" si="8"/>
        <v>0</v>
      </c>
      <c r="M37" s="1535">
        <f t="shared" ca="1" si="9"/>
        <v>0</v>
      </c>
      <c r="N37" s="1535">
        <f t="shared" ca="1" si="10"/>
        <v>0</v>
      </c>
      <c r="O37" s="1535">
        <f t="shared" ca="1" si="15"/>
        <v>0</v>
      </c>
      <c r="P37" s="1532">
        <f t="shared" ca="1" si="11"/>
        <v>0</v>
      </c>
      <c r="Q37" s="1532">
        <f t="shared" ca="1" si="12"/>
        <v>0</v>
      </c>
      <c r="R37" s="1532">
        <f t="shared" ca="1" si="13"/>
        <v>0</v>
      </c>
      <c r="S37" s="1532">
        <f t="shared" ca="1" si="14"/>
        <v>0</v>
      </c>
      <c r="T37" s="1763">
        <f>VLOOKUP($E37,Proj_Sum!$E$42:$M$69,Proj_Sum!L$39,FALSE)</f>
        <v>0</v>
      </c>
      <c r="U37" s="667">
        <f t="shared" ca="1" si="16"/>
        <v>0</v>
      </c>
      <c r="V37" s="599">
        <f>VLOOKUP($E37,Proj_Sum!$E$42:$M$69,Proj_Sum!M$39,FALSE)</f>
        <v>0</v>
      </c>
      <c r="W37" s="1762">
        <f t="shared" ca="1" si="16"/>
        <v>0</v>
      </c>
      <c r="X37" s="1920">
        <f t="shared" ca="1" si="17"/>
        <v>0</v>
      </c>
      <c r="Y37" s="603">
        <f ca="1">T37*$H37*3.412/Proj_Sum!$P$32</f>
        <v>0</v>
      </c>
      <c r="Z37" s="597"/>
      <c r="AB37" s="603"/>
      <c r="AC37" s="667"/>
      <c r="AD37" s="667"/>
      <c r="AE37" s="667"/>
      <c r="AF37" s="667"/>
      <c r="AO37" s="614"/>
      <c r="BN37" s="592"/>
    </row>
    <row r="38" spans="2:66" x14ac:dyDescent="0.35">
      <c r="B38" s="590">
        <f t="shared" si="18"/>
        <v>16</v>
      </c>
      <c r="C38" s="1" t="str">
        <f>Proj_Sum!E57</f>
        <v>Asto</v>
      </c>
      <c r="D38" s="1">
        <f>Proj_Sum!D57</f>
        <v>7</v>
      </c>
      <c r="E38" s="1" t="str">
        <f>Proj_Sum!E57</f>
        <v>Asto</v>
      </c>
      <c r="F38" s="1" t="str">
        <f>Proj_Sum!F57</f>
        <v>Active Storage</v>
      </c>
      <c r="G38" s="1" t="str">
        <f>VLOOKUP(D38,Proj_Sum!$S$42:$T$51,2)</f>
        <v>Storage</v>
      </c>
      <c r="H38" s="1535">
        <f t="shared" ca="1" si="4"/>
        <v>1332.6484</v>
      </c>
      <c r="I38" s="1535">
        <f t="shared" ca="1" si="5"/>
        <v>1332.6484</v>
      </c>
      <c r="J38" s="1535">
        <f t="shared" ca="1" si="6"/>
        <v>0</v>
      </c>
      <c r="K38" s="1535">
        <f t="shared" ca="1" si="7"/>
        <v>17270.699999999997</v>
      </c>
      <c r="L38" s="1535">
        <f t="shared" ca="1" si="8"/>
        <v>12.959682388843147</v>
      </c>
      <c r="M38" s="1535">
        <f t="shared" ca="1" si="9"/>
        <v>0</v>
      </c>
      <c r="N38" s="1535">
        <f t="shared" ca="1" si="10"/>
        <v>0</v>
      </c>
      <c r="O38" s="1535">
        <f t="shared" ca="1" si="15"/>
        <v>0</v>
      </c>
      <c r="P38" s="1532">
        <f t="shared" ca="1" si="11"/>
        <v>1332.6484</v>
      </c>
      <c r="Q38" s="1532">
        <f t="shared" ca="1" si="12"/>
        <v>17270.699999999997</v>
      </c>
      <c r="R38" s="1532">
        <f t="shared" ca="1" si="13"/>
        <v>0</v>
      </c>
      <c r="S38" s="1532">
        <f t="shared" ca="1" si="14"/>
        <v>0</v>
      </c>
      <c r="T38" s="1763">
        <f>VLOOKUP($E38,Proj_Sum!$E$42:$M$69,Proj_Sum!L$39,FALSE)</f>
        <v>0.7</v>
      </c>
      <c r="U38" s="667">
        <f t="shared" ca="1" si="16"/>
        <v>932.85388</v>
      </c>
      <c r="V38" s="599">
        <f>VLOOKUP($E38,Proj_Sum!$E$42:$M$69,Proj_Sum!M$39,FALSE)</f>
        <v>0.7</v>
      </c>
      <c r="W38" s="1762">
        <f t="shared" ca="1" si="16"/>
        <v>932.85388</v>
      </c>
      <c r="X38" s="1920">
        <f t="shared" ca="1" si="17"/>
        <v>1.1130475926884808E-2</v>
      </c>
      <c r="Y38" s="603">
        <f ca="1">T38*$H38*3.412/Proj_Sum!$P$32</f>
        <v>2.6584028703771669E-2</v>
      </c>
      <c r="Z38" s="597"/>
      <c r="AB38" s="603"/>
      <c r="AC38" s="667"/>
      <c r="AD38" s="667"/>
      <c r="AE38" s="667"/>
      <c r="AF38" s="667"/>
      <c r="AG38" s="596"/>
      <c r="AL38" s="592"/>
      <c r="AM38" s="596"/>
      <c r="AN38" s="592"/>
      <c r="BN38" s="592"/>
    </row>
    <row r="39" spans="2:66" x14ac:dyDescent="0.35">
      <c r="B39" s="590">
        <f t="shared" si="18"/>
        <v>17</v>
      </c>
      <c r="C39" s="1" t="str">
        <f>Proj_Sum!E58</f>
        <v>Util</v>
      </c>
      <c r="D39" s="1">
        <f>Proj_Sum!D58</f>
        <v>7</v>
      </c>
      <c r="E39" s="1" t="str">
        <f>Proj_Sum!E58</f>
        <v>Util</v>
      </c>
      <c r="F39" s="1" t="str">
        <f>Proj_Sum!F58</f>
        <v>Active Storage</v>
      </c>
      <c r="G39" s="1" t="str">
        <f>VLOOKUP(D39,Proj_Sum!$S$42:$T$51,2)</f>
        <v>Storage</v>
      </c>
      <c r="H39" s="1535">
        <f t="shared" ca="1" si="4"/>
        <v>0</v>
      </c>
      <c r="I39" s="1535">
        <f t="shared" ca="1" si="5"/>
        <v>0</v>
      </c>
      <c r="J39" s="1535">
        <f t="shared" ca="1" si="6"/>
        <v>0</v>
      </c>
      <c r="K39" s="1535">
        <f t="shared" ca="1" si="7"/>
        <v>0</v>
      </c>
      <c r="L39" s="1535">
        <f t="shared" ca="1" si="8"/>
        <v>0</v>
      </c>
      <c r="M39" s="1535">
        <f t="shared" ca="1" si="9"/>
        <v>0</v>
      </c>
      <c r="N39" s="1535">
        <f t="shared" ca="1" si="10"/>
        <v>0</v>
      </c>
      <c r="O39" s="1535">
        <f t="shared" ca="1" si="15"/>
        <v>0</v>
      </c>
      <c r="P39" s="1532">
        <f t="shared" ca="1" si="11"/>
        <v>0</v>
      </c>
      <c r="Q39" s="1532">
        <f t="shared" ca="1" si="12"/>
        <v>0</v>
      </c>
      <c r="R39" s="1532">
        <f t="shared" ca="1" si="13"/>
        <v>0</v>
      </c>
      <c r="S39" s="1532">
        <f t="shared" ca="1" si="14"/>
        <v>0</v>
      </c>
      <c r="T39" s="1763">
        <f>VLOOKUP($E39,Proj_Sum!$E$42:$M$69,Proj_Sum!L$39,FALSE)</f>
        <v>0.7</v>
      </c>
      <c r="U39" s="667">
        <f t="shared" ca="1" si="16"/>
        <v>0</v>
      </c>
      <c r="V39" s="599">
        <f>VLOOKUP($E39,Proj_Sum!$E$42:$M$69,Proj_Sum!M$39,FALSE)</f>
        <v>0.7</v>
      </c>
      <c r="W39" s="1762">
        <f t="shared" ca="1" si="16"/>
        <v>0</v>
      </c>
      <c r="X39" s="1920">
        <f t="shared" ca="1" si="17"/>
        <v>0</v>
      </c>
      <c r="Y39" s="603">
        <f ca="1">T39*$H39*3.412/Proj_Sum!$P$32</f>
        <v>0</v>
      </c>
      <c r="Z39" s="597"/>
      <c r="AB39" s="603"/>
      <c r="AC39" s="667"/>
      <c r="AD39" s="667"/>
      <c r="AE39" s="667"/>
      <c r="AF39" s="667"/>
      <c r="AG39" s="595"/>
      <c r="AL39" s="602"/>
      <c r="AM39" s="602"/>
      <c r="AN39" s="602"/>
      <c r="BN39" s="592"/>
    </row>
    <row r="40" spans="2:66" x14ac:dyDescent="0.35">
      <c r="B40" s="590">
        <f t="shared" si="18"/>
        <v>18</v>
      </c>
      <c r="C40" s="1" t="str">
        <f>Proj_Sum!E59</f>
        <v>Isto</v>
      </c>
      <c r="D40" s="1">
        <f>Proj_Sum!D59</f>
        <v>7</v>
      </c>
      <c r="E40" s="1" t="str">
        <f>Proj_Sum!E59</f>
        <v>Isto</v>
      </c>
      <c r="F40" s="1" t="str">
        <f>Proj_Sum!F59</f>
        <v>Inactive Storage</v>
      </c>
      <c r="G40" s="1" t="str">
        <f>VLOOKUP(D40,Proj_Sum!$S$42:$T$51,2)</f>
        <v>Storage</v>
      </c>
      <c r="H40" s="1535">
        <f t="shared" ca="1" si="4"/>
        <v>0</v>
      </c>
      <c r="I40" s="1535">
        <f t="shared" ca="1" si="5"/>
        <v>0</v>
      </c>
      <c r="J40" s="1535">
        <f t="shared" ca="1" si="6"/>
        <v>0</v>
      </c>
      <c r="K40" s="1535">
        <f t="shared" ca="1" si="7"/>
        <v>0</v>
      </c>
      <c r="L40" s="1535">
        <f t="shared" ca="1" si="8"/>
        <v>0</v>
      </c>
      <c r="M40" s="1535">
        <f t="shared" ca="1" si="9"/>
        <v>0</v>
      </c>
      <c r="N40" s="1535">
        <f t="shared" ca="1" si="10"/>
        <v>0</v>
      </c>
      <c r="O40" s="1535">
        <f t="shared" ca="1" si="15"/>
        <v>0</v>
      </c>
      <c r="P40" s="1532">
        <f t="shared" ca="1" si="11"/>
        <v>0</v>
      </c>
      <c r="Q40" s="1532">
        <f t="shared" ca="1" si="12"/>
        <v>0</v>
      </c>
      <c r="R40" s="1532">
        <f t="shared" ca="1" si="13"/>
        <v>0</v>
      </c>
      <c r="S40" s="1532">
        <f t="shared" ca="1" si="14"/>
        <v>0</v>
      </c>
      <c r="T40" s="1763">
        <f>VLOOKUP($E40,Proj_Sum!$E$42:$M$69,Proj_Sum!L$39,FALSE)</f>
        <v>0.7</v>
      </c>
      <c r="U40" s="667">
        <f t="shared" ca="1" si="16"/>
        <v>0</v>
      </c>
      <c r="V40" s="599">
        <f>VLOOKUP($E40,Proj_Sum!$E$42:$M$69,Proj_Sum!M$39,FALSE)</f>
        <v>0.7</v>
      </c>
      <c r="W40" s="1762">
        <f t="shared" ca="1" si="16"/>
        <v>0</v>
      </c>
      <c r="X40" s="1920">
        <f t="shared" ca="1" si="17"/>
        <v>0</v>
      </c>
      <c r="Y40" s="603">
        <f ca="1">T40*$H40*3.412/Proj_Sum!$P$32</f>
        <v>0</v>
      </c>
      <c r="Z40" s="597"/>
      <c r="AB40" s="603"/>
      <c r="AC40" s="667"/>
      <c r="AD40" s="667"/>
      <c r="AE40" s="667"/>
      <c r="AF40" s="667"/>
      <c r="AG40" s="595"/>
      <c r="AL40" s="602"/>
      <c r="AM40" s="602"/>
      <c r="AN40" s="602"/>
      <c r="BN40" s="592"/>
    </row>
    <row r="41" spans="2:66" x14ac:dyDescent="0.35">
      <c r="B41" s="590">
        <f t="shared" si="18"/>
        <v>19</v>
      </c>
      <c r="C41" s="1" t="str">
        <f>Proj_Sum!E60</f>
        <v>Mech</v>
      </c>
      <c r="D41" s="1">
        <f>Proj_Sum!D60</f>
        <v>8</v>
      </c>
      <c r="E41" s="1" t="str">
        <f>Proj_Sum!E60</f>
        <v>Mech</v>
      </c>
      <c r="F41" s="1" t="str">
        <f>Proj_Sum!F60</f>
        <v>Electrical/Mechanical</v>
      </c>
      <c r="G41" s="1" t="str">
        <f>VLOOKUP(D41,Proj_Sum!$S$42:$T$51,2)</f>
        <v>Support (mechanical / electrical)</v>
      </c>
      <c r="H41" s="1535">
        <f t="shared" ca="1" si="4"/>
        <v>4744.9070999999994</v>
      </c>
      <c r="I41" s="1535">
        <f t="shared" ca="1" si="5"/>
        <v>4744.9070999999994</v>
      </c>
      <c r="J41" s="1535">
        <f t="shared" ca="1" si="6"/>
        <v>0</v>
      </c>
      <c r="K41" s="1535">
        <f t="shared" ca="1" si="7"/>
        <v>57044.55</v>
      </c>
      <c r="L41" s="1535">
        <f t="shared" ref="L41:L45" ca="1" si="19">IFERROR(K41/H41,)</f>
        <v>12.022269097744823</v>
      </c>
      <c r="M41" s="1535">
        <f t="shared" ca="1" si="9"/>
        <v>0</v>
      </c>
      <c r="N41" s="1535">
        <f t="shared" ca="1" si="10"/>
        <v>0</v>
      </c>
      <c r="O41" s="1535">
        <f t="shared" ref="O41:O45" ca="1" si="20">IFERROR(N41/M41,0)</f>
        <v>0</v>
      </c>
      <c r="P41" s="1532">
        <f t="shared" ca="1" si="11"/>
        <v>4744.9070999999994</v>
      </c>
      <c r="Q41" s="1532">
        <f t="shared" ca="1" si="12"/>
        <v>57044.55</v>
      </c>
      <c r="R41" s="1532">
        <f t="shared" ca="1" si="13"/>
        <v>0</v>
      </c>
      <c r="S41" s="1532">
        <f t="shared" ca="1" si="14"/>
        <v>0</v>
      </c>
      <c r="T41" s="1763">
        <f>VLOOKUP($E41,Proj_Sum!$E$42:$M$69,Proj_Sum!L$39,FALSE)</f>
        <v>0.7</v>
      </c>
      <c r="U41" s="667">
        <f t="shared" ref="U41:U45" ca="1" si="21">$H41*T41</f>
        <v>3321.4349699999993</v>
      </c>
      <c r="V41" s="599">
        <f>VLOOKUP($E41,Proj_Sum!$E$42:$M$69,Proj_Sum!M$39,FALSE)</f>
        <v>0.7</v>
      </c>
      <c r="W41" s="1762">
        <f t="shared" ref="W41:W45" ca="1" si="22">$H41*V41</f>
        <v>3321.4349699999993</v>
      </c>
      <c r="X41" s="1920">
        <f t="shared" ca="1" si="17"/>
        <v>3.9630163703985831E-2</v>
      </c>
      <c r="Y41" s="603">
        <f ca="1">T41*$H41*3.412/Proj_Sum!$P$32</f>
        <v>9.4652682990599743E-2</v>
      </c>
      <c r="Z41" s="597"/>
      <c r="AB41" s="603"/>
      <c r="AC41" s="667"/>
      <c r="AD41" s="667"/>
      <c r="AE41" s="667"/>
      <c r="AF41" s="667"/>
      <c r="AG41" s="595"/>
      <c r="AL41" s="602"/>
      <c r="AM41" s="602"/>
      <c r="AN41" s="602"/>
      <c r="BN41" s="592"/>
    </row>
    <row r="42" spans="2:66" x14ac:dyDescent="0.35">
      <c r="B42" s="590">
        <f t="shared" si="18"/>
        <v>20</v>
      </c>
      <c r="C42" s="1" t="str">
        <f>Proj_Sum!E61</f>
        <v>Shop</v>
      </c>
      <c r="D42" s="1">
        <f>Proj_Sum!D61</f>
        <v>8</v>
      </c>
      <c r="E42" s="1" t="str">
        <f>Proj_Sum!E61</f>
        <v>Shop</v>
      </c>
      <c r="F42" s="1" t="str">
        <f>Proj_Sum!F61</f>
        <v>Workshop</v>
      </c>
      <c r="G42" s="1" t="str">
        <f>VLOOKUP(D42,Proj_Sum!$S$42:$T$51,2)</f>
        <v>Support (mechanical / electrical)</v>
      </c>
      <c r="H42" s="1535">
        <f t="shared" ca="1" si="4"/>
        <v>0</v>
      </c>
      <c r="I42" s="1535">
        <f t="shared" ca="1" si="5"/>
        <v>0</v>
      </c>
      <c r="J42" s="1535">
        <f t="shared" ca="1" si="6"/>
        <v>0</v>
      </c>
      <c r="K42" s="1535">
        <f t="shared" ca="1" si="7"/>
        <v>0</v>
      </c>
      <c r="L42" s="1535">
        <f t="shared" ca="1" si="19"/>
        <v>0</v>
      </c>
      <c r="M42" s="1535">
        <f t="shared" ca="1" si="9"/>
        <v>0</v>
      </c>
      <c r="N42" s="1535">
        <f t="shared" ca="1" si="10"/>
        <v>0</v>
      </c>
      <c r="O42" s="1535">
        <f t="shared" ca="1" si="20"/>
        <v>0</v>
      </c>
      <c r="P42" s="1532">
        <f t="shared" ca="1" si="11"/>
        <v>0</v>
      </c>
      <c r="Q42" s="1532">
        <f t="shared" ca="1" si="12"/>
        <v>0</v>
      </c>
      <c r="R42" s="1532">
        <f t="shared" ca="1" si="13"/>
        <v>0</v>
      </c>
      <c r="S42" s="1532">
        <f t="shared" ca="1" si="14"/>
        <v>0</v>
      </c>
      <c r="T42" s="1763">
        <f>VLOOKUP($E42,Proj_Sum!$E$42:$M$69,Proj_Sum!L$39,FALSE)</f>
        <v>1.6</v>
      </c>
      <c r="U42" s="667">
        <f t="shared" ca="1" si="21"/>
        <v>0</v>
      </c>
      <c r="V42" s="599">
        <f>VLOOKUP($E42,Proj_Sum!$E$42:$M$69,Proj_Sum!M$39,FALSE)</f>
        <v>1.6</v>
      </c>
      <c r="W42" s="1762">
        <f t="shared" ca="1" si="22"/>
        <v>0</v>
      </c>
      <c r="X42" s="1920">
        <f t="shared" ca="1" si="17"/>
        <v>0</v>
      </c>
      <c r="Y42" s="603">
        <f ca="1">T42*$H42*3.412/Proj_Sum!$P$32</f>
        <v>0</v>
      </c>
      <c r="Z42" s="597"/>
      <c r="AB42" s="603"/>
      <c r="AC42" s="667"/>
      <c r="AD42" s="667"/>
      <c r="AE42" s="667"/>
      <c r="AF42" s="667"/>
      <c r="AG42" s="595"/>
      <c r="AL42" s="602"/>
      <c r="AM42" s="602"/>
      <c r="AN42" s="602"/>
      <c r="BN42" s="592"/>
    </row>
    <row r="43" spans="2:66" x14ac:dyDescent="0.35">
      <c r="B43" s="590">
        <f t="shared" si="18"/>
        <v>21</v>
      </c>
      <c r="C43" s="1" t="str">
        <f>Proj_Sum!E62</f>
        <v>Trsh</v>
      </c>
      <c r="D43" s="1">
        <f>Proj_Sum!D62</f>
        <v>8</v>
      </c>
      <c r="E43" s="1" t="str">
        <f>Proj_Sum!E62</f>
        <v>Trsh</v>
      </c>
      <c r="F43" s="1" t="str">
        <f>Proj_Sum!F62</f>
        <v>Active Storage</v>
      </c>
      <c r="G43" s="1" t="str">
        <f>VLOOKUP(D43,Proj_Sum!$S$42:$T$51,2)</f>
        <v>Support (mechanical / electrical)</v>
      </c>
      <c r="H43" s="1535">
        <f t="shared" ca="1" si="4"/>
        <v>939.43700000000013</v>
      </c>
      <c r="I43" s="1535">
        <f t="shared" ca="1" si="5"/>
        <v>939.43700000000013</v>
      </c>
      <c r="J43" s="1535">
        <f t="shared" ca="1" si="6"/>
        <v>0</v>
      </c>
      <c r="K43" s="1535">
        <f t="shared" ca="1" si="7"/>
        <v>9394.3499999999985</v>
      </c>
      <c r="L43" s="1535">
        <f t="shared" ca="1" si="19"/>
        <v>9.9999787106532931</v>
      </c>
      <c r="M43" s="1535">
        <f t="shared" ca="1" si="9"/>
        <v>0</v>
      </c>
      <c r="N43" s="1535">
        <f t="shared" ca="1" si="10"/>
        <v>0</v>
      </c>
      <c r="O43" s="1535">
        <f t="shared" ca="1" si="20"/>
        <v>0</v>
      </c>
      <c r="P43" s="1532">
        <f t="shared" ca="1" si="11"/>
        <v>939.43700000000013</v>
      </c>
      <c r="Q43" s="1532">
        <f t="shared" ca="1" si="12"/>
        <v>9394.3499999999985</v>
      </c>
      <c r="R43" s="1532">
        <f t="shared" ca="1" si="13"/>
        <v>0</v>
      </c>
      <c r="S43" s="1532">
        <f t="shared" ca="1" si="14"/>
        <v>0</v>
      </c>
      <c r="T43" s="1763">
        <f>VLOOKUP($E43,Proj_Sum!$E$42:$M$69,Proj_Sum!L$39,FALSE)</f>
        <v>0.7</v>
      </c>
      <c r="U43" s="667">
        <f t="shared" ca="1" si="21"/>
        <v>657.60590000000002</v>
      </c>
      <c r="V43" s="599">
        <f>VLOOKUP($E43,Proj_Sum!$E$42:$M$69,Proj_Sum!M$39,FALSE)</f>
        <v>0.7</v>
      </c>
      <c r="W43" s="1762">
        <f t="shared" ca="1" si="22"/>
        <v>657.60590000000002</v>
      </c>
      <c r="X43" s="1920">
        <f t="shared" ca="1" si="17"/>
        <v>7.8463163376963369E-3</v>
      </c>
      <c r="Y43" s="603">
        <f ca="1">T43*$H43*3.412/Proj_Sum!$P$32</f>
        <v>1.8740141940953928E-2</v>
      </c>
      <c r="Z43" s="597"/>
      <c r="AB43" s="603"/>
      <c r="AC43" s="667"/>
      <c r="AD43" s="667"/>
      <c r="AE43" s="667"/>
      <c r="AF43" s="667"/>
      <c r="AG43" s="595"/>
      <c r="AL43" s="602"/>
      <c r="AM43" s="602"/>
      <c r="AN43" s="602"/>
      <c r="BN43" s="592"/>
    </row>
    <row r="44" spans="2:66" x14ac:dyDescent="0.35">
      <c r="B44" s="590">
        <f t="shared" si="18"/>
        <v>22</v>
      </c>
      <c r="C44" s="1" t="str">
        <f>Proj_Sum!E63</f>
        <v>Elev</v>
      </c>
      <c r="D44" s="1">
        <f>Proj_Sum!D63</f>
        <v>8</v>
      </c>
      <c r="E44" s="1" t="str">
        <f>Proj_Sum!E63</f>
        <v>Elev</v>
      </c>
      <c r="F44" s="1" t="str">
        <f>Proj_Sum!F63</f>
        <v>Elevator</v>
      </c>
      <c r="G44" s="1" t="str">
        <f>VLOOKUP(D44,Proj_Sum!$S$42:$T$51,2)</f>
        <v>Support (mechanical / electrical)</v>
      </c>
      <c r="H44" s="1535">
        <f t="shared" ca="1" si="4"/>
        <v>2650.0201999999999</v>
      </c>
      <c r="I44" s="1535">
        <f t="shared" ca="1" si="5"/>
        <v>2650.0201999999999</v>
      </c>
      <c r="J44" s="1535">
        <f t="shared" ca="1" si="6"/>
        <v>0</v>
      </c>
      <c r="K44" s="1535">
        <f t="shared" ca="1" si="7"/>
        <v>28662.079999999998</v>
      </c>
      <c r="L44" s="1535">
        <f t="shared" ca="1" si="19"/>
        <v>10.815796800341371</v>
      </c>
      <c r="M44" s="1535">
        <f t="shared" ca="1" si="9"/>
        <v>0</v>
      </c>
      <c r="N44" s="1535">
        <f t="shared" ca="1" si="10"/>
        <v>0</v>
      </c>
      <c r="O44" s="1535">
        <f t="shared" ca="1" si="20"/>
        <v>0</v>
      </c>
      <c r="P44" s="1532">
        <f t="shared" ca="1" si="11"/>
        <v>2650.0201999999999</v>
      </c>
      <c r="Q44" s="1532">
        <f t="shared" ca="1" si="12"/>
        <v>28662.079999999998</v>
      </c>
      <c r="R44" s="1532">
        <f t="shared" ca="1" si="13"/>
        <v>0</v>
      </c>
      <c r="S44" s="1532">
        <f t="shared" ca="1" si="14"/>
        <v>0</v>
      </c>
      <c r="T44" s="1763">
        <f>VLOOKUP($E44,Proj_Sum!$E$42:$M$69,Proj_Sum!L$39,FALSE)</f>
        <v>0</v>
      </c>
      <c r="U44" s="667">
        <f t="shared" ca="1" si="21"/>
        <v>0</v>
      </c>
      <c r="V44" s="599">
        <f>VLOOKUP($E44,Proj_Sum!$E$42:$M$69,Proj_Sum!M$39,FALSE)</f>
        <v>0</v>
      </c>
      <c r="W44" s="1762">
        <f t="shared" ca="1" si="22"/>
        <v>0</v>
      </c>
      <c r="X44" s="1920">
        <f t="shared" ca="1" si="17"/>
        <v>2.2133359438137216E-2</v>
      </c>
      <c r="Y44" s="603">
        <f ca="1">T44*$H44*3.412/Proj_Sum!$P$32</f>
        <v>0</v>
      </c>
      <c r="Z44" s="597"/>
      <c r="AB44" s="603"/>
      <c r="AC44" s="667"/>
      <c r="AD44" s="667"/>
      <c r="AE44" s="667"/>
      <c r="AF44" s="667"/>
      <c r="AG44" s="595"/>
      <c r="AL44" s="602"/>
      <c r="AM44" s="602"/>
      <c r="AN44" s="602"/>
      <c r="BN44" s="592"/>
    </row>
    <row r="45" spans="2:66" x14ac:dyDescent="0.35">
      <c r="B45" s="590">
        <f t="shared" si="18"/>
        <v>23</v>
      </c>
      <c r="C45" s="1" t="str">
        <f>Proj_Sum!E64</f>
        <v>Oblw</v>
      </c>
      <c r="D45" s="1">
        <f>Proj_Sum!D64</f>
        <v>9</v>
      </c>
      <c r="E45" s="1" t="s">
        <v>1948</v>
      </c>
      <c r="F45" s="1" t="str">
        <f>Proj_Sum!F64</f>
        <v>Open to Below</v>
      </c>
      <c r="G45" s="1" t="str">
        <f>VLOOKUP(D45,Proj_Sum!$S$42:$T$51,2)</f>
        <v>Unoccupied-Exclude</v>
      </c>
      <c r="H45" s="1535">
        <f t="shared" ca="1" si="4"/>
        <v>0</v>
      </c>
      <c r="I45" s="1535">
        <f t="shared" ca="1" si="5"/>
        <v>0</v>
      </c>
      <c r="J45" s="1535">
        <f t="shared" ca="1" si="6"/>
        <v>0</v>
      </c>
      <c r="K45" s="1535">
        <f t="shared" ca="1" si="7"/>
        <v>0</v>
      </c>
      <c r="L45" s="1535">
        <f t="shared" ca="1" si="19"/>
        <v>0</v>
      </c>
      <c r="M45" s="1535">
        <f t="shared" ca="1" si="9"/>
        <v>0</v>
      </c>
      <c r="N45" s="1535">
        <f t="shared" ca="1" si="10"/>
        <v>0</v>
      </c>
      <c r="O45" s="1535">
        <f t="shared" ca="1" si="20"/>
        <v>0</v>
      </c>
      <c r="P45" s="1532">
        <f t="shared" ca="1" si="11"/>
        <v>0</v>
      </c>
      <c r="Q45" s="1532">
        <f t="shared" ca="1" si="12"/>
        <v>0</v>
      </c>
      <c r="R45" s="1532">
        <f t="shared" ca="1" si="13"/>
        <v>0</v>
      </c>
      <c r="S45" s="1532">
        <f t="shared" ca="1" si="14"/>
        <v>0</v>
      </c>
      <c r="T45" s="1763">
        <f>VLOOKUP($E45,Proj_Sum!$E$42:$M$69,Proj_Sum!L$39,FALSE)</f>
        <v>0</v>
      </c>
      <c r="U45" s="667">
        <f t="shared" ca="1" si="21"/>
        <v>0</v>
      </c>
      <c r="V45" s="599">
        <f>VLOOKUP($E45,Proj_Sum!$E$42:$M$69,Proj_Sum!M$39,FALSE)</f>
        <v>0</v>
      </c>
      <c r="W45" s="1762">
        <f t="shared" ca="1" si="22"/>
        <v>0</v>
      </c>
      <c r="X45" s="1920">
        <f t="shared" ca="1" si="17"/>
        <v>0</v>
      </c>
      <c r="Y45" s="603">
        <f ca="1">T45*$H45*3.412/Proj_Sum!$P$32</f>
        <v>0</v>
      </c>
      <c r="Z45" s="597"/>
      <c r="AB45" s="603"/>
      <c r="AC45" s="667"/>
      <c r="AD45" s="667"/>
      <c r="AE45" s="667"/>
      <c r="AF45" s="667"/>
      <c r="AG45" s="595"/>
      <c r="AL45" s="602"/>
      <c r="AM45" s="602"/>
      <c r="AN45" s="602"/>
      <c r="BN45" s="592"/>
    </row>
    <row r="46" spans="2:66" x14ac:dyDescent="0.35">
      <c r="B46" s="590">
        <f t="shared" si="18"/>
        <v>24</v>
      </c>
      <c r="C46" s="1" t="str">
        <f>Proj_Sum!E65</f>
        <v>Shft</v>
      </c>
      <c r="D46" s="1">
        <f>Proj_Sum!D65</f>
        <v>9</v>
      </c>
      <c r="E46" s="1" t="str">
        <f>Proj_Sum!E65</f>
        <v>Shft</v>
      </c>
      <c r="F46" s="1" t="str">
        <f>Proj_Sum!F65</f>
        <v>Shaft</v>
      </c>
      <c r="G46" s="1" t="str">
        <f>VLOOKUP(D46,Proj_Sum!$S$42:$T$51,2)</f>
        <v>Unoccupied-Exclude</v>
      </c>
      <c r="H46" s="1535">
        <f t="shared" ca="1" si="4"/>
        <v>0</v>
      </c>
      <c r="I46" s="1535">
        <f t="shared" ca="1" si="5"/>
        <v>0</v>
      </c>
      <c r="J46" s="1535">
        <f t="shared" ca="1" si="6"/>
        <v>0</v>
      </c>
      <c r="K46" s="1535">
        <f t="shared" ca="1" si="7"/>
        <v>0</v>
      </c>
      <c r="L46" s="1535">
        <f t="shared" ref="L46" ca="1" si="23">IFERROR(K46/H46,)</f>
        <v>0</v>
      </c>
      <c r="M46" s="1535">
        <f t="shared" ca="1" si="9"/>
        <v>0</v>
      </c>
      <c r="N46" s="1535">
        <f t="shared" ca="1" si="10"/>
        <v>0</v>
      </c>
      <c r="O46" s="1535">
        <f t="shared" ref="O46" ca="1" si="24">IFERROR(N46/M46,0)</f>
        <v>0</v>
      </c>
      <c r="P46" s="1532">
        <f t="shared" ca="1" si="11"/>
        <v>0</v>
      </c>
      <c r="Q46" s="1532">
        <f t="shared" ca="1" si="12"/>
        <v>0</v>
      </c>
      <c r="R46" s="1532">
        <f t="shared" ca="1" si="13"/>
        <v>0</v>
      </c>
      <c r="S46" s="1532">
        <f t="shared" ca="1" si="14"/>
        <v>0</v>
      </c>
      <c r="T46" s="1763">
        <f>VLOOKUP($E46,Proj_Sum!$E$42:$M$69,Proj_Sum!L$39,FALSE)</f>
        <v>0</v>
      </c>
      <c r="U46" s="667">
        <f t="shared" ref="U46" ca="1" si="25">$H46*T46</f>
        <v>0</v>
      </c>
      <c r="V46" s="599">
        <f>VLOOKUP($E46,Proj_Sum!$E$42:$M$69,Proj_Sum!M$39,FALSE)</f>
        <v>0</v>
      </c>
      <c r="W46" s="1762">
        <f t="shared" ref="W46" ca="1" si="26">$H46*V46</f>
        <v>0</v>
      </c>
      <c r="X46" s="1920">
        <f t="shared" ca="1" si="17"/>
        <v>0</v>
      </c>
      <c r="Y46" s="603">
        <f ca="1">T46*$H46*3.412/Proj_Sum!$P$32</f>
        <v>0</v>
      </c>
      <c r="Z46" s="597"/>
      <c r="AB46" s="603"/>
      <c r="AC46" s="667"/>
      <c r="AD46" s="667"/>
      <c r="AE46" s="667"/>
      <c r="AF46" s="667"/>
      <c r="AG46" s="595"/>
      <c r="AL46" s="602"/>
      <c r="AM46" s="602"/>
      <c r="AN46" s="602"/>
      <c r="BN46" s="592"/>
    </row>
    <row r="47" spans="2:66" ht="15.6" thickBot="1" x14ac:dyDescent="0.4">
      <c r="B47" s="590">
        <f t="shared" si="18"/>
        <v>25</v>
      </c>
      <c r="C47" s="1730" t="str">
        <f>Proj_Sum!E66</f>
        <v>Trxf</v>
      </c>
      <c r="D47" s="1730">
        <f>Proj_Sum!D66</f>
        <v>9</v>
      </c>
      <c r="E47" s="1730" t="str">
        <f>Proj_Sum!E66</f>
        <v>Trxf</v>
      </c>
      <c r="F47" s="1730" t="str">
        <f>Proj_Sum!F66</f>
        <v>Transformer</v>
      </c>
      <c r="G47" s="1730" t="str">
        <f>VLOOKUP(D47,Proj_Sum!$S$42:$T$51,2)</f>
        <v>Unoccupied-Exclude</v>
      </c>
      <c r="H47" s="1731">
        <f t="shared" ca="1" si="4"/>
        <v>0</v>
      </c>
      <c r="I47" s="1732">
        <f t="shared" ca="1" si="5"/>
        <v>0</v>
      </c>
      <c r="J47" s="1732">
        <f t="shared" ca="1" si="6"/>
        <v>0</v>
      </c>
      <c r="K47" s="1732">
        <f t="shared" ca="1" si="7"/>
        <v>5623.76</v>
      </c>
      <c r="L47" s="1732">
        <f t="shared" ref="L47" ca="1" si="27">IFERROR(K47/H47,)</f>
        <v>0</v>
      </c>
      <c r="M47" s="1732">
        <f t="shared" ca="1" si="9"/>
        <v>0</v>
      </c>
      <c r="N47" s="1732">
        <f t="shared" ca="1" si="10"/>
        <v>0</v>
      </c>
      <c r="O47" s="1732">
        <f t="shared" ref="O47" ca="1" si="28">IFERROR(N47/M47,0)</f>
        <v>0</v>
      </c>
      <c r="P47" s="1733">
        <f t="shared" ca="1" si="11"/>
        <v>0</v>
      </c>
      <c r="Q47" s="1733">
        <f t="shared" ca="1" si="12"/>
        <v>0</v>
      </c>
      <c r="R47" s="1733">
        <f t="shared" ca="1" si="13"/>
        <v>0</v>
      </c>
      <c r="S47" s="1733">
        <f t="shared" ca="1" si="14"/>
        <v>5623.76</v>
      </c>
      <c r="T47" s="1764">
        <f>VLOOKUP($E47,Proj_Sum!$E$42:$M$69,Proj_Sum!L$39,FALSE)</f>
        <v>0</v>
      </c>
      <c r="U47" s="1732">
        <f t="shared" ref="U47" ca="1" si="29">$H47*T47</f>
        <v>0</v>
      </c>
      <c r="V47" s="1734">
        <f>VLOOKUP($E47,Proj_Sum!$E$42:$M$69,Proj_Sum!M$39,FALSE)</f>
        <v>0</v>
      </c>
      <c r="W47" s="1765">
        <f t="shared" ref="W47" ca="1" si="30">$H47*V47</f>
        <v>0</v>
      </c>
      <c r="X47" s="1920">
        <f t="shared" ca="1" si="17"/>
        <v>0</v>
      </c>
      <c r="Y47" s="603">
        <f ca="1">T47*$H47*3.412/Proj_Sum!$P$32</f>
        <v>0</v>
      </c>
      <c r="Z47" s="597"/>
      <c r="AB47" s="603"/>
      <c r="AC47" s="667"/>
      <c r="AD47" s="667"/>
      <c r="AE47" s="667"/>
      <c r="AF47" s="667"/>
      <c r="AL47" s="603"/>
      <c r="AM47" s="602"/>
      <c r="AN47" s="602"/>
    </row>
    <row r="48" spans="2:66" ht="15.6" thickTop="1" x14ac:dyDescent="0.35">
      <c r="H48" s="1735">
        <f ca="1">SUM(H23:H47)</f>
        <v>119729.68709999997</v>
      </c>
      <c r="I48" s="1735">
        <f ca="1">SUM(I23:I47)</f>
        <v>119729.68709999997</v>
      </c>
      <c r="J48" s="1735">
        <f ca="1">SUM(J23:J47)</f>
        <v>0</v>
      </c>
      <c r="K48" s="1735">
        <f ca="1">SUM(K23:K47)</f>
        <v>1291697.1500000006</v>
      </c>
      <c r="L48" s="1736"/>
      <c r="M48" s="1736"/>
      <c r="N48" s="1736"/>
      <c r="O48" s="1736"/>
      <c r="P48" s="1737">
        <f ca="1">SUM(P23:P47)</f>
        <v>119729.68709999997</v>
      </c>
      <c r="Q48" s="1737">
        <f ca="1">SUM(Q23:Q47)</f>
        <v>1286073.3900000006</v>
      </c>
      <c r="R48" s="1737">
        <f ca="1">SUM(R23:R47)</f>
        <v>0</v>
      </c>
      <c r="S48" s="1737">
        <f ca="1">SUM(S23:S47)</f>
        <v>5623.76</v>
      </c>
      <c r="T48" s="587"/>
      <c r="U48" s="1737">
        <f ca="1">SUM(U23:U47)</f>
        <v>414324.92841031082</v>
      </c>
      <c r="V48" s="587"/>
      <c r="W48" s="1737">
        <f ca="1">SUM(W23:W47)</f>
        <v>414324.92841031082</v>
      </c>
      <c r="X48" s="592"/>
      <c r="Z48" s="625"/>
      <c r="AA48" s="625"/>
      <c r="AB48" s="626"/>
      <c r="AC48" s="624"/>
      <c r="AD48" s="625"/>
      <c r="AE48" s="624"/>
      <c r="AF48" s="625"/>
      <c r="AL48" s="603"/>
      <c r="AM48" s="602"/>
      <c r="AN48" s="602"/>
    </row>
    <row r="49" spans="1:84" ht="12" customHeight="1" x14ac:dyDescent="0.35">
      <c r="H49" s="667"/>
      <c r="I49" s="667"/>
      <c r="J49" s="667"/>
      <c r="K49" s="1535"/>
      <c r="L49" s="1535"/>
      <c r="M49" s="1535"/>
      <c r="N49" s="1535"/>
      <c r="O49" s="1535"/>
      <c r="P49" s="596"/>
      <c r="Q49" s="596"/>
      <c r="R49" s="596"/>
      <c r="S49" s="596"/>
      <c r="T49" s="590"/>
      <c r="U49" s="596"/>
      <c r="V49" s="590"/>
      <c r="W49" s="596"/>
      <c r="X49" s="592"/>
      <c r="AB49" s="603"/>
      <c r="AC49" s="592"/>
      <c r="AE49" s="592"/>
      <c r="AL49" s="603"/>
      <c r="AM49" s="602"/>
      <c r="AN49" s="602"/>
    </row>
    <row r="50" spans="1:84" ht="12" customHeight="1" x14ac:dyDescent="0.35">
      <c r="A50" s="660">
        <v>0</v>
      </c>
      <c r="B50" s="665">
        <f>A50+1</f>
        <v>1</v>
      </c>
      <c r="C50" s="666">
        <f t="shared" ref="C50" si="31">B50+1</f>
        <v>2</v>
      </c>
      <c r="D50" s="666">
        <f t="shared" ref="D50" si="32">C50+1</f>
        <v>3</v>
      </c>
      <c r="E50" s="666">
        <f t="shared" ref="E50" si="33">D50+1</f>
        <v>4</v>
      </c>
      <c r="F50" s="666">
        <f t="shared" ref="F50" si="34">E50+1</f>
        <v>5</v>
      </c>
      <c r="G50" s="666">
        <f t="shared" ref="G50" si="35">F50+1</f>
        <v>6</v>
      </c>
      <c r="H50" s="666">
        <f t="shared" ref="H50" si="36">G50+1</f>
        <v>7</v>
      </c>
      <c r="I50" s="666">
        <f t="shared" ref="I50" si="37">H50+1</f>
        <v>8</v>
      </c>
      <c r="J50" s="666">
        <f t="shared" ref="J50" si="38">I50+1</f>
        <v>9</v>
      </c>
      <c r="K50" s="666">
        <f t="shared" ref="K50" si="39">J50+1</f>
        <v>10</v>
      </c>
      <c r="L50" s="666">
        <f t="shared" ref="L50" si="40">K50+1</f>
        <v>11</v>
      </c>
      <c r="M50" s="666">
        <f t="shared" ref="M50" si="41">L50+1</f>
        <v>12</v>
      </c>
      <c r="N50" s="666">
        <f t="shared" ref="N50" si="42">M50+1</f>
        <v>13</v>
      </c>
      <c r="O50" s="666">
        <f t="shared" ref="O50" si="43">N50+1</f>
        <v>14</v>
      </c>
      <c r="P50" s="666">
        <f t="shared" ref="P50" si="44">O50+1</f>
        <v>15</v>
      </c>
      <c r="Q50" s="666">
        <f t="shared" ref="Q50" si="45">P50+1</f>
        <v>16</v>
      </c>
      <c r="R50" s="666">
        <f t="shared" ref="R50" si="46">Q50+1</f>
        <v>17</v>
      </c>
      <c r="S50" s="666">
        <f t="shared" ref="S50" si="47">R50+1</f>
        <v>18</v>
      </c>
      <c r="T50" s="666">
        <f t="shared" ref="T50" si="48">S50+1</f>
        <v>19</v>
      </c>
      <c r="U50" s="666">
        <f t="shared" ref="U50" si="49">T50+1</f>
        <v>20</v>
      </c>
      <c r="V50" s="666">
        <f t="shared" ref="V50" si="50">U50+1</f>
        <v>21</v>
      </c>
      <c r="W50" s="666">
        <f t="shared" ref="W50" si="51">V50+1</f>
        <v>22</v>
      </c>
      <c r="X50" s="666">
        <f t="shared" ref="X50" si="52">W50+1</f>
        <v>23</v>
      </c>
      <c r="Y50" s="666">
        <f t="shared" ref="Y50" si="53">X50+1</f>
        <v>24</v>
      </c>
      <c r="Z50" s="666">
        <f t="shared" ref="Z50" si="54">Y50+1</f>
        <v>25</v>
      </c>
      <c r="AA50" s="666">
        <f t="shared" ref="AA50" si="55">Z50+1</f>
        <v>26</v>
      </c>
      <c r="AB50" s="666">
        <f t="shared" ref="AB50" si="56">AA50+1</f>
        <v>27</v>
      </c>
      <c r="AC50" s="666">
        <f t="shared" ref="AC50" si="57">AB50+1</f>
        <v>28</v>
      </c>
      <c r="AD50" s="666">
        <f t="shared" ref="AD50" si="58">AC50+1</f>
        <v>29</v>
      </c>
      <c r="AE50" s="666">
        <f t="shared" ref="AE50" si="59">AD50+1</f>
        <v>30</v>
      </c>
      <c r="AF50" s="666">
        <f t="shared" ref="AF50" si="60">AE50+1</f>
        <v>31</v>
      </c>
      <c r="AG50" s="666">
        <f t="shared" ref="AG50" si="61">AF50+1</f>
        <v>32</v>
      </c>
      <c r="AH50" s="666">
        <f t="shared" ref="AH50" si="62">AG50+1</f>
        <v>33</v>
      </c>
      <c r="AI50" s="666">
        <f t="shared" ref="AI50:AJ50" si="63">AH50+1</f>
        <v>34</v>
      </c>
      <c r="AJ50" s="666">
        <f t="shared" si="63"/>
        <v>35</v>
      </c>
      <c r="AK50" s="666">
        <f t="shared" ref="AK50" si="64">AJ50+1</f>
        <v>36</v>
      </c>
      <c r="AL50" s="666">
        <f>AK50+1</f>
        <v>37</v>
      </c>
      <c r="AM50" s="666">
        <f t="shared" ref="AM50" si="65">AL50+1</f>
        <v>38</v>
      </c>
      <c r="AN50" s="666">
        <f t="shared" ref="AN50" si="66">AM50+1</f>
        <v>39</v>
      </c>
      <c r="AO50" s="666">
        <f t="shared" ref="AO50" si="67">AN50+1</f>
        <v>40</v>
      </c>
      <c r="AP50" s="666">
        <f t="shared" ref="AP50" si="68">AO50+1</f>
        <v>41</v>
      </c>
      <c r="AQ50" s="666">
        <f t="shared" ref="AQ50" si="69">AP50+1</f>
        <v>42</v>
      </c>
      <c r="AR50" s="666">
        <f t="shared" ref="AR50" si="70">AQ50+1</f>
        <v>43</v>
      </c>
      <c r="AS50" s="666">
        <f t="shared" ref="AS50" si="71">AR50+1</f>
        <v>44</v>
      </c>
      <c r="AT50" s="666">
        <f t="shared" ref="AT50" si="72">AS50+1</f>
        <v>45</v>
      </c>
      <c r="AU50" s="666">
        <f t="shared" ref="AU50:AV50" si="73">AT50+1</f>
        <v>46</v>
      </c>
      <c r="AV50" s="666">
        <f t="shared" si="73"/>
        <v>47</v>
      </c>
      <c r="AW50" s="666">
        <f t="shared" ref="AW50" si="74">AV50+1</f>
        <v>48</v>
      </c>
      <c r="AX50" s="666">
        <f t="shared" ref="AX50" si="75">AW50+1</f>
        <v>49</v>
      </c>
      <c r="AY50" s="666">
        <f t="shared" ref="AY50" si="76">AX50+1</f>
        <v>50</v>
      </c>
      <c r="AZ50" s="666">
        <f t="shared" ref="AZ50" si="77">AY50+1</f>
        <v>51</v>
      </c>
      <c r="BA50" s="666">
        <f t="shared" ref="BA50" si="78">AZ50+1</f>
        <v>52</v>
      </c>
      <c r="BB50" s="666">
        <f t="shared" ref="BB50" si="79">BA50+1</f>
        <v>53</v>
      </c>
      <c r="BC50" s="666">
        <f t="shared" ref="BC50" si="80">BB50+1</f>
        <v>54</v>
      </c>
      <c r="BD50" s="666">
        <f t="shared" ref="BD50" si="81">BC50+1</f>
        <v>55</v>
      </c>
      <c r="BE50" s="666">
        <f t="shared" ref="BE50" si="82">BD50+1</f>
        <v>56</v>
      </c>
      <c r="BF50" s="666">
        <f t="shared" ref="BF50" si="83">BE50+1</f>
        <v>57</v>
      </c>
      <c r="BG50" s="666">
        <f t="shared" ref="BG50" si="84">BF50+1</f>
        <v>58</v>
      </c>
      <c r="BH50" s="666">
        <f t="shared" ref="BH50" si="85">BG50+1</f>
        <v>59</v>
      </c>
      <c r="BI50" s="666">
        <f t="shared" ref="BI50" si="86">BH50+1</f>
        <v>60</v>
      </c>
      <c r="BJ50" s="666">
        <f t="shared" ref="BJ50" si="87">BI50+1</f>
        <v>61</v>
      </c>
      <c r="BK50" s="666">
        <f t="shared" ref="BK50" si="88">BJ50+1</f>
        <v>62</v>
      </c>
      <c r="BO50" s="603"/>
      <c r="BP50" s="602"/>
      <c r="BQ50" s="602"/>
    </row>
    <row r="51" spans="1:84" x14ac:dyDescent="0.35">
      <c r="C51" s="591"/>
      <c r="D51" s="591"/>
      <c r="E51" s="591"/>
      <c r="F51" s="591"/>
      <c r="H51" s="591">
        <f>'360SpcLdsCSV'!$D$1</f>
        <v>2</v>
      </c>
      <c r="I51" s="591">
        <f>'360SpcLdsCSV'!$E$1</f>
        <v>3</v>
      </c>
      <c r="J51" s="591">
        <f>'360SpcLdsCSV'!$F$1</f>
        <v>4</v>
      </c>
      <c r="K51" s="591">
        <f>'360SpcLdsCSV'!$G$1</f>
        <v>5</v>
      </c>
      <c r="L51" s="591">
        <f>'360SpcLdsCSV'!$H$1</f>
        <v>6</v>
      </c>
      <c r="M51" s="591">
        <f>'360SpcLdsCSV'!$I$1</f>
        <v>7</v>
      </c>
      <c r="N51" s="591">
        <f>'360SpcLdsCSV'!$J$1</f>
        <v>8</v>
      </c>
      <c r="O51" s="591">
        <f>'360SpcLdsCSV'!U1</f>
        <v>19</v>
      </c>
      <c r="P51" s="591">
        <f>'360SpcLdsCSV'!V1</f>
        <v>20</v>
      </c>
      <c r="Q51" s="591">
        <f>'360SpcLdsCSV'!W1</f>
        <v>21</v>
      </c>
      <c r="R51" s="591">
        <f>'360SpcLdsCSV'!X1</f>
        <v>22</v>
      </c>
      <c r="S51" s="591">
        <f>'360SpcLdsCSV'!Y1</f>
        <v>23</v>
      </c>
      <c r="T51" s="591">
        <f>'360SpcLdsCSV'!Z1</f>
        <v>24</v>
      </c>
      <c r="U51" s="591">
        <f>'360SpcLdsCSV'!AA1</f>
        <v>25</v>
      </c>
      <c r="V51" s="591">
        <f>'360SpcLdsCSV'!AB1</f>
        <v>26</v>
      </c>
      <c r="W51" s="591">
        <f>'360SpcLdsCSV'!AC1</f>
        <v>27</v>
      </c>
      <c r="X51" s="591">
        <f>'360SpcLdsCSV'!AD1</f>
        <v>28</v>
      </c>
      <c r="Y51" s="591">
        <f>'360SpcLdsCSV'!AE1</f>
        <v>29</v>
      </c>
      <c r="Z51" s="591">
        <f>'360SpcLdsCSV'!AF1</f>
        <v>30</v>
      </c>
      <c r="AA51" s="591">
        <f>'360SpcLdsCSV'!AG1</f>
        <v>31</v>
      </c>
      <c r="AB51" s="591">
        <f>'360SpcLdsCSV'!AH1</f>
        <v>32</v>
      </c>
      <c r="AC51" s="591">
        <f>'360SpcLdsCSV'!AI1</f>
        <v>33</v>
      </c>
      <c r="AD51" s="591">
        <f>'360SpcLdsCSV'!AJ1</f>
        <v>34</v>
      </c>
      <c r="AE51" s="591">
        <f>'360SpcLdsCSV'!AK1</f>
        <v>35</v>
      </c>
      <c r="AF51" s="591">
        <f>'360SpcLdsCSV'!AL1</f>
        <v>36</v>
      </c>
      <c r="AG51" s="591">
        <f>'360SpcLdsCSV'!AM1</f>
        <v>37</v>
      </c>
      <c r="AH51" s="591">
        <f>'360SpcLdsCSV'!AN1</f>
        <v>38</v>
      </c>
      <c r="AI51" s="591">
        <f>'360SpcLdsCSV'!AO1</f>
        <v>39</v>
      </c>
      <c r="AJ51" s="591"/>
      <c r="AK51" s="591"/>
      <c r="AL51" s="591">
        <f>'360SpcLdsCSV'!$K$1</f>
        <v>9</v>
      </c>
      <c r="AM51" s="591"/>
      <c r="BR51" s="603"/>
      <c r="BS51" s="602"/>
      <c r="BT51" s="602"/>
    </row>
    <row r="52" spans="1:84" ht="17.399999999999999" x14ac:dyDescent="0.4">
      <c r="B52" s="587"/>
      <c r="C52" s="649" t="s">
        <v>90</v>
      </c>
      <c r="D52" s="649"/>
      <c r="E52" s="649"/>
      <c r="F52" s="649"/>
      <c r="G52" s="649"/>
      <c r="H52" s="649"/>
      <c r="I52" s="649"/>
      <c r="J52" s="649"/>
      <c r="K52" s="649"/>
      <c r="L52" s="649"/>
      <c r="M52" s="649"/>
      <c r="N52" s="649"/>
      <c r="O52" s="649"/>
      <c r="P52" s="649"/>
      <c r="Q52" s="649"/>
      <c r="R52" s="649"/>
      <c r="S52" s="649"/>
      <c r="T52" s="649"/>
      <c r="U52" s="649"/>
      <c r="V52" s="649"/>
      <c r="W52" s="649"/>
      <c r="X52" s="649"/>
      <c r="Y52" s="649"/>
      <c r="Z52" s="649"/>
      <c r="AA52" s="649"/>
      <c r="AB52" s="649"/>
      <c r="AC52" s="649"/>
      <c r="AD52" s="649"/>
      <c r="AE52" s="649"/>
      <c r="AF52" s="649"/>
      <c r="AG52" s="649"/>
      <c r="AH52" s="649"/>
      <c r="AI52" s="649"/>
      <c r="AJ52" s="649"/>
      <c r="AK52" s="649"/>
      <c r="AL52" s="649"/>
      <c r="AM52" s="649"/>
      <c r="AN52" s="649"/>
      <c r="AO52" s="650" t="s">
        <v>144</v>
      </c>
      <c r="AP52" s="647"/>
      <c r="AQ52" s="647"/>
      <c r="AR52" s="647"/>
      <c r="AS52" s="647"/>
      <c r="AT52" s="647"/>
      <c r="AU52" s="647"/>
      <c r="AV52" s="647"/>
      <c r="AW52" s="647"/>
      <c r="AX52" s="647"/>
      <c r="AY52" s="647"/>
      <c r="AZ52" s="647"/>
      <c r="BA52" s="647"/>
      <c r="BB52" s="647"/>
      <c r="BC52" s="647"/>
      <c r="BD52" s="647"/>
      <c r="BE52" s="647"/>
      <c r="BF52" s="647"/>
      <c r="BG52" s="647"/>
      <c r="BH52" s="647"/>
      <c r="BI52" s="647"/>
      <c r="BJ52" s="647"/>
      <c r="BK52" s="647"/>
      <c r="BS52" s="603"/>
      <c r="BT52" s="602"/>
      <c r="BU52" s="602"/>
    </row>
    <row r="53" spans="1:84" x14ac:dyDescent="0.35">
      <c r="B53" s="587"/>
      <c r="C53" s="704" t="s">
        <v>899</v>
      </c>
      <c r="D53" s="704"/>
      <c r="E53" s="704"/>
      <c r="F53" s="704"/>
      <c r="G53" s="704"/>
      <c r="H53" s="704"/>
      <c r="I53" s="704"/>
      <c r="J53" s="704"/>
      <c r="K53" s="704"/>
      <c r="L53" s="704"/>
      <c r="M53" s="663" t="e">
        <f t="shared" ref="M53:AV53" ca="1" si="89">SUBTOTAL(109,M57:M317)</f>
        <v>#N/A</v>
      </c>
      <c r="N53" s="663" t="e">
        <f t="shared" ca="1" si="89"/>
        <v>#N/A</v>
      </c>
      <c r="O53" s="663" t="e">
        <f t="shared" ca="1" si="89"/>
        <v>#N/A</v>
      </c>
      <c r="P53" s="663" t="e">
        <f t="shared" ca="1" si="89"/>
        <v>#N/A</v>
      </c>
      <c r="Q53" s="663" t="e">
        <f t="shared" ca="1" si="89"/>
        <v>#N/A</v>
      </c>
      <c r="R53" s="663" t="e">
        <f t="shared" ca="1" si="89"/>
        <v>#N/A</v>
      </c>
      <c r="S53" s="663" t="e">
        <f t="shared" ca="1" si="89"/>
        <v>#N/A</v>
      </c>
      <c r="T53" s="663" t="e">
        <f t="shared" ca="1" si="89"/>
        <v>#N/A</v>
      </c>
      <c r="U53" s="663" t="e">
        <f t="shared" ca="1" si="89"/>
        <v>#N/A</v>
      </c>
      <c r="V53" s="663" t="e">
        <f t="shared" ca="1" si="89"/>
        <v>#N/A</v>
      </c>
      <c r="W53" s="663" t="e">
        <f t="shared" ca="1" si="89"/>
        <v>#N/A</v>
      </c>
      <c r="X53" s="663" t="e">
        <f t="shared" ca="1" si="89"/>
        <v>#N/A</v>
      </c>
      <c r="Y53" s="663" t="e">
        <f t="shared" ca="1" si="89"/>
        <v>#N/A</v>
      </c>
      <c r="Z53" s="663" t="e">
        <f t="shared" ca="1" si="89"/>
        <v>#N/A</v>
      </c>
      <c r="AA53" s="663" t="e">
        <f t="shared" ca="1" si="89"/>
        <v>#N/A</v>
      </c>
      <c r="AB53" s="663" t="e">
        <f t="shared" ca="1" si="89"/>
        <v>#N/A</v>
      </c>
      <c r="AC53" s="663" t="e">
        <f t="shared" ca="1" si="89"/>
        <v>#N/A</v>
      </c>
      <c r="AD53" s="663" t="e">
        <f t="shared" ca="1" si="89"/>
        <v>#N/A</v>
      </c>
      <c r="AE53" s="663" t="e">
        <f t="shared" ca="1" si="89"/>
        <v>#N/A</v>
      </c>
      <c r="AF53" s="663" t="e">
        <f t="shared" ca="1" si="89"/>
        <v>#N/A</v>
      </c>
      <c r="AG53" s="663" t="e">
        <f t="shared" ca="1" si="89"/>
        <v>#N/A</v>
      </c>
      <c r="AH53" s="663" t="e">
        <f t="shared" ca="1" si="89"/>
        <v>#N/A</v>
      </c>
      <c r="AI53" s="663" t="e">
        <f t="shared" ca="1" si="89"/>
        <v>#N/A</v>
      </c>
      <c r="AJ53" s="663" t="e">
        <f t="shared" si="89"/>
        <v>#N/A</v>
      </c>
      <c r="AK53" s="663">
        <f t="shared" si="89"/>
        <v>0</v>
      </c>
      <c r="AL53" s="663" t="e">
        <f t="shared" ca="1" si="89"/>
        <v>#N/A</v>
      </c>
      <c r="AM53" s="663" t="e">
        <f t="shared" ca="1" si="89"/>
        <v>#N/A</v>
      </c>
      <c r="AN53" s="663" t="e">
        <f t="shared" ca="1" si="89"/>
        <v>#N/A</v>
      </c>
      <c r="AO53" s="663" t="e">
        <f t="shared" ca="1" si="89"/>
        <v>#N/A</v>
      </c>
      <c r="AP53" s="663" t="e">
        <f t="shared" ca="1" si="89"/>
        <v>#N/A</v>
      </c>
      <c r="AQ53" s="663" t="e">
        <f t="shared" ca="1" si="89"/>
        <v>#N/A</v>
      </c>
      <c r="AR53" s="663" t="e">
        <f t="shared" ca="1" si="89"/>
        <v>#N/A</v>
      </c>
      <c r="AS53" s="663" t="e">
        <f t="shared" ca="1" si="89"/>
        <v>#N/A</v>
      </c>
      <c r="AT53" s="663" t="e">
        <f t="shared" ca="1" si="89"/>
        <v>#N/A</v>
      </c>
      <c r="AU53" s="663" t="e">
        <f t="shared" ca="1" si="89"/>
        <v>#N/A</v>
      </c>
      <c r="AV53" s="663" t="e">
        <f t="shared" ca="1" si="89"/>
        <v>#N/A</v>
      </c>
      <c r="AW53" s="663" t="e">
        <f t="shared" ref="AW53:BK53" ca="1" si="90">SUBTOTAL(109,AW57:AW317)</f>
        <v>#N/A</v>
      </c>
      <c r="AX53" s="663" t="e">
        <f t="shared" ca="1" si="90"/>
        <v>#N/A</v>
      </c>
      <c r="AY53" s="663" t="e">
        <f t="shared" ca="1" si="90"/>
        <v>#N/A</v>
      </c>
      <c r="AZ53" s="663" t="e">
        <f t="shared" ca="1" si="90"/>
        <v>#N/A</v>
      </c>
      <c r="BA53" s="663" t="e">
        <f t="shared" ca="1" si="90"/>
        <v>#N/A</v>
      </c>
      <c r="BB53" s="663" t="e">
        <f t="shared" ca="1" si="90"/>
        <v>#N/A</v>
      </c>
      <c r="BC53" s="663" t="e">
        <f t="shared" ca="1" si="90"/>
        <v>#N/A</v>
      </c>
      <c r="BD53" s="663" t="e">
        <f t="shared" ca="1" si="90"/>
        <v>#N/A</v>
      </c>
      <c r="BE53" s="663" t="e">
        <f t="shared" ca="1" si="90"/>
        <v>#N/A</v>
      </c>
      <c r="BF53" s="663" t="e">
        <f t="shared" ca="1" si="90"/>
        <v>#N/A</v>
      </c>
      <c r="BG53" s="663" t="e">
        <f t="shared" ca="1" si="90"/>
        <v>#N/A</v>
      </c>
      <c r="BH53" s="663" t="e">
        <f t="shared" ca="1" si="90"/>
        <v>#N/A</v>
      </c>
      <c r="BI53" s="663" t="e">
        <f t="shared" ca="1" si="90"/>
        <v>#N/A</v>
      </c>
      <c r="BJ53" s="663" t="e">
        <f t="shared" ca="1" si="90"/>
        <v>#N/A</v>
      </c>
      <c r="BK53" s="663" t="e">
        <f t="shared" ca="1" si="90"/>
        <v>#N/A</v>
      </c>
      <c r="BS53" s="603"/>
      <c r="BT53" s="602"/>
      <c r="BU53" s="602"/>
    </row>
    <row r="54" spans="1:84" ht="32.25" customHeight="1" x14ac:dyDescent="0.35">
      <c r="C54" s="648" t="s">
        <v>33</v>
      </c>
      <c r="D54" s="648" t="s">
        <v>858</v>
      </c>
      <c r="E54" s="648" t="s">
        <v>855</v>
      </c>
      <c r="F54" s="648" t="s">
        <v>856</v>
      </c>
      <c r="G54" s="648" t="s">
        <v>857</v>
      </c>
      <c r="H54" s="648" t="s">
        <v>832</v>
      </c>
      <c r="I54" s="648" t="s">
        <v>833</v>
      </c>
      <c r="J54" s="648" t="s">
        <v>807</v>
      </c>
      <c r="K54" s="648" t="s">
        <v>846</v>
      </c>
      <c r="L54" s="648" t="s">
        <v>134</v>
      </c>
      <c r="M54" s="648" t="str">
        <f ca="1">OFFSET('360SpcLdsCSV'!$B$5,-1,M$51)</f>
        <v>Floor Area</v>
      </c>
      <c r="N54" s="648" t="str">
        <f ca="1">OFFSET('360SpcLdsCSV'!$B$5,-1,N$51)</f>
        <v>Volume</v>
      </c>
      <c r="O54" s="648" t="str">
        <f ca="1">OFFSET('360SpcLdsCSV'!$B$5,-1,O$51)</f>
        <v xml:space="preserve"> Res Gross Wall Area</v>
      </c>
      <c r="P54" s="648" t="str">
        <f ca="1">OFFSET('360SpcLdsCSV'!$B$5,-1,P$51)</f>
        <v>Res Win Area</v>
      </c>
      <c r="Q54" s="648" t="str">
        <f ca="1">OFFSET('360SpcLdsCSV'!$B$5,-1,Q$51)</f>
        <v>Non Res Gross Wall Area</v>
      </c>
      <c r="R54" s="648" t="str">
        <f ca="1">OFFSET('360SpcLdsCSV'!$B$5,-1,R$51)</f>
        <v>Non Res Win Area</v>
      </c>
      <c r="S54" s="648" t="str">
        <f ca="1">OFFSET('360SpcLdsCSV'!$B$5,-1,S$51)</f>
        <v>Semi Cond Gross Wall Area</v>
      </c>
      <c r="T54" s="648" t="str">
        <f ca="1">OFFSET('360SpcLdsCSV'!$B$5,-1,T$51)</f>
        <v>Semi Cond Win Area</v>
      </c>
      <c r="U54" s="648" t="str">
        <f ca="1">OFFSET('360SpcLdsCSV'!$B$5,-1,U$51)</f>
        <v>Res Roof Gross Area</v>
      </c>
      <c r="V54" s="648" t="str">
        <f ca="1">OFFSET('360SpcLdsCSV'!$B$5,-1,V$51)</f>
        <v>Res Skylight Area</v>
      </c>
      <c r="W54" s="648" t="str">
        <f ca="1">OFFSET('360SpcLdsCSV'!$B$5,-1,W$51)</f>
        <v>NonRes Roof Gross Area</v>
      </c>
      <c r="X54" s="648" t="str">
        <f ca="1">OFFSET('360SpcLdsCSV'!$B$5,-1,X$51)</f>
        <v>NonRes Skylight Area</v>
      </c>
      <c r="Y54" s="648" t="str">
        <f ca="1">OFFSET('360SpcLdsCSV'!$B$5,-1,Y$51)</f>
        <v>Semi Roof Gross Area</v>
      </c>
      <c r="Z54" s="648" t="str">
        <f ca="1">OFFSET('360SpcLdsCSV'!$B$5,-1,Z$51)</f>
        <v>Semi Skelight Area</v>
      </c>
      <c r="AA54" s="648" t="str">
        <f ca="1">OFFSET('360SpcLdsCSV'!$B$5,-1,AA$51)</f>
        <v>Res Floor Area</v>
      </c>
      <c r="AB54" s="648" t="str">
        <f ca="1">OFFSET('360SpcLdsCSV'!$B$5,-1,AB$51)</f>
        <v>NonRes Floor Area</v>
      </c>
      <c r="AC54" s="648" t="str">
        <f ca="1">OFFSET('360SpcLdsCSV'!$B$5,-1,AC$51)</f>
        <v>Semi Floor Area</v>
      </c>
      <c r="AD54" s="648" t="str">
        <f ca="1">OFFSET('360SpcLdsCSV'!$B$5,-1,AD$51)</f>
        <v>Res BelowGrade Wall Area</v>
      </c>
      <c r="AE54" s="648" t="str">
        <f ca="1">OFFSET('360SpcLdsCSV'!$B$5,-1,AE$51)</f>
        <v>NonRes BelowGrade Wall Area</v>
      </c>
      <c r="AF54" s="648" t="str">
        <f ca="1">OFFSET('360SpcLdsCSV'!$B$5,-1,AF$51)</f>
        <v>Semi BelowGrade Wall Area</v>
      </c>
      <c r="AG54" s="648" t="str">
        <f ca="1">OFFSET('360SpcLdsCSV'!$B$5,-1,AG$51)</f>
        <v>Res GroundContacted Slab Area</v>
      </c>
      <c r="AH54" s="648" t="str">
        <f ca="1">OFFSET('360SpcLdsCSV'!$B$5,-1,AH$51)</f>
        <v>NonRes GroundContacted Slab Area</v>
      </c>
      <c r="AI54" s="648" t="str">
        <f ca="1">OFFSET('360SpcLdsCSV'!$B$5,-1,AI$51)</f>
        <v>Semi GroundContacted Slab Area</v>
      </c>
      <c r="AJ54" s="648" t="s">
        <v>2092</v>
      </c>
      <c r="AK54" s="648" t="s">
        <v>708</v>
      </c>
      <c r="AL54" s="648" t="s">
        <v>162</v>
      </c>
      <c r="AM54" s="648" t="s">
        <v>261</v>
      </c>
      <c r="AN54" s="648" t="s">
        <v>260</v>
      </c>
      <c r="AO54" s="2216" t="str">
        <f ca="1">M54&amp;" x Mult"</f>
        <v>Floor Area x Mult</v>
      </c>
      <c r="AP54" s="2216" t="str">
        <f t="shared" ref="AP54:AV54" ca="1" si="91">N54&amp;" x Mult"</f>
        <v>Volume x Mult</v>
      </c>
      <c r="AQ54" s="2216" t="str">
        <f t="shared" ca="1" si="91"/>
        <v xml:space="preserve"> Res Gross Wall Area x Mult</v>
      </c>
      <c r="AR54" s="2216" t="str">
        <f t="shared" ca="1" si="91"/>
        <v>Res Win Area x Mult</v>
      </c>
      <c r="AS54" s="2216" t="str">
        <f t="shared" ca="1" si="91"/>
        <v>Non Res Gross Wall Area x Mult</v>
      </c>
      <c r="AT54" s="2216" t="str">
        <f t="shared" ca="1" si="91"/>
        <v>Non Res Win Area x Mult</v>
      </c>
      <c r="AU54" s="2216" t="str">
        <f t="shared" ca="1" si="91"/>
        <v>Semi Cond Gross Wall Area x Mult</v>
      </c>
      <c r="AV54" s="2216" t="str">
        <f t="shared" ca="1" si="91"/>
        <v>Semi Cond Win Area x Mult</v>
      </c>
      <c r="AW54" s="2216" t="str">
        <f t="shared" ref="AW54" ca="1" si="92">U54&amp;" x Mult"</f>
        <v>Res Roof Gross Area x Mult</v>
      </c>
      <c r="AX54" s="2216" t="str">
        <f t="shared" ref="AX54" ca="1" si="93">V54&amp;" x Mult"</f>
        <v>Res Skylight Area x Mult</v>
      </c>
      <c r="AY54" s="2216" t="str">
        <f t="shared" ref="AY54" ca="1" si="94">W54&amp;" x Mult"</f>
        <v>NonRes Roof Gross Area x Mult</v>
      </c>
      <c r="AZ54" s="2216" t="str">
        <f t="shared" ref="AZ54" ca="1" si="95">X54&amp;" x Mult"</f>
        <v>NonRes Skylight Area x Mult</v>
      </c>
      <c r="BA54" s="2216" t="str">
        <f t="shared" ref="BA54" ca="1" si="96">Y54&amp;" x Mult"</f>
        <v>Semi Roof Gross Area x Mult</v>
      </c>
      <c r="BB54" s="2216" t="str">
        <f t="shared" ref="BB54" ca="1" si="97">Z54&amp;" x Mult"</f>
        <v>Semi Skelight Area x Mult</v>
      </c>
      <c r="BC54" s="2216" t="str">
        <f t="shared" ref="BC54" ca="1" si="98">AA54&amp;" x Mult"</f>
        <v>Res Floor Area x Mult</v>
      </c>
      <c r="BD54" s="2216" t="str">
        <f t="shared" ref="BD54" ca="1" si="99">AB54&amp;" x Mult"</f>
        <v>NonRes Floor Area x Mult</v>
      </c>
      <c r="BE54" s="2216" t="str">
        <f t="shared" ref="BE54" ca="1" si="100">AC54&amp;" x Mult"</f>
        <v>Semi Floor Area x Mult</v>
      </c>
      <c r="BF54" s="2216" t="str">
        <f t="shared" ref="BF54" ca="1" si="101">AD54&amp;" x Mult"</f>
        <v>Res BelowGrade Wall Area x Mult</v>
      </c>
      <c r="BG54" s="2216" t="str">
        <f t="shared" ref="BG54" ca="1" si="102">AE54&amp;" x Mult"</f>
        <v>NonRes BelowGrade Wall Area x Mult</v>
      </c>
      <c r="BH54" s="2216" t="str">
        <f t="shared" ref="BH54" ca="1" si="103">AF54&amp;" x Mult"</f>
        <v>Semi BelowGrade Wall Area x Mult</v>
      </c>
      <c r="BI54" s="2216" t="str">
        <f t="shared" ref="BI54" ca="1" si="104">AG54&amp;" x Mult"</f>
        <v>Res GroundContacted Slab Area x Mult</v>
      </c>
      <c r="BJ54" s="2216" t="str">
        <f t="shared" ref="BJ54" ca="1" si="105">AH54&amp;" x Mult"</f>
        <v>NonRes GroundContacted Slab Area x Mult</v>
      </c>
      <c r="BK54" s="2216" t="str">
        <f t="shared" ref="BK54" ca="1" si="106">AI54&amp;" x Mult"</f>
        <v>Semi GroundContacted Slab Area x Mult</v>
      </c>
      <c r="BL54" s="1917"/>
      <c r="BM54" s="1917"/>
      <c r="BN54" s="1917"/>
      <c r="BS54" s="603"/>
      <c r="BT54" s="602"/>
      <c r="BU54" s="602"/>
    </row>
    <row r="55" spans="1:84" ht="12" customHeight="1" x14ac:dyDescent="0.35">
      <c r="A55" s="590" t="s">
        <v>15</v>
      </c>
      <c r="B55" s="591"/>
      <c r="C55" s="651"/>
      <c r="D55" s="651"/>
      <c r="E55" s="651"/>
      <c r="F55" s="651"/>
      <c r="G55" s="651"/>
      <c r="H55" s="651"/>
      <c r="I55" s="651"/>
      <c r="J55" s="651"/>
      <c r="K55" s="651"/>
      <c r="L55" s="651"/>
      <c r="M55" s="651" t="s">
        <v>143</v>
      </c>
      <c r="N55" s="651"/>
      <c r="O55" s="651"/>
      <c r="P55" s="651"/>
      <c r="Q55" s="651"/>
      <c r="R55" s="651"/>
      <c r="S55" s="651"/>
      <c r="T55" s="651"/>
      <c r="U55" s="651"/>
      <c r="V55" s="651"/>
      <c r="W55" s="651"/>
      <c r="X55" s="651"/>
      <c r="Y55" s="651"/>
      <c r="Z55" s="651"/>
      <c r="AA55" s="651"/>
      <c r="AB55" s="651"/>
      <c r="AC55" s="651"/>
      <c r="AD55" s="651"/>
      <c r="AE55" s="651"/>
      <c r="AF55" s="651"/>
      <c r="AG55" s="651"/>
      <c r="AH55" s="651"/>
      <c r="AI55" s="651"/>
      <c r="AJ55" s="651"/>
      <c r="AK55" s="651" t="s">
        <v>130</v>
      </c>
      <c r="AL55" s="651"/>
      <c r="AM55" s="651"/>
      <c r="AN55" s="651"/>
      <c r="AO55" s="651"/>
      <c r="AP55" s="651"/>
      <c r="AQ55" s="651"/>
      <c r="AR55" s="651"/>
      <c r="BS55" s="603"/>
      <c r="BT55" s="602"/>
      <c r="BU55" s="602"/>
    </row>
    <row r="56" spans="1:84" ht="12" customHeight="1" x14ac:dyDescent="0.35">
      <c r="A56" s="662" t="s">
        <v>264</v>
      </c>
      <c r="C56" s="590">
        <v>3</v>
      </c>
      <c r="H56" s="590">
        <v>4</v>
      </c>
      <c r="I56" s="590">
        <v>5</v>
      </c>
      <c r="J56" s="590">
        <v>6</v>
      </c>
      <c r="K56" s="590">
        <v>7</v>
      </c>
      <c r="L56" s="590">
        <v>7</v>
      </c>
      <c r="M56" s="590">
        <v>8</v>
      </c>
      <c r="N56" s="590"/>
      <c r="O56" s="590">
        <v>13</v>
      </c>
      <c r="P56" s="590"/>
      <c r="Q56" s="590"/>
      <c r="R56" s="590"/>
      <c r="S56" s="590"/>
      <c r="T56" s="590"/>
      <c r="U56" s="590"/>
      <c r="V56" s="590"/>
      <c r="W56" s="590"/>
      <c r="AK56" s="590">
        <v>21</v>
      </c>
      <c r="BS56" s="603"/>
      <c r="BT56" s="602"/>
      <c r="BU56" s="602"/>
    </row>
    <row r="57" spans="1:84" ht="12" customHeight="1" x14ac:dyDescent="0.35">
      <c r="B57" s="590">
        <f>MATCH(C57,'360SpcLdsCSV'!$C$6:$C$500,0)</f>
        <v>1</v>
      </c>
      <c r="C57" s="590" t="str">
        <f>'360SpcLdsCSV'!C6</f>
        <v>B01-002_StrsRaccBbrd</v>
      </c>
      <c r="D57" s="590" t="str">
        <f>LEFT(C57,3)</f>
        <v>B01</v>
      </c>
      <c r="E57" s="590" t="str">
        <f t="shared" ref="E57" si="107">MID(C57,FIND("_",C57,1)+1,4)</f>
        <v>Strs</v>
      </c>
      <c r="F57" s="590" t="str">
        <f t="shared" ref="F57" si="108">MID(C57,FIND("_",C57,1)+5,4)</f>
        <v>Racc</v>
      </c>
      <c r="G57" s="590" t="str">
        <f t="shared" ref="G57" si="109">RIGHT(C57,4)</f>
        <v>Bbrd</v>
      </c>
      <c r="H57" s="590" t="str">
        <f ca="1">OFFSET('360SpcLdsCSV'!$B$5,$B57,H$51)</f>
        <v>Basement</v>
      </c>
      <c r="I57" s="590" t="str">
        <f ca="1">OFFSET('360SpcLdsCSV'!$B$5,$B57,I$51)</f>
        <v>DirectlyConditioned</v>
      </c>
      <c r="J57" s="590" t="str">
        <f ca="1">OFFSET('360SpcLdsCSV'!$B$5,$B57,J$51)</f>
        <v>Stairwell</v>
      </c>
      <c r="K57" s="590" t="str">
        <f ca="1">OFFSET('360SpcLdsCSV'!$B$5,$B57,K$51)</f>
        <v>Nonresidential</v>
      </c>
      <c r="L57" s="590" t="str">
        <f ca="1">OFFSET('360SpcLdsCSV'!$B$5,$B57,L$51)</f>
        <v>Thermal Zone: B01-002_StrsRaccBbrd</v>
      </c>
      <c r="M57" s="592">
        <f ca="1">OFFSET('360SpcLdsCSV'!$B$5,$B57,M$51)</f>
        <v>602.02739999999994</v>
      </c>
      <c r="N57" s="592">
        <f ca="1">OFFSET('360SpcLdsCSV'!$B$5,$B57,N$51)</f>
        <v>6020.27</v>
      </c>
      <c r="O57" s="592">
        <f ca="1">OFFSET('360SpcLdsCSV'!$B$5,$B57,O$51)</f>
        <v>0</v>
      </c>
      <c r="P57" s="592">
        <f ca="1">OFFSET('360SpcLdsCSV'!$B$5,$B57,P$51)</f>
        <v>0</v>
      </c>
      <c r="Q57" s="592">
        <f ca="1">OFFSET('360SpcLdsCSV'!$B$5,$B57,Q$51)</f>
        <v>0</v>
      </c>
      <c r="R57" s="592">
        <f ca="1">OFFSET('360SpcLdsCSV'!$B$5,$B57,R$51)</f>
        <v>0</v>
      </c>
      <c r="S57" s="592">
        <f ca="1">OFFSET('360SpcLdsCSV'!$B$5,$B57,S$51)</f>
        <v>0</v>
      </c>
      <c r="T57" s="592">
        <f ca="1">OFFSET('360SpcLdsCSV'!$B$5,$B57,T$51)</f>
        <v>0</v>
      </c>
      <c r="U57" s="592">
        <f ca="1">OFFSET('360SpcLdsCSV'!$B$5,$B57,U$51)</f>
        <v>0</v>
      </c>
      <c r="V57" s="592">
        <f ca="1">OFFSET('360SpcLdsCSV'!$B$5,$B57,V$51)</f>
        <v>0</v>
      </c>
      <c r="W57" s="592">
        <f ca="1">OFFSET('360SpcLdsCSV'!$B$5,$B57,W$51)</f>
        <v>0</v>
      </c>
      <c r="X57" s="592">
        <f ca="1">OFFSET('360SpcLdsCSV'!$B$5,$B57,X$51)</f>
        <v>0</v>
      </c>
      <c r="Y57" s="592">
        <f ca="1">OFFSET('360SpcLdsCSV'!$B$5,$B57,Y$51)</f>
        <v>0</v>
      </c>
      <c r="Z57" s="592">
        <f ca="1">OFFSET('360SpcLdsCSV'!$B$5,$B57,Z$51)</f>
        <v>0</v>
      </c>
      <c r="AA57" s="592">
        <f ca="1">OFFSET('360SpcLdsCSV'!$B$5,$B57,AA$51)</f>
        <v>0</v>
      </c>
      <c r="AB57" s="592">
        <f ca="1">OFFSET('360SpcLdsCSV'!$B$5,$B57,AB$51)</f>
        <v>0</v>
      </c>
      <c r="AC57" s="592">
        <f ca="1">OFFSET('360SpcLdsCSV'!$B$5,$B57,AC$51)</f>
        <v>0</v>
      </c>
      <c r="AD57" s="592">
        <f ca="1">OFFSET('360SpcLdsCSV'!$B$5,$B57,AD$51)</f>
        <v>0</v>
      </c>
      <c r="AE57" s="592">
        <f ca="1">OFFSET('360SpcLdsCSV'!$B$5,$B57,AE$51)</f>
        <v>945.9</v>
      </c>
      <c r="AF57" s="592">
        <f ca="1">OFFSET('360SpcLdsCSV'!$B$5,$B57,AF$51)</f>
        <v>0</v>
      </c>
      <c r="AG57" s="592">
        <f ca="1">OFFSET('360SpcLdsCSV'!$B$5,$B57,AG$51)</f>
        <v>0</v>
      </c>
      <c r="AH57" s="592">
        <f ca="1">OFFSET('360SpcLdsCSV'!$B$5,$B57,AH$51)</f>
        <v>602</v>
      </c>
      <c r="AI57" s="592">
        <f ca="1">OFFSET('360SpcLdsCSV'!$B$5,$B57,AI$51)</f>
        <v>0</v>
      </c>
      <c r="AJ57" s="592" cm="1">
        <f t="array" ref="AJ57">_xlfn.IFS($F57="Resi",1,$F57="Racc",0,$F57="Coml",0,$F57="Prkg",0)</f>
        <v>0</v>
      </c>
      <c r="AL57" s="590">
        <f ca="1">OFFSET('360SpcLdsCSV'!$B$5,$B57,AL$51)</f>
        <v>1</v>
      </c>
      <c r="AM57" s="663">
        <f t="shared" ref="AM57:AM120" ca="1" si="110">IF(I57="Unconditioned",0,1)</f>
        <v>1</v>
      </c>
      <c r="AN57" s="663">
        <f t="shared" ref="AN57:AN120" ca="1" si="111">IF(K57="Residential",1,0)</f>
        <v>0</v>
      </c>
      <c r="AO57" s="663">
        <f ca="1">M57*$AL57</f>
        <v>602.02739999999994</v>
      </c>
      <c r="AP57" s="663">
        <f t="shared" ref="AP57:AP120" ca="1" si="112">N57*$AL57</f>
        <v>6020.27</v>
      </c>
      <c r="AQ57" s="663">
        <f t="shared" ref="AQ57:AQ120" ca="1" si="113">O57*$AL57</f>
        <v>0</v>
      </c>
      <c r="AR57" s="663">
        <f t="shared" ref="AR57:AR120" ca="1" si="114">P57*$AL57</f>
        <v>0</v>
      </c>
      <c r="AS57" s="663">
        <f t="shared" ref="AS57:AS120" ca="1" si="115">Q57*$AL57</f>
        <v>0</v>
      </c>
      <c r="AT57" s="663">
        <f t="shared" ref="AT57:AT120" ca="1" si="116">R57*$AL57</f>
        <v>0</v>
      </c>
      <c r="AU57" s="663">
        <f t="shared" ref="AU57:AU120" ca="1" si="117">S57*$AL57</f>
        <v>0</v>
      </c>
      <c r="AV57" s="663">
        <f t="shared" ref="AV57:AV120" ca="1" si="118">T57*$AL57</f>
        <v>0</v>
      </c>
      <c r="AW57" s="663">
        <f t="shared" ref="AW57:AW120" ca="1" si="119">U57*$AL57</f>
        <v>0</v>
      </c>
      <c r="AX57" s="663">
        <f t="shared" ref="AX57:AX120" ca="1" si="120">V57*$AL57</f>
        <v>0</v>
      </c>
      <c r="AY57" s="663">
        <f t="shared" ref="AY57:AY120" ca="1" si="121">W57*$AL57</f>
        <v>0</v>
      </c>
      <c r="AZ57" s="663">
        <f t="shared" ref="AZ57:AZ120" ca="1" si="122">X57*$AL57</f>
        <v>0</v>
      </c>
      <c r="BA57" s="663">
        <f t="shared" ref="BA57:BA120" ca="1" si="123">Y57*$AL57</f>
        <v>0</v>
      </c>
      <c r="BB57" s="663">
        <f t="shared" ref="BB57:BB120" ca="1" si="124">Z57*$AL57</f>
        <v>0</v>
      </c>
      <c r="BC57" s="663">
        <f t="shared" ref="BC57:BC120" ca="1" si="125">AA57*$AL57</f>
        <v>0</v>
      </c>
      <c r="BD57" s="663">
        <f t="shared" ref="BD57:BD120" ca="1" si="126">AB57*$AL57</f>
        <v>0</v>
      </c>
      <c r="BE57" s="663">
        <f t="shared" ref="BE57:BE120" ca="1" si="127">AC57*$AL57</f>
        <v>0</v>
      </c>
      <c r="BF57" s="663">
        <f t="shared" ref="BF57:BF120" ca="1" si="128">AD57*$AL57</f>
        <v>0</v>
      </c>
      <c r="BG57" s="663">
        <f t="shared" ref="BG57:BG120" ca="1" si="129">AE57*$AL57</f>
        <v>945.9</v>
      </c>
      <c r="BH57" s="663">
        <f t="shared" ref="BH57:BH120" ca="1" si="130">AF57*$AL57</f>
        <v>0</v>
      </c>
      <c r="BI57" s="663">
        <f t="shared" ref="BI57:BI120" ca="1" si="131">AG57*$AL57</f>
        <v>0</v>
      </c>
      <c r="BJ57" s="663">
        <f t="shared" ref="BJ57:BJ120" ca="1" si="132">AH57*$AL57</f>
        <v>602</v>
      </c>
      <c r="BK57" s="663">
        <f t="shared" ref="BK57:BK120" ca="1" si="133">AI57*$AL57</f>
        <v>0</v>
      </c>
      <c r="BL57" s="1918"/>
      <c r="BM57" s="1532"/>
      <c r="BN57" s="1919"/>
      <c r="BS57" s="603"/>
      <c r="BT57" s="602"/>
      <c r="BU57" s="602"/>
    </row>
    <row r="58" spans="1:84" ht="12" customHeight="1" x14ac:dyDescent="0.35">
      <c r="B58" s="590">
        <f>MATCH(C58,'360SpcLdsCSV'!$C$6:$C$500,0)</f>
        <v>2</v>
      </c>
      <c r="C58" s="590" t="str">
        <f>'360SpcLdsCSV'!C7</f>
        <v>B01-003_MechRaccBbrd</v>
      </c>
      <c r="D58" s="590" t="str">
        <f t="shared" ref="D58:D121" si="134">LEFT(C58,3)</f>
        <v>B01</v>
      </c>
      <c r="E58" s="590" t="str">
        <f t="shared" ref="E58:E121" si="135">MID(C58,FIND("_",C58,1)+1,4)</f>
        <v>Mech</v>
      </c>
      <c r="F58" s="590" t="str">
        <f t="shared" ref="F58:F121" si="136">MID(C58,FIND("_",C58,1)+5,4)</f>
        <v>Racc</v>
      </c>
      <c r="G58" s="590" t="str">
        <f t="shared" ref="G58:G121" si="137">RIGHT(C58,4)</f>
        <v>Bbrd</v>
      </c>
      <c r="H58" s="590" t="str">
        <f ca="1">OFFSET('360SpcLdsCSV'!$B$5,$B58,H$51)</f>
        <v>Basement</v>
      </c>
      <c r="I58" s="590" t="str">
        <f ca="1">OFFSET('360SpcLdsCSV'!$B$5,$B58,I$51)</f>
        <v>DirectlyConditioned</v>
      </c>
      <c r="J58" s="590" t="str">
        <f ca="1">OFFSET('360SpcLdsCSV'!$B$5,$B58,J$51)</f>
        <v>Electrical/MechanicaI Room</v>
      </c>
      <c r="K58" s="590" t="str">
        <f ca="1">OFFSET('360SpcLdsCSV'!$B$5,$B58,K$51)</f>
        <v>Nonresidential</v>
      </c>
      <c r="L58" s="590" t="str">
        <f ca="1">OFFSET('360SpcLdsCSV'!$B$5,$B58,L$51)</f>
        <v>Thermal Zone: B01-003_MechRaccBbrd</v>
      </c>
      <c r="M58" s="592">
        <f ca="1">OFFSET('360SpcLdsCSV'!$B$5,$B58,M$51)</f>
        <v>1031.7492</v>
      </c>
      <c r="N58" s="592">
        <f ca="1">OFFSET('360SpcLdsCSV'!$B$5,$B58,N$51)</f>
        <v>10317.5</v>
      </c>
      <c r="O58" s="592">
        <f ca="1">OFFSET('360SpcLdsCSV'!$B$5,$B58,O$51)</f>
        <v>0</v>
      </c>
      <c r="P58" s="592">
        <f ca="1">OFFSET('360SpcLdsCSV'!$B$5,$B58,P$51)</f>
        <v>0</v>
      </c>
      <c r="Q58" s="592">
        <f ca="1">OFFSET('360SpcLdsCSV'!$B$5,$B58,Q$51)</f>
        <v>0</v>
      </c>
      <c r="R58" s="592">
        <f ca="1">OFFSET('360SpcLdsCSV'!$B$5,$B58,R$51)</f>
        <v>0</v>
      </c>
      <c r="S58" s="592">
        <f ca="1">OFFSET('360SpcLdsCSV'!$B$5,$B58,S$51)</f>
        <v>0</v>
      </c>
      <c r="T58" s="592">
        <f ca="1">OFFSET('360SpcLdsCSV'!$B$5,$B58,T$51)</f>
        <v>0</v>
      </c>
      <c r="U58" s="592">
        <f ca="1">OFFSET('360SpcLdsCSV'!$B$5,$B58,U$51)</f>
        <v>0</v>
      </c>
      <c r="V58" s="592">
        <f ca="1">OFFSET('360SpcLdsCSV'!$B$5,$B58,V$51)</f>
        <v>0</v>
      </c>
      <c r="W58" s="592">
        <f ca="1">OFFSET('360SpcLdsCSV'!$B$5,$B58,W$51)</f>
        <v>0</v>
      </c>
      <c r="X58" s="592">
        <f ca="1">OFFSET('360SpcLdsCSV'!$B$5,$B58,X$51)</f>
        <v>0</v>
      </c>
      <c r="Y58" s="592">
        <f ca="1">OFFSET('360SpcLdsCSV'!$B$5,$B58,Y$51)</f>
        <v>0</v>
      </c>
      <c r="Z58" s="592">
        <f ca="1">OFFSET('360SpcLdsCSV'!$B$5,$B58,Z$51)</f>
        <v>0</v>
      </c>
      <c r="AA58" s="592">
        <f ca="1">OFFSET('360SpcLdsCSV'!$B$5,$B58,AA$51)</f>
        <v>0</v>
      </c>
      <c r="AB58" s="592">
        <f ca="1">OFFSET('360SpcLdsCSV'!$B$5,$B58,AB$51)</f>
        <v>0</v>
      </c>
      <c r="AC58" s="592">
        <f ca="1">OFFSET('360SpcLdsCSV'!$B$5,$B58,AC$51)</f>
        <v>0</v>
      </c>
      <c r="AD58" s="592">
        <f ca="1">OFFSET('360SpcLdsCSV'!$B$5,$B58,AD$51)</f>
        <v>0</v>
      </c>
      <c r="AE58" s="592">
        <f ca="1">OFFSET('360SpcLdsCSV'!$B$5,$B58,AE$51)</f>
        <v>1247.3</v>
      </c>
      <c r="AF58" s="592">
        <f ca="1">OFFSET('360SpcLdsCSV'!$B$5,$B58,AF$51)</f>
        <v>0</v>
      </c>
      <c r="AG58" s="592">
        <f ca="1">OFFSET('360SpcLdsCSV'!$B$5,$B58,AG$51)</f>
        <v>0</v>
      </c>
      <c r="AH58" s="592">
        <f ca="1">OFFSET('360SpcLdsCSV'!$B$5,$B58,AH$51)</f>
        <v>1031.7</v>
      </c>
      <c r="AI58" s="592">
        <f ca="1">OFFSET('360SpcLdsCSV'!$B$5,$B58,AI$51)</f>
        <v>0</v>
      </c>
      <c r="AJ58" s="592" cm="1">
        <f t="array" ref="AJ58">_xlfn.IFS($F58="Resi",1,$F58="Racc",0,$F58="Coml",0,$F58="Prkg",0)</f>
        <v>0</v>
      </c>
      <c r="AL58" s="590">
        <f ca="1">OFFSET('360SpcLdsCSV'!$B$5,$B58,AL$51)</f>
        <v>1</v>
      </c>
      <c r="AM58" s="663">
        <f t="shared" ca="1" si="110"/>
        <v>1</v>
      </c>
      <c r="AN58" s="663">
        <f t="shared" ca="1" si="111"/>
        <v>0</v>
      </c>
      <c r="AO58" s="663">
        <f t="shared" ref="AO58:AO121" ca="1" si="138">M58*$AL58</f>
        <v>1031.7492</v>
      </c>
      <c r="AP58" s="663">
        <f t="shared" ca="1" si="112"/>
        <v>10317.5</v>
      </c>
      <c r="AQ58" s="663">
        <f t="shared" ca="1" si="113"/>
        <v>0</v>
      </c>
      <c r="AR58" s="663">
        <f t="shared" ca="1" si="114"/>
        <v>0</v>
      </c>
      <c r="AS58" s="663">
        <f t="shared" ca="1" si="115"/>
        <v>0</v>
      </c>
      <c r="AT58" s="663">
        <f t="shared" ca="1" si="116"/>
        <v>0</v>
      </c>
      <c r="AU58" s="663">
        <f t="shared" ca="1" si="117"/>
        <v>0</v>
      </c>
      <c r="AV58" s="663">
        <f t="shared" ca="1" si="118"/>
        <v>0</v>
      </c>
      <c r="AW58" s="663">
        <f t="shared" ca="1" si="119"/>
        <v>0</v>
      </c>
      <c r="AX58" s="663">
        <f t="shared" ca="1" si="120"/>
        <v>0</v>
      </c>
      <c r="AY58" s="663">
        <f t="shared" ca="1" si="121"/>
        <v>0</v>
      </c>
      <c r="AZ58" s="663">
        <f t="shared" ca="1" si="122"/>
        <v>0</v>
      </c>
      <c r="BA58" s="663">
        <f t="shared" ca="1" si="123"/>
        <v>0</v>
      </c>
      <c r="BB58" s="663">
        <f t="shared" ca="1" si="124"/>
        <v>0</v>
      </c>
      <c r="BC58" s="663">
        <f t="shared" ca="1" si="125"/>
        <v>0</v>
      </c>
      <c r="BD58" s="663">
        <f t="shared" ca="1" si="126"/>
        <v>0</v>
      </c>
      <c r="BE58" s="663">
        <f t="shared" ca="1" si="127"/>
        <v>0</v>
      </c>
      <c r="BF58" s="663">
        <f t="shared" ca="1" si="128"/>
        <v>0</v>
      </c>
      <c r="BG58" s="663">
        <f t="shared" ca="1" si="129"/>
        <v>1247.3</v>
      </c>
      <c r="BH58" s="663">
        <f t="shared" ca="1" si="130"/>
        <v>0</v>
      </c>
      <c r="BI58" s="663">
        <f t="shared" ca="1" si="131"/>
        <v>0</v>
      </c>
      <c r="BJ58" s="663">
        <f t="shared" ca="1" si="132"/>
        <v>1031.7</v>
      </c>
      <c r="BK58" s="663">
        <f t="shared" ca="1" si="133"/>
        <v>0</v>
      </c>
      <c r="BL58" s="1918"/>
      <c r="BM58" s="1532"/>
      <c r="BN58" s="1919"/>
      <c r="BS58" s="603"/>
      <c r="BT58" s="602"/>
      <c r="BU58" s="602"/>
    </row>
    <row r="59" spans="1:84" ht="12" customHeight="1" x14ac:dyDescent="0.35">
      <c r="B59" s="590">
        <f>MATCH(C59,'360SpcLdsCSV'!$C$6:$C$500,0)</f>
        <v>3</v>
      </c>
      <c r="C59" s="590" t="str">
        <f>'360SpcLdsCSV'!C8</f>
        <v>L01-101_MprpRaccVrfsHrv1</v>
      </c>
      <c r="D59" s="590" t="str">
        <f t="shared" si="134"/>
        <v>L01</v>
      </c>
      <c r="E59" s="590" t="str">
        <f t="shared" si="135"/>
        <v>Mprp</v>
      </c>
      <c r="F59" s="590" t="str">
        <f t="shared" si="136"/>
        <v>Racc</v>
      </c>
      <c r="G59" s="590" t="str">
        <f t="shared" si="137"/>
        <v>Hrv1</v>
      </c>
      <c r="H59" s="590" t="str">
        <f ca="1">OFFSET('360SpcLdsCSV'!$B$5,$B59,H$51)</f>
        <v>Level 1</v>
      </c>
      <c r="I59" s="590" t="str">
        <f ca="1">OFFSET('360SpcLdsCSV'!$B$5,$B59,I$51)</f>
        <v>DirectlyConditioned</v>
      </c>
      <c r="J59" s="590" t="str">
        <f ca="1">OFFSET('360SpcLdsCSV'!$B$5,$B59,J$51)</f>
        <v>Conference/Meeting/Multipurpose Room</v>
      </c>
      <c r="K59" s="590" t="str">
        <f ca="1">OFFSET('360SpcLdsCSV'!$B$5,$B59,K$51)</f>
        <v>Nonresidential</v>
      </c>
      <c r="L59" s="590" t="str">
        <f ca="1">OFFSET('360SpcLdsCSV'!$B$5,$B59,L$51)</f>
        <v>Thermal Zone: L01-101_MprpRaccVrfsHrv1</v>
      </c>
      <c r="M59" s="592">
        <f ca="1">OFFSET('360SpcLdsCSV'!$B$5,$B59,M$51)</f>
        <v>2056.806</v>
      </c>
      <c r="N59" s="592">
        <f ca="1">OFFSET('360SpcLdsCSV'!$B$5,$B59,N$51)</f>
        <v>32908.9</v>
      </c>
      <c r="O59" s="592">
        <f ca="1">OFFSET('360SpcLdsCSV'!$B$5,$B59,O$51)</f>
        <v>0</v>
      </c>
      <c r="P59" s="592">
        <f ca="1">OFFSET('360SpcLdsCSV'!$B$5,$B59,P$51)</f>
        <v>0</v>
      </c>
      <c r="Q59" s="592">
        <f ca="1">OFFSET('360SpcLdsCSV'!$B$5,$B59,Q$51)</f>
        <v>1480.2</v>
      </c>
      <c r="R59" s="592">
        <f ca="1">OFFSET('360SpcLdsCSV'!$B$5,$B59,R$51)</f>
        <v>592.1</v>
      </c>
      <c r="S59" s="592">
        <f ca="1">OFFSET('360SpcLdsCSV'!$B$5,$B59,S$51)</f>
        <v>0</v>
      </c>
      <c r="T59" s="592">
        <f ca="1">OFFSET('360SpcLdsCSV'!$B$5,$B59,T$51)</f>
        <v>0</v>
      </c>
      <c r="U59" s="592">
        <f ca="1">OFFSET('360SpcLdsCSV'!$B$5,$B59,U$51)</f>
        <v>0</v>
      </c>
      <c r="V59" s="592">
        <f ca="1">OFFSET('360SpcLdsCSV'!$B$5,$B59,V$51)</f>
        <v>0</v>
      </c>
      <c r="W59" s="592">
        <f ca="1">OFFSET('360SpcLdsCSV'!$B$5,$B59,W$51)</f>
        <v>0</v>
      </c>
      <c r="X59" s="592">
        <f ca="1">OFFSET('360SpcLdsCSV'!$B$5,$B59,X$51)</f>
        <v>0</v>
      </c>
      <c r="Y59" s="592">
        <f ca="1">OFFSET('360SpcLdsCSV'!$B$5,$B59,Y$51)</f>
        <v>0</v>
      </c>
      <c r="Z59" s="592">
        <f ca="1">OFFSET('360SpcLdsCSV'!$B$5,$B59,Z$51)</f>
        <v>0</v>
      </c>
      <c r="AA59" s="592">
        <f ca="1">OFFSET('360SpcLdsCSV'!$B$5,$B59,AA$51)</f>
        <v>0</v>
      </c>
      <c r="AB59" s="592">
        <f ca="1">OFFSET('360SpcLdsCSV'!$B$5,$B59,AB$51)</f>
        <v>0</v>
      </c>
      <c r="AC59" s="592">
        <f ca="1">OFFSET('360SpcLdsCSV'!$B$5,$B59,AC$51)</f>
        <v>0</v>
      </c>
      <c r="AD59" s="592">
        <f ca="1">OFFSET('360SpcLdsCSV'!$B$5,$B59,AD$51)</f>
        <v>0</v>
      </c>
      <c r="AE59" s="592">
        <f ca="1">OFFSET('360SpcLdsCSV'!$B$5,$B59,AE$51)</f>
        <v>0</v>
      </c>
      <c r="AF59" s="592">
        <f ca="1">OFFSET('360SpcLdsCSV'!$B$5,$B59,AF$51)</f>
        <v>0</v>
      </c>
      <c r="AG59" s="592">
        <f ca="1">OFFSET('360SpcLdsCSV'!$B$5,$B59,AG$51)</f>
        <v>0</v>
      </c>
      <c r="AH59" s="592">
        <f ca="1">OFFSET('360SpcLdsCSV'!$B$5,$B59,AH$51)</f>
        <v>2056.8000000000002</v>
      </c>
      <c r="AI59" s="592">
        <f ca="1">OFFSET('360SpcLdsCSV'!$B$5,$B59,AI$51)</f>
        <v>0</v>
      </c>
      <c r="AJ59" s="592" cm="1">
        <f t="array" ref="AJ59">_xlfn.IFS($F59="Resi",1,$F59="Racc",0,$F59="Coml",0,$F59="Prkg",0)</f>
        <v>0</v>
      </c>
      <c r="AL59" s="590">
        <f ca="1">OFFSET('360SpcLdsCSV'!$B$5,$B59,AL$51)</f>
        <v>1</v>
      </c>
      <c r="AM59" s="663">
        <f t="shared" ca="1" si="110"/>
        <v>1</v>
      </c>
      <c r="AN59" s="663">
        <f t="shared" ca="1" si="111"/>
        <v>0</v>
      </c>
      <c r="AO59" s="663">
        <f t="shared" ca="1" si="138"/>
        <v>2056.806</v>
      </c>
      <c r="AP59" s="663">
        <f t="shared" ca="1" si="112"/>
        <v>32908.9</v>
      </c>
      <c r="AQ59" s="663">
        <f t="shared" ca="1" si="113"/>
        <v>0</v>
      </c>
      <c r="AR59" s="663">
        <f t="shared" ca="1" si="114"/>
        <v>0</v>
      </c>
      <c r="AS59" s="663">
        <f t="shared" ca="1" si="115"/>
        <v>1480.2</v>
      </c>
      <c r="AT59" s="663">
        <f t="shared" ca="1" si="116"/>
        <v>592.1</v>
      </c>
      <c r="AU59" s="663">
        <f t="shared" ca="1" si="117"/>
        <v>0</v>
      </c>
      <c r="AV59" s="663">
        <f t="shared" ca="1" si="118"/>
        <v>0</v>
      </c>
      <c r="AW59" s="663">
        <f t="shared" ca="1" si="119"/>
        <v>0</v>
      </c>
      <c r="AX59" s="663">
        <f t="shared" ca="1" si="120"/>
        <v>0</v>
      </c>
      <c r="AY59" s="663">
        <f t="shared" ca="1" si="121"/>
        <v>0</v>
      </c>
      <c r="AZ59" s="663">
        <f t="shared" ca="1" si="122"/>
        <v>0</v>
      </c>
      <c r="BA59" s="663">
        <f t="shared" ca="1" si="123"/>
        <v>0</v>
      </c>
      <c r="BB59" s="663">
        <f t="shared" ca="1" si="124"/>
        <v>0</v>
      </c>
      <c r="BC59" s="663">
        <f t="shared" ca="1" si="125"/>
        <v>0</v>
      </c>
      <c r="BD59" s="663">
        <f t="shared" ca="1" si="126"/>
        <v>0</v>
      </c>
      <c r="BE59" s="663">
        <f t="shared" ca="1" si="127"/>
        <v>0</v>
      </c>
      <c r="BF59" s="663">
        <f t="shared" ca="1" si="128"/>
        <v>0</v>
      </c>
      <c r="BG59" s="663">
        <f t="shared" ca="1" si="129"/>
        <v>0</v>
      </c>
      <c r="BH59" s="663">
        <f t="shared" ca="1" si="130"/>
        <v>0</v>
      </c>
      <c r="BI59" s="663">
        <f t="shared" ca="1" si="131"/>
        <v>0</v>
      </c>
      <c r="BJ59" s="663">
        <f t="shared" ca="1" si="132"/>
        <v>2056.8000000000002</v>
      </c>
      <c r="BK59" s="663">
        <f t="shared" ca="1" si="133"/>
        <v>0</v>
      </c>
      <c r="BL59" s="1918"/>
      <c r="BM59" s="1532"/>
      <c r="BN59" s="1919"/>
      <c r="BO59" s="600"/>
      <c r="BP59" s="601"/>
      <c r="BS59" s="603"/>
      <c r="BT59" s="602"/>
      <c r="BU59" s="602"/>
      <c r="BV59" s="602"/>
      <c r="BW59" s="604"/>
      <c r="BX59" s="605"/>
      <c r="BY59" s="602"/>
      <c r="BZ59" s="602"/>
      <c r="CB59" s="607"/>
      <c r="CC59" s="608"/>
      <c r="CD59" s="608"/>
      <c r="CE59" s="608"/>
      <c r="CF59" s="600"/>
    </row>
    <row r="60" spans="1:84" ht="12" customHeight="1" x14ac:dyDescent="0.35">
      <c r="B60" s="590">
        <f>MATCH(C60,'360SpcLdsCSV'!$C$6:$C$500,0)</f>
        <v>4</v>
      </c>
      <c r="C60" s="590" t="str">
        <f>'360SpcLdsCSV'!C9</f>
        <v>L01-102_LbbyRaccVrfsHrv1</v>
      </c>
      <c r="D60" s="590" t="str">
        <f t="shared" si="134"/>
        <v>L01</v>
      </c>
      <c r="E60" s="590" t="str">
        <f t="shared" si="135"/>
        <v>Lbby</v>
      </c>
      <c r="F60" s="590" t="str">
        <f t="shared" si="136"/>
        <v>Racc</v>
      </c>
      <c r="G60" s="590" t="str">
        <f t="shared" si="137"/>
        <v>Hrv1</v>
      </c>
      <c r="H60" s="590" t="str">
        <f ca="1">OFFSET('360SpcLdsCSV'!$B$5,$B60,H$51)</f>
        <v>Level 1</v>
      </c>
      <c r="I60" s="590" t="str">
        <f ca="1">OFFSET('360SpcLdsCSV'!$B$5,$B60,I$51)</f>
        <v>DirectlyConditioned</v>
      </c>
      <c r="J60" s="590" t="str">
        <f ca="1">OFFSET('360SpcLdsCSV'!$B$5,$B60,J$51)</f>
        <v>Lobby - All other</v>
      </c>
      <c r="K60" s="590" t="str">
        <f ca="1">OFFSET('360SpcLdsCSV'!$B$5,$B60,K$51)</f>
        <v>Nonresidential</v>
      </c>
      <c r="L60" s="590" t="str">
        <f ca="1">OFFSET('360SpcLdsCSV'!$B$5,$B60,L$51)</f>
        <v>Thermal Zone: L01-102_LbbyRaccVrfsHrv1</v>
      </c>
      <c r="M60" s="592">
        <f ca="1">OFFSET('360SpcLdsCSV'!$B$5,$B60,M$51)</f>
        <v>1350.7968000000001</v>
      </c>
      <c r="N60" s="592">
        <f ca="1">OFFSET('360SpcLdsCSV'!$B$5,$B60,N$51)</f>
        <v>21612.7</v>
      </c>
      <c r="O60" s="592">
        <f ca="1">OFFSET('360SpcLdsCSV'!$B$5,$B60,O$51)</f>
        <v>0</v>
      </c>
      <c r="P60" s="592">
        <f ca="1">OFFSET('360SpcLdsCSV'!$B$5,$B60,P$51)</f>
        <v>0</v>
      </c>
      <c r="Q60" s="592">
        <f ca="1">OFFSET('360SpcLdsCSV'!$B$5,$B60,Q$51)</f>
        <v>1474.9</v>
      </c>
      <c r="R60" s="592">
        <f ca="1">OFFSET('360SpcLdsCSV'!$B$5,$B60,R$51)</f>
        <v>590</v>
      </c>
      <c r="S60" s="592">
        <f ca="1">OFFSET('360SpcLdsCSV'!$B$5,$B60,S$51)</f>
        <v>0</v>
      </c>
      <c r="T60" s="592">
        <f ca="1">OFFSET('360SpcLdsCSV'!$B$5,$B60,T$51)</f>
        <v>0</v>
      </c>
      <c r="U60" s="592">
        <f ca="1">OFFSET('360SpcLdsCSV'!$B$5,$B60,U$51)</f>
        <v>0</v>
      </c>
      <c r="V60" s="592">
        <f ca="1">OFFSET('360SpcLdsCSV'!$B$5,$B60,V$51)</f>
        <v>0</v>
      </c>
      <c r="W60" s="592">
        <f ca="1">OFFSET('360SpcLdsCSV'!$B$5,$B60,W$51)</f>
        <v>56.3</v>
      </c>
      <c r="X60" s="592">
        <f ca="1">OFFSET('360SpcLdsCSV'!$B$5,$B60,X$51)</f>
        <v>0</v>
      </c>
      <c r="Y60" s="592">
        <f ca="1">OFFSET('360SpcLdsCSV'!$B$5,$B60,Y$51)</f>
        <v>0</v>
      </c>
      <c r="Z60" s="592">
        <f ca="1">OFFSET('360SpcLdsCSV'!$B$5,$B60,Z$51)</f>
        <v>0</v>
      </c>
      <c r="AA60" s="592">
        <f ca="1">OFFSET('360SpcLdsCSV'!$B$5,$B60,AA$51)</f>
        <v>0</v>
      </c>
      <c r="AB60" s="592">
        <f ca="1">OFFSET('360SpcLdsCSV'!$B$5,$B60,AB$51)</f>
        <v>0</v>
      </c>
      <c r="AC60" s="592">
        <f ca="1">OFFSET('360SpcLdsCSV'!$B$5,$B60,AC$51)</f>
        <v>0</v>
      </c>
      <c r="AD60" s="592">
        <f ca="1">OFFSET('360SpcLdsCSV'!$B$5,$B60,AD$51)</f>
        <v>0</v>
      </c>
      <c r="AE60" s="592">
        <f ca="1">OFFSET('360SpcLdsCSV'!$B$5,$B60,AE$51)</f>
        <v>0</v>
      </c>
      <c r="AF60" s="592">
        <f ca="1">OFFSET('360SpcLdsCSV'!$B$5,$B60,AF$51)</f>
        <v>0</v>
      </c>
      <c r="AG60" s="592">
        <f ca="1">OFFSET('360SpcLdsCSV'!$B$5,$B60,AG$51)</f>
        <v>0</v>
      </c>
      <c r="AH60" s="592">
        <f ca="1">OFFSET('360SpcLdsCSV'!$B$5,$B60,AH$51)</f>
        <v>1350.8</v>
      </c>
      <c r="AI60" s="592">
        <f ca="1">OFFSET('360SpcLdsCSV'!$B$5,$B60,AI$51)</f>
        <v>0</v>
      </c>
      <c r="AJ60" s="592" cm="1">
        <f t="array" ref="AJ60">_xlfn.IFS($F60="Resi",1,$F60="Racc",0,$F60="Coml",0,$F60="Prkg",0)</f>
        <v>0</v>
      </c>
      <c r="AL60" s="590">
        <f ca="1">OFFSET('360SpcLdsCSV'!$B$5,$B60,AL$51)</f>
        <v>1</v>
      </c>
      <c r="AM60" s="663">
        <f t="shared" ca="1" si="110"/>
        <v>1</v>
      </c>
      <c r="AN60" s="663">
        <f t="shared" ca="1" si="111"/>
        <v>0</v>
      </c>
      <c r="AO60" s="663">
        <f t="shared" ca="1" si="138"/>
        <v>1350.7968000000001</v>
      </c>
      <c r="AP60" s="663">
        <f t="shared" ca="1" si="112"/>
        <v>21612.7</v>
      </c>
      <c r="AQ60" s="663">
        <f t="shared" ca="1" si="113"/>
        <v>0</v>
      </c>
      <c r="AR60" s="663">
        <f t="shared" ca="1" si="114"/>
        <v>0</v>
      </c>
      <c r="AS60" s="663">
        <f t="shared" ca="1" si="115"/>
        <v>1474.9</v>
      </c>
      <c r="AT60" s="663">
        <f t="shared" ca="1" si="116"/>
        <v>590</v>
      </c>
      <c r="AU60" s="663">
        <f t="shared" ca="1" si="117"/>
        <v>0</v>
      </c>
      <c r="AV60" s="663">
        <f t="shared" ca="1" si="118"/>
        <v>0</v>
      </c>
      <c r="AW60" s="663">
        <f t="shared" ca="1" si="119"/>
        <v>0</v>
      </c>
      <c r="AX60" s="663">
        <f t="shared" ca="1" si="120"/>
        <v>0</v>
      </c>
      <c r="AY60" s="663">
        <f t="shared" ca="1" si="121"/>
        <v>56.3</v>
      </c>
      <c r="AZ60" s="663">
        <f t="shared" ca="1" si="122"/>
        <v>0</v>
      </c>
      <c r="BA60" s="663">
        <f t="shared" ca="1" si="123"/>
        <v>0</v>
      </c>
      <c r="BB60" s="663">
        <f t="shared" ca="1" si="124"/>
        <v>0</v>
      </c>
      <c r="BC60" s="663">
        <f t="shared" ca="1" si="125"/>
        <v>0</v>
      </c>
      <c r="BD60" s="663">
        <f t="shared" ca="1" si="126"/>
        <v>0</v>
      </c>
      <c r="BE60" s="663">
        <f t="shared" ca="1" si="127"/>
        <v>0</v>
      </c>
      <c r="BF60" s="663">
        <f t="shared" ca="1" si="128"/>
        <v>0</v>
      </c>
      <c r="BG60" s="663">
        <f t="shared" ca="1" si="129"/>
        <v>0</v>
      </c>
      <c r="BH60" s="663">
        <f t="shared" ca="1" si="130"/>
        <v>0</v>
      </c>
      <c r="BI60" s="663">
        <f t="shared" ca="1" si="131"/>
        <v>0</v>
      </c>
      <c r="BJ60" s="663">
        <f t="shared" ca="1" si="132"/>
        <v>1350.8</v>
      </c>
      <c r="BK60" s="663">
        <f t="shared" ca="1" si="133"/>
        <v>0</v>
      </c>
      <c r="BL60" s="1918"/>
      <c r="BM60" s="1532"/>
      <c r="BN60" s="1919"/>
      <c r="BO60" s="600"/>
      <c r="BP60" s="601"/>
      <c r="BS60" s="603"/>
      <c r="BT60" s="602"/>
      <c r="BU60" s="602"/>
      <c r="BV60" s="602"/>
      <c r="BW60" s="604"/>
      <c r="BX60" s="605"/>
      <c r="BY60" s="602"/>
      <c r="BZ60" s="602"/>
      <c r="CB60" s="607"/>
      <c r="CC60" s="608"/>
      <c r="CD60" s="608"/>
      <c r="CE60" s="608"/>
      <c r="CF60" s="600"/>
    </row>
    <row r="61" spans="1:84" ht="12" customHeight="1" x14ac:dyDescent="0.35">
      <c r="B61" s="590">
        <f>MATCH(C61,'360SpcLdsCSV'!$C$6:$C$500,0)</f>
        <v>5</v>
      </c>
      <c r="C61" s="590" t="str">
        <f>'360SpcLdsCSV'!C10</f>
        <v>L01-103_CorrRaccBbrdHrv1</v>
      </c>
      <c r="D61" s="590" t="str">
        <f t="shared" si="134"/>
        <v>L01</v>
      </c>
      <c r="E61" s="590" t="str">
        <f t="shared" si="135"/>
        <v>Corr</v>
      </c>
      <c r="F61" s="590" t="str">
        <f t="shared" si="136"/>
        <v>Racc</v>
      </c>
      <c r="G61" s="590" t="str">
        <f t="shared" si="137"/>
        <v>Hrv1</v>
      </c>
      <c r="H61" s="590" t="str">
        <f ca="1">OFFSET('360SpcLdsCSV'!$B$5,$B61,H$51)</f>
        <v>Level 1</v>
      </c>
      <c r="I61" s="590" t="str">
        <f ca="1">OFFSET('360SpcLdsCSV'!$B$5,$B61,I$51)</f>
        <v>DirectlyConditioned</v>
      </c>
      <c r="J61" s="590" t="str">
        <f ca="1">OFFSET('360SpcLdsCSV'!$B$5,$B61,J$51)</f>
        <v>Corridor - All other</v>
      </c>
      <c r="K61" s="590" t="str">
        <f ca="1">OFFSET('360SpcLdsCSV'!$B$5,$B61,K$51)</f>
        <v>Nonresidential</v>
      </c>
      <c r="L61" s="590" t="str">
        <f ca="1">OFFSET('360SpcLdsCSV'!$B$5,$B61,L$51)</f>
        <v>Thermal Zone: L01-103_CorrRaccBbrdHrv1</v>
      </c>
      <c r="M61" s="592">
        <f ca="1">OFFSET('360SpcLdsCSV'!$B$5,$B61,M$51)</f>
        <v>337.37290000000002</v>
      </c>
      <c r="N61" s="592">
        <f ca="1">OFFSET('360SpcLdsCSV'!$B$5,$B61,N$51)</f>
        <v>5397.97</v>
      </c>
      <c r="O61" s="592">
        <f ca="1">OFFSET('360SpcLdsCSV'!$B$5,$B61,O$51)</f>
        <v>0</v>
      </c>
      <c r="P61" s="592">
        <f ca="1">OFFSET('360SpcLdsCSV'!$B$5,$B61,P$51)</f>
        <v>0</v>
      </c>
      <c r="Q61" s="592">
        <f ca="1">OFFSET('360SpcLdsCSV'!$B$5,$B61,Q$51)</f>
        <v>121.1</v>
      </c>
      <c r="R61" s="592">
        <f ca="1">OFFSET('360SpcLdsCSV'!$B$5,$B61,R$51)</f>
        <v>48.4</v>
      </c>
      <c r="S61" s="592">
        <f ca="1">OFFSET('360SpcLdsCSV'!$B$5,$B61,S$51)</f>
        <v>0</v>
      </c>
      <c r="T61" s="592">
        <f ca="1">OFFSET('360SpcLdsCSV'!$B$5,$B61,T$51)</f>
        <v>0</v>
      </c>
      <c r="U61" s="592">
        <f ca="1">OFFSET('360SpcLdsCSV'!$B$5,$B61,U$51)</f>
        <v>0</v>
      </c>
      <c r="V61" s="592">
        <f ca="1">OFFSET('360SpcLdsCSV'!$B$5,$B61,V$51)</f>
        <v>0</v>
      </c>
      <c r="W61" s="592">
        <f ca="1">OFFSET('360SpcLdsCSV'!$B$5,$B61,W$51)</f>
        <v>0</v>
      </c>
      <c r="X61" s="592">
        <f ca="1">OFFSET('360SpcLdsCSV'!$B$5,$B61,X$51)</f>
        <v>0</v>
      </c>
      <c r="Y61" s="592">
        <f ca="1">OFFSET('360SpcLdsCSV'!$B$5,$B61,Y$51)</f>
        <v>0</v>
      </c>
      <c r="Z61" s="592">
        <f ca="1">OFFSET('360SpcLdsCSV'!$B$5,$B61,Z$51)</f>
        <v>0</v>
      </c>
      <c r="AA61" s="592">
        <f ca="1">OFFSET('360SpcLdsCSV'!$B$5,$B61,AA$51)</f>
        <v>0</v>
      </c>
      <c r="AB61" s="592">
        <f ca="1">OFFSET('360SpcLdsCSV'!$B$5,$B61,AB$51)</f>
        <v>0</v>
      </c>
      <c r="AC61" s="592">
        <f ca="1">OFFSET('360SpcLdsCSV'!$B$5,$B61,AC$51)</f>
        <v>0</v>
      </c>
      <c r="AD61" s="592">
        <f ca="1">OFFSET('360SpcLdsCSV'!$B$5,$B61,AD$51)</f>
        <v>0</v>
      </c>
      <c r="AE61" s="592">
        <f ca="1">OFFSET('360SpcLdsCSV'!$B$5,$B61,AE$51)</f>
        <v>0</v>
      </c>
      <c r="AF61" s="592">
        <f ca="1">OFFSET('360SpcLdsCSV'!$B$5,$B61,AF$51)</f>
        <v>0</v>
      </c>
      <c r="AG61" s="592">
        <f ca="1">OFFSET('360SpcLdsCSV'!$B$5,$B61,AG$51)</f>
        <v>0</v>
      </c>
      <c r="AH61" s="592">
        <f ca="1">OFFSET('360SpcLdsCSV'!$B$5,$B61,AH$51)</f>
        <v>337.4</v>
      </c>
      <c r="AI61" s="592">
        <f ca="1">OFFSET('360SpcLdsCSV'!$B$5,$B61,AI$51)</f>
        <v>0</v>
      </c>
      <c r="AJ61" s="592" cm="1">
        <f t="array" ref="AJ61">_xlfn.IFS($F61="Resi",1,$F61="Racc",0,$F61="Coml",0,$F61="Prkg",0)</f>
        <v>0</v>
      </c>
      <c r="AL61" s="590">
        <f ca="1">OFFSET('360SpcLdsCSV'!$B$5,$B61,AL$51)</f>
        <v>1</v>
      </c>
      <c r="AM61" s="663">
        <f t="shared" ca="1" si="110"/>
        <v>1</v>
      </c>
      <c r="AN61" s="663">
        <f t="shared" ca="1" si="111"/>
        <v>0</v>
      </c>
      <c r="AO61" s="663">
        <f t="shared" ca="1" si="138"/>
        <v>337.37290000000002</v>
      </c>
      <c r="AP61" s="663">
        <f t="shared" ca="1" si="112"/>
        <v>5397.97</v>
      </c>
      <c r="AQ61" s="663">
        <f t="shared" ca="1" si="113"/>
        <v>0</v>
      </c>
      <c r="AR61" s="663">
        <f t="shared" ca="1" si="114"/>
        <v>0</v>
      </c>
      <c r="AS61" s="663">
        <f t="shared" ca="1" si="115"/>
        <v>121.1</v>
      </c>
      <c r="AT61" s="663">
        <f t="shared" ca="1" si="116"/>
        <v>48.4</v>
      </c>
      <c r="AU61" s="663">
        <f t="shared" ca="1" si="117"/>
        <v>0</v>
      </c>
      <c r="AV61" s="663">
        <f t="shared" ca="1" si="118"/>
        <v>0</v>
      </c>
      <c r="AW61" s="663">
        <f t="shared" ca="1" si="119"/>
        <v>0</v>
      </c>
      <c r="AX61" s="663">
        <f t="shared" ca="1" si="120"/>
        <v>0</v>
      </c>
      <c r="AY61" s="663">
        <f t="shared" ca="1" si="121"/>
        <v>0</v>
      </c>
      <c r="AZ61" s="663">
        <f t="shared" ca="1" si="122"/>
        <v>0</v>
      </c>
      <c r="BA61" s="663">
        <f t="shared" ca="1" si="123"/>
        <v>0</v>
      </c>
      <c r="BB61" s="663">
        <f t="shared" ca="1" si="124"/>
        <v>0</v>
      </c>
      <c r="BC61" s="663">
        <f t="shared" ca="1" si="125"/>
        <v>0</v>
      </c>
      <c r="BD61" s="663">
        <f t="shared" ca="1" si="126"/>
        <v>0</v>
      </c>
      <c r="BE61" s="663">
        <f t="shared" ca="1" si="127"/>
        <v>0</v>
      </c>
      <c r="BF61" s="663">
        <f t="shared" ca="1" si="128"/>
        <v>0</v>
      </c>
      <c r="BG61" s="663">
        <f t="shared" ca="1" si="129"/>
        <v>0</v>
      </c>
      <c r="BH61" s="663">
        <f t="shared" ca="1" si="130"/>
        <v>0</v>
      </c>
      <c r="BI61" s="663">
        <f t="shared" ca="1" si="131"/>
        <v>0</v>
      </c>
      <c r="BJ61" s="663">
        <f t="shared" ca="1" si="132"/>
        <v>337.4</v>
      </c>
      <c r="BK61" s="663">
        <f t="shared" ca="1" si="133"/>
        <v>0</v>
      </c>
      <c r="BL61" s="1918"/>
      <c r="BM61" s="1532"/>
      <c r="BN61" s="1919"/>
      <c r="BO61" s="600"/>
      <c r="BP61" s="601"/>
      <c r="BS61" s="603"/>
      <c r="BT61" s="602"/>
      <c r="BU61" s="602"/>
      <c r="BV61" s="602"/>
      <c r="BW61" s="604"/>
      <c r="BX61" s="605"/>
      <c r="BY61" s="602"/>
      <c r="BZ61" s="602"/>
      <c r="CB61" s="607"/>
      <c r="CC61" s="608"/>
      <c r="CD61" s="608"/>
      <c r="CE61" s="608"/>
      <c r="CF61" s="600"/>
    </row>
    <row r="62" spans="1:84" ht="12" customHeight="1" x14ac:dyDescent="0.35">
      <c r="B62" s="590">
        <f>MATCH(C62,'360SpcLdsCSV'!$C$6:$C$500,0)</f>
        <v>6</v>
      </c>
      <c r="C62" s="590" t="str">
        <f>'360SpcLdsCSV'!C11</f>
        <v>L01-104_ElevRaccIncd</v>
      </c>
      <c r="D62" s="590" t="str">
        <f t="shared" si="134"/>
        <v>L01</v>
      </c>
      <c r="E62" s="590" t="str">
        <f t="shared" si="135"/>
        <v>Elev</v>
      </c>
      <c r="F62" s="590" t="str">
        <f t="shared" si="136"/>
        <v>Racc</v>
      </c>
      <c r="G62" s="590" t="str">
        <f t="shared" si="137"/>
        <v>Incd</v>
      </c>
      <c r="H62" s="590" t="str">
        <f ca="1">OFFSET('360SpcLdsCSV'!$B$5,$B62,H$51)</f>
        <v>Level 1</v>
      </c>
      <c r="I62" s="590" t="str">
        <f ca="1">OFFSET('360SpcLdsCSV'!$B$5,$B62,I$51)</f>
        <v>IndirectlyConditioned</v>
      </c>
      <c r="J62" s="590" t="str">
        <f ca="1">OFFSET('360SpcLdsCSV'!$B$5,$B62,J$51)</f>
        <v>Unoccupied-Include in Gross Floor Area</v>
      </c>
      <c r="K62" s="590" t="str">
        <f ca="1">OFFSET('360SpcLdsCSV'!$B$5,$B62,K$51)</f>
        <v>Nonresidential</v>
      </c>
      <c r="L62" s="590" t="str">
        <f ca="1">OFFSET('360SpcLdsCSV'!$B$5,$B62,L$51)</f>
        <v>Thermal Zone: L01-102_LbbyRaccVrfsHrv1</v>
      </c>
      <c r="M62" s="592">
        <f ca="1">OFFSET('360SpcLdsCSV'!$B$5,$B62,M$51)</f>
        <v>211.21340000000001</v>
      </c>
      <c r="N62" s="592">
        <f ca="1">OFFSET('360SpcLdsCSV'!$B$5,$B62,N$51)</f>
        <v>3379.41</v>
      </c>
      <c r="O62" s="592">
        <f ca="1">OFFSET('360SpcLdsCSV'!$B$5,$B62,O$51)</f>
        <v>0</v>
      </c>
      <c r="P62" s="592">
        <f ca="1">OFFSET('360SpcLdsCSV'!$B$5,$B62,P$51)</f>
        <v>0</v>
      </c>
      <c r="Q62" s="592">
        <f ca="1">OFFSET('360SpcLdsCSV'!$B$5,$B62,Q$51)</f>
        <v>0</v>
      </c>
      <c r="R62" s="592">
        <f ca="1">OFFSET('360SpcLdsCSV'!$B$5,$B62,R$51)</f>
        <v>0</v>
      </c>
      <c r="S62" s="592">
        <f ca="1">OFFSET('360SpcLdsCSV'!$B$5,$B62,S$51)</f>
        <v>0</v>
      </c>
      <c r="T62" s="592">
        <f ca="1">OFFSET('360SpcLdsCSV'!$B$5,$B62,T$51)</f>
        <v>0</v>
      </c>
      <c r="U62" s="592">
        <f ca="1">OFFSET('360SpcLdsCSV'!$B$5,$B62,U$51)</f>
        <v>0</v>
      </c>
      <c r="V62" s="592">
        <f ca="1">OFFSET('360SpcLdsCSV'!$B$5,$B62,V$51)</f>
        <v>0</v>
      </c>
      <c r="W62" s="592">
        <f ca="1">OFFSET('360SpcLdsCSV'!$B$5,$B62,W$51)</f>
        <v>0</v>
      </c>
      <c r="X62" s="592">
        <f ca="1">OFFSET('360SpcLdsCSV'!$B$5,$B62,X$51)</f>
        <v>0</v>
      </c>
      <c r="Y62" s="592">
        <f ca="1">OFFSET('360SpcLdsCSV'!$B$5,$B62,Y$51)</f>
        <v>0</v>
      </c>
      <c r="Z62" s="592">
        <f ca="1">OFFSET('360SpcLdsCSV'!$B$5,$B62,Z$51)</f>
        <v>0</v>
      </c>
      <c r="AA62" s="592">
        <f ca="1">OFFSET('360SpcLdsCSV'!$B$5,$B62,AA$51)</f>
        <v>0</v>
      </c>
      <c r="AB62" s="592">
        <f ca="1">OFFSET('360SpcLdsCSV'!$B$5,$B62,AB$51)</f>
        <v>0</v>
      </c>
      <c r="AC62" s="592">
        <f ca="1">OFFSET('360SpcLdsCSV'!$B$5,$B62,AC$51)</f>
        <v>0</v>
      </c>
      <c r="AD62" s="592">
        <f ca="1">OFFSET('360SpcLdsCSV'!$B$5,$B62,AD$51)</f>
        <v>0</v>
      </c>
      <c r="AE62" s="592">
        <f ca="1">OFFSET('360SpcLdsCSV'!$B$5,$B62,AE$51)</f>
        <v>0</v>
      </c>
      <c r="AF62" s="592">
        <f ca="1">OFFSET('360SpcLdsCSV'!$B$5,$B62,AF$51)</f>
        <v>0</v>
      </c>
      <c r="AG62" s="592">
        <f ca="1">OFFSET('360SpcLdsCSV'!$B$5,$B62,AG$51)</f>
        <v>0</v>
      </c>
      <c r="AH62" s="592">
        <f ca="1">OFFSET('360SpcLdsCSV'!$B$5,$B62,AH$51)</f>
        <v>211.2</v>
      </c>
      <c r="AI62" s="592">
        <f ca="1">OFFSET('360SpcLdsCSV'!$B$5,$B62,AI$51)</f>
        <v>0</v>
      </c>
      <c r="AJ62" s="592" cm="1">
        <f t="array" ref="AJ62">_xlfn.IFS($F62="Resi",1,$F62="Racc",0,$F62="Coml",0,$F62="Prkg",0)</f>
        <v>0</v>
      </c>
      <c r="AL62" s="590">
        <f ca="1">OFFSET('360SpcLdsCSV'!$B$5,$B62,AL$51)</f>
        <v>1</v>
      </c>
      <c r="AM62" s="663">
        <f t="shared" ca="1" si="110"/>
        <v>1</v>
      </c>
      <c r="AN62" s="663">
        <f t="shared" ca="1" si="111"/>
        <v>0</v>
      </c>
      <c r="AO62" s="663">
        <f t="shared" ca="1" si="138"/>
        <v>211.21340000000001</v>
      </c>
      <c r="AP62" s="663">
        <f t="shared" ca="1" si="112"/>
        <v>3379.41</v>
      </c>
      <c r="AQ62" s="663">
        <f t="shared" ca="1" si="113"/>
        <v>0</v>
      </c>
      <c r="AR62" s="663">
        <f t="shared" ca="1" si="114"/>
        <v>0</v>
      </c>
      <c r="AS62" s="663">
        <f t="shared" ca="1" si="115"/>
        <v>0</v>
      </c>
      <c r="AT62" s="663">
        <f t="shared" ca="1" si="116"/>
        <v>0</v>
      </c>
      <c r="AU62" s="663">
        <f t="shared" ca="1" si="117"/>
        <v>0</v>
      </c>
      <c r="AV62" s="663">
        <f t="shared" ca="1" si="118"/>
        <v>0</v>
      </c>
      <c r="AW62" s="663">
        <f t="shared" ca="1" si="119"/>
        <v>0</v>
      </c>
      <c r="AX62" s="663">
        <f t="shared" ca="1" si="120"/>
        <v>0</v>
      </c>
      <c r="AY62" s="663">
        <f t="shared" ca="1" si="121"/>
        <v>0</v>
      </c>
      <c r="AZ62" s="663">
        <f t="shared" ca="1" si="122"/>
        <v>0</v>
      </c>
      <c r="BA62" s="663">
        <f t="shared" ca="1" si="123"/>
        <v>0</v>
      </c>
      <c r="BB62" s="663">
        <f t="shared" ca="1" si="124"/>
        <v>0</v>
      </c>
      <c r="BC62" s="663">
        <f t="shared" ca="1" si="125"/>
        <v>0</v>
      </c>
      <c r="BD62" s="663">
        <f t="shared" ca="1" si="126"/>
        <v>0</v>
      </c>
      <c r="BE62" s="663">
        <f t="shared" ca="1" si="127"/>
        <v>0</v>
      </c>
      <c r="BF62" s="663">
        <f t="shared" ca="1" si="128"/>
        <v>0</v>
      </c>
      <c r="BG62" s="663">
        <f t="shared" ca="1" si="129"/>
        <v>0</v>
      </c>
      <c r="BH62" s="663">
        <f t="shared" ca="1" si="130"/>
        <v>0</v>
      </c>
      <c r="BI62" s="663">
        <f t="shared" ca="1" si="131"/>
        <v>0</v>
      </c>
      <c r="BJ62" s="663">
        <f t="shared" ca="1" si="132"/>
        <v>211.2</v>
      </c>
      <c r="BK62" s="663">
        <f t="shared" ca="1" si="133"/>
        <v>0</v>
      </c>
      <c r="BL62" s="1918"/>
      <c r="BM62" s="1532"/>
      <c r="BN62" s="1919"/>
      <c r="BO62" s="600"/>
      <c r="BP62" s="601"/>
      <c r="BS62" s="603"/>
      <c r="BT62" s="602"/>
      <c r="BU62" s="602"/>
      <c r="BV62" s="602"/>
      <c r="BW62" s="604"/>
      <c r="BX62" s="605"/>
      <c r="BY62" s="602"/>
      <c r="BZ62" s="602"/>
      <c r="CB62" s="607"/>
      <c r="CC62" s="608"/>
      <c r="CD62" s="608"/>
      <c r="CE62" s="608"/>
      <c r="CF62" s="600"/>
    </row>
    <row r="63" spans="1:84" ht="12" customHeight="1" x14ac:dyDescent="0.35">
      <c r="B63" s="590">
        <f>MATCH(C63,'360SpcLdsCSV'!$C$6:$C$500,0)</f>
        <v>7</v>
      </c>
      <c r="C63" s="590" t="str">
        <f>'360SpcLdsCSV'!C12</f>
        <v>L01-105_StrsRaccIncd</v>
      </c>
      <c r="D63" s="590" t="str">
        <f t="shared" si="134"/>
        <v>L01</v>
      </c>
      <c r="E63" s="590" t="str">
        <f t="shared" si="135"/>
        <v>Strs</v>
      </c>
      <c r="F63" s="590" t="str">
        <f t="shared" si="136"/>
        <v>Racc</v>
      </c>
      <c r="G63" s="590" t="str">
        <f t="shared" si="137"/>
        <v>Incd</v>
      </c>
      <c r="H63" s="590" t="str">
        <f ca="1">OFFSET('360SpcLdsCSV'!$B$5,$B63,H$51)</f>
        <v>Level 1</v>
      </c>
      <c r="I63" s="590" t="str">
        <f ca="1">OFFSET('360SpcLdsCSV'!$B$5,$B63,I$51)</f>
        <v>IndirectlyConditioned</v>
      </c>
      <c r="J63" s="590" t="str">
        <f ca="1">OFFSET('360SpcLdsCSV'!$B$5,$B63,J$51)</f>
        <v>Stairwell</v>
      </c>
      <c r="K63" s="590" t="str">
        <f ca="1">OFFSET('360SpcLdsCSV'!$B$5,$B63,K$51)</f>
        <v>Nonresidential</v>
      </c>
      <c r="L63" s="590" t="str">
        <f ca="1">OFFSET('360SpcLdsCSV'!$B$5,$B63,L$51)</f>
        <v>Thermal Zone: L01-102_LbbyRaccVrfsHrv1</v>
      </c>
      <c r="M63" s="592">
        <f ca="1">OFFSET('360SpcLdsCSV'!$B$5,$B63,M$51)</f>
        <v>183.64619999999999</v>
      </c>
      <c r="N63" s="592">
        <f ca="1">OFFSET('360SpcLdsCSV'!$B$5,$B63,N$51)</f>
        <v>2938.34</v>
      </c>
      <c r="O63" s="592">
        <f ca="1">OFFSET('360SpcLdsCSV'!$B$5,$B63,O$51)</f>
        <v>0</v>
      </c>
      <c r="P63" s="592">
        <f ca="1">OFFSET('360SpcLdsCSV'!$B$5,$B63,P$51)</f>
        <v>0</v>
      </c>
      <c r="Q63" s="592">
        <f ca="1">OFFSET('360SpcLdsCSV'!$B$5,$B63,Q$51)</f>
        <v>0</v>
      </c>
      <c r="R63" s="592">
        <f ca="1">OFFSET('360SpcLdsCSV'!$B$5,$B63,R$51)</f>
        <v>0</v>
      </c>
      <c r="S63" s="592">
        <f ca="1">OFFSET('360SpcLdsCSV'!$B$5,$B63,S$51)</f>
        <v>0</v>
      </c>
      <c r="T63" s="592">
        <f ca="1">OFFSET('360SpcLdsCSV'!$B$5,$B63,T$51)</f>
        <v>0</v>
      </c>
      <c r="U63" s="592">
        <f ca="1">OFFSET('360SpcLdsCSV'!$B$5,$B63,U$51)</f>
        <v>0</v>
      </c>
      <c r="V63" s="592">
        <f ca="1">OFFSET('360SpcLdsCSV'!$B$5,$B63,V$51)</f>
        <v>0</v>
      </c>
      <c r="W63" s="592">
        <f ca="1">OFFSET('360SpcLdsCSV'!$B$5,$B63,W$51)</f>
        <v>0</v>
      </c>
      <c r="X63" s="592">
        <f ca="1">OFFSET('360SpcLdsCSV'!$B$5,$B63,X$51)</f>
        <v>0</v>
      </c>
      <c r="Y63" s="592">
        <f ca="1">OFFSET('360SpcLdsCSV'!$B$5,$B63,Y$51)</f>
        <v>0</v>
      </c>
      <c r="Z63" s="592">
        <f ca="1">OFFSET('360SpcLdsCSV'!$B$5,$B63,Z$51)</f>
        <v>0</v>
      </c>
      <c r="AA63" s="592">
        <f ca="1">OFFSET('360SpcLdsCSV'!$B$5,$B63,AA$51)</f>
        <v>0</v>
      </c>
      <c r="AB63" s="592">
        <f ca="1">OFFSET('360SpcLdsCSV'!$B$5,$B63,AB$51)</f>
        <v>0</v>
      </c>
      <c r="AC63" s="592">
        <f ca="1">OFFSET('360SpcLdsCSV'!$B$5,$B63,AC$51)</f>
        <v>0</v>
      </c>
      <c r="AD63" s="592">
        <f ca="1">OFFSET('360SpcLdsCSV'!$B$5,$B63,AD$51)</f>
        <v>0</v>
      </c>
      <c r="AE63" s="592">
        <f ca="1">OFFSET('360SpcLdsCSV'!$B$5,$B63,AE$51)</f>
        <v>0</v>
      </c>
      <c r="AF63" s="592">
        <f ca="1">OFFSET('360SpcLdsCSV'!$B$5,$B63,AF$51)</f>
        <v>0</v>
      </c>
      <c r="AG63" s="592">
        <f ca="1">OFFSET('360SpcLdsCSV'!$B$5,$B63,AG$51)</f>
        <v>0</v>
      </c>
      <c r="AH63" s="592">
        <f ca="1">OFFSET('360SpcLdsCSV'!$B$5,$B63,AH$51)</f>
        <v>183.6</v>
      </c>
      <c r="AI63" s="592">
        <f ca="1">OFFSET('360SpcLdsCSV'!$B$5,$B63,AI$51)</f>
        <v>0</v>
      </c>
      <c r="AJ63" s="592" cm="1">
        <f t="array" ref="AJ63">_xlfn.IFS($F63="Resi",1,$F63="Racc",0,$F63="Coml",0,$F63="Prkg",0)</f>
        <v>0</v>
      </c>
      <c r="AK63" s="596"/>
      <c r="AL63" s="590">
        <f ca="1">OFFSET('360SpcLdsCSV'!$B$5,$B63,AL$51)</f>
        <v>1</v>
      </c>
      <c r="AM63" s="663">
        <f t="shared" ca="1" si="110"/>
        <v>1</v>
      </c>
      <c r="AN63" s="663">
        <f t="shared" ca="1" si="111"/>
        <v>0</v>
      </c>
      <c r="AO63" s="663">
        <f t="shared" ca="1" si="138"/>
        <v>183.64619999999999</v>
      </c>
      <c r="AP63" s="663">
        <f t="shared" ca="1" si="112"/>
        <v>2938.34</v>
      </c>
      <c r="AQ63" s="663">
        <f t="shared" ca="1" si="113"/>
        <v>0</v>
      </c>
      <c r="AR63" s="663">
        <f t="shared" ca="1" si="114"/>
        <v>0</v>
      </c>
      <c r="AS63" s="663">
        <f t="shared" ca="1" si="115"/>
        <v>0</v>
      </c>
      <c r="AT63" s="663">
        <f t="shared" ca="1" si="116"/>
        <v>0</v>
      </c>
      <c r="AU63" s="663">
        <f t="shared" ca="1" si="117"/>
        <v>0</v>
      </c>
      <c r="AV63" s="663">
        <f t="shared" ca="1" si="118"/>
        <v>0</v>
      </c>
      <c r="AW63" s="663">
        <f t="shared" ca="1" si="119"/>
        <v>0</v>
      </c>
      <c r="AX63" s="663">
        <f t="shared" ca="1" si="120"/>
        <v>0</v>
      </c>
      <c r="AY63" s="663">
        <f t="shared" ca="1" si="121"/>
        <v>0</v>
      </c>
      <c r="AZ63" s="663">
        <f t="shared" ca="1" si="122"/>
        <v>0</v>
      </c>
      <c r="BA63" s="663">
        <f t="shared" ca="1" si="123"/>
        <v>0</v>
      </c>
      <c r="BB63" s="663">
        <f t="shared" ca="1" si="124"/>
        <v>0</v>
      </c>
      <c r="BC63" s="663">
        <f t="shared" ca="1" si="125"/>
        <v>0</v>
      </c>
      <c r="BD63" s="663">
        <f t="shared" ca="1" si="126"/>
        <v>0</v>
      </c>
      <c r="BE63" s="663">
        <f t="shared" ca="1" si="127"/>
        <v>0</v>
      </c>
      <c r="BF63" s="663">
        <f t="shared" ca="1" si="128"/>
        <v>0</v>
      </c>
      <c r="BG63" s="663">
        <f t="shared" ca="1" si="129"/>
        <v>0</v>
      </c>
      <c r="BH63" s="663">
        <f t="shared" ca="1" si="130"/>
        <v>0</v>
      </c>
      <c r="BI63" s="663">
        <f t="shared" ca="1" si="131"/>
        <v>0</v>
      </c>
      <c r="BJ63" s="663">
        <f t="shared" ca="1" si="132"/>
        <v>183.6</v>
      </c>
      <c r="BK63" s="663">
        <f t="shared" ca="1" si="133"/>
        <v>0</v>
      </c>
      <c r="BL63" s="1918"/>
      <c r="BM63" s="1532"/>
      <c r="BN63" s="1919"/>
      <c r="BO63" s="600"/>
      <c r="BP63" s="601"/>
      <c r="BS63" s="603"/>
      <c r="BT63" s="602"/>
      <c r="BU63" s="602"/>
      <c r="BV63" s="602"/>
      <c r="BW63" s="604"/>
      <c r="BX63" s="605"/>
      <c r="BY63" s="602"/>
      <c r="BZ63" s="602"/>
      <c r="CB63" s="607"/>
      <c r="CC63" s="608"/>
      <c r="CD63" s="608"/>
      <c r="CE63" s="608"/>
      <c r="CF63" s="600"/>
    </row>
    <row r="64" spans="1:84" ht="12" customHeight="1" x14ac:dyDescent="0.35">
      <c r="B64" s="590">
        <f>MATCH(C64,'360SpcLdsCSV'!$C$6:$C$500,0)</f>
        <v>8</v>
      </c>
      <c r="C64" s="590" t="str">
        <f>'360SpcLdsCSV'!C13</f>
        <v>L01-106_ComlComlSphp</v>
      </c>
      <c r="D64" s="590" t="str">
        <f t="shared" si="134"/>
        <v>L01</v>
      </c>
      <c r="E64" s="590" t="str">
        <f t="shared" si="135"/>
        <v>Coml</v>
      </c>
      <c r="F64" s="590" t="str">
        <f t="shared" si="136"/>
        <v>Coml</v>
      </c>
      <c r="G64" s="590" t="str">
        <f t="shared" si="137"/>
        <v>Sphp</v>
      </c>
      <c r="H64" s="590" t="str">
        <f ca="1">OFFSET('360SpcLdsCSV'!$B$5,$B64,H$51)</f>
        <v>Level 1</v>
      </c>
      <c r="I64" s="590" t="str">
        <f ca="1">OFFSET('360SpcLdsCSV'!$B$5,$B64,I$51)</f>
        <v>DirectlyConditioned</v>
      </c>
      <c r="J64" s="590" t="str">
        <f ca="1">OFFSET('360SpcLdsCSV'!$B$5,$B64,J$51)</f>
        <v>Office - Open plan</v>
      </c>
      <c r="K64" s="590" t="str">
        <f ca="1">OFFSET('360SpcLdsCSV'!$B$5,$B64,K$51)</f>
        <v>Nonresidential</v>
      </c>
      <c r="L64" s="590" t="str">
        <f ca="1">OFFSET('360SpcLdsCSV'!$B$5,$B64,L$51)</f>
        <v>Thermal Zone: L01-106_ComlComlSphp</v>
      </c>
      <c r="M64" s="592">
        <f ca="1">OFFSET('360SpcLdsCSV'!$B$5,$B64,M$51)</f>
        <v>1232.3525</v>
      </c>
      <c r="N64" s="592">
        <f ca="1">OFFSET('360SpcLdsCSV'!$B$5,$B64,N$51)</f>
        <v>19717.599999999999</v>
      </c>
      <c r="O64" s="592">
        <f ca="1">OFFSET('360SpcLdsCSV'!$B$5,$B64,O$51)</f>
        <v>0</v>
      </c>
      <c r="P64" s="592">
        <f ca="1">OFFSET('360SpcLdsCSV'!$B$5,$B64,P$51)</f>
        <v>0</v>
      </c>
      <c r="Q64" s="592">
        <f ca="1">OFFSET('360SpcLdsCSV'!$B$5,$B64,Q$51)</f>
        <v>1225.9000000000001</v>
      </c>
      <c r="R64" s="592">
        <f ca="1">OFFSET('360SpcLdsCSV'!$B$5,$B64,R$51)</f>
        <v>490.4</v>
      </c>
      <c r="S64" s="592">
        <f ca="1">OFFSET('360SpcLdsCSV'!$B$5,$B64,S$51)</f>
        <v>0</v>
      </c>
      <c r="T64" s="592">
        <f ca="1">OFFSET('360SpcLdsCSV'!$B$5,$B64,T$51)</f>
        <v>0</v>
      </c>
      <c r="U64" s="592">
        <f ca="1">OFFSET('360SpcLdsCSV'!$B$5,$B64,U$51)</f>
        <v>0</v>
      </c>
      <c r="V64" s="592">
        <f ca="1">OFFSET('360SpcLdsCSV'!$B$5,$B64,V$51)</f>
        <v>0</v>
      </c>
      <c r="W64" s="592">
        <f ca="1">OFFSET('360SpcLdsCSV'!$B$5,$B64,W$51)</f>
        <v>0</v>
      </c>
      <c r="X64" s="592">
        <f ca="1">OFFSET('360SpcLdsCSV'!$B$5,$B64,X$51)</f>
        <v>0</v>
      </c>
      <c r="Y64" s="592">
        <f ca="1">OFFSET('360SpcLdsCSV'!$B$5,$B64,Y$51)</f>
        <v>0</v>
      </c>
      <c r="Z64" s="592">
        <f ca="1">OFFSET('360SpcLdsCSV'!$B$5,$B64,Z$51)</f>
        <v>0</v>
      </c>
      <c r="AA64" s="592">
        <f ca="1">OFFSET('360SpcLdsCSV'!$B$5,$B64,AA$51)</f>
        <v>0</v>
      </c>
      <c r="AB64" s="592">
        <f ca="1">OFFSET('360SpcLdsCSV'!$B$5,$B64,AB$51)</f>
        <v>0</v>
      </c>
      <c r="AC64" s="592">
        <f ca="1">OFFSET('360SpcLdsCSV'!$B$5,$B64,AC$51)</f>
        <v>0</v>
      </c>
      <c r="AD64" s="592">
        <f ca="1">OFFSET('360SpcLdsCSV'!$B$5,$B64,AD$51)</f>
        <v>0</v>
      </c>
      <c r="AE64" s="592">
        <f ca="1">OFFSET('360SpcLdsCSV'!$B$5,$B64,AE$51)</f>
        <v>0</v>
      </c>
      <c r="AF64" s="592">
        <f ca="1">OFFSET('360SpcLdsCSV'!$B$5,$B64,AF$51)</f>
        <v>0</v>
      </c>
      <c r="AG64" s="592">
        <f ca="1">OFFSET('360SpcLdsCSV'!$B$5,$B64,AG$51)</f>
        <v>0</v>
      </c>
      <c r="AH64" s="592">
        <f ca="1">OFFSET('360SpcLdsCSV'!$B$5,$B64,AH$51)</f>
        <v>1232.4000000000001</v>
      </c>
      <c r="AI64" s="592">
        <f ca="1">OFFSET('360SpcLdsCSV'!$B$5,$B64,AI$51)</f>
        <v>0</v>
      </c>
      <c r="AJ64" s="592" cm="1">
        <f t="array" ref="AJ64">_xlfn.IFS($F64="Resi",1,$F64="Racc",0,$F64="Coml",0,$F64="Prkg",0)</f>
        <v>0</v>
      </c>
      <c r="AK64" s="596"/>
      <c r="AL64" s="590">
        <f ca="1">OFFSET('360SpcLdsCSV'!$B$5,$B64,AL$51)</f>
        <v>1</v>
      </c>
      <c r="AM64" s="663">
        <f t="shared" ca="1" si="110"/>
        <v>1</v>
      </c>
      <c r="AN64" s="663">
        <f t="shared" ca="1" si="111"/>
        <v>0</v>
      </c>
      <c r="AO64" s="663">
        <f t="shared" ca="1" si="138"/>
        <v>1232.3525</v>
      </c>
      <c r="AP64" s="663">
        <f t="shared" ca="1" si="112"/>
        <v>19717.599999999999</v>
      </c>
      <c r="AQ64" s="663">
        <f t="shared" ca="1" si="113"/>
        <v>0</v>
      </c>
      <c r="AR64" s="663">
        <f t="shared" ca="1" si="114"/>
        <v>0</v>
      </c>
      <c r="AS64" s="663">
        <f t="shared" ca="1" si="115"/>
        <v>1225.9000000000001</v>
      </c>
      <c r="AT64" s="663">
        <f t="shared" ca="1" si="116"/>
        <v>490.4</v>
      </c>
      <c r="AU64" s="663">
        <f t="shared" ca="1" si="117"/>
        <v>0</v>
      </c>
      <c r="AV64" s="663">
        <f t="shared" ca="1" si="118"/>
        <v>0</v>
      </c>
      <c r="AW64" s="663">
        <f t="shared" ca="1" si="119"/>
        <v>0</v>
      </c>
      <c r="AX64" s="663">
        <f t="shared" ca="1" si="120"/>
        <v>0</v>
      </c>
      <c r="AY64" s="663">
        <f t="shared" ca="1" si="121"/>
        <v>0</v>
      </c>
      <c r="AZ64" s="663">
        <f t="shared" ca="1" si="122"/>
        <v>0</v>
      </c>
      <c r="BA64" s="663">
        <f t="shared" ca="1" si="123"/>
        <v>0</v>
      </c>
      <c r="BB64" s="663">
        <f t="shared" ca="1" si="124"/>
        <v>0</v>
      </c>
      <c r="BC64" s="663">
        <f t="shared" ca="1" si="125"/>
        <v>0</v>
      </c>
      <c r="BD64" s="663">
        <f t="shared" ca="1" si="126"/>
        <v>0</v>
      </c>
      <c r="BE64" s="663">
        <f t="shared" ca="1" si="127"/>
        <v>0</v>
      </c>
      <c r="BF64" s="663">
        <f t="shared" ca="1" si="128"/>
        <v>0</v>
      </c>
      <c r="BG64" s="663">
        <f t="shared" ca="1" si="129"/>
        <v>0</v>
      </c>
      <c r="BH64" s="663">
        <f t="shared" ca="1" si="130"/>
        <v>0</v>
      </c>
      <c r="BI64" s="663">
        <f t="shared" ca="1" si="131"/>
        <v>0</v>
      </c>
      <c r="BJ64" s="663">
        <f t="shared" ca="1" si="132"/>
        <v>1232.4000000000001</v>
      </c>
      <c r="BK64" s="663">
        <f t="shared" ca="1" si="133"/>
        <v>0</v>
      </c>
      <c r="BL64" s="1918"/>
      <c r="BM64" s="1532"/>
      <c r="BN64" s="1919"/>
      <c r="BO64" s="600"/>
      <c r="BP64" s="601"/>
      <c r="BS64" s="603"/>
      <c r="BT64" s="602"/>
      <c r="BU64" s="602"/>
      <c r="BV64" s="602"/>
      <c r="BW64" s="604"/>
      <c r="BX64" s="605"/>
      <c r="BY64" s="602"/>
      <c r="BZ64" s="602"/>
      <c r="CB64" s="607"/>
      <c r="CC64" s="608"/>
      <c r="CD64" s="608"/>
      <c r="CE64" s="608"/>
      <c r="CF64" s="600"/>
    </row>
    <row r="65" spans="2:84" ht="12" customHeight="1" x14ac:dyDescent="0.35">
      <c r="B65" s="590">
        <f>MATCH(C65,'360SpcLdsCSV'!$C$6:$C$500,0)</f>
        <v>9</v>
      </c>
      <c r="C65" s="590" t="str">
        <f>'360SpcLdsCSV'!C14</f>
        <v>L01-107_ComlComlSphp</v>
      </c>
      <c r="D65" s="590" t="str">
        <f t="shared" si="134"/>
        <v>L01</v>
      </c>
      <c r="E65" s="590" t="str">
        <f t="shared" si="135"/>
        <v>Coml</v>
      </c>
      <c r="F65" s="590" t="str">
        <f t="shared" si="136"/>
        <v>Coml</v>
      </c>
      <c r="G65" s="590" t="str">
        <f t="shared" si="137"/>
        <v>Sphp</v>
      </c>
      <c r="H65" s="590" t="str">
        <f ca="1">OFFSET('360SpcLdsCSV'!$B$5,$B65,H$51)</f>
        <v>Level 1</v>
      </c>
      <c r="I65" s="590" t="str">
        <f ca="1">OFFSET('360SpcLdsCSV'!$B$5,$B65,I$51)</f>
        <v>DirectlyConditioned</v>
      </c>
      <c r="J65" s="590" t="str">
        <f ca="1">OFFSET('360SpcLdsCSV'!$B$5,$B65,J$51)</f>
        <v>Office - Open plan</v>
      </c>
      <c r="K65" s="590" t="str">
        <f ca="1">OFFSET('360SpcLdsCSV'!$B$5,$B65,K$51)</f>
        <v>Nonresidential</v>
      </c>
      <c r="L65" s="590" t="str">
        <f ca="1">OFFSET('360SpcLdsCSV'!$B$5,$B65,L$51)</f>
        <v>Thermal Zone: L01-107_ComlComlSphp</v>
      </c>
      <c r="M65" s="592">
        <f ca="1">OFFSET('360SpcLdsCSV'!$B$5,$B65,M$51)</f>
        <v>4173.6235999999999</v>
      </c>
      <c r="N65" s="592">
        <f ca="1">OFFSET('360SpcLdsCSV'!$B$5,$B65,N$51)</f>
        <v>66778</v>
      </c>
      <c r="O65" s="592">
        <f ca="1">OFFSET('360SpcLdsCSV'!$B$5,$B65,O$51)</f>
        <v>0</v>
      </c>
      <c r="P65" s="592">
        <f ca="1">OFFSET('360SpcLdsCSV'!$B$5,$B65,P$51)</f>
        <v>0</v>
      </c>
      <c r="Q65" s="592">
        <f ca="1">OFFSET('360SpcLdsCSV'!$B$5,$B65,Q$51)</f>
        <v>2460.1999999999998</v>
      </c>
      <c r="R65" s="592">
        <f ca="1">OFFSET('360SpcLdsCSV'!$B$5,$B65,R$51)</f>
        <v>984.1</v>
      </c>
      <c r="S65" s="592">
        <f ca="1">OFFSET('360SpcLdsCSV'!$B$5,$B65,S$51)</f>
        <v>0</v>
      </c>
      <c r="T65" s="592">
        <f ca="1">OFFSET('360SpcLdsCSV'!$B$5,$B65,T$51)</f>
        <v>0</v>
      </c>
      <c r="U65" s="592">
        <f ca="1">OFFSET('360SpcLdsCSV'!$B$5,$B65,U$51)</f>
        <v>0</v>
      </c>
      <c r="V65" s="592">
        <f ca="1">OFFSET('360SpcLdsCSV'!$B$5,$B65,V$51)</f>
        <v>0</v>
      </c>
      <c r="W65" s="592">
        <f ca="1">OFFSET('360SpcLdsCSV'!$B$5,$B65,W$51)</f>
        <v>0</v>
      </c>
      <c r="X65" s="592">
        <f ca="1">OFFSET('360SpcLdsCSV'!$B$5,$B65,X$51)</f>
        <v>0</v>
      </c>
      <c r="Y65" s="592">
        <f ca="1">OFFSET('360SpcLdsCSV'!$B$5,$B65,Y$51)</f>
        <v>0</v>
      </c>
      <c r="Z65" s="592">
        <f ca="1">OFFSET('360SpcLdsCSV'!$B$5,$B65,Z$51)</f>
        <v>0</v>
      </c>
      <c r="AA65" s="592">
        <f ca="1">OFFSET('360SpcLdsCSV'!$B$5,$B65,AA$51)</f>
        <v>0</v>
      </c>
      <c r="AB65" s="592">
        <f ca="1">OFFSET('360SpcLdsCSV'!$B$5,$B65,AB$51)</f>
        <v>0</v>
      </c>
      <c r="AC65" s="592">
        <f ca="1">OFFSET('360SpcLdsCSV'!$B$5,$B65,AC$51)</f>
        <v>0</v>
      </c>
      <c r="AD65" s="592">
        <f ca="1">OFFSET('360SpcLdsCSV'!$B$5,$B65,AD$51)</f>
        <v>0</v>
      </c>
      <c r="AE65" s="592">
        <f ca="1">OFFSET('360SpcLdsCSV'!$B$5,$B65,AE$51)</f>
        <v>0</v>
      </c>
      <c r="AF65" s="592">
        <f ca="1">OFFSET('360SpcLdsCSV'!$B$5,$B65,AF$51)</f>
        <v>0</v>
      </c>
      <c r="AG65" s="592">
        <f ca="1">OFFSET('360SpcLdsCSV'!$B$5,$B65,AG$51)</f>
        <v>0</v>
      </c>
      <c r="AH65" s="592">
        <f ca="1">OFFSET('360SpcLdsCSV'!$B$5,$B65,AH$51)</f>
        <v>4173.6000000000004</v>
      </c>
      <c r="AI65" s="592">
        <f ca="1">OFFSET('360SpcLdsCSV'!$B$5,$B65,AI$51)</f>
        <v>0</v>
      </c>
      <c r="AJ65" s="592" cm="1">
        <f t="array" ref="AJ65">_xlfn.IFS($F65="Resi",1,$F65="Racc",0,$F65="Coml",0,$F65="Prkg",0)</f>
        <v>0</v>
      </c>
      <c r="AK65" s="596"/>
      <c r="AL65" s="590">
        <f ca="1">OFFSET('360SpcLdsCSV'!$B$5,$B65,AL$51)</f>
        <v>1</v>
      </c>
      <c r="AM65" s="663">
        <f t="shared" ca="1" si="110"/>
        <v>1</v>
      </c>
      <c r="AN65" s="663">
        <f t="shared" ca="1" si="111"/>
        <v>0</v>
      </c>
      <c r="AO65" s="663">
        <f t="shared" ca="1" si="138"/>
        <v>4173.6235999999999</v>
      </c>
      <c r="AP65" s="663">
        <f t="shared" ca="1" si="112"/>
        <v>66778</v>
      </c>
      <c r="AQ65" s="663">
        <f t="shared" ca="1" si="113"/>
        <v>0</v>
      </c>
      <c r="AR65" s="663">
        <f t="shared" ca="1" si="114"/>
        <v>0</v>
      </c>
      <c r="AS65" s="663">
        <f t="shared" ca="1" si="115"/>
        <v>2460.1999999999998</v>
      </c>
      <c r="AT65" s="663">
        <f t="shared" ca="1" si="116"/>
        <v>984.1</v>
      </c>
      <c r="AU65" s="663">
        <f t="shared" ca="1" si="117"/>
        <v>0</v>
      </c>
      <c r="AV65" s="663">
        <f t="shared" ca="1" si="118"/>
        <v>0</v>
      </c>
      <c r="AW65" s="663">
        <f t="shared" ca="1" si="119"/>
        <v>0</v>
      </c>
      <c r="AX65" s="663">
        <f t="shared" ca="1" si="120"/>
        <v>0</v>
      </c>
      <c r="AY65" s="663">
        <f t="shared" ca="1" si="121"/>
        <v>0</v>
      </c>
      <c r="AZ65" s="663">
        <f t="shared" ca="1" si="122"/>
        <v>0</v>
      </c>
      <c r="BA65" s="663">
        <f t="shared" ca="1" si="123"/>
        <v>0</v>
      </c>
      <c r="BB65" s="663">
        <f t="shared" ca="1" si="124"/>
        <v>0</v>
      </c>
      <c r="BC65" s="663">
        <f t="shared" ca="1" si="125"/>
        <v>0</v>
      </c>
      <c r="BD65" s="663">
        <f t="shared" ca="1" si="126"/>
        <v>0</v>
      </c>
      <c r="BE65" s="663">
        <f t="shared" ca="1" si="127"/>
        <v>0</v>
      </c>
      <c r="BF65" s="663">
        <f t="shared" ca="1" si="128"/>
        <v>0</v>
      </c>
      <c r="BG65" s="663">
        <f t="shared" ca="1" si="129"/>
        <v>0</v>
      </c>
      <c r="BH65" s="663">
        <f t="shared" ca="1" si="130"/>
        <v>0</v>
      </c>
      <c r="BI65" s="663">
        <f t="shared" ca="1" si="131"/>
        <v>0</v>
      </c>
      <c r="BJ65" s="663">
        <f t="shared" ca="1" si="132"/>
        <v>4173.6000000000004</v>
      </c>
      <c r="BK65" s="663">
        <f t="shared" ca="1" si="133"/>
        <v>0</v>
      </c>
      <c r="BL65" s="1918"/>
      <c r="BM65" s="1532"/>
      <c r="BN65" s="1919"/>
      <c r="BO65" s="600"/>
      <c r="BP65" s="601"/>
      <c r="BS65" s="603"/>
      <c r="BT65" s="602"/>
      <c r="BU65" s="602"/>
      <c r="BV65" s="602"/>
      <c r="BW65" s="604"/>
      <c r="BX65" s="605"/>
      <c r="BY65" s="602"/>
      <c r="BZ65" s="602"/>
      <c r="CB65" s="607"/>
      <c r="CC65" s="608"/>
      <c r="CD65" s="608"/>
      <c r="CE65" s="608"/>
      <c r="CF65" s="600"/>
    </row>
    <row r="66" spans="2:84" ht="12" customHeight="1" x14ac:dyDescent="0.35">
      <c r="B66" s="590">
        <f>MATCH(C66,'360SpcLdsCSV'!$C$6:$C$500,0)</f>
        <v>10</v>
      </c>
      <c r="C66" s="590" t="str">
        <f>'360SpcLdsCSV'!C15</f>
        <v>L01-108_ComlComlSphp</v>
      </c>
      <c r="D66" s="590" t="str">
        <f t="shared" si="134"/>
        <v>L01</v>
      </c>
      <c r="E66" s="590" t="str">
        <f t="shared" si="135"/>
        <v>Coml</v>
      </c>
      <c r="F66" s="590" t="str">
        <f t="shared" si="136"/>
        <v>Coml</v>
      </c>
      <c r="G66" s="590" t="str">
        <f t="shared" si="137"/>
        <v>Sphp</v>
      </c>
      <c r="H66" s="590" t="str">
        <f ca="1">OFFSET('360SpcLdsCSV'!$B$5,$B66,H$51)</f>
        <v>Level 1</v>
      </c>
      <c r="I66" s="590" t="str">
        <f ca="1">OFFSET('360SpcLdsCSV'!$B$5,$B66,I$51)</f>
        <v>DirectlyConditioned</v>
      </c>
      <c r="J66" s="590" t="str">
        <f ca="1">OFFSET('360SpcLdsCSV'!$B$5,$B66,J$51)</f>
        <v>Office - Open plan</v>
      </c>
      <c r="K66" s="590" t="str">
        <f ca="1">OFFSET('360SpcLdsCSV'!$B$5,$B66,K$51)</f>
        <v>Nonresidential</v>
      </c>
      <c r="L66" s="590" t="str">
        <f ca="1">OFFSET('360SpcLdsCSV'!$B$5,$B66,L$51)</f>
        <v>Thermal Zone: L01-108_ComlComlSphp</v>
      </c>
      <c r="M66" s="592">
        <f ca="1">OFFSET('360SpcLdsCSV'!$B$5,$B66,M$51)</f>
        <v>2081.0798</v>
      </c>
      <c r="N66" s="592">
        <f ca="1">OFFSET('360SpcLdsCSV'!$B$5,$B66,N$51)</f>
        <v>33297.300000000003</v>
      </c>
      <c r="O66" s="592">
        <f ca="1">OFFSET('360SpcLdsCSV'!$B$5,$B66,O$51)</f>
        <v>0</v>
      </c>
      <c r="P66" s="592">
        <f ca="1">OFFSET('360SpcLdsCSV'!$B$5,$B66,P$51)</f>
        <v>0</v>
      </c>
      <c r="Q66" s="592">
        <f ca="1">OFFSET('360SpcLdsCSV'!$B$5,$B66,Q$51)</f>
        <v>2221.8000000000002</v>
      </c>
      <c r="R66" s="592">
        <f ca="1">OFFSET('360SpcLdsCSV'!$B$5,$B66,R$51)</f>
        <v>776.6</v>
      </c>
      <c r="S66" s="592">
        <f ca="1">OFFSET('360SpcLdsCSV'!$B$5,$B66,S$51)</f>
        <v>0</v>
      </c>
      <c r="T66" s="592">
        <f ca="1">OFFSET('360SpcLdsCSV'!$B$5,$B66,T$51)</f>
        <v>0</v>
      </c>
      <c r="U66" s="592">
        <f ca="1">OFFSET('360SpcLdsCSV'!$B$5,$B66,U$51)</f>
        <v>0</v>
      </c>
      <c r="V66" s="592">
        <f ca="1">OFFSET('360SpcLdsCSV'!$B$5,$B66,V$51)</f>
        <v>0</v>
      </c>
      <c r="W66" s="592">
        <f ca="1">OFFSET('360SpcLdsCSV'!$B$5,$B66,W$51)</f>
        <v>163</v>
      </c>
      <c r="X66" s="592">
        <f ca="1">OFFSET('360SpcLdsCSV'!$B$5,$B66,X$51)</f>
        <v>0</v>
      </c>
      <c r="Y66" s="592">
        <f ca="1">OFFSET('360SpcLdsCSV'!$B$5,$B66,Y$51)</f>
        <v>0</v>
      </c>
      <c r="Z66" s="592">
        <f ca="1">OFFSET('360SpcLdsCSV'!$B$5,$B66,Z$51)</f>
        <v>0</v>
      </c>
      <c r="AA66" s="592">
        <f ca="1">OFFSET('360SpcLdsCSV'!$B$5,$B66,AA$51)</f>
        <v>0</v>
      </c>
      <c r="AB66" s="592">
        <f ca="1">OFFSET('360SpcLdsCSV'!$B$5,$B66,AB$51)</f>
        <v>0</v>
      </c>
      <c r="AC66" s="592">
        <f ca="1">OFFSET('360SpcLdsCSV'!$B$5,$B66,AC$51)</f>
        <v>0</v>
      </c>
      <c r="AD66" s="592">
        <f ca="1">OFFSET('360SpcLdsCSV'!$B$5,$B66,AD$51)</f>
        <v>0</v>
      </c>
      <c r="AE66" s="592">
        <f ca="1">OFFSET('360SpcLdsCSV'!$B$5,$B66,AE$51)</f>
        <v>0</v>
      </c>
      <c r="AF66" s="592">
        <f ca="1">OFFSET('360SpcLdsCSV'!$B$5,$B66,AF$51)</f>
        <v>0</v>
      </c>
      <c r="AG66" s="592">
        <f ca="1">OFFSET('360SpcLdsCSV'!$B$5,$B66,AG$51)</f>
        <v>0</v>
      </c>
      <c r="AH66" s="592">
        <f ca="1">OFFSET('360SpcLdsCSV'!$B$5,$B66,AH$51)</f>
        <v>2013.9</v>
      </c>
      <c r="AI66" s="592">
        <f ca="1">OFFSET('360SpcLdsCSV'!$B$5,$B66,AI$51)</f>
        <v>0</v>
      </c>
      <c r="AJ66" s="592" cm="1">
        <f t="array" ref="AJ66">_xlfn.IFS($F66="Resi",1,$F66="Racc",0,$F66="Coml",0,$F66="Prkg",0)</f>
        <v>0</v>
      </c>
      <c r="AK66" s="596"/>
      <c r="AL66" s="590">
        <f ca="1">OFFSET('360SpcLdsCSV'!$B$5,$B66,AL$51)</f>
        <v>1</v>
      </c>
      <c r="AM66" s="663">
        <f t="shared" ca="1" si="110"/>
        <v>1</v>
      </c>
      <c r="AN66" s="663">
        <f t="shared" ca="1" si="111"/>
        <v>0</v>
      </c>
      <c r="AO66" s="663">
        <f t="shared" ca="1" si="138"/>
        <v>2081.0798</v>
      </c>
      <c r="AP66" s="663">
        <f t="shared" ca="1" si="112"/>
        <v>33297.300000000003</v>
      </c>
      <c r="AQ66" s="663">
        <f t="shared" ca="1" si="113"/>
        <v>0</v>
      </c>
      <c r="AR66" s="663">
        <f t="shared" ca="1" si="114"/>
        <v>0</v>
      </c>
      <c r="AS66" s="663">
        <f t="shared" ca="1" si="115"/>
        <v>2221.8000000000002</v>
      </c>
      <c r="AT66" s="663">
        <f t="shared" ca="1" si="116"/>
        <v>776.6</v>
      </c>
      <c r="AU66" s="663">
        <f t="shared" ca="1" si="117"/>
        <v>0</v>
      </c>
      <c r="AV66" s="663">
        <f t="shared" ca="1" si="118"/>
        <v>0</v>
      </c>
      <c r="AW66" s="663">
        <f t="shared" ca="1" si="119"/>
        <v>0</v>
      </c>
      <c r="AX66" s="663">
        <f t="shared" ca="1" si="120"/>
        <v>0</v>
      </c>
      <c r="AY66" s="663">
        <f t="shared" ca="1" si="121"/>
        <v>163</v>
      </c>
      <c r="AZ66" s="663">
        <f t="shared" ca="1" si="122"/>
        <v>0</v>
      </c>
      <c r="BA66" s="663">
        <f t="shared" ca="1" si="123"/>
        <v>0</v>
      </c>
      <c r="BB66" s="663">
        <f t="shared" ca="1" si="124"/>
        <v>0</v>
      </c>
      <c r="BC66" s="663">
        <f t="shared" ca="1" si="125"/>
        <v>0</v>
      </c>
      <c r="BD66" s="663">
        <f t="shared" ca="1" si="126"/>
        <v>0</v>
      </c>
      <c r="BE66" s="663">
        <f t="shared" ca="1" si="127"/>
        <v>0</v>
      </c>
      <c r="BF66" s="663">
        <f t="shared" ca="1" si="128"/>
        <v>0</v>
      </c>
      <c r="BG66" s="663">
        <f t="shared" ca="1" si="129"/>
        <v>0</v>
      </c>
      <c r="BH66" s="663">
        <f t="shared" ca="1" si="130"/>
        <v>0</v>
      </c>
      <c r="BI66" s="663">
        <f t="shared" ca="1" si="131"/>
        <v>0</v>
      </c>
      <c r="BJ66" s="663">
        <f t="shared" ca="1" si="132"/>
        <v>2013.9</v>
      </c>
      <c r="BK66" s="663">
        <f t="shared" ca="1" si="133"/>
        <v>0</v>
      </c>
      <c r="BL66" s="1918"/>
      <c r="BM66" s="1532"/>
      <c r="BN66" s="1919"/>
      <c r="BO66" s="600"/>
      <c r="BP66" s="601"/>
      <c r="BS66" s="603"/>
      <c r="BT66" s="602"/>
      <c r="BU66" s="602"/>
      <c r="BV66" s="602"/>
      <c r="BW66" s="604"/>
      <c r="BX66" s="605"/>
      <c r="BY66" s="602"/>
      <c r="BZ66" s="602"/>
      <c r="CB66" s="607"/>
      <c r="CC66" s="608"/>
      <c r="CD66" s="608"/>
      <c r="CE66" s="608"/>
      <c r="CF66" s="600"/>
    </row>
    <row r="67" spans="2:84" ht="12" customHeight="1" x14ac:dyDescent="0.35">
      <c r="B67" s="590">
        <f>MATCH(C67,'360SpcLdsCSV'!$C$6:$C$500,0)</f>
        <v>11</v>
      </c>
      <c r="C67" s="590" t="str">
        <f>'360SpcLdsCSV'!C16</f>
        <v>L01-109_MechRaccBbrd</v>
      </c>
      <c r="D67" s="590" t="str">
        <f t="shared" si="134"/>
        <v>L01</v>
      </c>
      <c r="E67" s="590" t="str">
        <f t="shared" si="135"/>
        <v>Mech</v>
      </c>
      <c r="F67" s="590" t="str">
        <f t="shared" si="136"/>
        <v>Racc</v>
      </c>
      <c r="G67" s="590" t="str">
        <f t="shared" si="137"/>
        <v>Bbrd</v>
      </c>
      <c r="H67" s="590" t="str">
        <f ca="1">OFFSET('360SpcLdsCSV'!$B$5,$B67,H$51)</f>
        <v>Level 1</v>
      </c>
      <c r="I67" s="590" t="str">
        <f ca="1">OFFSET('360SpcLdsCSV'!$B$5,$B67,I$51)</f>
        <v>DirectlyConditioned</v>
      </c>
      <c r="J67" s="590" t="str">
        <f ca="1">OFFSET('360SpcLdsCSV'!$B$5,$B67,J$51)</f>
        <v>Electrical/MechanicaI Room</v>
      </c>
      <c r="K67" s="590" t="str">
        <f ca="1">OFFSET('360SpcLdsCSV'!$B$5,$B67,K$51)</f>
        <v>Nonresidential</v>
      </c>
      <c r="L67" s="590" t="str">
        <f ca="1">OFFSET('360SpcLdsCSV'!$B$5,$B67,L$51)</f>
        <v>Thermal Zone: L01-109_MechRaccBbrd</v>
      </c>
      <c r="M67" s="592">
        <f ca="1">OFFSET('360SpcLdsCSV'!$B$5,$B67,M$51)</f>
        <v>262.20839999999998</v>
      </c>
      <c r="N67" s="592">
        <f ca="1">OFFSET('360SpcLdsCSV'!$B$5,$B67,N$51)</f>
        <v>4195.33</v>
      </c>
      <c r="O67" s="592">
        <f ca="1">OFFSET('360SpcLdsCSV'!$B$5,$B67,O$51)</f>
        <v>0</v>
      </c>
      <c r="P67" s="592">
        <f ca="1">OFFSET('360SpcLdsCSV'!$B$5,$B67,P$51)</f>
        <v>0</v>
      </c>
      <c r="Q67" s="592">
        <f ca="1">OFFSET('360SpcLdsCSV'!$B$5,$B67,Q$51)</f>
        <v>523</v>
      </c>
      <c r="R67" s="592">
        <f ca="1">OFFSET('360SpcLdsCSV'!$B$5,$B67,R$51)</f>
        <v>0</v>
      </c>
      <c r="S67" s="592">
        <f ca="1">OFFSET('360SpcLdsCSV'!$B$5,$B67,S$51)</f>
        <v>0</v>
      </c>
      <c r="T67" s="592">
        <f ca="1">OFFSET('360SpcLdsCSV'!$B$5,$B67,T$51)</f>
        <v>0</v>
      </c>
      <c r="U67" s="592">
        <f ca="1">OFFSET('360SpcLdsCSV'!$B$5,$B67,U$51)</f>
        <v>0</v>
      </c>
      <c r="V67" s="592">
        <f ca="1">OFFSET('360SpcLdsCSV'!$B$5,$B67,V$51)</f>
        <v>0</v>
      </c>
      <c r="W67" s="592">
        <f ca="1">OFFSET('360SpcLdsCSV'!$B$5,$B67,W$51)</f>
        <v>0</v>
      </c>
      <c r="X67" s="592">
        <f ca="1">OFFSET('360SpcLdsCSV'!$B$5,$B67,X$51)</f>
        <v>0</v>
      </c>
      <c r="Y67" s="592">
        <f ca="1">OFFSET('360SpcLdsCSV'!$B$5,$B67,Y$51)</f>
        <v>0</v>
      </c>
      <c r="Z67" s="592">
        <f ca="1">OFFSET('360SpcLdsCSV'!$B$5,$B67,Z$51)</f>
        <v>0</v>
      </c>
      <c r="AA67" s="592">
        <f ca="1">OFFSET('360SpcLdsCSV'!$B$5,$B67,AA$51)</f>
        <v>0</v>
      </c>
      <c r="AB67" s="592">
        <f ca="1">OFFSET('360SpcLdsCSV'!$B$5,$B67,AB$51)</f>
        <v>0</v>
      </c>
      <c r="AC67" s="592">
        <f ca="1">OFFSET('360SpcLdsCSV'!$B$5,$B67,AC$51)</f>
        <v>0</v>
      </c>
      <c r="AD67" s="592">
        <f ca="1">OFFSET('360SpcLdsCSV'!$B$5,$B67,AD$51)</f>
        <v>0</v>
      </c>
      <c r="AE67" s="592">
        <f ca="1">OFFSET('360SpcLdsCSV'!$B$5,$B67,AE$51)</f>
        <v>0</v>
      </c>
      <c r="AF67" s="592">
        <f ca="1">OFFSET('360SpcLdsCSV'!$B$5,$B67,AF$51)</f>
        <v>0</v>
      </c>
      <c r="AG67" s="592">
        <f ca="1">OFFSET('360SpcLdsCSV'!$B$5,$B67,AG$51)</f>
        <v>0</v>
      </c>
      <c r="AH67" s="592">
        <f ca="1">OFFSET('360SpcLdsCSV'!$B$5,$B67,AH$51)</f>
        <v>262.2</v>
      </c>
      <c r="AI67" s="592">
        <f ca="1">OFFSET('360SpcLdsCSV'!$B$5,$B67,AI$51)</f>
        <v>0</v>
      </c>
      <c r="AJ67" s="592" cm="1">
        <f t="array" ref="AJ67">_xlfn.IFS($F67="Resi",1,$F67="Racc",0,$F67="Coml",0,$F67="Prkg",0)</f>
        <v>0</v>
      </c>
      <c r="AK67" s="596"/>
      <c r="AL67" s="590">
        <f ca="1">OFFSET('360SpcLdsCSV'!$B$5,$B67,AL$51)</f>
        <v>1</v>
      </c>
      <c r="AM67" s="663">
        <f t="shared" ca="1" si="110"/>
        <v>1</v>
      </c>
      <c r="AN67" s="663">
        <f t="shared" ca="1" si="111"/>
        <v>0</v>
      </c>
      <c r="AO67" s="663">
        <f t="shared" ca="1" si="138"/>
        <v>262.20839999999998</v>
      </c>
      <c r="AP67" s="663">
        <f t="shared" ca="1" si="112"/>
        <v>4195.33</v>
      </c>
      <c r="AQ67" s="663">
        <f t="shared" ca="1" si="113"/>
        <v>0</v>
      </c>
      <c r="AR67" s="663">
        <f t="shared" ca="1" si="114"/>
        <v>0</v>
      </c>
      <c r="AS67" s="663">
        <f t="shared" ca="1" si="115"/>
        <v>523</v>
      </c>
      <c r="AT67" s="663">
        <f t="shared" ca="1" si="116"/>
        <v>0</v>
      </c>
      <c r="AU67" s="663">
        <f t="shared" ca="1" si="117"/>
        <v>0</v>
      </c>
      <c r="AV67" s="663">
        <f t="shared" ca="1" si="118"/>
        <v>0</v>
      </c>
      <c r="AW67" s="663">
        <f t="shared" ca="1" si="119"/>
        <v>0</v>
      </c>
      <c r="AX67" s="663">
        <f t="shared" ca="1" si="120"/>
        <v>0</v>
      </c>
      <c r="AY67" s="663">
        <f t="shared" ca="1" si="121"/>
        <v>0</v>
      </c>
      <c r="AZ67" s="663">
        <f t="shared" ca="1" si="122"/>
        <v>0</v>
      </c>
      <c r="BA67" s="663">
        <f t="shared" ca="1" si="123"/>
        <v>0</v>
      </c>
      <c r="BB67" s="663">
        <f t="shared" ca="1" si="124"/>
        <v>0</v>
      </c>
      <c r="BC67" s="663">
        <f t="shared" ca="1" si="125"/>
        <v>0</v>
      </c>
      <c r="BD67" s="663">
        <f t="shared" ca="1" si="126"/>
        <v>0</v>
      </c>
      <c r="BE67" s="663">
        <f t="shared" ca="1" si="127"/>
        <v>0</v>
      </c>
      <c r="BF67" s="663">
        <f t="shared" ca="1" si="128"/>
        <v>0</v>
      </c>
      <c r="BG67" s="663">
        <f t="shared" ca="1" si="129"/>
        <v>0</v>
      </c>
      <c r="BH67" s="663">
        <f t="shared" ca="1" si="130"/>
        <v>0</v>
      </c>
      <c r="BI67" s="663">
        <f t="shared" ca="1" si="131"/>
        <v>0</v>
      </c>
      <c r="BJ67" s="663">
        <f t="shared" ca="1" si="132"/>
        <v>262.2</v>
      </c>
      <c r="BK67" s="663">
        <f t="shared" ca="1" si="133"/>
        <v>0</v>
      </c>
      <c r="BL67" s="1918"/>
      <c r="BM67" s="1532"/>
      <c r="BN67" s="1919"/>
      <c r="BO67" s="600"/>
      <c r="BP67" s="601"/>
      <c r="BS67" s="603"/>
      <c r="BT67" s="602"/>
      <c r="BU67" s="602"/>
      <c r="BV67" s="602"/>
      <c r="BW67" s="604"/>
      <c r="BX67" s="605"/>
      <c r="BY67" s="602"/>
      <c r="BZ67" s="602"/>
      <c r="CB67" s="607"/>
      <c r="CC67" s="608"/>
      <c r="CD67" s="608"/>
      <c r="CE67" s="608"/>
      <c r="CF67" s="600"/>
    </row>
    <row r="68" spans="2:84" ht="12" customHeight="1" x14ac:dyDescent="0.35">
      <c r="B68" s="590">
        <f>MATCH(C68,'360SpcLdsCSV'!$C$6:$C$500,0)</f>
        <v>12</v>
      </c>
      <c r="C68" s="590" t="str">
        <f>'360SpcLdsCSV'!C17</f>
        <v>L01-110_StrsRaccIncd</v>
      </c>
      <c r="D68" s="590" t="str">
        <f t="shared" si="134"/>
        <v>L01</v>
      </c>
      <c r="E68" s="590" t="str">
        <f t="shared" si="135"/>
        <v>Strs</v>
      </c>
      <c r="F68" s="590" t="str">
        <f t="shared" si="136"/>
        <v>Racc</v>
      </c>
      <c r="G68" s="590" t="str">
        <f t="shared" si="137"/>
        <v>Incd</v>
      </c>
      <c r="H68" s="590" t="str">
        <f ca="1">OFFSET('360SpcLdsCSV'!$B$5,$B68,H$51)</f>
        <v>Level 1</v>
      </c>
      <c r="I68" s="590" t="str">
        <f ca="1">OFFSET('360SpcLdsCSV'!$B$5,$B68,I$51)</f>
        <v>IndirectlyConditioned</v>
      </c>
      <c r="J68" s="590" t="str">
        <f ca="1">OFFSET('360SpcLdsCSV'!$B$5,$B68,J$51)</f>
        <v>Stairwell</v>
      </c>
      <c r="K68" s="590" t="str">
        <f ca="1">OFFSET('360SpcLdsCSV'!$B$5,$B68,K$51)</f>
        <v>Nonresidential</v>
      </c>
      <c r="L68" s="590" t="str">
        <f ca="1">OFFSET('360SpcLdsCSV'!$B$5,$B68,L$51)</f>
        <v>Thermal Zone: L01-114_CorrRaccBbrdHrv2</v>
      </c>
      <c r="M68" s="592">
        <f ca="1">OFFSET('360SpcLdsCSV'!$B$5,$B68,M$51)</f>
        <v>225.3484</v>
      </c>
      <c r="N68" s="592">
        <f ca="1">OFFSET('360SpcLdsCSV'!$B$5,$B68,N$51)</f>
        <v>3605.57</v>
      </c>
      <c r="O68" s="592">
        <f ca="1">OFFSET('360SpcLdsCSV'!$B$5,$B68,O$51)</f>
        <v>0</v>
      </c>
      <c r="P68" s="592">
        <f ca="1">OFFSET('360SpcLdsCSV'!$B$5,$B68,P$51)</f>
        <v>0</v>
      </c>
      <c r="Q68" s="592">
        <f ca="1">OFFSET('360SpcLdsCSV'!$B$5,$B68,Q$51)</f>
        <v>135.4</v>
      </c>
      <c r="R68" s="592">
        <f ca="1">OFFSET('360SpcLdsCSV'!$B$5,$B68,R$51)</f>
        <v>0</v>
      </c>
      <c r="S68" s="592">
        <f ca="1">OFFSET('360SpcLdsCSV'!$B$5,$B68,S$51)</f>
        <v>0</v>
      </c>
      <c r="T68" s="592">
        <f ca="1">OFFSET('360SpcLdsCSV'!$B$5,$B68,T$51)</f>
        <v>0</v>
      </c>
      <c r="U68" s="592">
        <f ca="1">OFFSET('360SpcLdsCSV'!$B$5,$B68,U$51)</f>
        <v>0</v>
      </c>
      <c r="V68" s="592">
        <f ca="1">OFFSET('360SpcLdsCSV'!$B$5,$B68,V$51)</f>
        <v>0</v>
      </c>
      <c r="W68" s="592">
        <f ca="1">OFFSET('360SpcLdsCSV'!$B$5,$B68,W$51)</f>
        <v>0</v>
      </c>
      <c r="X68" s="592">
        <f ca="1">OFFSET('360SpcLdsCSV'!$B$5,$B68,X$51)</f>
        <v>0</v>
      </c>
      <c r="Y68" s="592">
        <f ca="1">OFFSET('360SpcLdsCSV'!$B$5,$B68,Y$51)</f>
        <v>0</v>
      </c>
      <c r="Z68" s="592">
        <f ca="1">OFFSET('360SpcLdsCSV'!$B$5,$B68,Z$51)</f>
        <v>0</v>
      </c>
      <c r="AA68" s="592">
        <f ca="1">OFFSET('360SpcLdsCSV'!$B$5,$B68,AA$51)</f>
        <v>0</v>
      </c>
      <c r="AB68" s="592">
        <f ca="1">OFFSET('360SpcLdsCSV'!$B$5,$B68,AB$51)</f>
        <v>0</v>
      </c>
      <c r="AC68" s="592">
        <f ca="1">OFFSET('360SpcLdsCSV'!$B$5,$B68,AC$51)</f>
        <v>0</v>
      </c>
      <c r="AD68" s="592">
        <f ca="1">OFFSET('360SpcLdsCSV'!$B$5,$B68,AD$51)</f>
        <v>0</v>
      </c>
      <c r="AE68" s="592">
        <f ca="1">OFFSET('360SpcLdsCSV'!$B$5,$B68,AE$51)</f>
        <v>0</v>
      </c>
      <c r="AF68" s="592">
        <f ca="1">OFFSET('360SpcLdsCSV'!$B$5,$B68,AF$51)</f>
        <v>0</v>
      </c>
      <c r="AG68" s="592">
        <f ca="1">OFFSET('360SpcLdsCSV'!$B$5,$B68,AG$51)</f>
        <v>0</v>
      </c>
      <c r="AH68" s="592">
        <f ca="1">OFFSET('360SpcLdsCSV'!$B$5,$B68,AH$51)</f>
        <v>21</v>
      </c>
      <c r="AI68" s="592">
        <f ca="1">OFFSET('360SpcLdsCSV'!$B$5,$B68,AI$51)</f>
        <v>0</v>
      </c>
      <c r="AJ68" s="592" cm="1">
        <f t="array" ref="AJ68">_xlfn.IFS($F68="Resi",1,$F68="Racc",0,$F68="Coml",0,$F68="Prkg",0)</f>
        <v>0</v>
      </c>
      <c r="AK68" s="596"/>
      <c r="AL68" s="590">
        <f ca="1">OFFSET('360SpcLdsCSV'!$B$5,$B68,AL$51)</f>
        <v>1</v>
      </c>
      <c r="AM68" s="663">
        <f t="shared" ca="1" si="110"/>
        <v>1</v>
      </c>
      <c r="AN68" s="663">
        <f t="shared" ca="1" si="111"/>
        <v>0</v>
      </c>
      <c r="AO68" s="663">
        <f t="shared" ca="1" si="138"/>
        <v>225.3484</v>
      </c>
      <c r="AP68" s="663">
        <f t="shared" ca="1" si="112"/>
        <v>3605.57</v>
      </c>
      <c r="AQ68" s="663">
        <f t="shared" ca="1" si="113"/>
        <v>0</v>
      </c>
      <c r="AR68" s="663">
        <f t="shared" ca="1" si="114"/>
        <v>0</v>
      </c>
      <c r="AS68" s="663">
        <f t="shared" ca="1" si="115"/>
        <v>135.4</v>
      </c>
      <c r="AT68" s="663">
        <f t="shared" ca="1" si="116"/>
        <v>0</v>
      </c>
      <c r="AU68" s="663">
        <f t="shared" ca="1" si="117"/>
        <v>0</v>
      </c>
      <c r="AV68" s="663">
        <f t="shared" ca="1" si="118"/>
        <v>0</v>
      </c>
      <c r="AW68" s="663">
        <f t="shared" ca="1" si="119"/>
        <v>0</v>
      </c>
      <c r="AX68" s="663">
        <f t="shared" ca="1" si="120"/>
        <v>0</v>
      </c>
      <c r="AY68" s="663">
        <f t="shared" ca="1" si="121"/>
        <v>0</v>
      </c>
      <c r="AZ68" s="663">
        <f t="shared" ca="1" si="122"/>
        <v>0</v>
      </c>
      <c r="BA68" s="663">
        <f t="shared" ca="1" si="123"/>
        <v>0</v>
      </c>
      <c r="BB68" s="663">
        <f t="shared" ca="1" si="124"/>
        <v>0</v>
      </c>
      <c r="BC68" s="663">
        <f t="shared" ca="1" si="125"/>
        <v>0</v>
      </c>
      <c r="BD68" s="663">
        <f t="shared" ca="1" si="126"/>
        <v>0</v>
      </c>
      <c r="BE68" s="663">
        <f t="shared" ca="1" si="127"/>
        <v>0</v>
      </c>
      <c r="BF68" s="663">
        <f t="shared" ca="1" si="128"/>
        <v>0</v>
      </c>
      <c r="BG68" s="663">
        <f t="shared" ca="1" si="129"/>
        <v>0</v>
      </c>
      <c r="BH68" s="663">
        <f t="shared" ca="1" si="130"/>
        <v>0</v>
      </c>
      <c r="BI68" s="663">
        <f t="shared" ca="1" si="131"/>
        <v>0</v>
      </c>
      <c r="BJ68" s="663">
        <f t="shared" ca="1" si="132"/>
        <v>21</v>
      </c>
      <c r="BK68" s="663">
        <f t="shared" ca="1" si="133"/>
        <v>0</v>
      </c>
      <c r="BL68" s="1918"/>
      <c r="BM68" s="1532"/>
      <c r="BN68" s="1919"/>
      <c r="BO68" s="600"/>
      <c r="BP68" s="601"/>
      <c r="BS68" s="603"/>
      <c r="BT68" s="602"/>
      <c r="BU68" s="602"/>
      <c r="BV68" s="602"/>
      <c r="BW68" s="604"/>
      <c r="BX68" s="605"/>
      <c r="BY68" s="602"/>
      <c r="BZ68" s="602"/>
      <c r="CA68"/>
      <c r="CB68" s="607"/>
      <c r="CC68" s="608"/>
      <c r="CD68" s="608"/>
      <c r="CE68" s="608"/>
      <c r="CF68" s="600"/>
    </row>
    <row r="69" spans="2:84" ht="12" customHeight="1" x14ac:dyDescent="0.35">
      <c r="B69" s="590">
        <f>MATCH(C69,'360SpcLdsCSV'!$C$6:$C$500,0)</f>
        <v>13</v>
      </c>
      <c r="C69" s="590" t="str">
        <f>'360SpcLdsCSV'!C18</f>
        <v>L01-111_ElevRaccIncd</v>
      </c>
      <c r="D69" s="590" t="str">
        <f t="shared" si="134"/>
        <v>L01</v>
      </c>
      <c r="E69" s="590" t="str">
        <f t="shared" si="135"/>
        <v>Elev</v>
      </c>
      <c r="F69" s="590" t="str">
        <f t="shared" si="136"/>
        <v>Racc</v>
      </c>
      <c r="G69" s="590" t="str">
        <f t="shared" si="137"/>
        <v>Incd</v>
      </c>
      <c r="H69" s="590" t="str">
        <f ca="1">OFFSET('360SpcLdsCSV'!$B$5,$B69,H$51)</f>
        <v>Level 1</v>
      </c>
      <c r="I69" s="590" t="str">
        <f ca="1">OFFSET('360SpcLdsCSV'!$B$5,$B69,I$51)</f>
        <v>IndirectlyConditioned</v>
      </c>
      <c r="J69" s="590" t="str">
        <f ca="1">OFFSET('360SpcLdsCSV'!$B$5,$B69,J$51)</f>
        <v>Unoccupied-Include in Gross Floor Area</v>
      </c>
      <c r="K69" s="590" t="str">
        <f ca="1">OFFSET('360SpcLdsCSV'!$B$5,$B69,K$51)</f>
        <v>Nonresidential</v>
      </c>
      <c r="L69" s="590" t="str">
        <f ca="1">OFFSET('360SpcLdsCSV'!$B$5,$B69,L$51)</f>
        <v>Thermal Zone: L01-114_CorrRaccBbrdHrv2</v>
      </c>
      <c r="M69" s="592">
        <f ca="1">OFFSET('360SpcLdsCSV'!$B$5,$B69,M$51)</f>
        <v>149.10720000000001</v>
      </c>
      <c r="N69" s="592">
        <f ca="1">OFFSET('360SpcLdsCSV'!$B$5,$B69,N$51)</f>
        <v>2385.7199999999998</v>
      </c>
      <c r="O69" s="592">
        <f ca="1">OFFSET('360SpcLdsCSV'!$B$5,$B69,O$51)</f>
        <v>0</v>
      </c>
      <c r="P69" s="592">
        <f ca="1">OFFSET('360SpcLdsCSV'!$B$5,$B69,P$51)</f>
        <v>0</v>
      </c>
      <c r="Q69" s="592">
        <f ca="1">OFFSET('360SpcLdsCSV'!$B$5,$B69,Q$51)</f>
        <v>0</v>
      </c>
      <c r="R69" s="592">
        <f ca="1">OFFSET('360SpcLdsCSV'!$B$5,$B69,R$51)</f>
        <v>0</v>
      </c>
      <c r="S69" s="592">
        <f ca="1">OFFSET('360SpcLdsCSV'!$B$5,$B69,S$51)</f>
        <v>0</v>
      </c>
      <c r="T69" s="592">
        <f ca="1">OFFSET('360SpcLdsCSV'!$B$5,$B69,T$51)</f>
        <v>0</v>
      </c>
      <c r="U69" s="592">
        <f ca="1">OFFSET('360SpcLdsCSV'!$B$5,$B69,U$51)</f>
        <v>0</v>
      </c>
      <c r="V69" s="592">
        <f ca="1">OFFSET('360SpcLdsCSV'!$B$5,$B69,V$51)</f>
        <v>0</v>
      </c>
      <c r="W69" s="592">
        <f ca="1">OFFSET('360SpcLdsCSV'!$B$5,$B69,W$51)</f>
        <v>0</v>
      </c>
      <c r="X69" s="592">
        <f ca="1">OFFSET('360SpcLdsCSV'!$B$5,$B69,X$51)</f>
        <v>0</v>
      </c>
      <c r="Y69" s="592">
        <f ca="1">OFFSET('360SpcLdsCSV'!$B$5,$B69,Y$51)</f>
        <v>0</v>
      </c>
      <c r="Z69" s="592">
        <f ca="1">OFFSET('360SpcLdsCSV'!$B$5,$B69,Z$51)</f>
        <v>0</v>
      </c>
      <c r="AA69" s="592">
        <f ca="1">OFFSET('360SpcLdsCSV'!$B$5,$B69,AA$51)</f>
        <v>0</v>
      </c>
      <c r="AB69" s="592">
        <f ca="1">OFFSET('360SpcLdsCSV'!$B$5,$B69,AB$51)</f>
        <v>0</v>
      </c>
      <c r="AC69" s="592">
        <f ca="1">OFFSET('360SpcLdsCSV'!$B$5,$B69,AC$51)</f>
        <v>0</v>
      </c>
      <c r="AD69" s="592">
        <f ca="1">OFFSET('360SpcLdsCSV'!$B$5,$B69,AD$51)</f>
        <v>0</v>
      </c>
      <c r="AE69" s="592">
        <f ca="1">OFFSET('360SpcLdsCSV'!$B$5,$B69,AE$51)</f>
        <v>0</v>
      </c>
      <c r="AF69" s="592">
        <f ca="1">OFFSET('360SpcLdsCSV'!$B$5,$B69,AF$51)</f>
        <v>0</v>
      </c>
      <c r="AG69" s="592">
        <f ca="1">OFFSET('360SpcLdsCSV'!$B$5,$B69,AG$51)</f>
        <v>0</v>
      </c>
      <c r="AH69" s="592">
        <f ca="1">OFFSET('360SpcLdsCSV'!$B$5,$B69,AH$51)</f>
        <v>0</v>
      </c>
      <c r="AI69" s="592">
        <f ca="1">OFFSET('360SpcLdsCSV'!$B$5,$B69,AI$51)</f>
        <v>0</v>
      </c>
      <c r="AJ69" s="592" cm="1">
        <f t="array" ref="AJ69">_xlfn.IFS($F69="Resi",1,$F69="Racc",0,$F69="Coml",0,$F69="Prkg",0)</f>
        <v>0</v>
      </c>
      <c r="AK69" s="596"/>
      <c r="AL69" s="590">
        <f ca="1">OFFSET('360SpcLdsCSV'!$B$5,$B69,AL$51)</f>
        <v>1</v>
      </c>
      <c r="AM69" s="663">
        <f t="shared" ca="1" si="110"/>
        <v>1</v>
      </c>
      <c r="AN69" s="663">
        <f t="shared" ca="1" si="111"/>
        <v>0</v>
      </c>
      <c r="AO69" s="663">
        <f t="shared" ca="1" si="138"/>
        <v>149.10720000000001</v>
      </c>
      <c r="AP69" s="663">
        <f t="shared" ca="1" si="112"/>
        <v>2385.7199999999998</v>
      </c>
      <c r="AQ69" s="663">
        <f t="shared" ca="1" si="113"/>
        <v>0</v>
      </c>
      <c r="AR69" s="663">
        <f t="shared" ca="1" si="114"/>
        <v>0</v>
      </c>
      <c r="AS69" s="663">
        <f t="shared" ca="1" si="115"/>
        <v>0</v>
      </c>
      <c r="AT69" s="663">
        <f t="shared" ca="1" si="116"/>
        <v>0</v>
      </c>
      <c r="AU69" s="663">
        <f t="shared" ca="1" si="117"/>
        <v>0</v>
      </c>
      <c r="AV69" s="663">
        <f t="shared" ca="1" si="118"/>
        <v>0</v>
      </c>
      <c r="AW69" s="663">
        <f t="shared" ca="1" si="119"/>
        <v>0</v>
      </c>
      <c r="AX69" s="663">
        <f t="shared" ca="1" si="120"/>
        <v>0</v>
      </c>
      <c r="AY69" s="663">
        <f t="shared" ca="1" si="121"/>
        <v>0</v>
      </c>
      <c r="AZ69" s="663">
        <f t="shared" ca="1" si="122"/>
        <v>0</v>
      </c>
      <c r="BA69" s="663">
        <f t="shared" ca="1" si="123"/>
        <v>0</v>
      </c>
      <c r="BB69" s="663">
        <f t="shared" ca="1" si="124"/>
        <v>0</v>
      </c>
      <c r="BC69" s="663">
        <f t="shared" ca="1" si="125"/>
        <v>0</v>
      </c>
      <c r="BD69" s="663">
        <f t="shared" ca="1" si="126"/>
        <v>0</v>
      </c>
      <c r="BE69" s="663">
        <f t="shared" ca="1" si="127"/>
        <v>0</v>
      </c>
      <c r="BF69" s="663">
        <f t="shared" ca="1" si="128"/>
        <v>0</v>
      </c>
      <c r="BG69" s="663">
        <f t="shared" ca="1" si="129"/>
        <v>0</v>
      </c>
      <c r="BH69" s="663">
        <f t="shared" ca="1" si="130"/>
        <v>0</v>
      </c>
      <c r="BI69" s="663">
        <f t="shared" ca="1" si="131"/>
        <v>0</v>
      </c>
      <c r="BJ69" s="663">
        <f t="shared" ca="1" si="132"/>
        <v>0</v>
      </c>
      <c r="BK69" s="663">
        <f t="shared" ca="1" si="133"/>
        <v>0</v>
      </c>
      <c r="BL69" s="1918"/>
      <c r="BM69" s="1532"/>
      <c r="BN69" s="1919"/>
      <c r="BO69" s="600"/>
      <c r="BP69" s="601"/>
      <c r="BS69" s="603"/>
      <c r="BT69" s="602"/>
      <c r="BU69" s="602"/>
      <c r="BV69" s="602"/>
      <c r="BW69" s="604"/>
      <c r="BX69" s="605"/>
      <c r="BY69" s="602"/>
      <c r="BZ69" s="602"/>
      <c r="CA69"/>
      <c r="CB69" s="607"/>
      <c r="CC69" s="608"/>
      <c r="CD69" s="608"/>
      <c r="CE69" s="608"/>
      <c r="CF69" s="600"/>
    </row>
    <row r="70" spans="2:84" ht="12" customHeight="1" x14ac:dyDescent="0.35">
      <c r="B70" s="590">
        <f>MATCH(C70,'360SpcLdsCSV'!$C$6:$C$500,0)</f>
        <v>14</v>
      </c>
      <c r="C70" s="590" t="str">
        <f>'360SpcLdsCSV'!C19</f>
        <v>L01-112_AstoRaccBbrd</v>
      </c>
      <c r="D70" s="590" t="str">
        <f t="shared" si="134"/>
        <v>L01</v>
      </c>
      <c r="E70" s="590" t="str">
        <f t="shared" si="135"/>
        <v>Asto</v>
      </c>
      <c r="F70" s="590" t="str">
        <f t="shared" si="136"/>
        <v>Racc</v>
      </c>
      <c r="G70" s="590" t="str">
        <f t="shared" si="137"/>
        <v>Bbrd</v>
      </c>
      <c r="H70" s="590" t="str">
        <f ca="1">OFFSET('360SpcLdsCSV'!$B$5,$B70,H$51)</f>
        <v>Level 1</v>
      </c>
      <c r="I70" s="590" t="str">
        <f ca="1">OFFSET('360SpcLdsCSV'!$B$5,$B70,I$51)</f>
        <v>DirectlyConditioned</v>
      </c>
      <c r="J70" s="590" t="str">
        <f ca="1">OFFSET('360SpcLdsCSV'!$B$5,$B70,J$51)</f>
        <v>Storage Room - &lt;50 ft2</v>
      </c>
      <c r="K70" s="590" t="str">
        <f ca="1">OFFSET('360SpcLdsCSV'!$B$5,$B70,K$51)</f>
        <v>Nonresidential</v>
      </c>
      <c r="L70" s="590" t="str">
        <f ca="1">OFFSET('360SpcLdsCSV'!$B$5,$B70,L$51)</f>
        <v>Thermal Zone: L01-112_AstoRaccBbrd</v>
      </c>
      <c r="M70" s="592">
        <f ca="1">OFFSET('360SpcLdsCSV'!$B$5,$B70,M$51)</f>
        <v>657.36040000000003</v>
      </c>
      <c r="N70" s="592">
        <f ca="1">OFFSET('360SpcLdsCSV'!$B$5,$B70,N$51)</f>
        <v>10517.8</v>
      </c>
      <c r="O70" s="592">
        <f ca="1">OFFSET('360SpcLdsCSV'!$B$5,$B70,O$51)</f>
        <v>0</v>
      </c>
      <c r="P70" s="592">
        <f ca="1">OFFSET('360SpcLdsCSV'!$B$5,$B70,P$51)</f>
        <v>0</v>
      </c>
      <c r="Q70" s="592">
        <f ca="1">OFFSET('360SpcLdsCSV'!$B$5,$B70,Q$51)</f>
        <v>1472.2</v>
      </c>
      <c r="R70" s="592">
        <f ca="1">OFFSET('360SpcLdsCSV'!$B$5,$B70,R$51)</f>
        <v>0</v>
      </c>
      <c r="S70" s="592">
        <f ca="1">OFFSET('360SpcLdsCSV'!$B$5,$B70,S$51)</f>
        <v>0</v>
      </c>
      <c r="T70" s="592">
        <f ca="1">OFFSET('360SpcLdsCSV'!$B$5,$B70,T$51)</f>
        <v>0</v>
      </c>
      <c r="U70" s="592">
        <f ca="1">OFFSET('360SpcLdsCSV'!$B$5,$B70,U$51)</f>
        <v>0</v>
      </c>
      <c r="V70" s="592">
        <f ca="1">OFFSET('360SpcLdsCSV'!$B$5,$B70,V$51)</f>
        <v>0</v>
      </c>
      <c r="W70" s="592">
        <f ca="1">OFFSET('360SpcLdsCSV'!$B$5,$B70,W$51)</f>
        <v>657.4</v>
      </c>
      <c r="X70" s="592">
        <f ca="1">OFFSET('360SpcLdsCSV'!$B$5,$B70,X$51)</f>
        <v>0</v>
      </c>
      <c r="Y70" s="592">
        <f ca="1">OFFSET('360SpcLdsCSV'!$B$5,$B70,Y$51)</f>
        <v>0</v>
      </c>
      <c r="Z70" s="592">
        <f ca="1">OFFSET('360SpcLdsCSV'!$B$5,$B70,Z$51)</f>
        <v>0</v>
      </c>
      <c r="AA70" s="592">
        <f ca="1">OFFSET('360SpcLdsCSV'!$B$5,$B70,AA$51)</f>
        <v>0</v>
      </c>
      <c r="AB70" s="592">
        <f ca="1">OFFSET('360SpcLdsCSV'!$B$5,$B70,AB$51)</f>
        <v>0</v>
      </c>
      <c r="AC70" s="592">
        <f ca="1">OFFSET('360SpcLdsCSV'!$B$5,$B70,AC$51)</f>
        <v>0</v>
      </c>
      <c r="AD70" s="592">
        <f ca="1">OFFSET('360SpcLdsCSV'!$B$5,$B70,AD$51)</f>
        <v>0</v>
      </c>
      <c r="AE70" s="592">
        <f ca="1">OFFSET('360SpcLdsCSV'!$B$5,$B70,AE$51)</f>
        <v>0</v>
      </c>
      <c r="AF70" s="592">
        <f ca="1">OFFSET('360SpcLdsCSV'!$B$5,$B70,AF$51)</f>
        <v>0</v>
      </c>
      <c r="AG70" s="592">
        <f ca="1">OFFSET('360SpcLdsCSV'!$B$5,$B70,AG$51)</f>
        <v>0</v>
      </c>
      <c r="AH70" s="592">
        <f ca="1">OFFSET('360SpcLdsCSV'!$B$5,$B70,AH$51)</f>
        <v>657.4</v>
      </c>
      <c r="AI70" s="592">
        <f ca="1">OFFSET('360SpcLdsCSV'!$B$5,$B70,AI$51)</f>
        <v>0</v>
      </c>
      <c r="AJ70" s="592" cm="1">
        <f t="array" ref="AJ70">_xlfn.IFS($F70="Resi",1,$F70="Racc",0,$F70="Coml",0,$F70="Prkg",0)</f>
        <v>0</v>
      </c>
      <c r="AK70" s="596"/>
      <c r="AL70" s="590">
        <f ca="1">OFFSET('360SpcLdsCSV'!$B$5,$B70,AL$51)</f>
        <v>1</v>
      </c>
      <c r="AM70" s="663">
        <f t="shared" ca="1" si="110"/>
        <v>1</v>
      </c>
      <c r="AN70" s="663">
        <f t="shared" ca="1" si="111"/>
        <v>0</v>
      </c>
      <c r="AO70" s="663">
        <f t="shared" ca="1" si="138"/>
        <v>657.36040000000003</v>
      </c>
      <c r="AP70" s="663">
        <f t="shared" ca="1" si="112"/>
        <v>10517.8</v>
      </c>
      <c r="AQ70" s="663">
        <f t="shared" ca="1" si="113"/>
        <v>0</v>
      </c>
      <c r="AR70" s="663">
        <f t="shared" ca="1" si="114"/>
        <v>0</v>
      </c>
      <c r="AS70" s="663">
        <f t="shared" ca="1" si="115"/>
        <v>1472.2</v>
      </c>
      <c r="AT70" s="663">
        <f t="shared" ca="1" si="116"/>
        <v>0</v>
      </c>
      <c r="AU70" s="663">
        <f t="shared" ca="1" si="117"/>
        <v>0</v>
      </c>
      <c r="AV70" s="663">
        <f t="shared" ca="1" si="118"/>
        <v>0</v>
      </c>
      <c r="AW70" s="663">
        <f t="shared" ca="1" si="119"/>
        <v>0</v>
      </c>
      <c r="AX70" s="663">
        <f t="shared" ca="1" si="120"/>
        <v>0</v>
      </c>
      <c r="AY70" s="663">
        <f t="shared" ca="1" si="121"/>
        <v>657.4</v>
      </c>
      <c r="AZ70" s="663">
        <f t="shared" ca="1" si="122"/>
        <v>0</v>
      </c>
      <c r="BA70" s="663">
        <f t="shared" ca="1" si="123"/>
        <v>0</v>
      </c>
      <c r="BB70" s="663">
        <f t="shared" ca="1" si="124"/>
        <v>0</v>
      </c>
      <c r="BC70" s="663">
        <f t="shared" ca="1" si="125"/>
        <v>0</v>
      </c>
      <c r="BD70" s="663">
        <f t="shared" ca="1" si="126"/>
        <v>0</v>
      </c>
      <c r="BE70" s="663">
        <f t="shared" ca="1" si="127"/>
        <v>0</v>
      </c>
      <c r="BF70" s="663">
        <f t="shared" ca="1" si="128"/>
        <v>0</v>
      </c>
      <c r="BG70" s="663">
        <f t="shared" ca="1" si="129"/>
        <v>0</v>
      </c>
      <c r="BH70" s="663">
        <f t="shared" ca="1" si="130"/>
        <v>0</v>
      </c>
      <c r="BI70" s="663">
        <f t="shared" ca="1" si="131"/>
        <v>0</v>
      </c>
      <c r="BJ70" s="663">
        <f t="shared" ca="1" si="132"/>
        <v>657.4</v>
      </c>
      <c r="BK70" s="663">
        <f t="shared" ca="1" si="133"/>
        <v>0</v>
      </c>
      <c r="BL70" s="1918"/>
      <c r="BM70" s="1532"/>
      <c r="BN70" s="1919"/>
      <c r="BO70" s="600"/>
      <c r="BP70" s="601"/>
      <c r="BS70" s="603"/>
      <c r="BT70" s="602"/>
      <c r="BU70" s="602"/>
      <c r="BV70" s="602"/>
      <c r="BW70" s="604"/>
      <c r="BX70" s="605"/>
      <c r="BY70" s="602"/>
      <c r="BZ70" s="602"/>
      <c r="CA70"/>
      <c r="CB70" s="607"/>
      <c r="CC70" s="608"/>
      <c r="CD70" s="608"/>
      <c r="CE70" s="608"/>
      <c r="CF70" s="600"/>
    </row>
    <row r="71" spans="2:84" ht="12" customHeight="1" x14ac:dyDescent="0.35">
      <c r="B71" s="590">
        <f>MATCH(C71,'360SpcLdsCSV'!$C$6:$C$500,0)</f>
        <v>15</v>
      </c>
      <c r="C71" s="590" t="str">
        <f>'360SpcLdsCSV'!C20</f>
        <v>L01-113_MechRaccBbrd</v>
      </c>
      <c r="D71" s="590" t="str">
        <f t="shared" si="134"/>
        <v>L01</v>
      </c>
      <c r="E71" s="590" t="str">
        <f t="shared" si="135"/>
        <v>Mech</v>
      </c>
      <c r="F71" s="590" t="str">
        <f t="shared" si="136"/>
        <v>Racc</v>
      </c>
      <c r="G71" s="590" t="str">
        <f t="shared" si="137"/>
        <v>Bbrd</v>
      </c>
      <c r="H71" s="590" t="str">
        <f ca="1">OFFSET('360SpcLdsCSV'!$B$5,$B71,H$51)</f>
        <v>Level 1</v>
      </c>
      <c r="I71" s="590" t="str">
        <f ca="1">OFFSET('360SpcLdsCSV'!$B$5,$B71,I$51)</f>
        <v>DirectlyConditioned</v>
      </c>
      <c r="J71" s="590" t="str">
        <f ca="1">OFFSET('360SpcLdsCSV'!$B$5,$B71,J$51)</f>
        <v>Electrical/MechanicaI Room</v>
      </c>
      <c r="K71" s="590" t="str">
        <f ca="1">OFFSET('360SpcLdsCSV'!$B$5,$B71,K$51)</f>
        <v>Nonresidential</v>
      </c>
      <c r="L71" s="590" t="str">
        <f ca="1">OFFSET('360SpcLdsCSV'!$B$5,$B71,L$51)</f>
        <v>Thermal Zone: L01-113_MechRaccBbrd</v>
      </c>
      <c r="M71" s="592">
        <f ca="1">OFFSET('360SpcLdsCSV'!$B$5,$B71,M$51)</f>
        <v>1337.0291</v>
      </c>
      <c r="N71" s="592">
        <f ca="1">OFFSET('360SpcLdsCSV'!$B$5,$B71,N$51)</f>
        <v>21392.5</v>
      </c>
      <c r="O71" s="592">
        <f ca="1">OFFSET('360SpcLdsCSV'!$B$5,$B71,O$51)</f>
        <v>0</v>
      </c>
      <c r="P71" s="592">
        <f ca="1">OFFSET('360SpcLdsCSV'!$B$5,$B71,P$51)</f>
        <v>0</v>
      </c>
      <c r="Q71" s="592">
        <f ca="1">OFFSET('360SpcLdsCSV'!$B$5,$B71,Q$51)</f>
        <v>1317.8</v>
      </c>
      <c r="R71" s="592">
        <f ca="1">OFFSET('360SpcLdsCSV'!$B$5,$B71,R$51)</f>
        <v>0</v>
      </c>
      <c r="S71" s="592">
        <f ca="1">OFFSET('360SpcLdsCSV'!$B$5,$B71,S$51)</f>
        <v>361</v>
      </c>
      <c r="T71" s="592">
        <f ca="1">OFFSET('360SpcLdsCSV'!$B$5,$B71,T$51)</f>
        <v>0</v>
      </c>
      <c r="U71" s="592">
        <f ca="1">OFFSET('360SpcLdsCSV'!$B$5,$B71,U$51)</f>
        <v>0</v>
      </c>
      <c r="V71" s="592">
        <f ca="1">OFFSET('360SpcLdsCSV'!$B$5,$B71,V$51)</f>
        <v>0</v>
      </c>
      <c r="W71" s="592">
        <f ca="1">OFFSET('360SpcLdsCSV'!$B$5,$B71,W$51)</f>
        <v>0</v>
      </c>
      <c r="X71" s="592">
        <f ca="1">OFFSET('360SpcLdsCSV'!$B$5,$B71,X$51)</f>
        <v>0</v>
      </c>
      <c r="Y71" s="592">
        <f ca="1">OFFSET('360SpcLdsCSV'!$B$5,$B71,Y$51)</f>
        <v>0</v>
      </c>
      <c r="Z71" s="592">
        <f ca="1">OFFSET('360SpcLdsCSV'!$B$5,$B71,Z$51)</f>
        <v>0</v>
      </c>
      <c r="AA71" s="592">
        <f ca="1">OFFSET('360SpcLdsCSV'!$B$5,$B71,AA$51)</f>
        <v>0</v>
      </c>
      <c r="AB71" s="592">
        <f ca="1">OFFSET('360SpcLdsCSV'!$B$5,$B71,AB$51)</f>
        <v>0</v>
      </c>
      <c r="AC71" s="592">
        <f ca="1">OFFSET('360SpcLdsCSV'!$B$5,$B71,AC$51)</f>
        <v>0</v>
      </c>
      <c r="AD71" s="592">
        <f ca="1">OFFSET('360SpcLdsCSV'!$B$5,$B71,AD$51)</f>
        <v>0</v>
      </c>
      <c r="AE71" s="592">
        <f ca="1">OFFSET('360SpcLdsCSV'!$B$5,$B71,AE$51)</f>
        <v>0</v>
      </c>
      <c r="AF71" s="592">
        <f ca="1">OFFSET('360SpcLdsCSV'!$B$5,$B71,AF$51)</f>
        <v>0</v>
      </c>
      <c r="AG71" s="592">
        <f ca="1">OFFSET('360SpcLdsCSV'!$B$5,$B71,AG$51)</f>
        <v>0</v>
      </c>
      <c r="AH71" s="592">
        <f ca="1">OFFSET('360SpcLdsCSV'!$B$5,$B71,AH$51)</f>
        <v>1205.5</v>
      </c>
      <c r="AI71" s="592">
        <f ca="1">OFFSET('360SpcLdsCSV'!$B$5,$B71,AI$51)</f>
        <v>0</v>
      </c>
      <c r="AJ71" s="592" cm="1">
        <f t="array" ref="AJ71">_xlfn.IFS($F71="Resi",1,$F71="Racc",0,$F71="Coml",0,$F71="Prkg",0)</f>
        <v>0</v>
      </c>
      <c r="AK71" s="596"/>
      <c r="AL71" s="590">
        <f ca="1">OFFSET('360SpcLdsCSV'!$B$5,$B71,AL$51)</f>
        <v>1</v>
      </c>
      <c r="AM71" s="663">
        <f t="shared" ca="1" si="110"/>
        <v>1</v>
      </c>
      <c r="AN71" s="663">
        <f t="shared" ca="1" si="111"/>
        <v>0</v>
      </c>
      <c r="AO71" s="663">
        <f t="shared" ca="1" si="138"/>
        <v>1337.0291</v>
      </c>
      <c r="AP71" s="663">
        <f t="shared" ca="1" si="112"/>
        <v>21392.5</v>
      </c>
      <c r="AQ71" s="663">
        <f t="shared" ca="1" si="113"/>
        <v>0</v>
      </c>
      <c r="AR71" s="663">
        <f t="shared" ca="1" si="114"/>
        <v>0</v>
      </c>
      <c r="AS71" s="663">
        <f t="shared" ca="1" si="115"/>
        <v>1317.8</v>
      </c>
      <c r="AT71" s="663">
        <f t="shared" ca="1" si="116"/>
        <v>0</v>
      </c>
      <c r="AU71" s="663">
        <f t="shared" ca="1" si="117"/>
        <v>361</v>
      </c>
      <c r="AV71" s="663">
        <f t="shared" ca="1" si="118"/>
        <v>0</v>
      </c>
      <c r="AW71" s="663">
        <f t="shared" ca="1" si="119"/>
        <v>0</v>
      </c>
      <c r="AX71" s="663">
        <f t="shared" ca="1" si="120"/>
        <v>0</v>
      </c>
      <c r="AY71" s="663">
        <f t="shared" ca="1" si="121"/>
        <v>0</v>
      </c>
      <c r="AZ71" s="663">
        <f t="shared" ca="1" si="122"/>
        <v>0</v>
      </c>
      <c r="BA71" s="663">
        <f t="shared" ca="1" si="123"/>
        <v>0</v>
      </c>
      <c r="BB71" s="663">
        <f t="shared" ca="1" si="124"/>
        <v>0</v>
      </c>
      <c r="BC71" s="663">
        <f t="shared" ca="1" si="125"/>
        <v>0</v>
      </c>
      <c r="BD71" s="663">
        <f t="shared" ca="1" si="126"/>
        <v>0</v>
      </c>
      <c r="BE71" s="663">
        <f t="shared" ca="1" si="127"/>
        <v>0</v>
      </c>
      <c r="BF71" s="663">
        <f t="shared" ca="1" si="128"/>
        <v>0</v>
      </c>
      <c r="BG71" s="663">
        <f t="shared" ca="1" si="129"/>
        <v>0</v>
      </c>
      <c r="BH71" s="663">
        <f t="shared" ca="1" si="130"/>
        <v>0</v>
      </c>
      <c r="BI71" s="663">
        <f t="shared" ca="1" si="131"/>
        <v>0</v>
      </c>
      <c r="BJ71" s="663">
        <f t="shared" ca="1" si="132"/>
        <v>1205.5</v>
      </c>
      <c r="BK71" s="663">
        <f t="shared" ca="1" si="133"/>
        <v>0</v>
      </c>
      <c r="BL71" s="1918"/>
      <c r="BM71" s="1532"/>
      <c r="BN71" s="1919"/>
      <c r="BO71" s="600"/>
      <c r="BP71" s="601"/>
      <c r="BS71" s="603"/>
      <c r="BT71" s="602"/>
      <c r="BU71" s="602"/>
      <c r="BV71" s="602"/>
      <c r="BW71" s="604"/>
      <c r="BX71" s="605"/>
      <c r="BY71" s="602"/>
      <c r="BZ71" s="602"/>
      <c r="CA71"/>
      <c r="CB71" s="607"/>
      <c r="CC71" s="608"/>
      <c r="CD71" s="608"/>
      <c r="CE71" s="608"/>
      <c r="CF71" s="600"/>
    </row>
    <row r="72" spans="2:84" ht="12" customHeight="1" x14ac:dyDescent="0.35">
      <c r="B72" s="590">
        <f>MATCH(C72,'360SpcLdsCSV'!$C$6:$C$500,0)</f>
        <v>16</v>
      </c>
      <c r="C72" s="590" t="str">
        <f>'360SpcLdsCSV'!C21</f>
        <v>L01-114_CorrRaccBbrdHrv2</v>
      </c>
      <c r="D72" s="590" t="str">
        <f t="shared" si="134"/>
        <v>L01</v>
      </c>
      <c r="E72" s="590" t="str">
        <f t="shared" si="135"/>
        <v>Corr</v>
      </c>
      <c r="F72" s="590" t="str">
        <f t="shared" si="136"/>
        <v>Racc</v>
      </c>
      <c r="G72" s="590" t="str">
        <f t="shared" si="137"/>
        <v>Hrv2</v>
      </c>
      <c r="H72" s="590" t="str">
        <f ca="1">OFFSET('360SpcLdsCSV'!$B$5,$B72,H$51)</f>
        <v>Level 1</v>
      </c>
      <c r="I72" s="590" t="str">
        <f ca="1">OFFSET('360SpcLdsCSV'!$B$5,$B72,I$51)</f>
        <v>DirectlyConditioned</v>
      </c>
      <c r="J72" s="590" t="str">
        <f ca="1">OFFSET('360SpcLdsCSV'!$B$5,$B72,J$51)</f>
        <v>Corridor - All other</v>
      </c>
      <c r="K72" s="590" t="str">
        <f ca="1">OFFSET('360SpcLdsCSV'!$B$5,$B72,K$51)</f>
        <v>Nonresidential</v>
      </c>
      <c r="L72" s="590" t="str">
        <f ca="1">OFFSET('360SpcLdsCSV'!$B$5,$B72,L$51)</f>
        <v>Thermal Zone: L01-114_CorrRaccBbrdHrv2</v>
      </c>
      <c r="M72" s="592">
        <f ca="1">OFFSET('360SpcLdsCSV'!$B$5,$B72,M$51)</f>
        <v>538.16390000000001</v>
      </c>
      <c r="N72" s="592">
        <f ca="1">OFFSET('360SpcLdsCSV'!$B$5,$B72,N$51)</f>
        <v>8610.6200000000008</v>
      </c>
      <c r="O72" s="592">
        <f ca="1">OFFSET('360SpcLdsCSV'!$B$5,$B72,O$51)</f>
        <v>0</v>
      </c>
      <c r="P72" s="592">
        <f ca="1">OFFSET('360SpcLdsCSV'!$B$5,$B72,P$51)</f>
        <v>0</v>
      </c>
      <c r="Q72" s="592">
        <f ca="1">OFFSET('360SpcLdsCSV'!$B$5,$B72,Q$51)</f>
        <v>446.1</v>
      </c>
      <c r="R72" s="592">
        <f ca="1">OFFSET('360SpcLdsCSV'!$B$5,$B72,R$51)</f>
        <v>0</v>
      </c>
      <c r="S72" s="592">
        <f ca="1">OFFSET('360SpcLdsCSV'!$B$5,$B72,S$51)</f>
        <v>249.3</v>
      </c>
      <c r="T72" s="592">
        <f ca="1">OFFSET('360SpcLdsCSV'!$B$5,$B72,T$51)</f>
        <v>0</v>
      </c>
      <c r="U72" s="592">
        <f ca="1">OFFSET('360SpcLdsCSV'!$B$5,$B72,U$51)</f>
        <v>0</v>
      </c>
      <c r="V72" s="592">
        <f ca="1">OFFSET('360SpcLdsCSV'!$B$5,$B72,V$51)</f>
        <v>0</v>
      </c>
      <c r="W72" s="592">
        <f ca="1">OFFSET('360SpcLdsCSV'!$B$5,$B72,W$51)</f>
        <v>0</v>
      </c>
      <c r="X72" s="592">
        <f ca="1">OFFSET('360SpcLdsCSV'!$B$5,$B72,X$51)</f>
        <v>0</v>
      </c>
      <c r="Y72" s="592">
        <f ca="1">OFFSET('360SpcLdsCSV'!$B$5,$B72,Y$51)</f>
        <v>0</v>
      </c>
      <c r="Z72" s="592">
        <f ca="1">OFFSET('360SpcLdsCSV'!$B$5,$B72,Z$51)</f>
        <v>0</v>
      </c>
      <c r="AA72" s="592">
        <f ca="1">OFFSET('360SpcLdsCSV'!$B$5,$B72,AA$51)</f>
        <v>0</v>
      </c>
      <c r="AB72" s="592">
        <f ca="1">OFFSET('360SpcLdsCSV'!$B$5,$B72,AB$51)</f>
        <v>0</v>
      </c>
      <c r="AC72" s="592">
        <f ca="1">OFFSET('360SpcLdsCSV'!$B$5,$B72,AC$51)</f>
        <v>0</v>
      </c>
      <c r="AD72" s="592">
        <f ca="1">OFFSET('360SpcLdsCSV'!$B$5,$B72,AD$51)</f>
        <v>0</v>
      </c>
      <c r="AE72" s="592">
        <f ca="1">OFFSET('360SpcLdsCSV'!$B$5,$B72,AE$51)</f>
        <v>0</v>
      </c>
      <c r="AF72" s="592">
        <f ca="1">OFFSET('360SpcLdsCSV'!$B$5,$B72,AF$51)</f>
        <v>0</v>
      </c>
      <c r="AG72" s="592">
        <f ca="1">OFFSET('360SpcLdsCSV'!$B$5,$B72,AG$51)</f>
        <v>0</v>
      </c>
      <c r="AH72" s="592">
        <f ca="1">OFFSET('360SpcLdsCSV'!$B$5,$B72,AH$51)</f>
        <v>156.6</v>
      </c>
      <c r="AI72" s="592">
        <f ca="1">OFFSET('360SpcLdsCSV'!$B$5,$B72,AI$51)</f>
        <v>0</v>
      </c>
      <c r="AJ72" s="592" cm="1">
        <f t="array" ref="AJ72">_xlfn.IFS($F72="Resi",1,$F72="Racc",0,$F72="Coml",0,$F72="Prkg",0)</f>
        <v>0</v>
      </c>
      <c r="AK72" s="596"/>
      <c r="AL72" s="590">
        <f ca="1">OFFSET('360SpcLdsCSV'!$B$5,$B72,AL$51)</f>
        <v>1</v>
      </c>
      <c r="AM72" s="663">
        <f t="shared" ca="1" si="110"/>
        <v>1</v>
      </c>
      <c r="AN72" s="663">
        <f t="shared" ca="1" si="111"/>
        <v>0</v>
      </c>
      <c r="AO72" s="663">
        <f t="shared" ca="1" si="138"/>
        <v>538.16390000000001</v>
      </c>
      <c r="AP72" s="663">
        <f t="shared" ca="1" si="112"/>
        <v>8610.6200000000008</v>
      </c>
      <c r="AQ72" s="663">
        <f t="shared" ca="1" si="113"/>
        <v>0</v>
      </c>
      <c r="AR72" s="663">
        <f t="shared" ca="1" si="114"/>
        <v>0</v>
      </c>
      <c r="AS72" s="663">
        <f t="shared" ca="1" si="115"/>
        <v>446.1</v>
      </c>
      <c r="AT72" s="663">
        <f t="shared" ca="1" si="116"/>
        <v>0</v>
      </c>
      <c r="AU72" s="663">
        <f t="shared" ca="1" si="117"/>
        <v>249.3</v>
      </c>
      <c r="AV72" s="663">
        <f t="shared" ca="1" si="118"/>
        <v>0</v>
      </c>
      <c r="AW72" s="663">
        <f t="shared" ca="1" si="119"/>
        <v>0</v>
      </c>
      <c r="AX72" s="663">
        <f t="shared" ca="1" si="120"/>
        <v>0</v>
      </c>
      <c r="AY72" s="663">
        <f t="shared" ca="1" si="121"/>
        <v>0</v>
      </c>
      <c r="AZ72" s="663">
        <f t="shared" ca="1" si="122"/>
        <v>0</v>
      </c>
      <c r="BA72" s="663">
        <f t="shared" ca="1" si="123"/>
        <v>0</v>
      </c>
      <c r="BB72" s="663">
        <f t="shared" ca="1" si="124"/>
        <v>0</v>
      </c>
      <c r="BC72" s="663">
        <f t="shared" ca="1" si="125"/>
        <v>0</v>
      </c>
      <c r="BD72" s="663">
        <f t="shared" ca="1" si="126"/>
        <v>0</v>
      </c>
      <c r="BE72" s="663">
        <f t="shared" ca="1" si="127"/>
        <v>0</v>
      </c>
      <c r="BF72" s="663">
        <f t="shared" ca="1" si="128"/>
        <v>0</v>
      </c>
      <c r="BG72" s="663">
        <f t="shared" ca="1" si="129"/>
        <v>0</v>
      </c>
      <c r="BH72" s="663">
        <f t="shared" ca="1" si="130"/>
        <v>0</v>
      </c>
      <c r="BI72" s="663">
        <f t="shared" ca="1" si="131"/>
        <v>0</v>
      </c>
      <c r="BJ72" s="663">
        <f t="shared" ca="1" si="132"/>
        <v>156.6</v>
      </c>
      <c r="BK72" s="663">
        <f t="shared" ca="1" si="133"/>
        <v>0</v>
      </c>
      <c r="BL72" s="1918"/>
      <c r="BM72" s="1532"/>
      <c r="BN72" s="1919"/>
      <c r="BO72" s="600"/>
      <c r="BP72" s="601"/>
      <c r="BS72" s="603"/>
      <c r="BT72" s="602"/>
      <c r="BU72" s="602"/>
      <c r="BV72" s="602"/>
      <c r="BW72" s="604"/>
      <c r="BX72" s="605"/>
      <c r="BY72" s="602"/>
      <c r="BZ72" s="602"/>
      <c r="CA72"/>
      <c r="CB72" s="607"/>
      <c r="CC72" s="608"/>
      <c r="CD72" s="608"/>
      <c r="CE72" s="608"/>
      <c r="CF72" s="600"/>
    </row>
    <row r="73" spans="2:84" ht="12" customHeight="1" x14ac:dyDescent="0.35">
      <c r="B73" s="590">
        <f>MATCH(C73,'360SpcLdsCSV'!$C$6:$C$500,0)</f>
        <v>17</v>
      </c>
      <c r="C73" s="590" t="str">
        <f>'360SpcLdsCSV'!C22</f>
        <v>L01-115_TrxfUncd</v>
      </c>
      <c r="D73" s="590" t="str">
        <f t="shared" si="134"/>
        <v>L01</v>
      </c>
      <c r="E73" s="590" t="str">
        <f t="shared" si="135"/>
        <v>Trxf</v>
      </c>
      <c r="F73" s="590" t="str">
        <f t="shared" si="136"/>
        <v>Uncd</v>
      </c>
      <c r="G73" s="590" t="str">
        <f t="shared" si="137"/>
        <v>Uncd</v>
      </c>
      <c r="H73" s="590" t="str">
        <f ca="1">OFFSET('360SpcLdsCSV'!$B$5,$B73,H$51)</f>
        <v>Level 1</v>
      </c>
      <c r="I73" s="590" t="str">
        <f ca="1">OFFSET('360SpcLdsCSV'!$B$5,$B73,I$51)</f>
        <v>Unconditioned</v>
      </c>
      <c r="J73" s="590" t="str">
        <f ca="1">OFFSET('360SpcLdsCSV'!$B$5,$B73,J$51)</f>
        <v>Unoccupied-Exclude from Gross Floor Area</v>
      </c>
      <c r="K73" s="590" t="str">
        <f ca="1">OFFSET('360SpcLdsCSV'!$B$5,$B73,K$51)</f>
        <v>Nonresidential</v>
      </c>
      <c r="L73" s="590" t="str">
        <f ca="1">OFFSET('360SpcLdsCSV'!$B$5,$B73,L$51)</f>
        <v>Thermal Zone: L01-115_TrxfUncd</v>
      </c>
      <c r="M73" s="592">
        <f ca="1">OFFSET('360SpcLdsCSV'!$B$5,$B73,M$51)</f>
        <v>0</v>
      </c>
      <c r="N73" s="592">
        <f ca="1">OFFSET('360SpcLdsCSV'!$B$5,$B73,N$51)</f>
        <v>5623.76</v>
      </c>
      <c r="O73" s="592">
        <f ca="1">OFFSET('360SpcLdsCSV'!$B$5,$B73,O$51)</f>
        <v>0</v>
      </c>
      <c r="P73" s="592">
        <f ca="1">OFFSET('360SpcLdsCSV'!$B$5,$B73,P$51)</f>
        <v>0</v>
      </c>
      <c r="Q73" s="592">
        <f ca="1">OFFSET('360SpcLdsCSV'!$B$5,$B73,Q$51)</f>
        <v>0</v>
      </c>
      <c r="R73" s="592">
        <f ca="1">OFFSET('360SpcLdsCSV'!$B$5,$B73,R$51)</f>
        <v>0</v>
      </c>
      <c r="S73" s="592">
        <f ca="1">OFFSET('360SpcLdsCSV'!$B$5,$B73,S$51)</f>
        <v>0</v>
      </c>
      <c r="T73" s="592">
        <f ca="1">OFFSET('360SpcLdsCSV'!$B$5,$B73,T$51)</f>
        <v>0</v>
      </c>
      <c r="U73" s="592">
        <f ca="1">OFFSET('360SpcLdsCSV'!$B$5,$B73,U$51)</f>
        <v>0</v>
      </c>
      <c r="V73" s="592">
        <f ca="1">OFFSET('360SpcLdsCSV'!$B$5,$B73,V$51)</f>
        <v>0</v>
      </c>
      <c r="W73" s="592">
        <f ca="1">OFFSET('360SpcLdsCSV'!$B$5,$B73,W$51)</f>
        <v>0</v>
      </c>
      <c r="X73" s="592">
        <f ca="1">OFFSET('360SpcLdsCSV'!$B$5,$B73,X$51)</f>
        <v>0</v>
      </c>
      <c r="Y73" s="592">
        <f ca="1">OFFSET('360SpcLdsCSV'!$B$5,$B73,Y$51)</f>
        <v>0</v>
      </c>
      <c r="Z73" s="592">
        <f ca="1">OFFSET('360SpcLdsCSV'!$B$5,$B73,Z$51)</f>
        <v>0</v>
      </c>
      <c r="AA73" s="592">
        <f ca="1">OFFSET('360SpcLdsCSV'!$B$5,$B73,AA$51)</f>
        <v>0</v>
      </c>
      <c r="AB73" s="592">
        <f ca="1">OFFSET('360SpcLdsCSV'!$B$5,$B73,AB$51)</f>
        <v>0</v>
      </c>
      <c r="AC73" s="592">
        <f ca="1">OFFSET('360SpcLdsCSV'!$B$5,$B73,AC$51)</f>
        <v>0</v>
      </c>
      <c r="AD73" s="592">
        <f ca="1">OFFSET('360SpcLdsCSV'!$B$5,$B73,AD$51)</f>
        <v>0</v>
      </c>
      <c r="AE73" s="592">
        <f ca="1">OFFSET('360SpcLdsCSV'!$B$5,$B73,AE$51)</f>
        <v>0</v>
      </c>
      <c r="AF73" s="592">
        <f ca="1">OFFSET('360SpcLdsCSV'!$B$5,$B73,AF$51)</f>
        <v>0</v>
      </c>
      <c r="AG73" s="592">
        <f ca="1">OFFSET('360SpcLdsCSV'!$B$5,$B73,AG$51)</f>
        <v>0</v>
      </c>
      <c r="AH73" s="592">
        <f ca="1">OFFSET('360SpcLdsCSV'!$B$5,$B73,AH$51)</f>
        <v>0</v>
      </c>
      <c r="AI73" s="592">
        <f ca="1">OFFSET('360SpcLdsCSV'!$B$5,$B73,AI$51)</f>
        <v>0</v>
      </c>
      <c r="AJ73" s="592" t="e" cm="1">
        <f t="array" ref="AJ73">_xlfn.IFS($F73="Resi",1,$F73="Racc",0,$F73="Coml",0,$F73="Prkg",0)</f>
        <v>#N/A</v>
      </c>
      <c r="AK73" s="596"/>
      <c r="AL73" s="590">
        <f ca="1">OFFSET('360SpcLdsCSV'!$B$5,$B73,AL$51)</f>
        <v>1</v>
      </c>
      <c r="AM73" s="663">
        <f t="shared" ca="1" si="110"/>
        <v>0</v>
      </c>
      <c r="AN73" s="663">
        <f t="shared" ca="1" si="111"/>
        <v>0</v>
      </c>
      <c r="AO73" s="663">
        <f t="shared" ca="1" si="138"/>
        <v>0</v>
      </c>
      <c r="AP73" s="663">
        <f t="shared" ca="1" si="112"/>
        <v>5623.76</v>
      </c>
      <c r="AQ73" s="663">
        <f t="shared" ca="1" si="113"/>
        <v>0</v>
      </c>
      <c r="AR73" s="663">
        <f t="shared" ca="1" si="114"/>
        <v>0</v>
      </c>
      <c r="AS73" s="663">
        <f t="shared" ca="1" si="115"/>
        <v>0</v>
      </c>
      <c r="AT73" s="663">
        <f t="shared" ca="1" si="116"/>
        <v>0</v>
      </c>
      <c r="AU73" s="663">
        <f t="shared" ca="1" si="117"/>
        <v>0</v>
      </c>
      <c r="AV73" s="663">
        <f t="shared" ca="1" si="118"/>
        <v>0</v>
      </c>
      <c r="AW73" s="663">
        <f t="shared" ca="1" si="119"/>
        <v>0</v>
      </c>
      <c r="AX73" s="663">
        <f t="shared" ca="1" si="120"/>
        <v>0</v>
      </c>
      <c r="AY73" s="663">
        <f t="shared" ca="1" si="121"/>
        <v>0</v>
      </c>
      <c r="AZ73" s="663">
        <f t="shared" ca="1" si="122"/>
        <v>0</v>
      </c>
      <c r="BA73" s="663">
        <f t="shared" ca="1" si="123"/>
        <v>0</v>
      </c>
      <c r="BB73" s="663">
        <f t="shared" ca="1" si="124"/>
        <v>0</v>
      </c>
      <c r="BC73" s="663">
        <f t="shared" ca="1" si="125"/>
        <v>0</v>
      </c>
      <c r="BD73" s="663">
        <f t="shared" ca="1" si="126"/>
        <v>0</v>
      </c>
      <c r="BE73" s="663">
        <f t="shared" ca="1" si="127"/>
        <v>0</v>
      </c>
      <c r="BF73" s="663">
        <f t="shared" ca="1" si="128"/>
        <v>0</v>
      </c>
      <c r="BG73" s="663">
        <f t="shared" ca="1" si="129"/>
        <v>0</v>
      </c>
      <c r="BH73" s="663">
        <f t="shared" ca="1" si="130"/>
        <v>0</v>
      </c>
      <c r="BI73" s="663">
        <f t="shared" ca="1" si="131"/>
        <v>0</v>
      </c>
      <c r="BJ73" s="663">
        <f t="shared" ca="1" si="132"/>
        <v>0</v>
      </c>
      <c r="BK73" s="663">
        <f t="shared" ca="1" si="133"/>
        <v>0</v>
      </c>
      <c r="BL73" s="1918"/>
      <c r="BM73" s="1532"/>
      <c r="BN73" s="1919"/>
      <c r="BO73" s="600"/>
      <c r="BP73" s="601"/>
      <c r="BS73" s="603"/>
      <c r="BT73" s="602"/>
      <c r="BU73" s="602"/>
      <c r="BV73" s="602"/>
      <c r="BW73" s="604"/>
      <c r="BX73" s="605"/>
      <c r="BY73" s="602"/>
      <c r="BZ73" s="602"/>
      <c r="CA73"/>
      <c r="CB73" s="607"/>
      <c r="CC73" s="608"/>
      <c r="CD73" s="608"/>
      <c r="CE73" s="608"/>
      <c r="CF73" s="600"/>
    </row>
    <row r="74" spans="2:84" ht="12" customHeight="1" x14ac:dyDescent="0.35">
      <c r="B74" s="590">
        <f>MATCH(C74,'360SpcLdsCSV'!$C$6:$C$500,0)</f>
        <v>18</v>
      </c>
      <c r="C74" s="590" t="str">
        <f>'360SpcLdsCSV'!C23</f>
        <v>L02-200_CorrRaccSphp</v>
      </c>
      <c r="D74" s="590" t="str">
        <f t="shared" si="134"/>
        <v>L02</v>
      </c>
      <c r="E74" s="590" t="str">
        <f t="shared" si="135"/>
        <v>Corr</v>
      </c>
      <c r="F74" s="590" t="str">
        <f t="shared" si="136"/>
        <v>Racc</v>
      </c>
      <c r="G74" s="590" t="str">
        <f t="shared" si="137"/>
        <v>Sphp</v>
      </c>
      <c r="H74" s="590" t="str">
        <f ca="1">OFFSET('360SpcLdsCSV'!$B$5,$B74,H$51)</f>
        <v>Level 2</v>
      </c>
      <c r="I74" s="590" t="str">
        <f ca="1">OFFSET('360SpcLdsCSV'!$B$5,$B74,I$51)</f>
        <v>DirectlyConditioned</v>
      </c>
      <c r="J74" s="590" t="str">
        <f ca="1">OFFSET('360SpcLdsCSV'!$B$5,$B74,J$51)</f>
        <v>Corridor - All other</v>
      </c>
      <c r="K74" s="590" t="str">
        <f ca="1">OFFSET('360SpcLdsCSV'!$B$5,$B74,K$51)</f>
        <v>Nonresidential</v>
      </c>
      <c r="L74" s="590" t="str">
        <f ca="1">OFFSET('360SpcLdsCSV'!$B$5,$B74,L$51)</f>
        <v>Thermal Zone: L02-200_CorrRaccSphp</v>
      </c>
      <c r="M74" s="592">
        <f ca="1">OFFSET('360SpcLdsCSV'!$B$5,$B74,M$51)</f>
        <v>1795.9657999999999</v>
      </c>
      <c r="N74" s="592">
        <f ca="1">OFFSET('360SpcLdsCSV'!$B$5,$B74,N$51)</f>
        <v>17959.7</v>
      </c>
      <c r="O74" s="592">
        <f ca="1">OFFSET('360SpcLdsCSV'!$B$5,$B74,O$51)</f>
        <v>0</v>
      </c>
      <c r="P74" s="592">
        <f ca="1">OFFSET('360SpcLdsCSV'!$B$5,$B74,P$51)</f>
        <v>0</v>
      </c>
      <c r="Q74" s="592">
        <f ca="1">OFFSET('360SpcLdsCSV'!$B$5,$B74,Q$51)</f>
        <v>185.9</v>
      </c>
      <c r="R74" s="592">
        <f ca="1">OFFSET('360SpcLdsCSV'!$B$5,$B74,R$51)</f>
        <v>12.1</v>
      </c>
      <c r="S74" s="592">
        <f ca="1">OFFSET('360SpcLdsCSV'!$B$5,$B74,S$51)</f>
        <v>0</v>
      </c>
      <c r="T74" s="592">
        <f ca="1">OFFSET('360SpcLdsCSV'!$B$5,$B74,T$51)</f>
        <v>0</v>
      </c>
      <c r="U74" s="592">
        <f ca="1">OFFSET('360SpcLdsCSV'!$B$5,$B74,U$51)</f>
        <v>0</v>
      </c>
      <c r="V74" s="592">
        <f ca="1">OFFSET('360SpcLdsCSV'!$B$5,$B74,V$51)</f>
        <v>0</v>
      </c>
      <c r="W74" s="592">
        <f ca="1">OFFSET('360SpcLdsCSV'!$B$5,$B74,W$51)</f>
        <v>0</v>
      </c>
      <c r="X74" s="592">
        <f ca="1">OFFSET('360SpcLdsCSV'!$B$5,$B74,X$51)</f>
        <v>0</v>
      </c>
      <c r="Y74" s="592">
        <f ca="1">OFFSET('360SpcLdsCSV'!$B$5,$B74,Y$51)</f>
        <v>0</v>
      </c>
      <c r="Z74" s="592">
        <f ca="1">OFFSET('360SpcLdsCSV'!$B$5,$B74,Z$51)</f>
        <v>0</v>
      </c>
      <c r="AA74" s="592">
        <f ca="1">OFFSET('360SpcLdsCSV'!$B$5,$B74,AA$51)</f>
        <v>0</v>
      </c>
      <c r="AB74" s="592">
        <f ca="1">OFFSET('360SpcLdsCSV'!$B$5,$B74,AB$51)</f>
        <v>29.8</v>
      </c>
      <c r="AC74" s="592">
        <f ca="1">OFFSET('360SpcLdsCSV'!$B$5,$B74,AC$51)</f>
        <v>0</v>
      </c>
      <c r="AD74" s="592">
        <f ca="1">OFFSET('360SpcLdsCSV'!$B$5,$B74,AD$51)</f>
        <v>0</v>
      </c>
      <c r="AE74" s="592">
        <f ca="1">OFFSET('360SpcLdsCSV'!$B$5,$B74,AE$51)</f>
        <v>0</v>
      </c>
      <c r="AF74" s="592">
        <f ca="1">OFFSET('360SpcLdsCSV'!$B$5,$B74,AF$51)</f>
        <v>0</v>
      </c>
      <c r="AG74" s="592">
        <f ca="1">OFFSET('360SpcLdsCSV'!$B$5,$B74,AG$51)</f>
        <v>0</v>
      </c>
      <c r="AH74" s="592">
        <f ca="1">OFFSET('360SpcLdsCSV'!$B$5,$B74,AH$51)</f>
        <v>0</v>
      </c>
      <c r="AI74" s="592">
        <f ca="1">OFFSET('360SpcLdsCSV'!$B$5,$B74,AI$51)</f>
        <v>0</v>
      </c>
      <c r="AJ74" s="592" cm="1">
        <f t="array" ref="AJ74">_xlfn.IFS($F74="Resi",1,$F74="Racc",0,$F74="Coml",0,$F74="Prkg",0)</f>
        <v>0</v>
      </c>
      <c r="AK74" s="596"/>
      <c r="AL74" s="590">
        <f ca="1">OFFSET('360SpcLdsCSV'!$B$5,$B74,AL$51)</f>
        <v>1</v>
      </c>
      <c r="AM74" s="663">
        <f t="shared" ca="1" si="110"/>
        <v>1</v>
      </c>
      <c r="AN74" s="663">
        <f t="shared" ca="1" si="111"/>
        <v>0</v>
      </c>
      <c r="AO74" s="663">
        <f t="shared" ca="1" si="138"/>
        <v>1795.9657999999999</v>
      </c>
      <c r="AP74" s="663">
        <f t="shared" ca="1" si="112"/>
        <v>17959.7</v>
      </c>
      <c r="AQ74" s="663">
        <f t="shared" ca="1" si="113"/>
        <v>0</v>
      </c>
      <c r="AR74" s="663">
        <f t="shared" ca="1" si="114"/>
        <v>0</v>
      </c>
      <c r="AS74" s="663">
        <f t="shared" ca="1" si="115"/>
        <v>185.9</v>
      </c>
      <c r="AT74" s="663">
        <f t="shared" ca="1" si="116"/>
        <v>12.1</v>
      </c>
      <c r="AU74" s="663">
        <f t="shared" ca="1" si="117"/>
        <v>0</v>
      </c>
      <c r="AV74" s="663">
        <f t="shared" ca="1" si="118"/>
        <v>0</v>
      </c>
      <c r="AW74" s="663">
        <f t="shared" ca="1" si="119"/>
        <v>0</v>
      </c>
      <c r="AX74" s="663">
        <f t="shared" ca="1" si="120"/>
        <v>0</v>
      </c>
      <c r="AY74" s="663">
        <f t="shared" ca="1" si="121"/>
        <v>0</v>
      </c>
      <c r="AZ74" s="663">
        <f t="shared" ca="1" si="122"/>
        <v>0</v>
      </c>
      <c r="BA74" s="663">
        <f t="shared" ca="1" si="123"/>
        <v>0</v>
      </c>
      <c r="BB74" s="663">
        <f t="shared" ca="1" si="124"/>
        <v>0</v>
      </c>
      <c r="BC74" s="663">
        <f t="shared" ca="1" si="125"/>
        <v>0</v>
      </c>
      <c r="BD74" s="663">
        <f t="shared" ca="1" si="126"/>
        <v>29.8</v>
      </c>
      <c r="BE74" s="663">
        <f t="shared" ca="1" si="127"/>
        <v>0</v>
      </c>
      <c r="BF74" s="663">
        <f t="shared" ca="1" si="128"/>
        <v>0</v>
      </c>
      <c r="BG74" s="663">
        <f t="shared" ca="1" si="129"/>
        <v>0</v>
      </c>
      <c r="BH74" s="663">
        <f t="shared" ca="1" si="130"/>
        <v>0</v>
      </c>
      <c r="BI74" s="663">
        <f t="shared" ca="1" si="131"/>
        <v>0</v>
      </c>
      <c r="BJ74" s="663">
        <f t="shared" ca="1" si="132"/>
        <v>0</v>
      </c>
      <c r="BK74" s="663">
        <f t="shared" ca="1" si="133"/>
        <v>0</v>
      </c>
      <c r="BL74" s="1918"/>
      <c r="BM74" s="1532"/>
      <c r="BN74" s="1919"/>
      <c r="BO74" s="600"/>
      <c r="BP74" s="601"/>
      <c r="BS74" s="603"/>
      <c r="BT74" s="602"/>
      <c r="BU74" s="602"/>
      <c r="BV74" s="602"/>
      <c r="BW74" s="604"/>
      <c r="BX74" s="605"/>
      <c r="BY74" s="602"/>
      <c r="BZ74" s="602"/>
      <c r="CA74"/>
      <c r="CB74" s="607"/>
      <c r="CC74" s="608"/>
      <c r="CD74" s="608"/>
      <c r="CE74" s="608"/>
      <c r="CF74" s="600"/>
    </row>
    <row r="75" spans="2:84" ht="12" customHeight="1" x14ac:dyDescent="0.35">
      <c r="B75" s="590">
        <f>MATCH(C75,'360SpcLdsCSV'!$C$6:$C$500,0)</f>
        <v>19</v>
      </c>
      <c r="C75" s="590" t="str">
        <f>'360SpcLdsCSV'!C24</f>
        <v>L02-201_OfceRaccPthpHrv3</v>
      </c>
      <c r="D75" s="590" t="str">
        <f t="shared" si="134"/>
        <v>L02</v>
      </c>
      <c r="E75" s="590" t="str">
        <f t="shared" si="135"/>
        <v>Ofce</v>
      </c>
      <c r="F75" s="590" t="str">
        <f t="shared" si="136"/>
        <v>Racc</v>
      </c>
      <c r="G75" s="590" t="str">
        <f t="shared" si="137"/>
        <v>Hrv3</v>
      </c>
      <c r="H75" s="590" t="str">
        <f ca="1">OFFSET('360SpcLdsCSV'!$B$5,$B75,H$51)</f>
        <v>Level 2</v>
      </c>
      <c r="I75" s="590" t="str">
        <f ca="1">OFFSET('360SpcLdsCSV'!$B$5,$B75,I$51)</f>
        <v>DirectlyConditioned</v>
      </c>
      <c r="J75" s="590" t="str">
        <f ca="1">OFFSET('360SpcLdsCSV'!$B$5,$B75,J$51)</f>
        <v>Office - Enclosed</v>
      </c>
      <c r="K75" s="590" t="str">
        <f ca="1">OFFSET('360SpcLdsCSV'!$B$5,$B75,K$51)</f>
        <v>Nonresidential</v>
      </c>
      <c r="L75" s="590" t="str">
        <f ca="1">OFFSET('360SpcLdsCSV'!$B$5,$B75,L$51)</f>
        <v>Thermal Zone: L02-201_OfceRaccPthpHrv3</v>
      </c>
      <c r="M75" s="592">
        <f ca="1">OFFSET('360SpcLdsCSV'!$B$5,$B75,M$51)</f>
        <v>641.20320000000004</v>
      </c>
      <c r="N75" s="592">
        <f ca="1">OFFSET('360SpcLdsCSV'!$B$5,$B75,N$51)</f>
        <v>6412.03</v>
      </c>
      <c r="O75" s="592">
        <f ca="1">OFFSET('360SpcLdsCSV'!$B$5,$B75,O$51)</f>
        <v>0</v>
      </c>
      <c r="P75" s="592">
        <f ca="1">OFFSET('360SpcLdsCSV'!$B$5,$B75,P$51)</f>
        <v>0</v>
      </c>
      <c r="Q75" s="592">
        <f ca="1">OFFSET('360SpcLdsCSV'!$B$5,$B75,Q$51)</f>
        <v>511.2</v>
      </c>
      <c r="R75" s="592">
        <f ca="1">OFFSET('360SpcLdsCSV'!$B$5,$B75,R$51)</f>
        <v>44.2</v>
      </c>
      <c r="S75" s="592">
        <f ca="1">OFFSET('360SpcLdsCSV'!$B$5,$B75,S$51)</f>
        <v>0</v>
      </c>
      <c r="T75" s="592">
        <f ca="1">OFFSET('360SpcLdsCSV'!$B$5,$B75,T$51)</f>
        <v>0</v>
      </c>
      <c r="U75" s="592">
        <f ca="1">OFFSET('360SpcLdsCSV'!$B$5,$B75,U$51)</f>
        <v>0</v>
      </c>
      <c r="V75" s="592">
        <f ca="1">OFFSET('360SpcLdsCSV'!$B$5,$B75,V$51)</f>
        <v>0</v>
      </c>
      <c r="W75" s="592">
        <f ca="1">OFFSET('360SpcLdsCSV'!$B$5,$B75,W$51)</f>
        <v>57.9</v>
      </c>
      <c r="X75" s="592">
        <f ca="1">OFFSET('360SpcLdsCSV'!$B$5,$B75,X$51)</f>
        <v>0</v>
      </c>
      <c r="Y75" s="592">
        <f ca="1">OFFSET('360SpcLdsCSV'!$B$5,$B75,Y$51)</f>
        <v>0</v>
      </c>
      <c r="Z75" s="592">
        <f ca="1">OFFSET('360SpcLdsCSV'!$B$5,$B75,Z$51)</f>
        <v>0</v>
      </c>
      <c r="AA75" s="592">
        <f ca="1">OFFSET('360SpcLdsCSV'!$B$5,$B75,AA$51)</f>
        <v>0</v>
      </c>
      <c r="AB75" s="592">
        <f ca="1">OFFSET('360SpcLdsCSV'!$B$5,$B75,AB$51)</f>
        <v>89.2</v>
      </c>
      <c r="AC75" s="592">
        <f ca="1">OFFSET('360SpcLdsCSV'!$B$5,$B75,AC$51)</f>
        <v>0</v>
      </c>
      <c r="AD75" s="592">
        <f ca="1">OFFSET('360SpcLdsCSV'!$B$5,$B75,AD$51)</f>
        <v>0</v>
      </c>
      <c r="AE75" s="592">
        <f ca="1">OFFSET('360SpcLdsCSV'!$B$5,$B75,AE$51)</f>
        <v>0</v>
      </c>
      <c r="AF75" s="592">
        <f ca="1">OFFSET('360SpcLdsCSV'!$B$5,$B75,AF$51)</f>
        <v>0</v>
      </c>
      <c r="AG75" s="592">
        <f ca="1">OFFSET('360SpcLdsCSV'!$B$5,$B75,AG$51)</f>
        <v>0</v>
      </c>
      <c r="AH75" s="592">
        <f ca="1">OFFSET('360SpcLdsCSV'!$B$5,$B75,AH$51)</f>
        <v>0</v>
      </c>
      <c r="AI75" s="592">
        <f ca="1">OFFSET('360SpcLdsCSV'!$B$5,$B75,AI$51)</f>
        <v>0</v>
      </c>
      <c r="AJ75" s="592" cm="1">
        <f t="array" ref="AJ75">_xlfn.IFS($F75="Resi",1,$F75="Racc",0,$F75="Coml",0,$F75="Prkg",0)</f>
        <v>0</v>
      </c>
      <c r="AK75" s="596"/>
      <c r="AL75" s="590">
        <f ca="1">OFFSET('360SpcLdsCSV'!$B$5,$B75,AL$51)</f>
        <v>1</v>
      </c>
      <c r="AM75" s="663">
        <f t="shared" ca="1" si="110"/>
        <v>1</v>
      </c>
      <c r="AN75" s="663">
        <f t="shared" ca="1" si="111"/>
        <v>0</v>
      </c>
      <c r="AO75" s="663">
        <f t="shared" ca="1" si="138"/>
        <v>641.20320000000004</v>
      </c>
      <c r="AP75" s="663">
        <f t="shared" ca="1" si="112"/>
        <v>6412.03</v>
      </c>
      <c r="AQ75" s="663">
        <f t="shared" ca="1" si="113"/>
        <v>0</v>
      </c>
      <c r="AR75" s="663">
        <f t="shared" ca="1" si="114"/>
        <v>0</v>
      </c>
      <c r="AS75" s="663">
        <f t="shared" ca="1" si="115"/>
        <v>511.2</v>
      </c>
      <c r="AT75" s="663">
        <f t="shared" ca="1" si="116"/>
        <v>44.2</v>
      </c>
      <c r="AU75" s="663">
        <f t="shared" ca="1" si="117"/>
        <v>0</v>
      </c>
      <c r="AV75" s="663">
        <f t="shared" ca="1" si="118"/>
        <v>0</v>
      </c>
      <c r="AW75" s="663">
        <f t="shared" ca="1" si="119"/>
        <v>0</v>
      </c>
      <c r="AX75" s="663">
        <f t="shared" ca="1" si="120"/>
        <v>0</v>
      </c>
      <c r="AY75" s="663">
        <f t="shared" ca="1" si="121"/>
        <v>57.9</v>
      </c>
      <c r="AZ75" s="663">
        <f t="shared" ca="1" si="122"/>
        <v>0</v>
      </c>
      <c r="BA75" s="663">
        <f t="shared" ca="1" si="123"/>
        <v>0</v>
      </c>
      <c r="BB75" s="663">
        <f t="shared" ca="1" si="124"/>
        <v>0</v>
      </c>
      <c r="BC75" s="663">
        <f t="shared" ca="1" si="125"/>
        <v>0</v>
      </c>
      <c r="BD75" s="663">
        <f t="shared" ca="1" si="126"/>
        <v>89.2</v>
      </c>
      <c r="BE75" s="663">
        <f t="shared" ca="1" si="127"/>
        <v>0</v>
      </c>
      <c r="BF75" s="663">
        <f t="shared" ca="1" si="128"/>
        <v>0</v>
      </c>
      <c r="BG75" s="663">
        <f t="shared" ca="1" si="129"/>
        <v>0</v>
      </c>
      <c r="BH75" s="663">
        <f t="shared" ca="1" si="130"/>
        <v>0</v>
      </c>
      <c r="BI75" s="663">
        <f t="shared" ca="1" si="131"/>
        <v>0</v>
      </c>
      <c r="BJ75" s="663">
        <f t="shared" ca="1" si="132"/>
        <v>0</v>
      </c>
      <c r="BK75" s="663">
        <f t="shared" ca="1" si="133"/>
        <v>0</v>
      </c>
      <c r="BL75" s="1918"/>
      <c r="BM75" s="1532"/>
      <c r="BN75" s="1919"/>
      <c r="BO75" s="600"/>
      <c r="BP75" s="601"/>
      <c r="BS75" s="603"/>
      <c r="BT75" s="602"/>
      <c r="BU75" s="602"/>
      <c r="BV75" s="602"/>
      <c r="BW75" s="604"/>
      <c r="BX75" s="605"/>
      <c r="BY75" s="602"/>
      <c r="BZ75" s="602"/>
      <c r="CA75"/>
      <c r="CB75" s="607"/>
      <c r="CC75" s="608"/>
      <c r="CD75" s="608"/>
      <c r="CE75" s="608"/>
      <c r="CF75" s="600"/>
    </row>
    <row r="76" spans="2:84" ht="12" customHeight="1" x14ac:dyDescent="0.35">
      <c r="B76" s="590">
        <f>MATCH(C76,'360SpcLdsCSV'!$C$6:$C$500,0)</f>
        <v>20</v>
      </c>
      <c r="C76" s="590" t="str">
        <f>'360SpcLdsCSV'!C25</f>
        <v>L02-202_MfamResiPthp</v>
      </c>
      <c r="D76" s="590" t="str">
        <f t="shared" si="134"/>
        <v>L02</v>
      </c>
      <c r="E76" s="590" t="str">
        <f t="shared" si="135"/>
        <v>Mfam</v>
      </c>
      <c r="F76" s="590" t="str">
        <f t="shared" si="136"/>
        <v>Resi</v>
      </c>
      <c r="G76" s="590" t="str">
        <f t="shared" si="137"/>
        <v>Pthp</v>
      </c>
      <c r="H76" s="590" t="str">
        <f ca="1">OFFSET('360SpcLdsCSV'!$B$5,$B76,H$51)</f>
        <v>Level 2</v>
      </c>
      <c r="I76" s="590" t="str">
        <f ca="1">OFFSET('360SpcLdsCSV'!$B$5,$B76,I$51)</f>
        <v>DirectlyConditioned</v>
      </c>
      <c r="J76" s="590" t="str">
        <f ca="1">OFFSET('360SpcLdsCSV'!$B$5,$B76,J$51)</f>
        <v>Dwelling Unit</v>
      </c>
      <c r="K76" s="590" t="str">
        <f ca="1">OFFSET('360SpcLdsCSV'!$B$5,$B76,K$51)</f>
        <v>Residential</v>
      </c>
      <c r="L76" s="590" t="str">
        <f ca="1">OFFSET('360SpcLdsCSV'!$B$5,$B76,L$51)</f>
        <v>Thermal Zone: L02-202_MfamResiPthp</v>
      </c>
      <c r="M76" s="592">
        <f ca="1">OFFSET('360SpcLdsCSV'!$B$5,$B76,M$51)</f>
        <v>1321.32</v>
      </c>
      <c r="N76" s="592">
        <f ca="1">OFFSET('360SpcLdsCSV'!$B$5,$B76,N$51)</f>
        <v>13213.2</v>
      </c>
      <c r="O76" s="592">
        <f ca="1">OFFSET('360SpcLdsCSV'!$B$5,$B76,O$51)</f>
        <v>455</v>
      </c>
      <c r="P76" s="592">
        <f ca="1">OFFSET('360SpcLdsCSV'!$B$5,$B76,P$51)</f>
        <v>91</v>
      </c>
      <c r="Q76" s="592">
        <f ca="1">OFFSET('360SpcLdsCSV'!$B$5,$B76,Q$51)</f>
        <v>0</v>
      </c>
      <c r="R76" s="592">
        <f ca="1">OFFSET('360SpcLdsCSV'!$B$5,$B76,R$51)</f>
        <v>0</v>
      </c>
      <c r="S76" s="592">
        <f ca="1">OFFSET('360SpcLdsCSV'!$B$5,$B76,S$51)</f>
        <v>0</v>
      </c>
      <c r="T76" s="592">
        <f ca="1">OFFSET('360SpcLdsCSV'!$B$5,$B76,T$51)</f>
        <v>0</v>
      </c>
      <c r="U76" s="592">
        <f ca="1">OFFSET('360SpcLdsCSV'!$B$5,$B76,U$51)</f>
        <v>142</v>
      </c>
      <c r="V76" s="592">
        <f ca="1">OFFSET('360SpcLdsCSV'!$B$5,$B76,V$51)</f>
        <v>0</v>
      </c>
      <c r="W76" s="592">
        <f ca="1">OFFSET('360SpcLdsCSV'!$B$5,$B76,W$51)</f>
        <v>0</v>
      </c>
      <c r="X76" s="592">
        <f ca="1">OFFSET('360SpcLdsCSV'!$B$5,$B76,X$51)</f>
        <v>0</v>
      </c>
      <c r="Y76" s="592">
        <f ca="1">OFFSET('360SpcLdsCSV'!$B$5,$B76,Y$51)</f>
        <v>0</v>
      </c>
      <c r="Z76" s="592">
        <f ca="1">OFFSET('360SpcLdsCSV'!$B$5,$B76,Z$51)</f>
        <v>0</v>
      </c>
      <c r="AA76" s="592">
        <f ca="1">OFFSET('360SpcLdsCSV'!$B$5,$B76,AA$51)</f>
        <v>270.60000000000002</v>
      </c>
      <c r="AB76" s="592">
        <f ca="1">OFFSET('360SpcLdsCSV'!$B$5,$B76,AB$51)</f>
        <v>0</v>
      </c>
      <c r="AC76" s="592">
        <f ca="1">OFFSET('360SpcLdsCSV'!$B$5,$B76,AC$51)</f>
        <v>0</v>
      </c>
      <c r="AD76" s="592">
        <f ca="1">OFFSET('360SpcLdsCSV'!$B$5,$B76,AD$51)</f>
        <v>0</v>
      </c>
      <c r="AE76" s="592">
        <f ca="1">OFFSET('360SpcLdsCSV'!$B$5,$B76,AE$51)</f>
        <v>0</v>
      </c>
      <c r="AF76" s="592">
        <f ca="1">OFFSET('360SpcLdsCSV'!$B$5,$B76,AF$51)</f>
        <v>0</v>
      </c>
      <c r="AG76" s="592">
        <f ca="1">OFFSET('360SpcLdsCSV'!$B$5,$B76,AG$51)</f>
        <v>0</v>
      </c>
      <c r="AH76" s="592">
        <f ca="1">OFFSET('360SpcLdsCSV'!$B$5,$B76,AH$51)</f>
        <v>0</v>
      </c>
      <c r="AI76" s="592">
        <f ca="1">OFFSET('360SpcLdsCSV'!$B$5,$B76,AI$51)</f>
        <v>0</v>
      </c>
      <c r="AJ76" s="592" cm="1">
        <f t="array" ref="AJ76">_xlfn.IFS($F76="Resi",1,$F76="Racc",0,$F76="Coml",0,$F76="Prkg",0)</f>
        <v>1</v>
      </c>
      <c r="AK76" s="596"/>
      <c r="AL76" s="590">
        <f ca="1">OFFSET('360SpcLdsCSV'!$B$5,$B76,AL$51)</f>
        <v>1</v>
      </c>
      <c r="AM76" s="663">
        <f t="shared" ca="1" si="110"/>
        <v>1</v>
      </c>
      <c r="AN76" s="663">
        <f t="shared" ca="1" si="111"/>
        <v>1</v>
      </c>
      <c r="AO76" s="663">
        <f t="shared" ca="1" si="138"/>
        <v>1321.32</v>
      </c>
      <c r="AP76" s="663">
        <f t="shared" ca="1" si="112"/>
        <v>13213.2</v>
      </c>
      <c r="AQ76" s="663">
        <f t="shared" ca="1" si="113"/>
        <v>455</v>
      </c>
      <c r="AR76" s="663">
        <f t="shared" ca="1" si="114"/>
        <v>91</v>
      </c>
      <c r="AS76" s="663">
        <f t="shared" ca="1" si="115"/>
        <v>0</v>
      </c>
      <c r="AT76" s="663">
        <f t="shared" ca="1" si="116"/>
        <v>0</v>
      </c>
      <c r="AU76" s="663">
        <f t="shared" ca="1" si="117"/>
        <v>0</v>
      </c>
      <c r="AV76" s="663">
        <f t="shared" ca="1" si="118"/>
        <v>0</v>
      </c>
      <c r="AW76" s="663">
        <f t="shared" ca="1" si="119"/>
        <v>142</v>
      </c>
      <c r="AX76" s="663">
        <f t="shared" ca="1" si="120"/>
        <v>0</v>
      </c>
      <c r="AY76" s="663">
        <f t="shared" ca="1" si="121"/>
        <v>0</v>
      </c>
      <c r="AZ76" s="663">
        <f t="shared" ca="1" si="122"/>
        <v>0</v>
      </c>
      <c r="BA76" s="663">
        <f t="shared" ca="1" si="123"/>
        <v>0</v>
      </c>
      <c r="BB76" s="663">
        <f t="shared" ca="1" si="124"/>
        <v>0</v>
      </c>
      <c r="BC76" s="663">
        <f t="shared" ca="1" si="125"/>
        <v>270.60000000000002</v>
      </c>
      <c r="BD76" s="663">
        <f t="shared" ca="1" si="126"/>
        <v>0</v>
      </c>
      <c r="BE76" s="663">
        <f t="shared" ca="1" si="127"/>
        <v>0</v>
      </c>
      <c r="BF76" s="663">
        <f t="shared" ca="1" si="128"/>
        <v>0</v>
      </c>
      <c r="BG76" s="663">
        <f t="shared" ca="1" si="129"/>
        <v>0</v>
      </c>
      <c r="BH76" s="663">
        <f t="shared" ca="1" si="130"/>
        <v>0</v>
      </c>
      <c r="BI76" s="663">
        <f t="shared" ca="1" si="131"/>
        <v>0</v>
      </c>
      <c r="BJ76" s="663">
        <f t="shared" ca="1" si="132"/>
        <v>0</v>
      </c>
      <c r="BK76" s="663">
        <f t="shared" ca="1" si="133"/>
        <v>0</v>
      </c>
      <c r="BL76" s="1918"/>
      <c r="BM76" s="1532"/>
      <c r="BN76" s="1919"/>
      <c r="BO76" s="600"/>
      <c r="BP76" s="601"/>
      <c r="BS76" s="603"/>
      <c r="BT76" s="602"/>
      <c r="BU76" s="602"/>
      <c r="BV76" s="602"/>
      <c r="BW76" s="604"/>
      <c r="BX76" s="605"/>
      <c r="BY76" s="602"/>
      <c r="BZ76" s="602"/>
      <c r="CA76"/>
      <c r="CB76" s="607"/>
      <c r="CC76" s="608"/>
      <c r="CD76" s="608"/>
      <c r="CE76" s="608"/>
      <c r="CF76" s="600"/>
    </row>
    <row r="77" spans="2:84" ht="12" customHeight="1" x14ac:dyDescent="0.35">
      <c r="B77" s="590">
        <f>MATCH(C77,'360SpcLdsCSV'!$C$6:$C$500,0)</f>
        <v>21</v>
      </c>
      <c r="C77" s="590" t="str">
        <f>'360SpcLdsCSV'!C26</f>
        <v>L02-203_MfamResiPthp</v>
      </c>
      <c r="D77" s="590" t="str">
        <f t="shared" si="134"/>
        <v>L02</v>
      </c>
      <c r="E77" s="590" t="str">
        <f t="shared" si="135"/>
        <v>Mfam</v>
      </c>
      <c r="F77" s="590" t="str">
        <f t="shared" si="136"/>
        <v>Resi</v>
      </c>
      <c r="G77" s="590" t="str">
        <f t="shared" si="137"/>
        <v>Pthp</v>
      </c>
      <c r="H77" s="590" t="str">
        <f ca="1">OFFSET('360SpcLdsCSV'!$B$5,$B77,H$51)</f>
        <v>Level 2</v>
      </c>
      <c r="I77" s="590" t="str">
        <f ca="1">OFFSET('360SpcLdsCSV'!$B$5,$B77,I$51)</f>
        <v>DirectlyConditioned</v>
      </c>
      <c r="J77" s="590" t="str">
        <f ca="1">OFFSET('360SpcLdsCSV'!$B$5,$B77,J$51)</f>
        <v>Dwelling Unit</v>
      </c>
      <c r="K77" s="590" t="str">
        <f ca="1">OFFSET('360SpcLdsCSV'!$B$5,$B77,K$51)</f>
        <v>Residential</v>
      </c>
      <c r="L77" s="590" t="str">
        <f ca="1">OFFSET('360SpcLdsCSV'!$B$5,$B77,L$51)</f>
        <v>Thermal Zone: L02-203_MfamResiPthp</v>
      </c>
      <c r="M77" s="592">
        <f ca="1">OFFSET('360SpcLdsCSV'!$B$5,$B77,M$51)</f>
        <v>1116.5980999999999</v>
      </c>
      <c r="N77" s="592">
        <f ca="1">OFFSET('360SpcLdsCSV'!$B$5,$B77,N$51)</f>
        <v>11166</v>
      </c>
      <c r="O77" s="592">
        <f ca="1">OFFSET('360SpcLdsCSV'!$B$5,$B77,O$51)</f>
        <v>655.6</v>
      </c>
      <c r="P77" s="592">
        <f ca="1">OFFSET('360SpcLdsCSV'!$B$5,$B77,P$51)</f>
        <v>131.1</v>
      </c>
      <c r="Q77" s="592">
        <f ca="1">OFFSET('360SpcLdsCSV'!$B$5,$B77,Q$51)</f>
        <v>0</v>
      </c>
      <c r="R77" s="592">
        <f ca="1">OFFSET('360SpcLdsCSV'!$B$5,$B77,R$51)</f>
        <v>0</v>
      </c>
      <c r="S77" s="592">
        <f ca="1">OFFSET('360SpcLdsCSV'!$B$5,$B77,S$51)</f>
        <v>0</v>
      </c>
      <c r="T77" s="592">
        <f ca="1">OFFSET('360SpcLdsCSV'!$B$5,$B77,T$51)</f>
        <v>0</v>
      </c>
      <c r="U77" s="592">
        <f ca="1">OFFSET('360SpcLdsCSV'!$B$5,$B77,U$51)</f>
        <v>0</v>
      </c>
      <c r="V77" s="592">
        <f ca="1">OFFSET('360SpcLdsCSV'!$B$5,$B77,V$51)</f>
        <v>0</v>
      </c>
      <c r="W77" s="592">
        <f ca="1">OFFSET('360SpcLdsCSV'!$B$5,$B77,W$51)</f>
        <v>0</v>
      </c>
      <c r="X77" s="592">
        <f ca="1">OFFSET('360SpcLdsCSV'!$B$5,$B77,X$51)</f>
        <v>0</v>
      </c>
      <c r="Y77" s="592">
        <f ca="1">OFFSET('360SpcLdsCSV'!$B$5,$B77,Y$51)</f>
        <v>0</v>
      </c>
      <c r="Z77" s="592">
        <f ca="1">OFFSET('360SpcLdsCSV'!$B$5,$B77,Z$51)</f>
        <v>0</v>
      </c>
      <c r="AA77" s="592">
        <f ca="1">OFFSET('360SpcLdsCSV'!$B$5,$B77,AA$51)</f>
        <v>1019.4</v>
      </c>
      <c r="AB77" s="592">
        <f ca="1">OFFSET('360SpcLdsCSV'!$B$5,$B77,AB$51)</f>
        <v>0</v>
      </c>
      <c r="AC77" s="592">
        <f ca="1">OFFSET('360SpcLdsCSV'!$B$5,$B77,AC$51)</f>
        <v>0</v>
      </c>
      <c r="AD77" s="592">
        <f ca="1">OFFSET('360SpcLdsCSV'!$B$5,$B77,AD$51)</f>
        <v>0</v>
      </c>
      <c r="AE77" s="592">
        <f ca="1">OFFSET('360SpcLdsCSV'!$B$5,$B77,AE$51)</f>
        <v>0</v>
      </c>
      <c r="AF77" s="592">
        <f ca="1">OFFSET('360SpcLdsCSV'!$B$5,$B77,AF$51)</f>
        <v>0</v>
      </c>
      <c r="AG77" s="592">
        <f ca="1">OFFSET('360SpcLdsCSV'!$B$5,$B77,AG$51)</f>
        <v>0</v>
      </c>
      <c r="AH77" s="592">
        <f ca="1">OFFSET('360SpcLdsCSV'!$B$5,$B77,AH$51)</f>
        <v>0</v>
      </c>
      <c r="AI77" s="592">
        <f ca="1">OFFSET('360SpcLdsCSV'!$B$5,$B77,AI$51)</f>
        <v>0</v>
      </c>
      <c r="AJ77" s="592" cm="1">
        <f t="array" ref="AJ77">_xlfn.IFS($F77="Resi",1,$F77="Racc",0,$F77="Coml",0,$F77="Prkg",0)</f>
        <v>1</v>
      </c>
      <c r="AK77" s="596"/>
      <c r="AL77" s="590">
        <f ca="1">OFFSET('360SpcLdsCSV'!$B$5,$B77,AL$51)</f>
        <v>1</v>
      </c>
      <c r="AM77" s="663">
        <f t="shared" ca="1" si="110"/>
        <v>1</v>
      </c>
      <c r="AN77" s="663">
        <f t="shared" ca="1" si="111"/>
        <v>1</v>
      </c>
      <c r="AO77" s="663">
        <f t="shared" ca="1" si="138"/>
        <v>1116.5980999999999</v>
      </c>
      <c r="AP77" s="663">
        <f t="shared" ca="1" si="112"/>
        <v>11166</v>
      </c>
      <c r="AQ77" s="663">
        <f t="shared" ca="1" si="113"/>
        <v>655.6</v>
      </c>
      <c r="AR77" s="663">
        <f t="shared" ca="1" si="114"/>
        <v>131.1</v>
      </c>
      <c r="AS77" s="663">
        <f t="shared" ca="1" si="115"/>
        <v>0</v>
      </c>
      <c r="AT77" s="663">
        <f t="shared" ca="1" si="116"/>
        <v>0</v>
      </c>
      <c r="AU77" s="663">
        <f t="shared" ca="1" si="117"/>
        <v>0</v>
      </c>
      <c r="AV77" s="663">
        <f t="shared" ca="1" si="118"/>
        <v>0</v>
      </c>
      <c r="AW77" s="663">
        <f t="shared" ca="1" si="119"/>
        <v>0</v>
      </c>
      <c r="AX77" s="663">
        <f t="shared" ca="1" si="120"/>
        <v>0</v>
      </c>
      <c r="AY77" s="663">
        <f t="shared" ca="1" si="121"/>
        <v>0</v>
      </c>
      <c r="AZ77" s="663">
        <f t="shared" ca="1" si="122"/>
        <v>0</v>
      </c>
      <c r="BA77" s="663">
        <f t="shared" ca="1" si="123"/>
        <v>0</v>
      </c>
      <c r="BB77" s="663">
        <f t="shared" ca="1" si="124"/>
        <v>0</v>
      </c>
      <c r="BC77" s="663">
        <f t="shared" ca="1" si="125"/>
        <v>1019.4</v>
      </c>
      <c r="BD77" s="663">
        <f t="shared" ca="1" si="126"/>
        <v>0</v>
      </c>
      <c r="BE77" s="663">
        <f t="shared" ca="1" si="127"/>
        <v>0</v>
      </c>
      <c r="BF77" s="663">
        <f t="shared" ca="1" si="128"/>
        <v>0</v>
      </c>
      <c r="BG77" s="663">
        <f t="shared" ca="1" si="129"/>
        <v>0</v>
      </c>
      <c r="BH77" s="663">
        <f t="shared" ca="1" si="130"/>
        <v>0</v>
      </c>
      <c r="BI77" s="663">
        <f t="shared" ca="1" si="131"/>
        <v>0</v>
      </c>
      <c r="BJ77" s="663">
        <f t="shared" ca="1" si="132"/>
        <v>0</v>
      </c>
      <c r="BK77" s="663">
        <f t="shared" ca="1" si="133"/>
        <v>0</v>
      </c>
      <c r="BL77" s="1918"/>
      <c r="BM77" s="1532"/>
      <c r="BN77" s="1919"/>
      <c r="BO77" s="600"/>
      <c r="BP77" s="601"/>
      <c r="BS77" s="603"/>
      <c r="BT77" s="602"/>
      <c r="BU77" s="602"/>
      <c r="BV77" s="602"/>
      <c r="BW77" s="604"/>
      <c r="BX77" s="605"/>
      <c r="BY77" s="602"/>
      <c r="BZ77" s="602"/>
      <c r="CA77"/>
      <c r="CB77" s="607"/>
      <c r="CC77" s="608"/>
      <c r="CD77" s="608"/>
      <c r="CE77" s="608"/>
      <c r="CF77" s="600"/>
    </row>
    <row r="78" spans="2:84" ht="12" customHeight="1" x14ac:dyDescent="0.35">
      <c r="B78" s="590">
        <f>MATCH(C78,'360SpcLdsCSV'!$C$6:$C$500,0)</f>
        <v>22</v>
      </c>
      <c r="C78" s="590" t="str">
        <f>'360SpcLdsCSV'!C27</f>
        <v>L02-204_AstoRaccIncd</v>
      </c>
      <c r="D78" s="590" t="str">
        <f t="shared" si="134"/>
        <v>L02</v>
      </c>
      <c r="E78" s="590" t="str">
        <f t="shared" si="135"/>
        <v>Asto</v>
      </c>
      <c r="F78" s="590" t="str">
        <f t="shared" si="136"/>
        <v>Racc</v>
      </c>
      <c r="G78" s="590" t="str">
        <f t="shared" si="137"/>
        <v>Incd</v>
      </c>
      <c r="H78" s="590" t="str">
        <f ca="1">OFFSET('360SpcLdsCSV'!$B$5,$B78,H$51)</f>
        <v>Level 2</v>
      </c>
      <c r="I78" s="590" t="str">
        <f ca="1">OFFSET('360SpcLdsCSV'!$B$5,$B78,I$51)</f>
        <v>IndirectlyConditioned</v>
      </c>
      <c r="J78" s="590" t="str">
        <f ca="1">OFFSET('360SpcLdsCSV'!$B$5,$B78,J$51)</f>
        <v>Storage Room - &lt;50 ft2</v>
      </c>
      <c r="K78" s="590" t="str">
        <f ca="1">OFFSET('360SpcLdsCSV'!$B$5,$B78,K$51)</f>
        <v>Nonresidential</v>
      </c>
      <c r="L78" s="590" t="str">
        <f ca="1">OFFSET('360SpcLdsCSV'!$B$5,$B78,L$51)</f>
        <v>Thermal Zone: L02-200_CorrRaccSphp</v>
      </c>
      <c r="M78" s="592">
        <f ca="1">OFFSET('360SpcLdsCSV'!$B$5,$B78,M$51)</f>
        <v>135.05760000000001</v>
      </c>
      <c r="N78" s="592">
        <f ca="1">OFFSET('360SpcLdsCSV'!$B$5,$B78,N$51)</f>
        <v>1350.58</v>
      </c>
      <c r="O78" s="592">
        <f ca="1">OFFSET('360SpcLdsCSV'!$B$5,$B78,O$51)</f>
        <v>0</v>
      </c>
      <c r="P78" s="592">
        <f ca="1">OFFSET('360SpcLdsCSV'!$B$5,$B78,P$51)</f>
        <v>0</v>
      </c>
      <c r="Q78" s="592">
        <f ca="1">OFFSET('360SpcLdsCSV'!$B$5,$B78,Q$51)</f>
        <v>0</v>
      </c>
      <c r="R78" s="592">
        <f ca="1">OFFSET('360SpcLdsCSV'!$B$5,$B78,R$51)</f>
        <v>0</v>
      </c>
      <c r="S78" s="592">
        <f ca="1">OFFSET('360SpcLdsCSV'!$B$5,$B78,S$51)</f>
        <v>0</v>
      </c>
      <c r="T78" s="592">
        <f ca="1">OFFSET('360SpcLdsCSV'!$B$5,$B78,T$51)</f>
        <v>0</v>
      </c>
      <c r="U78" s="592">
        <f ca="1">OFFSET('360SpcLdsCSV'!$B$5,$B78,U$51)</f>
        <v>0</v>
      </c>
      <c r="V78" s="592">
        <f ca="1">OFFSET('360SpcLdsCSV'!$B$5,$B78,V$51)</f>
        <v>0</v>
      </c>
      <c r="W78" s="592">
        <f ca="1">OFFSET('360SpcLdsCSV'!$B$5,$B78,W$51)</f>
        <v>0</v>
      </c>
      <c r="X78" s="592">
        <f ca="1">OFFSET('360SpcLdsCSV'!$B$5,$B78,X$51)</f>
        <v>0</v>
      </c>
      <c r="Y78" s="592">
        <f ca="1">OFFSET('360SpcLdsCSV'!$B$5,$B78,Y$51)</f>
        <v>0</v>
      </c>
      <c r="Z78" s="592">
        <f ca="1">OFFSET('360SpcLdsCSV'!$B$5,$B78,Z$51)</f>
        <v>0</v>
      </c>
      <c r="AA78" s="592">
        <f ca="1">OFFSET('360SpcLdsCSV'!$B$5,$B78,AA$51)</f>
        <v>0</v>
      </c>
      <c r="AB78" s="592">
        <f ca="1">OFFSET('360SpcLdsCSV'!$B$5,$B78,AB$51)</f>
        <v>71.900000000000006</v>
      </c>
      <c r="AC78" s="592">
        <f ca="1">OFFSET('360SpcLdsCSV'!$B$5,$B78,AC$51)</f>
        <v>0</v>
      </c>
      <c r="AD78" s="592">
        <f ca="1">OFFSET('360SpcLdsCSV'!$B$5,$B78,AD$51)</f>
        <v>0</v>
      </c>
      <c r="AE78" s="592">
        <f ca="1">OFFSET('360SpcLdsCSV'!$B$5,$B78,AE$51)</f>
        <v>0</v>
      </c>
      <c r="AF78" s="592">
        <f ca="1">OFFSET('360SpcLdsCSV'!$B$5,$B78,AF$51)</f>
        <v>0</v>
      </c>
      <c r="AG78" s="592">
        <f ca="1">OFFSET('360SpcLdsCSV'!$B$5,$B78,AG$51)</f>
        <v>0</v>
      </c>
      <c r="AH78" s="592">
        <f ca="1">OFFSET('360SpcLdsCSV'!$B$5,$B78,AH$51)</f>
        <v>0</v>
      </c>
      <c r="AI78" s="592">
        <f ca="1">OFFSET('360SpcLdsCSV'!$B$5,$B78,AI$51)</f>
        <v>0</v>
      </c>
      <c r="AJ78" s="592" cm="1">
        <f t="array" ref="AJ78">_xlfn.IFS($F78="Resi",1,$F78="Racc",0,$F78="Coml",0,$F78="Prkg",0)</f>
        <v>0</v>
      </c>
      <c r="AK78" s="596"/>
      <c r="AL78" s="590">
        <f ca="1">OFFSET('360SpcLdsCSV'!$B$5,$B78,AL$51)</f>
        <v>1</v>
      </c>
      <c r="AM78" s="663">
        <f t="shared" ca="1" si="110"/>
        <v>1</v>
      </c>
      <c r="AN78" s="663">
        <f t="shared" ca="1" si="111"/>
        <v>0</v>
      </c>
      <c r="AO78" s="663">
        <f t="shared" ca="1" si="138"/>
        <v>135.05760000000001</v>
      </c>
      <c r="AP78" s="663">
        <f t="shared" ca="1" si="112"/>
        <v>1350.58</v>
      </c>
      <c r="AQ78" s="663">
        <f t="shared" ca="1" si="113"/>
        <v>0</v>
      </c>
      <c r="AR78" s="663">
        <f t="shared" ca="1" si="114"/>
        <v>0</v>
      </c>
      <c r="AS78" s="663">
        <f t="shared" ca="1" si="115"/>
        <v>0</v>
      </c>
      <c r="AT78" s="663">
        <f t="shared" ca="1" si="116"/>
        <v>0</v>
      </c>
      <c r="AU78" s="663">
        <f t="shared" ca="1" si="117"/>
        <v>0</v>
      </c>
      <c r="AV78" s="663">
        <f t="shared" ca="1" si="118"/>
        <v>0</v>
      </c>
      <c r="AW78" s="663">
        <f t="shared" ca="1" si="119"/>
        <v>0</v>
      </c>
      <c r="AX78" s="663">
        <f t="shared" ca="1" si="120"/>
        <v>0</v>
      </c>
      <c r="AY78" s="663">
        <f t="shared" ca="1" si="121"/>
        <v>0</v>
      </c>
      <c r="AZ78" s="663">
        <f t="shared" ca="1" si="122"/>
        <v>0</v>
      </c>
      <c r="BA78" s="663">
        <f t="shared" ca="1" si="123"/>
        <v>0</v>
      </c>
      <c r="BB78" s="663">
        <f t="shared" ca="1" si="124"/>
        <v>0</v>
      </c>
      <c r="BC78" s="663">
        <f t="shared" ca="1" si="125"/>
        <v>0</v>
      </c>
      <c r="BD78" s="663">
        <f t="shared" ca="1" si="126"/>
        <v>71.900000000000006</v>
      </c>
      <c r="BE78" s="663">
        <f t="shared" ca="1" si="127"/>
        <v>0</v>
      </c>
      <c r="BF78" s="663">
        <f t="shared" ca="1" si="128"/>
        <v>0</v>
      </c>
      <c r="BG78" s="663">
        <f t="shared" ca="1" si="129"/>
        <v>0</v>
      </c>
      <c r="BH78" s="663">
        <f t="shared" ca="1" si="130"/>
        <v>0</v>
      </c>
      <c r="BI78" s="663">
        <f t="shared" ca="1" si="131"/>
        <v>0</v>
      </c>
      <c r="BJ78" s="663">
        <f t="shared" ca="1" si="132"/>
        <v>0</v>
      </c>
      <c r="BK78" s="663">
        <f t="shared" ca="1" si="133"/>
        <v>0</v>
      </c>
      <c r="BL78" s="1918"/>
      <c r="BM78" s="1532"/>
      <c r="BN78" s="1919"/>
      <c r="BO78" s="600"/>
      <c r="BP78" s="601"/>
      <c r="BS78" s="603"/>
      <c r="BT78" s="602"/>
      <c r="BU78" s="602"/>
      <c r="BV78" s="602"/>
      <c r="BW78" s="604"/>
      <c r="BX78" s="605"/>
      <c r="BY78" s="602"/>
      <c r="BZ78" s="602"/>
      <c r="CA78"/>
      <c r="CB78" s="607"/>
      <c r="CC78" s="608"/>
      <c r="CD78" s="608"/>
      <c r="CE78" s="608"/>
      <c r="CF78" s="600"/>
    </row>
    <row r="79" spans="2:84" ht="12" customHeight="1" x14ac:dyDescent="0.35">
      <c r="B79" s="590">
        <f>MATCH(C79,'360SpcLdsCSV'!$C$6:$C$500,0)</f>
        <v>23</v>
      </c>
      <c r="C79" s="590" t="str">
        <f>'360SpcLdsCSV'!C28</f>
        <v>L02-205_MfamResiPthp</v>
      </c>
      <c r="D79" s="590" t="str">
        <f t="shared" si="134"/>
        <v>L02</v>
      </c>
      <c r="E79" s="590" t="str">
        <f t="shared" si="135"/>
        <v>Mfam</v>
      </c>
      <c r="F79" s="590" t="str">
        <f t="shared" si="136"/>
        <v>Resi</v>
      </c>
      <c r="G79" s="590" t="str">
        <f t="shared" si="137"/>
        <v>Pthp</v>
      </c>
      <c r="H79" s="590" t="str">
        <f ca="1">OFFSET('360SpcLdsCSV'!$B$5,$B79,H$51)</f>
        <v>Level 2</v>
      </c>
      <c r="I79" s="590" t="str">
        <f ca="1">OFFSET('360SpcLdsCSV'!$B$5,$B79,I$51)</f>
        <v>DirectlyConditioned</v>
      </c>
      <c r="J79" s="590" t="str">
        <f ca="1">OFFSET('360SpcLdsCSV'!$B$5,$B79,J$51)</f>
        <v>Dwelling Unit</v>
      </c>
      <c r="K79" s="590" t="str">
        <f ca="1">OFFSET('360SpcLdsCSV'!$B$5,$B79,K$51)</f>
        <v>Residential</v>
      </c>
      <c r="L79" s="590" t="str">
        <f ca="1">OFFSET('360SpcLdsCSV'!$B$5,$B79,L$51)</f>
        <v>Thermal Zone: L02-205_MfamResiPthp</v>
      </c>
      <c r="M79" s="592">
        <f ca="1">OFFSET('360SpcLdsCSV'!$B$5,$B79,M$51)</f>
        <v>3678.0304999999998</v>
      </c>
      <c r="N79" s="592">
        <f ca="1">OFFSET('360SpcLdsCSV'!$B$5,$B79,N$51)</f>
        <v>36780.300000000003</v>
      </c>
      <c r="O79" s="592">
        <f ca="1">OFFSET('360SpcLdsCSV'!$B$5,$B79,O$51)</f>
        <v>1428.2</v>
      </c>
      <c r="P79" s="592">
        <f ca="1">OFFSET('360SpcLdsCSV'!$B$5,$B79,P$51)</f>
        <v>285.60000000000002</v>
      </c>
      <c r="Q79" s="592">
        <f ca="1">OFFSET('360SpcLdsCSV'!$B$5,$B79,Q$51)</f>
        <v>0</v>
      </c>
      <c r="R79" s="592">
        <f ca="1">OFFSET('360SpcLdsCSV'!$B$5,$B79,R$51)</f>
        <v>0</v>
      </c>
      <c r="S79" s="592">
        <f ca="1">OFFSET('360SpcLdsCSV'!$B$5,$B79,S$51)</f>
        <v>0</v>
      </c>
      <c r="T79" s="592">
        <f ca="1">OFFSET('360SpcLdsCSV'!$B$5,$B79,T$51)</f>
        <v>0</v>
      </c>
      <c r="U79" s="592">
        <f ca="1">OFFSET('360SpcLdsCSV'!$B$5,$B79,U$51)</f>
        <v>0</v>
      </c>
      <c r="V79" s="592">
        <f ca="1">OFFSET('360SpcLdsCSV'!$B$5,$B79,V$51)</f>
        <v>0</v>
      </c>
      <c r="W79" s="592">
        <f ca="1">OFFSET('360SpcLdsCSV'!$B$5,$B79,W$51)</f>
        <v>0</v>
      </c>
      <c r="X79" s="592">
        <f ca="1">OFFSET('360SpcLdsCSV'!$B$5,$B79,X$51)</f>
        <v>0</v>
      </c>
      <c r="Y79" s="592">
        <f ca="1">OFFSET('360SpcLdsCSV'!$B$5,$B79,Y$51)</f>
        <v>0</v>
      </c>
      <c r="Z79" s="592">
        <f ca="1">OFFSET('360SpcLdsCSV'!$B$5,$B79,Z$51)</f>
        <v>0</v>
      </c>
      <c r="AA79" s="592">
        <f ca="1">OFFSET('360SpcLdsCSV'!$B$5,$B79,AA$51)</f>
        <v>633</v>
      </c>
      <c r="AB79" s="592">
        <f ca="1">OFFSET('360SpcLdsCSV'!$B$5,$B79,AB$51)</f>
        <v>0</v>
      </c>
      <c r="AC79" s="592">
        <f ca="1">OFFSET('360SpcLdsCSV'!$B$5,$B79,AC$51)</f>
        <v>0</v>
      </c>
      <c r="AD79" s="592">
        <f ca="1">OFFSET('360SpcLdsCSV'!$B$5,$B79,AD$51)</f>
        <v>0</v>
      </c>
      <c r="AE79" s="592">
        <f ca="1">OFFSET('360SpcLdsCSV'!$B$5,$B79,AE$51)</f>
        <v>0</v>
      </c>
      <c r="AF79" s="592">
        <f ca="1">OFFSET('360SpcLdsCSV'!$B$5,$B79,AF$51)</f>
        <v>0</v>
      </c>
      <c r="AG79" s="592">
        <f ca="1">OFFSET('360SpcLdsCSV'!$B$5,$B79,AG$51)</f>
        <v>0</v>
      </c>
      <c r="AH79" s="592">
        <f ca="1">OFFSET('360SpcLdsCSV'!$B$5,$B79,AH$51)</f>
        <v>0</v>
      </c>
      <c r="AI79" s="592">
        <f ca="1">OFFSET('360SpcLdsCSV'!$B$5,$B79,AI$51)</f>
        <v>0</v>
      </c>
      <c r="AJ79" s="592" cm="1">
        <f t="array" ref="AJ79">_xlfn.IFS($F79="Resi",1,$F79="Racc",0,$F79="Coml",0,$F79="Prkg",0)</f>
        <v>1</v>
      </c>
      <c r="AK79" s="596"/>
      <c r="AL79" s="590">
        <f ca="1">OFFSET('360SpcLdsCSV'!$B$5,$B79,AL$51)</f>
        <v>1</v>
      </c>
      <c r="AM79" s="663">
        <f t="shared" ca="1" si="110"/>
        <v>1</v>
      </c>
      <c r="AN79" s="663">
        <f t="shared" ca="1" si="111"/>
        <v>1</v>
      </c>
      <c r="AO79" s="663">
        <f t="shared" ca="1" si="138"/>
        <v>3678.0304999999998</v>
      </c>
      <c r="AP79" s="663">
        <f t="shared" ca="1" si="112"/>
        <v>36780.300000000003</v>
      </c>
      <c r="AQ79" s="663">
        <f t="shared" ca="1" si="113"/>
        <v>1428.2</v>
      </c>
      <c r="AR79" s="663">
        <f t="shared" ca="1" si="114"/>
        <v>285.60000000000002</v>
      </c>
      <c r="AS79" s="663">
        <f t="shared" ca="1" si="115"/>
        <v>0</v>
      </c>
      <c r="AT79" s="663">
        <f t="shared" ca="1" si="116"/>
        <v>0</v>
      </c>
      <c r="AU79" s="663">
        <f t="shared" ca="1" si="117"/>
        <v>0</v>
      </c>
      <c r="AV79" s="663">
        <f t="shared" ca="1" si="118"/>
        <v>0</v>
      </c>
      <c r="AW79" s="663">
        <f t="shared" ca="1" si="119"/>
        <v>0</v>
      </c>
      <c r="AX79" s="663">
        <f t="shared" ca="1" si="120"/>
        <v>0</v>
      </c>
      <c r="AY79" s="663">
        <f t="shared" ca="1" si="121"/>
        <v>0</v>
      </c>
      <c r="AZ79" s="663">
        <f t="shared" ca="1" si="122"/>
        <v>0</v>
      </c>
      <c r="BA79" s="663">
        <f t="shared" ca="1" si="123"/>
        <v>0</v>
      </c>
      <c r="BB79" s="663">
        <f t="shared" ca="1" si="124"/>
        <v>0</v>
      </c>
      <c r="BC79" s="663">
        <f t="shared" ca="1" si="125"/>
        <v>633</v>
      </c>
      <c r="BD79" s="663">
        <f t="shared" ca="1" si="126"/>
        <v>0</v>
      </c>
      <c r="BE79" s="663">
        <f t="shared" ca="1" si="127"/>
        <v>0</v>
      </c>
      <c r="BF79" s="663">
        <f t="shared" ca="1" si="128"/>
        <v>0</v>
      </c>
      <c r="BG79" s="663">
        <f t="shared" ca="1" si="129"/>
        <v>0</v>
      </c>
      <c r="BH79" s="663">
        <f t="shared" ca="1" si="130"/>
        <v>0</v>
      </c>
      <c r="BI79" s="663">
        <f t="shared" ca="1" si="131"/>
        <v>0</v>
      </c>
      <c r="BJ79" s="663">
        <f t="shared" ca="1" si="132"/>
        <v>0</v>
      </c>
      <c r="BK79" s="663">
        <f t="shared" ca="1" si="133"/>
        <v>0</v>
      </c>
      <c r="BL79" s="1918"/>
      <c r="BM79" s="1532"/>
      <c r="BN79" s="1919"/>
      <c r="BO79" s="600"/>
      <c r="BP79" s="601"/>
      <c r="BS79" s="603"/>
      <c r="BT79" s="602"/>
      <c r="BU79" s="602"/>
      <c r="BV79" s="602"/>
      <c r="BW79" s="604"/>
      <c r="BX79" s="605"/>
      <c r="BY79" s="602"/>
      <c r="BZ79" s="602"/>
      <c r="CA79"/>
      <c r="CB79" s="607"/>
      <c r="CC79" s="608"/>
      <c r="CD79" s="608"/>
      <c r="CE79" s="608"/>
      <c r="CF79" s="600"/>
    </row>
    <row r="80" spans="2:84" ht="12" customHeight="1" x14ac:dyDescent="0.35">
      <c r="B80" s="590">
        <f>MATCH(C80,'360SpcLdsCSV'!$C$6:$C$500,0)</f>
        <v>24</v>
      </c>
      <c r="C80" s="590" t="str">
        <f>'360SpcLdsCSV'!C29</f>
        <v>L02-206_MfamResiPthp</v>
      </c>
      <c r="D80" s="590" t="str">
        <f t="shared" si="134"/>
        <v>L02</v>
      </c>
      <c r="E80" s="590" t="str">
        <f t="shared" si="135"/>
        <v>Mfam</v>
      </c>
      <c r="F80" s="590" t="str">
        <f t="shared" si="136"/>
        <v>Resi</v>
      </c>
      <c r="G80" s="590" t="str">
        <f t="shared" si="137"/>
        <v>Pthp</v>
      </c>
      <c r="H80" s="590" t="str">
        <f ca="1">OFFSET('360SpcLdsCSV'!$B$5,$B80,H$51)</f>
        <v>Level 2</v>
      </c>
      <c r="I80" s="590" t="str">
        <f ca="1">OFFSET('360SpcLdsCSV'!$B$5,$B80,I$51)</f>
        <v>DirectlyConditioned</v>
      </c>
      <c r="J80" s="590" t="str">
        <f ca="1">OFFSET('360SpcLdsCSV'!$B$5,$B80,J$51)</f>
        <v>Dwelling Unit</v>
      </c>
      <c r="K80" s="590" t="str">
        <f ca="1">OFFSET('360SpcLdsCSV'!$B$5,$B80,K$51)</f>
        <v>Residential</v>
      </c>
      <c r="L80" s="590" t="str">
        <f ca="1">OFFSET('360SpcLdsCSV'!$B$5,$B80,L$51)</f>
        <v>Thermal Zone: L02-206_MfamResiPthp</v>
      </c>
      <c r="M80" s="592">
        <f ca="1">OFFSET('360SpcLdsCSV'!$B$5,$B80,M$51)</f>
        <v>1160.8827000000001</v>
      </c>
      <c r="N80" s="592">
        <f ca="1">OFFSET('360SpcLdsCSV'!$B$5,$B80,N$51)</f>
        <v>11608.8</v>
      </c>
      <c r="O80" s="592">
        <f ca="1">OFFSET('360SpcLdsCSV'!$B$5,$B80,O$51)</f>
        <v>531.70000000000005</v>
      </c>
      <c r="P80" s="592">
        <f ca="1">OFFSET('360SpcLdsCSV'!$B$5,$B80,P$51)</f>
        <v>106.3</v>
      </c>
      <c r="Q80" s="592">
        <f ca="1">OFFSET('360SpcLdsCSV'!$B$5,$B80,Q$51)</f>
        <v>0</v>
      </c>
      <c r="R80" s="592">
        <f ca="1">OFFSET('360SpcLdsCSV'!$B$5,$B80,R$51)</f>
        <v>0</v>
      </c>
      <c r="S80" s="592">
        <f ca="1">OFFSET('360SpcLdsCSV'!$B$5,$B80,S$51)</f>
        <v>0</v>
      </c>
      <c r="T80" s="592">
        <f ca="1">OFFSET('360SpcLdsCSV'!$B$5,$B80,T$51)</f>
        <v>0</v>
      </c>
      <c r="U80" s="592">
        <f ca="1">OFFSET('360SpcLdsCSV'!$B$5,$B80,U$51)</f>
        <v>0</v>
      </c>
      <c r="V80" s="592">
        <f ca="1">OFFSET('360SpcLdsCSV'!$B$5,$B80,V$51)</f>
        <v>0</v>
      </c>
      <c r="W80" s="592">
        <f ca="1">OFFSET('360SpcLdsCSV'!$B$5,$B80,W$51)</f>
        <v>0</v>
      </c>
      <c r="X80" s="592">
        <f ca="1">OFFSET('360SpcLdsCSV'!$B$5,$B80,X$51)</f>
        <v>0</v>
      </c>
      <c r="Y80" s="592">
        <f ca="1">OFFSET('360SpcLdsCSV'!$B$5,$B80,Y$51)</f>
        <v>0</v>
      </c>
      <c r="Z80" s="592">
        <f ca="1">OFFSET('360SpcLdsCSV'!$B$5,$B80,Z$51)</f>
        <v>0</v>
      </c>
      <c r="AA80" s="592">
        <f ca="1">OFFSET('360SpcLdsCSV'!$B$5,$B80,AA$51)</f>
        <v>211.3</v>
      </c>
      <c r="AB80" s="592">
        <f ca="1">OFFSET('360SpcLdsCSV'!$B$5,$B80,AB$51)</f>
        <v>0</v>
      </c>
      <c r="AC80" s="592">
        <f ca="1">OFFSET('360SpcLdsCSV'!$B$5,$B80,AC$51)</f>
        <v>0</v>
      </c>
      <c r="AD80" s="592">
        <f ca="1">OFFSET('360SpcLdsCSV'!$B$5,$B80,AD$51)</f>
        <v>0</v>
      </c>
      <c r="AE80" s="592">
        <f ca="1">OFFSET('360SpcLdsCSV'!$B$5,$B80,AE$51)</f>
        <v>0</v>
      </c>
      <c r="AF80" s="592">
        <f ca="1">OFFSET('360SpcLdsCSV'!$B$5,$B80,AF$51)</f>
        <v>0</v>
      </c>
      <c r="AG80" s="592">
        <f ca="1">OFFSET('360SpcLdsCSV'!$B$5,$B80,AG$51)</f>
        <v>0</v>
      </c>
      <c r="AH80" s="592">
        <f ca="1">OFFSET('360SpcLdsCSV'!$B$5,$B80,AH$51)</f>
        <v>0</v>
      </c>
      <c r="AI80" s="592">
        <f ca="1">OFFSET('360SpcLdsCSV'!$B$5,$B80,AI$51)</f>
        <v>0</v>
      </c>
      <c r="AJ80" s="592" cm="1">
        <f t="array" ref="AJ80">_xlfn.IFS($F80="Resi",1,$F80="Racc",0,$F80="Coml",0,$F80="Prkg",0)</f>
        <v>1</v>
      </c>
      <c r="AK80" s="596"/>
      <c r="AL80" s="590">
        <f ca="1">OFFSET('360SpcLdsCSV'!$B$5,$B80,AL$51)</f>
        <v>1</v>
      </c>
      <c r="AM80" s="663">
        <f t="shared" ca="1" si="110"/>
        <v>1</v>
      </c>
      <c r="AN80" s="663">
        <f t="shared" ca="1" si="111"/>
        <v>1</v>
      </c>
      <c r="AO80" s="663">
        <f t="shared" ca="1" si="138"/>
        <v>1160.8827000000001</v>
      </c>
      <c r="AP80" s="663">
        <f t="shared" ca="1" si="112"/>
        <v>11608.8</v>
      </c>
      <c r="AQ80" s="663">
        <f t="shared" ca="1" si="113"/>
        <v>531.70000000000005</v>
      </c>
      <c r="AR80" s="663">
        <f t="shared" ca="1" si="114"/>
        <v>106.3</v>
      </c>
      <c r="AS80" s="663">
        <f t="shared" ca="1" si="115"/>
        <v>0</v>
      </c>
      <c r="AT80" s="663">
        <f t="shared" ca="1" si="116"/>
        <v>0</v>
      </c>
      <c r="AU80" s="663">
        <f t="shared" ca="1" si="117"/>
        <v>0</v>
      </c>
      <c r="AV80" s="663">
        <f t="shared" ca="1" si="118"/>
        <v>0</v>
      </c>
      <c r="AW80" s="663">
        <f t="shared" ca="1" si="119"/>
        <v>0</v>
      </c>
      <c r="AX80" s="663">
        <f t="shared" ca="1" si="120"/>
        <v>0</v>
      </c>
      <c r="AY80" s="663">
        <f t="shared" ca="1" si="121"/>
        <v>0</v>
      </c>
      <c r="AZ80" s="663">
        <f t="shared" ca="1" si="122"/>
        <v>0</v>
      </c>
      <c r="BA80" s="663">
        <f t="shared" ca="1" si="123"/>
        <v>0</v>
      </c>
      <c r="BB80" s="663">
        <f t="shared" ca="1" si="124"/>
        <v>0</v>
      </c>
      <c r="BC80" s="663">
        <f t="shared" ca="1" si="125"/>
        <v>211.3</v>
      </c>
      <c r="BD80" s="663">
        <f t="shared" ca="1" si="126"/>
        <v>0</v>
      </c>
      <c r="BE80" s="663">
        <f t="shared" ca="1" si="127"/>
        <v>0</v>
      </c>
      <c r="BF80" s="663">
        <f t="shared" ca="1" si="128"/>
        <v>0</v>
      </c>
      <c r="BG80" s="663">
        <f t="shared" ca="1" si="129"/>
        <v>0</v>
      </c>
      <c r="BH80" s="663">
        <f t="shared" ca="1" si="130"/>
        <v>0</v>
      </c>
      <c r="BI80" s="663">
        <f t="shared" ca="1" si="131"/>
        <v>0</v>
      </c>
      <c r="BJ80" s="663">
        <f t="shared" ca="1" si="132"/>
        <v>0</v>
      </c>
      <c r="BK80" s="663">
        <f t="shared" ca="1" si="133"/>
        <v>0</v>
      </c>
      <c r="BL80" s="1918"/>
      <c r="BM80" s="1532"/>
      <c r="BN80" s="1919"/>
      <c r="BO80" s="600"/>
      <c r="BP80" s="601"/>
      <c r="BS80" s="603"/>
      <c r="BT80" s="602"/>
      <c r="BU80" s="602"/>
      <c r="BV80" s="602"/>
      <c r="BW80" s="604"/>
      <c r="BX80" s="605"/>
      <c r="BY80" s="602"/>
      <c r="BZ80" s="602"/>
      <c r="CA80"/>
      <c r="CB80" s="607"/>
      <c r="CC80" s="608"/>
      <c r="CD80" s="608"/>
      <c r="CE80" s="608"/>
      <c r="CF80" s="600"/>
    </row>
    <row r="81" spans="2:84" ht="12" customHeight="1" x14ac:dyDescent="0.35">
      <c r="B81" s="590">
        <f>MATCH(C81,'360SpcLdsCSV'!$C$6:$C$500,0)</f>
        <v>25</v>
      </c>
      <c r="C81" s="590" t="str">
        <f>'360SpcLdsCSV'!C30</f>
        <v>L02-207_MfamResiPthp</v>
      </c>
      <c r="D81" s="590" t="str">
        <f t="shared" si="134"/>
        <v>L02</v>
      </c>
      <c r="E81" s="590" t="str">
        <f t="shared" si="135"/>
        <v>Mfam</v>
      </c>
      <c r="F81" s="590" t="str">
        <f t="shared" si="136"/>
        <v>Resi</v>
      </c>
      <c r="G81" s="590" t="str">
        <f t="shared" si="137"/>
        <v>Pthp</v>
      </c>
      <c r="H81" s="590" t="str">
        <f ca="1">OFFSET('360SpcLdsCSV'!$B$5,$B81,H$51)</f>
        <v>Level 2</v>
      </c>
      <c r="I81" s="590" t="str">
        <f ca="1">OFFSET('360SpcLdsCSV'!$B$5,$B81,I$51)</f>
        <v>DirectlyConditioned</v>
      </c>
      <c r="J81" s="590" t="str">
        <f ca="1">OFFSET('360SpcLdsCSV'!$B$5,$B81,J$51)</f>
        <v>Dwelling Unit</v>
      </c>
      <c r="K81" s="590" t="str">
        <f ca="1">OFFSET('360SpcLdsCSV'!$B$5,$B81,K$51)</f>
        <v>Residential</v>
      </c>
      <c r="L81" s="590" t="str">
        <f ca="1">OFFSET('360SpcLdsCSV'!$B$5,$B81,L$51)</f>
        <v>Thermal Zone: L02-207_MfamResiPthp</v>
      </c>
      <c r="M81" s="592">
        <f ca="1">OFFSET('360SpcLdsCSV'!$B$5,$B81,M$51)</f>
        <v>1858.692</v>
      </c>
      <c r="N81" s="592">
        <f ca="1">OFFSET('360SpcLdsCSV'!$B$5,$B81,N$51)</f>
        <v>18586.900000000001</v>
      </c>
      <c r="O81" s="592">
        <f ca="1">OFFSET('360SpcLdsCSV'!$B$5,$B81,O$51)</f>
        <v>809.1</v>
      </c>
      <c r="P81" s="592">
        <f ca="1">OFFSET('360SpcLdsCSV'!$B$5,$B81,P$51)</f>
        <v>161.80000000000001</v>
      </c>
      <c r="Q81" s="592">
        <f ca="1">OFFSET('360SpcLdsCSV'!$B$5,$B81,Q$51)</f>
        <v>0</v>
      </c>
      <c r="R81" s="592">
        <f ca="1">OFFSET('360SpcLdsCSV'!$B$5,$B81,R$51)</f>
        <v>0</v>
      </c>
      <c r="S81" s="592">
        <f ca="1">OFFSET('360SpcLdsCSV'!$B$5,$B81,S$51)</f>
        <v>0</v>
      </c>
      <c r="T81" s="592">
        <f ca="1">OFFSET('360SpcLdsCSV'!$B$5,$B81,T$51)</f>
        <v>0</v>
      </c>
      <c r="U81" s="592">
        <f ca="1">OFFSET('360SpcLdsCSV'!$B$5,$B81,U$51)</f>
        <v>0</v>
      </c>
      <c r="V81" s="592">
        <f ca="1">OFFSET('360SpcLdsCSV'!$B$5,$B81,V$51)</f>
        <v>0</v>
      </c>
      <c r="W81" s="592">
        <f ca="1">OFFSET('360SpcLdsCSV'!$B$5,$B81,W$51)</f>
        <v>0</v>
      </c>
      <c r="X81" s="592">
        <f ca="1">OFFSET('360SpcLdsCSV'!$B$5,$B81,X$51)</f>
        <v>0</v>
      </c>
      <c r="Y81" s="592">
        <f ca="1">OFFSET('360SpcLdsCSV'!$B$5,$B81,Y$51)</f>
        <v>0</v>
      </c>
      <c r="Z81" s="592">
        <f ca="1">OFFSET('360SpcLdsCSV'!$B$5,$B81,Z$51)</f>
        <v>0</v>
      </c>
      <c r="AA81" s="592">
        <f ca="1">OFFSET('360SpcLdsCSV'!$B$5,$B81,AA$51)</f>
        <v>0</v>
      </c>
      <c r="AB81" s="592">
        <f ca="1">OFFSET('360SpcLdsCSV'!$B$5,$B81,AB$51)</f>
        <v>0</v>
      </c>
      <c r="AC81" s="592">
        <f ca="1">OFFSET('360SpcLdsCSV'!$B$5,$B81,AC$51)</f>
        <v>0</v>
      </c>
      <c r="AD81" s="592">
        <f ca="1">OFFSET('360SpcLdsCSV'!$B$5,$B81,AD$51)</f>
        <v>0</v>
      </c>
      <c r="AE81" s="592">
        <f ca="1">OFFSET('360SpcLdsCSV'!$B$5,$B81,AE$51)</f>
        <v>0</v>
      </c>
      <c r="AF81" s="592">
        <f ca="1">OFFSET('360SpcLdsCSV'!$B$5,$B81,AF$51)</f>
        <v>0</v>
      </c>
      <c r="AG81" s="592">
        <f ca="1">OFFSET('360SpcLdsCSV'!$B$5,$B81,AG$51)</f>
        <v>0</v>
      </c>
      <c r="AH81" s="592">
        <f ca="1">OFFSET('360SpcLdsCSV'!$B$5,$B81,AH$51)</f>
        <v>0</v>
      </c>
      <c r="AI81" s="592">
        <f ca="1">OFFSET('360SpcLdsCSV'!$B$5,$B81,AI$51)</f>
        <v>0</v>
      </c>
      <c r="AJ81" s="592" cm="1">
        <f t="array" ref="AJ81">_xlfn.IFS($F81="Resi",1,$F81="Racc",0,$F81="Coml",0,$F81="Prkg",0)</f>
        <v>1</v>
      </c>
      <c r="AK81" s="596"/>
      <c r="AL81" s="590">
        <f ca="1">OFFSET('360SpcLdsCSV'!$B$5,$B81,AL$51)</f>
        <v>1</v>
      </c>
      <c r="AM81" s="663">
        <f t="shared" ca="1" si="110"/>
        <v>1</v>
      </c>
      <c r="AN81" s="663">
        <f t="shared" ca="1" si="111"/>
        <v>1</v>
      </c>
      <c r="AO81" s="663">
        <f t="shared" ca="1" si="138"/>
        <v>1858.692</v>
      </c>
      <c r="AP81" s="663">
        <f t="shared" ca="1" si="112"/>
        <v>18586.900000000001</v>
      </c>
      <c r="AQ81" s="663">
        <f t="shared" ca="1" si="113"/>
        <v>809.1</v>
      </c>
      <c r="AR81" s="663">
        <f t="shared" ca="1" si="114"/>
        <v>161.80000000000001</v>
      </c>
      <c r="AS81" s="663">
        <f t="shared" ca="1" si="115"/>
        <v>0</v>
      </c>
      <c r="AT81" s="663">
        <f t="shared" ca="1" si="116"/>
        <v>0</v>
      </c>
      <c r="AU81" s="663">
        <f t="shared" ca="1" si="117"/>
        <v>0</v>
      </c>
      <c r="AV81" s="663">
        <f t="shared" ca="1" si="118"/>
        <v>0</v>
      </c>
      <c r="AW81" s="663">
        <f t="shared" ca="1" si="119"/>
        <v>0</v>
      </c>
      <c r="AX81" s="663">
        <f t="shared" ca="1" si="120"/>
        <v>0</v>
      </c>
      <c r="AY81" s="663">
        <f t="shared" ca="1" si="121"/>
        <v>0</v>
      </c>
      <c r="AZ81" s="663">
        <f t="shared" ca="1" si="122"/>
        <v>0</v>
      </c>
      <c r="BA81" s="663">
        <f t="shared" ca="1" si="123"/>
        <v>0</v>
      </c>
      <c r="BB81" s="663">
        <f t="shared" ca="1" si="124"/>
        <v>0</v>
      </c>
      <c r="BC81" s="663">
        <f t="shared" ca="1" si="125"/>
        <v>0</v>
      </c>
      <c r="BD81" s="663">
        <f t="shared" ca="1" si="126"/>
        <v>0</v>
      </c>
      <c r="BE81" s="663">
        <f t="shared" ca="1" si="127"/>
        <v>0</v>
      </c>
      <c r="BF81" s="663">
        <f t="shared" ca="1" si="128"/>
        <v>0</v>
      </c>
      <c r="BG81" s="663">
        <f t="shared" ca="1" si="129"/>
        <v>0</v>
      </c>
      <c r="BH81" s="663">
        <f t="shared" ca="1" si="130"/>
        <v>0</v>
      </c>
      <c r="BI81" s="663">
        <f t="shared" ca="1" si="131"/>
        <v>0</v>
      </c>
      <c r="BJ81" s="663">
        <f t="shared" ca="1" si="132"/>
        <v>0</v>
      </c>
      <c r="BK81" s="663">
        <f t="shared" ca="1" si="133"/>
        <v>0</v>
      </c>
      <c r="BL81" s="1918"/>
      <c r="BM81" s="1532"/>
      <c r="BN81" s="1919"/>
      <c r="BO81" s="600"/>
      <c r="BP81" s="601"/>
      <c r="BS81" s="603"/>
      <c r="BT81" s="602"/>
      <c r="BU81" s="602"/>
      <c r="BV81" s="602"/>
      <c r="BW81" s="604"/>
      <c r="BX81" s="605"/>
      <c r="BY81" s="602"/>
      <c r="BZ81" s="602"/>
      <c r="CA81"/>
      <c r="CB81" s="607"/>
      <c r="CC81" s="608"/>
      <c r="CD81" s="608"/>
      <c r="CE81" s="608"/>
      <c r="CF81" s="600"/>
    </row>
    <row r="82" spans="2:84" ht="12" customHeight="1" x14ac:dyDescent="0.35">
      <c r="B82" s="590">
        <f>MATCH(C82,'360SpcLdsCSV'!$C$6:$C$500,0)</f>
        <v>26</v>
      </c>
      <c r="C82" s="590" t="str">
        <f>'360SpcLdsCSV'!C31</f>
        <v>L02-208_MfamResiPthp</v>
      </c>
      <c r="D82" s="590" t="str">
        <f t="shared" si="134"/>
        <v>L02</v>
      </c>
      <c r="E82" s="590" t="str">
        <f t="shared" si="135"/>
        <v>Mfam</v>
      </c>
      <c r="F82" s="590" t="str">
        <f t="shared" si="136"/>
        <v>Resi</v>
      </c>
      <c r="G82" s="590" t="str">
        <f t="shared" si="137"/>
        <v>Pthp</v>
      </c>
      <c r="H82" s="590" t="str">
        <f ca="1">OFFSET('360SpcLdsCSV'!$B$5,$B82,H$51)</f>
        <v>Level 2</v>
      </c>
      <c r="I82" s="590" t="str">
        <f ca="1">OFFSET('360SpcLdsCSV'!$B$5,$B82,I$51)</f>
        <v>DirectlyConditioned</v>
      </c>
      <c r="J82" s="590" t="str">
        <f ca="1">OFFSET('360SpcLdsCSV'!$B$5,$B82,J$51)</f>
        <v>Dwelling Unit</v>
      </c>
      <c r="K82" s="590" t="str">
        <f ca="1">OFFSET('360SpcLdsCSV'!$B$5,$B82,K$51)</f>
        <v>Residential</v>
      </c>
      <c r="L82" s="590" t="str">
        <f ca="1">OFFSET('360SpcLdsCSV'!$B$5,$B82,L$51)</f>
        <v>Thermal Zone: L02-208_MfamResiPthp</v>
      </c>
      <c r="M82" s="592">
        <f ca="1">OFFSET('360SpcLdsCSV'!$B$5,$B82,M$51)</f>
        <v>872.66200000000003</v>
      </c>
      <c r="N82" s="592">
        <f ca="1">OFFSET('360SpcLdsCSV'!$B$5,$B82,N$51)</f>
        <v>8726.6200000000008</v>
      </c>
      <c r="O82" s="592">
        <f ca="1">OFFSET('360SpcLdsCSV'!$B$5,$B82,O$51)</f>
        <v>590.9</v>
      </c>
      <c r="P82" s="592">
        <f ca="1">OFFSET('360SpcLdsCSV'!$B$5,$B82,P$51)</f>
        <v>118.2</v>
      </c>
      <c r="Q82" s="592">
        <f ca="1">OFFSET('360SpcLdsCSV'!$B$5,$B82,Q$51)</f>
        <v>0</v>
      </c>
      <c r="R82" s="592">
        <f ca="1">OFFSET('360SpcLdsCSV'!$B$5,$B82,R$51)</f>
        <v>0</v>
      </c>
      <c r="S82" s="592">
        <f ca="1">OFFSET('360SpcLdsCSV'!$B$5,$B82,S$51)</f>
        <v>0</v>
      </c>
      <c r="T82" s="592">
        <f ca="1">OFFSET('360SpcLdsCSV'!$B$5,$B82,T$51)</f>
        <v>0</v>
      </c>
      <c r="U82" s="592">
        <f ca="1">OFFSET('360SpcLdsCSV'!$B$5,$B82,U$51)</f>
        <v>0</v>
      </c>
      <c r="V82" s="592">
        <f ca="1">OFFSET('360SpcLdsCSV'!$B$5,$B82,V$51)</f>
        <v>0</v>
      </c>
      <c r="W82" s="592">
        <f ca="1">OFFSET('360SpcLdsCSV'!$B$5,$B82,W$51)</f>
        <v>0</v>
      </c>
      <c r="X82" s="592">
        <f ca="1">OFFSET('360SpcLdsCSV'!$B$5,$B82,X$51)</f>
        <v>0</v>
      </c>
      <c r="Y82" s="592">
        <f ca="1">OFFSET('360SpcLdsCSV'!$B$5,$B82,Y$51)</f>
        <v>0</v>
      </c>
      <c r="Z82" s="592">
        <f ca="1">OFFSET('360SpcLdsCSV'!$B$5,$B82,Z$51)</f>
        <v>0</v>
      </c>
      <c r="AA82" s="592">
        <f ca="1">OFFSET('360SpcLdsCSV'!$B$5,$B82,AA$51)</f>
        <v>143.80000000000001</v>
      </c>
      <c r="AB82" s="592">
        <f ca="1">OFFSET('360SpcLdsCSV'!$B$5,$B82,AB$51)</f>
        <v>0</v>
      </c>
      <c r="AC82" s="592">
        <f ca="1">OFFSET('360SpcLdsCSV'!$B$5,$B82,AC$51)</f>
        <v>0</v>
      </c>
      <c r="AD82" s="592">
        <f ca="1">OFFSET('360SpcLdsCSV'!$B$5,$B82,AD$51)</f>
        <v>0</v>
      </c>
      <c r="AE82" s="592">
        <f ca="1">OFFSET('360SpcLdsCSV'!$B$5,$B82,AE$51)</f>
        <v>0</v>
      </c>
      <c r="AF82" s="592">
        <f ca="1">OFFSET('360SpcLdsCSV'!$B$5,$B82,AF$51)</f>
        <v>0</v>
      </c>
      <c r="AG82" s="592">
        <f ca="1">OFFSET('360SpcLdsCSV'!$B$5,$B82,AG$51)</f>
        <v>0</v>
      </c>
      <c r="AH82" s="592">
        <f ca="1">OFFSET('360SpcLdsCSV'!$B$5,$B82,AH$51)</f>
        <v>0</v>
      </c>
      <c r="AI82" s="592">
        <f ca="1">OFFSET('360SpcLdsCSV'!$B$5,$B82,AI$51)</f>
        <v>0</v>
      </c>
      <c r="AJ82" s="592" cm="1">
        <f t="array" ref="AJ82">_xlfn.IFS($F82="Resi",1,$F82="Racc",0,$F82="Coml",0,$F82="Prkg",0)</f>
        <v>1</v>
      </c>
      <c r="AK82" s="596"/>
      <c r="AL82" s="590">
        <f ca="1">OFFSET('360SpcLdsCSV'!$B$5,$B82,AL$51)</f>
        <v>1</v>
      </c>
      <c r="AM82" s="663">
        <f t="shared" ca="1" si="110"/>
        <v>1</v>
      </c>
      <c r="AN82" s="663">
        <f t="shared" ca="1" si="111"/>
        <v>1</v>
      </c>
      <c r="AO82" s="663">
        <f t="shared" ca="1" si="138"/>
        <v>872.66200000000003</v>
      </c>
      <c r="AP82" s="663">
        <f t="shared" ca="1" si="112"/>
        <v>8726.6200000000008</v>
      </c>
      <c r="AQ82" s="663">
        <f t="shared" ca="1" si="113"/>
        <v>590.9</v>
      </c>
      <c r="AR82" s="663">
        <f t="shared" ca="1" si="114"/>
        <v>118.2</v>
      </c>
      <c r="AS82" s="663">
        <f t="shared" ca="1" si="115"/>
        <v>0</v>
      </c>
      <c r="AT82" s="663">
        <f t="shared" ca="1" si="116"/>
        <v>0</v>
      </c>
      <c r="AU82" s="663">
        <f t="shared" ca="1" si="117"/>
        <v>0</v>
      </c>
      <c r="AV82" s="663">
        <f t="shared" ca="1" si="118"/>
        <v>0</v>
      </c>
      <c r="AW82" s="663">
        <f t="shared" ca="1" si="119"/>
        <v>0</v>
      </c>
      <c r="AX82" s="663">
        <f t="shared" ca="1" si="120"/>
        <v>0</v>
      </c>
      <c r="AY82" s="663">
        <f t="shared" ca="1" si="121"/>
        <v>0</v>
      </c>
      <c r="AZ82" s="663">
        <f t="shared" ca="1" si="122"/>
        <v>0</v>
      </c>
      <c r="BA82" s="663">
        <f t="shared" ca="1" si="123"/>
        <v>0</v>
      </c>
      <c r="BB82" s="663">
        <f t="shared" ca="1" si="124"/>
        <v>0</v>
      </c>
      <c r="BC82" s="663">
        <f t="shared" ca="1" si="125"/>
        <v>143.80000000000001</v>
      </c>
      <c r="BD82" s="663">
        <f t="shared" ca="1" si="126"/>
        <v>0</v>
      </c>
      <c r="BE82" s="663">
        <f t="shared" ca="1" si="127"/>
        <v>0</v>
      </c>
      <c r="BF82" s="663">
        <f t="shared" ca="1" si="128"/>
        <v>0</v>
      </c>
      <c r="BG82" s="663">
        <f t="shared" ca="1" si="129"/>
        <v>0</v>
      </c>
      <c r="BH82" s="663">
        <f t="shared" ca="1" si="130"/>
        <v>0</v>
      </c>
      <c r="BI82" s="663">
        <f t="shared" ca="1" si="131"/>
        <v>0</v>
      </c>
      <c r="BJ82" s="663">
        <f t="shared" ca="1" si="132"/>
        <v>0</v>
      </c>
      <c r="BK82" s="663">
        <f t="shared" ca="1" si="133"/>
        <v>0</v>
      </c>
      <c r="BL82" s="1918"/>
      <c r="BM82" s="1532"/>
      <c r="BN82" s="1919"/>
      <c r="BO82" s="600"/>
      <c r="BP82" s="601"/>
      <c r="BS82" s="603"/>
      <c r="BT82" s="602"/>
      <c r="BU82" s="602"/>
      <c r="BV82" s="602"/>
      <c r="BW82" s="604"/>
      <c r="BX82" s="605"/>
      <c r="BY82" s="602"/>
      <c r="BZ82" s="602"/>
      <c r="CA82"/>
      <c r="CB82" s="607"/>
      <c r="CC82" s="608"/>
      <c r="CD82" s="608"/>
      <c r="CE82" s="608"/>
      <c r="CF82" s="600"/>
    </row>
    <row r="83" spans="2:84" ht="12" customHeight="1" x14ac:dyDescent="0.35">
      <c r="B83" s="590">
        <f>MATCH(C83,'360SpcLdsCSV'!$C$6:$C$500,0)</f>
        <v>27</v>
      </c>
      <c r="C83" s="590" t="str">
        <f>'360SpcLdsCSV'!C32</f>
        <v>L02-209_MfamResiPthp</v>
      </c>
      <c r="D83" s="590" t="str">
        <f t="shared" si="134"/>
        <v>L02</v>
      </c>
      <c r="E83" s="590" t="str">
        <f t="shared" si="135"/>
        <v>Mfam</v>
      </c>
      <c r="F83" s="590" t="str">
        <f t="shared" si="136"/>
        <v>Resi</v>
      </c>
      <c r="G83" s="590" t="str">
        <f t="shared" si="137"/>
        <v>Pthp</v>
      </c>
      <c r="H83" s="590" t="str">
        <f ca="1">OFFSET('360SpcLdsCSV'!$B$5,$B83,H$51)</f>
        <v>Level 2</v>
      </c>
      <c r="I83" s="590" t="str">
        <f ca="1">OFFSET('360SpcLdsCSV'!$B$5,$B83,I$51)</f>
        <v>DirectlyConditioned</v>
      </c>
      <c r="J83" s="590" t="str">
        <f ca="1">OFFSET('360SpcLdsCSV'!$B$5,$B83,J$51)</f>
        <v>Dwelling Unit</v>
      </c>
      <c r="K83" s="590" t="str">
        <f ca="1">OFFSET('360SpcLdsCSV'!$B$5,$B83,K$51)</f>
        <v>Residential</v>
      </c>
      <c r="L83" s="590" t="str">
        <f ca="1">OFFSET('360SpcLdsCSV'!$B$5,$B83,L$51)</f>
        <v>Thermal Zone: L02-209_MfamResiPthp</v>
      </c>
      <c r="M83" s="592">
        <f ca="1">OFFSET('360SpcLdsCSV'!$B$5,$B83,M$51)</f>
        <v>1347.52</v>
      </c>
      <c r="N83" s="592">
        <f ca="1">OFFSET('360SpcLdsCSV'!$B$5,$B83,N$51)</f>
        <v>13475.2</v>
      </c>
      <c r="O83" s="592">
        <f ca="1">OFFSET('360SpcLdsCSV'!$B$5,$B83,O$51)</f>
        <v>858.4</v>
      </c>
      <c r="P83" s="592">
        <f ca="1">OFFSET('360SpcLdsCSV'!$B$5,$B83,P$51)</f>
        <v>171.7</v>
      </c>
      <c r="Q83" s="592">
        <f ca="1">OFFSET('360SpcLdsCSV'!$B$5,$B83,Q$51)</f>
        <v>0</v>
      </c>
      <c r="R83" s="592">
        <f ca="1">OFFSET('360SpcLdsCSV'!$B$5,$B83,R$51)</f>
        <v>0</v>
      </c>
      <c r="S83" s="592">
        <f ca="1">OFFSET('360SpcLdsCSV'!$B$5,$B83,S$51)</f>
        <v>0</v>
      </c>
      <c r="T83" s="592">
        <f ca="1">OFFSET('360SpcLdsCSV'!$B$5,$B83,T$51)</f>
        <v>0</v>
      </c>
      <c r="U83" s="592">
        <f ca="1">OFFSET('360SpcLdsCSV'!$B$5,$B83,U$51)</f>
        <v>0</v>
      </c>
      <c r="V83" s="592">
        <f ca="1">OFFSET('360SpcLdsCSV'!$B$5,$B83,V$51)</f>
        <v>0</v>
      </c>
      <c r="W83" s="592">
        <f ca="1">OFFSET('360SpcLdsCSV'!$B$5,$B83,W$51)</f>
        <v>0</v>
      </c>
      <c r="X83" s="592">
        <f ca="1">OFFSET('360SpcLdsCSV'!$B$5,$B83,X$51)</f>
        <v>0</v>
      </c>
      <c r="Y83" s="592">
        <f ca="1">OFFSET('360SpcLdsCSV'!$B$5,$B83,Y$51)</f>
        <v>0</v>
      </c>
      <c r="Z83" s="592">
        <f ca="1">OFFSET('360SpcLdsCSV'!$B$5,$B83,Z$51)</f>
        <v>0</v>
      </c>
      <c r="AA83" s="592">
        <f ca="1">OFFSET('360SpcLdsCSV'!$B$5,$B83,AA$51)</f>
        <v>272.5</v>
      </c>
      <c r="AB83" s="592">
        <f ca="1">OFFSET('360SpcLdsCSV'!$B$5,$B83,AB$51)</f>
        <v>0</v>
      </c>
      <c r="AC83" s="592">
        <f ca="1">OFFSET('360SpcLdsCSV'!$B$5,$B83,AC$51)</f>
        <v>0</v>
      </c>
      <c r="AD83" s="592">
        <f ca="1">OFFSET('360SpcLdsCSV'!$B$5,$B83,AD$51)</f>
        <v>0</v>
      </c>
      <c r="AE83" s="592">
        <f ca="1">OFFSET('360SpcLdsCSV'!$B$5,$B83,AE$51)</f>
        <v>0</v>
      </c>
      <c r="AF83" s="592">
        <f ca="1">OFFSET('360SpcLdsCSV'!$B$5,$B83,AF$51)</f>
        <v>0</v>
      </c>
      <c r="AG83" s="592">
        <f ca="1">OFFSET('360SpcLdsCSV'!$B$5,$B83,AG$51)</f>
        <v>0</v>
      </c>
      <c r="AH83" s="592">
        <f ca="1">OFFSET('360SpcLdsCSV'!$B$5,$B83,AH$51)</f>
        <v>0</v>
      </c>
      <c r="AI83" s="592">
        <f ca="1">OFFSET('360SpcLdsCSV'!$B$5,$B83,AI$51)</f>
        <v>0</v>
      </c>
      <c r="AJ83" s="592" cm="1">
        <f t="array" ref="AJ83">_xlfn.IFS($F83="Resi",1,$F83="Racc",0,$F83="Coml",0,$F83="Prkg",0)</f>
        <v>1</v>
      </c>
      <c r="AK83" s="596"/>
      <c r="AL83" s="590">
        <f ca="1">OFFSET('360SpcLdsCSV'!$B$5,$B83,AL$51)</f>
        <v>1</v>
      </c>
      <c r="AM83" s="663">
        <f t="shared" ca="1" si="110"/>
        <v>1</v>
      </c>
      <c r="AN83" s="663">
        <f t="shared" ca="1" si="111"/>
        <v>1</v>
      </c>
      <c r="AO83" s="663">
        <f t="shared" ca="1" si="138"/>
        <v>1347.52</v>
      </c>
      <c r="AP83" s="663">
        <f t="shared" ca="1" si="112"/>
        <v>13475.2</v>
      </c>
      <c r="AQ83" s="663">
        <f t="shared" ca="1" si="113"/>
        <v>858.4</v>
      </c>
      <c r="AR83" s="663">
        <f t="shared" ca="1" si="114"/>
        <v>171.7</v>
      </c>
      <c r="AS83" s="663">
        <f t="shared" ca="1" si="115"/>
        <v>0</v>
      </c>
      <c r="AT83" s="663">
        <f t="shared" ca="1" si="116"/>
        <v>0</v>
      </c>
      <c r="AU83" s="663">
        <f t="shared" ca="1" si="117"/>
        <v>0</v>
      </c>
      <c r="AV83" s="663">
        <f t="shared" ca="1" si="118"/>
        <v>0</v>
      </c>
      <c r="AW83" s="663">
        <f t="shared" ca="1" si="119"/>
        <v>0</v>
      </c>
      <c r="AX83" s="663">
        <f t="shared" ca="1" si="120"/>
        <v>0</v>
      </c>
      <c r="AY83" s="663">
        <f t="shared" ca="1" si="121"/>
        <v>0</v>
      </c>
      <c r="AZ83" s="663">
        <f t="shared" ca="1" si="122"/>
        <v>0</v>
      </c>
      <c r="BA83" s="663">
        <f t="shared" ca="1" si="123"/>
        <v>0</v>
      </c>
      <c r="BB83" s="663">
        <f t="shared" ca="1" si="124"/>
        <v>0</v>
      </c>
      <c r="BC83" s="663">
        <f t="shared" ca="1" si="125"/>
        <v>272.5</v>
      </c>
      <c r="BD83" s="663">
        <f t="shared" ca="1" si="126"/>
        <v>0</v>
      </c>
      <c r="BE83" s="663">
        <f t="shared" ca="1" si="127"/>
        <v>0</v>
      </c>
      <c r="BF83" s="663">
        <f t="shared" ca="1" si="128"/>
        <v>0</v>
      </c>
      <c r="BG83" s="663">
        <f t="shared" ca="1" si="129"/>
        <v>0</v>
      </c>
      <c r="BH83" s="663">
        <f t="shared" ca="1" si="130"/>
        <v>0</v>
      </c>
      <c r="BI83" s="663">
        <f t="shared" ca="1" si="131"/>
        <v>0</v>
      </c>
      <c r="BJ83" s="663">
        <f t="shared" ca="1" si="132"/>
        <v>0</v>
      </c>
      <c r="BK83" s="663">
        <f t="shared" ca="1" si="133"/>
        <v>0</v>
      </c>
      <c r="BL83" s="1918"/>
      <c r="BM83" s="1532"/>
      <c r="BN83" s="1919"/>
      <c r="BO83" s="600"/>
      <c r="BP83" s="601"/>
      <c r="BS83" s="603"/>
      <c r="BT83" s="602"/>
      <c r="BU83" s="602"/>
      <c r="BV83" s="602"/>
      <c r="BW83" s="604"/>
      <c r="BX83" s="605"/>
      <c r="BY83" s="602"/>
      <c r="BZ83" s="602"/>
      <c r="CA83"/>
      <c r="CB83" s="607"/>
      <c r="CC83" s="608"/>
      <c r="CD83" s="608"/>
      <c r="CE83" s="608"/>
      <c r="CF83" s="600"/>
    </row>
    <row r="84" spans="2:84" ht="12" customHeight="1" x14ac:dyDescent="0.35">
      <c r="B84" s="590">
        <f>MATCH(C84,'360SpcLdsCSV'!$C$6:$C$500,0)</f>
        <v>28</v>
      </c>
      <c r="C84" s="590" t="str">
        <f>'360SpcLdsCSV'!C33</f>
        <v>L02-210_LndyRaccBbrd</v>
      </c>
      <c r="D84" s="590" t="str">
        <f t="shared" si="134"/>
        <v>L02</v>
      </c>
      <c r="E84" s="590" t="str">
        <f t="shared" si="135"/>
        <v>Lndy</v>
      </c>
      <c r="F84" s="590" t="str">
        <f t="shared" si="136"/>
        <v>Racc</v>
      </c>
      <c r="G84" s="590" t="str">
        <f t="shared" si="137"/>
        <v>Bbrd</v>
      </c>
      <c r="H84" s="590" t="str">
        <f ca="1">OFFSET('360SpcLdsCSV'!$B$5,$B84,H$51)</f>
        <v>Level 2</v>
      </c>
      <c r="I84" s="590" t="str">
        <f ca="1">OFFSET('360SpcLdsCSV'!$B$5,$B84,I$51)</f>
        <v>DirectlyConditioned</v>
      </c>
      <c r="J84" s="590" t="str">
        <f ca="1">OFFSET('360SpcLdsCSV'!$B$5,$B84,J$51)</f>
        <v>Laundry/Washing Area</v>
      </c>
      <c r="K84" s="590" t="str">
        <f ca="1">OFFSET('360SpcLdsCSV'!$B$5,$B84,K$51)</f>
        <v>Nonresidential</v>
      </c>
      <c r="L84" s="590" t="str">
        <f ca="1">OFFSET('360SpcLdsCSV'!$B$5,$B84,L$51)</f>
        <v>Thermal Zone: L02-210_LndyRaccBbrd</v>
      </c>
      <c r="M84" s="592">
        <f ca="1">OFFSET('360SpcLdsCSV'!$B$5,$B84,M$51)</f>
        <v>272.42880000000002</v>
      </c>
      <c r="N84" s="592">
        <f ca="1">OFFSET('360SpcLdsCSV'!$B$5,$B84,N$51)</f>
        <v>2724.29</v>
      </c>
      <c r="O84" s="592">
        <f ca="1">OFFSET('360SpcLdsCSV'!$B$5,$B84,O$51)</f>
        <v>0</v>
      </c>
      <c r="P84" s="592">
        <f ca="1">OFFSET('360SpcLdsCSV'!$B$5,$B84,P$51)</f>
        <v>0</v>
      </c>
      <c r="Q84" s="592">
        <f ca="1">OFFSET('360SpcLdsCSV'!$B$5,$B84,Q$51)</f>
        <v>65</v>
      </c>
      <c r="R84" s="592">
        <f ca="1">OFFSET('360SpcLdsCSV'!$B$5,$B84,R$51)</f>
        <v>13</v>
      </c>
      <c r="S84" s="592">
        <f ca="1">OFFSET('360SpcLdsCSV'!$B$5,$B84,S$51)</f>
        <v>0</v>
      </c>
      <c r="T84" s="592">
        <f ca="1">OFFSET('360SpcLdsCSV'!$B$5,$B84,T$51)</f>
        <v>0</v>
      </c>
      <c r="U84" s="592">
        <f ca="1">OFFSET('360SpcLdsCSV'!$B$5,$B84,U$51)</f>
        <v>0</v>
      </c>
      <c r="V84" s="592">
        <f ca="1">OFFSET('360SpcLdsCSV'!$B$5,$B84,V$51)</f>
        <v>0</v>
      </c>
      <c r="W84" s="592">
        <f ca="1">OFFSET('360SpcLdsCSV'!$B$5,$B84,W$51)</f>
        <v>0</v>
      </c>
      <c r="X84" s="592">
        <f ca="1">OFFSET('360SpcLdsCSV'!$B$5,$B84,X$51)</f>
        <v>0</v>
      </c>
      <c r="Y84" s="592">
        <f ca="1">OFFSET('360SpcLdsCSV'!$B$5,$B84,Y$51)</f>
        <v>0</v>
      </c>
      <c r="Z84" s="592">
        <f ca="1">OFFSET('360SpcLdsCSV'!$B$5,$B84,Z$51)</f>
        <v>0</v>
      </c>
      <c r="AA84" s="592">
        <f ca="1">OFFSET('360SpcLdsCSV'!$B$5,$B84,AA$51)</f>
        <v>0</v>
      </c>
      <c r="AB84" s="592">
        <f ca="1">OFFSET('360SpcLdsCSV'!$B$5,$B84,AB$51)</f>
        <v>0</v>
      </c>
      <c r="AC84" s="592">
        <f ca="1">OFFSET('360SpcLdsCSV'!$B$5,$B84,AC$51)</f>
        <v>0</v>
      </c>
      <c r="AD84" s="592">
        <f ca="1">OFFSET('360SpcLdsCSV'!$B$5,$B84,AD$51)</f>
        <v>0</v>
      </c>
      <c r="AE84" s="592">
        <f ca="1">OFFSET('360SpcLdsCSV'!$B$5,$B84,AE$51)</f>
        <v>0</v>
      </c>
      <c r="AF84" s="592">
        <f ca="1">OFFSET('360SpcLdsCSV'!$B$5,$B84,AF$51)</f>
        <v>0</v>
      </c>
      <c r="AG84" s="592">
        <f ca="1">OFFSET('360SpcLdsCSV'!$B$5,$B84,AG$51)</f>
        <v>0</v>
      </c>
      <c r="AH84" s="592">
        <f ca="1">OFFSET('360SpcLdsCSV'!$B$5,$B84,AH$51)</f>
        <v>0</v>
      </c>
      <c r="AI84" s="592">
        <f ca="1">OFFSET('360SpcLdsCSV'!$B$5,$B84,AI$51)</f>
        <v>0</v>
      </c>
      <c r="AJ84" s="592" cm="1">
        <f t="array" ref="AJ84">_xlfn.IFS($F84="Resi",1,$F84="Racc",0,$F84="Coml",0,$F84="Prkg",0)</f>
        <v>0</v>
      </c>
      <c r="AK84" s="596"/>
      <c r="AL84" s="590">
        <f ca="1">OFFSET('360SpcLdsCSV'!$B$5,$B84,AL$51)</f>
        <v>1</v>
      </c>
      <c r="AM84" s="663">
        <f t="shared" ca="1" si="110"/>
        <v>1</v>
      </c>
      <c r="AN84" s="663">
        <f t="shared" ca="1" si="111"/>
        <v>0</v>
      </c>
      <c r="AO84" s="663">
        <f t="shared" ca="1" si="138"/>
        <v>272.42880000000002</v>
      </c>
      <c r="AP84" s="663">
        <f t="shared" ca="1" si="112"/>
        <v>2724.29</v>
      </c>
      <c r="AQ84" s="663">
        <f t="shared" ca="1" si="113"/>
        <v>0</v>
      </c>
      <c r="AR84" s="663">
        <f t="shared" ca="1" si="114"/>
        <v>0</v>
      </c>
      <c r="AS84" s="663">
        <f t="shared" ca="1" si="115"/>
        <v>65</v>
      </c>
      <c r="AT84" s="663">
        <f t="shared" ca="1" si="116"/>
        <v>13</v>
      </c>
      <c r="AU84" s="663">
        <f t="shared" ca="1" si="117"/>
        <v>0</v>
      </c>
      <c r="AV84" s="663">
        <f t="shared" ca="1" si="118"/>
        <v>0</v>
      </c>
      <c r="AW84" s="663">
        <f t="shared" ca="1" si="119"/>
        <v>0</v>
      </c>
      <c r="AX84" s="663">
        <f t="shared" ca="1" si="120"/>
        <v>0</v>
      </c>
      <c r="AY84" s="663">
        <f t="shared" ca="1" si="121"/>
        <v>0</v>
      </c>
      <c r="AZ84" s="663">
        <f t="shared" ca="1" si="122"/>
        <v>0</v>
      </c>
      <c r="BA84" s="663">
        <f t="shared" ca="1" si="123"/>
        <v>0</v>
      </c>
      <c r="BB84" s="663">
        <f t="shared" ca="1" si="124"/>
        <v>0</v>
      </c>
      <c r="BC84" s="663">
        <f t="shared" ca="1" si="125"/>
        <v>0</v>
      </c>
      <c r="BD84" s="663">
        <f t="shared" ca="1" si="126"/>
        <v>0</v>
      </c>
      <c r="BE84" s="663">
        <f t="shared" ca="1" si="127"/>
        <v>0</v>
      </c>
      <c r="BF84" s="663">
        <f t="shared" ca="1" si="128"/>
        <v>0</v>
      </c>
      <c r="BG84" s="663">
        <f t="shared" ca="1" si="129"/>
        <v>0</v>
      </c>
      <c r="BH84" s="663">
        <f t="shared" ca="1" si="130"/>
        <v>0</v>
      </c>
      <c r="BI84" s="663">
        <f t="shared" ca="1" si="131"/>
        <v>0</v>
      </c>
      <c r="BJ84" s="663">
        <f t="shared" ca="1" si="132"/>
        <v>0</v>
      </c>
      <c r="BK84" s="663">
        <f t="shared" ca="1" si="133"/>
        <v>0</v>
      </c>
      <c r="BL84" s="1918"/>
      <c r="BM84" s="1532"/>
      <c r="BN84" s="1919"/>
      <c r="BO84" s="600"/>
      <c r="BP84" s="601"/>
      <c r="BS84" s="603"/>
      <c r="BT84" s="602"/>
      <c r="BU84" s="602"/>
      <c r="BV84" s="602"/>
      <c r="BW84" s="604"/>
      <c r="BX84" s="605"/>
      <c r="BY84" s="602"/>
      <c r="BZ84" s="602"/>
      <c r="CA84"/>
      <c r="CB84" s="607"/>
      <c r="CC84" s="608"/>
      <c r="CD84" s="608"/>
      <c r="CE84" s="608"/>
      <c r="CF84" s="600"/>
    </row>
    <row r="85" spans="2:84" ht="12" customHeight="1" x14ac:dyDescent="0.35">
      <c r="B85" s="590">
        <f>MATCH(C85,'360SpcLdsCSV'!$C$6:$C$500,0)</f>
        <v>29</v>
      </c>
      <c r="C85" s="590" t="str">
        <f>'360SpcLdsCSV'!C34</f>
        <v>L02-211_ElevRaccIncd</v>
      </c>
      <c r="D85" s="590" t="str">
        <f t="shared" si="134"/>
        <v>L02</v>
      </c>
      <c r="E85" s="590" t="str">
        <f t="shared" si="135"/>
        <v>Elev</v>
      </c>
      <c r="F85" s="590" t="str">
        <f t="shared" si="136"/>
        <v>Racc</v>
      </c>
      <c r="G85" s="590" t="str">
        <f t="shared" si="137"/>
        <v>Incd</v>
      </c>
      <c r="H85" s="590" t="str">
        <f ca="1">OFFSET('360SpcLdsCSV'!$B$5,$B85,H$51)</f>
        <v>Level 2</v>
      </c>
      <c r="I85" s="590" t="str">
        <f ca="1">OFFSET('360SpcLdsCSV'!$B$5,$B85,I$51)</f>
        <v>IndirectlyConditioned</v>
      </c>
      <c r="J85" s="590" t="str">
        <f ca="1">OFFSET('360SpcLdsCSV'!$B$5,$B85,J$51)</f>
        <v>Unoccupied-Include in Gross Floor Area</v>
      </c>
      <c r="K85" s="590" t="str">
        <f ca="1">OFFSET('360SpcLdsCSV'!$B$5,$B85,K$51)</f>
        <v>Residential</v>
      </c>
      <c r="L85" s="590" t="str">
        <f ca="1">OFFSET('360SpcLdsCSV'!$B$5,$B85,L$51)</f>
        <v>Thermal Zone: L02-200_CorrRaccSphp</v>
      </c>
      <c r="M85" s="592">
        <f ca="1">OFFSET('360SpcLdsCSV'!$B$5,$B85,M$51)</f>
        <v>211.21340000000001</v>
      </c>
      <c r="N85" s="592">
        <f ca="1">OFFSET('360SpcLdsCSV'!$B$5,$B85,N$51)</f>
        <v>2112.13</v>
      </c>
      <c r="O85" s="592">
        <f ca="1">OFFSET('360SpcLdsCSV'!$B$5,$B85,O$51)</f>
        <v>0</v>
      </c>
      <c r="P85" s="592">
        <f ca="1">OFFSET('360SpcLdsCSV'!$B$5,$B85,P$51)</f>
        <v>0</v>
      </c>
      <c r="Q85" s="592">
        <f ca="1">OFFSET('360SpcLdsCSV'!$B$5,$B85,Q$51)</f>
        <v>0</v>
      </c>
      <c r="R85" s="592">
        <f ca="1">OFFSET('360SpcLdsCSV'!$B$5,$B85,R$51)</f>
        <v>0</v>
      </c>
      <c r="S85" s="592">
        <f ca="1">OFFSET('360SpcLdsCSV'!$B$5,$B85,S$51)</f>
        <v>0</v>
      </c>
      <c r="T85" s="592">
        <f ca="1">OFFSET('360SpcLdsCSV'!$B$5,$B85,T$51)</f>
        <v>0</v>
      </c>
      <c r="U85" s="592">
        <f ca="1">OFFSET('360SpcLdsCSV'!$B$5,$B85,U$51)</f>
        <v>0</v>
      </c>
      <c r="V85" s="592">
        <f ca="1">OFFSET('360SpcLdsCSV'!$B$5,$B85,V$51)</f>
        <v>0</v>
      </c>
      <c r="W85" s="592">
        <f ca="1">OFFSET('360SpcLdsCSV'!$B$5,$B85,W$51)</f>
        <v>0</v>
      </c>
      <c r="X85" s="592">
        <f ca="1">OFFSET('360SpcLdsCSV'!$B$5,$B85,X$51)</f>
        <v>0</v>
      </c>
      <c r="Y85" s="592">
        <f ca="1">OFFSET('360SpcLdsCSV'!$B$5,$B85,Y$51)</f>
        <v>0</v>
      </c>
      <c r="Z85" s="592">
        <f ca="1">OFFSET('360SpcLdsCSV'!$B$5,$B85,Z$51)</f>
        <v>0</v>
      </c>
      <c r="AA85" s="592">
        <f ca="1">OFFSET('360SpcLdsCSV'!$B$5,$B85,AA$51)</f>
        <v>0</v>
      </c>
      <c r="AB85" s="592">
        <f ca="1">OFFSET('360SpcLdsCSV'!$B$5,$B85,AB$51)</f>
        <v>0</v>
      </c>
      <c r="AC85" s="592">
        <f ca="1">OFFSET('360SpcLdsCSV'!$B$5,$B85,AC$51)</f>
        <v>0</v>
      </c>
      <c r="AD85" s="592">
        <f ca="1">OFFSET('360SpcLdsCSV'!$B$5,$B85,AD$51)</f>
        <v>0</v>
      </c>
      <c r="AE85" s="592">
        <f ca="1">OFFSET('360SpcLdsCSV'!$B$5,$B85,AE$51)</f>
        <v>0</v>
      </c>
      <c r="AF85" s="592">
        <f ca="1">OFFSET('360SpcLdsCSV'!$B$5,$B85,AF$51)</f>
        <v>0</v>
      </c>
      <c r="AG85" s="592">
        <f ca="1">OFFSET('360SpcLdsCSV'!$B$5,$B85,AG$51)</f>
        <v>0</v>
      </c>
      <c r="AH85" s="592">
        <f ca="1">OFFSET('360SpcLdsCSV'!$B$5,$B85,AH$51)</f>
        <v>0</v>
      </c>
      <c r="AI85" s="592">
        <f ca="1">OFFSET('360SpcLdsCSV'!$B$5,$B85,AI$51)</f>
        <v>0</v>
      </c>
      <c r="AJ85" s="592" cm="1">
        <f t="array" ref="AJ85">_xlfn.IFS($F85="Resi",1,$F85="Racc",0,$F85="Coml",0,$F85="Prkg",0)</f>
        <v>0</v>
      </c>
      <c r="AK85" s="596"/>
      <c r="AL85" s="590">
        <f ca="1">OFFSET('360SpcLdsCSV'!$B$5,$B85,AL$51)</f>
        <v>1</v>
      </c>
      <c r="AM85" s="663">
        <f t="shared" ca="1" si="110"/>
        <v>1</v>
      </c>
      <c r="AN85" s="663">
        <f t="shared" ca="1" si="111"/>
        <v>1</v>
      </c>
      <c r="AO85" s="663">
        <f t="shared" ca="1" si="138"/>
        <v>211.21340000000001</v>
      </c>
      <c r="AP85" s="663">
        <f t="shared" ca="1" si="112"/>
        <v>2112.13</v>
      </c>
      <c r="AQ85" s="663">
        <f t="shared" ca="1" si="113"/>
        <v>0</v>
      </c>
      <c r="AR85" s="663">
        <f t="shared" ca="1" si="114"/>
        <v>0</v>
      </c>
      <c r="AS85" s="663">
        <f t="shared" ca="1" si="115"/>
        <v>0</v>
      </c>
      <c r="AT85" s="663">
        <f t="shared" ca="1" si="116"/>
        <v>0</v>
      </c>
      <c r="AU85" s="663">
        <f t="shared" ca="1" si="117"/>
        <v>0</v>
      </c>
      <c r="AV85" s="663">
        <f t="shared" ca="1" si="118"/>
        <v>0</v>
      </c>
      <c r="AW85" s="663">
        <f t="shared" ca="1" si="119"/>
        <v>0</v>
      </c>
      <c r="AX85" s="663">
        <f t="shared" ca="1" si="120"/>
        <v>0</v>
      </c>
      <c r="AY85" s="663">
        <f t="shared" ca="1" si="121"/>
        <v>0</v>
      </c>
      <c r="AZ85" s="663">
        <f t="shared" ca="1" si="122"/>
        <v>0</v>
      </c>
      <c r="BA85" s="663">
        <f t="shared" ca="1" si="123"/>
        <v>0</v>
      </c>
      <c r="BB85" s="663">
        <f t="shared" ca="1" si="124"/>
        <v>0</v>
      </c>
      <c r="BC85" s="663">
        <f t="shared" ca="1" si="125"/>
        <v>0</v>
      </c>
      <c r="BD85" s="663">
        <f t="shared" ca="1" si="126"/>
        <v>0</v>
      </c>
      <c r="BE85" s="663">
        <f t="shared" ca="1" si="127"/>
        <v>0</v>
      </c>
      <c r="BF85" s="663">
        <f t="shared" ca="1" si="128"/>
        <v>0</v>
      </c>
      <c r="BG85" s="663">
        <f t="shared" ca="1" si="129"/>
        <v>0</v>
      </c>
      <c r="BH85" s="663">
        <f t="shared" ca="1" si="130"/>
        <v>0</v>
      </c>
      <c r="BI85" s="663">
        <f t="shared" ca="1" si="131"/>
        <v>0</v>
      </c>
      <c r="BJ85" s="663">
        <f t="shared" ca="1" si="132"/>
        <v>0</v>
      </c>
      <c r="BK85" s="663">
        <f t="shared" ca="1" si="133"/>
        <v>0</v>
      </c>
      <c r="BL85" s="1918"/>
      <c r="BM85" s="1532"/>
      <c r="BN85" s="1919"/>
      <c r="BO85" s="600"/>
      <c r="BP85" s="601"/>
      <c r="BS85" s="603"/>
      <c r="BT85" s="602"/>
      <c r="BU85" s="602"/>
      <c r="BV85" s="602"/>
      <c r="BW85" s="604"/>
      <c r="BX85" s="605"/>
      <c r="BY85" s="602"/>
      <c r="BZ85" s="602"/>
      <c r="CA85"/>
      <c r="CB85" s="607"/>
      <c r="CC85" s="608"/>
      <c r="CD85" s="608"/>
      <c r="CE85" s="608"/>
      <c r="CF85" s="600"/>
    </row>
    <row r="86" spans="2:84" ht="12" customHeight="1" x14ac:dyDescent="0.35">
      <c r="B86" s="590">
        <f>MATCH(C86,'360SpcLdsCSV'!$C$6:$C$500,0)</f>
        <v>30</v>
      </c>
      <c r="C86" s="590" t="str">
        <f>'360SpcLdsCSV'!C35</f>
        <v>L02-212_StrsRaccIncd</v>
      </c>
      <c r="D86" s="590" t="str">
        <f t="shared" si="134"/>
        <v>L02</v>
      </c>
      <c r="E86" s="590" t="str">
        <f t="shared" si="135"/>
        <v>Strs</v>
      </c>
      <c r="F86" s="590" t="str">
        <f t="shared" si="136"/>
        <v>Racc</v>
      </c>
      <c r="G86" s="590" t="str">
        <f t="shared" si="137"/>
        <v>Incd</v>
      </c>
      <c r="H86" s="590" t="str">
        <f ca="1">OFFSET('360SpcLdsCSV'!$B$5,$B86,H$51)</f>
        <v>Level 2</v>
      </c>
      <c r="I86" s="590" t="str">
        <f ca="1">OFFSET('360SpcLdsCSV'!$B$5,$B86,I$51)</f>
        <v>IndirectlyConditioned</v>
      </c>
      <c r="J86" s="590" t="str">
        <f ca="1">OFFSET('360SpcLdsCSV'!$B$5,$B86,J$51)</f>
        <v>Stairwell</v>
      </c>
      <c r="K86" s="590" t="str">
        <f ca="1">OFFSET('360SpcLdsCSV'!$B$5,$B86,K$51)</f>
        <v>Nonresidential</v>
      </c>
      <c r="L86" s="590" t="str">
        <f ca="1">OFFSET('360SpcLdsCSV'!$B$5,$B86,L$51)</f>
        <v>Thermal Zone: L02-200_CorrRaccSphp</v>
      </c>
      <c r="M86" s="592">
        <f ca="1">OFFSET('360SpcLdsCSV'!$B$5,$B86,M$51)</f>
        <v>236.34819999999999</v>
      </c>
      <c r="N86" s="592">
        <f ca="1">OFFSET('360SpcLdsCSV'!$B$5,$B86,N$51)</f>
        <v>2363.48</v>
      </c>
      <c r="O86" s="592">
        <f ca="1">OFFSET('360SpcLdsCSV'!$B$5,$B86,O$51)</f>
        <v>0</v>
      </c>
      <c r="P86" s="592">
        <f ca="1">OFFSET('360SpcLdsCSV'!$B$5,$B86,P$51)</f>
        <v>0</v>
      </c>
      <c r="Q86" s="592">
        <f ca="1">OFFSET('360SpcLdsCSV'!$B$5,$B86,Q$51)</f>
        <v>0</v>
      </c>
      <c r="R86" s="592">
        <f ca="1">OFFSET('360SpcLdsCSV'!$B$5,$B86,R$51)</f>
        <v>0</v>
      </c>
      <c r="S86" s="592">
        <f ca="1">OFFSET('360SpcLdsCSV'!$B$5,$B86,S$51)</f>
        <v>0</v>
      </c>
      <c r="T86" s="592">
        <f ca="1">OFFSET('360SpcLdsCSV'!$B$5,$B86,T$51)</f>
        <v>0</v>
      </c>
      <c r="U86" s="592">
        <f ca="1">OFFSET('360SpcLdsCSV'!$B$5,$B86,U$51)</f>
        <v>0</v>
      </c>
      <c r="V86" s="592">
        <f ca="1">OFFSET('360SpcLdsCSV'!$B$5,$B86,V$51)</f>
        <v>0</v>
      </c>
      <c r="W86" s="592">
        <f ca="1">OFFSET('360SpcLdsCSV'!$B$5,$B86,W$51)</f>
        <v>0</v>
      </c>
      <c r="X86" s="592">
        <f ca="1">OFFSET('360SpcLdsCSV'!$B$5,$B86,X$51)</f>
        <v>0</v>
      </c>
      <c r="Y86" s="592">
        <f ca="1">OFFSET('360SpcLdsCSV'!$B$5,$B86,Y$51)</f>
        <v>0</v>
      </c>
      <c r="Z86" s="592">
        <f ca="1">OFFSET('360SpcLdsCSV'!$B$5,$B86,Z$51)</f>
        <v>0</v>
      </c>
      <c r="AA86" s="592">
        <f ca="1">OFFSET('360SpcLdsCSV'!$B$5,$B86,AA$51)</f>
        <v>0</v>
      </c>
      <c r="AB86" s="592">
        <f ca="1">OFFSET('360SpcLdsCSV'!$B$5,$B86,AB$51)</f>
        <v>0</v>
      </c>
      <c r="AC86" s="592">
        <f ca="1">OFFSET('360SpcLdsCSV'!$B$5,$B86,AC$51)</f>
        <v>0</v>
      </c>
      <c r="AD86" s="592">
        <f ca="1">OFFSET('360SpcLdsCSV'!$B$5,$B86,AD$51)</f>
        <v>0</v>
      </c>
      <c r="AE86" s="592">
        <f ca="1">OFFSET('360SpcLdsCSV'!$B$5,$B86,AE$51)</f>
        <v>0</v>
      </c>
      <c r="AF86" s="592">
        <f ca="1">OFFSET('360SpcLdsCSV'!$B$5,$B86,AF$51)</f>
        <v>0</v>
      </c>
      <c r="AG86" s="592">
        <f ca="1">OFFSET('360SpcLdsCSV'!$B$5,$B86,AG$51)</f>
        <v>0</v>
      </c>
      <c r="AH86" s="592">
        <f ca="1">OFFSET('360SpcLdsCSV'!$B$5,$B86,AH$51)</f>
        <v>0</v>
      </c>
      <c r="AI86" s="592">
        <f ca="1">OFFSET('360SpcLdsCSV'!$B$5,$B86,AI$51)</f>
        <v>0</v>
      </c>
      <c r="AJ86" s="592" cm="1">
        <f t="array" ref="AJ86">_xlfn.IFS($F86="Resi",1,$F86="Racc",0,$F86="Coml",0,$F86="Prkg",0)</f>
        <v>0</v>
      </c>
      <c r="AK86" s="596"/>
      <c r="AL86" s="590">
        <f ca="1">OFFSET('360SpcLdsCSV'!$B$5,$B86,AL$51)</f>
        <v>1</v>
      </c>
      <c r="AM86" s="663">
        <f t="shared" ca="1" si="110"/>
        <v>1</v>
      </c>
      <c r="AN86" s="663">
        <f t="shared" ca="1" si="111"/>
        <v>0</v>
      </c>
      <c r="AO86" s="663">
        <f t="shared" ca="1" si="138"/>
        <v>236.34819999999999</v>
      </c>
      <c r="AP86" s="663">
        <f t="shared" ca="1" si="112"/>
        <v>2363.48</v>
      </c>
      <c r="AQ86" s="663">
        <f t="shared" ca="1" si="113"/>
        <v>0</v>
      </c>
      <c r="AR86" s="663">
        <f t="shared" ca="1" si="114"/>
        <v>0</v>
      </c>
      <c r="AS86" s="663">
        <f t="shared" ca="1" si="115"/>
        <v>0</v>
      </c>
      <c r="AT86" s="663">
        <f t="shared" ca="1" si="116"/>
        <v>0</v>
      </c>
      <c r="AU86" s="663">
        <f t="shared" ca="1" si="117"/>
        <v>0</v>
      </c>
      <c r="AV86" s="663">
        <f t="shared" ca="1" si="118"/>
        <v>0</v>
      </c>
      <c r="AW86" s="663">
        <f t="shared" ca="1" si="119"/>
        <v>0</v>
      </c>
      <c r="AX86" s="663">
        <f t="shared" ca="1" si="120"/>
        <v>0</v>
      </c>
      <c r="AY86" s="663">
        <f t="shared" ca="1" si="121"/>
        <v>0</v>
      </c>
      <c r="AZ86" s="663">
        <f t="shared" ca="1" si="122"/>
        <v>0</v>
      </c>
      <c r="BA86" s="663">
        <f t="shared" ca="1" si="123"/>
        <v>0</v>
      </c>
      <c r="BB86" s="663">
        <f t="shared" ca="1" si="124"/>
        <v>0</v>
      </c>
      <c r="BC86" s="663">
        <f t="shared" ca="1" si="125"/>
        <v>0</v>
      </c>
      <c r="BD86" s="663">
        <f t="shared" ca="1" si="126"/>
        <v>0</v>
      </c>
      <c r="BE86" s="663">
        <f t="shared" ca="1" si="127"/>
        <v>0</v>
      </c>
      <c r="BF86" s="663">
        <f t="shared" ca="1" si="128"/>
        <v>0</v>
      </c>
      <c r="BG86" s="663">
        <f t="shared" ca="1" si="129"/>
        <v>0</v>
      </c>
      <c r="BH86" s="663">
        <f t="shared" ca="1" si="130"/>
        <v>0</v>
      </c>
      <c r="BI86" s="663">
        <f t="shared" ca="1" si="131"/>
        <v>0</v>
      </c>
      <c r="BJ86" s="663">
        <f t="shared" ca="1" si="132"/>
        <v>0</v>
      </c>
      <c r="BK86" s="663">
        <f t="shared" ca="1" si="133"/>
        <v>0</v>
      </c>
      <c r="BL86" s="1918"/>
      <c r="BM86" s="1532"/>
      <c r="BN86" s="1919"/>
      <c r="BO86" s="600"/>
      <c r="BP86" s="601"/>
      <c r="BS86" s="603"/>
      <c r="BT86" s="602"/>
      <c r="BU86" s="602"/>
      <c r="BV86" s="602"/>
      <c r="BW86" s="604"/>
      <c r="BX86" s="605"/>
      <c r="BY86" s="602"/>
      <c r="BZ86" s="602"/>
      <c r="CA86"/>
      <c r="CB86" s="607"/>
      <c r="CC86" s="608"/>
      <c r="CD86" s="608"/>
      <c r="CE86" s="608"/>
      <c r="CF86" s="600"/>
    </row>
    <row r="87" spans="2:84" ht="12" customHeight="1" x14ac:dyDescent="0.35">
      <c r="B87" s="590">
        <f>MATCH(C87,'360SpcLdsCSV'!$C$6:$C$500,0)</f>
        <v>31</v>
      </c>
      <c r="C87" s="590" t="str">
        <f>'360SpcLdsCSV'!C36</f>
        <v>L02-213_MfamResiPthp</v>
      </c>
      <c r="D87" s="590" t="str">
        <f t="shared" si="134"/>
        <v>L02</v>
      </c>
      <c r="E87" s="590" t="str">
        <f t="shared" si="135"/>
        <v>Mfam</v>
      </c>
      <c r="F87" s="590" t="str">
        <f t="shared" si="136"/>
        <v>Resi</v>
      </c>
      <c r="G87" s="590" t="str">
        <f t="shared" si="137"/>
        <v>Pthp</v>
      </c>
      <c r="H87" s="590" t="str">
        <f ca="1">OFFSET('360SpcLdsCSV'!$B$5,$B87,H$51)</f>
        <v>Level 2</v>
      </c>
      <c r="I87" s="590" t="str">
        <f ca="1">OFFSET('360SpcLdsCSV'!$B$5,$B87,I$51)</f>
        <v>DirectlyConditioned</v>
      </c>
      <c r="J87" s="590" t="str">
        <f ca="1">OFFSET('360SpcLdsCSV'!$B$5,$B87,J$51)</f>
        <v>Dwelling Unit</v>
      </c>
      <c r="K87" s="590" t="str">
        <f ca="1">OFFSET('360SpcLdsCSV'!$B$5,$B87,K$51)</f>
        <v>Residential</v>
      </c>
      <c r="L87" s="590" t="str">
        <f ca="1">OFFSET('360SpcLdsCSV'!$B$5,$B87,L$51)</f>
        <v>Thermal Zone: L02-213_MfamResiPthp</v>
      </c>
      <c r="M87" s="592">
        <f ca="1">OFFSET('360SpcLdsCSV'!$B$5,$B87,M$51)</f>
        <v>3034.0410000000002</v>
      </c>
      <c r="N87" s="592">
        <f ca="1">OFFSET('360SpcLdsCSV'!$B$5,$B87,N$51)</f>
        <v>30340.400000000001</v>
      </c>
      <c r="O87" s="592">
        <f ca="1">OFFSET('360SpcLdsCSV'!$B$5,$B87,O$51)</f>
        <v>1016.9</v>
      </c>
      <c r="P87" s="592">
        <f ca="1">OFFSET('360SpcLdsCSV'!$B$5,$B87,P$51)</f>
        <v>203.4</v>
      </c>
      <c r="Q87" s="592">
        <f ca="1">OFFSET('360SpcLdsCSV'!$B$5,$B87,Q$51)</f>
        <v>0</v>
      </c>
      <c r="R87" s="592">
        <f ca="1">OFFSET('360SpcLdsCSV'!$B$5,$B87,R$51)</f>
        <v>0</v>
      </c>
      <c r="S87" s="592">
        <f ca="1">OFFSET('360SpcLdsCSV'!$B$5,$B87,S$51)</f>
        <v>0</v>
      </c>
      <c r="T87" s="592">
        <f ca="1">OFFSET('360SpcLdsCSV'!$B$5,$B87,T$51)</f>
        <v>0</v>
      </c>
      <c r="U87" s="592">
        <f ca="1">OFFSET('360SpcLdsCSV'!$B$5,$B87,U$51)</f>
        <v>0</v>
      </c>
      <c r="V87" s="592">
        <f ca="1">OFFSET('360SpcLdsCSV'!$B$5,$B87,V$51)</f>
        <v>0</v>
      </c>
      <c r="W87" s="592">
        <f ca="1">OFFSET('360SpcLdsCSV'!$B$5,$B87,W$51)</f>
        <v>0</v>
      </c>
      <c r="X87" s="592">
        <f ca="1">OFFSET('360SpcLdsCSV'!$B$5,$B87,X$51)</f>
        <v>0</v>
      </c>
      <c r="Y87" s="592">
        <f ca="1">OFFSET('360SpcLdsCSV'!$B$5,$B87,Y$51)</f>
        <v>0</v>
      </c>
      <c r="Z87" s="592">
        <f ca="1">OFFSET('360SpcLdsCSV'!$B$5,$B87,Z$51)</f>
        <v>0</v>
      </c>
      <c r="AA87" s="592">
        <f ca="1">OFFSET('360SpcLdsCSV'!$B$5,$B87,AA$51)</f>
        <v>1795.2</v>
      </c>
      <c r="AB87" s="592">
        <f ca="1">OFFSET('360SpcLdsCSV'!$B$5,$B87,AB$51)</f>
        <v>0</v>
      </c>
      <c r="AC87" s="592">
        <f ca="1">OFFSET('360SpcLdsCSV'!$B$5,$B87,AC$51)</f>
        <v>0</v>
      </c>
      <c r="AD87" s="592">
        <f ca="1">OFFSET('360SpcLdsCSV'!$B$5,$B87,AD$51)</f>
        <v>0</v>
      </c>
      <c r="AE87" s="592">
        <f ca="1">OFFSET('360SpcLdsCSV'!$B$5,$B87,AE$51)</f>
        <v>0</v>
      </c>
      <c r="AF87" s="592">
        <f ca="1">OFFSET('360SpcLdsCSV'!$B$5,$B87,AF$51)</f>
        <v>0</v>
      </c>
      <c r="AG87" s="592">
        <f ca="1">OFFSET('360SpcLdsCSV'!$B$5,$B87,AG$51)</f>
        <v>0</v>
      </c>
      <c r="AH87" s="592">
        <f ca="1">OFFSET('360SpcLdsCSV'!$B$5,$B87,AH$51)</f>
        <v>0</v>
      </c>
      <c r="AI87" s="592">
        <f ca="1">OFFSET('360SpcLdsCSV'!$B$5,$B87,AI$51)</f>
        <v>0</v>
      </c>
      <c r="AJ87" s="592" cm="1">
        <f t="array" ref="AJ87">_xlfn.IFS($F87="Resi",1,$F87="Racc",0,$F87="Coml",0,$F87="Prkg",0)</f>
        <v>1</v>
      </c>
      <c r="AK87" s="596"/>
      <c r="AL87" s="590">
        <f ca="1">OFFSET('360SpcLdsCSV'!$B$5,$B87,AL$51)</f>
        <v>1</v>
      </c>
      <c r="AM87" s="663">
        <f t="shared" ca="1" si="110"/>
        <v>1</v>
      </c>
      <c r="AN87" s="663">
        <f t="shared" ca="1" si="111"/>
        <v>1</v>
      </c>
      <c r="AO87" s="663">
        <f t="shared" ca="1" si="138"/>
        <v>3034.0410000000002</v>
      </c>
      <c r="AP87" s="663">
        <f t="shared" ca="1" si="112"/>
        <v>30340.400000000001</v>
      </c>
      <c r="AQ87" s="663">
        <f t="shared" ca="1" si="113"/>
        <v>1016.9</v>
      </c>
      <c r="AR87" s="663">
        <f t="shared" ca="1" si="114"/>
        <v>203.4</v>
      </c>
      <c r="AS87" s="663">
        <f t="shared" ca="1" si="115"/>
        <v>0</v>
      </c>
      <c r="AT87" s="663">
        <f t="shared" ca="1" si="116"/>
        <v>0</v>
      </c>
      <c r="AU87" s="663">
        <f t="shared" ca="1" si="117"/>
        <v>0</v>
      </c>
      <c r="AV87" s="663">
        <f t="shared" ca="1" si="118"/>
        <v>0</v>
      </c>
      <c r="AW87" s="663">
        <f t="shared" ca="1" si="119"/>
        <v>0</v>
      </c>
      <c r="AX87" s="663">
        <f t="shared" ca="1" si="120"/>
        <v>0</v>
      </c>
      <c r="AY87" s="663">
        <f t="shared" ca="1" si="121"/>
        <v>0</v>
      </c>
      <c r="AZ87" s="663">
        <f t="shared" ca="1" si="122"/>
        <v>0</v>
      </c>
      <c r="BA87" s="663">
        <f t="shared" ca="1" si="123"/>
        <v>0</v>
      </c>
      <c r="BB87" s="663">
        <f t="shared" ca="1" si="124"/>
        <v>0</v>
      </c>
      <c r="BC87" s="663">
        <f t="shared" ca="1" si="125"/>
        <v>1795.2</v>
      </c>
      <c r="BD87" s="663">
        <f t="shared" ca="1" si="126"/>
        <v>0</v>
      </c>
      <c r="BE87" s="663">
        <f t="shared" ca="1" si="127"/>
        <v>0</v>
      </c>
      <c r="BF87" s="663">
        <f t="shared" ca="1" si="128"/>
        <v>0</v>
      </c>
      <c r="BG87" s="663">
        <f t="shared" ca="1" si="129"/>
        <v>0</v>
      </c>
      <c r="BH87" s="663">
        <f t="shared" ca="1" si="130"/>
        <v>0</v>
      </c>
      <c r="BI87" s="663">
        <f t="shared" ca="1" si="131"/>
        <v>0</v>
      </c>
      <c r="BJ87" s="663">
        <f t="shared" ca="1" si="132"/>
        <v>0</v>
      </c>
      <c r="BK87" s="663">
        <f t="shared" ca="1" si="133"/>
        <v>0</v>
      </c>
      <c r="BL87" s="1918"/>
      <c r="BM87" s="1532"/>
      <c r="BN87" s="1919"/>
      <c r="BO87" s="600"/>
      <c r="BP87" s="601"/>
      <c r="BS87" s="603"/>
      <c r="BT87" s="602"/>
      <c r="BU87" s="602"/>
      <c r="BV87" s="602"/>
      <c r="BW87" s="604"/>
      <c r="BX87" s="605"/>
      <c r="BY87" s="602"/>
      <c r="BZ87" s="602"/>
      <c r="CA87"/>
      <c r="CB87" s="607"/>
      <c r="CC87" s="608"/>
      <c r="CD87" s="608"/>
      <c r="CE87" s="608"/>
      <c r="CF87" s="600"/>
    </row>
    <row r="88" spans="2:84" ht="12" customHeight="1" x14ac:dyDescent="0.35">
      <c r="B88" s="590">
        <f>MATCH(C88,'360SpcLdsCSV'!$C$6:$C$500,0)</f>
        <v>32</v>
      </c>
      <c r="C88" s="590" t="str">
        <f>'360SpcLdsCSV'!C37</f>
        <v>L02-214_MechRaccIncd</v>
      </c>
      <c r="D88" s="590" t="str">
        <f t="shared" si="134"/>
        <v>L02</v>
      </c>
      <c r="E88" s="590" t="str">
        <f t="shared" si="135"/>
        <v>Mech</v>
      </c>
      <c r="F88" s="590" t="str">
        <f t="shared" si="136"/>
        <v>Racc</v>
      </c>
      <c r="G88" s="590" t="str">
        <f t="shared" si="137"/>
        <v>Incd</v>
      </c>
      <c r="H88" s="590" t="str">
        <f ca="1">OFFSET('360SpcLdsCSV'!$B$5,$B88,H$51)</f>
        <v>Level 2</v>
      </c>
      <c r="I88" s="590" t="str">
        <f ca="1">OFFSET('360SpcLdsCSV'!$B$5,$B88,I$51)</f>
        <v>IndirectlyConditioned</v>
      </c>
      <c r="J88" s="590" t="str">
        <f ca="1">OFFSET('360SpcLdsCSV'!$B$5,$B88,J$51)</f>
        <v>Electrical/MechanicaI Room</v>
      </c>
      <c r="K88" s="590" t="str">
        <f ca="1">OFFSET('360SpcLdsCSV'!$B$5,$B88,K$51)</f>
        <v>Nonresidential</v>
      </c>
      <c r="L88" s="590" t="str">
        <f ca="1">OFFSET('360SpcLdsCSV'!$B$5,$B88,L$51)</f>
        <v>Thermal Zone: L02-200_CorrRaccSphp</v>
      </c>
      <c r="M88" s="592">
        <f ca="1">OFFSET('360SpcLdsCSV'!$B$5,$B88,M$51)</f>
        <v>347.74279999999999</v>
      </c>
      <c r="N88" s="592">
        <f ca="1">OFFSET('360SpcLdsCSV'!$B$5,$B88,N$51)</f>
        <v>3477.43</v>
      </c>
      <c r="O88" s="592">
        <f ca="1">OFFSET('360SpcLdsCSV'!$B$5,$B88,O$51)</f>
        <v>0</v>
      </c>
      <c r="P88" s="592">
        <f ca="1">OFFSET('360SpcLdsCSV'!$B$5,$B88,P$51)</f>
        <v>0</v>
      </c>
      <c r="Q88" s="592">
        <f ca="1">OFFSET('360SpcLdsCSV'!$B$5,$B88,Q$51)</f>
        <v>0</v>
      </c>
      <c r="R88" s="592">
        <f ca="1">OFFSET('360SpcLdsCSV'!$B$5,$B88,R$51)</f>
        <v>0</v>
      </c>
      <c r="S88" s="592">
        <f ca="1">OFFSET('360SpcLdsCSV'!$B$5,$B88,S$51)</f>
        <v>0</v>
      </c>
      <c r="T88" s="592">
        <f ca="1">OFFSET('360SpcLdsCSV'!$B$5,$B88,T$51)</f>
        <v>0</v>
      </c>
      <c r="U88" s="592">
        <f ca="1">OFFSET('360SpcLdsCSV'!$B$5,$B88,U$51)</f>
        <v>0</v>
      </c>
      <c r="V88" s="592">
        <f ca="1">OFFSET('360SpcLdsCSV'!$B$5,$B88,V$51)</f>
        <v>0</v>
      </c>
      <c r="W88" s="592">
        <f ca="1">OFFSET('360SpcLdsCSV'!$B$5,$B88,W$51)</f>
        <v>0</v>
      </c>
      <c r="X88" s="592">
        <f ca="1">OFFSET('360SpcLdsCSV'!$B$5,$B88,X$51)</f>
        <v>0</v>
      </c>
      <c r="Y88" s="592">
        <f ca="1">OFFSET('360SpcLdsCSV'!$B$5,$B88,Y$51)</f>
        <v>0</v>
      </c>
      <c r="Z88" s="592">
        <f ca="1">OFFSET('360SpcLdsCSV'!$B$5,$B88,Z$51)</f>
        <v>0</v>
      </c>
      <c r="AA88" s="592">
        <f ca="1">OFFSET('360SpcLdsCSV'!$B$5,$B88,AA$51)</f>
        <v>0</v>
      </c>
      <c r="AB88" s="592">
        <f ca="1">OFFSET('360SpcLdsCSV'!$B$5,$B88,AB$51)</f>
        <v>0</v>
      </c>
      <c r="AC88" s="592">
        <f ca="1">OFFSET('360SpcLdsCSV'!$B$5,$B88,AC$51)</f>
        <v>0</v>
      </c>
      <c r="AD88" s="592">
        <f ca="1">OFFSET('360SpcLdsCSV'!$B$5,$B88,AD$51)</f>
        <v>0</v>
      </c>
      <c r="AE88" s="592">
        <f ca="1">OFFSET('360SpcLdsCSV'!$B$5,$B88,AE$51)</f>
        <v>0</v>
      </c>
      <c r="AF88" s="592">
        <f ca="1">OFFSET('360SpcLdsCSV'!$B$5,$B88,AF$51)</f>
        <v>0</v>
      </c>
      <c r="AG88" s="592">
        <f ca="1">OFFSET('360SpcLdsCSV'!$B$5,$B88,AG$51)</f>
        <v>0</v>
      </c>
      <c r="AH88" s="592">
        <f ca="1">OFFSET('360SpcLdsCSV'!$B$5,$B88,AH$51)</f>
        <v>0</v>
      </c>
      <c r="AI88" s="592">
        <f ca="1">OFFSET('360SpcLdsCSV'!$B$5,$B88,AI$51)</f>
        <v>0</v>
      </c>
      <c r="AJ88" s="592" cm="1">
        <f t="array" ref="AJ88">_xlfn.IFS($F88="Resi",1,$F88="Racc",0,$F88="Coml",0,$F88="Prkg",0)</f>
        <v>0</v>
      </c>
      <c r="AK88" s="596"/>
      <c r="AL88" s="590">
        <f ca="1">OFFSET('360SpcLdsCSV'!$B$5,$B88,AL$51)</f>
        <v>1</v>
      </c>
      <c r="AM88" s="663">
        <f t="shared" ca="1" si="110"/>
        <v>1</v>
      </c>
      <c r="AN88" s="663">
        <f t="shared" ca="1" si="111"/>
        <v>0</v>
      </c>
      <c r="AO88" s="663">
        <f t="shared" ca="1" si="138"/>
        <v>347.74279999999999</v>
      </c>
      <c r="AP88" s="663">
        <f t="shared" ca="1" si="112"/>
        <v>3477.43</v>
      </c>
      <c r="AQ88" s="663">
        <f t="shared" ca="1" si="113"/>
        <v>0</v>
      </c>
      <c r="AR88" s="663">
        <f t="shared" ca="1" si="114"/>
        <v>0</v>
      </c>
      <c r="AS88" s="663">
        <f t="shared" ca="1" si="115"/>
        <v>0</v>
      </c>
      <c r="AT88" s="663">
        <f t="shared" ca="1" si="116"/>
        <v>0</v>
      </c>
      <c r="AU88" s="663">
        <f t="shared" ca="1" si="117"/>
        <v>0</v>
      </c>
      <c r="AV88" s="663">
        <f t="shared" ca="1" si="118"/>
        <v>0</v>
      </c>
      <c r="AW88" s="663">
        <f t="shared" ca="1" si="119"/>
        <v>0</v>
      </c>
      <c r="AX88" s="663">
        <f t="shared" ca="1" si="120"/>
        <v>0</v>
      </c>
      <c r="AY88" s="663">
        <f t="shared" ca="1" si="121"/>
        <v>0</v>
      </c>
      <c r="AZ88" s="663">
        <f t="shared" ca="1" si="122"/>
        <v>0</v>
      </c>
      <c r="BA88" s="663">
        <f t="shared" ca="1" si="123"/>
        <v>0</v>
      </c>
      <c r="BB88" s="663">
        <f t="shared" ca="1" si="124"/>
        <v>0</v>
      </c>
      <c r="BC88" s="663">
        <f t="shared" ca="1" si="125"/>
        <v>0</v>
      </c>
      <c r="BD88" s="663">
        <f t="shared" ca="1" si="126"/>
        <v>0</v>
      </c>
      <c r="BE88" s="663">
        <f t="shared" ca="1" si="127"/>
        <v>0</v>
      </c>
      <c r="BF88" s="663">
        <f t="shared" ca="1" si="128"/>
        <v>0</v>
      </c>
      <c r="BG88" s="663">
        <f t="shared" ca="1" si="129"/>
        <v>0</v>
      </c>
      <c r="BH88" s="663">
        <f t="shared" ca="1" si="130"/>
        <v>0</v>
      </c>
      <c r="BI88" s="663">
        <f t="shared" ca="1" si="131"/>
        <v>0</v>
      </c>
      <c r="BJ88" s="663">
        <f t="shared" ca="1" si="132"/>
        <v>0</v>
      </c>
      <c r="BK88" s="663">
        <f t="shared" ca="1" si="133"/>
        <v>0</v>
      </c>
      <c r="BL88" s="1918"/>
      <c r="BM88" s="1532"/>
      <c r="BN88" s="1919"/>
      <c r="BO88" s="600"/>
      <c r="BP88" s="601"/>
      <c r="BS88" s="603"/>
      <c r="BT88" s="602"/>
      <c r="BU88" s="602"/>
      <c r="BV88" s="602"/>
      <c r="BW88" s="604"/>
      <c r="BX88" s="605"/>
      <c r="BY88" s="602"/>
      <c r="BZ88" s="602"/>
      <c r="CA88"/>
      <c r="CB88" s="607"/>
      <c r="CC88" s="608"/>
      <c r="CD88" s="608"/>
      <c r="CE88" s="608"/>
      <c r="CF88" s="600"/>
    </row>
    <row r="89" spans="2:84" ht="12" customHeight="1" x14ac:dyDescent="0.35">
      <c r="B89" s="590">
        <f>MATCH(C89,'360SpcLdsCSV'!$C$6:$C$500,0)</f>
        <v>33</v>
      </c>
      <c r="C89" s="590" t="str">
        <f>'360SpcLdsCSV'!C38</f>
        <v>L02-215_ElevRaccIncd</v>
      </c>
      <c r="D89" s="590" t="str">
        <f t="shared" si="134"/>
        <v>L02</v>
      </c>
      <c r="E89" s="590" t="str">
        <f t="shared" si="135"/>
        <v>Elev</v>
      </c>
      <c r="F89" s="590" t="str">
        <f t="shared" si="136"/>
        <v>Racc</v>
      </c>
      <c r="G89" s="590" t="str">
        <f t="shared" si="137"/>
        <v>Incd</v>
      </c>
      <c r="H89" s="590" t="str">
        <f ca="1">OFFSET('360SpcLdsCSV'!$B$5,$B89,H$51)</f>
        <v>Level 2</v>
      </c>
      <c r="I89" s="590" t="str">
        <f ca="1">OFFSET('360SpcLdsCSV'!$B$5,$B89,I$51)</f>
        <v>IndirectlyConditioned</v>
      </c>
      <c r="J89" s="590" t="str">
        <f ca="1">OFFSET('360SpcLdsCSV'!$B$5,$B89,J$51)</f>
        <v>Unoccupied-Include in Gross Floor Area</v>
      </c>
      <c r="K89" s="590" t="str">
        <f ca="1">OFFSET('360SpcLdsCSV'!$B$5,$B89,K$51)</f>
        <v>Nonresidential</v>
      </c>
      <c r="L89" s="590" t="str">
        <f ca="1">OFFSET('360SpcLdsCSV'!$B$5,$B89,L$51)</f>
        <v>Thermal Zone: L02-200_CorrRaccSphp</v>
      </c>
      <c r="M89" s="592">
        <f ca="1">OFFSET('360SpcLdsCSV'!$B$5,$B89,M$51)</f>
        <v>178.88640000000001</v>
      </c>
      <c r="N89" s="592">
        <f ca="1">OFFSET('360SpcLdsCSV'!$B$5,$B89,N$51)</f>
        <v>1788.86</v>
      </c>
      <c r="O89" s="592">
        <f ca="1">OFFSET('360SpcLdsCSV'!$B$5,$B89,O$51)</f>
        <v>0</v>
      </c>
      <c r="P89" s="592">
        <f ca="1">OFFSET('360SpcLdsCSV'!$B$5,$B89,P$51)</f>
        <v>0</v>
      </c>
      <c r="Q89" s="592">
        <f ca="1">OFFSET('360SpcLdsCSV'!$B$5,$B89,Q$51)</f>
        <v>0</v>
      </c>
      <c r="R89" s="592">
        <f ca="1">OFFSET('360SpcLdsCSV'!$B$5,$B89,R$51)</f>
        <v>0</v>
      </c>
      <c r="S89" s="592">
        <f ca="1">OFFSET('360SpcLdsCSV'!$B$5,$B89,S$51)</f>
        <v>0</v>
      </c>
      <c r="T89" s="592">
        <f ca="1">OFFSET('360SpcLdsCSV'!$B$5,$B89,T$51)</f>
        <v>0</v>
      </c>
      <c r="U89" s="592">
        <f ca="1">OFFSET('360SpcLdsCSV'!$B$5,$B89,U$51)</f>
        <v>0</v>
      </c>
      <c r="V89" s="592">
        <f ca="1">OFFSET('360SpcLdsCSV'!$B$5,$B89,V$51)</f>
        <v>0</v>
      </c>
      <c r="W89" s="592">
        <f ca="1">OFFSET('360SpcLdsCSV'!$B$5,$B89,W$51)</f>
        <v>0</v>
      </c>
      <c r="X89" s="592">
        <f ca="1">OFFSET('360SpcLdsCSV'!$B$5,$B89,X$51)</f>
        <v>0</v>
      </c>
      <c r="Y89" s="592">
        <f ca="1">OFFSET('360SpcLdsCSV'!$B$5,$B89,Y$51)</f>
        <v>0</v>
      </c>
      <c r="Z89" s="592">
        <f ca="1">OFFSET('360SpcLdsCSV'!$B$5,$B89,Z$51)</f>
        <v>0</v>
      </c>
      <c r="AA89" s="592">
        <f ca="1">OFFSET('360SpcLdsCSV'!$B$5,$B89,AA$51)</f>
        <v>0</v>
      </c>
      <c r="AB89" s="592">
        <f ca="1">OFFSET('360SpcLdsCSV'!$B$5,$B89,AB$51)</f>
        <v>0</v>
      </c>
      <c r="AC89" s="592">
        <f ca="1">OFFSET('360SpcLdsCSV'!$B$5,$B89,AC$51)</f>
        <v>0</v>
      </c>
      <c r="AD89" s="592">
        <f ca="1">OFFSET('360SpcLdsCSV'!$B$5,$B89,AD$51)</f>
        <v>0</v>
      </c>
      <c r="AE89" s="592">
        <f ca="1">OFFSET('360SpcLdsCSV'!$B$5,$B89,AE$51)</f>
        <v>0</v>
      </c>
      <c r="AF89" s="592">
        <f ca="1">OFFSET('360SpcLdsCSV'!$B$5,$B89,AF$51)</f>
        <v>0</v>
      </c>
      <c r="AG89" s="592">
        <f ca="1">OFFSET('360SpcLdsCSV'!$B$5,$B89,AG$51)</f>
        <v>0</v>
      </c>
      <c r="AH89" s="592">
        <f ca="1">OFFSET('360SpcLdsCSV'!$B$5,$B89,AH$51)</f>
        <v>0</v>
      </c>
      <c r="AI89" s="592">
        <f ca="1">OFFSET('360SpcLdsCSV'!$B$5,$B89,AI$51)</f>
        <v>0</v>
      </c>
      <c r="AJ89" s="592" cm="1">
        <f t="array" ref="AJ89">_xlfn.IFS($F89="Resi",1,$F89="Racc",0,$F89="Coml",0,$F89="Prkg",0)</f>
        <v>0</v>
      </c>
      <c r="AK89" s="596"/>
      <c r="AL89" s="590">
        <f ca="1">OFFSET('360SpcLdsCSV'!$B$5,$B89,AL$51)</f>
        <v>1</v>
      </c>
      <c r="AM89" s="663">
        <f t="shared" ca="1" si="110"/>
        <v>1</v>
      </c>
      <c r="AN89" s="663">
        <f t="shared" ca="1" si="111"/>
        <v>0</v>
      </c>
      <c r="AO89" s="663">
        <f t="shared" ca="1" si="138"/>
        <v>178.88640000000001</v>
      </c>
      <c r="AP89" s="663">
        <f t="shared" ca="1" si="112"/>
        <v>1788.86</v>
      </c>
      <c r="AQ89" s="663">
        <f t="shared" ca="1" si="113"/>
        <v>0</v>
      </c>
      <c r="AR89" s="663">
        <f t="shared" ca="1" si="114"/>
        <v>0</v>
      </c>
      <c r="AS89" s="663">
        <f t="shared" ca="1" si="115"/>
        <v>0</v>
      </c>
      <c r="AT89" s="663">
        <f t="shared" ca="1" si="116"/>
        <v>0</v>
      </c>
      <c r="AU89" s="663">
        <f t="shared" ca="1" si="117"/>
        <v>0</v>
      </c>
      <c r="AV89" s="663">
        <f t="shared" ca="1" si="118"/>
        <v>0</v>
      </c>
      <c r="AW89" s="663">
        <f t="shared" ca="1" si="119"/>
        <v>0</v>
      </c>
      <c r="AX89" s="663">
        <f t="shared" ca="1" si="120"/>
        <v>0</v>
      </c>
      <c r="AY89" s="663">
        <f t="shared" ca="1" si="121"/>
        <v>0</v>
      </c>
      <c r="AZ89" s="663">
        <f t="shared" ca="1" si="122"/>
        <v>0</v>
      </c>
      <c r="BA89" s="663">
        <f t="shared" ca="1" si="123"/>
        <v>0</v>
      </c>
      <c r="BB89" s="663">
        <f t="shared" ca="1" si="124"/>
        <v>0</v>
      </c>
      <c r="BC89" s="663">
        <f t="shared" ca="1" si="125"/>
        <v>0</v>
      </c>
      <c r="BD89" s="663">
        <f t="shared" ca="1" si="126"/>
        <v>0</v>
      </c>
      <c r="BE89" s="663">
        <f t="shared" ca="1" si="127"/>
        <v>0</v>
      </c>
      <c r="BF89" s="663">
        <f t="shared" ca="1" si="128"/>
        <v>0</v>
      </c>
      <c r="BG89" s="663">
        <f t="shared" ca="1" si="129"/>
        <v>0</v>
      </c>
      <c r="BH89" s="663">
        <f t="shared" ca="1" si="130"/>
        <v>0</v>
      </c>
      <c r="BI89" s="663">
        <f t="shared" ca="1" si="131"/>
        <v>0</v>
      </c>
      <c r="BJ89" s="663">
        <f t="shared" ca="1" si="132"/>
        <v>0</v>
      </c>
      <c r="BK89" s="663">
        <f t="shared" ca="1" si="133"/>
        <v>0</v>
      </c>
      <c r="BL89" s="1918"/>
      <c r="BM89" s="1532"/>
      <c r="BN89" s="1919"/>
      <c r="BO89" s="600"/>
      <c r="BP89" s="601"/>
      <c r="BS89" s="603"/>
      <c r="BT89" s="602"/>
      <c r="BU89" s="602"/>
      <c r="BV89" s="602"/>
      <c r="BW89" s="604"/>
      <c r="BX89" s="605"/>
      <c r="BY89" s="602"/>
      <c r="BZ89" s="602"/>
      <c r="CA89"/>
      <c r="CB89" s="607"/>
      <c r="CC89" s="608"/>
      <c r="CD89" s="608"/>
      <c r="CE89" s="608"/>
      <c r="CF89" s="600"/>
    </row>
    <row r="90" spans="2:84" ht="12" customHeight="1" x14ac:dyDescent="0.35">
      <c r="B90" s="590">
        <f>MATCH(C90,'360SpcLdsCSV'!$C$6:$C$500,0)</f>
        <v>34</v>
      </c>
      <c r="C90" s="590" t="str">
        <f>'360SpcLdsCSV'!C39</f>
        <v>L02-216_StrsRaccIncd</v>
      </c>
      <c r="D90" s="590" t="str">
        <f t="shared" si="134"/>
        <v>L02</v>
      </c>
      <c r="E90" s="590" t="str">
        <f t="shared" si="135"/>
        <v>Strs</v>
      </c>
      <c r="F90" s="590" t="str">
        <f t="shared" si="136"/>
        <v>Racc</v>
      </c>
      <c r="G90" s="590" t="str">
        <f t="shared" si="137"/>
        <v>Incd</v>
      </c>
      <c r="H90" s="590" t="str">
        <f ca="1">OFFSET('360SpcLdsCSV'!$B$5,$B90,H$51)</f>
        <v>Level 2</v>
      </c>
      <c r="I90" s="590" t="str">
        <f ca="1">OFFSET('360SpcLdsCSV'!$B$5,$B90,I$51)</f>
        <v>IndirectlyConditioned</v>
      </c>
      <c r="J90" s="590" t="str">
        <f ca="1">OFFSET('360SpcLdsCSV'!$B$5,$B90,J$51)</f>
        <v>Stairwell</v>
      </c>
      <c r="K90" s="590" t="str">
        <f ca="1">OFFSET('360SpcLdsCSV'!$B$5,$B90,K$51)</f>
        <v>Nonresidential</v>
      </c>
      <c r="L90" s="590" t="str">
        <f ca="1">OFFSET('360SpcLdsCSV'!$B$5,$B90,L$51)</f>
        <v>Thermal Zone: L02-200_CorrRaccSphp</v>
      </c>
      <c r="M90" s="592">
        <f ca="1">OFFSET('360SpcLdsCSV'!$B$5,$B90,M$51)</f>
        <v>232.53399999999999</v>
      </c>
      <c r="N90" s="592">
        <f ca="1">OFFSET('360SpcLdsCSV'!$B$5,$B90,N$51)</f>
        <v>2325.34</v>
      </c>
      <c r="O90" s="592">
        <f ca="1">OFFSET('360SpcLdsCSV'!$B$5,$B90,O$51)</f>
        <v>0</v>
      </c>
      <c r="P90" s="592">
        <f ca="1">OFFSET('360SpcLdsCSV'!$B$5,$B90,P$51)</f>
        <v>0</v>
      </c>
      <c r="Q90" s="592">
        <f ca="1">OFFSET('360SpcLdsCSV'!$B$5,$B90,Q$51)</f>
        <v>0</v>
      </c>
      <c r="R90" s="592">
        <f ca="1">OFFSET('360SpcLdsCSV'!$B$5,$B90,R$51)</f>
        <v>0</v>
      </c>
      <c r="S90" s="592">
        <f ca="1">OFFSET('360SpcLdsCSV'!$B$5,$B90,S$51)</f>
        <v>0</v>
      </c>
      <c r="T90" s="592">
        <f ca="1">OFFSET('360SpcLdsCSV'!$B$5,$B90,T$51)</f>
        <v>0</v>
      </c>
      <c r="U90" s="592">
        <f ca="1">OFFSET('360SpcLdsCSV'!$B$5,$B90,U$51)</f>
        <v>0</v>
      </c>
      <c r="V90" s="592">
        <f ca="1">OFFSET('360SpcLdsCSV'!$B$5,$B90,V$51)</f>
        <v>0</v>
      </c>
      <c r="W90" s="592">
        <f ca="1">OFFSET('360SpcLdsCSV'!$B$5,$B90,W$51)</f>
        <v>0</v>
      </c>
      <c r="X90" s="592">
        <f ca="1">OFFSET('360SpcLdsCSV'!$B$5,$B90,X$51)</f>
        <v>0</v>
      </c>
      <c r="Y90" s="592">
        <f ca="1">OFFSET('360SpcLdsCSV'!$B$5,$B90,Y$51)</f>
        <v>0</v>
      </c>
      <c r="Z90" s="592">
        <f ca="1">OFFSET('360SpcLdsCSV'!$B$5,$B90,Z$51)</f>
        <v>0</v>
      </c>
      <c r="AA90" s="592">
        <f ca="1">OFFSET('360SpcLdsCSV'!$B$5,$B90,AA$51)</f>
        <v>0</v>
      </c>
      <c r="AB90" s="592">
        <f ca="1">OFFSET('360SpcLdsCSV'!$B$5,$B90,AB$51)</f>
        <v>0</v>
      </c>
      <c r="AC90" s="592">
        <f ca="1">OFFSET('360SpcLdsCSV'!$B$5,$B90,AC$51)</f>
        <v>0</v>
      </c>
      <c r="AD90" s="592">
        <f ca="1">OFFSET('360SpcLdsCSV'!$B$5,$B90,AD$51)</f>
        <v>0</v>
      </c>
      <c r="AE90" s="592">
        <f ca="1">OFFSET('360SpcLdsCSV'!$B$5,$B90,AE$51)</f>
        <v>0</v>
      </c>
      <c r="AF90" s="592">
        <f ca="1">OFFSET('360SpcLdsCSV'!$B$5,$B90,AF$51)</f>
        <v>0</v>
      </c>
      <c r="AG90" s="592">
        <f ca="1">OFFSET('360SpcLdsCSV'!$B$5,$B90,AG$51)</f>
        <v>0</v>
      </c>
      <c r="AH90" s="592">
        <f ca="1">OFFSET('360SpcLdsCSV'!$B$5,$B90,AH$51)</f>
        <v>0</v>
      </c>
      <c r="AI90" s="592">
        <f ca="1">OFFSET('360SpcLdsCSV'!$B$5,$B90,AI$51)</f>
        <v>0</v>
      </c>
      <c r="AJ90" s="592" cm="1">
        <f t="array" ref="AJ90">_xlfn.IFS($F90="Resi",1,$F90="Racc",0,$F90="Coml",0,$F90="Prkg",0)</f>
        <v>0</v>
      </c>
      <c r="AK90" s="596"/>
      <c r="AL90" s="590">
        <f ca="1">OFFSET('360SpcLdsCSV'!$B$5,$B90,AL$51)</f>
        <v>1</v>
      </c>
      <c r="AM90" s="663">
        <f t="shared" ca="1" si="110"/>
        <v>1</v>
      </c>
      <c r="AN90" s="663">
        <f t="shared" ca="1" si="111"/>
        <v>0</v>
      </c>
      <c r="AO90" s="663">
        <f t="shared" ca="1" si="138"/>
        <v>232.53399999999999</v>
      </c>
      <c r="AP90" s="663">
        <f t="shared" ca="1" si="112"/>
        <v>2325.34</v>
      </c>
      <c r="AQ90" s="663">
        <f t="shared" ca="1" si="113"/>
        <v>0</v>
      </c>
      <c r="AR90" s="663">
        <f t="shared" ca="1" si="114"/>
        <v>0</v>
      </c>
      <c r="AS90" s="663">
        <f t="shared" ca="1" si="115"/>
        <v>0</v>
      </c>
      <c r="AT90" s="663">
        <f t="shared" ca="1" si="116"/>
        <v>0</v>
      </c>
      <c r="AU90" s="663">
        <f t="shared" ca="1" si="117"/>
        <v>0</v>
      </c>
      <c r="AV90" s="663">
        <f t="shared" ca="1" si="118"/>
        <v>0</v>
      </c>
      <c r="AW90" s="663">
        <f t="shared" ca="1" si="119"/>
        <v>0</v>
      </c>
      <c r="AX90" s="663">
        <f t="shared" ca="1" si="120"/>
        <v>0</v>
      </c>
      <c r="AY90" s="663">
        <f t="shared" ca="1" si="121"/>
        <v>0</v>
      </c>
      <c r="AZ90" s="663">
        <f t="shared" ca="1" si="122"/>
        <v>0</v>
      </c>
      <c r="BA90" s="663">
        <f t="shared" ca="1" si="123"/>
        <v>0</v>
      </c>
      <c r="BB90" s="663">
        <f t="shared" ca="1" si="124"/>
        <v>0</v>
      </c>
      <c r="BC90" s="663">
        <f t="shared" ca="1" si="125"/>
        <v>0</v>
      </c>
      <c r="BD90" s="663">
        <f t="shared" ca="1" si="126"/>
        <v>0</v>
      </c>
      <c r="BE90" s="663">
        <f t="shared" ca="1" si="127"/>
        <v>0</v>
      </c>
      <c r="BF90" s="663">
        <f t="shared" ca="1" si="128"/>
        <v>0</v>
      </c>
      <c r="BG90" s="663">
        <f t="shared" ca="1" si="129"/>
        <v>0</v>
      </c>
      <c r="BH90" s="663">
        <f t="shared" ca="1" si="130"/>
        <v>0</v>
      </c>
      <c r="BI90" s="663">
        <f t="shared" ca="1" si="131"/>
        <v>0</v>
      </c>
      <c r="BJ90" s="663">
        <f t="shared" ca="1" si="132"/>
        <v>0</v>
      </c>
      <c r="BK90" s="663">
        <f t="shared" ca="1" si="133"/>
        <v>0</v>
      </c>
      <c r="BL90" s="1918"/>
      <c r="BM90" s="1532"/>
      <c r="BN90" s="1919"/>
      <c r="BO90" s="600"/>
      <c r="BP90" s="601"/>
      <c r="BS90" s="603"/>
      <c r="BT90" s="602"/>
      <c r="BU90" s="602"/>
      <c r="BV90" s="602"/>
      <c r="BW90" s="604"/>
      <c r="BX90" s="605"/>
      <c r="BY90" s="602"/>
      <c r="BZ90" s="602"/>
      <c r="CA90"/>
      <c r="CB90" s="607"/>
      <c r="CC90" s="608"/>
      <c r="CD90" s="608"/>
      <c r="CE90" s="608"/>
      <c r="CF90" s="600"/>
    </row>
    <row r="91" spans="2:84" ht="12" customHeight="1" x14ac:dyDescent="0.35">
      <c r="B91" s="590">
        <f>MATCH(C91,'360SpcLdsCSV'!$C$6:$C$500,0)</f>
        <v>35</v>
      </c>
      <c r="C91" s="590" t="str">
        <f>'360SpcLdsCSV'!C40</f>
        <v>L02-217_MfamResiPthp</v>
      </c>
      <c r="D91" s="590" t="str">
        <f t="shared" si="134"/>
        <v>L02</v>
      </c>
      <c r="E91" s="590" t="str">
        <f t="shared" si="135"/>
        <v>Mfam</v>
      </c>
      <c r="F91" s="590" t="str">
        <f t="shared" si="136"/>
        <v>Resi</v>
      </c>
      <c r="G91" s="590" t="str">
        <f t="shared" si="137"/>
        <v>Pthp</v>
      </c>
      <c r="H91" s="590" t="str">
        <f ca="1">OFFSET('360SpcLdsCSV'!$B$5,$B91,H$51)</f>
        <v>Level 2</v>
      </c>
      <c r="I91" s="590" t="str">
        <f ca="1">OFFSET('360SpcLdsCSV'!$B$5,$B91,I$51)</f>
        <v>DirectlyConditioned</v>
      </c>
      <c r="J91" s="590" t="str">
        <f ca="1">OFFSET('360SpcLdsCSV'!$B$5,$B91,J$51)</f>
        <v>Dwelling Unit</v>
      </c>
      <c r="K91" s="590" t="str">
        <f ca="1">OFFSET('360SpcLdsCSV'!$B$5,$B91,K$51)</f>
        <v>Residential</v>
      </c>
      <c r="L91" s="590" t="str">
        <f ca="1">OFFSET('360SpcLdsCSV'!$B$5,$B91,L$51)</f>
        <v>Thermal Zone: L02-217_MfamResiPthp</v>
      </c>
      <c r="M91" s="592">
        <f ca="1">OFFSET('360SpcLdsCSV'!$B$5,$B91,M$51)</f>
        <v>839.5806</v>
      </c>
      <c r="N91" s="592">
        <f ca="1">OFFSET('360SpcLdsCSV'!$B$5,$B91,N$51)</f>
        <v>8395.81</v>
      </c>
      <c r="O91" s="592">
        <f ca="1">OFFSET('360SpcLdsCSV'!$B$5,$B91,O$51)</f>
        <v>502.6</v>
      </c>
      <c r="P91" s="592">
        <f ca="1">OFFSET('360SpcLdsCSV'!$B$5,$B91,P$51)</f>
        <v>70.3</v>
      </c>
      <c r="Q91" s="592">
        <f ca="1">OFFSET('360SpcLdsCSV'!$B$5,$B91,Q$51)</f>
        <v>0</v>
      </c>
      <c r="R91" s="592">
        <f ca="1">OFFSET('360SpcLdsCSV'!$B$5,$B91,R$51)</f>
        <v>0</v>
      </c>
      <c r="S91" s="592">
        <f ca="1">OFFSET('360SpcLdsCSV'!$B$5,$B91,S$51)</f>
        <v>0</v>
      </c>
      <c r="T91" s="592">
        <f ca="1">OFFSET('360SpcLdsCSV'!$B$5,$B91,T$51)</f>
        <v>0</v>
      </c>
      <c r="U91" s="592">
        <f ca="1">OFFSET('360SpcLdsCSV'!$B$5,$B91,U$51)</f>
        <v>0</v>
      </c>
      <c r="V91" s="592">
        <f ca="1">OFFSET('360SpcLdsCSV'!$B$5,$B91,V$51)</f>
        <v>0</v>
      </c>
      <c r="W91" s="592">
        <f ca="1">OFFSET('360SpcLdsCSV'!$B$5,$B91,W$51)</f>
        <v>0</v>
      </c>
      <c r="X91" s="592">
        <f ca="1">OFFSET('360SpcLdsCSV'!$B$5,$B91,X$51)</f>
        <v>0</v>
      </c>
      <c r="Y91" s="592">
        <f ca="1">OFFSET('360SpcLdsCSV'!$B$5,$B91,Y$51)</f>
        <v>0</v>
      </c>
      <c r="Z91" s="592">
        <f ca="1">OFFSET('360SpcLdsCSV'!$B$5,$B91,Z$51)</f>
        <v>0</v>
      </c>
      <c r="AA91" s="592">
        <f ca="1">OFFSET('360SpcLdsCSV'!$B$5,$B91,AA$51)</f>
        <v>491.6</v>
      </c>
      <c r="AB91" s="592">
        <f ca="1">OFFSET('360SpcLdsCSV'!$B$5,$B91,AB$51)</f>
        <v>0</v>
      </c>
      <c r="AC91" s="592">
        <f ca="1">OFFSET('360SpcLdsCSV'!$B$5,$B91,AC$51)</f>
        <v>0</v>
      </c>
      <c r="AD91" s="592">
        <f ca="1">OFFSET('360SpcLdsCSV'!$B$5,$B91,AD$51)</f>
        <v>0</v>
      </c>
      <c r="AE91" s="592">
        <f ca="1">OFFSET('360SpcLdsCSV'!$B$5,$B91,AE$51)</f>
        <v>0</v>
      </c>
      <c r="AF91" s="592">
        <f ca="1">OFFSET('360SpcLdsCSV'!$B$5,$B91,AF$51)</f>
        <v>0</v>
      </c>
      <c r="AG91" s="592">
        <f ca="1">OFFSET('360SpcLdsCSV'!$B$5,$B91,AG$51)</f>
        <v>0</v>
      </c>
      <c r="AH91" s="592">
        <f ca="1">OFFSET('360SpcLdsCSV'!$B$5,$B91,AH$51)</f>
        <v>0</v>
      </c>
      <c r="AI91" s="592">
        <f ca="1">OFFSET('360SpcLdsCSV'!$B$5,$B91,AI$51)</f>
        <v>0</v>
      </c>
      <c r="AJ91" s="592" cm="1">
        <f t="array" ref="AJ91">_xlfn.IFS($F91="Resi",1,$F91="Racc",0,$F91="Coml",0,$F91="Prkg",0)</f>
        <v>1</v>
      </c>
      <c r="AK91" s="596"/>
      <c r="AL91" s="590">
        <f ca="1">OFFSET('360SpcLdsCSV'!$B$5,$B91,AL$51)</f>
        <v>1</v>
      </c>
      <c r="AM91" s="663">
        <f t="shared" ca="1" si="110"/>
        <v>1</v>
      </c>
      <c r="AN91" s="663">
        <f t="shared" ca="1" si="111"/>
        <v>1</v>
      </c>
      <c r="AO91" s="663">
        <f t="shared" ca="1" si="138"/>
        <v>839.5806</v>
      </c>
      <c r="AP91" s="663">
        <f t="shared" ca="1" si="112"/>
        <v>8395.81</v>
      </c>
      <c r="AQ91" s="663">
        <f t="shared" ca="1" si="113"/>
        <v>502.6</v>
      </c>
      <c r="AR91" s="663">
        <f t="shared" ca="1" si="114"/>
        <v>70.3</v>
      </c>
      <c r="AS91" s="663">
        <f t="shared" ca="1" si="115"/>
        <v>0</v>
      </c>
      <c r="AT91" s="663">
        <f t="shared" ca="1" si="116"/>
        <v>0</v>
      </c>
      <c r="AU91" s="663">
        <f t="shared" ca="1" si="117"/>
        <v>0</v>
      </c>
      <c r="AV91" s="663">
        <f t="shared" ca="1" si="118"/>
        <v>0</v>
      </c>
      <c r="AW91" s="663">
        <f t="shared" ca="1" si="119"/>
        <v>0</v>
      </c>
      <c r="AX91" s="663">
        <f t="shared" ca="1" si="120"/>
        <v>0</v>
      </c>
      <c r="AY91" s="663">
        <f t="shared" ca="1" si="121"/>
        <v>0</v>
      </c>
      <c r="AZ91" s="663">
        <f t="shared" ca="1" si="122"/>
        <v>0</v>
      </c>
      <c r="BA91" s="663">
        <f t="shared" ca="1" si="123"/>
        <v>0</v>
      </c>
      <c r="BB91" s="663">
        <f t="shared" ca="1" si="124"/>
        <v>0</v>
      </c>
      <c r="BC91" s="663">
        <f t="shared" ca="1" si="125"/>
        <v>491.6</v>
      </c>
      <c r="BD91" s="663">
        <f t="shared" ca="1" si="126"/>
        <v>0</v>
      </c>
      <c r="BE91" s="663">
        <f t="shared" ca="1" si="127"/>
        <v>0</v>
      </c>
      <c r="BF91" s="663">
        <f t="shared" ca="1" si="128"/>
        <v>0</v>
      </c>
      <c r="BG91" s="663">
        <f t="shared" ca="1" si="129"/>
        <v>0</v>
      </c>
      <c r="BH91" s="663">
        <f t="shared" ca="1" si="130"/>
        <v>0</v>
      </c>
      <c r="BI91" s="663">
        <f t="shared" ca="1" si="131"/>
        <v>0</v>
      </c>
      <c r="BJ91" s="663">
        <f t="shared" ca="1" si="132"/>
        <v>0</v>
      </c>
      <c r="BK91" s="663">
        <f t="shared" ca="1" si="133"/>
        <v>0</v>
      </c>
      <c r="BL91" s="1918"/>
      <c r="BM91" s="1532"/>
      <c r="BN91" s="1919"/>
      <c r="BO91" s="600"/>
      <c r="BP91" s="601"/>
      <c r="BS91" s="603"/>
      <c r="BT91" s="602"/>
      <c r="BU91" s="602"/>
      <c r="BV91" s="602"/>
      <c r="BW91" s="604"/>
      <c r="BX91" s="605"/>
      <c r="BY91" s="602"/>
      <c r="BZ91" s="602"/>
      <c r="CA91"/>
      <c r="CB91" s="607"/>
      <c r="CC91" s="608"/>
      <c r="CD91" s="608"/>
      <c r="CE91" s="608"/>
      <c r="CF91" s="600"/>
    </row>
    <row r="92" spans="2:84" ht="12" customHeight="1" x14ac:dyDescent="0.35">
      <c r="B92" s="590">
        <f>MATCH(C92,'360SpcLdsCSV'!$C$6:$C$500,0)</f>
        <v>36</v>
      </c>
      <c r="C92" s="590" t="str">
        <f>'360SpcLdsCSV'!C41</f>
        <v>L02-218_TrshRaccIncd</v>
      </c>
      <c r="D92" s="590" t="str">
        <f t="shared" si="134"/>
        <v>L02</v>
      </c>
      <c r="E92" s="590" t="str">
        <f t="shared" si="135"/>
        <v>Trsh</v>
      </c>
      <c r="F92" s="590" t="str">
        <f t="shared" si="136"/>
        <v>Racc</v>
      </c>
      <c r="G92" s="590" t="str">
        <f t="shared" si="137"/>
        <v>Incd</v>
      </c>
      <c r="H92" s="590" t="str">
        <f ca="1">OFFSET('360SpcLdsCSV'!$B$5,$B92,H$51)</f>
        <v>Level 2</v>
      </c>
      <c r="I92" s="590" t="str">
        <f ca="1">OFFSET('360SpcLdsCSV'!$B$5,$B92,I$51)</f>
        <v>IndirectlyConditioned</v>
      </c>
      <c r="J92" s="590" t="str">
        <f ca="1">OFFSET('360SpcLdsCSV'!$B$5,$B92,J$51)</f>
        <v>Storage Room - &lt;50 ft2</v>
      </c>
      <c r="K92" s="590" t="str">
        <f ca="1">OFFSET('360SpcLdsCSV'!$B$5,$B92,K$51)</f>
        <v>Nonresidential</v>
      </c>
      <c r="L92" s="590" t="str">
        <f ca="1">OFFSET('360SpcLdsCSV'!$B$5,$B92,L$51)</f>
        <v>Thermal Zone: L02-200_CorrRaccSphp</v>
      </c>
      <c r="M92" s="592">
        <f ca="1">OFFSET('360SpcLdsCSV'!$B$5,$B92,M$51)</f>
        <v>187.88740000000001</v>
      </c>
      <c r="N92" s="592">
        <f ca="1">OFFSET('360SpcLdsCSV'!$B$5,$B92,N$51)</f>
        <v>1878.87</v>
      </c>
      <c r="O92" s="592">
        <f ca="1">OFFSET('360SpcLdsCSV'!$B$5,$B92,O$51)</f>
        <v>0</v>
      </c>
      <c r="P92" s="592">
        <f ca="1">OFFSET('360SpcLdsCSV'!$B$5,$B92,P$51)</f>
        <v>0</v>
      </c>
      <c r="Q92" s="592">
        <f ca="1">OFFSET('360SpcLdsCSV'!$B$5,$B92,Q$51)</f>
        <v>305.10000000000002</v>
      </c>
      <c r="R92" s="592">
        <f ca="1">OFFSET('360SpcLdsCSV'!$B$5,$B92,R$51)</f>
        <v>0</v>
      </c>
      <c r="S92" s="592">
        <f ca="1">OFFSET('360SpcLdsCSV'!$B$5,$B92,S$51)</f>
        <v>0</v>
      </c>
      <c r="T92" s="592">
        <f ca="1">OFFSET('360SpcLdsCSV'!$B$5,$B92,T$51)</f>
        <v>0</v>
      </c>
      <c r="U92" s="592">
        <f ca="1">OFFSET('360SpcLdsCSV'!$B$5,$B92,U$51)</f>
        <v>0</v>
      </c>
      <c r="V92" s="592">
        <f ca="1">OFFSET('360SpcLdsCSV'!$B$5,$B92,V$51)</f>
        <v>0</v>
      </c>
      <c r="W92" s="592">
        <f ca="1">OFFSET('360SpcLdsCSV'!$B$5,$B92,W$51)</f>
        <v>0</v>
      </c>
      <c r="X92" s="592">
        <f ca="1">OFFSET('360SpcLdsCSV'!$B$5,$B92,X$51)</f>
        <v>0</v>
      </c>
      <c r="Y92" s="592">
        <f ca="1">OFFSET('360SpcLdsCSV'!$B$5,$B92,Y$51)</f>
        <v>0</v>
      </c>
      <c r="Z92" s="592">
        <f ca="1">OFFSET('360SpcLdsCSV'!$B$5,$B92,Z$51)</f>
        <v>0</v>
      </c>
      <c r="AA92" s="592">
        <f ca="1">OFFSET('360SpcLdsCSV'!$B$5,$B92,AA$51)</f>
        <v>0</v>
      </c>
      <c r="AB92" s="592">
        <f ca="1">OFFSET('360SpcLdsCSV'!$B$5,$B92,AB$51)</f>
        <v>169.4</v>
      </c>
      <c r="AC92" s="592">
        <f ca="1">OFFSET('360SpcLdsCSV'!$B$5,$B92,AC$51)</f>
        <v>0</v>
      </c>
      <c r="AD92" s="592">
        <f ca="1">OFFSET('360SpcLdsCSV'!$B$5,$B92,AD$51)</f>
        <v>0</v>
      </c>
      <c r="AE92" s="592">
        <f ca="1">OFFSET('360SpcLdsCSV'!$B$5,$B92,AE$51)</f>
        <v>0</v>
      </c>
      <c r="AF92" s="592">
        <f ca="1">OFFSET('360SpcLdsCSV'!$B$5,$B92,AF$51)</f>
        <v>0</v>
      </c>
      <c r="AG92" s="592">
        <f ca="1">OFFSET('360SpcLdsCSV'!$B$5,$B92,AG$51)</f>
        <v>0</v>
      </c>
      <c r="AH92" s="592">
        <f ca="1">OFFSET('360SpcLdsCSV'!$B$5,$B92,AH$51)</f>
        <v>0</v>
      </c>
      <c r="AI92" s="592">
        <f ca="1">OFFSET('360SpcLdsCSV'!$B$5,$B92,AI$51)</f>
        <v>0</v>
      </c>
      <c r="AJ92" s="592" cm="1">
        <f t="array" ref="AJ92">_xlfn.IFS($F92="Resi",1,$F92="Racc",0,$F92="Coml",0,$F92="Prkg",0)</f>
        <v>0</v>
      </c>
      <c r="AK92" s="596"/>
      <c r="AL92" s="590">
        <f ca="1">OFFSET('360SpcLdsCSV'!$B$5,$B92,AL$51)</f>
        <v>1</v>
      </c>
      <c r="AM92" s="663">
        <f t="shared" ca="1" si="110"/>
        <v>1</v>
      </c>
      <c r="AN92" s="663">
        <f t="shared" ca="1" si="111"/>
        <v>0</v>
      </c>
      <c r="AO92" s="663">
        <f t="shared" ca="1" si="138"/>
        <v>187.88740000000001</v>
      </c>
      <c r="AP92" s="663">
        <f t="shared" ca="1" si="112"/>
        <v>1878.87</v>
      </c>
      <c r="AQ92" s="663">
        <f t="shared" ca="1" si="113"/>
        <v>0</v>
      </c>
      <c r="AR92" s="663">
        <f t="shared" ca="1" si="114"/>
        <v>0</v>
      </c>
      <c r="AS92" s="663">
        <f t="shared" ca="1" si="115"/>
        <v>305.10000000000002</v>
      </c>
      <c r="AT92" s="663">
        <f t="shared" ca="1" si="116"/>
        <v>0</v>
      </c>
      <c r="AU92" s="663">
        <f t="shared" ca="1" si="117"/>
        <v>0</v>
      </c>
      <c r="AV92" s="663">
        <f t="shared" ca="1" si="118"/>
        <v>0</v>
      </c>
      <c r="AW92" s="663">
        <f t="shared" ca="1" si="119"/>
        <v>0</v>
      </c>
      <c r="AX92" s="663">
        <f t="shared" ca="1" si="120"/>
        <v>0</v>
      </c>
      <c r="AY92" s="663">
        <f t="shared" ca="1" si="121"/>
        <v>0</v>
      </c>
      <c r="AZ92" s="663">
        <f t="shared" ca="1" si="122"/>
        <v>0</v>
      </c>
      <c r="BA92" s="663">
        <f t="shared" ca="1" si="123"/>
        <v>0</v>
      </c>
      <c r="BB92" s="663">
        <f t="shared" ca="1" si="124"/>
        <v>0</v>
      </c>
      <c r="BC92" s="663">
        <f t="shared" ca="1" si="125"/>
        <v>0</v>
      </c>
      <c r="BD92" s="663">
        <f t="shared" ca="1" si="126"/>
        <v>169.4</v>
      </c>
      <c r="BE92" s="663">
        <f t="shared" ca="1" si="127"/>
        <v>0</v>
      </c>
      <c r="BF92" s="663">
        <f t="shared" ca="1" si="128"/>
        <v>0</v>
      </c>
      <c r="BG92" s="663">
        <f t="shared" ca="1" si="129"/>
        <v>0</v>
      </c>
      <c r="BH92" s="663">
        <f t="shared" ca="1" si="130"/>
        <v>0</v>
      </c>
      <c r="BI92" s="663">
        <f t="shared" ca="1" si="131"/>
        <v>0</v>
      </c>
      <c r="BJ92" s="663">
        <f t="shared" ca="1" si="132"/>
        <v>0</v>
      </c>
      <c r="BK92" s="663">
        <f t="shared" ca="1" si="133"/>
        <v>0</v>
      </c>
      <c r="BL92" s="1918"/>
      <c r="BM92" s="1532"/>
      <c r="BN92" s="1919"/>
      <c r="BO92" s="600"/>
      <c r="BP92" s="601"/>
      <c r="BS92" s="603"/>
      <c r="BT92" s="602"/>
      <c r="BU92" s="602"/>
      <c r="BV92" s="602"/>
      <c r="BW92" s="604"/>
      <c r="BX92" s="605"/>
      <c r="BY92" s="602"/>
      <c r="BZ92" s="602"/>
      <c r="CA92"/>
      <c r="CB92" s="607"/>
      <c r="CC92" s="608"/>
      <c r="CD92" s="608"/>
      <c r="CE92" s="608"/>
      <c r="CF92" s="600"/>
    </row>
    <row r="93" spans="2:84" ht="12" customHeight="1" x14ac:dyDescent="0.35">
      <c r="B93" s="590">
        <f>MATCH(C93,'360SpcLdsCSV'!$C$6:$C$500,0)</f>
        <v>37</v>
      </c>
      <c r="C93" s="590" t="str">
        <f>'360SpcLdsCSV'!C42</f>
        <v>L03-300_CorrRaccSphp</v>
      </c>
      <c r="D93" s="590" t="str">
        <f t="shared" si="134"/>
        <v>L03</v>
      </c>
      <c r="E93" s="590" t="str">
        <f t="shared" si="135"/>
        <v>Corr</v>
      </c>
      <c r="F93" s="590" t="str">
        <f t="shared" si="136"/>
        <v>Racc</v>
      </c>
      <c r="G93" s="590" t="str">
        <f t="shared" si="137"/>
        <v>Sphp</v>
      </c>
      <c r="H93" s="590" t="str">
        <f ca="1">OFFSET('360SpcLdsCSV'!$B$5,$B93,H$51)</f>
        <v>Level 3</v>
      </c>
      <c r="I93" s="590" t="str">
        <f ca="1">OFFSET('360SpcLdsCSV'!$B$5,$B93,I$51)</f>
        <v>DirectlyConditioned</v>
      </c>
      <c r="J93" s="590" t="str">
        <f ca="1">OFFSET('360SpcLdsCSV'!$B$5,$B93,J$51)</f>
        <v>Corridor - All other</v>
      </c>
      <c r="K93" s="590" t="str">
        <f ca="1">OFFSET('360SpcLdsCSV'!$B$5,$B93,K$51)</f>
        <v>Nonresidential</v>
      </c>
      <c r="L93" s="590" t="str">
        <f ca="1">OFFSET('360SpcLdsCSV'!$B$5,$B93,L$51)</f>
        <v>Thermal Zone: L03-300_CorrRaccSphp</v>
      </c>
      <c r="M93" s="592">
        <f ca="1">OFFSET('360SpcLdsCSV'!$B$5,$B93,M$51)</f>
        <v>1916.0455999999999</v>
      </c>
      <c r="N93" s="592">
        <f ca="1">OFFSET('360SpcLdsCSV'!$B$5,$B93,N$51)</f>
        <v>19160.5</v>
      </c>
      <c r="O93" s="592">
        <f ca="1">OFFSET('360SpcLdsCSV'!$B$5,$B93,O$51)</f>
        <v>0</v>
      </c>
      <c r="P93" s="592">
        <f ca="1">OFFSET('360SpcLdsCSV'!$B$5,$B93,P$51)</f>
        <v>0</v>
      </c>
      <c r="Q93" s="592">
        <f ca="1">OFFSET('360SpcLdsCSV'!$B$5,$B93,Q$51)</f>
        <v>120.4</v>
      </c>
      <c r="R93" s="592">
        <f ca="1">OFFSET('360SpcLdsCSV'!$B$5,$B93,R$51)</f>
        <v>24.1</v>
      </c>
      <c r="S93" s="592">
        <f ca="1">OFFSET('360SpcLdsCSV'!$B$5,$B93,S$51)</f>
        <v>0</v>
      </c>
      <c r="T93" s="592">
        <f ca="1">OFFSET('360SpcLdsCSV'!$B$5,$B93,T$51)</f>
        <v>0</v>
      </c>
      <c r="U93" s="592">
        <f ca="1">OFFSET('360SpcLdsCSV'!$B$5,$B93,U$51)</f>
        <v>0</v>
      </c>
      <c r="V93" s="592">
        <f ca="1">OFFSET('360SpcLdsCSV'!$B$5,$B93,V$51)</f>
        <v>0</v>
      </c>
      <c r="W93" s="592">
        <f ca="1">OFFSET('360SpcLdsCSV'!$B$5,$B93,W$51)</f>
        <v>0</v>
      </c>
      <c r="X93" s="592">
        <f ca="1">OFFSET('360SpcLdsCSV'!$B$5,$B93,X$51)</f>
        <v>0</v>
      </c>
      <c r="Y93" s="592">
        <f ca="1">OFFSET('360SpcLdsCSV'!$B$5,$B93,Y$51)</f>
        <v>0</v>
      </c>
      <c r="Z93" s="592">
        <f ca="1">OFFSET('360SpcLdsCSV'!$B$5,$B93,Z$51)</f>
        <v>0</v>
      </c>
      <c r="AA93" s="592">
        <f ca="1">OFFSET('360SpcLdsCSV'!$B$5,$B93,AA$51)</f>
        <v>0</v>
      </c>
      <c r="AB93" s="592">
        <f ca="1">OFFSET('360SpcLdsCSV'!$B$5,$B93,AB$51)</f>
        <v>0</v>
      </c>
      <c r="AC93" s="592">
        <f ca="1">OFFSET('360SpcLdsCSV'!$B$5,$B93,AC$51)</f>
        <v>0</v>
      </c>
      <c r="AD93" s="592">
        <f ca="1">OFFSET('360SpcLdsCSV'!$B$5,$B93,AD$51)</f>
        <v>0</v>
      </c>
      <c r="AE93" s="592">
        <f ca="1">OFFSET('360SpcLdsCSV'!$B$5,$B93,AE$51)</f>
        <v>0</v>
      </c>
      <c r="AF93" s="592">
        <f ca="1">OFFSET('360SpcLdsCSV'!$B$5,$B93,AF$51)</f>
        <v>0</v>
      </c>
      <c r="AG93" s="592">
        <f ca="1">OFFSET('360SpcLdsCSV'!$B$5,$B93,AG$51)</f>
        <v>0</v>
      </c>
      <c r="AH93" s="592">
        <f ca="1">OFFSET('360SpcLdsCSV'!$B$5,$B93,AH$51)</f>
        <v>0</v>
      </c>
      <c r="AI93" s="592">
        <f ca="1">OFFSET('360SpcLdsCSV'!$B$5,$B93,AI$51)</f>
        <v>0</v>
      </c>
      <c r="AJ93" s="592" cm="1">
        <f t="array" ref="AJ93">_xlfn.IFS($F93="Resi",1,$F93="Racc",0,$F93="Coml",0,$F93="Prkg",0)</f>
        <v>0</v>
      </c>
      <c r="AK93" s="596"/>
      <c r="AL93" s="590">
        <f ca="1">OFFSET('360SpcLdsCSV'!$B$5,$B93,AL$51)</f>
        <v>3</v>
      </c>
      <c r="AM93" s="663">
        <f t="shared" ca="1" si="110"/>
        <v>1</v>
      </c>
      <c r="AN93" s="663">
        <f t="shared" ca="1" si="111"/>
        <v>0</v>
      </c>
      <c r="AO93" s="663">
        <f t="shared" ca="1" si="138"/>
        <v>5748.1368000000002</v>
      </c>
      <c r="AP93" s="663">
        <f t="shared" ca="1" si="112"/>
        <v>57481.5</v>
      </c>
      <c r="AQ93" s="663">
        <f t="shared" ca="1" si="113"/>
        <v>0</v>
      </c>
      <c r="AR93" s="663">
        <f t="shared" ca="1" si="114"/>
        <v>0</v>
      </c>
      <c r="AS93" s="663">
        <f t="shared" ca="1" si="115"/>
        <v>361.20000000000005</v>
      </c>
      <c r="AT93" s="663">
        <f t="shared" ca="1" si="116"/>
        <v>72.300000000000011</v>
      </c>
      <c r="AU93" s="663">
        <f t="shared" ca="1" si="117"/>
        <v>0</v>
      </c>
      <c r="AV93" s="663">
        <f t="shared" ca="1" si="118"/>
        <v>0</v>
      </c>
      <c r="AW93" s="663">
        <f t="shared" ca="1" si="119"/>
        <v>0</v>
      </c>
      <c r="AX93" s="663">
        <f t="shared" ca="1" si="120"/>
        <v>0</v>
      </c>
      <c r="AY93" s="663">
        <f t="shared" ca="1" si="121"/>
        <v>0</v>
      </c>
      <c r="AZ93" s="663">
        <f t="shared" ca="1" si="122"/>
        <v>0</v>
      </c>
      <c r="BA93" s="663">
        <f t="shared" ca="1" si="123"/>
        <v>0</v>
      </c>
      <c r="BB93" s="663">
        <f t="shared" ca="1" si="124"/>
        <v>0</v>
      </c>
      <c r="BC93" s="663">
        <f t="shared" ca="1" si="125"/>
        <v>0</v>
      </c>
      <c r="BD93" s="663">
        <f t="shared" ca="1" si="126"/>
        <v>0</v>
      </c>
      <c r="BE93" s="663">
        <f t="shared" ca="1" si="127"/>
        <v>0</v>
      </c>
      <c r="BF93" s="663">
        <f t="shared" ca="1" si="128"/>
        <v>0</v>
      </c>
      <c r="BG93" s="663">
        <f t="shared" ca="1" si="129"/>
        <v>0</v>
      </c>
      <c r="BH93" s="663">
        <f t="shared" ca="1" si="130"/>
        <v>0</v>
      </c>
      <c r="BI93" s="663">
        <f t="shared" ca="1" si="131"/>
        <v>0</v>
      </c>
      <c r="BJ93" s="663">
        <f t="shared" ca="1" si="132"/>
        <v>0</v>
      </c>
      <c r="BK93" s="663">
        <f t="shared" ca="1" si="133"/>
        <v>0</v>
      </c>
      <c r="BL93" s="1918"/>
      <c r="BM93" s="1532"/>
      <c r="BN93" s="1919"/>
      <c r="BO93" s="600"/>
      <c r="BP93" s="601"/>
      <c r="BS93" s="603"/>
      <c r="BT93" s="602"/>
      <c r="BU93" s="602"/>
      <c r="BV93" s="602"/>
      <c r="BW93" s="604"/>
      <c r="BX93" s="605"/>
      <c r="BY93" s="602"/>
      <c r="BZ93" s="602"/>
      <c r="CA93"/>
      <c r="CB93" s="607"/>
      <c r="CC93" s="608"/>
      <c r="CD93" s="608"/>
      <c r="CE93" s="608"/>
      <c r="CF93" s="600"/>
    </row>
    <row r="94" spans="2:84" ht="12" customHeight="1" x14ac:dyDescent="0.35">
      <c r="B94" s="590">
        <f>MATCH(C94,'360SpcLdsCSV'!$C$6:$C$500,0)</f>
        <v>38</v>
      </c>
      <c r="C94" s="590" t="str">
        <f>'360SpcLdsCSV'!C43</f>
        <v>L03-301_MfamResiPthp</v>
      </c>
      <c r="D94" s="590" t="str">
        <f t="shared" si="134"/>
        <v>L03</v>
      </c>
      <c r="E94" s="590" t="str">
        <f t="shared" si="135"/>
        <v>Mfam</v>
      </c>
      <c r="F94" s="590" t="str">
        <f t="shared" si="136"/>
        <v>Resi</v>
      </c>
      <c r="G94" s="590" t="str">
        <f t="shared" si="137"/>
        <v>Pthp</v>
      </c>
      <c r="H94" s="590" t="str">
        <f ca="1">OFFSET('360SpcLdsCSV'!$B$5,$B94,H$51)</f>
        <v>Level 3</v>
      </c>
      <c r="I94" s="590" t="str">
        <f ca="1">OFFSET('360SpcLdsCSV'!$B$5,$B94,I$51)</f>
        <v>DirectlyConditioned</v>
      </c>
      <c r="J94" s="590" t="str">
        <f ca="1">OFFSET('360SpcLdsCSV'!$B$5,$B94,J$51)</f>
        <v>Dwelling Unit</v>
      </c>
      <c r="K94" s="590" t="str">
        <f ca="1">OFFSET('360SpcLdsCSV'!$B$5,$B94,K$51)</f>
        <v>Residential</v>
      </c>
      <c r="L94" s="590" t="str">
        <f ca="1">OFFSET('360SpcLdsCSV'!$B$5,$B94,L$51)</f>
        <v>Thermal Zone: L03-301_MfamResiPthp</v>
      </c>
      <c r="M94" s="592">
        <f ca="1">OFFSET('360SpcLdsCSV'!$B$5,$B94,M$51)</f>
        <v>872.36159999999995</v>
      </c>
      <c r="N94" s="592">
        <f ca="1">OFFSET('360SpcLdsCSV'!$B$5,$B94,N$51)</f>
        <v>8723.6200000000008</v>
      </c>
      <c r="O94" s="592">
        <f ca="1">OFFSET('360SpcLdsCSV'!$B$5,$B94,O$51)</f>
        <v>622</v>
      </c>
      <c r="P94" s="592">
        <f ca="1">OFFSET('360SpcLdsCSV'!$B$5,$B94,P$51)</f>
        <v>124.4</v>
      </c>
      <c r="Q94" s="592">
        <f ca="1">OFFSET('360SpcLdsCSV'!$B$5,$B94,Q$51)</f>
        <v>0</v>
      </c>
      <c r="R94" s="592">
        <f ca="1">OFFSET('360SpcLdsCSV'!$B$5,$B94,R$51)</f>
        <v>0</v>
      </c>
      <c r="S94" s="592">
        <f ca="1">OFFSET('360SpcLdsCSV'!$B$5,$B94,S$51)</f>
        <v>0</v>
      </c>
      <c r="T94" s="592">
        <f ca="1">OFFSET('360SpcLdsCSV'!$B$5,$B94,T$51)</f>
        <v>0</v>
      </c>
      <c r="U94" s="592">
        <f ca="1">OFFSET('360SpcLdsCSV'!$B$5,$B94,U$51)</f>
        <v>0</v>
      </c>
      <c r="V94" s="592">
        <f ca="1">OFFSET('360SpcLdsCSV'!$B$5,$B94,V$51)</f>
        <v>0</v>
      </c>
      <c r="W94" s="592">
        <f ca="1">OFFSET('360SpcLdsCSV'!$B$5,$B94,W$51)</f>
        <v>0</v>
      </c>
      <c r="X94" s="592">
        <f ca="1">OFFSET('360SpcLdsCSV'!$B$5,$B94,X$51)</f>
        <v>0</v>
      </c>
      <c r="Y94" s="592">
        <f ca="1">OFFSET('360SpcLdsCSV'!$B$5,$B94,Y$51)</f>
        <v>0</v>
      </c>
      <c r="Z94" s="592">
        <f ca="1">OFFSET('360SpcLdsCSV'!$B$5,$B94,Z$51)</f>
        <v>0</v>
      </c>
      <c r="AA94" s="592">
        <f ca="1">OFFSET('360SpcLdsCSV'!$B$5,$B94,AA$51)</f>
        <v>0</v>
      </c>
      <c r="AB94" s="592">
        <f ca="1">OFFSET('360SpcLdsCSV'!$B$5,$B94,AB$51)</f>
        <v>0</v>
      </c>
      <c r="AC94" s="592">
        <f ca="1">OFFSET('360SpcLdsCSV'!$B$5,$B94,AC$51)</f>
        <v>0</v>
      </c>
      <c r="AD94" s="592">
        <f ca="1">OFFSET('360SpcLdsCSV'!$B$5,$B94,AD$51)</f>
        <v>0</v>
      </c>
      <c r="AE94" s="592">
        <f ca="1">OFFSET('360SpcLdsCSV'!$B$5,$B94,AE$51)</f>
        <v>0</v>
      </c>
      <c r="AF94" s="592">
        <f ca="1">OFFSET('360SpcLdsCSV'!$B$5,$B94,AF$51)</f>
        <v>0</v>
      </c>
      <c r="AG94" s="592">
        <f ca="1">OFFSET('360SpcLdsCSV'!$B$5,$B94,AG$51)</f>
        <v>0</v>
      </c>
      <c r="AH94" s="592">
        <f ca="1">OFFSET('360SpcLdsCSV'!$B$5,$B94,AH$51)</f>
        <v>0</v>
      </c>
      <c r="AI94" s="592">
        <f ca="1">OFFSET('360SpcLdsCSV'!$B$5,$B94,AI$51)</f>
        <v>0</v>
      </c>
      <c r="AJ94" s="592" cm="1">
        <f t="array" ref="AJ94">_xlfn.IFS($F94="Resi",1,$F94="Racc",0,$F94="Coml",0,$F94="Prkg",0)</f>
        <v>1</v>
      </c>
      <c r="AK94" s="596"/>
      <c r="AL94" s="590">
        <f ca="1">OFFSET('360SpcLdsCSV'!$B$5,$B94,AL$51)</f>
        <v>3</v>
      </c>
      <c r="AM94" s="663">
        <f t="shared" ca="1" si="110"/>
        <v>1</v>
      </c>
      <c r="AN94" s="663">
        <f t="shared" ca="1" si="111"/>
        <v>1</v>
      </c>
      <c r="AO94" s="663">
        <f t="shared" ca="1" si="138"/>
        <v>2617.0847999999996</v>
      </c>
      <c r="AP94" s="663">
        <f t="shared" ca="1" si="112"/>
        <v>26170.86</v>
      </c>
      <c r="AQ94" s="663">
        <f t="shared" ca="1" si="113"/>
        <v>1866</v>
      </c>
      <c r="AR94" s="663">
        <f t="shared" ca="1" si="114"/>
        <v>373.20000000000005</v>
      </c>
      <c r="AS94" s="663">
        <f t="shared" ca="1" si="115"/>
        <v>0</v>
      </c>
      <c r="AT94" s="663">
        <f t="shared" ca="1" si="116"/>
        <v>0</v>
      </c>
      <c r="AU94" s="663">
        <f t="shared" ca="1" si="117"/>
        <v>0</v>
      </c>
      <c r="AV94" s="663">
        <f t="shared" ca="1" si="118"/>
        <v>0</v>
      </c>
      <c r="AW94" s="663">
        <f t="shared" ca="1" si="119"/>
        <v>0</v>
      </c>
      <c r="AX94" s="663">
        <f t="shared" ca="1" si="120"/>
        <v>0</v>
      </c>
      <c r="AY94" s="663">
        <f t="shared" ca="1" si="121"/>
        <v>0</v>
      </c>
      <c r="AZ94" s="663">
        <f t="shared" ca="1" si="122"/>
        <v>0</v>
      </c>
      <c r="BA94" s="663">
        <f t="shared" ca="1" si="123"/>
        <v>0</v>
      </c>
      <c r="BB94" s="663">
        <f t="shared" ca="1" si="124"/>
        <v>0</v>
      </c>
      <c r="BC94" s="663">
        <f t="shared" ca="1" si="125"/>
        <v>0</v>
      </c>
      <c r="BD94" s="663">
        <f t="shared" ca="1" si="126"/>
        <v>0</v>
      </c>
      <c r="BE94" s="663">
        <f t="shared" ca="1" si="127"/>
        <v>0</v>
      </c>
      <c r="BF94" s="663">
        <f t="shared" ca="1" si="128"/>
        <v>0</v>
      </c>
      <c r="BG94" s="663">
        <f t="shared" ca="1" si="129"/>
        <v>0</v>
      </c>
      <c r="BH94" s="663">
        <f t="shared" ca="1" si="130"/>
        <v>0</v>
      </c>
      <c r="BI94" s="663">
        <f t="shared" ca="1" si="131"/>
        <v>0</v>
      </c>
      <c r="BJ94" s="663">
        <f t="shared" ca="1" si="132"/>
        <v>0</v>
      </c>
      <c r="BK94" s="663">
        <f t="shared" ca="1" si="133"/>
        <v>0</v>
      </c>
      <c r="BL94" s="1918"/>
      <c r="BM94" s="1532"/>
      <c r="BN94" s="1919"/>
      <c r="BO94" s="600"/>
      <c r="BP94" s="601"/>
      <c r="BS94" s="603"/>
      <c r="BT94" s="602"/>
      <c r="BU94" s="602"/>
      <c r="BV94" s="602"/>
      <c r="BW94" s="604"/>
      <c r="BX94" s="605"/>
      <c r="BY94" s="602"/>
      <c r="BZ94" s="602"/>
      <c r="CA94"/>
      <c r="CB94" s="607"/>
      <c r="CC94" s="608"/>
      <c r="CD94" s="608"/>
      <c r="CE94" s="608"/>
      <c r="CF94" s="600"/>
    </row>
    <row r="95" spans="2:84" ht="12" customHeight="1" x14ac:dyDescent="0.35">
      <c r="B95" s="590">
        <f>MATCH(C95,'360SpcLdsCSV'!$C$6:$C$500,0)</f>
        <v>39</v>
      </c>
      <c r="C95" s="590" t="str">
        <f>'360SpcLdsCSV'!C44</f>
        <v>L03-302_MfamResiPthp</v>
      </c>
      <c r="D95" s="590" t="str">
        <f t="shared" si="134"/>
        <v>L03</v>
      </c>
      <c r="E95" s="590" t="str">
        <f t="shared" si="135"/>
        <v>Mfam</v>
      </c>
      <c r="F95" s="590" t="str">
        <f t="shared" si="136"/>
        <v>Resi</v>
      </c>
      <c r="G95" s="590" t="str">
        <f t="shared" si="137"/>
        <v>Pthp</v>
      </c>
      <c r="H95" s="590" t="str">
        <f ca="1">OFFSET('360SpcLdsCSV'!$B$5,$B95,H$51)</f>
        <v>Level 3</v>
      </c>
      <c r="I95" s="590" t="str">
        <f ca="1">OFFSET('360SpcLdsCSV'!$B$5,$B95,I$51)</f>
        <v>DirectlyConditioned</v>
      </c>
      <c r="J95" s="590" t="str">
        <f ca="1">OFFSET('360SpcLdsCSV'!$B$5,$B95,J$51)</f>
        <v>Dwelling Unit</v>
      </c>
      <c r="K95" s="590" t="str">
        <f ca="1">OFFSET('360SpcLdsCSV'!$B$5,$B95,K$51)</f>
        <v>Residential</v>
      </c>
      <c r="L95" s="590" t="str">
        <f ca="1">OFFSET('360SpcLdsCSV'!$B$5,$B95,L$51)</f>
        <v>Thermal Zone: L03-302_MfamResiPthp</v>
      </c>
      <c r="M95" s="592">
        <f ca="1">OFFSET('360SpcLdsCSV'!$B$5,$B95,M$51)</f>
        <v>1660.6944000000001</v>
      </c>
      <c r="N95" s="592">
        <f ca="1">OFFSET('360SpcLdsCSV'!$B$5,$B95,N$51)</f>
        <v>16606.900000000001</v>
      </c>
      <c r="O95" s="592">
        <f ca="1">OFFSET('360SpcLdsCSV'!$B$5,$B95,O$51)</f>
        <v>640.70000000000005</v>
      </c>
      <c r="P95" s="592">
        <f ca="1">OFFSET('360SpcLdsCSV'!$B$5,$B95,P$51)</f>
        <v>128.1</v>
      </c>
      <c r="Q95" s="592">
        <f ca="1">OFFSET('360SpcLdsCSV'!$B$5,$B95,Q$51)</f>
        <v>0</v>
      </c>
      <c r="R95" s="592">
        <f ca="1">OFFSET('360SpcLdsCSV'!$B$5,$B95,R$51)</f>
        <v>0</v>
      </c>
      <c r="S95" s="592">
        <f ca="1">OFFSET('360SpcLdsCSV'!$B$5,$B95,S$51)</f>
        <v>0</v>
      </c>
      <c r="T95" s="592">
        <f ca="1">OFFSET('360SpcLdsCSV'!$B$5,$B95,T$51)</f>
        <v>0</v>
      </c>
      <c r="U95" s="592">
        <f ca="1">OFFSET('360SpcLdsCSV'!$B$5,$B95,U$51)</f>
        <v>0</v>
      </c>
      <c r="V95" s="592">
        <f ca="1">OFFSET('360SpcLdsCSV'!$B$5,$B95,V$51)</f>
        <v>0</v>
      </c>
      <c r="W95" s="592">
        <f ca="1">OFFSET('360SpcLdsCSV'!$B$5,$B95,W$51)</f>
        <v>0</v>
      </c>
      <c r="X95" s="592">
        <f ca="1">OFFSET('360SpcLdsCSV'!$B$5,$B95,X$51)</f>
        <v>0</v>
      </c>
      <c r="Y95" s="592">
        <f ca="1">OFFSET('360SpcLdsCSV'!$B$5,$B95,Y$51)</f>
        <v>0</v>
      </c>
      <c r="Z95" s="592">
        <f ca="1">OFFSET('360SpcLdsCSV'!$B$5,$B95,Z$51)</f>
        <v>0</v>
      </c>
      <c r="AA95" s="592">
        <f ca="1">OFFSET('360SpcLdsCSV'!$B$5,$B95,AA$51)</f>
        <v>0</v>
      </c>
      <c r="AB95" s="592">
        <f ca="1">OFFSET('360SpcLdsCSV'!$B$5,$B95,AB$51)</f>
        <v>0</v>
      </c>
      <c r="AC95" s="592">
        <f ca="1">OFFSET('360SpcLdsCSV'!$B$5,$B95,AC$51)</f>
        <v>0</v>
      </c>
      <c r="AD95" s="592">
        <f ca="1">OFFSET('360SpcLdsCSV'!$B$5,$B95,AD$51)</f>
        <v>0</v>
      </c>
      <c r="AE95" s="592">
        <f ca="1">OFFSET('360SpcLdsCSV'!$B$5,$B95,AE$51)</f>
        <v>0</v>
      </c>
      <c r="AF95" s="592">
        <f ca="1">OFFSET('360SpcLdsCSV'!$B$5,$B95,AF$51)</f>
        <v>0</v>
      </c>
      <c r="AG95" s="592">
        <f ca="1">OFFSET('360SpcLdsCSV'!$B$5,$B95,AG$51)</f>
        <v>0</v>
      </c>
      <c r="AH95" s="592">
        <f ca="1">OFFSET('360SpcLdsCSV'!$B$5,$B95,AH$51)</f>
        <v>0</v>
      </c>
      <c r="AI95" s="592">
        <f ca="1">OFFSET('360SpcLdsCSV'!$B$5,$B95,AI$51)</f>
        <v>0</v>
      </c>
      <c r="AJ95" s="592" cm="1">
        <f t="array" ref="AJ95">_xlfn.IFS($F95="Resi",1,$F95="Racc",0,$F95="Coml",0,$F95="Prkg",0)</f>
        <v>1</v>
      </c>
      <c r="AK95" s="596"/>
      <c r="AL95" s="590">
        <f ca="1">OFFSET('360SpcLdsCSV'!$B$5,$B95,AL$51)</f>
        <v>3</v>
      </c>
      <c r="AM95" s="663">
        <f t="shared" ca="1" si="110"/>
        <v>1</v>
      </c>
      <c r="AN95" s="663">
        <f t="shared" ca="1" si="111"/>
        <v>1</v>
      </c>
      <c r="AO95" s="663">
        <f t="shared" ca="1" si="138"/>
        <v>4982.0832</v>
      </c>
      <c r="AP95" s="663">
        <f t="shared" ca="1" si="112"/>
        <v>49820.700000000004</v>
      </c>
      <c r="AQ95" s="663">
        <f t="shared" ca="1" si="113"/>
        <v>1922.1000000000001</v>
      </c>
      <c r="AR95" s="663">
        <f t="shared" ca="1" si="114"/>
        <v>384.29999999999995</v>
      </c>
      <c r="AS95" s="663">
        <f t="shared" ca="1" si="115"/>
        <v>0</v>
      </c>
      <c r="AT95" s="663">
        <f t="shared" ca="1" si="116"/>
        <v>0</v>
      </c>
      <c r="AU95" s="663">
        <f t="shared" ca="1" si="117"/>
        <v>0</v>
      </c>
      <c r="AV95" s="663">
        <f t="shared" ca="1" si="118"/>
        <v>0</v>
      </c>
      <c r="AW95" s="663">
        <f t="shared" ca="1" si="119"/>
        <v>0</v>
      </c>
      <c r="AX95" s="663">
        <f t="shared" ca="1" si="120"/>
        <v>0</v>
      </c>
      <c r="AY95" s="663">
        <f t="shared" ca="1" si="121"/>
        <v>0</v>
      </c>
      <c r="AZ95" s="663">
        <f t="shared" ca="1" si="122"/>
        <v>0</v>
      </c>
      <c r="BA95" s="663">
        <f t="shared" ca="1" si="123"/>
        <v>0</v>
      </c>
      <c r="BB95" s="663">
        <f t="shared" ca="1" si="124"/>
        <v>0</v>
      </c>
      <c r="BC95" s="663">
        <f t="shared" ca="1" si="125"/>
        <v>0</v>
      </c>
      <c r="BD95" s="663">
        <f t="shared" ca="1" si="126"/>
        <v>0</v>
      </c>
      <c r="BE95" s="663">
        <f t="shared" ca="1" si="127"/>
        <v>0</v>
      </c>
      <c r="BF95" s="663">
        <f t="shared" ca="1" si="128"/>
        <v>0</v>
      </c>
      <c r="BG95" s="663">
        <f t="shared" ca="1" si="129"/>
        <v>0</v>
      </c>
      <c r="BH95" s="663">
        <f t="shared" ca="1" si="130"/>
        <v>0</v>
      </c>
      <c r="BI95" s="663">
        <f t="shared" ca="1" si="131"/>
        <v>0</v>
      </c>
      <c r="BJ95" s="663">
        <f t="shared" ca="1" si="132"/>
        <v>0</v>
      </c>
      <c r="BK95" s="663">
        <f t="shared" ca="1" si="133"/>
        <v>0</v>
      </c>
      <c r="BL95" s="1918"/>
      <c r="BM95" s="1532"/>
      <c r="BN95" s="1919"/>
      <c r="BO95" s="600"/>
      <c r="BP95" s="601"/>
      <c r="BS95" s="603"/>
      <c r="BT95" s="602"/>
      <c r="BU95" s="602"/>
      <c r="BV95" s="602"/>
      <c r="BW95" s="604"/>
      <c r="BX95" s="605"/>
      <c r="BY95" s="602"/>
      <c r="BZ95" s="602"/>
      <c r="CA95"/>
      <c r="CB95" s="607"/>
      <c r="CC95" s="608"/>
      <c r="CD95" s="608"/>
      <c r="CE95" s="608"/>
      <c r="CF95" s="600"/>
    </row>
    <row r="96" spans="2:84" ht="12" customHeight="1" x14ac:dyDescent="0.35">
      <c r="B96" s="590">
        <f>MATCH(C96,'360SpcLdsCSV'!$C$6:$C$500,0)</f>
        <v>40</v>
      </c>
      <c r="C96" s="590" t="str">
        <f>'360SpcLdsCSV'!C45</f>
        <v>L03-303_MfamResiPthp</v>
      </c>
      <c r="D96" s="590" t="str">
        <f t="shared" si="134"/>
        <v>L03</v>
      </c>
      <c r="E96" s="590" t="str">
        <f t="shared" si="135"/>
        <v>Mfam</v>
      </c>
      <c r="F96" s="590" t="str">
        <f t="shared" si="136"/>
        <v>Resi</v>
      </c>
      <c r="G96" s="590" t="str">
        <f t="shared" si="137"/>
        <v>Pthp</v>
      </c>
      <c r="H96" s="590" t="str">
        <f ca="1">OFFSET('360SpcLdsCSV'!$B$5,$B96,H$51)</f>
        <v>Level 3</v>
      </c>
      <c r="I96" s="590" t="str">
        <f ca="1">OFFSET('360SpcLdsCSV'!$B$5,$B96,I$51)</f>
        <v>DirectlyConditioned</v>
      </c>
      <c r="J96" s="590" t="str">
        <f ca="1">OFFSET('360SpcLdsCSV'!$B$5,$B96,J$51)</f>
        <v>Dwelling Unit</v>
      </c>
      <c r="K96" s="590" t="str">
        <f ca="1">OFFSET('360SpcLdsCSV'!$B$5,$B96,K$51)</f>
        <v>Residential</v>
      </c>
      <c r="L96" s="590" t="str">
        <f ca="1">OFFSET('360SpcLdsCSV'!$B$5,$B96,L$51)</f>
        <v>Thermal Zone: L03-303_MfamResiPthp</v>
      </c>
      <c r="M96" s="592">
        <f ca="1">OFFSET('360SpcLdsCSV'!$B$5,$B96,M$51)</f>
        <v>1116.5980999999999</v>
      </c>
      <c r="N96" s="592">
        <f ca="1">OFFSET('360SpcLdsCSV'!$B$5,$B96,N$51)</f>
        <v>11166</v>
      </c>
      <c r="O96" s="592">
        <f ca="1">OFFSET('360SpcLdsCSV'!$B$5,$B96,O$51)</f>
        <v>686.8</v>
      </c>
      <c r="P96" s="592">
        <f ca="1">OFFSET('360SpcLdsCSV'!$B$5,$B96,P$51)</f>
        <v>137.4</v>
      </c>
      <c r="Q96" s="592">
        <f ca="1">OFFSET('360SpcLdsCSV'!$B$5,$B96,Q$51)</f>
        <v>0</v>
      </c>
      <c r="R96" s="592">
        <f ca="1">OFFSET('360SpcLdsCSV'!$B$5,$B96,R$51)</f>
        <v>0</v>
      </c>
      <c r="S96" s="592">
        <f ca="1">OFFSET('360SpcLdsCSV'!$B$5,$B96,S$51)</f>
        <v>0</v>
      </c>
      <c r="T96" s="592">
        <f ca="1">OFFSET('360SpcLdsCSV'!$B$5,$B96,T$51)</f>
        <v>0</v>
      </c>
      <c r="U96" s="592">
        <f ca="1">OFFSET('360SpcLdsCSV'!$B$5,$B96,U$51)</f>
        <v>0</v>
      </c>
      <c r="V96" s="592">
        <f ca="1">OFFSET('360SpcLdsCSV'!$B$5,$B96,V$51)</f>
        <v>0</v>
      </c>
      <c r="W96" s="592">
        <f ca="1">OFFSET('360SpcLdsCSV'!$B$5,$B96,W$51)</f>
        <v>0</v>
      </c>
      <c r="X96" s="592">
        <f ca="1">OFFSET('360SpcLdsCSV'!$B$5,$B96,X$51)</f>
        <v>0</v>
      </c>
      <c r="Y96" s="592">
        <f ca="1">OFFSET('360SpcLdsCSV'!$B$5,$B96,Y$51)</f>
        <v>0</v>
      </c>
      <c r="Z96" s="592">
        <f ca="1">OFFSET('360SpcLdsCSV'!$B$5,$B96,Z$51)</f>
        <v>0</v>
      </c>
      <c r="AA96" s="592">
        <f ca="1">OFFSET('360SpcLdsCSV'!$B$5,$B96,AA$51)</f>
        <v>0</v>
      </c>
      <c r="AB96" s="592">
        <f ca="1">OFFSET('360SpcLdsCSV'!$B$5,$B96,AB$51)</f>
        <v>0</v>
      </c>
      <c r="AC96" s="592">
        <f ca="1">OFFSET('360SpcLdsCSV'!$B$5,$B96,AC$51)</f>
        <v>0</v>
      </c>
      <c r="AD96" s="592">
        <f ca="1">OFFSET('360SpcLdsCSV'!$B$5,$B96,AD$51)</f>
        <v>0</v>
      </c>
      <c r="AE96" s="592">
        <f ca="1">OFFSET('360SpcLdsCSV'!$B$5,$B96,AE$51)</f>
        <v>0</v>
      </c>
      <c r="AF96" s="592">
        <f ca="1">OFFSET('360SpcLdsCSV'!$B$5,$B96,AF$51)</f>
        <v>0</v>
      </c>
      <c r="AG96" s="592">
        <f ca="1">OFFSET('360SpcLdsCSV'!$B$5,$B96,AG$51)</f>
        <v>0</v>
      </c>
      <c r="AH96" s="592">
        <f ca="1">OFFSET('360SpcLdsCSV'!$B$5,$B96,AH$51)</f>
        <v>0</v>
      </c>
      <c r="AI96" s="592">
        <f ca="1">OFFSET('360SpcLdsCSV'!$B$5,$B96,AI$51)</f>
        <v>0</v>
      </c>
      <c r="AJ96" s="592" cm="1">
        <f t="array" ref="AJ96">_xlfn.IFS($F96="Resi",1,$F96="Racc",0,$F96="Coml",0,$F96="Prkg",0)</f>
        <v>1</v>
      </c>
      <c r="AK96" s="596"/>
      <c r="AL96" s="590">
        <f ca="1">OFFSET('360SpcLdsCSV'!$B$5,$B96,AL$51)</f>
        <v>3</v>
      </c>
      <c r="AM96" s="663">
        <f t="shared" ca="1" si="110"/>
        <v>1</v>
      </c>
      <c r="AN96" s="663">
        <f t="shared" ca="1" si="111"/>
        <v>1</v>
      </c>
      <c r="AO96" s="663">
        <f t="shared" ca="1" si="138"/>
        <v>3349.7942999999996</v>
      </c>
      <c r="AP96" s="663">
        <f t="shared" ca="1" si="112"/>
        <v>33498</v>
      </c>
      <c r="AQ96" s="663">
        <f t="shared" ca="1" si="113"/>
        <v>2060.3999999999996</v>
      </c>
      <c r="AR96" s="663">
        <f t="shared" ca="1" si="114"/>
        <v>412.20000000000005</v>
      </c>
      <c r="AS96" s="663">
        <f t="shared" ca="1" si="115"/>
        <v>0</v>
      </c>
      <c r="AT96" s="663">
        <f t="shared" ca="1" si="116"/>
        <v>0</v>
      </c>
      <c r="AU96" s="663">
        <f t="shared" ca="1" si="117"/>
        <v>0</v>
      </c>
      <c r="AV96" s="663">
        <f t="shared" ca="1" si="118"/>
        <v>0</v>
      </c>
      <c r="AW96" s="663">
        <f t="shared" ca="1" si="119"/>
        <v>0</v>
      </c>
      <c r="AX96" s="663">
        <f t="shared" ca="1" si="120"/>
        <v>0</v>
      </c>
      <c r="AY96" s="663">
        <f t="shared" ca="1" si="121"/>
        <v>0</v>
      </c>
      <c r="AZ96" s="663">
        <f t="shared" ca="1" si="122"/>
        <v>0</v>
      </c>
      <c r="BA96" s="663">
        <f t="shared" ca="1" si="123"/>
        <v>0</v>
      </c>
      <c r="BB96" s="663">
        <f t="shared" ca="1" si="124"/>
        <v>0</v>
      </c>
      <c r="BC96" s="663">
        <f t="shared" ca="1" si="125"/>
        <v>0</v>
      </c>
      <c r="BD96" s="663">
        <f t="shared" ca="1" si="126"/>
        <v>0</v>
      </c>
      <c r="BE96" s="663">
        <f t="shared" ca="1" si="127"/>
        <v>0</v>
      </c>
      <c r="BF96" s="663">
        <f t="shared" ca="1" si="128"/>
        <v>0</v>
      </c>
      <c r="BG96" s="663">
        <f t="shared" ca="1" si="129"/>
        <v>0</v>
      </c>
      <c r="BH96" s="663">
        <f t="shared" ca="1" si="130"/>
        <v>0</v>
      </c>
      <c r="BI96" s="663">
        <f t="shared" ca="1" si="131"/>
        <v>0</v>
      </c>
      <c r="BJ96" s="663">
        <f t="shared" ca="1" si="132"/>
        <v>0</v>
      </c>
      <c r="BK96" s="663">
        <f t="shared" ca="1" si="133"/>
        <v>0</v>
      </c>
      <c r="BL96" s="1918"/>
      <c r="BM96" s="1532"/>
      <c r="BN96" s="1919"/>
      <c r="BO96" s="600"/>
      <c r="BP96" s="601"/>
      <c r="BS96" s="603"/>
      <c r="BT96" s="602"/>
      <c r="BU96" s="602"/>
      <c r="BV96" s="602"/>
      <c r="BW96" s="604"/>
      <c r="BX96" s="605"/>
      <c r="BY96" s="602"/>
      <c r="BZ96" s="602"/>
      <c r="CA96"/>
      <c r="CB96" s="607"/>
      <c r="CC96" s="608"/>
      <c r="CD96" s="608"/>
      <c r="CE96" s="608"/>
      <c r="CF96" s="600"/>
    </row>
    <row r="97" spans="2:84" ht="12" customHeight="1" x14ac:dyDescent="0.35">
      <c r="B97" s="590">
        <f>MATCH(C97,'360SpcLdsCSV'!$C$6:$C$500,0)</f>
        <v>41</v>
      </c>
      <c r="C97" s="590" t="str">
        <f>'360SpcLdsCSV'!C46</f>
        <v>L03-304_AstoRaccIncd</v>
      </c>
      <c r="D97" s="590" t="str">
        <f t="shared" si="134"/>
        <v>L03</v>
      </c>
      <c r="E97" s="590" t="str">
        <f t="shared" si="135"/>
        <v>Asto</v>
      </c>
      <c r="F97" s="590" t="str">
        <f t="shared" si="136"/>
        <v>Racc</v>
      </c>
      <c r="G97" s="590" t="str">
        <f t="shared" si="137"/>
        <v>Incd</v>
      </c>
      <c r="H97" s="590" t="str">
        <f ca="1">OFFSET('360SpcLdsCSV'!$B$5,$B97,H$51)</f>
        <v>Level 3</v>
      </c>
      <c r="I97" s="590" t="str">
        <f ca="1">OFFSET('360SpcLdsCSV'!$B$5,$B97,I$51)</f>
        <v>IndirectlyConditioned</v>
      </c>
      <c r="J97" s="590" t="str">
        <f ca="1">OFFSET('360SpcLdsCSV'!$B$5,$B97,J$51)</f>
        <v>Storage Room - &lt;50 ft2</v>
      </c>
      <c r="K97" s="590" t="str">
        <f ca="1">OFFSET('360SpcLdsCSV'!$B$5,$B97,K$51)</f>
        <v>Nonresidential</v>
      </c>
      <c r="L97" s="590" t="str">
        <f ca="1">OFFSET('360SpcLdsCSV'!$B$5,$B97,L$51)</f>
        <v>Thermal Zone: L03-300_CorrRaccSphp</v>
      </c>
      <c r="M97" s="592">
        <f ca="1">OFFSET('360SpcLdsCSV'!$B$5,$B97,M$51)</f>
        <v>135.05760000000001</v>
      </c>
      <c r="N97" s="592">
        <f ca="1">OFFSET('360SpcLdsCSV'!$B$5,$B97,N$51)</f>
        <v>1350.58</v>
      </c>
      <c r="O97" s="592">
        <f ca="1">OFFSET('360SpcLdsCSV'!$B$5,$B97,O$51)</f>
        <v>0</v>
      </c>
      <c r="P97" s="592">
        <f ca="1">OFFSET('360SpcLdsCSV'!$B$5,$B97,P$51)</f>
        <v>0</v>
      </c>
      <c r="Q97" s="592">
        <f ca="1">OFFSET('360SpcLdsCSV'!$B$5,$B97,Q$51)</f>
        <v>0</v>
      </c>
      <c r="R97" s="592">
        <f ca="1">OFFSET('360SpcLdsCSV'!$B$5,$B97,R$51)</f>
        <v>0</v>
      </c>
      <c r="S97" s="592">
        <f ca="1">OFFSET('360SpcLdsCSV'!$B$5,$B97,S$51)</f>
        <v>0</v>
      </c>
      <c r="T97" s="592">
        <f ca="1">OFFSET('360SpcLdsCSV'!$B$5,$B97,T$51)</f>
        <v>0</v>
      </c>
      <c r="U97" s="592">
        <f ca="1">OFFSET('360SpcLdsCSV'!$B$5,$B97,U$51)</f>
        <v>0</v>
      </c>
      <c r="V97" s="592">
        <f ca="1">OFFSET('360SpcLdsCSV'!$B$5,$B97,V$51)</f>
        <v>0</v>
      </c>
      <c r="W97" s="592">
        <f ca="1">OFFSET('360SpcLdsCSV'!$B$5,$B97,W$51)</f>
        <v>0</v>
      </c>
      <c r="X97" s="592">
        <f ca="1">OFFSET('360SpcLdsCSV'!$B$5,$B97,X$51)</f>
        <v>0</v>
      </c>
      <c r="Y97" s="592">
        <f ca="1">OFFSET('360SpcLdsCSV'!$B$5,$B97,Y$51)</f>
        <v>0</v>
      </c>
      <c r="Z97" s="592">
        <f ca="1">OFFSET('360SpcLdsCSV'!$B$5,$B97,Z$51)</f>
        <v>0</v>
      </c>
      <c r="AA97" s="592">
        <f ca="1">OFFSET('360SpcLdsCSV'!$B$5,$B97,AA$51)</f>
        <v>0</v>
      </c>
      <c r="AB97" s="592">
        <f ca="1">OFFSET('360SpcLdsCSV'!$B$5,$B97,AB$51)</f>
        <v>0</v>
      </c>
      <c r="AC97" s="592">
        <f ca="1">OFFSET('360SpcLdsCSV'!$B$5,$B97,AC$51)</f>
        <v>0</v>
      </c>
      <c r="AD97" s="592">
        <f ca="1">OFFSET('360SpcLdsCSV'!$B$5,$B97,AD$51)</f>
        <v>0</v>
      </c>
      <c r="AE97" s="592">
        <f ca="1">OFFSET('360SpcLdsCSV'!$B$5,$B97,AE$51)</f>
        <v>0</v>
      </c>
      <c r="AF97" s="592">
        <f ca="1">OFFSET('360SpcLdsCSV'!$B$5,$B97,AF$51)</f>
        <v>0</v>
      </c>
      <c r="AG97" s="592">
        <f ca="1">OFFSET('360SpcLdsCSV'!$B$5,$B97,AG$51)</f>
        <v>0</v>
      </c>
      <c r="AH97" s="592">
        <f ca="1">OFFSET('360SpcLdsCSV'!$B$5,$B97,AH$51)</f>
        <v>0</v>
      </c>
      <c r="AI97" s="592">
        <f ca="1">OFFSET('360SpcLdsCSV'!$B$5,$B97,AI$51)</f>
        <v>0</v>
      </c>
      <c r="AJ97" s="592" cm="1">
        <f t="array" ref="AJ97">_xlfn.IFS($F97="Resi",1,$F97="Racc",0,$F97="Coml",0,$F97="Prkg",0)</f>
        <v>0</v>
      </c>
      <c r="AK97" s="596"/>
      <c r="AL97" s="590">
        <f ca="1">OFFSET('360SpcLdsCSV'!$B$5,$B97,AL$51)</f>
        <v>3</v>
      </c>
      <c r="AM97" s="663">
        <f t="shared" ca="1" si="110"/>
        <v>1</v>
      </c>
      <c r="AN97" s="663">
        <f t="shared" ca="1" si="111"/>
        <v>0</v>
      </c>
      <c r="AO97" s="663">
        <f t="shared" ca="1" si="138"/>
        <v>405.17280000000005</v>
      </c>
      <c r="AP97" s="663">
        <f t="shared" ca="1" si="112"/>
        <v>4051.74</v>
      </c>
      <c r="AQ97" s="663">
        <f t="shared" ca="1" si="113"/>
        <v>0</v>
      </c>
      <c r="AR97" s="663">
        <f t="shared" ca="1" si="114"/>
        <v>0</v>
      </c>
      <c r="AS97" s="663">
        <f t="shared" ca="1" si="115"/>
        <v>0</v>
      </c>
      <c r="AT97" s="663">
        <f t="shared" ca="1" si="116"/>
        <v>0</v>
      </c>
      <c r="AU97" s="663">
        <f t="shared" ca="1" si="117"/>
        <v>0</v>
      </c>
      <c r="AV97" s="663">
        <f t="shared" ca="1" si="118"/>
        <v>0</v>
      </c>
      <c r="AW97" s="663">
        <f t="shared" ca="1" si="119"/>
        <v>0</v>
      </c>
      <c r="AX97" s="663">
        <f t="shared" ca="1" si="120"/>
        <v>0</v>
      </c>
      <c r="AY97" s="663">
        <f t="shared" ca="1" si="121"/>
        <v>0</v>
      </c>
      <c r="AZ97" s="663">
        <f t="shared" ca="1" si="122"/>
        <v>0</v>
      </c>
      <c r="BA97" s="663">
        <f t="shared" ca="1" si="123"/>
        <v>0</v>
      </c>
      <c r="BB97" s="663">
        <f t="shared" ca="1" si="124"/>
        <v>0</v>
      </c>
      <c r="BC97" s="663">
        <f t="shared" ca="1" si="125"/>
        <v>0</v>
      </c>
      <c r="BD97" s="663">
        <f t="shared" ca="1" si="126"/>
        <v>0</v>
      </c>
      <c r="BE97" s="663">
        <f t="shared" ca="1" si="127"/>
        <v>0</v>
      </c>
      <c r="BF97" s="663">
        <f t="shared" ca="1" si="128"/>
        <v>0</v>
      </c>
      <c r="BG97" s="663">
        <f t="shared" ca="1" si="129"/>
        <v>0</v>
      </c>
      <c r="BH97" s="663">
        <f t="shared" ca="1" si="130"/>
        <v>0</v>
      </c>
      <c r="BI97" s="663">
        <f t="shared" ca="1" si="131"/>
        <v>0</v>
      </c>
      <c r="BJ97" s="663">
        <f t="shared" ca="1" si="132"/>
        <v>0</v>
      </c>
      <c r="BK97" s="663">
        <f t="shared" ca="1" si="133"/>
        <v>0</v>
      </c>
      <c r="BL97" s="1918"/>
      <c r="BM97" s="1532"/>
      <c r="BN97" s="1919"/>
      <c r="BO97" s="600"/>
      <c r="BP97" s="601"/>
      <c r="BS97" s="603"/>
      <c r="BT97" s="602"/>
      <c r="BU97" s="602"/>
      <c r="BV97" s="602"/>
      <c r="BW97" s="604"/>
      <c r="BX97" s="605"/>
      <c r="BY97" s="602"/>
      <c r="BZ97" s="602"/>
      <c r="CA97"/>
      <c r="CB97" s="607"/>
      <c r="CC97" s="608"/>
      <c r="CD97" s="608"/>
      <c r="CE97" s="608"/>
      <c r="CF97" s="600"/>
    </row>
    <row r="98" spans="2:84" ht="12" customHeight="1" x14ac:dyDescent="0.35">
      <c r="B98" s="590">
        <f>MATCH(C98,'360SpcLdsCSV'!$C$6:$C$500,0)</f>
        <v>42</v>
      </c>
      <c r="C98" s="590" t="str">
        <f>'360SpcLdsCSV'!C47</f>
        <v>L03-305_MfamResiPthp</v>
      </c>
      <c r="D98" s="590" t="str">
        <f t="shared" si="134"/>
        <v>L03</v>
      </c>
      <c r="E98" s="590" t="str">
        <f t="shared" si="135"/>
        <v>Mfam</v>
      </c>
      <c r="F98" s="590" t="str">
        <f t="shared" si="136"/>
        <v>Resi</v>
      </c>
      <c r="G98" s="590" t="str">
        <f t="shared" si="137"/>
        <v>Pthp</v>
      </c>
      <c r="H98" s="590" t="str">
        <f ca="1">OFFSET('360SpcLdsCSV'!$B$5,$B98,H$51)</f>
        <v>Level 3</v>
      </c>
      <c r="I98" s="590" t="str">
        <f ca="1">OFFSET('360SpcLdsCSV'!$B$5,$B98,I$51)</f>
        <v>DirectlyConditioned</v>
      </c>
      <c r="J98" s="590" t="str">
        <f ca="1">OFFSET('360SpcLdsCSV'!$B$5,$B98,J$51)</f>
        <v>Dwelling Unit</v>
      </c>
      <c r="K98" s="590" t="str">
        <f ca="1">OFFSET('360SpcLdsCSV'!$B$5,$B98,K$51)</f>
        <v>Residential</v>
      </c>
      <c r="L98" s="590" t="str">
        <f ca="1">OFFSET('360SpcLdsCSV'!$B$5,$B98,L$51)</f>
        <v>Thermal Zone: L03-305_MfamResiPthp</v>
      </c>
      <c r="M98" s="592">
        <f ca="1">OFFSET('360SpcLdsCSV'!$B$5,$B98,M$51)</f>
        <v>3678.0304999999998</v>
      </c>
      <c r="N98" s="592">
        <f ca="1">OFFSET('360SpcLdsCSV'!$B$5,$B98,N$51)</f>
        <v>36780.300000000003</v>
      </c>
      <c r="O98" s="592">
        <f ca="1">OFFSET('360SpcLdsCSV'!$B$5,$B98,O$51)</f>
        <v>1428.2</v>
      </c>
      <c r="P98" s="592">
        <f ca="1">OFFSET('360SpcLdsCSV'!$B$5,$B98,P$51)</f>
        <v>285.60000000000002</v>
      </c>
      <c r="Q98" s="592">
        <f ca="1">OFFSET('360SpcLdsCSV'!$B$5,$B98,Q$51)</f>
        <v>0</v>
      </c>
      <c r="R98" s="592">
        <f ca="1">OFFSET('360SpcLdsCSV'!$B$5,$B98,R$51)</f>
        <v>0</v>
      </c>
      <c r="S98" s="592">
        <f ca="1">OFFSET('360SpcLdsCSV'!$B$5,$B98,S$51)</f>
        <v>0</v>
      </c>
      <c r="T98" s="592">
        <f ca="1">OFFSET('360SpcLdsCSV'!$B$5,$B98,T$51)</f>
        <v>0</v>
      </c>
      <c r="U98" s="592">
        <f ca="1">OFFSET('360SpcLdsCSV'!$B$5,$B98,U$51)</f>
        <v>0</v>
      </c>
      <c r="V98" s="592">
        <f ca="1">OFFSET('360SpcLdsCSV'!$B$5,$B98,V$51)</f>
        <v>0</v>
      </c>
      <c r="W98" s="592">
        <f ca="1">OFFSET('360SpcLdsCSV'!$B$5,$B98,W$51)</f>
        <v>0</v>
      </c>
      <c r="X98" s="592">
        <f ca="1">OFFSET('360SpcLdsCSV'!$B$5,$B98,X$51)</f>
        <v>0</v>
      </c>
      <c r="Y98" s="592">
        <f ca="1">OFFSET('360SpcLdsCSV'!$B$5,$B98,Y$51)</f>
        <v>0</v>
      </c>
      <c r="Z98" s="592">
        <f ca="1">OFFSET('360SpcLdsCSV'!$B$5,$B98,Z$51)</f>
        <v>0</v>
      </c>
      <c r="AA98" s="592">
        <f ca="1">OFFSET('360SpcLdsCSV'!$B$5,$B98,AA$51)</f>
        <v>0</v>
      </c>
      <c r="AB98" s="592">
        <f ca="1">OFFSET('360SpcLdsCSV'!$B$5,$B98,AB$51)</f>
        <v>0</v>
      </c>
      <c r="AC98" s="592">
        <f ca="1">OFFSET('360SpcLdsCSV'!$B$5,$B98,AC$51)</f>
        <v>0</v>
      </c>
      <c r="AD98" s="592">
        <f ca="1">OFFSET('360SpcLdsCSV'!$B$5,$B98,AD$51)</f>
        <v>0</v>
      </c>
      <c r="AE98" s="592">
        <f ca="1">OFFSET('360SpcLdsCSV'!$B$5,$B98,AE$51)</f>
        <v>0</v>
      </c>
      <c r="AF98" s="592">
        <f ca="1">OFFSET('360SpcLdsCSV'!$B$5,$B98,AF$51)</f>
        <v>0</v>
      </c>
      <c r="AG98" s="592">
        <f ca="1">OFFSET('360SpcLdsCSV'!$B$5,$B98,AG$51)</f>
        <v>0</v>
      </c>
      <c r="AH98" s="592">
        <f ca="1">OFFSET('360SpcLdsCSV'!$B$5,$B98,AH$51)</f>
        <v>0</v>
      </c>
      <c r="AI98" s="592">
        <f ca="1">OFFSET('360SpcLdsCSV'!$B$5,$B98,AI$51)</f>
        <v>0</v>
      </c>
      <c r="AJ98" s="592" cm="1">
        <f t="array" ref="AJ98">_xlfn.IFS($F98="Resi",1,$F98="Racc",0,$F98="Coml",0,$F98="Prkg",0)</f>
        <v>1</v>
      </c>
      <c r="AK98" s="596"/>
      <c r="AL98" s="590">
        <f ca="1">OFFSET('360SpcLdsCSV'!$B$5,$B98,AL$51)</f>
        <v>3</v>
      </c>
      <c r="AM98" s="663">
        <f t="shared" ca="1" si="110"/>
        <v>1</v>
      </c>
      <c r="AN98" s="663">
        <f t="shared" ca="1" si="111"/>
        <v>1</v>
      </c>
      <c r="AO98" s="663">
        <f t="shared" ca="1" si="138"/>
        <v>11034.091499999999</v>
      </c>
      <c r="AP98" s="663">
        <f t="shared" ca="1" si="112"/>
        <v>110340.90000000001</v>
      </c>
      <c r="AQ98" s="663">
        <f t="shared" ca="1" si="113"/>
        <v>4284.6000000000004</v>
      </c>
      <c r="AR98" s="663">
        <f t="shared" ca="1" si="114"/>
        <v>856.80000000000007</v>
      </c>
      <c r="AS98" s="663">
        <f t="shared" ca="1" si="115"/>
        <v>0</v>
      </c>
      <c r="AT98" s="663">
        <f t="shared" ca="1" si="116"/>
        <v>0</v>
      </c>
      <c r="AU98" s="663">
        <f t="shared" ca="1" si="117"/>
        <v>0</v>
      </c>
      <c r="AV98" s="663">
        <f t="shared" ca="1" si="118"/>
        <v>0</v>
      </c>
      <c r="AW98" s="663">
        <f t="shared" ca="1" si="119"/>
        <v>0</v>
      </c>
      <c r="AX98" s="663">
        <f t="shared" ca="1" si="120"/>
        <v>0</v>
      </c>
      <c r="AY98" s="663">
        <f t="shared" ca="1" si="121"/>
        <v>0</v>
      </c>
      <c r="AZ98" s="663">
        <f t="shared" ca="1" si="122"/>
        <v>0</v>
      </c>
      <c r="BA98" s="663">
        <f t="shared" ca="1" si="123"/>
        <v>0</v>
      </c>
      <c r="BB98" s="663">
        <f t="shared" ca="1" si="124"/>
        <v>0</v>
      </c>
      <c r="BC98" s="663">
        <f t="shared" ca="1" si="125"/>
        <v>0</v>
      </c>
      <c r="BD98" s="663">
        <f t="shared" ca="1" si="126"/>
        <v>0</v>
      </c>
      <c r="BE98" s="663">
        <f t="shared" ca="1" si="127"/>
        <v>0</v>
      </c>
      <c r="BF98" s="663">
        <f t="shared" ca="1" si="128"/>
        <v>0</v>
      </c>
      <c r="BG98" s="663">
        <f t="shared" ca="1" si="129"/>
        <v>0</v>
      </c>
      <c r="BH98" s="663">
        <f t="shared" ca="1" si="130"/>
        <v>0</v>
      </c>
      <c r="BI98" s="663">
        <f t="shared" ca="1" si="131"/>
        <v>0</v>
      </c>
      <c r="BJ98" s="663">
        <f t="shared" ca="1" si="132"/>
        <v>0</v>
      </c>
      <c r="BK98" s="663">
        <f t="shared" ca="1" si="133"/>
        <v>0</v>
      </c>
      <c r="BL98" s="1918"/>
      <c r="BM98" s="1532"/>
      <c r="BN98" s="1919"/>
      <c r="BO98" s="600"/>
      <c r="BP98" s="601"/>
      <c r="BS98" s="603"/>
      <c r="BT98" s="602"/>
      <c r="BU98" s="602"/>
      <c r="BV98" s="602"/>
      <c r="BW98" s="604"/>
      <c r="BX98" s="605"/>
      <c r="BY98" s="602"/>
      <c r="BZ98" s="602"/>
      <c r="CA98"/>
      <c r="CB98" s="607"/>
      <c r="CC98" s="608"/>
      <c r="CD98" s="608"/>
      <c r="CE98" s="608"/>
      <c r="CF98" s="600"/>
    </row>
    <row r="99" spans="2:84" ht="12" customHeight="1" x14ac:dyDescent="0.35">
      <c r="B99" s="590">
        <f>MATCH(C99,'360SpcLdsCSV'!$C$6:$C$500,0)</f>
        <v>43</v>
      </c>
      <c r="C99" s="590" t="str">
        <f>'360SpcLdsCSV'!C48</f>
        <v>L03-306_MfamResiPthp</v>
      </c>
      <c r="D99" s="590" t="str">
        <f t="shared" si="134"/>
        <v>L03</v>
      </c>
      <c r="E99" s="590" t="str">
        <f t="shared" si="135"/>
        <v>Mfam</v>
      </c>
      <c r="F99" s="590" t="str">
        <f t="shared" si="136"/>
        <v>Resi</v>
      </c>
      <c r="G99" s="590" t="str">
        <f t="shared" si="137"/>
        <v>Pthp</v>
      </c>
      <c r="H99" s="590" t="str">
        <f ca="1">OFFSET('360SpcLdsCSV'!$B$5,$B99,H$51)</f>
        <v>Level 3</v>
      </c>
      <c r="I99" s="590" t="str">
        <f ca="1">OFFSET('360SpcLdsCSV'!$B$5,$B99,I$51)</f>
        <v>DirectlyConditioned</v>
      </c>
      <c r="J99" s="590" t="str">
        <f ca="1">OFFSET('360SpcLdsCSV'!$B$5,$B99,J$51)</f>
        <v>Dwelling Unit</v>
      </c>
      <c r="K99" s="590" t="str">
        <f ca="1">OFFSET('360SpcLdsCSV'!$B$5,$B99,K$51)</f>
        <v>Residential</v>
      </c>
      <c r="L99" s="590" t="str">
        <f ca="1">OFFSET('360SpcLdsCSV'!$B$5,$B99,L$51)</f>
        <v>Thermal Zone: L03-306_MfamResiPthp</v>
      </c>
      <c r="M99" s="592">
        <f ca="1">OFFSET('360SpcLdsCSV'!$B$5,$B99,M$51)</f>
        <v>1160.8827000000001</v>
      </c>
      <c r="N99" s="592">
        <f ca="1">OFFSET('360SpcLdsCSV'!$B$5,$B99,N$51)</f>
        <v>11608.8</v>
      </c>
      <c r="O99" s="592">
        <f ca="1">OFFSET('360SpcLdsCSV'!$B$5,$B99,O$51)</f>
        <v>531.70000000000005</v>
      </c>
      <c r="P99" s="592">
        <f ca="1">OFFSET('360SpcLdsCSV'!$B$5,$B99,P$51)</f>
        <v>106.3</v>
      </c>
      <c r="Q99" s="592">
        <f ca="1">OFFSET('360SpcLdsCSV'!$B$5,$B99,Q$51)</f>
        <v>0</v>
      </c>
      <c r="R99" s="592">
        <f ca="1">OFFSET('360SpcLdsCSV'!$B$5,$B99,R$51)</f>
        <v>0</v>
      </c>
      <c r="S99" s="592">
        <f ca="1">OFFSET('360SpcLdsCSV'!$B$5,$B99,S$51)</f>
        <v>0</v>
      </c>
      <c r="T99" s="592">
        <f ca="1">OFFSET('360SpcLdsCSV'!$B$5,$B99,T$51)</f>
        <v>0</v>
      </c>
      <c r="U99" s="592">
        <f ca="1">OFFSET('360SpcLdsCSV'!$B$5,$B99,U$51)</f>
        <v>0</v>
      </c>
      <c r="V99" s="592">
        <f ca="1">OFFSET('360SpcLdsCSV'!$B$5,$B99,V$51)</f>
        <v>0</v>
      </c>
      <c r="W99" s="592">
        <f ca="1">OFFSET('360SpcLdsCSV'!$B$5,$B99,W$51)</f>
        <v>0</v>
      </c>
      <c r="X99" s="592">
        <f ca="1">OFFSET('360SpcLdsCSV'!$B$5,$B99,X$51)</f>
        <v>0</v>
      </c>
      <c r="Y99" s="592">
        <f ca="1">OFFSET('360SpcLdsCSV'!$B$5,$B99,Y$51)</f>
        <v>0</v>
      </c>
      <c r="Z99" s="592">
        <f ca="1">OFFSET('360SpcLdsCSV'!$B$5,$B99,Z$51)</f>
        <v>0</v>
      </c>
      <c r="AA99" s="592">
        <f ca="1">OFFSET('360SpcLdsCSV'!$B$5,$B99,AA$51)</f>
        <v>0</v>
      </c>
      <c r="AB99" s="592">
        <f ca="1">OFFSET('360SpcLdsCSV'!$B$5,$B99,AB$51)</f>
        <v>0</v>
      </c>
      <c r="AC99" s="592">
        <f ca="1">OFFSET('360SpcLdsCSV'!$B$5,$B99,AC$51)</f>
        <v>0</v>
      </c>
      <c r="AD99" s="592">
        <f ca="1">OFFSET('360SpcLdsCSV'!$B$5,$B99,AD$51)</f>
        <v>0</v>
      </c>
      <c r="AE99" s="592">
        <f ca="1">OFFSET('360SpcLdsCSV'!$B$5,$B99,AE$51)</f>
        <v>0</v>
      </c>
      <c r="AF99" s="592">
        <f ca="1">OFFSET('360SpcLdsCSV'!$B$5,$B99,AF$51)</f>
        <v>0</v>
      </c>
      <c r="AG99" s="592">
        <f ca="1">OFFSET('360SpcLdsCSV'!$B$5,$B99,AG$51)</f>
        <v>0</v>
      </c>
      <c r="AH99" s="592">
        <f ca="1">OFFSET('360SpcLdsCSV'!$B$5,$B99,AH$51)</f>
        <v>0</v>
      </c>
      <c r="AI99" s="592">
        <f ca="1">OFFSET('360SpcLdsCSV'!$B$5,$B99,AI$51)</f>
        <v>0</v>
      </c>
      <c r="AJ99" s="592" cm="1">
        <f t="array" ref="AJ99">_xlfn.IFS($F99="Resi",1,$F99="Racc",0,$F99="Coml",0,$F99="Prkg",0)</f>
        <v>1</v>
      </c>
      <c r="AK99" s="596"/>
      <c r="AL99" s="590">
        <f ca="1">OFFSET('360SpcLdsCSV'!$B$5,$B99,AL$51)</f>
        <v>3</v>
      </c>
      <c r="AM99" s="663">
        <f t="shared" ca="1" si="110"/>
        <v>1</v>
      </c>
      <c r="AN99" s="663">
        <f t="shared" ca="1" si="111"/>
        <v>1</v>
      </c>
      <c r="AO99" s="663">
        <f t="shared" ca="1" si="138"/>
        <v>3482.6481000000003</v>
      </c>
      <c r="AP99" s="663">
        <f t="shared" ca="1" si="112"/>
        <v>34826.399999999994</v>
      </c>
      <c r="AQ99" s="663">
        <f t="shared" ca="1" si="113"/>
        <v>1595.1000000000001</v>
      </c>
      <c r="AR99" s="663">
        <f t="shared" ca="1" si="114"/>
        <v>318.89999999999998</v>
      </c>
      <c r="AS99" s="663">
        <f t="shared" ca="1" si="115"/>
        <v>0</v>
      </c>
      <c r="AT99" s="663">
        <f t="shared" ca="1" si="116"/>
        <v>0</v>
      </c>
      <c r="AU99" s="663">
        <f t="shared" ca="1" si="117"/>
        <v>0</v>
      </c>
      <c r="AV99" s="663">
        <f t="shared" ca="1" si="118"/>
        <v>0</v>
      </c>
      <c r="AW99" s="663">
        <f t="shared" ca="1" si="119"/>
        <v>0</v>
      </c>
      <c r="AX99" s="663">
        <f t="shared" ca="1" si="120"/>
        <v>0</v>
      </c>
      <c r="AY99" s="663">
        <f t="shared" ca="1" si="121"/>
        <v>0</v>
      </c>
      <c r="AZ99" s="663">
        <f t="shared" ca="1" si="122"/>
        <v>0</v>
      </c>
      <c r="BA99" s="663">
        <f t="shared" ca="1" si="123"/>
        <v>0</v>
      </c>
      <c r="BB99" s="663">
        <f t="shared" ca="1" si="124"/>
        <v>0</v>
      </c>
      <c r="BC99" s="663">
        <f t="shared" ca="1" si="125"/>
        <v>0</v>
      </c>
      <c r="BD99" s="663">
        <f t="shared" ca="1" si="126"/>
        <v>0</v>
      </c>
      <c r="BE99" s="663">
        <f t="shared" ca="1" si="127"/>
        <v>0</v>
      </c>
      <c r="BF99" s="663">
        <f t="shared" ca="1" si="128"/>
        <v>0</v>
      </c>
      <c r="BG99" s="663">
        <f t="shared" ca="1" si="129"/>
        <v>0</v>
      </c>
      <c r="BH99" s="663">
        <f t="shared" ca="1" si="130"/>
        <v>0</v>
      </c>
      <c r="BI99" s="663">
        <f t="shared" ca="1" si="131"/>
        <v>0</v>
      </c>
      <c r="BJ99" s="663">
        <f t="shared" ca="1" si="132"/>
        <v>0</v>
      </c>
      <c r="BK99" s="663">
        <f t="shared" ca="1" si="133"/>
        <v>0</v>
      </c>
      <c r="BL99" s="1918"/>
      <c r="BM99" s="1532"/>
      <c r="BN99" s="1919"/>
      <c r="BO99" s="600"/>
      <c r="BP99" s="601"/>
      <c r="BS99" s="603"/>
      <c r="BT99" s="602"/>
      <c r="BU99" s="602"/>
      <c r="BV99" s="602"/>
      <c r="BW99" s="604"/>
      <c r="BX99" s="605"/>
      <c r="BY99" s="602"/>
      <c r="BZ99" s="602"/>
      <c r="CA99"/>
      <c r="CB99" s="607"/>
      <c r="CC99" s="608"/>
      <c r="CD99" s="608"/>
      <c r="CE99" s="608"/>
      <c r="CF99" s="600"/>
    </row>
    <row r="100" spans="2:84" ht="12" customHeight="1" x14ac:dyDescent="0.35">
      <c r="B100" s="590">
        <f>MATCH(C100,'360SpcLdsCSV'!$C$6:$C$500,0)</f>
        <v>44</v>
      </c>
      <c r="C100" s="590" t="str">
        <f>'360SpcLdsCSV'!C49</f>
        <v>L03-307_MfamResiPthp</v>
      </c>
      <c r="D100" s="590" t="str">
        <f t="shared" si="134"/>
        <v>L03</v>
      </c>
      <c r="E100" s="590" t="str">
        <f t="shared" si="135"/>
        <v>Mfam</v>
      </c>
      <c r="F100" s="590" t="str">
        <f t="shared" si="136"/>
        <v>Resi</v>
      </c>
      <c r="G100" s="590" t="str">
        <f t="shared" si="137"/>
        <v>Pthp</v>
      </c>
      <c r="H100" s="590" t="str">
        <f ca="1">OFFSET('360SpcLdsCSV'!$B$5,$B100,H$51)</f>
        <v>Level 3</v>
      </c>
      <c r="I100" s="590" t="str">
        <f ca="1">OFFSET('360SpcLdsCSV'!$B$5,$B100,I$51)</f>
        <v>DirectlyConditioned</v>
      </c>
      <c r="J100" s="590" t="str">
        <f ca="1">OFFSET('360SpcLdsCSV'!$B$5,$B100,J$51)</f>
        <v>Dwelling Unit</v>
      </c>
      <c r="K100" s="590" t="str">
        <f ca="1">OFFSET('360SpcLdsCSV'!$B$5,$B100,K$51)</f>
        <v>Residential</v>
      </c>
      <c r="L100" s="590" t="str">
        <f ca="1">OFFSET('360SpcLdsCSV'!$B$5,$B100,L$51)</f>
        <v>Thermal Zone: L03-307_MfamResiPthp</v>
      </c>
      <c r="M100" s="592">
        <f ca="1">OFFSET('360SpcLdsCSV'!$B$5,$B100,M$51)</f>
        <v>1858.692</v>
      </c>
      <c r="N100" s="592">
        <f ca="1">OFFSET('360SpcLdsCSV'!$B$5,$B100,N$51)</f>
        <v>18586.900000000001</v>
      </c>
      <c r="O100" s="592">
        <f ca="1">OFFSET('360SpcLdsCSV'!$B$5,$B100,O$51)</f>
        <v>809.1</v>
      </c>
      <c r="P100" s="592">
        <f ca="1">OFFSET('360SpcLdsCSV'!$B$5,$B100,P$51)</f>
        <v>161.80000000000001</v>
      </c>
      <c r="Q100" s="592">
        <f ca="1">OFFSET('360SpcLdsCSV'!$B$5,$B100,Q$51)</f>
        <v>0</v>
      </c>
      <c r="R100" s="592">
        <f ca="1">OFFSET('360SpcLdsCSV'!$B$5,$B100,R$51)</f>
        <v>0</v>
      </c>
      <c r="S100" s="592">
        <f ca="1">OFFSET('360SpcLdsCSV'!$B$5,$B100,S$51)</f>
        <v>0</v>
      </c>
      <c r="T100" s="592">
        <f ca="1">OFFSET('360SpcLdsCSV'!$B$5,$B100,T$51)</f>
        <v>0</v>
      </c>
      <c r="U100" s="592">
        <f ca="1">OFFSET('360SpcLdsCSV'!$B$5,$B100,U$51)</f>
        <v>0</v>
      </c>
      <c r="V100" s="592">
        <f ca="1">OFFSET('360SpcLdsCSV'!$B$5,$B100,V$51)</f>
        <v>0</v>
      </c>
      <c r="W100" s="592">
        <f ca="1">OFFSET('360SpcLdsCSV'!$B$5,$B100,W$51)</f>
        <v>0</v>
      </c>
      <c r="X100" s="592">
        <f ca="1">OFFSET('360SpcLdsCSV'!$B$5,$B100,X$51)</f>
        <v>0</v>
      </c>
      <c r="Y100" s="592">
        <f ca="1">OFFSET('360SpcLdsCSV'!$B$5,$B100,Y$51)</f>
        <v>0</v>
      </c>
      <c r="Z100" s="592">
        <f ca="1">OFFSET('360SpcLdsCSV'!$B$5,$B100,Z$51)</f>
        <v>0</v>
      </c>
      <c r="AA100" s="592">
        <f ca="1">OFFSET('360SpcLdsCSV'!$B$5,$B100,AA$51)</f>
        <v>0</v>
      </c>
      <c r="AB100" s="592">
        <f ca="1">OFFSET('360SpcLdsCSV'!$B$5,$B100,AB$51)</f>
        <v>0</v>
      </c>
      <c r="AC100" s="592">
        <f ca="1">OFFSET('360SpcLdsCSV'!$B$5,$B100,AC$51)</f>
        <v>0</v>
      </c>
      <c r="AD100" s="592">
        <f ca="1">OFFSET('360SpcLdsCSV'!$B$5,$B100,AD$51)</f>
        <v>0</v>
      </c>
      <c r="AE100" s="592">
        <f ca="1">OFFSET('360SpcLdsCSV'!$B$5,$B100,AE$51)</f>
        <v>0</v>
      </c>
      <c r="AF100" s="592">
        <f ca="1">OFFSET('360SpcLdsCSV'!$B$5,$B100,AF$51)</f>
        <v>0</v>
      </c>
      <c r="AG100" s="592">
        <f ca="1">OFFSET('360SpcLdsCSV'!$B$5,$B100,AG$51)</f>
        <v>0</v>
      </c>
      <c r="AH100" s="592">
        <f ca="1">OFFSET('360SpcLdsCSV'!$B$5,$B100,AH$51)</f>
        <v>0</v>
      </c>
      <c r="AI100" s="592">
        <f ca="1">OFFSET('360SpcLdsCSV'!$B$5,$B100,AI$51)</f>
        <v>0</v>
      </c>
      <c r="AJ100" s="592" cm="1">
        <f t="array" ref="AJ100">_xlfn.IFS($F100="Resi",1,$F100="Racc",0,$F100="Coml",0,$F100="Prkg",0)</f>
        <v>1</v>
      </c>
      <c r="AK100" s="596"/>
      <c r="AL100" s="590">
        <f ca="1">OFFSET('360SpcLdsCSV'!$B$5,$B100,AL$51)</f>
        <v>3</v>
      </c>
      <c r="AM100" s="663">
        <f t="shared" ca="1" si="110"/>
        <v>1</v>
      </c>
      <c r="AN100" s="663">
        <f t="shared" ca="1" si="111"/>
        <v>1</v>
      </c>
      <c r="AO100" s="663">
        <f t="shared" ca="1" si="138"/>
        <v>5576.076</v>
      </c>
      <c r="AP100" s="663">
        <f t="shared" ca="1" si="112"/>
        <v>55760.700000000004</v>
      </c>
      <c r="AQ100" s="663">
        <f t="shared" ca="1" si="113"/>
        <v>2427.3000000000002</v>
      </c>
      <c r="AR100" s="663">
        <f t="shared" ca="1" si="114"/>
        <v>485.40000000000003</v>
      </c>
      <c r="AS100" s="663">
        <f t="shared" ca="1" si="115"/>
        <v>0</v>
      </c>
      <c r="AT100" s="663">
        <f t="shared" ca="1" si="116"/>
        <v>0</v>
      </c>
      <c r="AU100" s="663">
        <f t="shared" ca="1" si="117"/>
        <v>0</v>
      </c>
      <c r="AV100" s="663">
        <f t="shared" ca="1" si="118"/>
        <v>0</v>
      </c>
      <c r="AW100" s="663">
        <f t="shared" ca="1" si="119"/>
        <v>0</v>
      </c>
      <c r="AX100" s="663">
        <f t="shared" ca="1" si="120"/>
        <v>0</v>
      </c>
      <c r="AY100" s="663">
        <f t="shared" ca="1" si="121"/>
        <v>0</v>
      </c>
      <c r="AZ100" s="663">
        <f t="shared" ca="1" si="122"/>
        <v>0</v>
      </c>
      <c r="BA100" s="663">
        <f t="shared" ca="1" si="123"/>
        <v>0</v>
      </c>
      <c r="BB100" s="663">
        <f t="shared" ca="1" si="124"/>
        <v>0</v>
      </c>
      <c r="BC100" s="663">
        <f t="shared" ca="1" si="125"/>
        <v>0</v>
      </c>
      <c r="BD100" s="663">
        <f t="shared" ca="1" si="126"/>
        <v>0</v>
      </c>
      <c r="BE100" s="663">
        <f t="shared" ca="1" si="127"/>
        <v>0</v>
      </c>
      <c r="BF100" s="663">
        <f t="shared" ca="1" si="128"/>
        <v>0</v>
      </c>
      <c r="BG100" s="663">
        <f t="shared" ca="1" si="129"/>
        <v>0</v>
      </c>
      <c r="BH100" s="663">
        <f t="shared" ca="1" si="130"/>
        <v>0</v>
      </c>
      <c r="BI100" s="663">
        <f t="shared" ca="1" si="131"/>
        <v>0</v>
      </c>
      <c r="BJ100" s="663">
        <f t="shared" ca="1" si="132"/>
        <v>0</v>
      </c>
      <c r="BK100" s="663">
        <f t="shared" ca="1" si="133"/>
        <v>0</v>
      </c>
      <c r="BL100" s="1918"/>
      <c r="BM100" s="1532"/>
      <c r="BN100" s="1919"/>
      <c r="BO100" s="600"/>
      <c r="BP100" s="601"/>
      <c r="BS100" s="603"/>
      <c r="BT100" s="602"/>
      <c r="BU100" s="602"/>
      <c r="BV100" s="602"/>
      <c r="BW100" s="604"/>
      <c r="BX100" s="605"/>
      <c r="BY100" s="602"/>
      <c r="BZ100" s="602"/>
      <c r="CA100"/>
      <c r="CB100" s="607"/>
      <c r="CC100" s="608"/>
      <c r="CD100" s="608"/>
      <c r="CE100" s="608"/>
      <c r="CF100" s="600"/>
    </row>
    <row r="101" spans="2:84" ht="12" customHeight="1" x14ac:dyDescent="0.35">
      <c r="B101" s="590">
        <f>MATCH(C101,'360SpcLdsCSV'!$C$6:$C$500,0)</f>
        <v>45</v>
      </c>
      <c r="C101" s="590" t="str">
        <f>'360SpcLdsCSV'!C50</f>
        <v>L03-308_MfamResiPthp</v>
      </c>
      <c r="D101" s="590" t="str">
        <f t="shared" si="134"/>
        <v>L03</v>
      </c>
      <c r="E101" s="590" t="str">
        <f t="shared" si="135"/>
        <v>Mfam</v>
      </c>
      <c r="F101" s="590" t="str">
        <f t="shared" si="136"/>
        <v>Resi</v>
      </c>
      <c r="G101" s="590" t="str">
        <f t="shared" si="137"/>
        <v>Pthp</v>
      </c>
      <c r="H101" s="590" t="str">
        <f ca="1">OFFSET('360SpcLdsCSV'!$B$5,$B101,H$51)</f>
        <v>Level 3</v>
      </c>
      <c r="I101" s="590" t="str">
        <f ca="1">OFFSET('360SpcLdsCSV'!$B$5,$B101,I$51)</f>
        <v>DirectlyConditioned</v>
      </c>
      <c r="J101" s="590" t="str">
        <f ca="1">OFFSET('360SpcLdsCSV'!$B$5,$B101,J$51)</f>
        <v>Dwelling Unit</v>
      </c>
      <c r="K101" s="590" t="str">
        <f ca="1">OFFSET('360SpcLdsCSV'!$B$5,$B101,K$51)</f>
        <v>Residential</v>
      </c>
      <c r="L101" s="590" t="str">
        <f ca="1">OFFSET('360SpcLdsCSV'!$B$5,$B101,L$51)</f>
        <v>Thermal Zone: L03-308_MfamResiPthp</v>
      </c>
      <c r="M101" s="592">
        <f ca="1">OFFSET('360SpcLdsCSV'!$B$5,$B101,M$51)</f>
        <v>872.66200000000003</v>
      </c>
      <c r="N101" s="592">
        <f ca="1">OFFSET('360SpcLdsCSV'!$B$5,$B101,N$51)</f>
        <v>8726.6200000000008</v>
      </c>
      <c r="O101" s="592">
        <f ca="1">OFFSET('360SpcLdsCSV'!$B$5,$B101,O$51)</f>
        <v>590.9</v>
      </c>
      <c r="P101" s="592">
        <f ca="1">OFFSET('360SpcLdsCSV'!$B$5,$B101,P$51)</f>
        <v>118.2</v>
      </c>
      <c r="Q101" s="592">
        <f ca="1">OFFSET('360SpcLdsCSV'!$B$5,$B101,Q$51)</f>
        <v>0</v>
      </c>
      <c r="R101" s="592">
        <f ca="1">OFFSET('360SpcLdsCSV'!$B$5,$B101,R$51)</f>
        <v>0</v>
      </c>
      <c r="S101" s="592">
        <f ca="1">OFFSET('360SpcLdsCSV'!$B$5,$B101,S$51)</f>
        <v>0</v>
      </c>
      <c r="T101" s="592">
        <f ca="1">OFFSET('360SpcLdsCSV'!$B$5,$B101,T$51)</f>
        <v>0</v>
      </c>
      <c r="U101" s="592">
        <f ca="1">OFFSET('360SpcLdsCSV'!$B$5,$B101,U$51)</f>
        <v>0</v>
      </c>
      <c r="V101" s="592">
        <f ca="1">OFFSET('360SpcLdsCSV'!$B$5,$B101,V$51)</f>
        <v>0</v>
      </c>
      <c r="W101" s="592">
        <f ca="1">OFFSET('360SpcLdsCSV'!$B$5,$B101,W$51)</f>
        <v>0</v>
      </c>
      <c r="X101" s="592">
        <f ca="1">OFFSET('360SpcLdsCSV'!$B$5,$B101,X$51)</f>
        <v>0</v>
      </c>
      <c r="Y101" s="592">
        <f ca="1">OFFSET('360SpcLdsCSV'!$B$5,$B101,Y$51)</f>
        <v>0</v>
      </c>
      <c r="Z101" s="592">
        <f ca="1">OFFSET('360SpcLdsCSV'!$B$5,$B101,Z$51)</f>
        <v>0</v>
      </c>
      <c r="AA101" s="592">
        <f ca="1">OFFSET('360SpcLdsCSV'!$B$5,$B101,AA$51)</f>
        <v>0</v>
      </c>
      <c r="AB101" s="592">
        <f ca="1">OFFSET('360SpcLdsCSV'!$B$5,$B101,AB$51)</f>
        <v>0</v>
      </c>
      <c r="AC101" s="592">
        <f ca="1">OFFSET('360SpcLdsCSV'!$B$5,$B101,AC$51)</f>
        <v>0</v>
      </c>
      <c r="AD101" s="592">
        <f ca="1">OFFSET('360SpcLdsCSV'!$B$5,$B101,AD$51)</f>
        <v>0</v>
      </c>
      <c r="AE101" s="592">
        <f ca="1">OFFSET('360SpcLdsCSV'!$B$5,$B101,AE$51)</f>
        <v>0</v>
      </c>
      <c r="AF101" s="592">
        <f ca="1">OFFSET('360SpcLdsCSV'!$B$5,$B101,AF$51)</f>
        <v>0</v>
      </c>
      <c r="AG101" s="592">
        <f ca="1">OFFSET('360SpcLdsCSV'!$B$5,$B101,AG$51)</f>
        <v>0</v>
      </c>
      <c r="AH101" s="592">
        <f ca="1">OFFSET('360SpcLdsCSV'!$B$5,$B101,AH$51)</f>
        <v>0</v>
      </c>
      <c r="AI101" s="592">
        <f ca="1">OFFSET('360SpcLdsCSV'!$B$5,$B101,AI$51)</f>
        <v>0</v>
      </c>
      <c r="AJ101" s="592" cm="1">
        <f t="array" ref="AJ101">_xlfn.IFS($F101="Resi",1,$F101="Racc",0,$F101="Coml",0,$F101="Prkg",0)</f>
        <v>1</v>
      </c>
      <c r="AK101" s="596"/>
      <c r="AL101" s="590">
        <f ca="1">OFFSET('360SpcLdsCSV'!$B$5,$B101,AL$51)</f>
        <v>3</v>
      </c>
      <c r="AM101" s="663">
        <f t="shared" ca="1" si="110"/>
        <v>1</v>
      </c>
      <c r="AN101" s="663">
        <f t="shared" ca="1" si="111"/>
        <v>1</v>
      </c>
      <c r="AO101" s="663">
        <f t="shared" ca="1" si="138"/>
        <v>2617.9859999999999</v>
      </c>
      <c r="AP101" s="663">
        <f t="shared" ca="1" si="112"/>
        <v>26179.86</v>
      </c>
      <c r="AQ101" s="663">
        <f t="shared" ca="1" si="113"/>
        <v>1772.6999999999998</v>
      </c>
      <c r="AR101" s="663">
        <f t="shared" ca="1" si="114"/>
        <v>354.6</v>
      </c>
      <c r="AS101" s="663">
        <f t="shared" ca="1" si="115"/>
        <v>0</v>
      </c>
      <c r="AT101" s="663">
        <f t="shared" ca="1" si="116"/>
        <v>0</v>
      </c>
      <c r="AU101" s="663">
        <f t="shared" ca="1" si="117"/>
        <v>0</v>
      </c>
      <c r="AV101" s="663">
        <f t="shared" ca="1" si="118"/>
        <v>0</v>
      </c>
      <c r="AW101" s="663">
        <f t="shared" ca="1" si="119"/>
        <v>0</v>
      </c>
      <c r="AX101" s="663">
        <f t="shared" ca="1" si="120"/>
        <v>0</v>
      </c>
      <c r="AY101" s="663">
        <f t="shared" ca="1" si="121"/>
        <v>0</v>
      </c>
      <c r="AZ101" s="663">
        <f t="shared" ca="1" si="122"/>
        <v>0</v>
      </c>
      <c r="BA101" s="663">
        <f t="shared" ca="1" si="123"/>
        <v>0</v>
      </c>
      <c r="BB101" s="663">
        <f t="shared" ca="1" si="124"/>
        <v>0</v>
      </c>
      <c r="BC101" s="663">
        <f t="shared" ca="1" si="125"/>
        <v>0</v>
      </c>
      <c r="BD101" s="663">
        <f t="shared" ca="1" si="126"/>
        <v>0</v>
      </c>
      <c r="BE101" s="663">
        <f t="shared" ca="1" si="127"/>
        <v>0</v>
      </c>
      <c r="BF101" s="663">
        <f t="shared" ca="1" si="128"/>
        <v>0</v>
      </c>
      <c r="BG101" s="663">
        <f t="shared" ca="1" si="129"/>
        <v>0</v>
      </c>
      <c r="BH101" s="663">
        <f t="shared" ca="1" si="130"/>
        <v>0</v>
      </c>
      <c r="BI101" s="663">
        <f t="shared" ca="1" si="131"/>
        <v>0</v>
      </c>
      <c r="BJ101" s="663">
        <f t="shared" ca="1" si="132"/>
        <v>0</v>
      </c>
      <c r="BK101" s="663">
        <f t="shared" ca="1" si="133"/>
        <v>0</v>
      </c>
      <c r="BL101" s="1918"/>
      <c r="BM101" s="1532"/>
      <c r="BN101" s="1919"/>
      <c r="BO101" s="600"/>
      <c r="BP101" s="601"/>
      <c r="BS101" s="603"/>
      <c r="BT101" s="602"/>
      <c r="BU101" s="602"/>
      <c r="BV101" s="602"/>
      <c r="BW101" s="604"/>
      <c r="BX101" s="605"/>
      <c r="BY101" s="602"/>
      <c r="BZ101" s="602"/>
      <c r="CA101"/>
      <c r="CB101" s="607"/>
      <c r="CC101" s="608"/>
      <c r="CD101" s="608"/>
      <c r="CE101" s="608"/>
      <c r="CF101" s="600"/>
    </row>
    <row r="102" spans="2:84" ht="12" customHeight="1" x14ac:dyDescent="0.35">
      <c r="B102" s="590">
        <f>MATCH(C102,'360SpcLdsCSV'!$C$6:$C$500,0)</f>
        <v>46</v>
      </c>
      <c r="C102" s="590" t="str">
        <f>'360SpcLdsCSV'!C51</f>
        <v>L03-309_MfamResiPthp</v>
      </c>
      <c r="D102" s="590" t="str">
        <f t="shared" si="134"/>
        <v>L03</v>
      </c>
      <c r="E102" s="590" t="str">
        <f t="shared" si="135"/>
        <v>Mfam</v>
      </c>
      <c r="F102" s="590" t="str">
        <f t="shared" si="136"/>
        <v>Resi</v>
      </c>
      <c r="G102" s="590" t="str">
        <f t="shared" si="137"/>
        <v>Pthp</v>
      </c>
      <c r="H102" s="590" t="str">
        <f ca="1">OFFSET('360SpcLdsCSV'!$B$5,$B102,H$51)</f>
        <v>Level 3</v>
      </c>
      <c r="I102" s="590" t="str">
        <f ca="1">OFFSET('360SpcLdsCSV'!$B$5,$B102,I$51)</f>
        <v>DirectlyConditioned</v>
      </c>
      <c r="J102" s="590" t="str">
        <f ca="1">OFFSET('360SpcLdsCSV'!$B$5,$B102,J$51)</f>
        <v>Dwelling Unit</v>
      </c>
      <c r="K102" s="590" t="str">
        <f ca="1">OFFSET('360SpcLdsCSV'!$B$5,$B102,K$51)</f>
        <v>Residential</v>
      </c>
      <c r="L102" s="590" t="str">
        <f ca="1">OFFSET('360SpcLdsCSV'!$B$5,$B102,L$51)</f>
        <v>Thermal Zone: L03-309_MfamResiPthp</v>
      </c>
      <c r="M102" s="592">
        <f ca="1">OFFSET('360SpcLdsCSV'!$B$5,$B102,M$51)</f>
        <v>1347.52</v>
      </c>
      <c r="N102" s="592">
        <f ca="1">OFFSET('360SpcLdsCSV'!$B$5,$B102,N$51)</f>
        <v>13475.2</v>
      </c>
      <c r="O102" s="592">
        <f ca="1">OFFSET('360SpcLdsCSV'!$B$5,$B102,O$51)</f>
        <v>858.4</v>
      </c>
      <c r="P102" s="592">
        <f ca="1">OFFSET('360SpcLdsCSV'!$B$5,$B102,P$51)</f>
        <v>171.7</v>
      </c>
      <c r="Q102" s="592">
        <f ca="1">OFFSET('360SpcLdsCSV'!$B$5,$B102,Q$51)</f>
        <v>0</v>
      </c>
      <c r="R102" s="592">
        <f ca="1">OFFSET('360SpcLdsCSV'!$B$5,$B102,R$51)</f>
        <v>0</v>
      </c>
      <c r="S102" s="592">
        <f ca="1">OFFSET('360SpcLdsCSV'!$B$5,$B102,S$51)</f>
        <v>0</v>
      </c>
      <c r="T102" s="592">
        <f ca="1">OFFSET('360SpcLdsCSV'!$B$5,$B102,T$51)</f>
        <v>0</v>
      </c>
      <c r="U102" s="592">
        <f ca="1">OFFSET('360SpcLdsCSV'!$B$5,$B102,U$51)</f>
        <v>0</v>
      </c>
      <c r="V102" s="592">
        <f ca="1">OFFSET('360SpcLdsCSV'!$B$5,$B102,V$51)</f>
        <v>0</v>
      </c>
      <c r="W102" s="592">
        <f ca="1">OFFSET('360SpcLdsCSV'!$B$5,$B102,W$51)</f>
        <v>0</v>
      </c>
      <c r="X102" s="592">
        <f ca="1">OFFSET('360SpcLdsCSV'!$B$5,$B102,X$51)</f>
        <v>0</v>
      </c>
      <c r="Y102" s="592">
        <f ca="1">OFFSET('360SpcLdsCSV'!$B$5,$B102,Y$51)</f>
        <v>0</v>
      </c>
      <c r="Z102" s="592">
        <f ca="1">OFFSET('360SpcLdsCSV'!$B$5,$B102,Z$51)</f>
        <v>0</v>
      </c>
      <c r="AA102" s="592">
        <f ca="1">OFFSET('360SpcLdsCSV'!$B$5,$B102,AA$51)</f>
        <v>0</v>
      </c>
      <c r="AB102" s="592">
        <f ca="1">OFFSET('360SpcLdsCSV'!$B$5,$B102,AB$51)</f>
        <v>0</v>
      </c>
      <c r="AC102" s="592">
        <f ca="1">OFFSET('360SpcLdsCSV'!$B$5,$B102,AC$51)</f>
        <v>0</v>
      </c>
      <c r="AD102" s="592">
        <f ca="1">OFFSET('360SpcLdsCSV'!$B$5,$B102,AD$51)</f>
        <v>0</v>
      </c>
      <c r="AE102" s="592">
        <f ca="1">OFFSET('360SpcLdsCSV'!$B$5,$B102,AE$51)</f>
        <v>0</v>
      </c>
      <c r="AF102" s="592">
        <f ca="1">OFFSET('360SpcLdsCSV'!$B$5,$B102,AF$51)</f>
        <v>0</v>
      </c>
      <c r="AG102" s="592">
        <f ca="1">OFFSET('360SpcLdsCSV'!$B$5,$B102,AG$51)</f>
        <v>0</v>
      </c>
      <c r="AH102" s="592">
        <f ca="1">OFFSET('360SpcLdsCSV'!$B$5,$B102,AH$51)</f>
        <v>0</v>
      </c>
      <c r="AI102" s="592">
        <f ca="1">OFFSET('360SpcLdsCSV'!$B$5,$B102,AI$51)</f>
        <v>0</v>
      </c>
      <c r="AJ102" s="592" cm="1">
        <f t="array" ref="AJ102">_xlfn.IFS($F102="Resi",1,$F102="Racc",0,$F102="Coml",0,$F102="Prkg",0)</f>
        <v>1</v>
      </c>
      <c r="AK102" s="596"/>
      <c r="AL102" s="590">
        <f ca="1">OFFSET('360SpcLdsCSV'!$B$5,$B102,AL$51)</f>
        <v>3</v>
      </c>
      <c r="AM102" s="663">
        <f t="shared" ca="1" si="110"/>
        <v>1</v>
      </c>
      <c r="AN102" s="663">
        <f t="shared" ca="1" si="111"/>
        <v>1</v>
      </c>
      <c r="AO102" s="663">
        <f t="shared" ca="1" si="138"/>
        <v>4042.56</v>
      </c>
      <c r="AP102" s="663">
        <f t="shared" ca="1" si="112"/>
        <v>40425.600000000006</v>
      </c>
      <c r="AQ102" s="663">
        <f t="shared" ca="1" si="113"/>
        <v>2575.1999999999998</v>
      </c>
      <c r="AR102" s="663">
        <f t="shared" ca="1" si="114"/>
        <v>515.09999999999991</v>
      </c>
      <c r="AS102" s="663">
        <f t="shared" ca="1" si="115"/>
        <v>0</v>
      </c>
      <c r="AT102" s="663">
        <f t="shared" ca="1" si="116"/>
        <v>0</v>
      </c>
      <c r="AU102" s="663">
        <f t="shared" ca="1" si="117"/>
        <v>0</v>
      </c>
      <c r="AV102" s="663">
        <f t="shared" ca="1" si="118"/>
        <v>0</v>
      </c>
      <c r="AW102" s="663">
        <f t="shared" ca="1" si="119"/>
        <v>0</v>
      </c>
      <c r="AX102" s="663">
        <f t="shared" ca="1" si="120"/>
        <v>0</v>
      </c>
      <c r="AY102" s="663">
        <f t="shared" ca="1" si="121"/>
        <v>0</v>
      </c>
      <c r="AZ102" s="663">
        <f t="shared" ca="1" si="122"/>
        <v>0</v>
      </c>
      <c r="BA102" s="663">
        <f t="shared" ca="1" si="123"/>
        <v>0</v>
      </c>
      <c r="BB102" s="663">
        <f t="shared" ca="1" si="124"/>
        <v>0</v>
      </c>
      <c r="BC102" s="663">
        <f t="shared" ca="1" si="125"/>
        <v>0</v>
      </c>
      <c r="BD102" s="663">
        <f t="shared" ca="1" si="126"/>
        <v>0</v>
      </c>
      <c r="BE102" s="663">
        <f t="shared" ca="1" si="127"/>
        <v>0</v>
      </c>
      <c r="BF102" s="663">
        <f t="shared" ca="1" si="128"/>
        <v>0</v>
      </c>
      <c r="BG102" s="663">
        <f t="shared" ca="1" si="129"/>
        <v>0</v>
      </c>
      <c r="BH102" s="663">
        <f t="shared" ca="1" si="130"/>
        <v>0</v>
      </c>
      <c r="BI102" s="663">
        <f t="shared" ca="1" si="131"/>
        <v>0</v>
      </c>
      <c r="BJ102" s="663">
        <f t="shared" ca="1" si="132"/>
        <v>0</v>
      </c>
      <c r="BK102" s="663">
        <f t="shared" ca="1" si="133"/>
        <v>0</v>
      </c>
      <c r="BL102" s="1918"/>
      <c r="BM102" s="1532"/>
      <c r="BN102" s="1919"/>
      <c r="BO102" s="600"/>
      <c r="BP102" s="601"/>
      <c r="BS102" s="603"/>
      <c r="BT102" s="602"/>
      <c r="BU102" s="602"/>
      <c r="BV102" s="602"/>
      <c r="BW102" s="604"/>
      <c r="BX102" s="605"/>
      <c r="BY102" s="602"/>
      <c r="BZ102" s="602"/>
      <c r="CA102"/>
      <c r="CB102" s="607"/>
      <c r="CC102" s="608"/>
      <c r="CD102" s="608"/>
      <c r="CE102" s="608"/>
      <c r="CF102" s="600"/>
    </row>
    <row r="103" spans="2:84" ht="12" customHeight="1" x14ac:dyDescent="0.35">
      <c r="B103" s="590">
        <f>MATCH(C103,'360SpcLdsCSV'!$C$6:$C$500,0)</f>
        <v>47</v>
      </c>
      <c r="C103" s="590" t="str">
        <f>'360SpcLdsCSV'!C52</f>
        <v>L03-310_LndyRaccBbrd</v>
      </c>
      <c r="D103" s="590" t="str">
        <f t="shared" si="134"/>
        <v>L03</v>
      </c>
      <c r="E103" s="590" t="str">
        <f t="shared" si="135"/>
        <v>Lndy</v>
      </c>
      <c r="F103" s="590" t="str">
        <f t="shared" si="136"/>
        <v>Racc</v>
      </c>
      <c r="G103" s="590" t="str">
        <f t="shared" si="137"/>
        <v>Bbrd</v>
      </c>
      <c r="H103" s="590" t="str">
        <f ca="1">OFFSET('360SpcLdsCSV'!$B$5,$B103,H$51)</f>
        <v>Level 3</v>
      </c>
      <c r="I103" s="590" t="str">
        <f ca="1">OFFSET('360SpcLdsCSV'!$B$5,$B103,I$51)</f>
        <v>DirectlyConditioned</v>
      </c>
      <c r="J103" s="590" t="str">
        <f ca="1">OFFSET('360SpcLdsCSV'!$B$5,$B103,J$51)</f>
        <v>Laundry/Washing Area</v>
      </c>
      <c r="K103" s="590" t="str">
        <f ca="1">OFFSET('360SpcLdsCSV'!$B$5,$B103,K$51)</f>
        <v>Nonresidential</v>
      </c>
      <c r="L103" s="590" t="str">
        <f ca="1">OFFSET('360SpcLdsCSV'!$B$5,$B103,L$51)</f>
        <v>Thermal Zone: L03-310_LndyRaccBbrd</v>
      </c>
      <c r="M103" s="592">
        <f ca="1">OFFSET('360SpcLdsCSV'!$B$5,$B103,M$51)</f>
        <v>272.42880000000002</v>
      </c>
      <c r="N103" s="592">
        <f ca="1">OFFSET('360SpcLdsCSV'!$B$5,$B103,N$51)</f>
        <v>2724.29</v>
      </c>
      <c r="O103" s="592">
        <f ca="1">OFFSET('360SpcLdsCSV'!$B$5,$B103,O$51)</f>
        <v>0</v>
      </c>
      <c r="P103" s="592">
        <f ca="1">OFFSET('360SpcLdsCSV'!$B$5,$B103,P$51)</f>
        <v>0</v>
      </c>
      <c r="Q103" s="592">
        <f ca="1">OFFSET('360SpcLdsCSV'!$B$5,$B103,Q$51)</f>
        <v>65</v>
      </c>
      <c r="R103" s="592">
        <f ca="1">OFFSET('360SpcLdsCSV'!$B$5,$B103,R$51)</f>
        <v>13</v>
      </c>
      <c r="S103" s="592">
        <f ca="1">OFFSET('360SpcLdsCSV'!$B$5,$B103,S$51)</f>
        <v>0</v>
      </c>
      <c r="T103" s="592">
        <f ca="1">OFFSET('360SpcLdsCSV'!$B$5,$B103,T$51)</f>
        <v>0</v>
      </c>
      <c r="U103" s="592">
        <f ca="1">OFFSET('360SpcLdsCSV'!$B$5,$B103,U$51)</f>
        <v>0</v>
      </c>
      <c r="V103" s="592">
        <f ca="1">OFFSET('360SpcLdsCSV'!$B$5,$B103,V$51)</f>
        <v>0</v>
      </c>
      <c r="W103" s="592">
        <f ca="1">OFFSET('360SpcLdsCSV'!$B$5,$B103,W$51)</f>
        <v>0</v>
      </c>
      <c r="X103" s="592">
        <f ca="1">OFFSET('360SpcLdsCSV'!$B$5,$B103,X$51)</f>
        <v>0</v>
      </c>
      <c r="Y103" s="592">
        <f ca="1">OFFSET('360SpcLdsCSV'!$B$5,$B103,Y$51)</f>
        <v>0</v>
      </c>
      <c r="Z103" s="592">
        <f ca="1">OFFSET('360SpcLdsCSV'!$B$5,$B103,Z$51)</f>
        <v>0</v>
      </c>
      <c r="AA103" s="592">
        <f ca="1">OFFSET('360SpcLdsCSV'!$B$5,$B103,AA$51)</f>
        <v>0</v>
      </c>
      <c r="AB103" s="592">
        <f ca="1">OFFSET('360SpcLdsCSV'!$B$5,$B103,AB$51)</f>
        <v>0</v>
      </c>
      <c r="AC103" s="592">
        <f ca="1">OFFSET('360SpcLdsCSV'!$B$5,$B103,AC$51)</f>
        <v>0</v>
      </c>
      <c r="AD103" s="592">
        <f ca="1">OFFSET('360SpcLdsCSV'!$B$5,$B103,AD$51)</f>
        <v>0</v>
      </c>
      <c r="AE103" s="592">
        <f ca="1">OFFSET('360SpcLdsCSV'!$B$5,$B103,AE$51)</f>
        <v>0</v>
      </c>
      <c r="AF103" s="592">
        <f ca="1">OFFSET('360SpcLdsCSV'!$B$5,$B103,AF$51)</f>
        <v>0</v>
      </c>
      <c r="AG103" s="592">
        <f ca="1">OFFSET('360SpcLdsCSV'!$B$5,$B103,AG$51)</f>
        <v>0</v>
      </c>
      <c r="AH103" s="592">
        <f ca="1">OFFSET('360SpcLdsCSV'!$B$5,$B103,AH$51)</f>
        <v>0</v>
      </c>
      <c r="AI103" s="592">
        <f ca="1">OFFSET('360SpcLdsCSV'!$B$5,$B103,AI$51)</f>
        <v>0</v>
      </c>
      <c r="AJ103" s="592" cm="1">
        <f t="array" ref="AJ103">_xlfn.IFS($F103="Resi",1,$F103="Racc",0,$F103="Coml",0,$F103="Prkg",0)</f>
        <v>0</v>
      </c>
      <c r="AK103" s="596"/>
      <c r="AL103" s="590">
        <f ca="1">OFFSET('360SpcLdsCSV'!$B$5,$B103,AL$51)</f>
        <v>3</v>
      </c>
      <c r="AM103" s="663">
        <f t="shared" ca="1" si="110"/>
        <v>1</v>
      </c>
      <c r="AN103" s="663">
        <f t="shared" ca="1" si="111"/>
        <v>0</v>
      </c>
      <c r="AO103" s="663">
        <f t="shared" ca="1" si="138"/>
        <v>817.28640000000007</v>
      </c>
      <c r="AP103" s="663">
        <f t="shared" ca="1" si="112"/>
        <v>8172.87</v>
      </c>
      <c r="AQ103" s="663">
        <f t="shared" ca="1" si="113"/>
        <v>0</v>
      </c>
      <c r="AR103" s="663">
        <f t="shared" ca="1" si="114"/>
        <v>0</v>
      </c>
      <c r="AS103" s="663">
        <f t="shared" ca="1" si="115"/>
        <v>195</v>
      </c>
      <c r="AT103" s="663">
        <f t="shared" ca="1" si="116"/>
        <v>39</v>
      </c>
      <c r="AU103" s="663">
        <f t="shared" ca="1" si="117"/>
        <v>0</v>
      </c>
      <c r="AV103" s="663">
        <f t="shared" ca="1" si="118"/>
        <v>0</v>
      </c>
      <c r="AW103" s="663">
        <f t="shared" ca="1" si="119"/>
        <v>0</v>
      </c>
      <c r="AX103" s="663">
        <f t="shared" ca="1" si="120"/>
        <v>0</v>
      </c>
      <c r="AY103" s="663">
        <f t="shared" ca="1" si="121"/>
        <v>0</v>
      </c>
      <c r="AZ103" s="663">
        <f t="shared" ca="1" si="122"/>
        <v>0</v>
      </c>
      <c r="BA103" s="663">
        <f t="shared" ca="1" si="123"/>
        <v>0</v>
      </c>
      <c r="BB103" s="663">
        <f t="shared" ca="1" si="124"/>
        <v>0</v>
      </c>
      <c r="BC103" s="663">
        <f t="shared" ca="1" si="125"/>
        <v>0</v>
      </c>
      <c r="BD103" s="663">
        <f t="shared" ca="1" si="126"/>
        <v>0</v>
      </c>
      <c r="BE103" s="663">
        <f t="shared" ca="1" si="127"/>
        <v>0</v>
      </c>
      <c r="BF103" s="663">
        <f t="shared" ca="1" si="128"/>
        <v>0</v>
      </c>
      <c r="BG103" s="663">
        <f t="shared" ca="1" si="129"/>
        <v>0</v>
      </c>
      <c r="BH103" s="663">
        <f t="shared" ca="1" si="130"/>
        <v>0</v>
      </c>
      <c r="BI103" s="663">
        <f t="shared" ca="1" si="131"/>
        <v>0</v>
      </c>
      <c r="BJ103" s="663">
        <f t="shared" ca="1" si="132"/>
        <v>0</v>
      </c>
      <c r="BK103" s="663">
        <f t="shared" ca="1" si="133"/>
        <v>0</v>
      </c>
      <c r="BL103" s="1918"/>
      <c r="BM103" s="1532"/>
      <c r="BN103" s="1919"/>
      <c r="BO103" s="600"/>
      <c r="BP103" s="601"/>
      <c r="BS103" s="603"/>
      <c r="BT103" s="602"/>
      <c r="BU103" s="602"/>
      <c r="BV103" s="602"/>
      <c r="BW103" s="604"/>
      <c r="BX103" s="605"/>
      <c r="BY103" s="602"/>
      <c r="BZ103" s="602"/>
      <c r="CA103"/>
      <c r="CB103" s="607"/>
      <c r="CC103" s="608"/>
      <c r="CD103" s="608"/>
      <c r="CE103" s="608"/>
      <c r="CF103" s="600"/>
    </row>
    <row r="104" spans="2:84" ht="12" customHeight="1" x14ac:dyDescent="0.35">
      <c r="B104" s="590">
        <f>MATCH(C104,'360SpcLdsCSV'!$C$6:$C$500,0)</f>
        <v>48</v>
      </c>
      <c r="C104" s="590" t="str">
        <f>'360SpcLdsCSV'!C53</f>
        <v>L03-311_ElevRaccIncd</v>
      </c>
      <c r="D104" s="590" t="str">
        <f t="shared" si="134"/>
        <v>L03</v>
      </c>
      <c r="E104" s="590" t="str">
        <f t="shared" si="135"/>
        <v>Elev</v>
      </c>
      <c r="F104" s="590" t="str">
        <f t="shared" si="136"/>
        <v>Racc</v>
      </c>
      <c r="G104" s="590" t="str">
        <f t="shared" si="137"/>
        <v>Incd</v>
      </c>
      <c r="H104" s="590" t="str">
        <f ca="1">OFFSET('360SpcLdsCSV'!$B$5,$B104,H$51)</f>
        <v>Level 3</v>
      </c>
      <c r="I104" s="590" t="str">
        <f ca="1">OFFSET('360SpcLdsCSV'!$B$5,$B104,I$51)</f>
        <v>IndirectlyConditioned</v>
      </c>
      <c r="J104" s="590" t="str">
        <f ca="1">OFFSET('360SpcLdsCSV'!$B$5,$B104,J$51)</f>
        <v>Unoccupied-Include in Gross Floor Area</v>
      </c>
      <c r="K104" s="590" t="str">
        <f ca="1">OFFSET('360SpcLdsCSV'!$B$5,$B104,K$51)</f>
        <v>Residential</v>
      </c>
      <c r="L104" s="590" t="str">
        <f ca="1">OFFSET('360SpcLdsCSV'!$B$5,$B104,L$51)</f>
        <v>Thermal Zone: L03-300_CorrRaccSphp</v>
      </c>
      <c r="M104" s="592">
        <f ca="1">OFFSET('360SpcLdsCSV'!$B$5,$B104,M$51)</f>
        <v>211.21340000000001</v>
      </c>
      <c r="N104" s="592">
        <f ca="1">OFFSET('360SpcLdsCSV'!$B$5,$B104,N$51)</f>
        <v>2112.13</v>
      </c>
      <c r="O104" s="592">
        <f ca="1">OFFSET('360SpcLdsCSV'!$B$5,$B104,O$51)</f>
        <v>0</v>
      </c>
      <c r="P104" s="592">
        <f ca="1">OFFSET('360SpcLdsCSV'!$B$5,$B104,P$51)</f>
        <v>0</v>
      </c>
      <c r="Q104" s="592">
        <f ca="1">OFFSET('360SpcLdsCSV'!$B$5,$B104,Q$51)</f>
        <v>0</v>
      </c>
      <c r="R104" s="592">
        <f ca="1">OFFSET('360SpcLdsCSV'!$B$5,$B104,R$51)</f>
        <v>0</v>
      </c>
      <c r="S104" s="592">
        <f ca="1">OFFSET('360SpcLdsCSV'!$B$5,$B104,S$51)</f>
        <v>0</v>
      </c>
      <c r="T104" s="592">
        <f ca="1">OFFSET('360SpcLdsCSV'!$B$5,$B104,T$51)</f>
        <v>0</v>
      </c>
      <c r="U104" s="592">
        <f ca="1">OFFSET('360SpcLdsCSV'!$B$5,$B104,U$51)</f>
        <v>0</v>
      </c>
      <c r="V104" s="592">
        <f ca="1">OFFSET('360SpcLdsCSV'!$B$5,$B104,V$51)</f>
        <v>0</v>
      </c>
      <c r="W104" s="592">
        <f ca="1">OFFSET('360SpcLdsCSV'!$B$5,$B104,W$51)</f>
        <v>0</v>
      </c>
      <c r="X104" s="592">
        <f ca="1">OFFSET('360SpcLdsCSV'!$B$5,$B104,X$51)</f>
        <v>0</v>
      </c>
      <c r="Y104" s="592">
        <f ca="1">OFFSET('360SpcLdsCSV'!$B$5,$B104,Y$51)</f>
        <v>0</v>
      </c>
      <c r="Z104" s="592">
        <f ca="1">OFFSET('360SpcLdsCSV'!$B$5,$B104,Z$51)</f>
        <v>0</v>
      </c>
      <c r="AA104" s="592">
        <f ca="1">OFFSET('360SpcLdsCSV'!$B$5,$B104,AA$51)</f>
        <v>0</v>
      </c>
      <c r="AB104" s="592">
        <f ca="1">OFFSET('360SpcLdsCSV'!$B$5,$B104,AB$51)</f>
        <v>0</v>
      </c>
      <c r="AC104" s="592">
        <f ca="1">OFFSET('360SpcLdsCSV'!$B$5,$B104,AC$51)</f>
        <v>0</v>
      </c>
      <c r="AD104" s="592">
        <f ca="1">OFFSET('360SpcLdsCSV'!$B$5,$B104,AD$51)</f>
        <v>0</v>
      </c>
      <c r="AE104" s="592">
        <f ca="1">OFFSET('360SpcLdsCSV'!$B$5,$B104,AE$51)</f>
        <v>0</v>
      </c>
      <c r="AF104" s="592">
        <f ca="1">OFFSET('360SpcLdsCSV'!$B$5,$B104,AF$51)</f>
        <v>0</v>
      </c>
      <c r="AG104" s="592">
        <f ca="1">OFFSET('360SpcLdsCSV'!$B$5,$B104,AG$51)</f>
        <v>0</v>
      </c>
      <c r="AH104" s="592">
        <f ca="1">OFFSET('360SpcLdsCSV'!$B$5,$B104,AH$51)</f>
        <v>0</v>
      </c>
      <c r="AI104" s="592">
        <f ca="1">OFFSET('360SpcLdsCSV'!$B$5,$B104,AI$51)</f>
        <v>0</v>
      </c>
      <c r="AJ104" s="592" cm="1">
        <f t="array" ref="AJ104">_xlfn.IFS($F104="Resi",1,$F104="Racc",0,$F104="Coml",0,$F104="Prkg",0)</f>
        <v>0</v>
      </c>
      <c r="AK104" s="596"/>
      <c r="AL104" s="590">
        <f ca="1">OFFSET('360SpcLdsCSV'!$B$5,$B104,AL$51)</f>
        <v>3</v>
      </c>
      <c r="AM104" s="663">
        <f t="shared" ca="1" si="110"/>
        <v>1</v>
      </c>
      <c r="AN104" s="663">
        <f t="shared" ca="1" si="111"/>
        <v>1</v>
      </c>
      <c r="AO104" s="663">
        <f t="shared" ca="1" si="138"/>
        <v>633.64020000000005</v>
      </c>
      <c r="AP104" s="663">
        <f t="shared" ca="1" si="112"/>
        <v>6336.39</v>
      </c>
      <c r="AQ104" s="663">
        <f t="shared" ca="1" si="113"/>
        <v>0</v>
      </c>
      <c r="AR104" s="663">
        <f t="shared" ca="1" si="114"/>
        <v>0</v>
      </c>
      <c r="AS104" s="663">
        <f t="shared" ca="1" si="115"/>
        <v>0</v>
      </c>
      <c r="AT104" s="663">
        <f t="shared" ca="1" si="116"/>
        <v>0</v>
      </c>
      <c r="AU104" s="663">
        <f t="shared" ca="1" si="117"/>
        <v>0</v>
      </c>
      <c r="AV104" s="663">
        <f t="shared" ca="1" si="118"/>
        <v>0</v>
      </c>
      <c r="AW104" s="663">
        <f t="shared" ca="1" si="119"/>
        <v>0</v>
      </c>
      <c r="AX104" s="663">
        <f t="shared" ca="1" si="120"/>
        <v>0</v>
      </c>
      <c r="AY104" s="663">
        <f t="shared" ca="1" si="121"/>
        <v>0</v>
      </c>
      <c r="AZ104" s="663">
        <f t="shared" ca="1" si="122"/>
        <v>0</v>
      </c>
      <c r="BA104" s="663">
        <f t="shared" ca="1" si="123"/>
        <v>0</v>
      </c>
      <c r="BB104" s="663">
        <f t="shared" ca="1" si="124"/>
        <v>0</v>
      </c>
      <c r="BC104" s="663">
        <f t="shared" ca="1" si="125"/>
        <v>0</v>
      </c>
      <c r="BD104" s="663">
        <f t="shared" ca="1" si="126"/>
        <v>0</v>
      </c>
      <c r="BE104" s="663">
        <f t="shared" ca="1" si="127"/>
        <v>0</v>
      </c>
      <c r="BF104" s="663">
        <f t="shared" ca="1" si="128"/>
        <v>0</v>
      </c>
      <c r="BG104" s="663">
        <f t="shared" ca="1" si="129"/>
        <v>0</v>
      </c>
      <c r="BH104" s="663">
        <f t="shared" ca="1" si="130"/>
        <v>0</v>
      </c>
      <c r="BI104" s="663">
        <f t="shared" ca="1" si="131"/>
        <v>0</v>
      </c>
      <c r="BJ104" s="663">
        <f t="shared" ca="1" si="132"/>
        <v>0</v>
      </c>
      <c r="BK104" s="663">
        <f t="shared" ca="1" si="133"/>
        <v>0</v>
      </c>
      <c r="BL104" s="1918"/>
      <c r="BM104" s="1532"/>
      <c r="BN104" s="1919"/>
      <c r="BO104" s="600"/>
      <c r="BP104" s="601"/>
      <c r="BS104" s="603"/>
      <c r="BT104" s="602"/>
      <c r="BU104" s="602"/>
      <c r="BV104" s="602"/>
      <c r="BW104" s="604"/>
      <c r="BX104" s="605"/>
      <c r="BY104" s="602"/>
      <c r="BZ104" s="602"/>
      <c r="CA104"/>
      <c r="CB104" s="607"/>
      <c r="CC104" s="608"/>
      <c r="CD104" s="608"/>
      <c r="CE104" s="608"/>
      <c r="CF104" s="600"/>
    </row>
    <row r="105" spans="2:84" ht="12" customHeight="1" x14ac:dyDescent="0.35">
      <c r="B105" s="590">
        <f>MATCH(C105,'360SpcLdsCSV'!$C$6:$C$500,0)</f>
        <v>49</v>
      </c>
      <c r="C105" s="590" t="str">
        <f>'360SpcLdsCSV'!C54</f>
        <v>L03-312_StrsRaccIncd</v>
      </c>
      <c r="D105" s="590" t="str">
        <f t="shared" si="134"/>
        <v>L03</v>
      </c>
      <c r="E105" s="590" t="str">
        <f t="shared" si="135"/>
        <v>Strs</v>
      </c>
      <c r="F105" s="590" t="str">
        <f t="shared" si="136"/>
        <v>Racc</v>
      </c>
      <c r="G105" s="590" t="str">
        <f t="shared" si="137"/>
        <v>Incd</v>
      </c>
      <c r="H105" s="590" t="str">
        <f ca="1">OFFSET('360SpcLdsCSV'!$B$5,$B105,H$51)</f>
        <v>Level 3</v>
      </c>
      <c r="I105" s="590" t="str">
        <f ca="1">OFFSET('360SpcLdsCSV'!$B$5,$B105,I$51)</f>
        <v>IndirectlyConditioned</v>
      </c>
      <c r="J105" s="590" t="str">
        <f ca="1">OFFSET('360SpcLdsCSV'!$B$5,$B105,J$51)</f>
        <v>Stairwell</v>
      </c>
      <c r="K105" s="590" t="str">
        <f ca="1">OFFSET('360SpcLdsCSV'!$B$5,$B105,K$51)</f>
        <v>Nonresidential</v>
      </c>
      <c r="L105" s="590" t="str">
        <f ca="1">OFFSET('360SpcLdsCSV'!$B$5,$B105,L$51)</f>
        <v>Thermal Zone: L03-300_CorrRaccSphp</v>
      </c>
      <c r="M105" s="592">
        <f ca="1">OFFSET('360SpcLdsCSV'!$B$5,$B105,M$51)</f>
        <v>236.34819999999999</v>
      </c>
      <c r="N105" s="592">
        <f ca="1">OFFSET('360SpcLdsCSV'!$B$5,$B105,N$51)</f>
        <v>2363.48</v>
      </c>
      <c r="O105" s="592">
        <f ca="1">OFFSET('360SpcLdsCSV'!$B$5,$B105,O$51)</f>
        <v>0</v>
      </c>
      <c r="P105" s="592">
        <f ca="1">OFFSET('360SpcLdsCSV'!$B$5,$B105,P$51)</f>
        <v>0</v>
      </c>
      <c r="Q105" s="592">
        <f ca="1">OFFSET('360SpcLdsCSV'!$B$5,$B105,Q$51)</f>
        <v>0</v>
      </c>
      <c r="R105" s="592">
        <f ca="1">OFFSET('360SpcLdsCSV'!$B$5,$B105,R$51)</f>
        <v>0</v>
      </c>
      <c r="S105" s="592">
        <f ca="1">OFFSET('360SpcLdsCSV'!$B$5,$B105,S$51)</f>
        <v>0</v>
      </c>
      <c r="T105" s="592">
        <f ca="1">OFFSET('360SpcLdsCSV'!$B$5,$B105,T$51)</f>
        <v>0</v>
      </c>
      <c r="U105" s="592">
        <f ca="1">OFFSET('360SpcLdsCSV'!$B$5,$B105,U$51)</f>
        <v>0</v>
      </c>
      <c r="V105" s="592">
        <f ca="1">OFFSET('360SpcLdsCSV'!$B$5,$B105,V$51)</f>
        <v>0</v>
      </c>
      <c r="W105" s="592">
        <f ca="1">OFFSET('360SpcLdsCSV'!$B$5,$B105,W$51)</f>
        <v>0</v>
      </c>
      <c r="X105" s="592">
        <f ca="1">OFFSET('360SpcLdsCSV'!$B$5,$B105,X$51)</f>
        <v>0</v>
      </c>
      <c r="Y105" s="592">
        <f ca="1">OFFSET('360SpcLdsCSV'!$B$5,$B105,Y$51)</f>
        <v>0</v>
      </c>
      <c r="Z105" s="592">
        <f ca="1">OFFSET('360SpcLdsCSV'!$B$5,$B105,Z$51)</f>
        <v>0</v>
      </c>
      <c r="AA105" s="592">
        <f ca="1">OFFSET('360SpcLdsCSV'!$B$5,$B105,AA$51)</f>
        <v>0</v>
      </c>
      <c r="AB105" s="592">
        <f ca="1">OFFSET('360SpcLdsCSV'!$B$5,$B105,AB$51)</f>
        <v>0</v>
      </c>
      <c r="AC105" s="592">
        <f ca="1">OFFSET('360SpcLdsCSV'!$B$5,$B105,AC$51)</f>
        <v>0</v>
      </c>
      <c r="AD105" s="592">
        <f ca="1">OFFSET('360SpcLdsCSV'!$B$5,$B105,AD$51)</f>
        <v>0</v>
      </c>
      <c r="AE105" s="592">
        <f ca="1">OFFSET('360SpcLdsCSV'!$B$5,$B105,AE$51)</f>
        <v>0</v>
      </c>
      <c r="AF105" s="592">
        <f ca="1">OFFSET('360SpcLdsCSV'!$B$5,$B105,AF$51)</f>
        <v>0</v>
      </c>
      <c r="AG105" s="592">
        <f ca="1">OFFSET('360SpcLdsCSV'!$B$5,$B105,AG$51)</f>
        <v>0</v>
      </c>
      <c r="AH105" s="592">
        <f ca="1">OFFSET('360SpcLdsCSV'!$B$5,$B105,AH$51)</f>
        <v>0</v>
      </c>
      <c r="AI105" s="592">
        <f ca="1">OFFSET('360SpcLdsCSV'!$B$5,$B105,AI$51)</f>
        <v>0</v>
      </c>
      <c r="AJ105" s="592" cm="1">
        <f t="array" ref="AJ105">_xlfn.IFS($F105="Resi",1,$F105="Racc",0,$F105="Coml",0,$F105="Prkg",0)</f>
        <v>0</v>
      </c>
      <c r="AK105" s="596"/>
      <c r="AL105" s="590">
        <f ca="1">OFFSET('360SpcLdsCSV'!$B$5,$B105,AL$51)</f>
        <v>3</v>
      </c>
      <c r="AM105" s="663">
        <f t="shared" ca="1" si="110"/>
        <v>1</v>
      </c>
      <c r="AN105" s="663">
        <f t="shared" ca="1" si="111"/>
        <v>0</v>
      </c>
      <c r="AO105" s="663">
        <f t="shared" ca="1" si="138"/>
        <v>709.04459999999995</v>
      </c>
      <c r="AP105" s="663">
        <f t="shared" ca="1" si="112"/>
        <v>7090.4400000000005</v>
      </c>
      <c r="AQ105" s="663">
        <f t="shared" ca="1" si="113"/>
        <v>0</v>
      </c>
      <c r="AR105" s="663">
        <f t="shared" ca="1" si="114"/>
        <v>0</v>
      </c>
      <c r="AS105" s="663">
        <f t="shared" ca="1" si="115"/>
        <v>0</v>
      </c>
      <c r="AT105" s="663">
        <f t="shared" ca="1" si="116"/>
        <v>0</v>
      </c>
      <c r="AU105" s="663">
        <f t="shared" ca="1" si="117"/>
        <v>0</v>
      </c>
      <c r="AV105" s="663">
        <f t="shared" ca="1" si="118"/>
        <v>0</v>
      </c>
      <c r="AW105" s="663">
        <f t="shared" ca="1" si="119"/>
        <v>0</v>
      </c>
      <c r="AX105" s="663">
        <f t="shared" ca="1" si="120"/>
        <v>0</v>
      </c>
      <c r="AY105" s="663">
        <f t="shared" ca="1" si="121"/>
        <v>0</v>
      </c>
      <c r="AZ105" s="663">
        <f t="shared" ca="1" si="122"/>
        <v>0</v>
      </c>
      <c r="BA105" s="663">
        <f t="shared" ca="1" si="123"/>
        <v>0</v>
      </c>
      <c r="BB105" s="663">
        <f t="shared" ca="1" si="124"/>
        <v>0</v>
      </c>
      <c r="BC105" s="663">
        <f t="shared" ca="1" si="125"/>
        <v>0</v>
      </c>
      <c r="BD105" s="663">
        <f t="shared" ca="1" si="126"/>
        <v>0</v>
      </c>
      <c r="BE105" s="663">
        <f t="shared" ca="1" si="127"/>
        <v>0</v>
      </c>
      <c r="BF105" s="663">
        <f t="shared" ca="1" si="128"/>
        <v>0</v>
      </c>
      <c r="BG105" s="663">
        <f t="shared" ca="1" si="129"/>
        <v>0</v>
      </c>
      <c r="BH105" s="663">
        <f t="shared" ca="1" si="130"/>
        <v>0</v>
      </c>
      <c r="BI105" s="663">
        <f t="shared" ca="1" si="131"/>
        <v>0</v>
      </c>
      <c r="BJ105" s="663">
        <f t="shared" ca="1" si="132"/>
        <v>0</v>
      </c>
      <c r="BK105" s="663">
        <f t="shared" ca="1" si="133"/>
        <v>0</v>
      </c>
      <c r="BL105" s="1918"/>
      <c r="BM105" s="1532"/>
      <c r="BN105" s="1919"/>
      <c r="BO105" s="600"/>
      <c r="BP105" s="601"/>
      <c r="BS105" s="603"/>
      <c r="BT105" s="602"/>
      <c r="BU105" s="602"/>
      <c r="BV105" s="602"/>
      <c r="BW105" s="604"/>
      <c r="BX105" s="605"/>
      <c r="BY105" s="602"/>
      <c r="BZ105" s="602"/>
      <c r="CA105"/>
      <c r="CB105" s="607"/>
      <c r="CC105" s="608"/>
      <c r="CD105" s="608"/>
      <c r="CE105" s="608"/>
      <c r="CF105" s="600"/>
    </row>
    <row r="106" spans="2:84" ht="12" customHeight="1" x14ac:dyDescent="0.35">
      <c r="B106" s="590">
        <f>MATCH(C106,'360SpcLdsCSV'!$C$6:$C$500,0)</f>
        <v>50</v>
      </c>
      <c r="C106" s="590" t="str">
        <f>'360SpcLdsCSV'!C55</f>
        <v>L03-313_MfamResiPthp</v>
      </c>
      <c r="D106" s="590" t="str">
        <f t="shared" si="134"/>
        <v>L03</v>
      </c>
      <c r="E106" s="590" t="str">
        <f t="shared" si="135"/>
        <v>Mfam</v>
      </c>
      <c r="F106" s="590" t="str">
        <f t="shared" si="136"/>
        <v>Resi</v>
      </c>
      <c r="G106" s="590" t="str">
        <f t="shared" si="137"/>
        <v>Pthp</v>
      </c>
      <c r="H106" s="590" t="str">
        <f ca="1">OFFSET('360SpcLdsCSV'!$B$5,$B106,H$51)</f>
        <v>Level 3</v>
      </c>
      <c r="I106" s="590" t="str">
        <f ca="1">OFFSET('360SpcLdsCSV'!$B$5,$B106,I$51)</f>
        <v>DirectlyConditioned</v>
      </c>
      <c r="J106" s="590" t="str">
        <f ca="1">OFFSET('360SpcLdsCSV'!$B$5,$B106,J$51)</f>
        <v>Dwelling Unit</v>
      </c>
      <c r="K106" s="590" t="str">
        <f ca="1">OFFSET('360SpcLdsCSV'!$B$5,$B106,K$51)</f>
        <v>Residential</v>
      </c>
      <c r="L106" s="590" t="str">
        <f ca="1">OFFSET('360SpcLdsCSV'!$B$5,$B106,L$51)</f>
        <v>Thermal Zone: L03-313_MfamResiPthp</v>
      </c>
      <c r="M106" s="592">
        <f ca="1">OFFSET('360SpcLdsCSV'!$B$5,$B106,M$51)</f>
        <v>3034.0410000000002</v>
      </c>
      <c r="N106" s="592">
        <f ca="1">OFFSET('360SpcLdsCSV'!$B$5,$B106,N$51)</f>
        <v>30340.400000000001</v>
      </c>
      <c r="O106" s="592">
        <f ca="1">OFFSET('360SpcLdsCSV'!$B$5,$B106,O$51)</f>
        <v>1016.9</v>
      </c>
      <c r="P106" s="592">
        <f ca="1">OFFSET('360SpcLdsCSV'!$B$5,$B106,P$51)</f>
        <v>203.4</v>
      </c>
      <c r="Q106" s="592">
        <f ca="1">OFFSET('360SpcLdsCSV'!$B$5,$B106,Q$51)</f>
        <v>0</v>
      </c>
      <c r="R106" s="592">
        <f ca="1">OFFSET('360SpcLdsCSV'!$B$5,$B106,R$51)</f>
        <v>0</v>
      </c>
      <c r="S106" s="592">
        <f ca="1">OFFSET('360SpcLdsCSV'!$B$5,$B106,S$51)</f>
        <v>0</v>
      </c>
      <c r="T106" s="592">
        <f ca="1">OFFSET('360SpcLdsCSV'!$B$5,$B106,T$51)</f>
        <v>0</v>
      </c>
      <c r="U106" s="592">
        <f ca="1">OFFSET('360SpcLdsCSV'!$B$5,$B106,U$51)</f>
        <v>0</v>
      </c>
      <c r="V106" s="592">
        <f ca="1">OFFSET('360SpcLdsCSV'!$B$5,$B106,V$51)</f>
        <v>0</v>
      </c>
      <c r="W106" s="592">
        <f ca="1">OFFSET('360SpcLdsCSV'!$B$5,$B106,W$51)</f>
        <v>0</v>
      </c>
      <c r="X106" s="592">
        <f ca="1">OFFSET('360SpcLdsCSV'!$B$5,$B106,X$51)</f>
        <v>0</v>
      </c>
      <c r="Y106" s="592">
        <f ca="1">OFFSET('360SpcLdsCSV'!$B$5,$B106,Y$51)</f>
        <v>0</v>
      </c>
      <c r="Z106" s="592">
        <f ca="1">OFFSET('360SpcLdsCSV'!$B$5,$B106,Z$51)</f>
        <v>0</v>
      </c>
      <c r="AA106" s="592">
        <f ca="1">OFFSET('360SpcLdsCSV'!$B$5,$B106,AA$51)</f>
        <v>0</v>
      </c>
      <c r="AB106" s="592">
        <f ca="1">OFFSET('360SpcLdsCSV'!$B$5,$B106,AB$51)</f>
        <v>0</v>
      </c>
      <c r="AC106" s="592">
        <f ca="1">OFFSET('360SpcLdsCSV'!$B$5,$B106,AC$51)</f>
        <v>0</v>
      </c>
      <c r="AD106" s="592">
        <f ca="1">OFFSET('360SpcLdsCSV'!$B$5,$B106,AD$51)</f>
        <v>0</v>
      </c>
      <c r="AE106" s="592">
        <f ca="1">OFFSET('360SpcLdsCSV'!$B$5,$B106,AE$51)</f>
        <v>0</v>
      </c>
      <c r="AF106" s="592">
        <f ca="1">OFFSET('360SpcLdsCSV'!$B$5,$B106,AF$51)</f>
        <v>0</v>
      </c>
      <c r="AG106" s="592">
        <f ca="1">OFFSET('360SpcLdsCSV'!$B$5,$B106,AG$51)</f>
        <v>0</v>
      </c>
      <c r="AH106" s="592">
        <f ca="1">OFFSET('360SpcLdsCSV'!$B$5,$B106,AH$51)</f>
        <v>0</v>
      </c>
      <c r="AI106" s="592">
        <f ca="1">OFFSET('360SpcLdsCSV'!$B$5,$B106,AI$51)</f>
        <v>0</v>
      </c>
      <c r="AJ106" s="592" cm="1">
        <f t="array" ref="AJ106">_xlfn.IFS($F106="Resi",1,$F106="Racc",0,$F106="Coml",0,$F106="Prkg",0)</f>
        <v>1</v>
      </c>
      <c r="AK106" s="596"/>
      <c r="AL106" s="590">
        <f ca="1">OFFSET('360SpcLdsCSV'!$B$5,$B106,AL$51)</f>
        <v>3</v>
      </c>
      <c r="AM106" s="663">
        <f t="shared" ca="1" si="110"/>
        <v>1</v>
      </c>
      <c r="AN106" s="663">
        <f t="shared" ca="1" si="111"/>
        <v>1</v>
      </c>
      <c r="AO106" s="663">
        <f t="shared" ca="1" si="138"/>
        <v>9102.1229999999996</v>
      </c>
      <c r="AP106" s="663">
        <f t="shared" ca="1" si="112"/>
        <v>91021.200000000012</v>
      </c>
      <c r="AQ106" s="663">
        <f t="shared" ca="1" si="113"/>
        <v>3050.7</v>
      </c>
      <c r="AR106" s="663">
        <f t="shared" ca="1" si="114"/>
        <v>610.20000000000005</v>
      </c>
      <c r="AS106" s="663">
        <f t="shared" ca="1" si="115"/>
        <v>0</v>
      </c>
      <c r="AT106" s="663">
        <f t="shared" ca="1" si="116"/>
        <v>0</v>
      </c>
      <c r="AU106" s="663">
        <f t="shared" ca="1" si="117"/>
        <v>0</v>
      </c>
      <c r="AV106" s="663">
        <f t="shared" ca="1" si="118"/>
        <v>0</v>
      </c>
      <c r="AW106" s="663">
        <f t="shared" ca="1" si="119"/>
        <v>0</v>
      </c>
      <c r="AX106" s="663">
        <f t="shared" ca="1" si="120"/>
        <v>0</v>
      </c>
      <c r="AY106" s="663">
        <f t="shared" ca="1" si="121"/>
        <v>0</v>
      </c>
      <c r="AZ106" s="663">
        <f t="shared" ca="1" si="122"/>
        <v>0</v>
      </c>
      <c r="BA106" s="663">
        <f t="shared" ca="1" si="123"/>
        <v>0</v>
      </c>
      <c r="BB106" s="663">
        <f t="shared" ca="1" si="124"/>
        <v>0</v>
      </c>
      <c r="BC106" s="663">
        <f t="shared" ca="1" si="125"/>
        <v>0</v>
      </c>
      <c r="BD106" s="663">
        <f t="shared" ca="1" si="126"/>
        <v>0</v>
      </c>
      <c r="BE106" s="663">
        <f t="shared" ca="1" si="127"/>
        <v>0</v>
      </c>
      <c r="BF106" s="663">
        <f t="shared" ca="1" si="128"/>
        <v>0</v>
      </c>
      <c r="BG106" s="663">
        <f t="shared" ca="1" si="129"/>
        <v>0</v>
      </c>
      <c r="BH106" s="663">
        <f t="shared" ca="1" si="130"/>
        <v>0</v>
      </c>
      <c r="BI106" s="663">
        <f t="shared" ca="1" si="131"/>
        <v>0</v>
      </c>
      <c r="BJ106" s="663">
        <f t="shared" ca="1" si="132"/>
        <v>0</v>
      </c>
      <c r="BK106" s="663">
        <f t="shared" ca="1" si="133"/>
        <v>0</v>
      </c>
      <c r="BL106" s="1918"/>
      <c r="BM106" s="1532"/>
      <c r="BN106" s="1919"/>
      <c r="BO106" s="600"/>
      <c r="BP106" s="601"/>
      <c r="BS106" s="603"/>
      <c r="BT106" s="602"/>
      <c r="BU106" s="602"/>
      <c r="BV106" s="602"/>
      <c r="BW106" s="604"/>
      <c r="BX106" s="605"/>
      <c r="BY106" s="602"/>
      <c r="BZ106" s="602"/>
      <c r="CA106"/>
      <c r="CB106" s="607"/>
      <c r="CC106" s="608"/>
      <c r="CD106" s="608"/>
      <c r="CE106" s="608"/>
      <c r="CF106" s="600"/>
    </row>
    <row r="107" spans="2:84" ht="12" customHeight="1" x14ac:dyDescent="0.35">
      <c r="B107" s="590">
        <f>MATCH(C107,'360SpcLdsCSV'!$C$6:$C$500,0)</f>
        <v>51</v>
      </c>
      <c r="C107" s="590" t="str">
        <f>'360SpcLdsCSV'!C56</f>
        <v>L03-314_MechRaccIncd</v>
      </c>
      <c r="D107" s="590" t="str">
        <f t="shared" si="134"/>
        <v>L03</v>
      </c>
      <c r="E107" s="590" t="str">
        <f t="shared" si="135"/>
        <v>Mech</v>
      </c>
      <c r="F107" s="590" t="str">
        <f t="shared" si="136"/>
        <v>Racc</v>
      </c>
      <c r="G107" s="590" t="str">
        <f t="shared" si="137"/>
        <v>Incd</v>
      </c>
      <c r="H107" s="590" t="str">
        <f ca="1">OFFSET('360SpcLdsCSV'!$B$5,$B107,H$51)</f>
        <v>Level 3</v>
      </c>
      <c r="I107" s="590" t="str">
        <f ca="1">OFFSET('360SpcLdsCSV'!$B$5,$B107,I$51)</f>
        <v>IndirectlyConditioned</v>
      </c>
      <c r="J107" s="590" t="str">
        <f ca="1">OFFSET('360SpcLdsCSV'!$B$5,$B107,J$51)</f>
        <v>Electrical/MechanicaI Room</v>
      </c>
      <c r="K107" s="590" t="str">
        <f ca="1">OFFSET('360SpcLdsCSV'!$B$5,$B107,K$51)</f>
        <v>Nonresidential</v>
      </c>
      <c r="L107" s="590" t="str">
        <f ca="1">OFFSET('360SpcLdsCSV'!$B$5,$B107,L$51)</f>
        <v>Thermal Zone: L03-300_CorrRaccSphp</v>
      </c>
      <c r="M107" s="592">
        <f ca="1">OFFSET('360SpcLdsCSV'!$B$5,$B107,M$51)</f>
        <v>347.74279999999999</v>
      </c>
      <c r="N107" s="592">
        <f ca="1">OFFSET('360SpcLdsCSV'!$B$5,$B107,N$51)</f>
        <v>3477.43</v>
      </c>
      <c r="O107" s="592">
        <f ca="1">OFFSET('360SpcLdsCSV'!$B$5,$B107,O$51)</f>
        <v>0</v>
      </c>
      <c r="P107" s="592">
        <f ca="1">OFFSET('360SpcLdsCSV'!$B$5,$B107,P$51)</f>
        <v>0</v>
      </c>
      <c r="Q107" s="592">
        <f ca="1">OFFSET('360SpcLdsCSV'!$B$5,$B107,Q$51)</f>
        <v>0</v>
      </c>
      <c r="R107" s="592">
        <f ca="1">OFFSET('360SpcLdsCSV'!$B$5,$B107,R$51)</f>
        <v>0</v>
      </c>
      <c r="S107" s="592">
        <f ca="1">OFFSET('360SpcLdsCSV'!$B$5,$B107,S$51)</f>
        <v>0</v>
      </c>
      <c r="T107" s="592">
        <f ca="1">OFFSET('360SpcLdsCSV'!$B$5,$B107,T$51)</f>
        <v>0</v>
      </c>
      <c r="U107" s="592">
        <f ca="1">OFFSET('360SpcLdsCSV'!$B$5,$B107,U$51)</f>
        <v>0</v>
      </c>
      <c r="V107" s="592">
        <f ca="1">OFFSET('360SpcLdsCSV'!$B$5,$B107,V$51)</f>
        <v>0</v>
      </c>
      <c r="W107" s="592">
        <f ca="1">OFFSET('360SpcLdsCSV'!$B$5,$B107,W$51)</f>
        <v>0</v>
      </c>
      <c r="X107" s="592">
        <f ca="1">OFFSET('360SpcLdsCSV'!$B$5,$B107,X$51)</f>
        <v>0</v>
      </c>
      <c r="Y107" s="592">
        <f ca="1">OFFSET('360SpcLdsCSV'!$B$5,$B107,Y$51)</f>
        <v>0</v>
      </c>
      <c r="Z107" s="592">
        <f ca="1">OFFSET('360SpcLdsCSV'!$B$5,$B107,Z$51)</f>
        <v>0</v>
      </c>
      <c r="AA107" s="592">
        <f ca="1">OFFSET('360SpcLdsCSV'!$B$5,$B107,AA$51)</f>
        <v>0</v>
      </c>
      <c r="AB107" s="592">
        <f ca="1">OFFSET('360SpcLdsCSV'!$B$5,$B107,AB$51)</f>
        <v>0</v>
      </c>
      <c r="AC107" s="592">
        <f ca="1">OFFSET('360SpcLdsCSV'!$B$5,$B107,AC$51)</f>
        <v>0</v>
      </c>
      <c r="AD107" s="592">
        <f ca="1">OFFSET('360SpcLdsCSV'!$B$5,$B107,AD$51)</f>
        <v>0</v>
      </c>
      <c r="AE107" s="592">
        <f ca="1">OFFSET('360SpcLdsCSV'!$B$5,$B107,AE$51)</f>
        <v>0</v>
      </c>
      <c r="AF107" s="592">
        <f ca="1">OFFSET('360SpcLdsCSV'!$B$5,$B107,AF$51)</f>
        <v>0</v>
      </c>
      <c r="AG107" s="592">
        <f ca="1">OFFSET('360SpcLdsCSV'!$B$5,$B107,AG$51)</f>
        <v>0</v>
      </c>
      <c r="AH107" s="592">
        <f ca="1">OFFSET('360SpcLdsCSV'!$B$5,$B107,AH$51)</f>
        <v>0</v>
      </c>
      <c r="AI107" s="592">
        <f ca="1">OFFSET('360SpcLdsCSV'!$B$5,$B107,AI$51)</f>
        <v>0</v>
      </c>
      <c r="AJ107" s="592" cm="1">
        <f t="array" ref="AJ107">_xlfn.IFS($F107="Resi",1,$F107="Racc",0,$F107="Coml",0,$F107="Prkg",0)</f>
        <v>0</v>
      </c>
      <c r="AK107" s="596"/>
      <c r="AL107" s="590">
        <f ca="1">OFFSET('360SpcLdsCSV'!$B$5,$B107,AL$51)</f>
        <v>3</v>
      </c>
      <c r="AM107" s="663">
        <f t="shared" ca="1" si="110"/>
        <v>1</v>
      </c>
      <c r="AN107" s="663">
        <f t="shared" ca="1" si="111"/>
        <v>0</v>
      </c>
      <c r="AO107" s="663">
        <f t="shared" ca="1" si="138"/>
        <v>1043.2284</v>
      </c>
      <c r="AP107" s="663">
        <f t="shared" ca="1" si="112"/>
        <v>10432.289999999999</v>
      </c>
      <c r="AQ107" s="663">
        <f t="shared" ca="1" si="113"/>
        <v>0</v>
      </c>
      <c r="AR107" s="663">
        <f t="shared" ca="1" si="114"/>
        <v>0</v>
      </c>
      <c r="AS107" s="663">
        <f t="shared" ca="1" si="115"/>
        <v>0</v>
      </c>
      <c r="AT107" s="663">
        <f t="shared" ca="1" si="116"/>
        <v>0</v>
      </c>
      <c r="AU107" s="663">
        <f t="shared" ca="1" si="117"/>
        <v>0</v>
      </c>
      <c r="AV107" s="663">
        <f t="shared" ca="1" si="118"/>
        <v>0</v>
      </c>
      <c r="AW107" s="663">
        <f t="shared" ca="1" si="119"/>
        <v>0</v>
      </c>
      <c r="AX107" s="663">
        <f t="shared" ca="1" si="120"/>
        <v>0</v>
      </c>
      <c r="AY107" s="663">
        <f t="shared" ca="1" si="121"/>
        <v>0</v>
      </c>
      <c r="AZ107" s="663">
        <f t="shared" ca="1" si="122"/>
        <v>0</v>
      </c>
      <c r="BA107" s="663">
        <f t="shared" ca="1" si="123"/>
        <v>0</v>
      </c>
      <c r="BB107" s="663">
        <f t="shared" ca="1" si="124"/>
        <v>0</v>
      </c>
      <c r="BC107" s="663">
        <f t="shared" ca="1" si="125"/>
        <v>0</v>
      </c>
      <c r="BD107" s="663">
        <f t="shared" ca="1" si="126"/>
        <v>0</v>
      </c>
      <c r="BE107" s="663">
        <f t="shared" ca="1" si="127"/>
        <v>0</v>
      </c>
      <c r="BF107" s="663">
        <f t="shared" ca="1" si="128"/>
        <v>0</v>
      </c>
      <c r="BG107" s="663">
        <f t="shared" ca="1" si="129"/>
        <v>0</v>
      </c>
      <c r="BH107" s="663">
        <f t="shared" ca="1" si="130"/>
        <v>0</v>
      </c>
      <c r="BI107" s="663">
        <f t="shared" ca="1" si="131"/>
        <v>0</v>
      </c>
      <c r="BJ107" s="663">
        <f t="shared" ca="1" si="132"/>
        <v>0</v>
      </c>
      <c r="BK107" s="663">
        <f t="shared" ca="1" si="133"/>
        <v>0</v>
      </c>
      <c r="BL107" s="1918"/>
      <c r="BM107" s="1532"/>
      <c r="BN107" s="1919"/>
      <c r="BO107" s="600"/>
      <c r="BP107" s="601"/>
      <c r="BS107" s="603"/>
      <c r="BT107" s="602"/>
      <c r="BU107" s="602"/>
      <c r="BV107" s="602"/>
      <c r="BW107" s="604"/>
      <c r="BX107" s="605"/>
      <c r="BY107" s="602"/>
      <c r="BZ107" s="602"/>
      <c r="CA107"/>
      <c r="CB107" s="607"/>
      <c r="CC107" s="608"/>
      <c r="CD107" s="608"/>
      <c r="CE107" s="608"/>
      <c r="CF107" s="600"/>
    </row>
    <row r="108" spans="2:84" ht="12" customHeight="1" x14ac:dyDescent="0.35">
      <c r="B108" s="590">
        <f>MATCH(C108,'360SpcLdsCSV'!$C$6:$C$500,0)</f>
        <v>52</v>
      </c>
      <c r="C108" s="590" t="str">
        <f>'360SpcLdsCSV'!C57</f>
        <v>L03-315_ElevRaccIncd</v>
      </c>
      <c r="D108" s="590" t="str">
        <f t="shared" si="134"/>
        <v>L03</v>
      </c>
      <c r="E108" s="590" t="str">
        <f t="shared" si="135"/>
        <v>Elev</v>
      </c>
      <c r="F108" s="590" t="str">
        <f t="shared" si="136"/>
        <v>Racc</v>
      </c>
      <c r="G108" s="590" t="str">
        <f t="shared" si="137"/>
        <v>Incd</v>
      </c>
      <c r="H108" s="590" t="str">
        <f ca="1">OFFSET('360SpcLdsCSV'!$B$5,$B108,H$51)</f>
        <v>Level 3</v>
      </c>
      <c r="I108" s="590" t="str">
        <f ca="1">OFFSET('360SpcLdsCSV'!$B$5,$B108,I$51)</f>
        <v>IndirectlyConditioned</v>
      </c>
      <c r="J108" s="590" t="str">
        <f ca="1">OFFSET('360SpcLdsCSV'!$B$5,$B108,J$51)</f>
        <v>Unoccupied-Include in Gross Floor Area</v>
      </c>
      <c r="K108" s="590" t="str">
        <f ca="1">OFFSET('360SpcLdsCSV'!$B$5,$B108,K$51)</f>
        <v>Nonresidential</v>
      </c>
      <c r="L108" s="590" t="str">
        <f ca="1">OFFSET('360SpcLdsCSV'!$B$5,$B108,L$51)</f>
        <v>Thermal Zone: L03-300_CorrRaccSphp</v>
      </c>
      <c r="M108" s="592">
        <f ca="1">OFFSET('360SpcLdsCSV'!$B$5,$B108,M$51)</f>
        <v>178.88640000000001</v>
      </c>
      <c r="N108" s="592">
        <f ca="1">OFFSET('360SpcLdsCSV'!$B$5,$B108,N$51)</f>
        <v>1788.86</v>
      </c>
      <c r="O108" s="592">
        <f ca="1">OFFSET('360SpcLdsCSV'!$B$5,$B108,O$51)</f>
        <v>0</v>
      </c>
      <c r="P108" s="592">
        <f ca="1">OFFSET('360SpcLdsCSV'!$B$5,$B108,P$51)</f>
        <v>0</v>
      </c>
      <c r="Q108" s="592">
        <f ca="1">OFFSET('360SpcLdsCSV'!$B$5,$B108,Q$51)</f>
        <v>0</v>
      </c>
      <c r="R108" s="592">
        <f ca="1">OFFSET('360SpcLdsCSV'!$B$5,$B108,R$51)</f>
        <v>0</v>
      </c>
      <c r="S108" s="592">
        <f ca="1">OFFSET('360SpcLdsCSV'!$B$5,$B108,S$51)</f>
        <v>0</v>
      </c>
      <c r="T108" s="592">
        <f ca="1">OFFSET('360SpcLdsCSV'!$B$5,$B108,T$51)</f>
        <v>0</v>
      </c>
      <c r="U108" s="592">
        <f ca="1">OFFSET('360SpcLdsCSV'!$B$5,$B108,U$51)</f>
        <v>0</v>
      </c>
      <c r="V108" s="592">
        <f ca="1">OFFSET('360SpcLdsCSV'!$B$5,$B108,V$51)</f>
        <v>0</v>
      </c>
      <c r="W108" s="592">
        <f ca="1">OFFSET('360SpcLdsCSV'!$B$5,$B108,W$51)</f>
        <v>0</v>
      </c>
      <c r="X108" s="592">
        <f ca="1">OFFSET('360SpcLdsCSV'!$B$5,$B108,X$51)</f>
        <v>0</v>
      </c>
      <c r="Y108" s="592">
        <f ca="1">OFFSET('360SpcLdsCSV'!$B$5,$B108,Y$51)</f>
        <v>0</v>
      </c>
      <c r="Z108" s="592">
        <f ca="1">OFFSET('360SpcLdsCSV'!$B$5,$B108,Z$51)</f>
        <v>0</v>
      </c>
      <c r="AA108" s="592">
        <f ca="1">OFFSET('360SpcLdsCSV'!$B$5,$B108,AA$51)</f>
        <v>0</v>
      </c>
      <c r="AB108" s="592">
        <f ca="1">OFFSET('360SpcLdsCSV'!$B$5,$B108,AB$51)</f>
        <v>0</v>
      </c>
      <c r="AC108" s="592">
        <f ca="1">OFFSET('360SpcLdsCSV'!$B$5,$B108,AC$51)</f>
        <v>0</v>
      </c>
      <c r="AD108" s="592">
        <f ca="1">OFFSET('360SpcLdsCSV'!$B$5,$B108,AD$51)</f>
        <v>0</v>
      </c>
      <c r="AE108" s="592">
        <f ca="1">OFFSET('360SpcLdsCSV'!$B$5,$B108,AE$51)</f>
        <v>0</v>
      </c>
      <c r="AF108" s="592">
        <f ca="1">OFFSET('360SpcLdsCSV'!$B$5,$B108,AF$51)</f>
        <v>0</v>
      </c>
      <c r="AG108" s="592">
        <f ca="1">OFFSET('360SpcLdsCSV'!$B$5,$B108,AG$51)</f>
        <v>0</v>
      </c>
      <c r="AH108" s="592">
        <f ca="1">OFFSET('360SpcLdsCSV'!$B$5,$B108,AH$51)</f>
        <v>0</v>
      </c>
      <c r="AI108" s="592">
        <f ca="1">OFFSET('360SpcLdsCSV'!$B$5,$B108,AI$51)</f>
        <v>0</v>
      </c>
      <c r="AJ108" s="592" cm="1">
        <f t="array" ref="AJ108">_xlfn.IFS($F108="Resi",1,$F108="Racc",0,$F108="Coml",0,$F108="Prkg",0)</f>
        <v>0</v>
      </c>
      <c r="AK108" s="596"/>
      <c r="AL108" s="590">
        <f ca="1">OFFSET('360SpcLdsCSV'!$B$5,$B108,AL$51)</f>
        <v>3</v>
      </c>
      <c r="AM108" s="663">
        <f t="shared" ca="1" si="110"/>
        <v>1</v>
      </c>
      <c r="AN108" s="663">
        <f t="shared" ca="1" si="111"/>
        <v>0</v>
      </c>
      <c r="AO108" s="663">
        <f t="shared" ca="1" si="138"/>
        <v>536.65920000000006</v>
      </c>
      <c r="AP108" s="663">
        <f t="shared" ca="1" si="112"/>
        <v>5366.58</v>
      </c>
      <c r="AQ108" s="663">
        <f t="shared" ca="1" si="113"/>
        <v>0</v>
      </c>
      <c r="AR108" s="663">
        <f t="shared" ca="1" si="114"/>
        <v>0</v>
      </c>
      <c r="AS108" s="663">
        <f t="shared" ca="1" si="115"/>
        <v>0</v>
      </c>
      <c r="AT108" s="663">
        <f t="shared" ca="1" si="116"/>
        <v>0</v>
      </c>
      <c r="AU108" s="663">
        <f t="shared" ca="1" si="117"/>
        <v>0</v>
      </c>
      <c r="AV108" s="663">
        <f t="shared" ca="1" si="118"/>
        <v>0</v>
      </c>
      <c r="AW108" s="663">
        <f t="shared" ca="1" si="119"/>
        <v>0</v>
      </c>
      <c r="AX108" s="663">
        <f t="shared" ca="1" si="120"/>
        <v>0</v>
      </c>
      <c r="AY108" s="663">
        <f t="shared" ca="1" si="121"/>
        <v>0</v>
      </c>
      <c r="AZ108" s="663">
        <f t="shared" ca="1" si="122"/>
        <v>0</v>
      </c>
      <c r="BA108" s="663">
        <f t="shared" ca="1" si="123"/>
        <v>0</v>
      </c>
      <c r="BB108" s="663">
        <f t="shared" ca="1" si="124"/>
        <v>0</v>
      </c>
      <c r="BC108" s="663">
        <f t="shared" ca="1" si="125"/>
        <v>0</v>
      </c>
      <c r="BD108" s="663">
        <f t="shared" ca="1" si="126"/>
        <v>0</v>
      </c>
      <c r="BE108" s="663">
        <f t="shared" ca="1" si="127"/>
        <v>0</v>
      </c>
      <c r="BF108" s="663">
        <f t="shared" ca="1" si="128"/>
        <v>0</v>
      </c>
      <c r="BG108" s="663">
        <f t="shared" ca="1" si="129"/>
        <v>0</v>
      </c>
      <c r="BH108" s="663">
        <f t="shared" ca="1" si="130"/>
        <v>0</v>
      </c>
      <c r="BI108" s="663">
        <f t="shared" ca="1" si="131"/>
        <v>0</v>
      </c>
      <c r="BJ108" s="663">
        <f t="shared" ca="1" si="132"/>
        <v>0</v>
      </c>
      <c r="BK108" s="663">
        <f t="shared" ca="1" si="133"/>
        <v>0</v>
      </c>
      <c r="BL108" s="1918"/>
      <c r="BM108" s="1532"/>
      <c r="BN108" s="1919"/>
      <c r="BO108" s="600"/>
      <c r="BP108" s="601"/>
      <c r="BS108" s="603"/>
      <c r="BT108" s="602"/>
      <c r="BU108" s="602"/>
      <c r="BV108" s="602"/>
      <c r="BW108" s="604"/>
      <c r="BX108" s="605"/>
      <c r="BY108" s="602"/>
      <c r="BZ108" s="602"/>
      <c r="CA108"/>
      <c r="CB108" s="607"/>
      <c r="CC108" s="608"/>
      <c r="CD108" s="608"/>
      <c r="CE108" s="608"/>
      <c r="CF108" s="600"/>
    </row>
    <row r="109" spans="2:84" ht="12" customHeight="1" x14ac:dyDescent="0.35">
      <c r="B109" s="590">
        <f>MATCH(C109,'360SpcLdsCSV'!$C$6:$C$500,0)</f>
        <v>53</v>
      </c>
      <c r="C109" s="590" t="str">
        <f>'360SpcLdsCSV'!C58</f>
        <v>L03-316_StrsRaccIncd</v>
      </c>
      <c r="D109" s="590" t="str">
        <f t="shared" si="134"/>
        <v>L03</v>
      </c>
      <c r="E109" s="590" t="str">
        <f t="shared" si="135"/>
        <v>Strs</v>
      </c>
      <c r="F109" s="590" t="str">
        <f t="shared" si="136"/>
        <v>Racc</v>
      </c>
      <c r="G109" s="590" t="str">
        <f t="shared" si="137"/>
        <v>Incd</v>
      </c>
      <c r="H109" s="590" t="str">
        <f ca="1">OFFSET('360SpcLdsCSV'!$B$5,$B109,H$51)</f>
        <v>Level 3</v>
      </c>
      <c r="I109" s="590" t="str">
        <f ca="1">OFFSET('360SpcLdsCSV'!$B$5,$B109,I$51)</f>
        <v>IndirectlyConditioned</v>
      </c>
      <c r="J109" s="590" t="str">
        <f ca="1">OFFSET('360SpcLdsCSV'!$B$5,$B109,J$51)</f>
        <v>Stairwell</v>
      </c>
      <c r="K109" s="590" t="str">
        <f ca="1">OFFSET('360SpcLdsCSV'!$B$5,$B109,K$51)</f>
        <v>Nonresidential</v>
      </c>
      <c r="L109" s="590" t="str">
        <f ca="1">OFFSET('360SpcLdsCSV'!$B$5,$B109,L$51)</f>
        <v>Thermal Zone: L03-300_CorrRaccSphp</v>
      </c>
      <c r="M109" s="592">
        <f ca="1">OFFSET('360SpcLdsCSV'!$B$5,$B109,M$51)</f>
        <v>232.53399999999999</v>
      </c>
      <c r="N109" s="592">
        <f ca="1">OFFSET('360SpcLdsCSV'!$B$5,$B109,N$51)</f>
        <v>2325.34</v>
      </c>
      <c r="O109" s="592">
        <f ca="1">OFFSET('360SpcLdsCSV'!$B$5,$B109,O$51)</f>
        <v>0</v>
      </c>
      <c r="P109" s="592">
        <f ca="1">OFFSET('360SpcLdsCSV'!$B$5,$B109,P$51)</f>
        <v>0</v>
      </c>
      <c r="Q109" s="592">
        <f ca="1">OFFSET('360SpcLdsCSV'!$B$5,$B109,Q$51)</f>
        <v>0</v>
      </c>
      <c r="R109" s="592">
        <f ca="1">OFFSET('360SpcLdsCSV'!$B$5,$B109,R$51)</f>
        <v>0</v>
      </c>
      <c r="S109" s="592">
        <f ca="1">OFFSET('360SpcLdsCSV'!$B$5,$B109,S$51)</f>
        <v>0</v>
      </c>
      <c r="T109" s="592">
        <f ca="1">OFFSET('360SpcLdsCSV'!$B$5,$B109,T$51)</f>
        <v>0</v>
      </c>
      <c r="U109" s="592">
        <f ca="1">OFFSET('360SpcLdsCSV'!$B$5,$B109,U$51)</f>
        <v>0</v>
      </c>
      <c r="V109" s="592">
        <f ca="1">OFFSET('360SpcLdsCSV'!$B$5,$B109,V$51)</f>
        <v>0</v>
      </c>
      <c r="W109" s="592">
        <f ca="1">OFFSET('360SpcLdsCSV'!$B$5,$B109,W$51)</f>
        <v>0</v>
      </c>
      <c r="X109" s="592">
        <f ca="1">OFFSET('360SpcLdsCSV'!$B$5,$B109,X$51)</f>
        <v>0</v>
      </c>
      <c r="Y109" s="592">
        <f ca="1">OFFSET('360SpcLdsCSV'!$B$5,$B109,Y$51)</f>
        <v>0</v>
      </c>
      <c r="Z109" s="592">
        <f ca="1">OFFSET('360SpcLdsCSV'!$B$5,$B109,Z$51)</f>
        <v>0</v>
      </c>
      <c r="AA109" s="592">
        <f ca="1">OFFSET('360SpcLdsCSV'!$B$5,$B109,AA$51)</f>
        <v>0</v>
      </c>
      <c r="AB109" s="592">
        <f ca="1">OFFSET('360SpcLdsCSV'!$B$5,$B109,AB$51)</f>
        <v>0</v>
      </c>
      <c r="AC109" s="592">
        <f ca="1">OFFSET('360SpcLdsCSV'!$B$5,$B109,AC$51)</f>
        <v>0</v>
      </c>
      <c r="AD109" s="592">
        <f ca="1">OFFSET('360SpcLdsCSV'!$B$5,$B109,AD$51)</f>
        <v>0</v>
      </c>
      <c r="AE109" s="592">
        <f ca="1">OFFSET('360SpcLdsCSV'!$B$5,$B109,AE$51)</f>
        <v>0</v>
      </c>
      <c r="AF109" s="592">
        <f ca="1">OFFSET('360SpcLdsCSV'!$B$5,$B109,AF$51)</f>
        <v>0</v>
      </c>
      <c r="AG109" s="592">
        <f ca="1">OFFSET('360SpcLdsCSV'!$B$5,$B109,AG$51)</f>
        <v>0</v>
      </c>
      <c r="AH109" s="592">
        <f ca="1">OFFSET('360SpcLdsCSV'!$B$5,$B109,AH$51)</f>
        <v>0</v>
      </c>
      <c r="AI109" s="592">
        <f ca="1">OFFSET('360SpcLdsCSV'!$B$5,$B109,AI$51)</f>
        <v>0</v>
      </c>
      <c r="AJ109" s="592" cm="1">
        <f t="array" ref="AJ109">_xlfn.IFS($F109="Resi",1,$F109="Racc",0,$F109="Coml",0,$F109="Prkg",0)</f>
        <v>0</v>
      </c>
      <c r="AK109" s="596"/>
      <c r="AL109" s="590">
        <f ca="1">OFFSET('360SpcLdsCSV'!$B$5,$B109,AL$51)</f>
        <v>3</v>
      </c>
      <c r="AM109" s="663">
        <f t="shared" ca="1" si="110"/>
        <v>1</v>
      </c>
      <c r="AN109" s="663">
        <f t="shared" ca="1" si="111"/>
        <v>0</v>
      </c>
      <c r="AO109" s="663">
        <f t="shared" ca="1" si="138"/>
        <v>697.60199999999998</v>
      </c>
      <c r="AP109" s="663">
        <f t="shared" ca="1" si="112"/>
        <v>6976.02</v>
      </c>
      <c r="AQ109" s="663">
        <f t="shared" ca="1" si="113"/>
        <v>0</v>
      </c>
      <c r="AR109" s="663">
        <f t="shared" ca="1" si="114"/>
        <v>0</v>
      </c>
      <c r="AS109" s="663">
        <f t="shared" ca="1" si="115"/>
        <v>0</v>
      </c>
      <c r="AT109" s="663">
        <f t="shared" ca="1" si="116"/>
        <v>0</v>
      </c>
      <c r="AU109" s="663">
        <f t="shared" ca="1" si="117"/>
        <v>0</v>
      </c>
      <c r="AV109" s="663">
        <f t="shared" ca="1" si="118"/>
        <v>0</v>
      </c>
      <c r="AW109" s="663">
        <f t="shared" ca="1" si="119"/>
        <v>0</v>
      </c>
      <c r="AX109" s="663">
        <f t="shared" ca="1" si="120"/>
        <v>0</v>
      </c>
      <c r="AY109" s="663">
        <f t="shared" ca="1" si="121"/>
        <v>0</v>
      </c>
      <c r="AZ109" s="663">
        <f t="shared" ca="1" si="122"/>
        <v>0</v>
      </c>
      <c r="BA109" s="663">
        <f t="shared" ca="1" si="123"/>
        <v>0</v>
      </c>
      <c r="BB109" s="663">
        <f t="shared" ca="1" si="124"/>
        <v>0</v>
      </c>
      <c r="BC109" s="663">
        <f t="shared" ca="1" si="125"/>
        <v>0</v>
      </c>
      <c r="BD109" s="663">
        <f t="shared" ca="1" si="126"/>
        <v>0</v>
      </c>
      <c r="BE109" s="663">
        <f t="shared" ca="1" si="127"/>
        <v>0</v>
      </c>
      <c r="BF109" s="663">
        <f t="shared" ca="1" si="128"/>
        <v>0</v>
      </c>
      <c r="BG109" s="663">
        <f t="shared" ca="1" si="129"/>
        <v>0</v>
      </c>
      <c r="BH109" s="663">
        <f t="shared" ca="1" si="130"/>
        <v>0</v>
      </c>
      <c r="BI109" s="663">
        <f t="shared" ca="1" si="131"/>
        <v>0</v>
      </c>
      <c r="BJ109" s="663">
        <f t="shared" ca="1" si="132"/>
        <v>0</v>
      </c>
      <c r="BK109" s="663">
        <f t="shared" ca="1" si="133"/>
        <v>0</v>
      </c>
      <c r="BL109" s="1918"/>
      <c r="BM109" s="1532"/>
      <c r="BN109" s="1919"/>
      <c r="BO109" s="600"/>
      <c r="BP109" s="601"/>
      <c r="BQ109" s="596"/>
      <c r="BR109" s="602"/>
      <c r="BS109" s="603"/>
      <c r="BT109" s="602"/>
      <c r="BU109" s="602"/>
      <c r="BV109" s="602"/>
      <c r="BW109" s="604"/>
      <c r="BX109" s="605"/>
      <c r="BY109" s="602"/>
      <c r="BZ109" s="602"/>
      <c r="CA109"/>
      <c r="CB109" s="607"/>
      <c r="CC109" s="608"/>
      <c r="CD109" s="608"/>
      <c r="CE109" s="608"/>
      <c r="CF109" s="600"/>
    </row>
    <row r="110" spans="2:84" ht="12" customHeight="1" x14ac:dyDescent="0.35">
      <c r="B110" s="590">
        <f>MATCH(C110,'360SpcLdsCSV'!$C$6:$C$500,0)</f>
        <v>54</v>
      </c>
      <c r="C110" s="590" t="str">
        <f>'360SpcLdsCSV'!C59</f>
        <v>L03-317_MfamResiPthp</v>
      </c>
      <c r="D110" s="590" t="str">
        <f t="shared" si="134"/>
        <v>L03</v>
      </c>
      <c r="E110" s="590" t="str">
        <f t="shared" si="135"/>
        <v>Mfam</v>
      </c>
      <c r="F110" s="590" t="str">
        <f t="shared" si="136"/>
        <v>Resi</v>
      </c>
      <c r="G110" s="590" t="str">
        <f t="shared" si="137"/>
        <v>Pthp</v>
      </c>
      <c r="H110" s="590" t="str">
        <f ca="1">OFFSET('360SpcLdsCSV'!$B$5,$B110,H$51)</f>
        <v>Level 3</v>
      </c>
      <c r="I110" s="590" t="str">
        <f ca="1">OFFSET('360SpcLdsCSV'!$B$5,$B110,I$51)</f>
        <v>DirectlyConditioned</v>
      </c>
      <c r="J110" s="590" t="str">
        <f ca="1">OFFSET('360SpcLdsCSV'!$B$5,$B110,J$51)</f>
        <v>Dwelling Unit</v>
      </c>
      <c r="K110" s="590" t="str">
        <f ca="1">OFFSET('360SpcLdsCSV'!$B$5,$B110,K$51)</f>
        <v>Residential</v>
      </c>
      <c r="L110" s="590" t="str">
        <f ca="1">OFFSET('360SpcLdsCSV'!$B$5,$B110,L$51)</f>
        <v>Thermal Zone: L03-317_MfamResiPthp</v>
      </c>
      <c r="M110" s="592">
        <f ca="1">OFFSET('360SpcLdsCSV'!$B$5,$B110,M$51)</f>
        <v>688.28060000000005</v>
      </c>
      <c r="N110" s="592">
        <f ca="1">OFFSET('360SpcLdsCSV'!$B$5,$B110,N$51)</f>
        <v>6882.81</v>
      </c>
      <c r="O110" s="592">
        <f ca="1">OFFSET('360SpcLdsCSV'!$B$5,$B110,O$51)</f>
        <v>251.3</v>
      </c>
      <c r="P110" s="592">
        <f ca="1">OFFSET('360SpcLdsCSV'!$B$5,$B110,P$51)</f>
        <v>50.3</v>
      </c>
      <c r="Q110" s="592">
        <f ca="1">OFFSET('360SpcLdsCSV'!$B$5,$B110,Q$51)</f>
        <v>0</v>
      </c>
      <c r="R110" s="592">
        <f ca="1">OFFSET('360SpcLdsCSV'!$B$5,$B110,R$51)</f>
        <v>0</v>
      </c>
      <c r="S110" s="592">
        <f ca="1">OFFSET('360SpcLdsCSV'!$B$5,$B110,S$51)</f>
        <v>0</v>
      </c>
      <c r="T110" s="592">
        <f ca="1">OFFSET('360SpcLdsCSV'!$B$5,$B110,T$51)</f>
        <v>0</v>
      </c>
      <c r="U110" s="592">
        <f ca="1">OFFSET('360SpcLdsCSV'!$B$5,$B110,U$51)</f>
        <v>0</v>
      </c>
      <c r="V110" s="592">
        <f ca="1">OFFSET('360SpcLdsCSV'!$B$5,$B110,V$51)</f>
        <v>0</v>
      </c>
      <c r="W110" s="592">
        <f ca="1">OFFSET('360SpcLdsCSV'!$B$5,$B110,W$51)</f>
        <v>0</v>
      </c>
      <c r="X110" s="592">
        <f ca="1">OFFSET('360SpcLdsCSV'!$B$5,$B110,X$51)</f>
        <v>0</v>
      </c>
      <c r="Y110" s="592">
        <f ca="1">OFFSET('360SpcLdsCSV'!$B$5,$B110,Y$51)</f>
        <v>0</v>
      </c>
      <c r="Z110" s="592">
        <f ca="1">OFFSET('360SpcLdsCSV'!$B$5,$B110,Z$51)</f>
        <v>0</v>
      </c>
      <c r="AA110" s="592">
        <f ca="1">OFFSET('360SpcLdsCSV'!$B$5,$B110,AA$51)</f>
        <v>0</v>
      </c>
      <c r="AB110" s="592">
        <f ca="1">OFFSET('360SpcLdsCSV'!$B$5,$B110,AB$51)</f>
        <v>0</v>
      </c>
      <c r="AC110" s="592">
        <f ca="1">OFFSET('360SpcLdsCSV'!$B$5,$B110,AC$51)</f>
        <v>0</v>
      </c>
      <c r="AD110" s="592">
        <f ca="1">OFFSET('360SpcLdsCSV'!$B$5,$B110,AD$51)</f>
        <v>0</v>
      </c>
      <c r="AE110" s="592">
        <f ca="1">OFFSET('360SpcLdsCSV'!$B$5,$B110,AE$51)</f>
        <v>0</v>
      </c>
      <c r="AF110" s="592">
        <f ca="1">OFFSET('360SpcLdsCSV'!$B$5,$B110,AF$51)</f>
        <v>0</v>
      </c>
      <c r="AG110" s="592">
        <f ca="1">OFFSET('360SpcLdsCSV'!$B$5,$B110,AG$51)</f>
        <v>0</v>
      </c>
      <c r="AH110" s="592">
        <f ca="1">OFFSET('360SpcLdsCSV'!$B$5,$B110,AH$51)</f>
        <v>0</v>
      </c>
      <c r="AI110" s="592">
        <f ca="1">OFFSET('360SpcLdsCSV'!$B$5,$B110,AI$51)</f>
        <v>0</v>
      </c>
      <c r="AJ110" s="592" cm="1">
        <f t="array" ref="AJ110">_xlfn.IFS($F110="Resi",1,$F110="Racc",0,$F110="Coml",0,$F110="Prkg",0)</f>
        <v>1</v>
      </c>
      <c r="AK110" s="596"/>
      <c r="AL110" s="590">
        <f ca="1">OFFSET('360SpcLdsCSV'!$B$5,$B110,AL$51)</f>
        <v>3</v>
      </c>
      <c r="AM110" s="663">
        <f t="shared" ca="1" si="110"/>
        <v>1</v>
      </c>
      <c r="AN110" s="663">
        <f t="shared" ca="1" si="111"/>
        <v>1</v>
      </c>
      <c r="AO110" s="663">
        <f t="shared" ca="1" si="138"/>
        <v>2064.8418000000001</v>
      </c>
      <c r="AP110" s="663">
        <f t="shared" ca="1" si="112"/>
        <v>20648.43</v>
      </c>
      <c r="AQ110" s="663">
        <f t="shared" ca="1" si="113"/>
        <v>753.90000000000009</v>
      </c>
      <c r="AR110" s="663">
        <f t="shared" ca="1" si="114"/>
        <v>150.89999999999998</v>
      </c>
      <c r="AS110" s="663">
        <f t="shared" ca="1" si="115"/>
        <v>0</v>
      </c>
      <c r="AT110" s="663">
        <f t="shared" ca="1" si="116"/>
        <v>0</v>
      </c>
      <c r="AU110" s="663">
        <f t="shared" ca="1" si="117"/>
        <v>0</v>
      </c>
      <c r="AV110" s="663">
        <f t="shared" ca="1" si="118"/>
        <v>0</v>
      </c>
      <c r="AW110" s="663">
        <f t="shared" ca="1" si="119"/>
        <v>0</v>
      </c>
      <c r="AX110" s="663">
        <f t="shared" ca="1" si="120"/>
        <v>0</v>
      </c>
      <c r="AY110" s="663">
        <f t="shared" ca="1" si="121"/>
        <v>0</v>
      </c>
      <c r="AZ110" s="663">
        <f t="shared" ca="1" si="122"/>
        <v>0</v>
      </c>
      <c r="BA110" s="663">
        <f t="shared" ca="1" si="123"/>
        <v>0</v>
      </c>
      <c r="BB110" s="663">
        <f t="shared" ca="1" si="124"/>
        <v>0</v>
      </c>
      <c r="BC110" s="663">
        <f t="shared" ca="1" si="125"/>
        <v>0</v>
      </c>
      <c r="BD110" s="663">
        <f t="shared" ca="1" si="126"/>
        <v>0</v>
      </c>
      <c r="BE110" s="663">
        <f t="shared" ca="1" si="127"/>
        <v>0</v>
      </c>
      <c r="BF110" s="663">
        <f t="shared" ca="1" si="128"/>
        <v>0</v>
      </c>
      <c r="BG110" s="663">
        <f t="shared" ca="1" si="129"/>
        <v>0</v>
      </c>
      <c r="BH110" s="663">
        <f t="shared" ca="1" si="130"/>
        <v>0</v>
      </c>
      <c r="BI110" s="663">
        <f t="shared" ca="1" si="131"/>
        <v>0</v>
      </c>
      <c r="BJ110" s="663">
        <f t="shared" ca="1" si="132"/>
        <v>0</v>
      </c>
      <c r="BK110" s="663">
        <f t="shared" ca="1" si="133"/>
        <v>0</v>
      </c>
      <c r="BL110" s="1918"/>
      <c r="BM110" s="1532"/>
      <c r="BN110" s="1919"/>
      <c r="BO110" s="600"/>
      <c r="BP110" s="601"/>
      <c r="BQ110" s="596"/>
      <c r="BR110" s="602"/>
      <c r="BS110" s="603"/>
      <c r="BT110" s="602"/>
      <c r="BU110" s="602"/>
      <c r="BV110" s="602"/>
      <c r="BW110" s="604"/>
      <c r="BX110" s="605"/>
      <c r="BY110" s="602"/>
      <c r="BZ110" s="602"/>
      <c r="CA110"/>
      <c r="CB110" s="607"/>
      <c r="CC110" s="608"/>
      <c r="CD110" s="608"/>
      <c r="CE110" s="608"/>
      <c r="CF110" s="600"/>
    </row>
    <row r="111" spans="2:84" ht="12" customHeight="1" x14ac:dyDescent="0.35">
      <c r="B111" s="590">
        <f>MATCH(C111,'360SpcLdsCSV'!$C$6:$C$500,0)</f>
        <v>55</v>
      </c>
      <c r="C111" s="590" t="str">
        <f>'360SpcLdsCSV'!C60</f>
        <v>L03-318_TrshRaccIncd</v>
      </c>
      <c r="D111" s="590" t="str">
        <f t="shared" si="134"/>
        <v>L03</v>
      </c>
      <c r="E111" s="590" t="str">
        <f t="shared" si="135"/>
        <v>Trsh</v>
      </c>
      <c r="F111" s="590" t="str">
        <f t="shared" si="136"/>
        <v>Racc</v>
      </c>
      <c r="G111" s="590" t="str">
        <f t="shared" si="137"/>
        <v>Incd</v>
      </c>
      <c r="H111" s="590" t="str">
        <f ca="1">OFFSET('360SpcLdsCSV'!$B$5,$B111,H$51)</f>
        <v>Level 3</v>
      </c>
      <c r="I111" s="590" t="str">
        <f ca="1">OFFSET('360SpcLdsCSV'!$B$5,$B111,I$51)</f>
        <v>IndirectlyConditioned</v>
      </c>
      <c r="J111" s="590" t="str">
        <f ca="1">OFFSET('360SpcLdsCSV'!$B$5,$B111,J$51)</f>
        <v>Storage Room - &lt;50 ft2</v>
      </c>
      <c r="K111" s="590" t="str">
        <f ca="1">OFFSET('360SpcLdsCSV'!$B$5,$B111,K$51)</f>
        <v>Nonresidential</v>
      </c>
      <c r="L111" s="590" t="str">
        <f ca="1">OFFSET('360SpcLdsCSV'!$B$5,$B111,L$51)</f>
        <v>Thermal Zone: L03-300_CorrRaccSphp</v>
      </c>
      <c r="M111" s="592">
        <f ca="1">OFFSET('360SpcLdsCSV'!$B$5,$B111,M$51)</f>
        <v>187.88740000000001</v>
      </c>
      <c r="N111" s="592">
        <f ca="1">OFFSET('360SpcLdsCSV'!$B$5,$B111,N$51)</f>
        <v>1878.87</v>
      </c>
      <c r="O111" s="592">
        <f ca="1">OFFSET('360SpcLdsCSV'!$B$5,$B111,O$51)</f>
        <v>0</v>
      </c>
      <c r="P111" s="592">
        <f ca="1">OFFSET('360SpcLdsCSV'!$B$5,$B111,P$51)</f>
        <v>0</v>
      </c>
      <c r="Q111" s="592">
        <f ca="1">OFFSET('360SpcLdsCSV'!$B$5,$B111,Q$51)</f>
        <v>0</v>
      </c>
      <c r="R111" s="592">
        <f ca="1">OFFSET('360SpcLdsCSV'!$B$5,$B111,R$51)</f>
        <v>0</v>
      </c>
      <c r="S111" s="592">
        <f ca="1">OFFSET('360SpcLdsCSV'!$B$5,$B111,S$51)</f>
        <v>0</v>
      </c>
      <c r="T111" s="592">
        <f ca="1">OFFSET('360SpcLdsCSV'!$B$5,$B111,T$51)</f>
        <v>0</v>
      </c>
      <c r="U111" s="592">
        <f ca="1">OFFSET('360SpcLdsCSV'!$B$5,$B111,U$51)</f>
        <v>0</v>
      </c>
      <c r="V111" s="592">
        <f ca="1">OFFSET('360SpcLdsCSV'!$B$5,$B111,V$51)</f>
        <v>0</v>
      </c>
      <c r="W111" s="592">
        <f ca="1">OFFSET('360SpcLdsCSV'!$B$5,$B111,W$51)</f>
        <v>0</v>
      </c>
      <c r="X111" s="592">
        <f ca="1">OFFSET('360SpcLdsCSV'!$B$5,$B111,X$51)</f>
        <v>0</v>
      </c>
      <c r="Y111" s="592">
        <f ca="1">OFFSET('360SpcLdsCSV'!$B$5,$B111,Y$51)</f>
        <v>0</v>
      </c>
      <c r="Z111" s="592">
        <f ca="1">OFFSET('360SpcLdsCSV'!$B$5,$B111,Z$51)</f>
        <v>0</v>
      </c>
      <c r="AA111" s="592">
        <f ca="1">OFFSET('360SpcLdsCSV'!$B$5,$B111,AA$51)</f>
        <v>0</v>
      </c>
      <c r="AB111" s="592">
        <f ca="1">OFFSET('360SpcLdsCSV'!$B$5,$B111,AB$51)</f>
        <v>0</v>
      </c>
      <c r="AC111" s="592">
        <f ca="1">OFFSET('360SpcLdsCSV'!$B$5,$B111,AC$51)</f>
        <v>0</v>
      </c>
      <c r="AD111" s="592">
        <f ca="1">OFFSET('360SpcLdsCSV'!$B$5,$B111,AD$51)</f>
        <v>0</v>
      </c>
      <c r="AE111" s="592">
        <f ca="1">OFFSET('360SpcLdsCSV'!$B$5,$B111,AE$51)</f>
        <v>0</v>
      </c>
      <c r="AF111" s="592">
        <f ca="1">OFFSET('360SpcLdsCSV'!$B$5,$B111,AF$51)</f>
        <v>0</v>
      </c>
      <c r="AG111" s="592">
        <f ca="1">OFFSET('360SpcLdsCSV'!$B$5,$B111,AG$51)</f>
        <v>0</v>
      </c>
      <c r="AH111" s="592">
        <f ca="1">OFFSET('360SpcLdsCSV'!$B$5,$B111,AH$51)</f>
        <v>0</v>
      </c>
      <c r="AI111" s="592">
        <f ca="1">OFFSET('360SpcLdsCSV'!$B$5,$B111,AI$51)</f>
        <v>0</v>
      </c>
      <c r="AJ111" s="592" cm="1">
        <f t="array" ref="AJ111">_xlfn.IFS($F111="Resi",1,$F111="Racc",0,$F111="Coml",0,$F111="Prkg",0)</f>
        <v>0</v>
      </c>
      <c r="AK111" s="596"/>
      <c r="AL111" s="590">
        <f ca="1">OFFSET('360SpcLdsCSV'!$B$5,$B111,AL$51)</f>
        <v>3</v>
      </c>
      <c r="AM111" s="663">
        <f t="shared" ca="1" si="110"/>
        <v>1</v>
      </c>
      <c r="AN111" s="663">
        <f t="shared" ca="1" si="111"/>
        <v>0</v>
      </c>
      <c r="AO111" s="663">
        <f t="shared" ca="1" si="138"/>
        <v>563.66219999999998</v>
      </c>
      <c r="AP111" s="663">
        <f t="shared" ca="1" si="112"/>
        <v>5636.61</v>
      </c>
      <c r="AQ111" s="663">
        <f t="shared" ca="1" si="113"/>
        <v>0</v>
      </c>
      <c r="AR111" s="663">
        <f t="shared" ca="1" si="114"/>
        <v>0</v>
      </c>
      <c r="AS111" s="663">
        <f t="shared" ca="1" si="115"/>
        <v>0</v>
      </c>
      <c r="AT111" s="663">
        <f t="shared" ca="1" si="116"/>
        <v>0</v>
      </c>
      <c r="AU111" s="663">
        <f t="shared" ca="1" si="117"/>
        <v>0</v>
      </c>
      <c r="AV111" s="663">
        <f t="shared" ca="1" si="118"/>
        <v>0</v>
      </c>
      <c r="AW111" s="663">
        <f t="shared" ca="1" si="119"/>
        <v>0</v>
      </c>
      <c r="AX111" s="663">
        <f t="shared" ca="1" si="120"/>
        <v>0</v>
      </c>
      <c r="AY111" s="663">
        <f t="shared" ca="1" si="121"/>
        <v>0</v>
      </c>
      <c r="AZ111" s="663">
        <f t="shared" ca="1" si="122"/>
        <v>0</v>
      </c>
      <c r="BA111" s="663">
        <f t="shared" ca="1" si="123"/>
        <v>0</v>
      </c>
      <c r="BB111" s="663">
        <f t="shared" ca="1" si="124"/>
        <v>0</v>
      </c>
      <c r="BC111" s="663">
        <f t="shared" ca="1" si="125"/>
        <v>0</v>
      </c>
      <c r="BD111" s="663">
        <f t="shared" ca="1" si="126"/>
        <v>0</v>
      </c>
      <c r="BE111" s="663">
        <f t="shared" ca="1" si="127"/>
        <v>0</v>
      </c>
      <c r="BF111" s="663">
        <f t="shared" ca="1" si="128"/>
        <v>0</v>
      </c>
      <c r="BG111" s="663">
        <f t="shared" ca="1" si="129"/>
        <v>0</v>
      </c>
      <c r="BH111" s="663">
        <f t="shared" ca="1" si="130"/>
        <v>0</v>
      </c>
      <c r="BI111" s="663">
        <f t="shared" ca="1" si="131"/>
        <v>0</v>
      </c>
      <c r="BJ111" s="663">
        <f t="shared" ca="1" si="132"/>
        <v>0</v>
      </c>
      <c r="BK111" s="663">
        <f t="shared" ca="1" si="133"/>
        <v>0</v>
      </c>
      <c r="BL111" s="1918"/>
      <c r="BM111" s="1532"/>
      <c r="BN111" s="1919"/>
      <c r="BO111" s="600"/>
      <c r="BP111" s="601"/>
      <c r="BQ111" s="596"/>
      <c r="BR111" s="602"/>
      <c r="BS111" s="603"/>
      <c r="BT111" s="602"/>
      <c r="BU111" s="602"/>
      <c r="BV111" s="602"/>
      <c r="BW111" s="604"/>
      <c r="BX111" s="605"/>
      <c r="BY111" s="602"/>
      <c r="BZ111" s="602"/>
      <c r="CA111"/>
      <c r="CB111" s="607"/>
      <c r="CC111" s="608"/>
      <c r="CD111" s="608"/>
      <c r="CE111" s="608"/>
      <c r="CF111" s="600"/>
    </row>
    <row r="112" spans="2:84" ht="12" customHeight="1" x14ac:dyDescent="0.35">
      <c r="B112" s="590">
        <f>MATCH(C112,'360SpcLdsCSV'!$C$6:$C$500,0)</f>
        <v>56</v>
      </c>
      <c r="C112" s="590" t="str">
        <f>'360SpcLdsCSV'!C61</f>
        <v>L03-319_MfamResiPthp</v>
      </c>
      <c r="D112" s="590" t="str">
        <f t="shared" si="134"/>
        <v>L03</v>
      </c>
      <c r="E112" s="590" t="str">
        <f t="shared" si="135"/>
        <v>Mfam</v>
      </c>
      <c r="F112" s="590" t="str">
        <f t="shared" si="136"/>
        <v>Resi</v>
      </c>
      <c r="G112" s="590" t="str">
        <f t="shared" si="137"/>
        <v>Pthp</v>
      </c>
      <c r="H112" s="590" t="str">
        <f ca="1">OFFSET('360SpcLdsCSV'!$B$5,$B112,H$51)</f>
        <v>Level 3</v>
      </c>
      <c r="I112" s="590" t="str">
        <f ca="1">OFFSET('360SpcLdsCSV'!$B$5,$B112,I$51)</f>
        <v>DirectlyConditioned</v>
      </c>
      <c r="J112" s="590" t="str">
        <f ca="1">OFFSET('360SpcLdsCSV'!$B$5,$B112,J$51)</f>
        <v>Dwelling Unit</v>
      </c>
      <c r="K112" s="590" t="str">
        <f ca="1">OFFSET('360SpcLdsCSV'!$B$5,$B112,K$51)</f>
        <v>Residential</v>
      </c>
      <c r="L112" s="590" t="str">
        <f ca="1">OFFSET('360SpcLdsCSV'!$B$5,$B112,L$51)</f>
        <v>Thermal Zone: L03-319_MfamResiPthp</v>
      </c>
      <c r="M112" s="592">
        <f ca="1">OFFSET('360SpcLdsCSV'!$B$5,$B112,M$51)</f>
        <v>662.92970000000003</v>
      </c>
      <c r="N112" s="592">
        <f ca="1">OFFSET('360SpcLdsCSV'!$B$5,$B112,N$51)</f>
        <v>6629.3</v>
      </c>
      <c r="O112" s="592">
        <f ca="1">OFFSET('360SpcLdsCSV'!$B$5,$B112,O$51)</f>
        <v>586</v>
      </c>
      <c r="P112" s="592">
        <f ca="1">OFFSET('360SpcLdsCSV'!$B$5,$B112,P$51)</f>
        <v>117.2</v>
      </c>
      <c r="Q112" s="592">
        <f ca="1">OFFSET('360SpcLdsCSV'!$B$5,$B112,Q$51)</f>
        <v>0</v>
      </c>
      <c r="R112" s="592">
        <f ca="1">OFFSET('360SpcLdsCSV'!$B$5,$B112,R$51)</f>
        <v>0</v>
      </c>
      <c r="S112" s="592">
        <f ca="1">OFFSET('360SpcLdsCSV'!$B$5,$B112,S$51)</f>
        <v>0</v>
      </c>
      <c r="T112" s="592">
        <f ca="1">OFFSET('360SpcLdsCSV'!$B$5,$B112,T$51)</f>
        <v>0</v>
      </c>
      <c r="U112" s="592">
        <f ca="1">OFFSET('360SpcLdsCSV'!$B$5,$B112,U$51)</f>
        <v>0</v>
      </c>
      <c r="V112" s="592">
        <f ca="1">OFFSET('360SpcLdsCSV'!$B$5,$B112,V$51)</f>
        <v>0</v>
      </c>
      <c r="W112" s="592">
        <f ca="1">OFFSET('360SpcLdsCSV'!$B$5,$B112,W$51)</f>
        <v>0</v>
      </c>
      <c r="X112" s="592">
        <f ca="1">OFFSET('360SpcLdsCSV'!$B$5,$B112,X$51)</f>
        <v>0</v>
      </c>
      <c r="Y112" s="592">
        <f ca="1">OFFSET('360SpcLdsCSV'!$B$5,$B112,Y$51)</f>
        <v>0</v>
      </c>
      <c r="Z112" s="592">
        <f ca="1">OFFSET('360SpcLdsCSV'!$B$5,$B112,Z$51)</f>
        <v>0</v>
      </c>
      <c r="AA112" s="592">
        <f ca="1">OFFSET('360SpcLdsCSV'!$B$5,$B112,AA$51)</f>
        <v>0</v>
      </c>
      <c r="AB112" s="592">
        <f ca="1">OFFSET('360SpcLdsCSV'!$B$5,$B112,AB$51)</f>
        <v>0</v>
      </c>
      <c r="AC112" s="592">
        <f ca="1">OFFSET('360SpcLdsCSV'!$B$5,$B112,AC$51)</f>
        <v>0</v>
      </c>
      <c r="AD112" s="592">
        <f ca="1">OFFSET('360SpcLdsCSV'!$B$5,$B112,AD$51)</f>
        <v>0</v>
      </c>
      <c r="AE112" s="592">
        <f ca="1">OFFSET('360SpcLdsCSV'!$B$5,$B112,AE$51)</f>
        <v>0</v>
      </c>
      <c r="AF112" s="592">
        <f ca="1">OFFSET('360SpcLdsCSV'!$B$5,$B112,AF$51)</f>
        <v>0</v>
      </c>
      <c r="AG112" s="592">
        <f ca="1">OFFSET('360SpcLdsCSV'!$B$5,$B112,AG$51)</f>
        <v>0</v>
      </c>
      <c r="AH112" s="592">
        <f ca="1">OFFSET('360SpcLdsCSV'!$B$5,$B112,AH$51)</f>
        <v>0</v>
      </c>
      <c r="AI112" s="592">
        <f ca="1">OFFSET('360SpcLdsCSV'!$B$5,$B112,AI$51)</f>
        <v>0</v>
      </c>
      <c r="AJ112" s="592" cm="1">
        <f t="array" ref="AJ112">_xlfn.IFS($F112="Resi",1,$F112="Racc",0,$F112="Coml",0,$F112="Prkg",0)</f>
        <v>1</v>
      </c>
      <c r="AK112" s="596"/>
      <c r="AL112" s="590">
        <f ca="1">OFFSET('360SpcLdsCSV'!$B$5,$B112,AL$51)</f>
        <v>3</v>
      </c>
      <c r="AM112" s="663">
        <f t="shared" ca="1" si="110"/>
        <v>1</v>
      </c>
      <c r="AN112" s="663">
        <f t="shared" ca="1" si="111"/>
        <v>1</v>
      </c>
      <c r="AO112" s="663">
        <f t="shared" ca="1" si="138"/>
        <v>1988.7891</v>
      </c>
      <c r="AP112" s="663">
        <f t="shared" ca="1" si="112"/>
        <v>19887.900000000001</v>
      </c>
      <c r="AQ112" s="663">
        <f t="shared" ca="1" si="113"/>
        <v>1758</v>
      </c>
      <c r="AR112" s="663">
        <f t="shared" ca="1" si="114"/>
        <v>351.6</v>
      </c>
      <c r="AS112" s="663">
        <f t="shared" ca="1" si="115"/>
        <v>0</v>
      </c>
      <c r="AT112" s="663">
        <f t="shared" ca="1" si="116"/>
        <v>0</v>
      </c>
      <c r="AU112" s="663">
        <f t="shared" ca="1" si="117"/>
        <v>0</v>
      </c>
      <c r="AV112" s="663">
        <f t="shared" ca="1" si="118"/>
        <v>0</v>
      </c>
      <c r="AW112" s="663">
        <f t="shared" ca="1" si="119"/>
        <v>0</v>
      </c>
      <c r="AX112" s="663">
        <f t="shared" ca="1" si="120"/>
        <v>0</v>
      </c>
      <c r="AY112" s="663">
        <f t="shared" ca="1" si="121"/>
        <v>0</v>
      </c>
      <c r="AZ112" s="663">
        <f t="shared" ca="1" si="122"/>
        <v>0</v>
      </c>
      <c r="BA112" s="663">
        <f t="shared" ca="1" si="123"/>
        <v>0</v>
      </c>
      <c r="BB112" s="663">
        <f t="shared" ca="1" si="124"/>
        <v>0</v>
      </c>
      <c r="BC112" s="663">
        <f t="shared" ca="1" si="125"/>
        <v>0</v>
      </c>
      <c r="BD112" s="663">
        <f t="shared" ca="1" si="126"/>
        <v>0</v>
      </c>
      <c r="BE112" s="663">
        <f t="shared" ca="1" si="127"/>
        <v>0</v>
      </c>
      <c r="BF112" s="663">
        <f t="shared" ca="1" si="128"/>
        <v>0</v>
      </c>
      <c r="BG112" s="663">
        <f t="shared" ca="1" si="129"/>
        <v>0</v>
      </c>
      <c r="BH112" s="663">
        <f t="shared" ca="1" si="130"/>
        <v>0</v>
      </c>
      <c r="BI112" s="663">
        <f t="shared" ca="1" si="131"/>
        <v>0</v>
      </c>
      <c r="BJ112" s="663">
        <f t="shared" ca="1" si="132"/>
        <v>0</v>
      </c>
      <c r="BK112" s="663">
        <f t="shared" ca="1" si="133"/>
        <v>0</v>
      </c>
      <c r="BL112" s="1918"/>
      <c r="BM112" s="1532"/>
      <c r="BN112" s="1919"/>
      <c r="BO112" s="600"/>
      <c r="BP112" s="601"/>
      <c r="BQ112" s="596"/>
      <c r="BR112" s="602"/>
      <c r="BS112" s="603"/>
      <c r="BT112" s="602"/>
      <c r="BU112" s="602"/>
      <c r="BV112" s="602"/>
      <c r="BW112" s="604"/>
      <c r="BX112" s="605"/>
      <c r="BY112" s="602"/>
      <c r="BZ112" s="602"/>
      <c r="CA112"/>
      <c r="CB112" s="607"/>
      <c r="CC112" s="608"/>
      <c r="CD112" s="608"/>
      <c r="CE112" s="608"/>
      <c r="CF112" s="600"/>
    </row>
    <row r="113" spans="2:84" ht="12" customHeight="1" x14ac:dyDescent="0.35">
      <c r="B113" s="590">
        <f>MATCH(C113,'360SpcLdsCSV'!$C$6:$C$500,0)</f>
        <v>57</v>
      </c>
      <c r="C113" s="590" t="str">
        <f>'360SpcLdsCSV'!C62</f>
        <v>L06-600_CorrRaccSphp</v>
      </c>
      <c r="D113" s="590" t="str">
        <f t="shared" si="134"/>
        <v>L06</v>
      </c>
      <c r="E113" s="590" t="str">
        <f t="shared" si="135"/>
        <v>Corr</v>
      </c>
      <c r="F113" s="590" t="str">
        <f t="shared" si="136"/>
        <v>Racc</v>
      </c>
      <c r="G113" s="590" t="str">
        <f t="shared" si="137"/>
        <v>Sphp</v>
      </c>
      <c r="H113" s="590" t="str">
        <f ca="1">OFFSET('360SpcLdsCSV'!$B$5,$B113,H$51)</f>
        <v>Level 6</v>
      </c>
      <c r="I113" s="590" t="str">
        <f ca="1">OFFSET('360SpcLdsCSV'!$B$5,$B113,I$51)</f>
        <v>DirectlyConditioned</v>
      </c>
      <c r="J113" s="590" t="str">
        <f ca="1">OFFSET('360SpcLdsCSV'!$B$5,$B113,J$51)</f>
        <v>Corridor - All other</v>
      </c>
      <c r="K113" s="590" t="str">
        <f ca="1">OFFSET('360SpcLdsCSV'!$B$5,$B113,K$51)</f>
        <v>Nonresidential</v>
      </c>
      <c r="L113" s="590" t="str">
        <f ca="1">OFFSET('360SpcLdsCSV'!$B$5,$B113,L$51)</f>
        <v>Thermal Zone: L06-600_CorrRaccSphp</v>
      </c>
      <c r="M113" s="592">
        <f ca="1">OFFSET('360SpcLdsCSV'!$B$5,$B113,M$51)</f>
        <v>1916.0455999999999</v>
      </c>
      <c r="N113" s="592">
        <f ca="1">OFFSET('360SpcLdsCSV'!$B$5,$B113,N$51)</f>
        <v>19160.5</v>
      </c>
      <c r="O113" s="592">
        <f ca="1">OFFSET('360SpcLdsCSV'!$B$5,$B113,O$51)</f>
        <v>0</v>
      </c>
      <c r="P113" s="592">
        <f ca="1">OFFSET('360SpcLdsCSV'!$B$5,$B113,P$51)</f>
        <v>0</v>
      </c>
      <c r="Q113" s="592">
        <f ca="1">OFFSET('360SpcLdsCSV'!$B$5,$B113,Q$51)</f>
        <v>120.4</v>
      </c>
      <c r="R113" s="592">
        <f ca="1">OFFSET('360SpcLdsCSV'!$B$5,$B113,R$51)</f>
        <v>24.1</v>
      </c>
      <c r="S113" s="592">
        <f ca="1">OFFSET('360SpcLdsCSV'!$B$5,$B113,S$51)</f>
        <v>0</v>
      </c>
      <c r="T113" s="592">
        <f ca="1">OFFSET('360SpcLdsCSV'!$B$5,$B113,T$51)</f>
        <v>0</v>
      </c>
      <c r="U113" s="592">
        <f ca="1">OFFSET('360SpcLdsCSV'!$B$5,$B113,U$51)</f>
        <v>0</v>
      </c>
      <c r="V113" s="592">
        <f ca="1">OFFSET('360SpcLdsCSV'!$B$5,$B113,V$51)</f>
        <v>0</v>
      </c>
      <c r="W113" s="592">
        <f ca="1">OFFSET('360SpcLdsCSV'!$B$5,$B113,W$51)</f>
        <v>1916</v>
      </c>
      <c r="X113" s="592">
        <f ca="1">OFFSET('360SpcLdsCSV'!$B$5,$B113,X$51)</f>
        <v>0</v>
      </c>
      <c r="Y113" s="592">
        <f ca="1">OFFSET('360SpcLdsCSV'!$B$5,$B113,Y$51)</f>
        <v>0</v>
      </c>
      <c r="Z113" s="592">
        <f ca="1">OFFSET('360SpcLdsCSV'!$B$5,$B113,Z$51)</f>
        <v>0</v>
      </c>
      <c r="AA113" s="592">
        <f ca="1">OFFSET('360SpcLdsCSV'!$B$5,$B113,AA$51)</f>
        <v>0</v>
      </c>
      <c r="AB113" s="592">
        <f ca="1">OFFSET('360SpcLdsCSV'!$B$5,$B113,AB$51)</f>
        <v>0</v>
      </c>
      <c r="AC113" s="592">
        <f ca="1">OFFSET('360SpcLdsCSV'!$B$5,$B113,AC$51)</f>
        <v>0</v>
      </c>
      <c r="AD113" s="592">
        <f ca="1">OFFSET('360SpcLdsCSV'!$B$5,$B113,AD$51)</f>
        <v>0</v>
      </c>
      <c r="AE113" s="592">
        <f ca="1">OFFSET('360SpcLdsCSV'!$B$5,$B113,AE$51)</f>
        <v>0</v>
      </c>
      <c r="AF113" s="592">
        <f ca="1">OFFSET('360SpcLdsCSV'!$B$5,$B113,AF$51)</f>
        <v>0</v>
      </c>
      <c r="AG113" s="592">
        <f ca="1">OFFSET('360SpcLdsCSV'!$B$5,$B113,AG$51)</f>
        <v>0</v>
      </c>
      <c r="AH113" s="592">
        <f ca="1">OFFSET('360SpcLdsCSV'!$B$5,$B113,AH$51)</f>
        <v>0</v>
      </c>
      <c r="AI113" s="592">
        <f ca="1">OFFSET('360SpcLdsCSV'!$B$5,$B113,AI$51)</f>
        <v>0</v>
      </c>
      <c r="AJ113" s="592" cm="1">
        <f t="array" ref="AJ113">_xlfn.IFS($F113="Resi",1,$F113="Racc",0,$F113="Coml",0,$F113="Prkg",0)</f>
        <v>0</v>
      </c>
      <c r="AK113" s="596"/>
      <c r="AL113" s="590">
        <f ca="1">OFFSET('360SpcLdsCSV'!$B$5,$B113,AL$51)</f>
        <v>1</v>
      </c>
      <c r="AM113" s="663">
        <f t="shared" ca="1" si="110"/>
        <v>1</v>
      </c>
      <c r="AN113" s="663">
        <f t="shared" ca="1" si="111"/>
        <v>0</v>
      </c>
      <c r="AO113" s="663">
        <f t="shared" ca="1" si="138"/>
        <v>1916.0455999999999</v>
      </c>
      <c r="AP113" s="663">
        <f t="shared" ca="1" si="112"/>
        <v>19160.5</v>
      </c>
      <c r="AQ113" s="663">
        <f t="shared" ca="1" si="113"/>
        <v>0</v>
      </c>
      <c r="AR113" s="663">
        <f t="shared" ca="1" si="114"/>
        <v>0</v>
      </c>
      <c r="AS113" s="663">
        <f t="shared" ca="1" si="115"/>
        <v>120.4</v>
      </c>
      <c r="AT113" s="663">
        <f t="shared" ca="1" si="116"/>
        <v>24.1</v>
      </c>
      <c r="AU113" s="663">
        <f t="shared" ca="1" si="117"/>
        <v>0</v>
      </c>
      <c r="AV113" s="663">
        <f t="shared" ca="1" si="118"/>
        <v>0</v>
      </c>
      <c r="AW113" s="663">
        <f t="shared" ca="1" si="119"/>
        <v>0</v>
      </c>
      <c r="AX113" s="663">
        <f t="shared" ca="1" si="120"/>
        <v>0</v>
      </c>
      <c r="AY113" s="663">
        <f t="shared" ca="1" si="121"/>
        <v>1916</v>
      </c>
      <c r="AZ113" s="663">
        <f t="shared" ca="1" si="122"/>
        <v>0</v>
      </c>
      <c r="BA113" s="663">
        <f t="shared" ca="1" si="123"/>
        <v>0</v>
      </c>
      <c r="BB113" s="663">
        <f t="shared" ca="1" si="124"/>
        <v>0</v>
      </c>
      <c r="BC113" s="663">
        <f t="shared" ca="1" si="125"/>
        <v>0</v>
      </c>
      <c r="BD113" s="663">
        <f t="shared" ca="1" si="126"/>
        <v>0</v>
      </c>
      <c r="BE113" s="663">
        <f t="shared" ca="1" si="127"/>
        <v>0</v>
      </c>
      <c r="BF113" s="663">
        <f t="shared" ca="1" si="128"/>
        <v>0</v>
      </c>
      <c r="BG113" s="663">
        <f t="shared" ca="1" si="129"/>
        <v>0</v>
      </c>
      <c r="BH113" s="663">
        <f t="shared" ca="1" si="130"/>
        <v>0</v>
      </c>
      <c r="BI113" s="663">
        <f t="shared" ca="1" si="131"/>
        <v>0</v>
      </c>
      <c r="BJ113" s="663">
        <f t="shared" ca="1" si="132"/>
        <v>0</v>
      </c>
      <c r="BK113" s="663">
        <f t="shared" ca="1" si="133"/>
        <v>0</v>
      </c>
      <c r="BL113" s="1918"/>
      <c r="BM113" s="1532"/>
      <c r="BN113" s="1919"/>
      <c r="BO113" s="600"/>
      <c r="BP113" s="601"/>
      <c r="BQ113" s="596"/>
      <c r="BR113" s="602"/>
      <c r="BS113" s="603"/>
      <c r="BT113" s="602"/>
      <c r="BU113" s="602"/>
      <c r="BV113" s="602"/>
      <c r="BW113" s="604"/>
      <c r="BX113" s="605"/>
      <c r="BY113" s="602"/>
      <c r="BZ113" s="602"/>
      <c r="CA113"/>
      <c r="CB113" s="607"/>
      <c r="CC113" s="608"/>
      <c r="CD113" s="608"/>
      <c r="CE113" s="608"/>
      <c r="CF113" s="600"/>
    </row>
    <row r="114" spans="2:84" ht="12" customHeight="1" x14ac:dyDescent="0.35">
      <c r="B114" s="590">
        <f>MATCH(C114,'360SpcLdsCSV'!$C$6:$C$500,0)</f>
        <v>58</v>
      </c>
      <c r="C114" s="590" t="str">
        <f>'360SpcLdsCSV'!C63</f>
        <v>L06-601_MfamResiPthp</v>
      </c>
      <c r="D114" s="590" t="str">
        <f t="shared" si="134"/>
        <v>L06</v>
      </c>
      <c r="E114" s="590" t="str">
        <f t="shared" si="135"/>
        <v>Mfam</v>
      </c>
      <c r="F114" s="590" t="str">
        <f t="shared" si="136"/>
        <v>Resi</v>
      </c>
      <c r="G114" s="590" t="str">
        <f t="shared" si="137"/>
        <v>Pthp</v>
      </c>
      <c r="H114" s="590" t="str">
        <f ca="1">OFFSET('360SpcLdsCSV'!$B$5,$B114,H$51)</f>
        <v>Level 6</v>
      </c>
      <c r="I114" s="590" t="str">
        <f ca="1">OFFSET('360SpcLdsCSV'!$B$5,$B114,I$51)</f>
        <v>DirectlyConditioned</v>
      </c>
      <c r="J114" s="590" t="str">
        <f ca="1">OFFSET('360SpcLdsCSV'!$B$5,$B114,J$51)</f>
        <v>Dwelling Unit</v>
      </c>
      <c r="K114" s="590" t="str">
        <f ca="1">OFFSET('360SpcLdsCSV'!$B$5,$B114,K$51)</f>
        <v>Residential</v>
      </c>
      <c r="L114" s="590" t="str">
        <f ca="1">OFFSET('360SpcLdsCSV'!$B$5,$B114,L$51)</f>
        <v>Thermal Zone: L06-601_MfamResiPthp</v>
      </c>
      <c r="M114" s="592">
        <f ca="1">OFFSET('360SpcLdsCSV'!$B$5,$B114,M$51)</f>
        <v>872.36159999999995</v>
      </c>
      <c r="N114" s="592">
        <f ca="1">OFFSET('360SpcLdsCSV'!$B$5,$B114,N$51)</f>
        <v>8723.6200000000008</v>
      </c>
      <c r="O114" s="592">
        <f ca="1">OFFSET('360SpcLdsCSV'!$B$5,$B114,O$51)</f>
        <v>622</v>
      </c>
      <c r="P114" s="592">
        <f ca="1">OFFSET('360SpcLdsCSV'!$B$5,$B114,P$51)</f>
        <v>124.4</v>
      </c>
      <c r="Q114" s="592">
        <f ca="1">OFFSET('360SpcLdsCSV'!$B$5,$B114,Q$51)</f>
        <v>0</v>
      </c>
      <c r="R114" s="592">
        <f ca="1">OFFSET('360SpcLdsCSV'!$B$5,$B114,R$51)</f>
        <v>0</v>
      </c>
      <c r="S114" s="592">
        <f ca="1">OFFSET('360SpcLdsCSV'!$B$5,$B114,S$51)</f>
        <v>0</v>
      </c>
      <c r="T114" s="592">
        <f ca="1">OFFSET('360SpcLdsCSV'!$B$5,$B114,T$51)</f>
        <v>0</v>
      </c>
      <c r="U114" s="592">
        <f ca="1">OFFSET('360SpcLdsCSV'!$B$5,$B114,U$51)</f>
        <v>872.4</v>
      </c>
      <c r="V114" s="592">
        <f ca="1">OFFSET('360SpcLdsCSV'!$B$5,$B114,V$51)</f>
        <v>0</v>
      </c>
      <c r="W114" s="592">
        <f ca="1">OFFSET('360SpcLdsCSV'!$B$5,$B114,W$51)</f>
        <v>0</v>
      </c>
      <c r="X114" s="592">
        <f ca="1">OFFSET('360SpcLdsCSV'!$B$5,$B114,X$51)</f>
        <v>0</v>
      </c>
      <c r="Y114" s="592">
        <f ca="1">OFFSET('360SpcLdsCSV'!$B$5,$B114,Y$51)</f>
        <v>0</v>
      </c>
      <c r="Z114" s="592">
        <f ca="1">OFFSET('360SpcLdsCSV'!$B$5,$B114,Z$51)</f>
        <v>0</v>
      </c>
      <c r="AA114" s="592">
        <f ca="1">OFFSET('360SpcLdsCSV'!$B$5,$B114,AA$51)</f>
        <v>0</v>
      </c>
      <c r="AB114" s="592">
        <f ca="1">OFFSET('360SpcLdsCSV'!$B$5,$B114,AB$51)</f>
        <v>0</v>
      </c>
      <c r="AC114" s="592">
        <f ca="1">OFFSET('360SpcLdsCSV'!$B$5,$B114,AC$51)</f>
        <v>0</v>
      </c>
      <c r="AD114" s="592">
        <f ca="1">OFFSET('360SpcLdsCSV'!$B$5,$B114,AD$51)</f>
        <v>0</v>
      </c>
      <c r="AE114" s="592">
        <f ca="1">OFFSET('360SpcLdsCSV'!$B$5,$B114,AE$51)</f>
        <v>0</v>
      </c>
      <c r="AF114" s="592">
        <f ca="1">OFFSET('360SpcLdsCSV'!$B$5,$B114,AF$51)</f>
        <v>0</v>
      </c>
      <c r="AG114" s="592">
        <f ca="1">OFFSET('360SpcLdsCSV'!$B$5,$B114,AG$51)</f>
        <v>0</v>
      </c>
      <c r="AH114" s="592">
        <f ca="1">OFFSET('360SpcLdsCSV'!$B$5,$B114,AH$51)</f>
        <v>0</v>
      </c>
      <c r="AI114" s="592">
        <f ca="1">OFFSET('360SpcLdsCSV'!$B$5,$B114,AI$51)</f>
        <v>0</v>
      </c>
      <c r="AJ114" s="592" cm="1">
        <f t="array" ref="AJ114">_xlfn.IFS($F114="Resi",1,$F114="Racc",0,$F114="Coml",0,$F114="Prkg",0)</f>
        <v>1</v>
      </c>
      <c r="AK114" s="596"/>
      <c r="AL114" s="590">
        <f ca="1">OFFSET('360SpcLdsCSV'!$B$5,$B114,AL$51)</f>
        <v>1</v>
      </c>
      <c r="AM114" s="663">
        <f t="shared" ca="1" si="110"/>
        <v>1</v>
      </c>
      <c r="AN114" s="663">
        <f t="shared" ca="1" si="111"/>
        <v>1</v>
      </c>
      <c r="AO114" s="663">
        <f t="shared" ca="1" si="138"/>
        <v>872.36159999999995</v>
      </c>
      <c r="AP114" s="663">
        <f t="shared" ca="1" si="112"/>
        <v>8723.6200000000008</v>
      </c>
      <c r="AQ114" s="663">
        <f t="shared" ca="1" si="113"/>
        <v>622</v>
      </c>
      <c r="AR114" s="663">
        <f t="shared" ca="1" si="114"/>
        <v>124.4</v>
      </c>
      <c r="AS114" s="663">
        <f t="shared" ca="1" si="115"/>
        <v>0</v>
      </c>
      <c r="AT114" s="663">
        <f t="shared" ca="1" si="116"/>
        <v>0</v>
      </c>
      <c r="AU114" s="663">
        <f t="shared" ca="1" si="117"/>
        <v>0</v>
      </c>
      <c r="AV114" s="663">
        <f t="shared" ca="1" si="118"/>
        <v>0</v>
      </c>
      <c r="AW114" s="663">
        <f t="shared" ca="1" si="119"/>
        <v>872.4</v>
      </c>
      <c r="AX114" s="663">
        <f t="shared" ca="1" si="120"/>
        <v>0</v>
      </c>
      <c r="AY114" s="663">
        <f t="shared" ca="1" si="121"/>
        <v>0</v>
      </c>
      <c r="AZ114" s="663">
        <f t="shared" ca="1" si="122"/>
        <v>0</v>
      </c>
      <c r="BA114" s="663">
        <f t="shared" ca="1" si="123"/>
        <v>0</v>
      </c>
      <c r="BB114" s="663">
        <f t="shared" ca="1" si="124"/>
        <v>0</v>
      </c>
      <c r="BC114" s="663">
        <f t="shared" ca="1" si="125"/>
        <v>0</v>
      </c>
      <c r="BD114" s="663">
        <f t="shared" ca="1" si="126"/>
        <v>0</v>
      </c>
      <c r="BE114" s="663">
        <f t="shared" ca="1" si="127"/>
        <v>0</v>
      </c>
      <c r="BF114" s="663">
        <f t="shared" ca="1" si="128"/>
        <v>0</v>
      </c>
      <c r="BG114" s="663">
        <f t="shared" ca="1" si="129"/>
        <v>0</v>
      </c>
      <c r="BH114" s="663">
        <f t="shared" ca="1" si="130"/>
        <v>0</v>
      </c>
      <c r="BI114" s="663">
        <f t="shared" ca="1" si="131"/>
        <v>0</v>
      </c>
      <c r="BJ114" s="663">
        <f t="shared" ca="1" si="132"/>
        <v>0</v>
      </c>
      <c r="BK114" s="663">
        <f t="shared" ca="1" si="133"/>
        <v>0</v>
      </c>
      <c r="BL114" s="1918"/>
      <c r="BM114" s="1532"/>
      <c r="BN114" s="1919"/>
      <c r="BO114" s="600"/>
      <c r="BP114" s="601"/>
      <c r="BQ114" s="596"/>
      <c r="BR114" s="602"/>
      <c r="BS114" s="603"/>
      <c r="BT114" s="602"/>
      <c r="BU114" s="602"/>
      <c r="BV114" s="602"/>
      <c r="BW114" s="604"/>
      <c r="BX114" s="605"/>
      <c r="BY114" s="602"/>
      <c r="BZ114" s="602"/>
      <c r="CA114"/>
      <c r="CB114" s="607"/>
      <c r="CC114" s="608"/>
      <c r="CD114" s="608"/>
      <c r="CE114" s="608"/>
      <c r="CF114" s="600"/>
    </row>
    <row r="115" spans="2:84" ht="12" customHeight="1" x14ac:dyDescent="0.35">
      <c r="B115" s="590">
        <f>MATCH(C115,'360SpcLdsCSV'!$C$6:$C$500,0)</f>
        <v>59</v>
      </c>
      <c r="C115" s="590" t="str">
        <f>'360SpcLdsCSV'!C64</f>
        <v>L06-602_MfamResiPthp</v>
      </c>
      <c r="D115" s="590" t="str">
        <f t="shared" si="134"/>
        <v>L06</v>
      </c>
      <c r="E115" s="590" t="str">
        <f t="shared" si="135"/>
        <v>Mfam</v>
      </c>
      <c r="F115" s="590" t="str">
        <f t="shared" si="136"/>
        <v>Resi</v>
      </c>
      <c r="G115" s="590" t="str">
        <f t="shared" si="137"/>
        <v>Pthp</v>
      </c>
      <c r="H115" s="590" t="str">
        <f ca="1">OFFSET('360SpcLdsCSV'!$B$5,$B115,H$51)</f>
        <v>Level 6</v>
      </c>
      <c r="I115" s="590" t="str">
        <f ca="1">OFFSET('360SpcLdsCSV'!$B$5,$B115,I$51)</f>
        <v>DirectlyConditioned</v>
      </c>
      <c r="J115" s="590" t="str">
        <f ca="1">OFFSET('360SpcLdsCSV'!$B$5,$B115,J$51)</f>
        <v>Dwelling Unit</v>
      </c>
      <c r="K115" s="590" t="str">
        <f ca="1">OFFSET('360SpcLdsCSV'!$B$5,$B115,K$51)</f>
        <v>Residential</v>
      </c>
      <c r="L115" s="590" t="str">
        <f ca="1">OFFSET('360SpcLdsCSV'!$B$5,$B115,L$51)</f>
        <v>Thermal Zone: L06-602_MfamResiPthp</v>
      </c>
      <c r="M115" s="592">
        <f ca="1">OFFSET('360SpcLdsCSV'!$B$5,$B115,M$51)</f>
        <v>1660.6944000000001</v>
      </c>
      <c r="N115" s="592">
        <f ca="1">OFFSET('360SpcLdsCSV'!$B$5,$B115,N$51)</f>
        <v>16606.900000000001</v>
      </c>
      <c r="O115" s="592">
        <f ca="1">OFFSET('360SpcLdsCSV'!$B$5,$B115,O$51)</f>
        <v>640.70000000000005</v>
      </c>
      <c r="P115" s="592">
        <f ca="1">OFFSET('360SpcLdsCSV'!$B$5,$B115,P$51)</f>
        <v>128.1</v>
      </c>
      <c r="Q115" s="592">
        <f ca="1">OFFSET('360SpcLdsCSV'!$B$5,$B115,Q$51)</f>
        <v>0</v>
      </c>
      <c r="R115" s="592">
        <f ca="1">OFFSET('360SpcLdsCSV'!$B$5,$B115,R$51)</f>
        <v>0</v>
      </c>
      <c r="S115" s="592">
        <f ca="1">OFFSET('360SpcLdsCSV'!$B$5,$B115,S$51)</f>
        <v>0</v>
      </c>
      <c r="T115" s="592">
        <f ca="1">OFFSET('360SpcLdsCSV'!$B$5,$B115,T$51)</f>
        <v>0</v>
      </c>
      <c r="U115" s="592">
        <f ca="1">OFFSET('360SpcLdsCSV'!$B$5,$B115,U$51)</f>
        <v>1660.7</v>
      </c>
      <c r="V115" s="592">
        <f ca="1">OFFSET('360SpcLdsCSV'!$B$5,$B115,V$51)</f>
        <v>0</v>
      </c>
      <c r="W115" s="592">
        <f ca="1">OFFSET('360SpcLdsCSV'!$B$5,$B115,W$51)</f>
        <v>0</v>
      </c>
      <c r="X115" s="592">
        <f ca="1">OFFSET('360SpcLdsCSV'!$B$5,$B115,X$51)</f>
        <v>0</v>
      </c>
      <c r="Y115" s="592">
        <f ca="1">OFFSET('360SpcLdsCSV'!$B$5,$B115,Y$51)</f>
        <v>0</v>
      </c>
      <c r="Z115" s="592">
        <f ca="1">OFFSET('360SpcLdsCSV'!$B$5,$B115,Z$51)</f>
        <v>0</v>
      </c>
      <c r="AA115" s="592">
        <f ca="1">OFFSET('360SpcLdsCSV'!$B$5,$B115,AA$51)</f>
        <v>0</v>
      </c>
      <c r="AB115" s="592">
        <f ca="1">OFFSET('360SpcLdsCSV'!$B$5,$B115,AB$51)</f>
        <v>0</v>
      </c>
      <c r="AC115" s="592">
        <f ca="1">OFFSET('360SpcLdsCSV'!$B$5,$B115,AC$51)</f>
        <v>0</v>
      </c>
      <c r="AD115" s="592">
        <f ca="1">OFFSET('360SpcLdsCSV'!$B$5,$B115,AD$51)</f>
        <v>0</v>
      </c>
      <c r="AE115" s="592">
        <f ca="1">OFFSET('360SpcLdsCSV'!$B$5,$B115,AE$51)</f>
        <v>0</v>
      </c>
      <c r="AF115" s="592">
        <f ca="1">OFFSET('360SpcLdsCSV'!$B$5,$B115,AF$51)</f>
        <v>0</v>
      </c>
      <c r="AG115" s="592">
        <f ca="1">OFFSET('360SpcLdsCSV'!$B$5,$B115,AG$51)</f>
        <v>0</v>
      </c>
      <c r="AH115" s="592">
        <f ca="1">OFFSET('360SpcLdsCSV'!$B$5,$B115,AH$51)</f>
        <v>0</v>
      </c>
      <c r="AI115" s="592">
        <f ca="1">OFFSET('360SpcLdsCSV'!$B$5,$B115,AI$51)</f>
        <v>0</v>
      </c>
      <c r="AJ115" s="592" cm="1">
        <f t="array" ref="AJ115">_xlfn.IFS($F115="Resi",1,$F115="Racc",0,$F115="Coml",0,$F115="Prkg",0)</f>
        <v>1</v>
      </c>
      <c r="AK115" s="596"/>
      <c r="AL115" s="590">
        <f ca="1">OFFSET('360SpcLdsCSV'!$B$5,$B115,AL$51)</f>
        <v>1</v>
      </c>
      <c r="AM115" s="663">
        <f t="shared" ca="1" si="110"/>
        <v>1</v>
      </c>
      <c r="AN115" s="663">
        <f t="shared" ca="1" si="111"/>
        <v>1</v>
      </c>
      <c r="AO115" s="663">
        <f t="shared" ca="1" si="138"/>
        <v>1660.6944000000001</v>
      </c>
      <c r="AP115" s="663">
        <f t="shared" ca="1" si="112"/>
        <v>16606.900000000001</v>
      </c>
      <c r="AQ115" s="663">
        <f t="shared" ca="1" si="113"/>
        <v>640.70000000000005</v>
      </c>
      <c r="AR115" s="663">
        <f t="shared" ca="1" si="114"/>
        <v>128.1</v>
      </c>
      <c r="AS115" s="663">
        <f t="shared" ca="1" si="115"/>
        <v>0</v>
      </c>
      <c r="AT115" s="663">
        <f t="shared" ca="1" si="116"/>
        <v>0</v>
      </c>
      <c r="AU115" s="663">
        <f t="shared" ca="1" si="117"/>
        <v>0</v>
      </c>
      <c r="AV115" s="663">
        <f t="shared" ca="1" si="118"/>
        <v>0</v>
      </c>
      <c r="AW115" s="663">
        <f t="shared" ca="1" si="119"/>
        <v>1660.7</v>
      </c>
      <c r="AX115" s="663">
        <f t="shared" ca="1" si="120"/>
        <v>0</v>
      </c>
      <c r="AY115" s="663">
        <f t="shared" ca="1" si="121"/>
        <v>0</v>
      </c>
      <c r="AZ115" s="663">
        <f t="shared" ca="1" si="122"/>
        <v>0</v>
      </c>
      <c r="BA115" s="663">
        <f t="shared" ca="1" si="123"/>
        <v>0</v>
      </c>
      <c r="BB115" s="663">
        <f t="shared" ca="1" si="124"/>
        <v>0</v>
      </c>
      <c r="BC115" s="663">
        <f t="shared" ca="1" si="125"/>
        <v>0</v>
      </c>
      <c r="BD115" s="663">
        <f t="shared" ca="1" si="126"/>
        <v>0</v>
      </c>
      <c r="BE115" s="663">
        <f t="shared" ca="1" si="127"/>
        <v>0</v>
      </c>
      <c r="BF115" s="663">
        <f t="shared" ca="1" si="128"/>
        <v>0</v>
      </c>
      <c r="BG115" s="663">
        <f t="shared" ca="1" si="129"/>
        <v>0</v>
      </c>
      <c r="BH115" s="663">
        <f t="shared" ca="1" si="130"/>
        <v>0</v>
      </c>
      <c r="BI115" s="663">
        <f t="shared" ca="1" si="131"/>
        <v>0</v>
      </c>
      <c r="BJ115" s="663">
        <f t="shared" ca="1" si="132"/>
        <v>0</v>
      </c>
      <c r="BK115" s="663">
        <f t="shared" ca="1" si="133"/>
        <v>0</v>
      </c>
      <c r="BL115" s="1918"/>
      <c r="BM115" s="1532"/>
      <c r="BN115" s="1919"/>
      <c r="BO115" s="600"/>
      <c r="BP115" s="601"/>
      <c r="BQ115" s="596"/>
      <c r="BR115" s="602"/>
      <c r="BS115" s="603"/>
      <c r="BT115" s="602"/>
      <c r="BU115" s="602"/>
      <c r="BV115" s="602"/>
      <c r="BW115" s="604"/>
      <c r="BX115" s="605"/>
      <c r="BY115" s="602"/>
      <c r="BZ115" s="602"/>
      <c r="CA115"/>
      <c r="CB115" s="607"/>
      <c r="CC115" s="608"/>
      <c r="CD115" s="608"/>
      <c r="CE115" s="608"/>
      <c r="CF115" s="600"/>
    </row>
    <row r="116" spans="2:84" ht="12" customHeight="1" x14ac:dyDescent="0.35">
      <c r="B116" s="590">
        <f>MATCH(C116,'360SpcLdsCSV'!$C$6:$C$500,0)</f>
        <v>60</v>
      </c>
      <c r="C116" s="590" t="str">
        <f>'360SpcLdsCSV'!C65</f>
        <v>L06-603_MfamResiPthp</v>
      </c>
      <c r="D116" s="590" t="str">
        <f t="shared" si="134"/>
        <v>L06</v>
      </c>
      <c r="E116" s="590" t="str">
        <f t="shared" si="135"/>
        <v>Mfam</v>
      </c>
      <c r="F116" s="590" t="str">
        <f t="shared" si="136"/>
        <v>Resi</v>
      </c>
      <c r="G116" s="590" t="str">
        <f t="shared" si="137"/>
        <v>Pthp</v>
      </c>
      <c r="H116" s="590" t="str">
        <f ca="1">OFFSET('360SpcLdsCSV'!$B$5,$B116,H$51)</f>
        <v>Level 6</v>
      </c>
      <c r="I116" s="590" t="str">
        <f ca="1">OFFSET('360SpcLdsCSV'!$B$5,$B116,I$51)</f>
        <v>DirectlyConditioned</v>
      </c>
      <c r="J116" s="590" t="str">
        <f ca="1">OFFSET('360SpcLdsCSV'!$B$5,$B116,J$51)</f>
        <v>Dwelling Unit</v>
      </c>
      <c r="K116" s="590" t="str">
        <f ca="1">OFFSET('360SpcLdsCSV'!$B$5,$B116,K$51)</f>
        <v>Residential</v>
      </c>
      <c r="L116" s="590" t="str">
        <f ca="1">OFFSET('360SpcLdsCSV'!$B$5,$B116,L$51)</f>
        <v>Thermal Zone: L06-603_MfamResiPthp</v>
      </c>
      <c r="M116" s="592">
        <f ca="1">OFFSET('360SpcLdsCSV'!$B$5,$B116,M$51)</f>
        <v>1116.5980999999999</v>
      </c>
      <c r="N116" s="592">
        <f ca="1">OFFSET('360SpcLdsCSV'!$B$5,$B116,N$51)</f>
        <v>11166</v>
      </c>
      <c r="O116" s="592">
        <f ca="1">OFFSET('360SpcLdsCSV'!$B$5,$B116,O$51)</f>
        <v>686.8</v>
      </c>
      <c r="P116" s="592">
        <f ca="1">OFFSET('360SpcLdsCSV'!$B$5,$B116,P$51)</f>
        <v>137.4</v>
      </c>
      <c r="Q116" s="592">
        <f ca="1">OFFSET('360SpcLdsCSV'!$B$5,$B116,Q$51)</f>
        <v>0</v>
      </c>
      <c r="R116" s="592">
        <f ca="1">OFFSET('360SpcLdsCSV'!$B$5,$B116,R$51)</f>
        <v>0</v>
      </c>
      <c r="S116" s="592">
        <f ca="1">OFFSET('360SpcLdsCSV'!$B$5,$B116,S$51)</f>
        <v>0</v>
      </c>
      <c r="T116" s="592">
        <f ca="1">OFFSET('360SpcLdsCSV'!$B$5,$B116,T$51)</f>
        <v>0</v>
      </c>
      <c r="U116" s="592">
        <f ca="1">OFFSET('360SpcLdsCSV'!$B$5,$B116,U$51)</f>
        <v>1116.5999999999999</v>
      </c>
      <c r="V116" s="592">
        <f ca="1">OFFSET('360SpcLdsCSV'!$B$5,$B116,V$51)</f>
        <v>0</v>
      </c>
      <c r="W116" s="592">
        <f ca="1">OFFSET('360SpcLdsCSV'!$B$5,$B116,W$51)</f>
        <v>0</v>
      </c>
      <c r="X116" s="592">
        <f ca="1">OFFSET('360SpcLdsCSV'!$B$5,$B116,X$51)</f>
        <v>0</v>
      </c>
      <c r="Y116" s="592">
        <f ca="1">OFFSET('360SpcLdsCSV'!$B$5,$B116,Y$51)</f>
        <v>0</v>
      </c>
      <c r="Z116" s="592">
        <f ca="1">OFFSET('360SpcLdsCSV'!$B$5,$B116,Z$51)</f>
        <v>0</v>
      </c>
      <c r="AA116" s="592">
        <f ca="1">OFFSET('360SpcLdsCSV'!$B$5,$B116,AA$51)</f>
        <v>0</v>
      </c>
      <c r="AB116" s="592">
        <f ca="1">OFFSET('360SpcLdsCSV'!$B$5,$B116,AB$51)</f>
        <v>0</v>
      </c>
      <c r="AC116" s="592">
        <f ca="1">OFFSET('360SpcLdsCSV'!$B$5,$B116,AC$51)</f>
        <v>0</v>
      </c>
      <c r="AD116" s="592">
        <f ca="1">OFFSET('360SpcLdsCSV'!$B$5,$B116,AD$51)</f>
        <v>0</v>
      </c>
      <c r="AE116" s="592">
        <f ca="1">OFFSET('360SpcLdsCSV'!$B$5,$B116,AE$51)</f>
        <v>0</v>
      </c>
      <c r="AF116" s="592">
        <f ca="1">OFFSET('360SpcLdsCSV'!$B$5,$B116,AF$51)</f>
        <v>0</v>
      </c>
      <c r="AG116" s="592">
        <f ca="1">OFFSET('360SpcLdsCSV'!$B$5,$B116,AG$51)</f>
        <v>0</v>
      </c>
      <c r="AH116" s="592">
        <f ca="1">OFFSET('360SpcLdsCSV'!$B$5,$B116,AH$51)</f>
        <v>0</v>
      </c>
      <c r="AI116" s="592">
        <f ca="1">OFFSET('360SpcLdsCSV'!$B$5,$B116,AI$51)</f>
        <v>0</v>
      </c>
      <c r="AJ116" s="592" cm="1">
        <f t="array" ref="AJ116">_xlfn.IFS($F116="Resi",1,$F116="Racc",0,$F116="Coml",0,$F116="Prkg",0)</f>
        <v>1</v>
      </c>
      <c r="AK116" s="596"/>
      <c r="AL116" s="590">
        <f ca="1">OFFSET('360SpcLdsCSV'!$B$5,$B116,AL$51)</f>
        <v>1</v>
      </c>
      <c r="AM116" s="663">
        <f t="shared" ca="1" si="110"/>
        <v>1</v>
      </c>
      <c r="AN116" s="663">
        <f t="shared" ca="1" si="111"/>
        <v>1</v>
      </c>
      <c r="AO116" s="663">
        <f t="shared" ca="1" si="138"/>
        <v>1116.5980999999999</v>
      </c>
      <c r="AP116" s="663">
        <f t="shared" ca="1" si="112"/>
        <v>11166</v>
      </c>
      <c r="AQ116" s="663">
        <f t="shared" ca="1" si="113"/>
        <v>686.8</v>
      </c>
      <c r="AR116" s="663">
        <f t="shared" ca="1" si="114"/>
        <v>137.4</v>
      </c>
      <c r="AS116" s="663">
        <f t="shared" ca="1" si="115"/>
        <v>0</v>
      </c>
      <c r="AT116" s="663">
        <f t="shared" ca="1" si="116"/>
        <v>0</v>
      </c>
      <c r="AU116" s="663">
        <f t="shared" ca="1" si="117"/>
        <v>0</v>
      </c>
      <c r="AV116" s="663">
        <f t="shared" ca="1" si="118"/>
        <v>0</v>
      </c>
      <c r="AW116" s="663">
        <f t="shared" ca="1" si="119"/>
        <v>1116.5999999999999</v>
      </c>
      <c r="AX116" s="663">
        <f t="shared" ca="1" si="120"/>
        <v>0</v>
      </c>
      <c r="AY116" s="663">
        <f t="shared" ca="1" si="121"/>
        <v>0</v>
      </c>
      <c r="AZ116" s="663">
        <f t="shared" ca="1" si="122"/>
        <v>0</v>
      </c>
      <c r="BA116" s="663">
        <f t="shared" ca="1" si="123"/>
        <v>0</v>
      </c>
      <c r="BB116" s="663">
        <f t="shared" ca="1" si="124"/>
        <v>0</v>
      </c>
      <c r="BC116" s="663">
        <f t="shared" ca="1" si="125"/>
        <v>0</v>
      </c>
      <c r="BD116" s="663">
        <f t="shared" ca="1" si="126"/>
        <v>0</v>
      </c>
      <c r="BE116" s="663">
        <f t="shared" ca="1" si="127"/>
        <v>0</v>
      </c>
      <c r="BF116" s="663">
        <f t="shared" ca="1" si="128"/>
        <v>0</v>
      </c>
      <c r="BG116" s="663">
        <f t="shared" ca="1" si="129"/>
        <v>0</v>
      </c>
      <c r="BH116" s="663">
        <f t="shared" ca="1" si="130"/>
        <v>0</v>
      </c>
      <c r="BI116" s="663">
        <f t="shared" ca="1" si="131"/>
        <v>0</v>
      </c>
      <c r="BJ116" s="663">
        <f t="shared" ca="1" si="132"/>
        <v>0</v>
      </c>
      <c r="BK116" s="663">
        <f t="shared" ca="1" si="133"/>
        <v>0</v>
      </c>
      <c r="BL116" s="1918"/>
      <c r="BM116" s="1532"/>
      <c r="BN116" s="1919"/>
      <c r="BO116" s="600"/>
      <c r="BP116" s="601"/>
      <c r="BQ116" s="596"/>
      <c r="BR116" s="602"/>
      <c r="BS116" s="603"/>
      <c r="BT116" s="602"/>
      <c r="BU116" s="602"/>
      <c r="BV116" s="602"/>
      <c r="BW116" s="604"/>
      <c r="BX116" s="605"/>
      <c r="BY116" s="602"/>
      <c r="BZ116" s="602"/>
      <c r="CA116"/>
      <c r="CB116" s="607"/>
      <c r="CC116" s="608"/>
      <c r="CD116" s="608"/>
      <c r="CE116" s="608"/>
      <c r="CF116" s="600"/>
    </row>
    <row r="117" spans="2:84" ht="12" customHeight="1" x14ac:dyDescent="0.35">
      <c r="B117" s="590">
        <f>MATCH(C117,'360SpcLdsCSV'!$C$6:$C$500,0)</f>
        <v>61</v>
      </c>
      <c r="C117" s="590" t="str">
        <f>'360SpcLdsCSV'!C66</f>
        <v>L06-604_AstoRaccIncd</v>
      </c>
      <c r="D117" s="590" t="str">
        <f t="shared" si="134"/>
        <v>L06</v>
      </c>
      <c r="E117" s="590" t="str">
        <f t="shared" si="135"/>
        <v>Asto</v>
      </c>
      <c r="F117" s="590" t="str">
        <f t="shared" si="136"/>
        <v>Racc</v>
      </c>
      <c r="G117" s="590" t="str">
        <f t="shared" si="137"/>
        <v>Incd</v>
      </c>
      <c r="H117" s="590" t="str">
        <f ca="1">OFFSET('360SpcLdsCSV'!$B$5,$B117,H$51)</f>
        <v>Level 6</v>
      </c>
      <c r="I117" s="590" t="str">
        <f ca="1">OFFSET('360SpcLdsCSV'!$B$5,$B117,I$51)</f>
        <v>IndirectlyConditioned</v>
      </c>
      <c r="J117" s="590" t="str">
        <f ca="1">OFFSET('360SpcLdsCSV'!$B$5,$B117,J$51)</f>
        <v>Storage Room - &lt;50 ft2</v>
      </c>
      <c r="K117" s="590" t="str">
        <f ca="1">OFFSET('360SpcLdsCSV'!$B$5,$B117,K$51)</f>
        <v>Nonresidential</v>
      </c>
      <c r="L117" s="590" t="str">
        <f ca="1">OFFSET('360SpcLdsCSV'!$B$5,$B117,L$51)</f>
        <v>Thermal Zone: L06-600_CorrRaccSphp</v>
      </c>
      <c r="M117" s="592">
        <f ca="1">OFFSET('360SpcLdsCSV'!$B$5,$B117,M$51)</f>
        <v>135.05760000000001</v>
      </c>
      <c r="N117" s="592">
        <f ca="1">OFFSET('360SpcLdsCSV'!$B$5,$B117,N$51)</f>
        <v>1350.58</v>
      </c>
      <c r="O117" s="592">
        <f ca="1">OFFSET('360SpcLdsCSV'!$B$5,$B117,O$51)</f>
        <v>0</v>
      </c>
      <c r="P117" s="592">
        <f ca="1">OFFSET('360SpcLdsCSV'!$B$5,$B117,P$51)</f>
        <v>0</v>
      </c>
      <c r="Q117" s="592">
        <f ca="1">OFFSET('360SpcLdsCSV'!$B$5,$B117,Q$51)</f>
        <v>0</v>
      </c>
      <c r="R117" s="592">
        <f ca="1">OFFSET('360SpcLdsCSV'!$B$5,$B117,R$51)</f>
        <v>0</v>
      </c>
      <c r="S117" s="592">
        <f ca="1">OFFSET('360SpcLdsCSV'!$B$5,$B117,S$51)</f>
        <v>0</v>
      </c>
      <c r="T117" s="592">
        <f ca="1">OFFSET('360SpcLdsCSV'!$B$5,$B117,T$51)</f>
        <v>0</v>
      </c>
      <c r="U117" s="592">
        <f ca="1">OFFSET('360SpcLdsCSV'!$B$5,$B117,U$51)</f>
        <v>0</v>
      </c>
      <c r="V117" s="592">
        <f ca="1">OFFSET('360SpcLdsCSV'!$B$5,$B117,V$51)</f>
        <v>0</v>
      </c>
      <c r="W117" s="592">
        <f ca="1">OFFSET('360SpcLdsCSV'!$B$5,$B117,W$51)</f>
        <v>135.1</v>
      </c>
      <c r="X117" s="592">
        <f ca="1">OFFSET('360SpcLdsCSV'!$B$5,$B117,X$51)</f>
        <v>0</v>
      </c>
      <c r="Y117" s="592">
        <f ca="1">OFFSET('360SpcLdsCSV'!$B$5,$B117,Y$51)</f>
        <v>0</v>
      </c>
      <c r="Z117" s="592">
        <f ca="1">OFFSET('360SpcLdsCSV'!$B$5,$B117,Z$51)</f>
        <v>0</v>
      </c>
      <c r="AA117" s="592">
        <f ca="1">OFFSET('360SpcLdsCSV'!$B$5,$B117,AA$51)</f>
        <v>0</v>
      </c>
      <c r="AB117" s="592">
        <f ca="1">OFFSET('360SpcLdsCSV'!$B$5,$B117,AB$51)</f>
        <v>0</v>
      </c>
      <c r="AC117" s="592">
        <f ca="1">OFFSET('360SpcLdsCSV'!$B$5,$B117,AC$51)</f>
        <v>0</v>
      </c>
      <c r="AD117" s="592">
        <f ca="1">OFFSET('360SpcLdsCSV'!$B$5,$B117,AD$51)</f>
        <v>0</v>
      </c>
      <c r="AE117" s="592">
        <f ca="1">OFFSET('360SpcLdsCSV'!$B$5,$B117,AE$51)</f>
        <v>0</v>
      </c>
      <c r="AF117" s="592">
        <f ca="1">OFFSET('360SpcLdsCSV'!$B$5,$B117,AF$51)</f>
        <v>0</v>
      </c>
      <c r="AG117" s="592">
        <f ca="1">OFFSET('360SpcLdsCSV'!$B$5,$B117,AG$51)</f>
        <v>0</v>
      </c>
      <c r="AH117" s="592">
        <f ca="1">OFFSET('360SpcLdsCSV'!$B$5,$B117,AH$51)</f>
        <v>0</v>
      </c>
      <c r="AI117" s="592">
        <f ca="1">OFFSET('360SpcLdsCSV'!$B$5,$B117,AI$51)</f>
        <v>0</v>
      </c>
      <c r="AJ117" s="592" cm="1">
        <f t="array" ref="AJ117">_xlfn.IFS($F117="Resi",1,$F117="Racc",0,$F117="Coml",0,$F117="Prkg",0)</f>
        <v>0</v>
      </c>
      <c r="AK117" s="596"/>
      <c r="AL117" s="590">
        <f ca="1">OFFSET('360SpcLdsCSV'!$B$5,$B117,AL$51)</f>
        <v>1</v>
      </c>
      <c r="AM117" s="663">
        <f t="shared" ca="1" si="110"/>
        <v>1</v>
      </c>
      <c r="AN117" s="663">
        <f t="shared" ca="1" si="111"/>
        <v>0</v>
      </c>
      <c r="AO117" s="663">
        <f t="shared" ca="1" si="138"/>
        <v>135.05760000000001</v>
      </c>
      <c r="AP117" s="663">
        <f t="shared" ca="1" si="112"/>
        <v>1350.58</v>
      </c>
      <c r="AQ117" s="663">
        <f t="shared" ca="1" si="113"/>
        <v>0</v>
      </c>
      <c r="AR117" s="663">
        <f t="shared" ca="1" si="114"/>
        <v>0</v>
      </c>
      <c r="AS117" s="663">
        <f t="shared" ca="1" si="115"/>
        <v>0</v>
      </c>
      <c r="AT117" s="663">
        <f t="shared" ca="1" si="116"/>
        <v>0</v>
      </c>
      <c r="AU117" s="663">
        <f t="shared" ca="1" si="117"/>
        <v>0</v>
      </c>
      <c r="AV117" s="663">
        <f t="shared" ca="1" si="118"/>
        <v>0</v>
      </c>
      <c r="AW117" s="663">
        <f t="shared" ca="1" si="119"/>
        <v>0</v>
      </c>
      <c r="AX117" s="663">
        <f t="shared" ca="1" si="120"/>
        <v>0</v>
      </c>
      <c r="AY117" s="663">
        <f t="shared" ca="1" si="121"/>
        <v>135.1</v>
      </c>
      <c r="AZ117" s="663">
        <f t="shared" ca="1" si="122"/>
        <v>0</v>
      </c>
      <c r="BA117" s="663">
        <f t="shared" ca="1" si="123"/>
        <v>0</v>
      </c>
      <c r="BB117" s="663">
        <f t="shared" ca="1" si="124"/>
        <v>0</v>
      </c>
      <c r="BC117" s="663">
        <f t="shared" ca="1" si="125"/>
        <v>0</v>
      </c>
      <c r="BD117" s="663">
        <f t="shared" ca="1" si="126"/>
        <v>0</v>
      </c>
      <c r="BE117" s="663">
        <f t="shared" ca="1" si="127"/>
        <v>0</v>
      </c>
      <c r="BF117" s="663">
        <f t="shared" ca="1" si="128"/>
        <v>0</v>
      </c>
      <c r="BG117" s="663">
        <f t="shared" ca="1" si="129"/>
        <v>0</v>
      </c>
      <c r="BH117" s="663">
        <f t="shared" ca="1" si="130"/>
        <v>0</v>
      </c>
      <c r="BI117" s="663">
        <f t="shared" ca="1" si="131"/>
        <v>0</v>
      </c>
      <c r="BJ117" s="663">
        <f t="shared" ca="1" si="132"/>
        <v>0</v>
      </c>
      <c r="BK117" s="663">
        <f t="shared" ca="1" si="133"/>
        <v>0</v>
      </c>
      <c r="BL117" s="1918"/>
      <c r="BM117" s="1532"/>
      <c r="BN117" s="1919"/>
      <c r="BO117" s="600"/>
      <c r="BP117" s="601"/>
      <c r="BQ117" s="596"/>
      <c r="BR117" s="602"/>
      <c r="BS117" s="603"/>
      <c r="BT117" s="602"/>
      <c r="BU117" s="602"/>
      <c r="BV117" s="602"/>
      <c r="BW117" s="604"/>
      <c r="BX117" s="605"/>
      <c r="BY117" s="602"/>
      <c r="BZ117" s="602"/>
      <c r="CA117"/>
      <c r="CB117" s="607"/>
      <c r="CC117" s="608"/>
      <c r="CD117" s="608"/>
      <c r="CE117" s="608"/>
      <c r="CF117" s="600"/>
    </row>
    <row r="118" spans="2:84" ht="12" customHeight="1" x14ac:dyDescent="0.35">
      <c r="B118" s="590">
        <f>MATCH(C118,'360SpcLdsCSV'!$C$6:$C$500,0)</f>
        <v>62</v>
      </c>
      <c r="C118" s="590" t="str">
        <f>'360SpcLdsCSV'!C67</f>
        <v>L06-605_MfamResiPthp</v>
      </c>
      <c r="D118" s="590" t="str">
        <f t="shared" si="134"/>
        <v>L06</v>
      </c>
      <c r="E118" s="590" t="str">
        <f t="shared" si="135"/>
        <v>Mfam</v>
      </c>
      <c r="F118" s="590" t="str">
        <f t="shared" si="136"/>
        <v>Resi</v>
      </c>
      <c r="G118" s="590" t="str">
        <f t="shared" si="137"/>
        <v>Pthp</v>
      </c>
      <c r="H118" s="590" t="str">
        <f ca="1">OFFSET('360SpcLdsCSV'!$B$5,$B118,H$51)</f>
        <v>Level 6</v>
      </c>
      <c r="I118" s="590" t="str">
        <f ca="1">OFFSET('360SpcLdsCSV'!$B$5,$B118,I$51)</f>
        <v>DirectlyConditioned</v>
      </c>
      <c r="J118" s="590" t="str">
        <f ca="1">OFFSET('360SpcLdsCSV'!$B$5,$B118,J$51)</f>
        <v>Dwelling Unit</v>
      </c>
      <c r="K118" s="590" t="str">
        <f ca="1">OFFSET('360SpcLdsCSV'!$B$5,$B118,K$51)</f>
        <v>Residential</v>
      </c>
      <c r="L118" s="590" t="str">
        <f ca="1">OFFSET('360SpcLdsCSV'!$B$5,$B118,L$51)</f>
        <v>Thermal Zone: L06-605_MfamResiPthp</v>
      </c>
      <c r="M118" s="592">
        <f ca="1">OFFSET('360SpcLdsCSV'!$B$5,$B118,M$51)</f>
        <v>3678.0304999999998</v>
      </c>
      <c r="N118" s="592">
        <f ca="1">OFFSET('360SpcLdsCSV'!$B$5,$B118,N$51)</f>
        <v>36780.300000000003</v>
      </c>
      <c r="O118" s="592">
        <f ca="1">OFFSET('360SpcLdsCSV'!$B$5,$B118,O$51)</f>
        <v>1428.2</v>
      </c>
      <c r="P118" s="592">
        <f ca="1">OFFSET('360SpcLdsCSV'!$B$5,$B118,P$51)</f>
        <v>285.60000000000002</v>
      </c>
      <c r="Q118" s="592">
        <f ca="1">OFFSET('360SpcLdsCSV'!$B$5,$B118,Q$51)</f>
        <v>0</v>
      </c>
      <c r="R118" s="592">
        <f ca="1">OFFSET('360SpcLdsCSV'!$B$5,$B118,R$51)</f>
        <v>0</v>
      </c>
      <c r="S118" s="592">
        <f ca="1">OFFSET('360SpcLdsCSV'!$B$5,$B118,S$51)</f>
        <v>0</v>
      </c>
      <c r="T118" s="592">
        <f ca="1">OFFSET('360SpcLdsCSV'!$B$5,$B118,T$51)</f>
        <v>0</v>
      </c>
      <c r="U118" s="592">
        <f ca="1">OFFSET('360SpcLdsCSV'!$B$5,$B118,U$51)</f>
        <v>3678</v>
      </c>
      <c r="V118" s="592">
        <f ca="1">OFFSET('360SpcLdsCSV'!$B$5,$B118,V$51)</f>
        <v>0</v>
      </c>
      <c r="W118" s="592">
        <f ca="1">OFFSET('360SpcLdsCSV'!$B$5,$B118,W$51)</f>
        <v>0</v>
      </c>
      <c r="X118" s="592">
        <f ca="1">OFFSET('360SpcLdsCSV'!$B$5,$B118,X$51)</f>
        <v>0</v>
      </c>
      <c r="Y118" s="592">
        <f ca="1">OFFSET('360SpcLdsCSV'!$B$5,$B118,Y$51)</f>
        <v>0</v>
      </c>
      <c r="Z118" s="592">
        <f ca="1">OFFSET('360SpcLdsCSV'!$B$5,$B118,Z$51)</f>
        <v>0</v>
      </c>
      <c r="AA118" s="592">
        <f ca="1">OFFSET('360SpcLdsCSV'!$B$5,$B118,AA$51)</f>
        <v>0</v>
      </c>
      <c r="AB118" s="592">
        <f ca="1">OFFSET('360SpcLdsCSV'!$B$5,$B118,AB$51)</f>
        <v>0</v>
      </c>
      <c r="AC118" s="592">
        <f ca="1">OFFSET('360SpcLdsCSV'!$B$5,$B118,AC$51)</f>
        <v>0</v>
      </c>
      <c r="AD118" s="592">
        <f ca="1">OFFSET('360SpcLdsCSV'!$B$5,$B118,AD$51)</f>
        <v>0</v>
      </c>
      <c r="AE118" s="592">
        <f ca="1">OFFSET('360SpcLdsCSV'!$B$5,$B118,AE$51)</f>
        <v>0</v>
      </c>
      <c r="AF118" s="592">
        <f ca="1">OFFSET('360SpcLdsCSV'!$B$5,$B118,AF$51)</f>
        <v>0</v>
      </c>
      <c r="AG118" s="592">
        <f ca="1">OFFSET('360SpcLdsCSV'!$B$5,$B118,AG$51)</f>
        <v>0</v>
      </c>
      <c r="AH118" s="592">
        <f ca="1">OFFSET('360SpcLdsCSV'!$B$5,$B118,AH$51)</f>
        <v>0</v>
      </c>
      <c r="AI118" s="592">
        <f ca="1">OFFSET('360SpcLdsCSV'!$B$5,$B118,AI$51)</f>
        <v>0</v>
      </c>
      <c r="AJ118" s="592" cm="1">
        <f t="array" ref="AJ118">_xlfn.IFS($F118="Resi",1,$F118="Racc",0,$F118="Coml",0,$F118="Prkg",0)</f>
        <v>1</v>
      </c>
      <c r="AK118" s="596"/>
      <c r="AL118" s="590">
        <f ca="1">OFFSET('360SpcLdsCSV'!$B$5,$B118,AL$51)</f>
        <v>1</v>
      </c>
      <c r="AM118" s="663">
        <f t="shared" ca="1" si="110"/>
        <v>1</v>
      </c>
      <c r="AN118" s="663">
        <f t="shared" ca="1" si="111"/>
        <v>1</v>
      </c>
      <c r="AO118" s="663">
        <f t="shared" ca="1" si="138"/>
        <v>3678.0304999999998</v>
      </c>
      <c r="AP118" s="663">
        <f t="shared" ca="1" si="112"/>
        <v>36780.300000000003</v>
      </c>
      <c r="AQ118" s="663">
        <f t="shared" ca="1" si="113"/>
        <v>1428.2</v>
      </c>
      <c r="AR118" s="663">
        <f t="shared" ca="1" si="114"/>
        <v>285.60000000000002</v>
      </c>
      <c r="AS118" s="663">
        <f t="shared" ca="1" si="115"/>
        <v>0</v>
      </c>
      <c r="AT118" s="663">
        <f t="shared" ca="1" si="116"/>
        <v>0</v>
      </c>
      <c r="AU118" s="663">
        <f t="shared" ca="1" si="117"/>
        <v>0</v>
      </c>
      <c r="AV118" s="663">
        <f t="shared" ca="1" si="118"/>
        <v>0</v>
      </c>
      <c r="AW118" s="663">
        <f t="shared" ca="1" si="119"/>
        <v>3678</v>
      </c>
      <c r="AX118" s="663">
        <f t="shared" ca="1" si="120"/>
        <v>0</v>
      </c>
      <c r="AY118" s="663">
        <f t="shared" ca="1" si="121"/>
        <v>0</v>
      </c>
      <c r="AZ118" s="663">
        <f t="shared" ca="1" si="122"/>
        <v>0</v>
      </c>
      <c r="BA118" s="663">
        <f t="shared" ca="1" si="123"/>
        <v>0</v>
      </c>
      <c r="BB118" s="663">
        <f t="shared" ca="1" si="124"/>
        <v>0</v>
      </c>
      <c r="BC118" s="663">
        <f t="shared" ca="1" si="125"/>
        <v>0</v>
      </c>
      <c r="BD118" s="663">
        <f t="shared" ca="1" si="126"/>
        <v>0</v>
      </c>
      <c r="BE118" s="663">
        <f t="shared" ca="1" si="127"/>
        <v>0</v>
      </c>
      <c r="BF118" s="663">
        <f t="shared" ca="1" si="128"/>
        <v>0</v>
      </c>
      <c r="BG118" s="663">
        <f t="shared" ca="1" si="129"/>
        <v>0</v>
      </c>
      <c r="BH118" s="663">
        <f t="shared" ca="1" si="130"/>
        <v>0</v>
      </c>
      <c r="BI118" s="663">
        <f t="shared" ca="1" si="131"/>
        <v>0</v>
      </c>
      <c r="BJ118" s="663">
        <f t="shared" ca="1" si="132"/>
        <v>0</v>
      </c>
      <c r="BK118" s="663">
        <f t="shared" ca="1" si="133"/>
        <v>0</v>
      </c>
      <c r="BL118" s="1918"/>
      <c r="BM118" s="1532"/>
      <c r="BN118" s="1919"/>
      <c r="BO118" s="600"/>
      <c r="BP118" s="601"/>
      <c r="BQ118" s="596"/>
      <c r="BR118" s="602"/>
      <c r="BS118" s="603"/>
      <c r="BT118" s="602"/>
      <c r="BU118" s="602"/>
      <c r="BV118" s="602"/>
      <c r="BW118" s="604"/>
      <c r="BX118" s="605"/>
      <c r="BY118" s="602"/>
      <c r="BZ118" s="602"/>
      <c r="CA118"/>
      <c r="CB118" s="607"/>
      <c r="CC118" s="608"/>
      <c r="CD118" s="608"/>
      <c r="CE118" s="608"/>
      <c r="CF118" s="600"/>
    </row>
    <row r="119" spans="2:84" ht="12" customHeight="1" x14ac:dyDescent="0.35">
      <c r="B119" s="590">
        <f>MATCH(C119,'360SpcLdsCSV'!$C$6:$C$500,0)</f>
        <v>63</v>
      </c>
      <c r="C119" s="590" t="str">
        <f>'360SpcLdsCSV'!C68</f>
        <v>L06-606_MfamResiPthp</v>
      </c>
      <c r="D119" s="590" t="str">
        <f t="shared" si="134"/>
        <v>L06</v>
      </c>
      <c r="E119" s="590" t="str">
        <f t="shared" si="135"/>
        <v>Mfam</v>
      </c>
      <c r="F119" s="590" t="str">
        <f t="shared" si="136"/>
        <v>Resi</v>
      </c>
      <c r="G119" s="590" t="str">
        <f t="shared" si="137"/>
        <v>Pthp</v>
      </c>
      <c r="H119" s="590" t="str">
        <f ca="1">OFFSET('360SpcLdsCSV'!$B$5,$B119,H$51)</f>
        <v>Level 6</v>
      </c>
      <c r="I119" s="590" t="str">
        <f ca="1">OFFSET('360SpcLdsCSV'!$B$5,$B119,I$51)</f>
        <v>DirectlyConditioned</v>
      </c>
      <c r="J119" s="590" t="str">
        <f ca="1">OFFSET('360SpcLdsCSV'!$B$5,$B119,J$51)</f>
        <v>Dwelling Unit</v>
      </c>
      <c r="K119" s="590" t="str">
        <f ca="1">OFFSET('360SpcLdsCSV'!$B$5,$B119,K$51)</f>
        <v>Residential</v>
      </c>
      <c r="L119" s="590" t="str">
        <f ca="1">OFFSET('360SpcLdsCSV'!$B$5,$B119,L$51)</f>
        <v>Thermal Zone: L06-606_MfamResiPthp</v>
      </c>
      <c r="M119" s="592">
        <f ca="1">OFFSET('360SpcLdsCSV'!$B$5,$B119,M$51)</f>
        <v>1160.8827000000001</v>
      </c>
      <c r="N119" s="592">
        <f ca="1">OFFSET('360SpcLdsCSV'!$B$5,$B119,N$51)</f>
        <v>11608.8</v>
      </c>
      <c r="O119" s="592">
        <f ca="1">OFFSET('360SpcLdsCSV'!$B$5,$B119,O$51)</f>
        <v>531.70000000000005</v>
      </c>
      <c r="P119" s="592">
        <f ca="1">OFFSET('360SpcLdsCSV'!$B$5,$B119,P$51)</f>
        <v>106.3</v>
      </c>
      <c r="Q119" s="592">
        <f ca="1">OFFSET('360SpcLdsCSV'!$B$5,$B119,Q$51)</f>
        <v>0</v>
      </c>
      <c r="R119" s="592">
        <f ca="1">OFFSET('360SpcLdsCSV'!$B$5,$B119,R$51)</f>
        <v>0</v>
      </c>
      <c r="S119" s="592">
        <f ca="1">OFFSET('360SpcLdsCSV'!$B$5,$B119,S$51)</f>
        <v>0</v>
      </c>
      <c r="T119" s="592">
        <f ca="1">OFFSET('360SpcLdsCSV'!$B$5,$B119,T$51)</f>
        <v>0</v>
      </c>
      <c r="U119" s="592">
        <f ca="1">OFFSET('360SpcLdsCSV'!$B$5,$B119,U$51)</f>
        <v>1160.9000000000001</v>
      </c>
      <c r="V119" s="592">
        <f ca="1">OFFSET('360SpcLdsCSV'!$B$5,$B119,V$51)</f>
        <v>0</v>
      </c>
      <c r="W119" s="592">
        <f ca="1">OFFSET('360SpcLdsCSV'!$B$5,$B119,W$51)</f>
        <v>0</v>
      </c>
      <c r="X119" s="592">
        <f ca="1">OFFSET('360SpcLdsCSV'!$B$5,$B119,X$51)</f>
        <v>0</v>
      </c>
      <c r="Y119" s="592">
        <f ca="1">OFFSET('360SpcLdsCSV'!$B$5,$B119,Y$51)</f>
        <v>0</v>
      </c>
      <c r="Z119" s="592">
        <f ca="1">OFFSET('360SpcLdsCSV'!$B$5,$B119,Z$51)</f>
        <v>0</v>
      </c>
      <c r="AA119" s="592">
        <f ca="1">OFFSET('360SpcLdsCSV'!$B$5,$B119,AA$51)</f>
        <v>0</v>
      </c>
      <c r="AB119" s="592">
        <f ca="1">OFFSET('360SpcLdsCSV'!$B$5,$B119,AB$51)</f>
        <v>0</v>
      </c>
      <c r="AC119" s="592">
        <f ca="1">OFFSET('360SpcLdsCSV'!$B$5,$B119,AC$51)</f>
        <v>0</v>
      </c>
      <c r="AD119" s="592">
        <f ca="1">OFFSET('360SpcLdsCSV'!$B$5,$B119,AD$51)</f>
        <v>0</v>
      </c>
      <c r="AE119" s="592">
        <f ca="1">OFFSET('360SpcLdsCSV'!$B$5,$B119,AE$51)</f>
        <v>0</v>
      </c>
      <c r="AF119" s="592">
        <f ca="1">OFFSET('360SpcLdsCSV'!$B$5,$B119,AF$51)</f>
        <v>0</v>
      </c>
      <c r="AG119" s="592">
        <f ca="1">OFFSET('360SpcLdsCSV'!$B$5,$B119,AG$51)</f>
        <v>0</v>
      </c>
      <c r="AH119" s="592">
        <f ca="1">OFFSET('360SpcLdsCSV'!$B$5,$B119,AH$51)</f>
        <v>0</v>
      </c>
      <c r="AI119" s="592">
        <f ca="1">OFFSET('360SpcLdsCSV'!$B$5,$B119,AI$51)</f>
        <v>0</v>
      </c>
      <c r="AJ119" s="592" cm="1">
        <f t="array" ref="AJ119">_xlfn.IFS($F119="Resi",1,$F119="Racc",0,$F119="Coml",0,$F119="Prkg",0)</f>
        <v>1</v>
      </c>
      <c r="AK119" s="596"/>
      <c r="AL119" s="590">
        <f ca="1">OFFSET('360SpcLdsCSV'!$B$5,$B119,AL$51)</f>
        <v>1</v>
      </c>
      <c r="AM119" s="663">
        <f t="shared" ca="1" si="110"/>
        <v>1</v>
      </c>
      <c r="AN119" s="663">
        <f t="shared" ca="1" si="111"/>
        <v>1</v>
      </c>
      <c r="AO119" s="663">
        <f t="shared" ca="1" si="138"/>
        <v>1160.8827000000001</v>
      </c>
      <c r="AP119" s="663">
        <f t="shared" ca="1" si="112"/>
        <v>11608.8</v>
      </c>
      <c r="AQ119" s="663">
        <f t="shared" ca="1" si="113"/>
        <v>531.70000000000005</v>
      </c>
      <c r="AR119" s="663">
        <f t="shared" ca="1" si="114"/>
        <v>106.3</v>
      </c>
      <c r="AS119" s="663">
        <f t="shared" ca="1" si="115"/>
        <v>0</v>
      </c>
      <c r="AT119" s="663">
        <f t="shared" ca="1" si="116"/>
        <v>0</v>
      </c>
      <c r="AU119" s="663">
        <f t="shared" ca="1" si="117"/>
        <v>0</v>
      </c>
      <c r="AV119" s="663">
        <f t="shared" ca="1" si="118"/>
        <v>0</v>
      </c>
      <c r="AW119" s="663">
        <f t="shared" ca="1" si="119"/>
        <v>1160.9000000000001</v>
      </c>
      <c r="AX119" s="663">
        <f t="shared" ca="1" si="120"/>
        <v>0</v>
      </c>
      <c r="AY119" s="663">
        <f t="shared" ca="1" si="121"/>
        <v>0</v>
      </c>
      <c r="AZ119" s="663">
        <f t="shared" ca="1" si="122"/>
        <v>0</v>
      </c>
      <c r="BA119" s="663">
        <f t="shared" ca="1" si="123"/>
        <v>0</v>
      </c>
      <c r="BB119" s="663">
        <f t="shared" ca="1" si="124"/>
        <v>0</v>
      </c>
      <c r="BC119" s="663">
        <f t="shared" ca="1" si="125"/>
        <v>0</v>
      </c>
      <c r="BD119" s="663">
        <f t="shared" ca="1" si="126"/>
        <v>0</v>
      </c>
      <c r="BE119" s="663">
        <f t="shared" ca="1" si="127"/>
        <v>0</v>
      </c>
      <c r="BF119" s="663">
        <f t="shared" ca="1" si="128"/>
        <v>0</v>
      </c>
      <c r="BG119" s="663">
        <f t="shared" ca="1" si="129"/>
        <v>0</v>
      </c>
      <c r="BH119" s="663">
        <f t="shared" ca="1" si="130"/>
        <v>0</v>
      </c>
      <c r="BI119" s="663">
        <f t="shared" ca="1" si="131"/>
        <v>0</v>
      </c>
      <c r="BJ119" s="663">
        <f t="shared" ca="1" si="132"/>
        <v>0</v>
      </c>
      <c r="BK119" s="663">
        <f t="shared" ca="1" si="133"/>
        <v>0</v>
      </c>
      <c r="BL119" s="1918"/>
      <c r="BM119" s="1532"/>
      <c r="BN119" s="1919"/>
      <c r="BO119" s="600"/>
      <c r="BP119" s="601"/>
      <c r="BQ119" s="596"/>
      <c r="BR119" s="602"/>
      <c r="BS119" s="603"/>
      <c r="BT119" s="602"/>
      <c r="BU119" s="602"/>
      <c r="BV119" s="602"/>
      <c r="BW119" s="604"/>
      <c r="BX119" s="605"/>
      <c r="BY119" s="602"/>
      <c r="BZ119" s="602"/>
      <c r="CA119"/>
      <c r="CB119" s="607"/>
      <c r="CC119" s="608"/>
      <c r="CD119" s="608"/>
      <c r="CE119" s="608"/>
      <c r="CF119" s="600"/>
    </row>
    <row r="120" spans="2:84" ht="12" customHeight="1" x14ac:dyDescent="0.35">
      <c r="B120" s="590">
        <f>MATCH(C120,'360SpcLdsCSV'!$C$6:$C$500,0)</f>
        <v>64</v>
      </c>
      <c r="C120" s="590" t="str">
        <f>'360SpcLdsCSV'!C69</f>
        <v>L06-607_MfamResiPthp</v>
      </c>
      <c r="D120" s="590" t="str">
        <f t="shared" si="134"/>
        <v>L06</v>
      </c>
      <c r="E120" s="590" t="str">
        <f t="shared" si="135"/>
        <v>Mfam</v>
      </c>
      <c r="F120" s="590" t="str">
        <f t="shared" si="136"/>
        <v>Resi</v>
      </c>
      <c r="G120" s="590" t="str">
        <f t="shared" si="137"/>
        <v>Pthp</v>
      </c>
      <c r="H120" s="590" t="str">
        <f ca="1">OFFSET('360SpcLdsCSV'!$B$5,$B120,H$51)</f>
        <v>Level 6</v>
      </c>
      <c r="I120" s="590" t="str">
        <f ca="1">OFFSET('360SpcLdsCSV'!$B$5,$B120,I$51)</f>
        <v>DirectlyConditioned</v>
      </c>
      <c r="J120" s="590" t="str">
        <f ca="1">OFFSET('360SpcLdsCSV'!$B$5,$B120,J$51)</f>
        <v>Dwelling Unit</v>
      </c>
      <c r="K120" s="590" t="str">
        <f ca="1">OFFSET('360SpcLdsCSV'!$B$5,$B120,K$51)</f>
        <v>Residential</v>
      </c>
      <c r="L120" s="590" t="str">
        <f ca="1">OFFSET('360SpcLdsCSV'!$B$5,$B120,L$51)</f>
        <v>Thermal Zone: L06-607_MfamResiPthp</v>
      </c>
      <c r="M120" s="592">
        <f ca="1">OFFSET('360SpcLdsCSV'!$B$5,$B120,M$51)</f>
        <v>1858.692</v>
      </c>
      <c r="N120" s="592">
        <f ca="1">OFFSET('360SpcLdsCSV'!$B$5,$B120,N$51)</f>
        <v>18586.900000000001</v>
      </c>
      <c r="O120" s="592">
        <f ca="1">OFFSET('360SpcLdsCSV'!$B$5,$B120,O$51)</f>
        <v>809.1</v>
      </c>
      <c r="P120" s="592">
        <f ca="1">OFFSET('360SpcLdsCSV'!$B$5,$B120,P$51)</f>
        <v>161.80000000000001</v>
      </c>
      <c r="Q120" s="592">
        <f ca="1">OFFSET('360SpcLdsCSV'!$B$5,$B120,Q$51)</f>
        <v>0</v>
      </c>
      <c r="R120" s="592">
        <f ca="1">OFFSET('360SpcLdsCSV'!$B$5,$B120,R$51)</f>
        <v>0</v>
      </c>
      <c r="S120" s="592">
        <f ca="1">OFFSET('360SpcLdsCSV'!$B$5,$B120,S$51)</f>
        <v>0</v>
      </c>
      <c r="T120" s="592">
        <f ca="1">OFFSET('360SpcLdsCSV'!$B$5,$B120,T$51)</f>
        <v>0</v>
      </c>
      <c r="U120" s="592">
        <f ca="1">OFFSET('360SpcLdsCSV'!$B$5,$B120,U$51)</f>
        <v>1858.7</v>
      </c>
      <c r="V120" s="592">
        <f ca="1">OFFSET('360SpcLdsCSV'!$B$5,$B120,V$51)</f>
        <v>0</v>
      </c>
      <c r="W120" s="592">
        <f ca="1">OFFSET('360SpcLdsCSV'!$B$5,$B120,W$51)</f>
        <v>0</v>
      </c>
      <c r="X120" s="592">
        <f ca="1">OFFSET('360SpcLdsCSV'!$B$5,$B120,X$51)</f>
        <v>0</v>
      </c>
      <c r="Y120" s="592">
        <f ca="1">OFFSET('360SpcLdsCSV'!$B$5,$B120,Y$51)</f>
        <v>0</v>
      </c>
      <c r="Z120" s="592">
        <f ca="1">OFFSET('360SpcLdsCSV'!$B$5,$B120,Z$51)</f>
        <v>0</v>
      </c>
      <c r="AA120" s="592">
        <f ca="1">OFFSET('360SpcLdsCSV'!$B$5,$B120,AA$51)</f>
        <v>0</v>
      </c>
      <c r="AB120" s="592">
        <f ca="1">OFFSET('360SpcLdsCSV'!$B$5,$B120,AB$51)</f>
        <v>0</v>
      </c>
      <c r="AC120" s="592">
        <f ca="1">OFFSET('360SpcLdsCSV'!$B$5,$B120,AC$51)</f>
        <v>0</v>
      </c>
      <c r="AD120" s="592">
        <f ca="1">OFFSET('360SpcLdsCSV'!$B$5,$B120,AD$51)</f>
        <v>0</v>
      </c>
      <c r="AE120" s="592">
        <f ca="1">OFFSET('360SpcLdsCSV'!$B$5,$B120,AE$51)</f>
        <v>0</v>
      </c>
      <c r="AF120" s="592">
        <f ca="1">OFFSET('360SpcLdsCSV'!$B$5,$B120,AF$51)</f>
        <v>0</v>
      </c>
      <c r="AG120" s="592">
        <f ca="1">OFFSET('360SpcLdsCSV'!$B$5,$B120,AG$51)</f>
        <v>0</v>
      </c>
      <c r="AH120" s="592">
        <f ca="1">OFFSET('360SpcLdsCSV'!$B$5,$B120,AH$51)</f>
        <v>0</v>
      </c>
      <c r="AI120" s="592">
        <f ca="1">OFFSET('360SpcLdsCSV'!$B$5,$B120,AI$51)</f>
        <v>0</v>
      </c>
      <c r="AJ120" s="592" cm="1">
        <f t="array" ref="AJ120">_xlfn.IFS($F120="Resi",1,$F120="Racc",0,$F120="Coml",0,$F120="Prkg",0)</f>
        <v>1</v>
      </c>
      <c r="AK120" s="596"/>
      <c r="AL120" s="590">
        <f ca="1">OFFSET('360SpcLdsCSV'!$B$5,$B120,AL$51)</f>
        <v>1</v>
      </c>
      <c r="AM120" s="663">
        <f t="shared" ca="1" si="110"/>
        <v>1</v>
      </c>
      <c r="AN120" s="663">
        <f t="shared" ca="1" si="111"/>
        <v>1</v>
      </c>
      <c r="AO120" s="663">
        <f t="shared" ca="1" si="138"/>
        <v>1858.692</v>
      </c>
      <c r="AP120" s="663">
        <f t="shared" ca="1" si="112"/>
        <v>18586.900000000001</v>
      </c>
      <c r="AQ120" s="663">
        <f t="shared" ca="1" si="113"/>
        <v>809.1</v>
      </c>
      <c r="AR120" s="663">
        <f t="shared" ca="1" si="114"/>
        <v>161.80000000000001</v>
      </c>
      <c r="AS120" s="663">
        <f t="shared" ca="1" si="115"/>
        <v>0</v>
      </c>
      <c r="AT120" s="663">
        <f t="shared" ca="1" si="116"/>
        <v>0</v>
      </c>
      <c r="AU120" s="663">
        <f t="shared" ca="1" si="117"/>
        <v>0</v>
      </c>
      <c r="AV120" s="663">
        <f t="shared" ca="1" si="118"/>
        <v>0</v>
      </c>
      <c r="AW120" s="663">
        <f t="shared" ca="1" si="119"/>
        <v>1858.7</v>
      </c>
      <c r="AX120" s="663">
        <f t="shared" ca="1" si="120"/>
        <v>0</v>
      </c>
      <c r="AY120" s="663">
        <f t="shared" ca="1" si="121"/>
        <v>0</v>
      </c>
      <c r="AZ120" s="663">
        <f t="shared" ca="1" si="122"/>
        <v>0</v>
      </c>
      <c r="BA120" s="663">
        <f t="shared" ca="1" si="123"/>
        <v>0</v>
      </c>
      <c r="BB120" s="663">
        <f t="shared" ca="1" si="124"/>
        <v>0</v>
      </c>
      <c r="BC120" s="663">
        <f t="shared" ca="1" si="125"/>
        <v>0</v>
      </c>
      <c r="BD120" s="663">
        <f t="shared" ca="1" si="126"/>
        <v>0</v>
      </c>
      <c r="BE120" s="663">
        <f t="shared" ca="1" si="127"/>
        <v>0</v>
      </c>
      <c r="BF120" s="663">
        <f t="shared" ca="1" si="128"/>
        <v>0</v>
      </c>
      <c r="BG120" s="663">
        <f t="shared" ca="1" si="129"/>
        <v>0</v>
      </c>
      <c r="BH120" s="663">
        <f t="shared" ca="1" si="130"/>
        <v>0</v>
      </c>
      <c r="BI120" s="663">
        <f t="shared" ca="1" si="131"/>
        <v>0</v>
      </c>
      <c r="BJ120" s="663">
        <f t="shared" ca="1" si="132"/>
        <v>0</v>
      </c>
      <c r="BK120" s="663">
        <f t="shared" ca="1" si="133"/>
        <v>0</v>
      </c>
      <c r="BL120" s="1918"/>
      <c r="BM120" s="1532"/>
      <c r="BN120" s="1919"/>
      <c r="BO120" s="600"/>
      <c r="BP120" s="601"/>
      <c r="BQ120" s="596"/>
      <c r="BR120" s="602"/>
      <c r="BS120" s="603"/>
      <c r="BT120" s="602"/>
      <c r="BU120" s="602"/>
      <c r="BV120" s="602"/>
      <c r="BW120" s="604"/>
      <c r="BX120" s="605"/>
      <c r="BY120" s="602"/>
      <c r="BZ120" s="602"/>
      <c r="CA120"/>
      <c r="CB120" s="607"/>
      <c r="CC120" s="608"/>
      <c r="CD120" s="608"/>
      <c r="CE120" s="608"/>
      <c r="CF120" s="600"/>
    </row>
    <row r="121" spans="2:84" ht="12" customHeight="1" x14ac:dyDescent="0.35">
      <c r="B121" s="590">
        <f>MATCH(C121,'360SpcLdsCSV'!$C$6:$C$500,0)</f>
        <v>65</v>
      </c>
      <c r="C121" s="590" t="str">
        <f>'360SpcLdsCSV'!C70</f>
        <v>L06-608_MfamResiPthp</v>
      </c>
      <c r="D121" s="590" t="str">
        <f t="shared" si="134"/>
        <v>L06</v>
      </c>
      <c r="E121" s="590" t="str">
        <f t="shared" si="135"/>
        <v>Mfam</v>
      </c>
      <c r="F121" s="590" t="str">
        <f t="shared" si="136"/>
        <v>Resi</v>
      </c>
      <c r="G121" s="590" t="str">
        <f t="shared" si="137"/>
        <v>Pthp</v>
      </c>
      <c r="H121" s="590" t="str">
        <f ca="1">OFFSET('360SpcLdsCSV'!$B$5,$B121,H$51)</f>
        <v>Level 6</v>
      </c>
      <c r="I121" s="590" t="str">
        <f ca="1">OFFSET('360SpcLdsCSV'!$B$5,$B121,I$51)</f>
        <v>DirectlyConditioned</v>
      </c>
      <c r="J121" s="590" t="str">
        <f ca="1">OFFSET('360SpcLdsCSV'!$B$5,$B121,J$51)</f>
        <v>Dwelling Unit</v>
      </c>
      <c r="K121" s="590" t="str">
        <f ca="1">OFFSET('360SpcLdsCSV'!$B$5,$B121,K$51)</f>
        <v>Residential</v>
      </c>
      <c r="L121" s="590" t="str">
        <f ca="1">OFFSET('360SpcLdsCSV'!$B$5,$B121,L$51)</f>
        <v>Thermal Zone: L06-608_MfamResiPthp</v>
      </c>
      <c r="M121" s="592">
        <f ca="1">OFFSET('360SpcLdsCSV'!$B$5,$B121,M$51)</f>
        <v>872.66200000000003</v>
      </c>
      <c r="N121" s="592">
        <f ca="1">OFFSET('360SpcLdsCSV'!$B$5,$B121,N$51)</f>
        <v>8726.6200000000008</v>
      </c>
      <c r="O121" s="592">
        <f ca="1">OFFSET('360SpcLdsCSV'!$B$5,$B121,O$51)</f>
        <v>590.9</v>
      </c>
      <c r="P121" s="592">
        <f ca="1">OFFSET('360SpcLdsCSV'!$B$5,$B121,P$51)</f>
        <v>118.2</v>
      </c>
      <c r="Q121" s="592">
        <f ca="1">OFFSET('360SpcLdsCSV'!$B$5,$B121,Q$51)</f>
        <v>0</v>
      </c>
      <c r="R121" s="592">
        <f ca="1">OFFSET('360SpcLdsCSV'!$B$5,$B121,R$51)</f>
        <v>0</v>
      </c>
      <c r="S121" s="592">
        <f ca="1">OFFSET('360SpcLdsCSV'!$B$5,$B121,S$51)</f>
        <v>0</v>
      </c>
      <c r="T121" s="592">
        <f ca="1">OFFSET('360SpcLdsCSV'!$B$5,$B121,T$51)</f>
        <v>0</v>
      </c>
      <c r="U121" s="592">
        <f ca="1">OFFSET('360SpcLdsCSV'!$B$5,$B121,U$51)</f>
        <v>872.7</v>
      </c>
      <c r="V121" s="592">
        <f ca="1">OFFSET('360SpcLdsCSV'!$B$5,$B121,V$51)</f>
        <v>0</v>
      </c>
      <c r="W121" s="592">
        <f ca="1">OFFSET('360SpcLdsCSV'!$B$5,$B121,W$51)</f>
        <v>0</v>
      </c>
      <c r="X121" s="592">
        <f ca="1">OFFSET('360SpcLdsCSV'!$B$5,$B121,X$51)</f>
        <v>0</v>
      </c>
      <c r="Y121" s="592">
        <f ca="1">OFFSET('360SpcLdsCSV'!$B$5,$B121,Y$51)</f>
        <v>0</v>
      </c>
      <c r="Z121" s="592">
        <f ca="1">OFFSET('360SpcLdsCSV'!$B$5,$B121,Z$51)</f>
        <v>0</v>
      </c>
      <c r="AA121" s="592">
        <f ca="1">OFFSET('360SpcLdsCSV'!$B$5,$B121,AA$51)</f>
        <v>0</v>
      </c>
      <c r="AB121" s="592">
        <f ca="1">OFFSET('360SpcLdsCSV'!$B$5,$B121,AB$51)</f>
        <v>0</v>
      </c>
      <c r="AC121" s="592">
        <f ca="1">OFFSET('360SpcLdsCSV'!$B$5,$B121,AC$51)</f>
        <v>0</v>
      </c>
      <c r="AD121" s="592">
        <f ca="1">OFFSET('360SpcLdsCSV'!$B$5,$B121,AD$51)</f>
        <v>0</v>
      </c>
      <c r="AE121" s="592">
        <f ca="1">OFFSET('360SpcLdsCSV'!$B$5,$B121,AE$51)</f>
        <v>0</v>
      </c>
      <c r="AF121" s="592">
        <f ca="1">OFFSET('360SpcLdsCSV'!$B$5,$B121,AF$51)</f>
        <v>0</v>
      </c>
      <c r="AG121" s="592">
        <f ca="1">OFFSET('360SpcLdsCSV'!$B$5,$B121,AG$51)</f>
        <v>0</v>
      </c>
      <c r="AH121" s="592">
        <f ca="1">OFFSET('360SpcLdsCSV'!$B$5,$B121,AH$51)</f>
        <v>0</v>
      </c>
      <c r="AI121" s="592">
        <f ca="1">OFFSET('360SpcLdsCSV'!$B$5,$B121,AI$51)</f>
        <v>0</v>
      </c>
      <c r="AJ121" s="592" cm="1">
        <f t="array" ref="AJ121">_xlfn.IFS($F121="Resi",1,$F121="Racc",0,$F121="Coml",0,$F121="Prkg",0)</f>
        <v>1</v>
      </c>
      <c r="AK121" s="596"/>
      <c r="AL121" s="590">
        <f ca="1">OFFSET('360SpcLdsCSV'!$B$5,$B121,AL$51)</f>
        <v>1</v>
      </c>
      <c r="AM121" s="663">
        <f t="shared" ref="AM121:AM184" ca="1" si="139">IF(I121="Unconditioned",0,1)</f>
        <v>1</v>
      </c>
      <c r="AN121" s="663">
        <f t="shared" ref="AN121:AN184" ca="1" si="140">IF(K121="Residential",1,0)</f>
        <v>1</v>
      </c>
      <c r="AO121" s="663">
        <f t="shared" ca="1" si="138"/>
        <v>872.66200000000003</v>
      </c>
      <c r="AP121" s="663">
        <f t="shared" ref="AP121:AP184" ca="1" si="141">N121*$AL121</f>
        <v>8726.6200000000008</v>
      </c>
      <c r="AQ121" s="663">
        <f t="shared" ref="AQ121:AQ184" ca="1" si="142">O121*$AL121</f>
        <v>590.9</v>
      </c>
      <c r="AR121" s="663">
        <f t="shared" ref="AR121:AR184" ca="1" si="143">P121*$AL121</f>
        <v>118.2</v>
      </c>
      <c r="AS121" s="663">
        <f t="shared" ref="AS121:AS184" ca="1" si="144">Q121*$AL121</f>
        <v>0</v>
      </c>
      <c r="AT121" s="663">
        <f t="shared" ref="AT121:AT184" ca="1" si="145">R121*$AL121</f>
        <v>0</v>
      </c>
      <c r="AU121" s="663">
        <f t="shared" ref="AU121:AU184" ca="1" si="146">S121*$AL121</f>
        <v>0</v>
      </c>
      <c r="AV121" s="663">
        <f t="shared" ref="AV121:AV184" ca="1" si="147">T121*$AL121</f>
        <v>0</v>
      </c>
      <c r="AW121" s="663">
        <f t="shared" ref="AW121:AW184" ca="1" si="148">U121*$AL121</f>
        <v>872.7</v>
      </c>
      <c r="AX121" s="663">
        <f t="shared" ref="AX121:AX184" ca="1" si="149">V121*$AL121</f>
        <v>0</v>
      </c>
      <c r="AY121" s="663">
        <f t="shared" ref="AY121:AY184" ca="1" si="150">W121*$AL121</f>
        <v>0</v>
      </c>
      <c r="AZ121" s="663">
        <f t="shared" ref="AZ121:AZ184" ca="1" si="151">X121*$AL121</f>
        <v>0</v>
      </c>
      <c r="BA121" s="663">
        <f t="shared" ref="BA121:BA184" ca="1" si="152">Y121*$AL121</f>
        <v>0</v>
      </c>
      <c r="BB121" s="663">
        <f t="shared" ref="BB121:BB184" ca="1" si="153">Z121*$AL121</f>
        <v>0</v>
      </c>
      <c r="BC121" s="663">
        <f t="shared" ref="BC121:BC184" ca="1" si="154">AA121*$AL121</f>
        <v>0</v>
      </c>
      <c r="BD121" s="663">
        <f t="shared" ref="BD121:BD184" ca="1" si="155">AB121*$AL121</f>
        <v>0</v>
      </c>
      <c r="BE121" s="663">
        <f t="shared" ref="BE121:BE184" ca="1" si="156">AC121*$AL121</f>
        <v>0</v>
      </c>
      <c r="BF121" s="663">
        <f t="shared" ref="BF121:BF184" ca="1" si="157">AD121*$AL121</f>
        <v>0</v>
      </c>
      <c r="BG121" s="663">
        <f t="shared" ref="BG121:BG184" ca="1" si="158">AE121*$AL121</f>
        <v>0</v>
      </c>
      <c r="BH121" s="663">
        <f t="shared" ref="BH121:BH184" ca="1" si="159">AF121*$AL121</f>
        <v>0</v>
      </c>
      <c r="BI121" s="663">
        <f t="shared" ref="BI121:BI184" ca="1" si="160">AG121*$AL121</f>
        <v>0</v>
      </c>
      <c r="BJ121" s="663">
        <f t="shared" ref="BJ121:BJ184" ca="1" si="161">AH121*$AL121</f>
        <v>0</v>
      </c>
      <c r="BK121" s="663">
        <f t="shared" ref="BK121:BK184" ca="1" si="162">AI121*$AL121</f>
        <v>0</v>
      </c>
      <c r="BL121" s="1918"/>
      <c r="BM121" s="1532"/>
      <c r="BN121" s="1919"/>
      <c r="BO121" s="600"/>
      <c r="BP121" s="601"/>
      <c r="BQ121" s="596"/>
      <c r="BR121" s="602"/>
      <c r="BS121" s="603"/>
      <c r="BT121" s="602"/>
      <c r="BU121" s="602"/>
      <c r="BV121" s="602"/>
      <c r="BW121" s="604"/>
      <c r="BX121" s="605"/>
      <c r="BY121" s="602"/>
      <c r="BZ121" s="602"/>
      <c r="CA121"/>
      <c r="CB121" s="607"/>
      <c r="CC121" s="608"/>
      <c r="CD121" s="608"/>
      <c r="CE121" s="608"/>
      <c r="CF121" s="600"/>
    </row>
    <row r="122" spans="2:84" ht="12" customHeight="1" x14ac:dyDescent="0.35">
      <c r="B122" s="590">
        <f>MATCH(C122,'360SpcLdsCSV'!$C$6:$C$500,0)</f>
        <v>66</v>
      </c>
      <c r="C122" s="590" t="str">
        <f>'360SpcLdsCSV'!C71</f>
        <v>L06-609_MfamResiPthp</v>
      </c>
      <c r="D122" s="590" t="str">
        <f t="shared" ref="D122:D185" si="163">LEFT(C122,3)</f>
        <v>L06</v>
      </c>
      <c r="E122" s="590" t="str">
        <f t="shared" ref="E122:E185" si="164">MID(C122,FIND("_",C122,1)+1,4)</f>
        <v>Mfam</v>
      </c>
      <c r="F122" s="590" t="str">
        <f t="shared" ref="F122:F185" si="165">MID(C122,FIND("_",C122,1)+5,4)</f>
        <v>Resi</v>
      </c>
      <c r="G122" s="590" t="str">
        <f t="shared" ref="G122:G185" si="166">RIGHT(C122,4)</f>
        <v>Pthp</v>
      </c>
      <c r="H122" s="590" t="str">
        <f ca="1">OFFSET('360SpcLdsCSV'!$B$5,$B122,H$51)</f>
        <v>Level 6</v>
      </c>
      <c r="I122" s="590" t="str">
        <f ca="1">OFFSET('360SpcLdsCSV'!$B$5,$B122,I$51)</f>
        <v>DirectlyConditioned</v>
      </c>
      <c r="J122" s="590" t="str">
        <f ca="1">OFFSET('360SpcLdsCSV'!$B$5,$B122,J$51)</f>
        <v>Dwelling Unit</v>
      </c>
      <c r="K122" s="590" t="str">
        <f ca="1">OFFSET('360SpcLdsCSV'!$B$5,$B122,K$51)</f>
        <v>Residential</v>
      </c>
      <c r="L122" s="590" t="str">
        <f ca="1">OFFSET('360SpcLdsCSV'!$B$5,$B122,L$51)</f>
        <v>Thermal Zone: L06-609_MfamResiPthp</v>
      </c>
      <c r="M122" s="592">
        <f ca="1">OFFSET('360SpcLdsCSV'!$B$5,$B122,M$51)</f>
        <v>1347.52</v>
      </c>
      <c r="N122" s="592">
        <f ca="1">OFFSET('360SpcLdsCSV'!$B$5,$B122,N$51)</f>
        <v>13475.2</v>
      </c>
      <c r="O122" s="592">
        <f ca="1">OFFSET('360SpcLdsCSV'!$B$5,$B122,O$51)</f>
        <v>858.4</v>
      </c>
      <c r="P122" s="592">
        <f ca="1">OFFSET('360SpcLdsCSV'!$B$5,$B122,P$51)</f>
        <v>171.7</v>
      </c>
      <c r="Q122" s="592">
        <f ca="1">OFFSET('360SpcLdsCSV'!$B$5,$B122,Q$51)</f>
        <v>0</v>
      </c>
      <c r="R122" s="592">
        <f ca="1">OFFSET('360SpcLdsCSV'!$B$5,$B122,R$51)</f>
        <v>0</v>
      </c>
      <c r="S122" s="592">
        <f ca="1">OFFSET('360SpcLdsCSV'!$B$5,$B122,S$51)</f>
        <v>0</v>
      </c>
      <c r="T122" s="592">
        <f ca="1">OFFSET('360SpcLdsCSV'!$B$5,$B122,T$51)</f>
        <v>0</v>
      </c>
      <c r="U122" s="592">
        <f ca="1">OFFSET('360SpcLdsCSV'!$B$5,$B122,U$51)</f>
        <v>1347.5</v>
      </c>
      <c r="V122" s="592">
        <f ca="1">OFFSET('360SpcLdsCSV'!$B$5,$B122,V$51)</f>
        <v>0</v>
      </c>
      <c r="W122" s="592">
        <f ca="1">OFFSET('360SpcLdsCSV'!$B$5,$B122,W$51)</f>
        <v>0</v>
      </c>
      <c r="X122" s="592">
        <f ca="1">OFFSET('360SpcLdsCSV'!$B$5,$B122,X$51)</f>
        <v>0</v>
      </c>
      <c r="Y122" s="592">
        <f ca="1">OFFSET('360SpcLdsCSV'!$B$5,$B122,Y$51)</f>
        <v>0</v>
      </c>
      <c r="Z122" s="592">
        <f ca="1">OFFSET('360SpcLdsCSV'!$B$5,$B122,Z$51)</f>
        <v>0</v>
      </c>
      <c r="AA122" s="592">
        <f ca="1">OFFSET('360SpcLdsCSV'!$B$5,$B122,AA$51)</f>
        <v>0</v>
      </c>
      <c r="AB122" s="592">
        <f ca="1">OFFSET('360SpcLdsCSV'!$B$5,$B122,AB$51)</f>
        <v>0</v>
      </c>
      <c r="AC122" s="592">
        <f ca="1">OFFSET('360SpcLdsCSV'!$B$5,$B122,AC$51)</f>
        <v>0</v>
      </c>
      <c r="AD122" s="592">
        <f ca="1">OFFSET('360SpcLdsCSV'!$B$5,$B122,AD$51)</f>
        <v>0</v>
      </c>
      <c r="AE122" s="592">
        <f ca="1">OFFSET('360SpcLdsCSV'!$B$5,$B122,AE$51)</f>
        <v>0</v>
      </c>
      <c r="AF122" s="592">
        <f ca="1">OFFSET('360SpcLdsCSV'!$B$5,$B122,AF$51)</f>
        <v>0</v>
      </c>
      <c r="AG122" s="592">
        <f ca="1">OFFSET('360SpcLdsCSV'!$B$5,$B122,AG$51)</f>
        <v>0</v>
      </c>
      <c r="AH122" s="592">
        <f ca="1">OFFSET('360SpcLdsCSV'!$B$5,$B122,AH$51)</f>
        <v>0</v>
      </c>
      <c r="AI122" s="592">
        <f ca="1">OFFSET('360SpcLdsCSV'!$B$5,$B122,AI$51)</f>
        <v>0</v>
      </c>
      <c r="AJ122" s="592" cm="1">
        <f t="array" ref="AJ122">_xlfn.IFS($F122="Resi",1,$F122="Racc",0,$F122="Coml",0,$F122="Prkg",0)</f>
        <v>1</v>
      </c>
      <c r="AK122" s="596"/>
      <c r="AL122" s="590">
        <f ca="1">OFFSET('360SpcLdsCSV'!$B$5,$B122,AL$51)</f>
        <v>1</v>
      </c>
      <c r="AM122" s="663">
        <f t="shared" ca="1" si="139"/>
        <v>1</v>
      </c>
      <c r="AN122" s="663">
        <f t="shared" ca="1" si="140"/>
        <v>1</v>
      </c>
      <c r="AO122" s="663">
        <f t="shared" ref="AO122:AO185" ca="1" si="167">M122*$AL122</f>
        <v>1347.52</v>
      </c>
      <c r="AP122" s="663">
        <f t="shared" ca="1" si="141"/>
        <v>13475.2</v>
      </c>
      <c r="AQ122" s="663">
        <f t="shared" ca="1" si="142"/>
        <v>858.4</v>
      </c>
      <c r="AR122" s="663">
        <f t="shared" ca="1" si="143"/>
        <v>171.7</v>
      </c>
      <c r="AS122" s="663">
        <f t="shared" ca="1" si="144"/>
        <v>0</v>
      </c>
      <c r="AT122" s="663">
        <f t="shared" ca="1" si="145"/>
        <v>0</v>
      </c>
      <c r="AU122" s="663">
        <f t="shared" ca="1" si="146"/>
        <v>0</v>
      </c>
      <c r="AV122" s="663">
        <f t="shared" ca="1" si="147"/>
        <v>0</v>
      </c>
      <c r="AW122" s="663">
        <f t="shared" ca="1" si="148"/>
        <v>1347.5</v>
      </c>
      <c r="AX122" s="663">
        <f t="shared" ca="1" si="149"/>
        <v>0</v>
      </c>
      <c r="AY122" s="663">
        <f t="shared" ca="1" si="150"/>
        <v>0</v>
      </c>
      <c r="AZ122" s="663">
        <f t="shared" ca="1" si="151"/>
        <v>0</v>
      </c>
      <c r="BA122" s="663">
        <f t="shared" ca="1" si="152"/>
        <v>0</v>
      </c>
      <c r="BB122" s="663">
        <f t="shared" ca="1" si="153"/>
        <v>0</v>
      </c>
      <c r="BC122" s="663">
        <f t="shared" ca="1" si="154"/>
        <v>0</v>
      </c>
      <c r="BD122" s="663">
        <f t="shared" ca="1" si="155"/>
        <v>0</v>
      </c>
      <c r="BE122" s="663">
        <f t="shared" ca="1" si="156"/>
        <v>0</v>
      </c>
      <c r="BF122" s="663">
        <f t="shared" ca="1" si="157"/>
        <v>0</v>
      </c>
      <c r="BG122" s="663">
        <f t="shared" ca="1" si="158"/>
        <v>0</v>
      </c>
      <c r="BH122" s="663">
        <f t="shared" ca="1" si="159"/>
        <v>0</v>
      </c>
      <c r="BI122" s="663">
        <f t="shared" ca="1" si="160"/>
        <v>0</v>
      </c>
      <c r="BJ122" s="663">
        <f t="shared" ca="1" si="161"/>
        <v>0</v>
      </c>
      <c r="BK122" s="663">
        <f t="shared" ca="1" si="162"/>
        <v>0</v>
      </c>
      <c r="BL122" s="1918"/>
      <c r="BM122" s="1532"/>
      <c r="BN122" s="1919"/>
      <c r="BO122" s="600"/>
      <c r="BP122" s="601"/>
      <c r="BQ122" s="596"/>
      <c r="BR122" s="602"/>
      <c r="BS122" s="603"/>
      <c r="BT122" s="602"/>
      <c r="BU122" s="602"/>
      <c r="BV122" s="602"/>
      <c r="BW122" s="604"/>
      <c r="BX122" s="605"/>
      <c r="BY122" s="602"/>
      <c r="BZ122" s="602"/>
      <c r="CA122"/>
      <c r="CB122" s="607"/>
      <c r="CC122" s="608"/>
      <c r="CD122" s="608"/>
      <c r="CE122" s="608"/>
      <c r="CF122" s="600"/>
    </row>
    <row r="123" spans="2:84" ht="12" customHeight="1" x14ac:dyDescent="0.35">
      <c r="B123" s="590">
        <f>MATCH(C123,'360SpcLdsCSV'!$C$6:$C$500,0)</f>
        <v>67</v>
      </c>
      <c r="C123" s="590" t="str">
        <f>'360SpcLdsCSV'!C72</f>
        <v>L06-610_LndyRaccBbrd</v>
      </c>
      <c r="D123" s="590" t="str">
        <f t="shared" si="163"/>
        <v>L06</v>
      </c>
      <c r="E123" s="590" t="str">
        <f t="shared" si="164"/>
        <v>Lndy</v>
      </c>
      <c r="F123" s="590" t="str">
        <f t="shared" si="165"/>
        <v>Racc</v>
      </c>
      <c r="G123" s="590" t="str">
        <f t="shared" si="166"/>
        <v>Bbrd</v>
      </c>
      <c r="H123" s="590" t="str">
        <f ca="1">OFFSET('360SpcLdsCSV'!$B$5,$B123,H$51)</f>
        <v>Level 6</v>
      </c>
      <c r="I123" s="590" t="str">
        <f ca="1">OFFSET('360SpcLdsCSV'!$B$5,$B123,I$51)</f>
        <v>DirectlyConditioned</v>
      </c>
      <c r="J123" s="590" t="str">
        <f ca="1">OFFSET('360SpcLdsCSV'!$B$5,$B123,J$51)</f>
        <v>Laundry/Washing Area</v>
      </c>
      <c r="K123" s="590" t="str">
        <f ca="1">OFFSET('360SpcLdsCSV'!$B$5,$B123,K$51)</f>
        <v>Nonresidential</v>
      </c>
      <c r="L123" s="590" t="str">
        <f ca="1">OFFSET('360SpcLdsCSV'!$B$5,$B123,L$51)</f>
        <v>Thermal Zone: L06-610_LndyRaccBbrd</v>
      </c>
      <c r="M123" s="592">
        <f ca="1">OFFSET('360SpcLdsCSV'!$B$5,$B123,M$51)</f>
        <v>272.42880000000002</v>
      </c>
      <c r="N123" s="592">
        <f ca="1">OFFSET('360SpcLdsCSV'!$B$5,$B123,N$51)</f>
        <v>2724.29</v>
      </c>
      <c r="O123" s="592">
        <f ca="1">OFFSET('360SpcLdsCSV'!$B$5,$B123,O$51)</f>
        <v>0</v>
      </c>
      <c r="P123" s="592">
        <f ca="1">OFFSET('360SpcLdsCSV'!$B$5,$B123,P$51)</f>
        <v>0</v>
      </c>
      <c r="Q123" s="592">
        <f ca="1">OFFSET('360SpcLdsCSV'!$B$5,$B123,Q$51)</f>
        <v>65</v>
      </c>
      <c r="R123" s="592">
        <f ca="1">OFFSET('360SpcLdsCSV'!$B$5,$B123,R$51)</f>
        <v>13</v>
      </c>
      <c r="S123" s="592">
        <f ca="1">OFFSET('360SpcLdsCSV'!$B$5,$B123,S$51)</f>
        <v>0</v>
      </c>
      <c r="T123" s="592">
        <f ca="1">OFFSET('360SpcLdsCSV'!$B$5,$B123,T$51)</f>
        <v>0</v>
      </c>
      <c r="U123" s="592">
        <f ca="1">OFFSET('360SpcLdsCSV'!$B$5,$B123,U$51)</f>
        <v>0</v>
      </c>
      <c r="V123" s="592">
        <f ca="1">OFFSET('360SpcLdsCSV'!$B$5,$B123,V$51)</f>
        <v>0</v>
      </c>
      <c r="W123" s="592">
        <f ca="1">OFFSET('360SpcLdsCSV'!$B$5,$B123,W$51)</f>
        <v>0</v>
      </c>
      <c r="X123" s="592">
        <f ca="1">OFFSET('360SpcLdsCSV'!$B$5,$B123,X$51)</f>
        <v>0</v>
      </c>
      <c r="Y123" s="592">
        <f ca="1">OFFSET('360SpcLdsCSV'!$B$5,$B123,Y$51)</f>
        <v>0</v>
      </c>
      <c r="Z123" s="592">
        <f ca="1">OFFSET('360SpcLdsCSV'!$B$5,$B123,Z$51)</f>
        <v>0</v>
      </c>
      <c r="AA123" s="592">
        <f ca="1">OFFSET('360SpcLdsCSV'!$B$5,$B123,AA$51)</f>
        <v>0</v>
      </c>
      <c r="AB123" s="592">
        <f ca="1">OFFSET('360SpcLdsCSV'!$B$5,$B123,AB$51)</f>
        <v>0</v>
      </c>
      <c r="AC123" s="592">
        <f ca="1">OFFSET('360SpcLdsCSV'!$B$5,$B123,AC$51)</f>
        <v>0</v>
      </c>
      <c r="AD123" s="592">
        <f ca="1">OFFSET('360SpcLdsCSV'!$B$5,$B123,AD$51)</f>
        <v>0</v>
      </c>
      <c r="AE123" s="592">
        <f ca="1">OFFSET('360SpcLdsCSV'!$B$5,$B123,AE$51)</f>
        <v>0</v>
      </c>
      <c r="AF123" s="592">
        <f ca="1">OFFSET('360SpcLdsCSV'!$B$5,$B123,AF$51)</f>
        <v>0</v>
      </c>
      <c r="AG123" s="592">
        <f ca="1">OFFSET('360SpcLdsCSV'!$B$5,$B123,AG$51)</f>
        <v>0</v>
      </c>
      <c r="AH123" s="592">
        <f ca="1">OFFSET('360SpcLdsCSV'!$B$5,$B123,AH$51)</f>
        <v>0</v>
      </c>
      <c r="AI123" s="592">
        <f ca="1">OFFSET('360SpcLdsCSV'!$B$5,$B123,AI$51)</f>
        <v>0</v>
      </c>
      <c r="AJ123" s="592" cm="1">
        <f t="array" ref="AJ123">_xlfn.IFS($F123="Resi",1,$F123="Racc",0,$F123="Coml",0,$F123="Prkg",0)</f>
        <v>0</v>
      </c>
      <c r="AK123" s="596"/>
      <c r="AL123" s="590">
        <f ca="1">OFFSET('360SpcLdsCSV'!$B$5,$B123,AL$51)</f>
        <v>1</v>
      </c>
      <c r="AM123" s="663">
        <f t="shared" ca="1" si="139"/>
        <v>1</v>
      </c>
      <c r="AN123" s="663">
        <f t="shared" ca="1" si="140"/>
        <v>0</v>
      </c>
      <c r="AO123" s="663">
        <f t="shared" ca="1" si="167"/>
        <v>272.42880000000002</v>
      </c>
      <c r="AP123" s="663">
        <f t="shared" ca="1" si="141"/>
        <v>2724.29</v>
      </c>
      <c r="AQ123" s="663">
        <f t="shared" ca="1" si="142"/>
        <v>0</v>
      </c>
      <c r="AR123" s="663">
        <f t="shared" ca="1" si="143"/>
        <v>0</v>
      </c>
      <c r="AS123" s="663">
        <f t="shared" ca="1" si="144"/>
        <v>65</v>
      </c>
      <c r="AT123" s="663">
        <f t="shared" ca="1" si="145"/>
        <v>13</v>
      </c>
      <c r="AU123" s="663">
        <f t="shared" ca="1" si="146"/>
        <v>0</v>
      </c>
      <c r="AV123" s="663">
        <f t="shared" ca="1" si="147"/>
        <v>0</v>
      </c>
      <c r="AW123" s="663">
        <f t="shared" ca="1" si="148"/>
        <v>0</v>
      </c>
      <c r="AX123" s="663">
        <f t="shared" ca="1" si="149"/>
        <v>0</v>
      </c>
      <c r="AY123" s="663">
        <f t="shared" ca="1" si="150"/>
        <v>0</v>
      </c>
      <c r="AZ123" s="663">
        <f t="shared" ca="1" si="151"/>
        <v>0</v>
      </c>
      <c r="BA123" s="663">
        <f t="shared" ca="1" si="152"/>
        <v>0</v>
      </c>
      <c r="BB123" s="663">
        <f t="shared" ca="1" si="153"/>
        <v>0</v>
      </c>
      <c r="BC123" s="663">
        <f t="shared" ca="1" si="154"/>
        <v>0</v>
      </c>
      <c r="BD123" s="663">
        <f t="shared" ca="1" si="155"/>
        <v>0</v>
      </c>
      <c r="BE123" s="663">
        <f t="shared" ca="1" si="156"/>
        <v>0</v>
      </c>
      <c r="BF123" s="663">
        <f t="shared" ca="1" si="157"/>
        <v>0</v>
      </c>
      <c r="BG123" s="663">
        <f t="shared" ca="1" si="158"/>
        <v>0</v>
      </c>
      <c r="BH123" s="663">
        <f t="shared" ca="1" si="159"/>
        <v>0</v>
      </c>
      <c r="BI123" s="663">
        <f t="shared" ca="1" si="160"/>
        <v>0</v>
      </c>
      <c r="BJ123" s="663">
        <f t="shared" ca="1" si="161"/>
        <v>0</v>
      </c>
      <c r="BK123" s="663">
        <f t="shared" ca="1" si="162"/>
        <v>0</v>
      </c>
      <c r="BL123" s="1918"/>
      <c r="BM123" s="1532"/>
      <c r="BN123" s="1919"/>
      <c r="BO123" s="600"/>
      <c r="BP123" s="601"/>
      <c r="BQ123" s="596"/>
      <c r="BR123" s="602"/>
      <c r="BS123" s="603"/>
      <c r="BT123" s="602"/>
      <c r="BU123" s="602"/>
      <c r="BV123" s="602"/>
      <c r="BW123" s="604"/>
      <c r="BX123" s="605"/>
      <c r="BY123" s="602"/>
      <c r="BZ123" s="602"/>
      <c r="CA123"/>
      <c r="CB123" s="607"/>
      <c r="CC123" s="608"/>
      <c r="CD123" s="608"/>
      <c r="CE123" s="608"/>
      <c r="CF123" s="600"/>
    </row>
    <row r="124" spans="2:84" ht="12" customHeight="1" x14ac:dyDescent="0.35">
      <c r="B124" s="590">
        <f>MATCH(C124,'360SpcLdsCSV'!$C$6:$C$500,0)</f>
        <v>68</v>
      </c>
      <c r="C124" s="590" t="str">
        <f>'360SpcLdsCSV'!C73</f>
        <v>L06-611_ElevRaccIncd</v>
      </c>
      <c r="D124" s="590" t="str">
        <f t="shared" si="163"/>
        <v>L06</v>
      </c>
      <c r="E124" s="590" t="str">
        <f t="shared" si="164"/>
        <v>Elev</v>
      </c>
      <c r="F124" s="590" t="str">
        <f t="shared" si="165"/>
        <v>Racc</v>
      </c>
      <c r="G124" s="590" t="str">
        <f t="shared" si="166"/>
        <v>Incd</v>
      </c>
      <c r="H124" s="590" t="str">
        <f ca="1">OFFSET('360SpcLdsCSV'!$B$5,$B124,H$51)</f>
        <v>Level 6</v>
      </c>
      <c r="I124" s="590" t="str">
        <f ca="1">OFFSET('360SpcLdsCSV'!$B$5,$B124,I$51)</f>
        <v>IndirectlyConditioned</v>
      </c>
      <c r="J124" s="590" t="str">
        <f ca="1">OFFSET('360SpcLdsCSV'!$B$5,$B124,J$51)</f>
        <v>Unoccupied-Include in Gross Floor Area</v>
      </c>
      <c r="K124" s="590" t="str">
        <f ca="1">OFFSET('360SpcLdsCSV'!$B$5,$B124,K$51)</f>
        <v>Residential</v>
      </c>
      <c r="L124" s="590" t="str">
        <f ca="1">OFFSET('360SpcLdsCSV'!$B$5,$B124,L$51)</f>
        <v>Thermal Zone: L06-600_CorrRaccSphp</v>
      </c>
      <c r="M124" s="592">
        <f ca="1">OFFSET('360SpcLdsCSV'!$B$5,$B124,M$51)</f>
        <v>211.21340000000001</v>
      </c>
      <c r="N124" s="592">
        <f ca="1">OFFSET('360SpcLdsCSV'!$B$5,$B124,N$51)</f>
        <v>2112.13</v>
      </c>
      <c r="O124" s="592">
        <f ca="1">OFFSET('360SpcLdsCSV'!$B$5,$B124,O$51)</f>
        <v>0</v>
      </c>
      <c r="P124" s="592">
        <f ca="1">OFFSET('360SpcLdsCSV'!$B$5,$B124,P$51)</f>
        <v>0</v>
      </c>
      <c r="Q124" s="592">
        <f ca="1">OFFSET('360SpcLdsCSV'!$B$5,$B124,Q$51)</f>
        <v>0</v>
      </c>
      <c r="R124" s="592">
        <f ca="1">OFFSET('360SpcLdsCSV'!$B$5,$B124,R$51)</f>
        <v>0</v>
      </c>
      <c r="S124" s="592">
        <f ca="1">OFFSET('360SpcLdsCSV'!$B$5,$B124,S$51)</f>
        <v>0</v>
      </c>
      <c r="T124" s="592">
        <f ca="1">OFFSET('360SpcLdsCSV'!$B$5,$B124,T$51)</f>
        <v>0</v>
      </c>
      <c r="U124" s="592">
        <f ca="1">OFFSET('360SpcLdsCSV'!$B$5,$B124,U$51)</f>
        <v>0</v>
      </c>
      <c r="V124" s="592">
        <f ca="1">OFFSET('360SpcLdsCSV'!$B$5,$B124,V$51)</f>
        <v>0</v>
      </c>
      <c r="W124" s="592">
        <f ca="1">OFFSET('360SpcLdsCSV'!$B$5,$B124,W$51)</f>
        <v>0</v>
      </c>
      <c r="X124" s="592">
        <f ca="1">OFFSET('360SpcLdsCSV'!$B$5,$B124,X$51)</f>
        <v>0</v>
      </c>
      <c r="Y124" s="592">
        <f ca="1">OFFSET('360SpcLdsCSV'!$B$5,$B124,Y$51)</f>
        <v>0</v>
      </c>
      <c r="Z124" s="592">
        <f ca="1">OFFSET('360SpcLdsCSV'!$B$5,$B124,Z$51)</f>
        <v>0</v>
      </c>
      <c r="AA124" s="592">
        <f ca="1">OFFSET('360SpcLdsCSV'!$B$5,$B124,AA$51)</f>
        <v>0</v>
      </c>
      <c r="AB124" s="592">
        <f ca="1">OFFSET('360SpcLdsCSV'!$B$5,$B124,AB$51)</f>
        <v>0</v>
      </c>
      <c r="AC124" s="592">
        <f ca="1">OFFSET('360SpcLdsCSV'!$B$5,$B124,AC$51)</f>
        <v>0</v>
      </c>
      <c r="AD124" s="592">
        <f ca="1">OFFSET('360SpcLdsCSV'!$B$5,$B124,AD$51)</f>
        <v>0</v>
      </c>
      <c r="AE124" s="592">
        <f ca="1">OFFSET('360SpcLdsCSV'!$B$5,$B124,AE$51)</f>
        <v>0</v>
      </c>
      <c r="AF124" s="592">
        <f ca="1">OFFSET('360SpcLdsCSV'!$B$5,$B124,AF$51)</f>
        <v>0</v>
      </c>
      <c r="AG124" s="592">
        <f ca="1">OFFSET('360SpcLdsCSV'!$B$5,$B124,AG$51)</f>
        <v>0</v>
      </c>
      <c r="AH124" s="592">
        <f ca="1">OFFSET('360SpcLdsCSV'!$B$5,$B124,AH$51)</f>
        <v>0</v>
      </c>
      <c r="AI124" s="592">
        <f ca="1">OFFSET('360SpcLdsCSV'!$B$5,$B124,AI$51)</f>
        <v>0</v>
      </c>
      <c r="AJ124" s="592" cm="1">
        <f t="array" ref="AJ124">_xlfn.IFS($F124="Resi",1,$F124="Racc",0,$F124="Coml",0,$F124="Prkg",0)</f>
        <v>0</v>
      </c>
      <c r="AK124" s="596"/>
      <c r="AL124" s="590">
        <f ca="1">OFFSET('360SpcLdsCSV'!$B$5,$B124,AL$51)</f>
        <v>1</v>
      </c>
      <c r="AM124" s="663">
        <f t="shared" ca="1" si="139"/>
        <v>1</v>
      </c>
      <c r="AN124" s="663">
        <f t="shared" ca="1" si="140"/>
        <v>1</v>
      </c>
      <c r="AO124" s="663">
        <f t="shared" ca="1" si="167"/>
        <v>211.21340000000001</v>
      </c>
      <c r="AP124" s="663">
        <f t="shared" ca="1" si="141"/>
        <v>2112.13</v>
      </c>
      <c r="AQ124" s="663">
        <f t="shared" ca="1" si="142"/>
        <v>0</v>
      </c>
      <c r="AR124" s="663">
        <f t="shared" ca="1" si="143"/>
        <v>0</v>
      </c>
      <c r="AS124" s="663">
        <f t="shared" ca="1" si="144"/>
        <v>0</v>
      </c>
      <c r="AT124" s="663">
        <f t="shared" ca="1" si="145"/>
        <v>0</v>
      </c>
      <c r="AU124" s="663">
        <f t="shared" ca="1" si="146"/>
        <v>0</v>
      </c>
      <c r="AV124" s="663">
        <f t="shared" ca="1" si="147"/>
        <v>0</v>
      </c>
      <c r="AW124" s="663">
        <f t="shared" ca="1" si="148"/>
        <v>0</v>
      </c>
      <c r="AX124" s="663">
        <f t="shared" ca="1" si="149"/>
        <v>0</v>
      </c>
      <c r="AY124" s="663">
        <f t="shared" ca="1" si="150"/>
        <v>0</v>
      </c>
      <c r="AZ124" s="663">
        <f t="shared" ca="1" si="151"/>
        <v>0</v>
      </c>
      <c r="BA124" s="663">
        <f t="shared" ca="1" si="152"/>
        <v>0</v>
      </c>
      <c r="BB124" s="663">
        <f t="shared" ca="1" si="153"/>
        <v>0</v>
      </c>
      <c r="BC124" s="663">
        <f t="shared" ca="1" si="154"/>
        <v>0</v>
      </c>
      <c r="BD124" s="663">
        <f t="shared" ca="1" si="155"/>
        <v>0</v>
      </c>
      <c r="BE124" s="663">
        <f t="shared" ca="1" si="156"/>
        <v>0</v>
      </c>
      <c r="BF124" s="663">
        <f t="shared" ca="1" si="157"/>
        <v>0</v>
      </c>
      <c r="BG124" s="663">
        <f t="shared" ca="1" si="158"/>
        <v>0</v>
      </c>
      <c r="BH124" s="663">
        <f t="shared" ca="1" si="159"/>
        <v>0</v>
      </c>
      <c r="BI124" s="663">
        <f t="shared" ca="1" si="160"/>
        <v>0</v>
      </c>
      <c r="BJ124" s="663">
        <f t="shared" ca="1" si="161"/>
        <v>0</v>
      </c>
      <c r="BK124" s="663">
        <f t="shared" ca="1" si="162"/>
        <v>0</v>
      </c>
      <c r="BL124" s="1918"/>
      <c r="BM124" s="1532"/>
      <c r="BN124" s="1919"/>
      <c r="BO124" s="600"/>
      <c r="BP124" s="601"/>
      <c r="BQ124" s="596"/>
      <c r="BR124" s="602"/>
      <c r="BS124" s="603"/>
      <c r="BT124" s="602"/>
      <c r="BU124" s="602"/>
      <c r="BV124" s="602"/>
      <c r="BW124" s="604"/>
      <c r="BX124" s="605"/>
      <c r="BY124" s="602"/>
      <c r="BZ124" s="602"/>
      <c r="CA124"/>
      <c r="CB124" s="607"/>
      <c r="CC124" s="608"/>
      <c r="CD124" s="608"/>
      <c r="CE124" s="608"/>
      <c r="CF124" s="600"/>
    </row>
    <row r="125" spans="2:84" ht="12" customHeight="1" x14ac:dyDescent="0.35">
      <c r="B125" s="590">
        <f>MATCH(C125,'360SpcLdsCSV'!$C$6:$C$500,0)</f>
        <v>69</v>
      </c>
      <c r="C125" s="590" t="str">
        <f>'360SpcLdsCSV'!C74</f>
        <v>L06-612_StrsRaccIncd</v>
      </c>
      <c r="D125" s="590" t="str">
        <f t="shared" si="163"/>
        <v>L06</v>
      </c>
      <c r="E125" s="590" t="str">
        <f t="shared" si="164"/>
        <v>Strs</v>
      </c>
      <c r="F125" s="590" t="str">
        <f t="shared" si="165"/>
        <v>Racc</v>
      </c>
      <c r="G125" s="590" t="str">
        <f t="shared" si="166"/>
        <v>Incd</v>
      </c>
      <c r="H125" s="590" t="str">
        <f ca="1">OFFSET('360SpcLdsCSV'!$B$5,$B125,H$51)</f>
        <v>Level 6</v>
      </c>
      <c r="I125" s="590" t="str">
        <f ca="1">OFFSET('360SpcLdsCSV'!$B$5,$B125,I$51)</f>
        <v>IndirectlyConditioned</v>
      </c>
      <c r="J125" s="590" t="str">
        <f ca="1">OFFSET('360SpcLdsCSV'!$B$5,$B125,J$51)</f>
        <v>Stairwell</v>
      </c>
      <c r="K125" s="590" t="str">
        <f ca="1">OFFSET('360SpcLdsCSV'!$B$5,$B125,K$51)</f>
        <v>Nonresidential</v>
      </c>
      <c r="L125" s="590" t="str">
        <f ca="1">OFFSET('360SpcLdsCSV'!$B$5,$B125,L$51)</f>
        <v>Thermal Zone: L06-600_CorrRaccSphp</v>
      </c>
      <c r="M125" s="592">
        <f ca="1">OFFSET('360SpcLdsCSV'!$B$5,$B125,M$51)</f>
        <v>236.34819999999999</v>
      </c>
      <c r="N125" s="592">
        <f ca="1">OFFSET('360SpcLdsCSV'!$B$5,$B125,N$51)</f>
        <v>2363.48</v>
      </c>
      <c r="O125" s="592">
        <f ca="1">OFFSET('360SpcLdsCSV'!$B$5,$B125,O$51)</f>
        <v>0</v>
      </c>
      <c r="P125" s="592">
        <f ca="1">OFFSET('360SpcLdsCSV'!$B$5,$B125,P$51)</f>
        <v>0</v>
      </c>
      <c r="Q125" s="592">
        <f ca="1">OFFSET('360SpcLdsCSV'!$B$5,$B125,Q$51)</f>
        <v>0</v>
      </c>
      <c r="R125" s="592">
        <f ca="1">OFFSET('360SpcLdsCSV'!$B$5,$B125,R$51)</f>
        <v>0</v>
      </c>
      <c r="S125" s="592">
        <f ca="1">OFFSET('360SpcLdsCSV'!$B$5,$B125,S$51)</f>
        <v>0</v>
      </c>
      <c r="T125" s="592">
        <f ca="1">OFFSET('360SpcLdsCSV'!$B$5,$B125,T$51)</f>
        <v>0</v>
      </c>
      <c r="U125" s="592">
        <f ca="1">OFFSET('360SpcLdsCSV'!$B$5,$B125,U$51)</f>
        <v>0</v>
      </c>
      <c r="V125" s="592">
        <f ca="1">OFFSET('360SpcLdsCSV'!$B$5,$B125,V$51)</f>
        <v>0</v>
      </c>
      <c r="W125" s="592">
        <f ca="1">OFFSET('360SpcLdsCSV'!$B$5,$B125,W$51)</f>
        <v>0</v>
      </c>
      <c r="X125" s="592">
        <f ca="1">OFFSET('360SpcLdsCSV'!$B$5,$B125,X$51)</f>
        <v>0</v>
      </c>
      <c r="Y125" s="592">
        <f ca="1">OFFSET('360SpcLdsCSV'!$B$5,$B125,Y$51)</f>
        <v>0</v>
      </c>
      <c r="Z125" s="592">
        <f ca="1">OFFSET('360SpcLdsCSV'!$B$5,$B125,Z$51)</f>
        <v>0</v>
      </c>
      <c r="AA125" s="592">
        <f ca="1">OFFSET('360SpcLdsCSV'!$B$5,$B125,AA$51)</f>
        <v>0</v>
      </c>
      <c r="AB125" s="592">
        <f ca="1">OFFSET('360SpcLdsCSV'!$B$5,$B125,AB$51)</f>
        <v>0</v>
      </c>
      <c r="AC125" s="592">
        <f ca="1">OFFSET('360SpcLdsCSV'!$B$5,$B125,AC$51)</f>
        <v>0</v>
      </c>
      <c r="AD125" s="592">
        <f ca="1">OFFSET('360SpcLdsCSV'!$B$5,$B125,AD$51)</f>
        <v>0</v>
      </c>
      <c r="AE125" s="592">
        <f ca="1">OFFSET('360SpcLdsCSV'!$B$5,$B125,AE$51)</f>
        <v>0</v>
      </c>
      <c r="AF125" s="592">
        <f ca="1">OFFSET('360SpcLdsCSV'!$B$5,$B125,AF$51)</f>
        <v>0</v>
      </c>
      <c r="AG125" s="592">
        <f ca="1">OFFSET('360SpcLdsCSV'!$B$5,$B125,AG$51)</f>
        <v>0</v>
      </c>
      <c r="AH125" s="592">
        <f ca="1">OFFSET('360SpcLdsCSV'!$B$5,$B125,AH$51)</f>
        <v>0</v>
      </c>
      <c r="AI125" s="592">
        <f ca="1">OFFSET('360SpcLdsCSV'!$B$5,$B125,AI$51)</f>
        <v>0</v>
      </c>
      <c r="AJ125" s="592" cm="1">
        <f t="array" ref="AJ125">_xlfn.IFS($F125="Resi",1,$F125="Racc",0,$F125="Coml",0,$F125="Prkg",0)</f>
        <v>0</v>
      </c>
      <c r="AK125" s="596"/>
      <c r="AL125" s="590">
        <f ca="1">OFFSET('360SpcLdsCSV'!$B$5,$B125,AL$51)</f>
        <v>1</v>
      </c>
      <c r="AM125" s="663">
        <f t="shared" ca="1" si="139"/>
        <v>1</v>
      </c>
      <c r="AN125" s="663">
        <f t="shared" ca="1" si="140"/>
        <v>0</v>
      </c>
      <c r="AO125" s="663">
        <f t="shared" ca="1" si="167"/>
        <v>236.34819999999999</v>
      </c>
      <c r="AP125" s="663">
        <f t="shared" ca="1" si="141"/>
        <v>2363.48</v>
      </c>
      <c r="AQ125" s="663">
        <f t="shared" ca="1" si="142"/>
        <v>0</v>
      </c>
      <c r="AR125" s="663">
        <f t="shared" ca="1" si="143"/>
        <v>0</v>
      </c>
      <c r="AS125" s="663">
        <f t="shared" ca="1" si="144"/>
        <v>0</v>
      </c>
      <c r="AT125" s="663">
        <f t="shared" ca="1" si="145"/>
        <v>0</v>
      </c>
      <c r="AU125" s="663">
        <f t="shared" ca="1" si="146"/>
        <v>0</v>
      </c>
      <c r="AV125" s="663">
        <f t="shared" ca="1" si="147"/>
        <v>0</v>
      </c>
      <c r="AW125" s="663">
        <f t="shared" ca="1" si="148"/>
        <v>0</v>
      </c>
      <c r="AX125" s="663">
        <f t="shared" ca="1" si="149"/>
        <v>0</v>
      </c>
      <c r="AY125" s="663">
        <f t="shared" ca="1" si="150"/>
        <v>0</v>
      </c>
      <c r="AZ125" s="663">
        <f t="shared" ca="1" si="151"/>
        <v>0</v>
      </c>
      <c r="BA125" s="663">
        <f t="shared" ca="1" si="152"/>
        <v>0</v>
      </c>
      <c r="BB125" s="663">
        <f t="shared" ca="1" si="153"/>
        <v>0</v>
      </c>
      <c r="BC125" s="663">
        <f t="shared" ca="1" si="154"/>
        <v>0</v>
      </c>
      <c r="BD125" s="663">
        <f t="shared" ca="1" si="155"/>
        <v>0</v>
      </c>
      <c r="BE125" s="663">
        <f t="shared" ca="1" si="156"/>
        <v>0</v>
      </c>
      <c r="BF125" s="663">
        <f t="shared" ca="1" si="157"/>
        <v>0</v>
      </c>
      <c r="BG125" s="663">
        <f t="shared" ca="1" si="158"/>
        <v>0</v>
      </c>
      <c r="BH125" s="663">
        <f t="shared" ca="1" si="159"/>
        <v>0</v>
      </c>
      <c r="BI125" s="663">
        <f t="shared" ca="1" si="160"/>
        <v>0</v>
      </c>
      <c r="BJ125" s="663">
        <f t="shared" ca="1" si="161"/>
        <v>0</v>
      </c>
      <c r="BK125" s="663">
        <f t="shared" ca="1" si="162"/>
        <v>0</v>
      </c>
      <c r="BL125" s="1918"/>
      <c r="BM125" s="1532"/>
      <c r="BN125" s="1919"/>
      <c r="BO125" s="600"/>
      <c r="BP125" s="601"/>
      <c r="BQ125" s="596"/>
      <c r="BR125" s="602"/>
      <c r="BS125" s="603"/>
      <c r="BT125" s="602"/>
      <c r="BU125" s="602"/>
      <c r="BV125" s="602"/>
      <c r="BW125" s="604"/>
      <c r="BX125" s="605"/>
      <c r="BY125" s="602"/>
      <c r="BZ125" s="602"/>
      <c r="CA125"/>
      <c r="CB125" s="607"/>
      <c r="CC125" s="608"/>
      <c r="CD125" s="608"/>
      <c r="CE125" s="608"/>
      <c r="CF125" s="600"/>
    </row>
    <row r="126" spans="2:84" ht="12" customHeight="1" x14ac:dyDescent="0.35">
      <c r="B126" s="590">
        <f>MATCH(C126,'360SpcLdsCSV'!$C$6:$C$500,0)</f>
        <v>70</v>
      </c>
      <c r="C126" s="590" t="str">
        <f>'360SpcLdsCSV'!C75</f>
        <v>L06-613_MfamResiPthp</v>
      </c>
      <c r="D126" s="590" t="str">
        <f t="shared" si="163"/>
        <v>L06</v>
      </c>
      <c r="E126" s="590" t="str">
        <f t="shared" si="164"/>
        <v>Mfam</v>
      </c>
      <c r="F126" s="590" t="str">
        <f t="shared" si="165"/>
        <v>Resi</v>
      </c>
      <c r="G126" s="590" t="str">
        <f t="shared" si="166"/>
        <v>Pthp</v>
      </c>
      <c r="H126" s="590" t="str">
        <f ca="1">OFFSET('360SpcLdsCSV'!$B$5,$B126,H$51)</f>
        <v>Level 6</v>
      </c>
      <c r="I126" s="590" t="str">
        <f ca="1">OFFSET('360SpcLdsCSV'!$B$5,$B126,I$51)</f>
        <v>DirectlyConditioned</v>
      </c>
      <c r="J126" s="590" t="str">
        <f ca="1">OFFSET('360SpcLdsCSV'!$B$5,$B126,J$51)</f>
        <v>Dwelling Unit</v>
      </c>
      <c r="K126" s="590" t="str">
        <f ca="1">OFFSET('360SpcLdsCSV'!$B$5,$B126,K$51)</f>
        <v>Residential</v>
      </c>
      <c r="L126" s="590" t="str">
        <f ca="1">OFFSET('360SpcLdsCSV'!$B$5,$B126,L$51)</f>
        <v>Thermal Zone: L06-613_MfamResiPthp</v>
      </c>
      <c r="M126" s="592">
        <f ca="1">OFFSET('360SpcLdsCSV'!$B$5,$B126,M$51)</f>
        <v>3034.0410000000002</v>
      </c>
      <c r="N126" s="592">
        <f ca="1">OFFSET('360SpcLdsCSV'!$B$5,$B126,N$51)</f>
        <v>30340.400000000001</v>
      </c>
      <c r="O126" s="592">
        <f ca="1">OFFSET('360SpcLdsCSV'!$B$5,$B126,O$51)</f>
        <v>1016.9</v>
      </c>
      <c r="P126" s="592">
        <f ca="1">OFFSET('360SpcLdsCSV'!$B$5,$B126,P$51)</f>
        <v>203.4</v>
      </c>
      <c r="Q126" s="592">
        <f ca="1">OFFSET('360SpcLdsCSV'!$B$5,$B126,Q$51)</f>
        <v>0</v>
      </c>
      <c r="R126" s="592">
        <f ca="1">OFFSET('360SpcLdsCSV'!$B$5,$B126,R$51)</f>
        <v>0</v>
      </c>
      <c r="S126" s="592">
        <f ca="1">OFFSET('360SpcLdsCSV'!$B$5,$B126,S$51)</f>
        <v>0</v>
      </c>
      <c r="T126" s="592">
        <f ca="1">OFFSET('360SpcLdsCSV'!$B$5,$B126,T$51)</f>
        <v>0</v>
      </c>
      <c r="U126" s="592">
        <f ca="1">OFFSET('360SpcLdsCSV'!$B$5,$B126,U$51)</f>
        <v>3034</v>
      </c>
      <c r="V126" s="592">
        <f ca="1">OFFSET('360SpcLdsCSV'!$B$5,$B126,V$51)</f>
        <v>0</v>
      </c>
      <c r="W126" s="592">
        <f ca="1">OFFSET('360SpcLdsCSV'!$B$5,$B126,W$51)</f>
        <v>0</v>
      </c>
      <c r="X126" s="592">
        <f ca="1">OFFSET('360SpcLdsCSV'!$B$5,$B126,X$51)</f>
        <v>0</v>
      </c>
      <c r="Y126" s="592">
        <f ca="1">OFFSET('360SpcLdsCSV'!$B$5,$B126,Y$51)</f>
        <v>0</v>
      </c>
      <c r="Z126" s="592">
        <f ca="1">OFFSET('360SpcLdsCSV'!$B$5,$B126,Z$51)</f>
        <v>0</v>
      </c>
      <c r="AA126" s="592">
        <f ca="1">OFFSET('360SpcLdsCSV'!$B$5,$B126,AA$51)</f>
        <v>0</v>
      </c>
      <c r="AB126" s="592">
        <f ca="1">OFFSET('360SpcLdsCSV'!$B$5,$B126,AB$51)</f>
        <v>0</v>
      </c>
      <c r="AC126" s="592">
        <f ca="1">OFFSET('360SpcLdsCSV'!$B$5,$B126,AC$51)</f>
        <v>0</v>
      </c>
      <c r="AD126" s="592">
        <f ca="1">OFFSET('360SpcLdsCSV'!$B$5,$B126,AD$51)</f>
        <v>0</v>
      </c>
      <c r="AE126" s="592">
        <f ca="1">OFFSET('360SpcLdsCSV'!$B$5,$B126,AE$51)</f>
        <v>0</v>
      </c>
      <c r="AF126" s="592">
        <f ca="1">OFFSET('360SpcLdsCSV'!$B$5,$B126,AF$51)</f>
        <v>0</v>
      </c>
      <c r="AG126" s="592">
        <f ca="1">OFFSET('360SpcLdsCSV'!$B$5,$B126,AG$51)</f>
        <v>0</v>
      </c>
      <c r="AH126" s="592">
        <f ca="1">OFFSET('360SpcLdsCSV'!$B$5,$B126,AH$51)</f>
        <v>0</v>
      </c>
      <c r="AI126" s="592">
        <f ca="1">OFFSET('360SpcLdsCSV'!$B$5,$B126,AI$51)</f>
        <v>0</v>
      </c>
      <c r="AJ126" s="592" cm="1">
        <f t="array" ref="AJ126">_xlfn.IFS($F126="Resi",1,$F126="Racc",0,$F126="Coml",0,$F126="Prkg",0)</f>
        <v>1</v>
      </c>
      <c r="AK126" s="596"/>
      <c r="AL126" s="590">
        <f ca="1">OFFSET('360SpcLdsCSV'!$B$5,$B126,AL$51)</f>
        <v>1</v>
      </c>
      <c r="AM126" s="663">
        <f t="shared" ca="1" si="139"/>
        <v>1</v>
      </c>
      <c r="AN126" s="663">
        <f t="shared" ca="1" si="140"/>
        <v>1</v>
      </c>
      <c r="AO126" s="663">
        <f t="shared" ca="1" si="167"/>
        <v>3034.0410000000002</v>
      </c>
      <c r="AP126" s="663">
        <f t="shared" ca="1" si="141"/>
        <v>30340.400000000001</v>
      </c>
      <c r="AQ126" s="663">
        <f t="shared" ca="1" si="142"/>
        <v>1016.9</v>
      </c>
      <c r="AR126" s="663">
        <f t="shared" ca="1" si="143"/>
        <v>203.4</v>
      </c>
      <c r="AS126" s="663">
        <f t="shared" ca="1" si="144"/>
        <v>0</v>
      </c>
      <c r="AT126" s="663">
        <f t="shared" ca="1" si="145"/>
        <v>0</v>
      </c>
      <c r="AU126" s="663">
        <f t="shared" ca="1" si="146"/>
        <v>0</v>
      </c>
      <c r="AV126" s="663">
        <f t="shared" ca="1" si="147"/>
        <v>0</v>
      </c>
      <c r="AW126" s="663">
        <f t="shared" ca="1" si="148"/>
        <v>3034</v>
      </c>
      <c r="AX126" s="663">
        <f t="shared" ca="1" si="149"/>
        <v>0</v>
      </c>
      <c r="AY126" s="663">
        <f t="shared" ca="1" si="150"/>
        <v>0</v>
      </c>
      <c r="AZ126" s="663">
        <f t="shared" ca="1" si="151"/>
        <v>0</v>
      </c>
      <c r="BA126" s="663">
        <f t="shared" ca="1" si="152"/>
        <v>0</v>
      </c>
      <c r="BB126" s="663">
        <f t="shared" ca="1" si="153"/>
        <v>0</v>
      </c>
      <c r="BC126" s="663">
        <f t="shared" ca="1" si="154"/>
        <v>0</v>
      </c>
      <c r="BD126" s="663">
        <f t="shared" ca="1" si="155"/>
        <v>0</v>
      </c>
      <c r="BE126" s="663">
        <f t="shared" ca="1" si="156"/>
        <v>0</v>
      </c>
      <c r="BF126" s="663">
        <f t="shared" ca="1" si="157"/>
        <v>0</v>
      </c>
      <c r="BG126" s="663">
        <f t="shared" ca="1" si="158"/>
        <v>0</v>
      </c>
      <c r="BH126" s="663">
        <f t="shared" ca="1" si="159"/>
        <v>0</v>
      </c>
      <c r="BI126" s="663">
        <f t="shared" ca="1" si="160"/>
        <v>0</v>
      </c>
      <c r="BJ126" s="663">
        <f t="shared" ca="1" si="161"/>
        <v>0</v>
      </c>
      <c r="BK126" s="663">
        <f t="shared" ca="1" si="162"/>
        <v>0</v>
      </c>
      <c r="BL126" s="1918"/>
      <c r="BM126" s="1532"/>
      <c r="BN126" s="1919"/>
      <c r="BO126" s="600"/>
      <c r="BP126" s="601"/>
      <c r="BQ126" s="596"/>
      <c r="BR126" s="602"/>
      <c r="BS126" s="603"/>
      <c r="BT126" s="602"/>
      <c r="BU126" s="602"/>
      <c r="BV126" s="602"/>
      <c r="BW126" s="604"/>
      <c r="BX126" s="605"/>
      <c r="BY126" s="602"/>
      <c r="BZ126" s="602"/>
      <c r="CA126"/>
      <c r="CB126" s="607"/>
      <c r="CC126" s="608"/>
      <c r="CD126" s="608"/>
      <c r="CE126" s="608"/>
      <c r="CF126" s="600"/>
    </row>
    <row r="127" spans="2:84" ht="12" customHeight="1" x14ac:dyDescent="0.35">
      <c r="B127" s="590">
        <f>MATCH(C127,'360SpcLdsCSV'!$C$6:$C$500,0)</f>
        <v>71</v>
      </c>
      <c r="C127" s="590" t="str">
        <f>'360SpcLdsCSV'!C76</f>
        <v>L06-614_MechRaccIncd</v>
      </c>
      <c r="D127" s="590" t="str">
        <f t="shared" si="163"/>
        <v>L06</v>
      </c>
      <c r="E127" s="590" t="str">
        <f t="shared" si="164"/>
        <v>Mech</v>
      </c>
      <c r="F127" s="590" t="str">
        <f t="shared" si="165"/>
        <v>Racc</v>
      </c>
      <c r="G127" s="590" t="str">
        <f t="shared" si="166"/>
        <v>Incd</v>
      </c>
      <c r="H127" s="590" t="str">
        <f ca="1">OFFSET('360SpcLdsCSV'!$B$5,$B127,H$51)</f>
        <v>Level 6</v>
      </c>
      <c r="I127" s="590" t="str">
        <f ca="1">OFFSET('360SpcLdsCSV'!$B$5,$B127,I$51)</f>
        <v>IndirectlyConditioned</v>
      </c>
      <c r="J127" s="590" t="str">
        <f ca="1">OFFSET('360SpcLdsCSV'!$B$5,$B127,J$51)</f>
        <v>Electrical/MechanicaI Room</v>
      </c>
      <c r="K127" s="590" t="str">
        <f ca="1">OFFSET('360SpcLdsCSV'!$B$5,$B127,K$51)</f>
        <v>Nonresidential</v>
      </c>
      <c r="L127" s="590" t="str">
        <f ca="1">OFFSET('360SpcLdsCSV'!$B$5,$B127,L$51)</f>
        <v>Thermal Zone: L06-600_CorrRaccSphp</v>
      </c>
      <c r="M127" s="592">
        <f ca="1">OFFSET('360SpcLdsCSV'!$B$5,$B127,M$51)</f>
        <v>347.74279999999999</v>
      </c>
      <c r="N127" s="592">
        <f ca="1">OFFSET('360SpcLdsCSV'!$B$5,$B127,N$51)</f>
        <v>3477.43</v>
      </c>
      <c r="O127" s="592">
        <f ca="1">OFFSET('360SpcLdsCSV'!$B$5,$B127,O$51)</f>
        <v>0</v>
      </c>
      <c r="P127" s="592">
        <f ca="1">OFFSET('360SpcLdsCSV'!$B$5,$B127,P$51)</f>
        <v>0</v>
      </c>
      <c r="Q127" s="592">
        <f ca="1">OFFSET('360SpcLdsCSV'!$B$5,$B127,Q$51)</f>
        <v>0</v>
      </c>
      <c r="R127" s="592">
        <f ca="1">OFFSET('360SpcLdsCSV'!$B$5,$B127,R$51)</f>
        <v>0</v>
      </c>
      <c r="S127" s="592">
        <f ca="1">OFFSET('360SpcLdsCSV'!$B$5,$B127,S$51)</f>
        <v>0</v>
      </c>
      <c r="T127" s="592">
        <f ca="1">OFFSET('360SpcLdsCSV'!$B$5,$B127,T$51)</f>
        <v>0</v>
      </c>
      <c r="U127" s="592">
        <f ca="1">OFFSET('360SpcLdsCSV'!$B$5,$B127,U$51)</f>
        <v>0</v>
      </c>
      <c r="V127" s="592">
        <f ca="1">OFFSET('360SpcLdsCSV'!$B$5,$B127,V$51)</f>
        <v>0</v>
      </c>
      <c r="W127" s="592">
        <f ca="1">OFFSET('360SpcLdsCSV'!$B$5,$B127,W$51)</f>
        <v>212.4</v>
      </c>
      <c r="X127" s="592">
        <f ca="1">OFFSET('360SpcLdsCSV'!$B$5,$B127,X$51)</f>
        <v>0</v>
      </c>
      <c r="Y127" s="592">
        <f ca="1">OFFSET('360SpcLdsCSV'!$B$5,$B127,Y$51)</f>
        <v>0</v>
      </c>
      <c r="Z127" s="592">
        <f ca="1">OFFSET('360SpcLdsCSV'!$B$5,$B127,Z$51)</f>
        <v>0</v>
      </c>
      <c r="AA127" s="592">
        <f ca="1">OFFSET('360SpcLdsCSV'!$B$5,$B127,AA$51)</f>
        <v>0</v>
      </c>
      <c r="AB127" s="592">
        <f ca="1">OFFSET('360SpcLdsCSV'!$B$5,$B127,AB$51)</f>
        <v>0</v>
      </c>
      <c r="AC127" s="592">
        <f ca="1">OFFSET('360SpcLdsCSV'!$B$5,$B127,AC$51)</f>
        <v>0</v>
      </c>
      <c r="AD127" s="592">
        <f ca="1">OFFSET('360SpcLdsCSV'!$B$5,$B127,AD$51)</f>
        <v>0</v>
      </c>
      <c r="AE127" s="592">
        <f ca="1">OFFSET('360SpcLdsCSV'!$B$5,$B127,AE$51)</f>
        <v>0</v>
      </c>
      <c r="AF127" s="592">
        <f ca="1">OFFSET('360SpcLdsCSV'!$B$5,$B127,AF$51)</f>
        <v>0</v>
      </c>
      <c r="AG127" s="592">
        <f ca="1">OFFSET('360SpcLdsCSV'!$B$5,$B127,AG$51)</f>
        <v>0</v>
      </c>
      <c r="AH127" s="592">
        <f ca="1">OFFSET('360SpcLdsCSV'!$B$5,$B127,AH$51)</f>
        <v>0</v>
      </c>
      <c r="AI127" s="592">
        <f ca="1">OFFSET('360SpcLdsCSV'!$B$5,$B127,AI$51)</f>
        <v>0</v>
      </c>
      <c r="AJ127" s="592" cm="1">
        <f t="array" ref="AJ127">_xlfn.IFS($F127="Resi",1,$F127="Racc",0,$F127="Coml",0,$F127="Prkg",0)</f>
        <v>0</v>
      </c>
      <c r="AK127" s="596"/>
      <c r="AL127" s="590">
        <f ca="1">OFFSET('360SpcLdsCSV'!$B$5,$B127,AL$51)</f>
        <v>1</v>
      </c>
      <c r="AM127" s="663">
        <f t="shared" ca="1" si="139"/>
        <v>1</v>
      </c>
      <c r="AN127" s="663">
        <f t="shared" ca="1" si="140"/>
        <v>0</v>
      </c>
      <c r="AO127" s="663">
        <f t="shared" ca="1" si="167"/>
        <v>347.74279999999999</v>
      </c>
      <c r="AP127" s="663">
        <f t="shared" ca="1" si="141"/>
        <v>3477.43</v>
      </c>
      <c r="AQ127" s="663">
        <f t="shared" ca="1" si="142"/>
        <v>0</v>
      </c>
      <c r="AR127" s="663">
        <f t="shared" ca="1" si="143"/>
        <v>0</v>
      </c>
      <c r="AS127" s="663">
        <f t="shared" ca="1" si="144"/>
        <v>0</v>
      </c>
      <c r="AT127" s="663">
        <f t="shared" ca="1" si="145"/>
        <v>0</v>
      </c>
      <c r="AU127" s="663">
        <f t="shared" ca="1" si="146"/>
        <v>0</v>
      </c>
      <c r="AV127" s="663">
        <f t="shared" ca="1" si="147"/>
        <v>0</v>
      </c>
      <c r="AW127" s="663">
        <f t="shared" ca="1" si="148"/>
        <v>0</v>
      </c>
      <c r="AX127" s="663">
        <f t="shared" ca="1" si="149"/>
        <v>0</v>
      </c>
      <c r="AY127" s="663">
        <f t="shared" ca="1" si="150"/>
        <v>212.4</v>
      </c>
      <c r="AZ127" s="663">
        <f t="shared" ca="1" si="151"/>
        <v>0</v>
      </c>
      <c r="BA127" s="663">
        <f t="shared" ca="1" si="152"/>
        <v>0</v>
      </c>
      <c r="BB127" s="663">
        <f t="shared" ca="1" si="153"/>
        <v>0</v>
      </c>
      <c r="BC127" s="663">
        <f t="shared" ca="1" si="154"/>
        <v>0</v>
      </c>
      <c r="BD127" s="663">
        <f t="shared" ca="1" si="155"/>
        <v>0</v>
      </c>
      <c r="BE127" s="663">
        <f t="shared" ca="1" si="156"/>
        <v>0</v>
      </c>
      <c r="BF127" s="663">
        <f t="shared" ca="1" si="157"/>
        <v>0</v>
      </c>
      <c r="BG127" s="663">
        <f t="shared" ca="1" si="158"/>
        <v>0</v>
      </c>
      <c r="BH127" s="663">
        <f t="shared" ca="1" si="159"/>
        <v>0</v>
      </c>
      <c r="BI127" s="663">
        <f t="shared" ca="1" si="160"/>
        <v>0</v>
      </c>
      <c r="BJ127" s="663">
        <f t="shared" ca="1" si="161"/>
        <v>0</v>
      </c>
      <c r="BK127" s="663">
        <f t="shared" ca="1" si="162"/>
        <v>0</v>
      </c>
      <c r="BL127" s="1918"/>
      <c r="BM127" s="1532"/>
      <c r="BN127" s="1919"/>
      <c r="BO127" s="600"/>
      <c r="BP127" s="601"/>
      <c r="BQ127" s="596"/>
      <c r="BR127" s="602"/>
      <c r="BS127" s="603"/>
      <c r="BT127" s="602"/>
      <c r="BU127" s="602"/>
      <c r="BV127" s="602"/>
      <c r="BW127" s="604"/>
      <c r="BX127" s="605"/>
      <c r="BY127" s="602"/>
      <c r="BZ127" s="602"/>
      <c r="CA127"/>
      <c r="CB127" s="607"/>
      <c r="CC127" s="608"/>
      <c r="CD127" s="608"/>
      <c r="CE127" s="608"/>
      <c r="CF127" s="600"/>
    </row>
    <row r="128" spans="2:84" ht="12" customHeight="1" x14ac:dyDescent="0.35">
      <c r="B128" s="590">
        <f>MATCH(C128,'360SpcLdsCSV'!$C$6:$C$500,0)</f>
        <v>72</v>
      </c>
      <c r="C128" s="590" t="str">
        <f>'360SpcLdsCSV'!C77</f>
        <v>L06-615_ElevRaccIncd</v>
      </c>
      <c r="D128" s="590" t="str">
        <f t="shared" si="163"/>
        <v>L06</v>
      </c>
      <c r="E128" s="590" t="str">
        <f t="shared" si="164"/>
        <v>Elev</v>
      </c>
      <c r="F128" s="590" t="str">
        <f t="shared" si="165"/>
        <v>Racc</v>
      </c>
      <c r="G128" s="590" t="str">
        <f t="shared" si="166"/>
        <v>Incd</v>
      </c>
      <c r="H128" s="590" t="str">
        <f ca="1">OFFSET('360SpcLdsCSV'!$B$5,$B128,H$51)</f>
        <v>Level 6</v>
      </c>
      <c r="I128" s="590" t="str">
        <f ca="1">OFFSET('360SpcLdsCSV'!$B$5,$B128,I$51)</f>
        <v>IndirectlyConditioned</v>
      </c>
      <c r="J128" s="590" t="str">
        <f ca="1">OFFSET('360SpcLdsCSV'!$B$5,$B128,J$51)</f>
        <v>Unoccupied-Include in Gross Floor Area</v>
      </c>
      <c r="K128" s="590" t="str">
        <f ca="1">OFFSET('360SpcLdsCSV'!$B$5,$B128,K$51)</f>
        <v>Nonresidential</v>
      </c>
      <c r="L128" s="590" t="str">
        <f ca="1">OFFSET('360SpcLdsCSV'!$B$5,$B128,L$51)</f>
        <v>Thermal Zone: L06-600_CorrRaccSphp</v>
      </c>
      <c r="M128" s="592">
        <f ca="1">OFFSET('360SpcLdsCSV'!$B$5,$B128,M$51)</f>
        <v>178.88640000000001</v>
      </c>
      <c r="N128" s="592">
        <f ca="1">OFFSET('360SpcLdsCSV'!$B$5,$B128,N$51)</f>
        <v>1788.86</v>
      </c>
      <c r="O128" s="592">
        <f ca="1">OFFSET('360SpcLdsCSV'!$B$5,$B128,O$51)</f>
        <v>0</v>
      </c>
      <c r="P128" s="592">
        <f ca="1">OFFSET('360SpcLdsCSV'!$B$5,$B128,P$51)</f>
        <v>0</v>
      </c>
      <c r="Q128" s="592">
        <f ca="1">OFFSET('360SpcLdsCSV'!$B$5,$B128,Q$51)</f>
        <v>0</v>
      </c>
      <c r="R128" s="592">
        <f ca="1">OFFSET('360SpcLdsCSV'!$B$5,$B128,R$51)</f>
        <v>0</v>
      </c>
      <c r="S128" s="592">
        <f ca="1">OFFSET('360SpcLdsCSV'!$B$5,$B128,S$51)</f>
        <v>0</v>
      </c>
      <c r="T128" s="592">
        <f ca="1">OFFSET('360SpcLdsCSV'!$B$5,$B128,T$51)</f>
        <v>0</v>
      </c>
      <c r="U128" s="592">
        <f ca="1">OFFSET('360SpcLdsCSV'!$B$5,$B128,U$51)</f>
        <v>0</v>
      </c>
      <c r="V128" s="592">
        <f ca="1">OFFSET('360SpcLdsCSV'!$B$5,$B128,V$51)</f>
        <v>0</v>
      </c>
      <c r="W128" s="592">
        <f ca="1">OFFSET('360SpcLdsCSV'!$B$5,$B128,W$51)</f>
        <v>83.4</v>
      </c>
      <c r="X128" s="592">
        <f ca="1">OFFSET('360SpcLdsCSV'!$B$5,$B128,X$51)</f>
        <v>0</v>
      </c>
      <c r="Y128" s="592">
        <f ca="1">OFFSET('360SpcLdsCSV'!$B$5,$B128,Y$51)</f>
        <v>0</v>
      </c>
      <c r="Z128" s="592">
        <f ca="1">OFFSET('360SpcLdsCSV'!$B$5,$B128,Z$51)</f>
        <v>0</v>
      </c>
      <c r="AA128" s="592">
        <f ca="1">OFFSET('360SpcLdsCSV'!$B$5,$B128,AA$51)</f>
        <v>0</v>
      </c>
      <c r="AB128" s="592">
        <f ca="1">OFFSET('360SpcLdsCSV'!$B$5,$B128,AB$51)</f>
        <v>0</v>
      </c>
      <c r="AC128" s="592">
        <f ca="1">OFFSET('360SpcLdsCSV'!$B$5,$B128,AC$51)</f>
        <v>0</v>
      </c>
      <c r="AD128" s="592">
        <f ca="1">OFFSET('360SpcLdsCSV'!$B$5,$B128,AD$51)</f>
        <v>0</v>
      </c>
      <c r="AE128" s="592">
        <f ca="1">OFFSET('360SpcLdsCSV'!$B$5,$B128,AE$51)</f>
        <v>0</v>
      </c>
      <c r="AF128" s="592">
        <f ca="1">OFFSET('360SpcLdsCSV'!$B$5,$B128,AF$51)</f>
        <v>0</v>
      </c>
      <c r="AG128" s="592">
        <f ca="1">OFFSET('360SpcLdsCSV'!$B$5,$B128,AG$51)</f>
        <v>0</v>
      </c>
      <c r="AH128" s="592">
        <f ca="1">OFFSET('360SpcLdsCSV'!$B$5,$B128,AH$51)</f>
        <v>0</v>
      </c>
      <c r="AI128" s="592">
        <f ca="1">OFFSET('360SpcLdsCSV'!$B$5,$B128,AI$51)</f>
        <v>0</v>
      </c>
      <c r="AJ128" s="592" cm="1">
        <f t="array" ref="AJ128">_xlfn.IFS($F128="Resi",1,$F128="Racc",0,$F128="Coml",0,$F128="Prkg",0)</f>
        <v>0</v>
      </c>
      <c r="AK128" s="596"/>
      <c r="AL128" s="590">
        <f ca="1">OFFSET('360SpcLdsCSV'!$B$5,$B128,AL$51)</f>
        <v>1</v>
      </c>
      <c r="AM128" s="663">
        <f t="shared" ca="1" si="139"/>
        <v>1</v>
      </c>
      <c r="AN128" s="663">
        <f t="shared" ca="1" si="140"/>
        <v>0</v>
      </c>
      <c r="AO128" s="663">
        <f t="shared" ca="1" si="167"/>
        <v>178.88640000000001</v>
      </c>
      <c r="AP128" s="663">
        <f t="shared" ca="1" si="141"/>
        <v>1788.86</v>
      </c>
      <c r="AQ128" s="663">
        <f t="shared" ca="1" si="142"/>
        <v>0</v>
      </c>
      <c r="AR128" s="663">
        <f t="shared" ca="1" si="143"/>
        <v>0</v>
      </c>
      <c r="AS128" s="663">
        <f t="shared" ca="1" si="144"/>
        <v>0</v>
      </c>
      <c r="AT128" s="663">
        <f t="shared" ca="1" si="145"/>
        <v>0</v>
      </c>
      <c r="AU128" s="663">
        <f t="shared" ca="1" si="146"/>
        <v>0</v>
      </c>
      <c r="AV128" s="663">
        <f t="shared" ca="1" si="147"/>
        <v>0</v>
      </c>
      <c r="AW128" s="663">
        <f t="shared" ca="1" si="148"/>
        <v>0</v>
      </c>
      <c r="AX128" s="663">
        <f t="shared" ca="1" si="149"/>
        <v>0</v>
      </c>
      <c r="AY128" s="663">
        <f t="shared" ca="1" si="150"/>
        <v>83.4</v>
      </c>
      <c r="AZ128" s="663">
        <f t="shared" ca="1" si="151"/>
        <v>0</v>
      </c>
      <c r="BA128" s="663">
        <f t="shared" ca="1" si="152"/>
        <v>0</v>
      </c>
      <c r="BB128" s="663">
        <f t="shared" ca="1" si="153"/>
        <v>0</v>
      </c>
      <c r="BC128" s="663">
        <f t="shared" ca="1" si="154"/>
        <v>0</v>
      </c>
      <c r="BD128" s="663">
        <f t="shared" ca="1" si="155"/>
        <v>0</v>
      </c>
      <c r="BE128" s="663">
        <f t="shared" ca="1" si="156"/>
        <v>0</v>
      </c>
      <c r="BF128" s="663">
        <f t="shared" ca="1" si="157"/>
        <v>0</v>
      </c>
      <c r="BG128" s="663">
        <f t="shared" ca="1" si="158"/>
        <v>0</v>
      </c>
      <c r="BH128" s="663">
        <f t="shared" ca="1" si="159"/>
        <v>0</v>
      </c>
      <c r="BI128" s="663">
        <f t="shared" ca="1" si="160"/>
        <v>0</v>
      </c>
      <c r="BJ128" s="663">
        <f t="shared" ca="1" si="161"/>
        <v>0</v>
      </c>
      <c r="BK128" s="663">
        <f t="shared" ca="1" si="162"/>
        <v>0</v>
      </c>
      <c r="BL128" s="1918"/>
      <c r="BM128" s="1532"/>
      <c r="BN128" s="1919"/>
      <c r="BO128" s="600"/>
      <c r="BP128" s="601"/>
      <c r="BQ128" s="596"/>
      <c r="BR128" s="602"/>
      <c r="BS128" s="603"/>
      <c r="BT128" s="602"/>
      <c r="BU128" s="602"/>
      <c r="BV128" s="602"/>
      <c r="BW128" s="604"/>
      <c r="BX128" s="605"/>
      <c r="BY128" s="602"/>
      <c r="BZ128" s="602"/>
      <c r="CA128"/>
      <c r="CB128" s="607"/>
      <c r="CC128" s="608"/>
      <c r="CD128" s="608"/>
      <c r="CE128" s="608"/>
      <c r="CF128" s="600"/>
    </row>
    <row r="129" spans="2:84" ht="12" customHeight="1" x14ac:dyDescent="0.35">
      <c r="B129" s="590">
        <f>MATCH(C129,'360SpcLdsCSV'!$C$6:$C$500,0)</f>
        <v>73</v>
      </c>
      <c r="C129" s="590" t="str">
        <f>'360SpcLdsCSV'!C78</f>
        <v>L06-616_StrsRaccIncd</v>
      </c>
      <c r="D129" s="590" t="str">
        <f t="shared" si="163"/>
        <v>L06</v>
      </c>
      <c r="E129" s="590" t="str">
        <f t="shared" si="164"/>
        <v>Strs</v>
      </c>
      <c r="F129" s="590" t="str">
        <f t="shared" si="165"/>
        <v>Racc</v>
      </c>
      <c r="G129" s="590" t="str">
        <f t="shared" si="166"/>
        <v>Incd</v>
      </c>
      <c r="H129" s="590" t="str">
        <f ca="1">OFFSET('360SpcLdsCSV'!$B$5,$B129,H$51)</f>
        <v>Level 6</v>
      </c>
      <c r="I129" s="590" t="str">
        <f ca="1">OFFSET('360SpcLdsCSV'!$B$5,$B129,I$51)</f>
        <v>IndirectlyConditioned</v>
      </c>
      <c r="J129" s="590" t="str">
        <f ca="1">OFFSET('360SpcLdsCSV'!$B$5,$B129,J$51)</f>
        <v>Stairwell</v>
      </c>
      <c r="K129" s="590" t="str">
        <f ca="1">OFFSET('360SpcLdsCSV'!$B$5,$B129,K$51)</f>
        <v>Nonresidential</v>
      </c>
      <c r="L129" s="590" t="str">
        <f ca="1">OFFSET('360SpcLdsCSV'!$B$5,$B129,L$51)</f>
        <v>Thermal Zone: L06-600_CorrRaccSphp</v>
      </c>
      <c r="M129" s="592">
        <f ca="1">OFFSET('360SpcLdsCSV'!$B$5,$B129,M$51)</f>
        <v>232.53399999999999</v>
      </c>
      <c r="N129" s="592">
        <f ca="1">OFFSET('360SpcLdsCSV'!$B$5,$B129,N$51)</f>
        <v>2325.34</v>
      </c>
      <c r="O129" s="592">
        <f ca="1">OFFSET('360SpcLdsCSV'!$B$5,$B129,O$51)</f>
        <v>0</v>
      </c>
      <c r="P129" s="592">
        <f ca="1">OFFSET('360SpcLdsCSV'!$B$5,$B129,P$51)</f>
        <v>0</v>
      </c>
      <c r="Q129" s="592">
        <f ca="1">OFFSET('360SpcLdsCSV'!$B$5,$B129,Q$51)</f>
        <v>0</v>
      </c>
      <c r="R129" s="592">
        <f ca="1">OFFSET('360SpcLdsCSV'!$B$5,$B129,R$51)</f>
        <v>0</v>
      </c>
      <c r="S129" s="592">
        <f ca="1">OFFSET('360SpcLdsCSV'!$B$5,$B129,S$51)</f>
        <v>0</v>
      </c>
      <c r="T129" s="592">
        <f ca="1">OFFSET('360SpcLdsCSV'!$B$5,$B129,T$51)</f>
        <v>0</v>
      </c>
      <c r="U129" s="592">
        <f ca="1">OFFSET('360SpcLdsCSV'!$B$5,$B129,U$51)</f>
        <v>0</v>
      </c>
      <c r="V129" s="592">
        <f ca="1">OFFSET('360SpcLdsCSV'!$B$5,$B129,V$51)</f>
        <v>0</v>
      </c>
      <c r="W129" s="592">
        <f ca="1">OFFSET('360SpcLdsCSV'!$B$5,$B129,W$51)</f>
        <v>35.4</v>
      </c>
      <c r="X129" s="592">
        <f ca="1">OFFSET('360SpcLdsCSV'!$B$5,$B129,X$51)</f>
        <v>0</v>
      </c>
      <c r="Y129" s="592">
        <f ca="1">OFFSET('360SpcLdsCSV'!$B$5,$B129,Y$51)</f>
        <v>0</v>
      </c>
      <c r="Z129" s="592">
        <f ca="1">OFFSET('360SpcLdsCSV'!$B$5,$B129,Z$51)</f>
        <v>0</v>
      </c>
      <c r="AA129" s="592">
        <f ca="1">OFFSET('360SpcLdsCSV'!$B$5,$B129,AA$51)</f>
        <v>0</v>
      </c>
      <c r="AB129" s="592">
        <f ca="1">OFFSET('360SpcLdsCSV'!$B$5,$B129,AB$51)</f>
        <v>0</v>
      </c>
      <c r="AC129" s="592">
        <f ca="1">OFFSET('360SpcLdsCSV'!$B$5,$B129,AC$51)</f>
        <v>0</v>
      </c>
      <c r="AD129" s="592">
        <f ca="1">OFFSET('360SpcLdsCSV'!$B$5,$B129,AD$51)</f>
        <v>0</v>
      </c>
      <c r="AE129" s="592">
        <f ca="1">OFFSET('360SpcLdsCSV'!$B$5,$B129,AE$51)</f>
        <v>0</v>
      </c>
      <c r="AF129" s="592">
        <f ca="1">OFFSET('360SpcLdsCSV'!$B$5,$B129,AF$51)</f>
        <v>0</v>
      </c>
      <c r="AG129" s="592">
        <f ca="1">OFFSET('360SpcLdsCSV'!$B$5,$B129,AG$51)</f>
        <v>0</v>
      </c>
      <c r="AH129" s="592">
        <f ca="1">OFFSET('360SpcLdsCSV'!$B$5,$B129,AH$51)</f>
        <v>0</v>
      </c>
      <c r="AI129" s="592">
        <f ca="1">OFFSET('360SpcLdsCSV'!$B$5,$B129,AI$51)</f>
        <v>0</v>
      </c>
      <c r="AJ129" s="592" cm="1">
        <f t="array" ref="AJ129">_xlfn.IFS($F129="Resi",1,$F129="Racc",0,$F129="Coml",0,$F129="Prkg",0)</f>
        <v>0</v>
      </c>
      <c r="AK129" s="596"/>
      <c r="AL129" s="590">
        <f ca="1">OFFSET('360SpcLdsCSV'!$B$5,$B129,AL$51)</f>
        <v>1</v>
      </c>
      <c r="AM129" s="663">
        <f t="shared" ca="1" si="139"/>
        <v>1</v>
      </c>
      <c r="AN129" s="663">
        <f t="shared" ca="1" si="140"/>
        <v>0</v>
      </c>
      <c r="AO129" s="663">
        <f t="shared" ca="1" si="167"/>
        <v>232.53399999999999</v>
      </c>
      <c r="AP129" s="663">
        <f t="shared" ca="1" si="141"/>
        <v>2325.34</v>
      </c>
      <c r="AQ129" s="663">
        <f t="shared" ca="1" si="142"/>
        <v>0</v>
      </c>
      <c r="AR129" s="663">
        <f t="shared" ca="1" si="143"/>
        <v>0</v>
      </c>
      <c r="AS129" s="663">
        <f t="shared" ca="1" si="144"/>
        <v>0</v>
      </c>
      <c r="AT129" s="663">
        <f t="shared" ca="1" si="145"/>
        <v>0</v>
      </c>
      <c r="AU129" s="663">
        <f t="shared" ca="1" si="146"/>
        <v>0</v>
      </c>
      <c r="AV129" s="663">
        <f t="shared" ca="1" si="147"/>
        <v>0</v>
      </c>
      <c r="AW129" s="663">
        <f t="shared" ca="1" si="148"/>
        <v>0</v>
      </c>
      <c r="AX129" s="663">
        <f t="shared" ca="1" si="149"/>
        <v>0</v>
      </c>
      <c r="AY129" s="663">
        <f t="shared" ca="1" si="150"/>
        <v>35.4</v>
      </c>
      <c r="AZ129" s="663">
        <f t="shared" ca="1" si="151"/>
        <v>0</v>
      </c>
      <c r="BA129" s="663">
        <f t="shared" ca="1" si="152"/>
        <v>0</v>
      </c>
      <c r="BB129" s="663">
        <f t="shared" ca="1" si="153"/>
        <v>0</v>
      </c>
      <c r="BC129" s="663">
        <f t="shared" ca="1" si="154"/>
        <v>0</v>
      </c>
      <c r="BD129" s="663">
        <f t="shared" ca="1" si="155"/>
        <v>0</v>
      </c>
      <c r="BE129" s="663">
        <f t="shared" ca="1" si="156"/>
        <v>0</v>
      </c>
      <c r="BF129" s="663">
        <f t="shared" ca="1" si="157"/>
        <v>0</v>
      </c>
      <c r="BG129" s="663">
        <f t="shared" ca="1" si="158"/>
        <v>0</v>
      </c>
      <c r="BH129" s="663">
        <f t="shared" ca="1" si="159"/>
        <v>0</v>
      </c>
      <c r="BI129" s="663">
        <f t="shared" ca="1" si="160"/>
        <v>0</v>
      </c>
      <c r="BJ129" s="663">
        <f t="shared" ca="1" si="161"/>
        <v>0</v>
      </c>
      <c r="BK129" s="663">
        <f t="shared" ca="1" si="162"/>
        <v>0</v>
      </c>
      <c r="BL129" s="1918"/>
      <c r="BM129" s="1532"/>
      <c r="BN129" s="1919"/>
      <c r="BO129" s="600"/>
      <c r="BP129" s="601"/>
      <c r="BQ129" s="596"/>
      <c r="BR129" s="602"/>
      <c r="BS129" s="603"/>
      <c r="BT129" s="602"/>
      <c r="BU129" s="602"/>
      <c r="BV129" s="602"/>
      <c r="BW129" s="604"/>
      <c r="BX129" s="605"/>
      <c r="BY129" s="602"/>
      <c r="BZ129" s="602"/>
      <c r="CA129"/>
      <c r="CB129" s="607"/>
      <c r="CC129" s="608"/>
      <c r="CD129" s="608"/>
      <c r="CE129" s="608"/>
      <c r="CF129" s="600"/>
    </row>
    <row r="130" spans="2:84" ht="12" customHeight="1" x14ac:dyDescent="0.35">
      <c r="B130" s="590">
        <f>MATCH(C130,'360SpcLdsCSV'!$C$6:$C$500,0)</f>
        <v>74</v>
      </c>
      <c r="C130" s="590" t="str">
        <f>'360SpcLdsCSV'!C79</f>
        <v>L06-617_MfamResiPthp</v>
      </c>
      <c r="D130" s="590" t="str">
        <f t="shared" si="163"/>
        <v>L06</v>
      </c>
      <c r="E130" s="590" t="str">
        <f t="shared" si="164"/>
        <v>Mfam</v>
      </c>
      <c r="F130" s="590" t="str">
        <f t="shared" si="165"/>
        <v>Resi</v>
      </c>
      <c r="G130" s="590" t="str">
        <f t="shared" si="166"/>
        <v>Pthp</v>
      </c>
      <c r="H130" s="590" t="str">
        <f ca="1">OFFSET('360SpcLdsCSV'!$B$5,$B130,H$51)</f>
        <v>Level 6</v>
      </c>
      <c r="I130" s="590" t="str">
        <f ca="1">OFFSET('360SpcLdsCSV'!$B$5,$B130,I$51)</f>
        <v>DirectlyConditioned</v>
      </c>
      <c r="J130" s="590" t="str">
        <f ca="1">OFFSET('360SpcLdsCSV'!$B$5,$B130,J$51)</f>
        <v>Dwelling Unit</v>
      </c>
      <c r="K130" s="590" t="str">
        <f ca="1">OFFSET('360SpcLdsCSV'!$B$5,$B130,K$51)</f>
        <v>Residential</v>
      </c>
      <c r="L130" s="590" t="str">
        <f ca="1">OFFSET('360SpcLdsCSV'!$B$5,$B130,L$51)</f>
        <v>Thermal Zone: L06-617_MfamResiPthp</v>
      </c>
      <c r="M130" s="592">
        <f ca="1">OFFSET('360SpcLdsCSV'!$B$5,$B130,M$51)</f>
        <v>688.28060000000005</v>
      </c>
      <c r="N130" s="592">
        <f ca="1">OFFSET('360SpcLdsCSV'!$B$5,$B130,N$51)</f>
        <v>6882.81</v>
      </c>
      <c r="O130" s="592">
        <f ca="1">OFFSET('360SpcLdsCSV'!$B$5,$B130,O$51)</f>
        <v>251.3</v>
      </c>
      <c r="P130" s="592">
        <f ca="1">OFFSET('360SpcLdsCSV'!$B$5,$B130,P$51)</f>
        <v>50.3</v>
      </c>
      <c r="Q130" s="592">
        <f ca="1">OFFSET('360SpcLdsCSV'!$B$5,$B130,Q$51)</f>
        <v>0</v>
      </c>
      <c r="R130" s="592">
        <f ca="1">OFFSET('360SpcLdsCSV'!$B$5,$B130,R$51)</f>
        <v>0</v>
      </c>
      <c r="S130" s="592">
        <f ca="1">OFFSET('360SpcLdsCSV'!$B$5,$B130,S$51)</f>
        <v>0</v>
      </c>
      <c r="T130" s="592">
        <f ca="1">OFFSET('360SpcLdsCSV'!$B$5,$B130,T$51)</f>
        <v>0</v>
      </c>
      <c r="U130" s="592">
        <f ca="1">OFFSET('360SpcLdsCSV'!$B$5,$B130,U$51)</f>
        <v>688.3</v>
      </c>
      <c r="V130" s="592">
        <f ca="1">OFFSET('360SpcLdsCSV'!$B$5,$B130,V$51)</f>
        <v>0</v>
      </c>
      <c r="W130" s="592">
        <f ca="1">OFFSET('360SpcLdsCSV'!$B$5,$B130,W$51)</f>
        <v>0</v>
      </c>
      <c r="X130" s="592">
        <f ca="1">OFFSET('360SpcLdsCSV'!$B$5,$B130,X$51)</f>
        <v>0</v>
      </c>
      <c r="Y130" s="592">
        <f ca="1">OFFSET('360SpcLdsCSV'!$B$5,$B130,Y$51)</f>
        <v>0</v>
      </c>
      <c r="Z130" s="592">
        <f ca="1">OFFSET('360SpcLdsCSV'!$B$5,$B130,Z$51)</f>
        <v>0</v>
      </c>
      <c r="AA130" s="592">
        <f ca="1">OFFSET('360SpcLdsCSV'!$B$5,$B130,AA$51)</f>
        <v>0</v>
      </c>
      <c r="AB130" s="592">
        <f ca="1">OFFSET('360SpcLdsCSV'!$B$5,$B130,AB$51)</f>
        <v>0</v>
      </c>
      <c r="AC130" s="592">
        <f ca="1">OFFSET('360SpcLdsCSV'!$B$5,$B130,AC$51)</f>
        <v>0</v>
      </c>
      <c r="AD130" s="592">
        <f ca="1">OFFSET('360SpcLdsCSV'!$B$5,$B130,AD$51)</f>
        <v>0</v>
      </c>
      <c r="AE130" s="592">
        <f ca="1">OFFSET('360SpcLdsCSV'!$B$5,$B130,AE$51)</f>
        <v>0</v>
      </c>
      <c r="AF130" s="592">
        <f ca="1">OFFSET('360SpcLdsCSV'!$B$5,$B130,AF$51)</f>
        <v>0</v>
      </c>
      <c r="AG130" s="592">
        <f ca="1">OFFSET('360SpcLdsCSV'!$B$5,$B130,AG$51)</f>
        <v>0</v>
      </c>
      <c r="AH130" s="592">
        <f ca="1">OFFSET('360SpcLdsCSV'!$B$5,$B130,AH$51)</f>
        <v>0</v>
      </c>
      <c r="AI130" s="592">
        <f ca="1">OFFSET('360SpcLdsCSV'!$B$5,$B130,AI$51)</f>
        <v>0</v>
      </c>
      <c r="AJ130" s="592" cm="1">
        <f t="array" ref="AJ130">_xlfn.IFS($F130="Resi",1,$F130="Racc",0,$F130="Coml",0,$F130="Prkg",0)</f>
        <v>1</v>
      </c>
      <c r="AK130" s="596"/>
      <c r="AL130" s="590">
        <f ca="1">OFFSET('360SpcLdsCSV'!$B$5,$B130,AL$51)</f>
        <v>1</v>
      </c>
      <c r="AM130" s="663">
        <f t="shared" ca="1" si="139"/>
        <v>1</v>
      </c>
      <c r="AN130" s="663">
        <f t="shared" ca="1" si="140"/>
        <v>1</v>
      </c>
      <c r="AO130" s="663">
        <f t="shared" ca="1" si="167"/>
        <v>688.28060000000005</v>
      </c>
      <c r="AP130" s="663">
        <f t="shared" ca="1" si="141"/>
        <v>6882.81</v>
      </c>
      <c r="AQ130" s="663">
        <f t="shared" ca="1" si="142"/>
        <v>251.3</v>
      </c>
      <c r="AR130" s="663">
        <f t="shared" ca="1" si="143"/>
        <v>50.3</v>
      </c>
      <c r="AS130" s="663">
        <f t="shared" ca="1" si="144"/>
        <v>0</v>
      </c>
      <c r="AT130" s="663">
        <f t="shared" ca="1" si="145"/>
        <v>0</v>
      </c>
      <c r="AU130" s="663">
        <f t="shared" ca="1" si="146"/>
        <v>0</v>
      </c>
      <c r="AV130" s="663">
        <f t="shared" ca="1" si="147"/>
        <v>0</v>
      </c>
      <c r="AW130" s="663">
        <f t="shared" ca="1" si="148"/>
        <v>688.3</v>
      </c>
      <c r="AX130" s="663">
        <f t="shared" ca="1" si="149"/>
        <v>0</v>
      </c>
      <c r="AY130" s="663">
        <f t="shared" ca="1" si="150"/>
        <v>0</v>
      </c>
      <c r="AZ130" s="663">
        <f t="shared" ca="1" si="151"/>
        <v>0</v>
      </c>
      <c r="BA130" s="663">
        <f t="shared" ca="1" si="152"/>
        <v>0</v>
      </c>
      <c r="BB130" s="663">
        <f t="shared" ca="1" si="153"/>
        <v>0</v>
      </c>
      <c r="BC130" s="663">
        <f t="shared" ca="1" si="154"/>
        <v>0</v>
      </c>
      <c r="BD130" s="663">
        <f t="shared" ca="1" si="155"/>
        <v>0</v>
      </c>
      <c r="BE130" s="663">
        <f t="shared" ca="1" si="156"/>
        <v>0</v>
      </c>
      <c r="BF130" s="663">
        <f t="shared" ca="1" si="157"/>
        <v>0</v>
      </c>
      <c r="BG130" s="663">
        <f t="shared" ca="1" si="158"/>
        <v>0</v>
      </c>
      <c r="BH130" s="663">
        <f t="shared" ca="1" si="159"/>
        <v>0</v>
      </c>
      <c r="BI130" s="663">
        <f t="shared" ca="1" si="160"/>
        <v>0</v>
      </c>
      <c r="BJ130" s="663">
        <f t="shared" ca="1" si="161"/>
        <v>0</v>
      </c>
      <c r="BK130" s="663">
        <f t="shared" ca="1" si="162"/>
        <v>0</v>
      </c>
      <c r="BL130" s="1918"/>
      <c r="BM130" s="1532"/>
      <c r="BN130" s="1919"/>
      <c r="BO130" s="600"/>
      <c r="BP130" s="601"/>
      <c r="BQ130" s="596"/>
      <c r="BR130" s="602"/>
      <c r="BS130" s="603"/>
      <c r="BT130" s="602"/>
      <c r="BU130" s="602"/>
      <c r="BV130" s="602"/>
      <c r="BW130" s="604"/>
      <c r="BX130" s="605"/>
      <c r="BY130" s="602"/>
      <c r="BZ130" s="602"/>
      <c r="CA130"/>
      <c r="CB130" s="607"/>
      <c r="CC130" s="608"/>
      <c r="CD130" s="608"/>
      <c r="CE130" s="608"/>
      <c r="CF130" s="600"/>
    </row>
    <row r="131" spans="2:84" ht="12" customHeight="1" x14ac:dyDescent="0.35">
      <c r="B131" s="590">
        <f>MATCH(C131,'360SpcLdsCSV'!$C$6:$C$500,0)</f>
        <v>75</v>
      </c>
      <c r="C131" s="590" t="str">
        <f>'360SpcLdsCSV'!C80</f>
        <v>L06-618_TrshRaccIncd</v>
      </c>
      <c r="D131" s="590" t="str">
        <f t="shared" si="163"/>
        <v>L06</v>
      </c>
      <c r="E131" s="590" t="str">
        <f t="shared" si="164"/>
        <v>Trsh</v>
      </c>
      <c r="F131" s="590" t="str">
        <f t="shared" si="165"/>
        <v>Racc</v>
      </c>
      <c r="G131" s="590" t="str">
        <f t="shared" si="166"/>
        <v>Incd</v>
      </c>
      <c r="H131" s="590" t="str">
        <f ca="1">OFFSET('360SpcLdsCSV'!$B$5,$B131,H$51)</f>
        <v>Level 6</v>
      </c>
      <c r="I131" s="590" t="str">
        <f ca="1">OFFSET('360SpcLdsCSV'!$B$5,$B131,I$51)</f>
        <v>IndirectlyConditioned</v>
      </c>
      <c r="J131" s="590" t="str">
        <f ca="1">OFFSET('360SpcLdsCSV'!$B$5,$B131,J$51)</f>
        <v>Storage Room - &lt;50 ft2</v>
      </c>
      <c r="K131" s="590" t="str">
        <f ca="1">OFFSET('360SpcLdsCSV'!$B$5,$B131,K$51)</f>
        <v>Nonresidential</v>
      </c>
      <c r="L131" s="590" t="str">
        <f ca="1">OFFSET('360SpcLdsCSV'!$B$5,$B131,L$51)</f>
        <v>Thermal Zone: L06-600_CorrRaccSphp</v>
      </c>
      <c r="M131" s="592">
        <f ca="1">OFFSET('360SpcLdsCSV'!$B$5,$B131,M$51)</f>
        <v>187.88740000000001</v>
      </c>
      <c r="N131" s="592">
        <f ca="1">OFFSET('360SpcLdsCSV'!$B$5,$B131,N$51)</f>
        <v>1878.87</v>
      </c>
      <c r="O131" s="592">
        <f ca="1">OFFSET('360SpcLdsCSV'!$B$5,$B131,O$51)</f>
        <v>0</v>
      </c>
      <c r="P131" s="592">
        <f ca="1">OFFSET('360SpcLdsCSV'!$B$5,$B131,P$51)</f>
        <v>0</v>
      </c>
      <c r="Q131" s="592">
        <f ca="1">OFFSET('360SpcLdsCSV'!$B$5,$B131,Q$51)</f>
        <v>0</v>
      </c>
      <c r="R131" s="592">
        <f ca="1">OFFSET('360SpcLdsCSV'!$B$5,$B131,R$51)</f>
        <v>0</v>
      </c>
      <c r="S131" s="592">
        <f ca="1">OFFSET('360SpcLdsCSV'!$B$5,$B131,S$51)</f>
        <v>0</v>
      </c>
      <c r="T131" s="592">
        <f ca="1">OFFSET('360SpcLdsCSV'!$B$5,$B131,T$51)</f>
        <v>0</v>
      </c>
      <c r="U131" s="592">
        <f ca="1">OFFSET('360SpcLdsCSV'!$B$5,$B131,U$51)</f>
        <v>0</v>
      </c>
      <c r="V131" s="592">
        <f ca="1">OFFSET('360SpcLdsCSV'!$B$5,$B131,V$51)</f>
        <v>0</v>
      </c>
      <c r="W131" s="592">
        <f ca="1">OFFSET('360SpcLdsCSV'!$B$5,$B131,W$51)</f>
        <v>187.9</v>
      </c>
      <c r="X131" s="592">
        <f ca="1">OFFSET('360SpcLdsCSV'!$B$5,$B131,X$51)</f>
        <v>0</v>
      </c>
      <c r="Y131" s="592">
        <f ca="1">OFFSET('360SpcLdsCSV'!$B$5,$B131,Y$51)</f>
        <v>0</v>
      </c>
      <c r="Z131" s="592">
        <f ca="1">OFFSET('360SpcLdsCSV'!$B$5,$B131,Z$51)</f>
        <v>0</v>
      </c>
      <c r="AA131" s="592">
        <f ca="1">OFFSET('360SpcLdsCSV'!$B$5,$B131,AA$51)</f>
        <v>0</v>
      </c>
      <c r="AB131" s="592">
        <f ca="1">OFFSET('360SpcLdsCSV'!$B$5,$B131,AB$51)</f>
        <v>0</v>
      </c>
      <c r="AC131" s="592">
        <f ca="1">OFFSET('360SpcLdsCSV'!$B$5,$B131,AC$51)</f>
        <v>0</v>
      </c>
      <c r="AD131" s="592">
        <f ca="1">OFFSET('360SpcLdsCSV'!$B$5,$B131,AD$51)</f>
        <v>0</v>
      </c>
      <c r="AE131" s="592">
        <f ca="1">OFFSET('360SpcLdsCSV'!$B$5,$B131,AE$51)</f>
        <v>0</v>
      </c>
      <c r="AF131" s="592">
        <f ca="1">OFFSET('360SpcLdsCSV'!$B$5,$B131,AF$51)</f>
        <v>0</v>
      </c>
      <c r="AG131" s="592">
        <f ca="1">OFFSET('360SpcLdsCSV'!$B$5,$B131,AG$51)</f>
        <v>0</v>
      </c>
      <c r="AH131" s="592">
        <f ca="1">OFFSET('360SpcLdsCSV'!$B$5,$B131,AH$51)</f>
        <v>0</v>
      </c>
      <c r="AI131" s="592">
        <f ca="1">OFFSET('360SpcLdsCSV'!$B$5,$B131,AI$51)</f>
        <v>0</v>
      </c>
      <c r="AJ131" s="592" cm="1">
        <f t="array" ref="AJ131">_xlfn.IFS($F131="Resi",1,$F131="Racc",0,$F131="Coml",0,$F131="Prkg",0)</f>
        <v>0</v>
      </c>
      <c r="AK131" s="596"/>
      <c r="AL131" s="590">
        <f ca="1">OFFSET('360SpcLdsCSV'!$B$5,$B131,AL$51)</f>
        <v>1</v>
      </c>
      <c r="AM131" s="663">
        <f t="shared" ca="1" si="139"/>
        <v>1</v>
      </c>
      <c r="AN131" s="663">
        <f t="shared" ca="1" si="140"/>
        <v>0</v>
      </c>
      <c r="AO131" s="663">
        <f t="shared" ca="1" si="167"/>
        <v>187.88740000000001</v>
      </c>
      <c r="AP131" s="663">
        <f t="shared" ca="1" si="141"/>
        <v>1878.87</v>
      </c>
      <c r="AQ131" s="663">
        <f t="shared" ca="1" si="142"/>
        <v>0</v>
      </c>
      <c r="AR131" s="663">
        <f t="shared" ca="1" si="143"/>
        <v>0</v>
      </c>
      <c r="AS131" s="663">
        <f t="shared" ca="1" si="144"/>
        <v>0</v>
      </c>
      <c r="AT131" s="663">
        <f t="shared" ca="1" si="145"/>
        <v>0</v>
      </c>
      <c r="AU131" s="663">
        <f t="shared" ca="1" si="146"/>
        <v>0</v>
      </c>
      <c r="AV131" s="663">
        <f t="shared" ca="1" si="147"/>
        <v>0</v>
      </c>
      <c r="AW131" s="663">
        <f t="shared" ca="1" si="148"/>
        <v>0</v>
      </c>
      <c r="AX131" s="663">
        <f t="shared" ca="1" si="149"/>
        <v>0</v>
      </c>
      <c r="AY131" s="663">
        <f t="shared" ca="1" si="150"/>
        <v>187.9</v>
      </c>
      <c r="AZ131" s="663">
        <f t="shared" ca="1" si="151"/>
        <v>0</v>
      </c>
      <c r="BA131" s="663">
        <f t="shared" ca="1" si="152"/>
        <v>0</v>
      </c>
      <c r="BB131" s="663">
        <f t="shared" ca="1" si="153"/>
        <v>0</v>
      </c>
      <c r="BC131" s="663">
        <f t="shared" ca="1" si="154"/>
        <v>0</v>
      </c>
      <c r="BD131" s="663">
        <f t="shared" ca="1" si="155"/>
        <v>0</v>
      </c>
      <c r="BE131" s="663">
        <f t="shared" ca="1" si="156"/>
        <v>0</v>
      </c>
      <c r="BF131" s="663">
        <f t="shared" ca="1" si="157"/>
        <v>0</v>
      </c>
      <c r="BG131" s="663">
        <f t="shared" ca="1" si="158"/>
        <v>0</v>
      </c>
      <c r="BH131" s="663">
        <f t="shared" ca="1" si="159"/>
        <v>0</v>
      </c>
      <c r="BI131" s="663">
        <f t="shared" ca="1" si="160"/>
        <v>0</v>
      </c>
      <c r="BJ131" s="663">
        <f t="shared" ca="1" si="161"/>
        <v>0</v>
      </c>
      <c r="BK131" s="663">
        <f t="shared" ca="1" si="162"/>
        <v>0</v>
      </c>
      <c r="BL131" s="1918"/>
      <c r="BM131" s="1532"/>
      <c r="BN131" s="1919"/>
      <c r="BO131" s="600"/>
      <c r="BP131" s="601"/>
      <c r="BQ131" s="596"/>
      <c r="BR131" s="602"/>
      <c r="BS131" s="603"/>
      <c r="BT131" s="602"/>
      <c r="BU131" s="602"/>
      <c r="BV131" s="602"/>
      <c r="BW131" s="604"/>
      <c r="BX131" s="605"/>
      <c r="BY131" s="602"/>
      <c r="BZ131" s="602"/>
      <c r="CA131"/>
      <c r="CB131" s="607"/>
      <c r="CC131" s="608"/>
      <c r="CD131" s="608"/>
      <c r="CE131" s="608"/>
      <c r="CF131" s="600"/>
    </row>
    <row r="132" spans="2:84" ht="12" customHeight="1" x14ac:dyDescent="0.35">
      <c r="B132" s="590">
        <f>MATCH(C132,'360SpcLdsCSV'!$C$6:$C$500,0)</f>
        <v>76</v>
      </c>
      <c r="C132" s="590" t="str">
        <f>'360SpcLdsCSV'!C81</f>
        <v>L06-619_MfamResiPthp</v>
      </c>
      <c r="D132" s="590" t="str">
        <f t="shared" si="163"/>
        <v>L06</v>
      </c>
      <c r="E132" s="590" t="str">
        <f t="shared" si="164"/>
        <v>Mfam</v>
      </c>
      <c r="F132" s="590" t="str">
        <f t="shared" si="165"/>
        <v>Resi</v>
      </c>
      <c r="G132" s="590" t="str">
        <f t="shared" si="166"/>
        <v>Pthp</v>
      </c>
      <c r="H132" s="590" t="str">
        <f ca="1">OFFSET('360SpcLdsCSV'!$B$5,$B132,H$51)</f>
        <v>Level 6</v>
      </c>
      <c r="I132" s="590" t="str">
        <f ca="1">OFFSET('360SpcLdsCSV'!$B$5,$B132,I$51)</f>
        <v>DirectlyConditioned</v>
      </c>
      <c r="J132" s="590" t="str">
        <f ca="1">OFFSET('360SpcLdsCSV'!$B$5,$B132,J$51)</f>
        <v>Dwelling Unit</v>
      </c>
      <c r="K132" s="590" t="str">
        <f ca="1">OFFSET('360SpcLdsCSV'!$B$5,$B132,K$51)</f>
        <v>Residential</v>
      </c>
      <c r="L132" s="590" t="str">
        <f ca="1">OFFSET('360SpcLdsCSV'!$B$5,$B132,L$51)</f>
        <v>Thermal Zone: L06-619_MfamResiPthp</v>
      </c>
      <c r="M132" s="592">
        <f ca="1">OFFSET('360SpcLdsCSV'!$B$5,$B132,M$51)</f>
        <v>662.92970000000003</v>
      </c>
      <c r="N132" s="592">
        <f ca="1">OFFSET('360SpcLdsCSV'!$B$5,$B132,N$51)</f>
        <v>6629.3</v>
      </c>
      <c r="O132" s="592">
        <f ca="1">OFFSET('360SpcLdsCSV'!$B$5,$B132,O$51)</f>
        <v>586</v>
      </c>
      <c r="P132" s="592">
        <f ca="1">OFFSET('360SpcLdsCSV'!$B$5,$B132,P$51)</f>
        <v>117.2</v>
      </c>
      <c r="Q132" s="592">
        <f ca="1">OFFSET('360SpcLdsCSV'!$B$5,$B132,Q$51)</f>
        <v>0</v>
      </c>
      <c r="R132" s="592">
        <f ca="1">OFFSET('360SpcLdsCSV'!$B$5,$B132,R$51)</f>
        <v>0</v>
      </c>
      <c r="S132" s="592">
        <f ca="1">OFFSET('360SpcLdsCSV'!$B$5,$B132,S$51)</f>
        <v>0</v>
      </c>
      <c r="T132" s="592">
        <f ca="1">OFFSET('360SpcLdsCSV'!$B$5,$B132,T$51)</f>
        <v>0</v>
      </c>
      <c r="U132" s="592">
        <f ca="1">OFFSET('360SpcLdsCSV'!$B$5,$B132,U$51)</f>
        <v>662.9</v>
      </c>
      <c r="V132" s="592">
        <f ca="1">OFFSET('360SpcLdsCSV'!$B$5,$B132,V$51)</f>
        <v>0</v>
      </c>
      <c r="W132" s="592">
        <f ca="1">OFFSET('360SpcLdsCSV'!$B$5,$B132,W$51)</f>
        <v>0</v>
      </c>
      <c r="X132" s="592">
        <f ca="1">OFFSET('360SpcLdsCSV'!$B$5,$B132,X$51)</f>
        <v>0</v>
      </c>
      <c r="Y132" s="592">
        <f ca="1">OFFSET('360SpcLdsCSV'!$B$5,$B132,Y$51)</f>
        <v>0</v>
      </c>
      <c r="Z132" s="592">
        <f ca="1">OFFSET('360SpcLdsCSV'!$B$5,$B132,Z$51)</f>
        <v>0</v>
      </c>
      <c r="AA132" s="592">
        <f ca="1">OFFSET('360SpcLdsCSV'!$B$5,$B132,AA$51)</f>
        <v>0</v>
      </c>
      <c r="AB132" s="592">
        <f ca="1">OFFSET('360SpcLdsCSV'!$B$5,$B132,AB$51)</f>
        <v>0</v>
      </c>
      <c r="AC132" s="592">
        <f ca="1">OFFSET('360SpcLdsCSV'!$B$5,$B132,AC$51)</f>
        <v>0</v>
      </c>
      <c r="AD132" s="592">
        <f ca="1">OFFSET('360SpcLdsCSV'!$B$5,$B132,AD$51)</f>
        <v>0</v>
      </c>
      <c r="AE132" s="592">
        <f ca="1">OFFSET('360SpcLdsCSV'!$B$5,$B132,AE$51)</f>
        <v>0</v>
      </c>
      <c r="AF132" s="592">
        <f ca="1">OFFSET('360SpcLdsCSV'!$B$5,$B132,AF$51)</f>
        <v>0</v>
      </c>
      <c r="AG132" s="592">
        <f ca="1">OFFSET('360SpcLdsCSV'!$B$5,$B132,AG$51)</f>
        <v>0</v>
      </c>
      <c r="AH132" s="592">
        <f ca="1">OFFSET('360SpcLdsCSV'!$B$5,$B132,AH$51)</f>
        <v>0</v>
      </c>
      <c r="AI132" s="592">
        <f ca="1">OFFSET('360SpcLdsCSV'!$B$5,$B132,AI$51)</f>
        <v>0</v>
      </c>
      <c r="AJ132" s="592" cm="1">
        <f t="array" ref="AJ132">_xlfn.IFS($F132="Resi",1,$F132="Racc",0,$F132="Coml",0,$F132="Prkg",0)</f>
        <v>1</v>
      </c>
      <c r="AK132" s="596"/>
      <c r="AL132" s="590">
        <f ca="1">OFFSET('360SpcLdsCSV'!$B$5,$B132,AL$51)</f>
        <v>1</v>
      </c>
      <c r="AM132" s="663">
        <f t="shared" ca="1" si="139"/>
        <v>1</v>
      </c>
      <c r="AN132" s="663">
        <f t="shared" ca="1" si="140"/>
        <v>1</v>
      </c>
      <c r="AO132" s="663">
        <f t="shared" ca="1" si="167"/>
        <v>662.92970000000003</v>
      </c>
      <c r="AP132" s="663">
        <f t="shared" ca="1" si="141"/>
        <v>6629.3</v>
      </c>
      <c r="AQ132" s="663">
        <f t="shared" ca="1" si="142"/>
        <v>586</v>
      </c>
      <c r="AR132" s="663">
        <f t="shared" ca="1" si="143"/>
        <v>117.2</v>
      </c>
      <c r="AS132" s="663">
        <f t="shared" ca="1" si="144"/>
        <v>0</v>
      </c>
      <c r="AT132" s="663">
        <f t="shared" ca="1" si="145"/>
        <v>0</v>
      </c>
      <c r="AU132" s="663">
        <f t="shared" ca="1" si="146"/>
        <v>0</v>
      </c>
      <c r="AV132" s="663">
        <f t="shared" ca="1" si="147"/>
        <v>0</v>
      </c>
      <c r="AW132" s="663">
        <f t="shared" ca="1" si="148"/>
        <v>662.9</v>
      </c>
      <c r="AX132" s="663">
        <f t="shared" ca="1" si="149"/>
        <v>0</v>
      </c>
      <c r="AY132" s="663">
        <f t="shared" ca="1" si="150"/>
        <v>0</v>
      </c>
      <c r="AZ132" s="663">
        <f t="shared" ca="1" si="151"/>
        <v>0</v>
      </c>
      <c r="BA132" s="663">
        <f t="shared" ca="1" si="152"/>
        <v>0</v>
      </c>
      <c r="BB132" s="663">
        <f t="shared" ca="1" si="153"/>
        <v>0</v>
      </c>
      <c r="BC132" s="663">
        <f t="shared" ca="1" si="154"/>
        <v>0</v>
      </c>
      <c r="BD132" s="663">
        <f t="shared" ca="1" si="155"/>
        <v>0</v>
      </c>
      <c r="BE132" s="663">
        <f t="shared" ca="1" si="156"/>
        <v>0</v>
      </c>
      <c r="BF132" s="663">
        <f t="shared" ca="1" si="157"/>
        <v>0</v>
      </c>
      <c r="BG132" s="663">
        <f t="shared" ca="1" si="158"/>
        <v>0</v>
      </c>
      <c r="BH132" s="663">
        <f t="shared" ca="1" si="159"/>
        <v>0</v>
      </c>
      <c r="BI132" s="663">
        <f t="shared" ca="1" si="160"/>
        <v>0</v>
      </c>
      <c r="BJ132" s="663">
        <f t="shared" ca="1" si="161"/>
        <v>0</v>
      </c>
      <c r="BK132" s="663">
        <f t="shared" ca="1" si="162"/>
        <v>0</v>
      </c>
      <c r="BL132" s="1918"/>
      <c r="BM132" s="1532"/>
      <c r="BN132" s="1919"/>
      <c r="BO132" s="600"/>
      <c r="BP132" s="601"/>
      <c r="BQ132" s="596"/>
      <c r="BR132" s="602"/>
      <c r="BS132" s="603"/>
      <c r="BT132" s="602"/>
      <c r="BU132" s="602"/>
      <c r="BV132" s="602"/>
      <c r="BW132" s="604"/>
      <c r="BX132" s="605"/>
      <c r="BY132" s="602"/>
      <c r="BZ132" s="602"/>
      <c r="CA132"/>
      <c r="CB132" s="607"/>
      <c r="CC132" s="608"/>
      <c r="CD132" s="608"/>
      <c r="CE132" s="608"/>
      <c r="CF132" s="600"/>
    </row>
    <row r="133" spans="2:84" ht="12" customHeight="1" x14ac:dyDescent="0.35">
      <c r="B133" s="590">
        <f>MATCH(C133,'360SpcLdsCSV'!$C$6:$C$500,0)</f>
        <v>77</v>
      </c>
      <c r="C133" s="590" t="str">
        <f>'360SpcLdsCSV'!C82</f>
        <v>R01-701_StrsRaccBbrd</v>
      </c>
      <c r="D133" s="590" t="str">
        <f t="shared" si="163"/>
        <v>R01</v>
      </c>
      <c r="E133" s="590" t="str">
        <f t="shared" si="164"/>
        <v>Strs</v>
      </c>
      <c r="F133" s="590" t="str">
        <f t="shared" si="165"/>
        <v>Racc</v>
      </c>
      <c r="G133" s="590" t="str">
        <f t="shared" si="166"/>
        <v>Bbrd</v>
      </c>
      <c r="H133" s="590" t="str">
        <f ca="1">OFFSET('360SpcLdsCSV'!$B$5,$B133,H$51)</f>
        <v>Roof</v>
      </c>
      <c r="I133" s="590" t="str">
        <f ca="1">OFFSET('360SpcLdsCSV'!$B$5,$B133,I$51)</f>
        <v>DirectlyConditioned</v>
      </c>
      <c r="J133" s="590" t="str">
        <f ca="1">OFFSET('360SpcLdsCSV'!$B$5,$B133,J$51)</f>
        <v>Stairwell</v>
      </c>
      <c r="K133" s="590" t="str">
        <f ca="1">OFFSET('360SpcLdsCSV'!$B$5,$B133,K$51)</f>
        <v>Nonresidential</v>
      </c>
      <c r="L133" s="590" t="str">
        <f ca="1">OFFSET('360SpcLdsCSV'!$B$5,$B133,L$51)</f>
        <v>Thermal Zone: R01-701_StrsRaccBbrd</v>
      </c>
      <c r="M133" s="592">
        <f ca="1">OFFSET('360SpcLdsCSV'!$B$5,$B133,M$51)</f>
        <v>197.10499999999999</v>
      </c>
      <c r="N133" s="592">
        <f ca="1">OFFSET('360SpcLdsCSV'!$B$5,$B133,N$51)</f>
        <v>1971.05</v>
      </c>
      <c r="O133" s="592">
        <f ca="1">OFFSET('360SpcLdsCSV'!$B$5,$B133,O$51)</f>
        <v>0</v>
      </c>
      <c r="P133" s="592">
        <f ca="1">OFFSET('360SpcLdsCSV'!$B$5,$B133,P$51)</f>
        <v>0</v>
      </c>
      <c r="Q133" s="592">
        <f ca="1">OFFSET('360SpcLdsCSV'!$B$5,$B133,Q$51)</f>
        <v>473.4</v>
      </c>
      <c r="R133" s="592">
        <f ca="1">OFFSET('360SpcLdsCSV'!$B$5,$B133,R$51)</f>
        <v>0</v>
      </c>
      <c r="S133" s="592">
        <f ca="1">OFFSET('360SpcLdsCSV'!$B$5,$B133,S$51)</f>
        <v>0</v>
      </c>
      <c r="T133" s="592">
        <f ca="1">OFFSET('360SpcLdsCSV'!$B$5,$B133,T$51)</f>
        <v>0</v>
      </c>
      <c r="U133" s="592">
        <f ca="1">OFFSET('360SpcLdsCSV'!$B$5,$B133,U$51)</f>
        <v>0</v>
      </c>
      <c r="V133" s="592">
        <f ca="1">OFFSET('360SpcLdsCSV'!$B$5,$B133,V$51)</f>
        <v>0</v>
      </c>
      <c r="W133" s="592">
        <f ca="1">OFFSET('360SpcLdsCSV'!$B$5,$B133,W$51)</f>
        <v>197.1</v>
      </c>
      <c r="X133" s="592">
        <f ca="1">OFFSET('360SpcLdsCSV'!$B$5,$B133,X$51)</f>
        <v>0</v>
      </c>
      <c r="Y133" s="592">
        <f ca="1">OFFSET('360SpcLdsCSV'!$B$5,$B133,Y$51)</f>
        <v>0</v>
      </c>
      <c r="Z133" s="592">
        <f ca="1">OFFSET('360SpcLdsCSV'!$B$5,$B133,Z$51)</f>
        <v>0</v>
      </c>
      <c r="AA133" s="592">
        <f ca="1">OFFSET('360SpcLdsCSV'!$B$5,$B133,AA$51)</f>
        <v>0</v>
      </c>
      <c r="AB133" s="592">
        <f ca="1">OFFSET('360SpcLdsCSV'!$B$5,$B133,AB$51)</f>
        <v>0</v>
      </c>
      <c r="AC133" s="592">
        <f ca="1">OFFSET('360SpcLdsCSV'!$B$5,$B133,AC$51)</f>
        <v>0</v>
      </c>
      <c r="AD133" s="592">
        <f ca="1">OFFSET('360SpcLdsCSV'!$B$5,$B133,AD$51)</f>
        <v>0</v>
      </c>
      <c r="AE133" s="592">
        <f ca="1">OFFSET('360SpcLdsCSV'!$B$5,$B133,AE$51)</f>
        <v>0</v>
      </c>
      <c r="AF133" s="592">
        <f ca="1">OFFSET('360SpcLdsCSV'!$B$5,$B133,AF$51)</f>
        <v>0</v>
      </c>
      <c r="AG133" s="592">
        <f ca="1">OFFSET('360SpcLdsCSV'!$B$5,$B133,AG$51)</f>
        <v>0</v>
      </c>
      <c r="AH133" s="592">
        <f ca="1">OFFSET('360SpcLdsCSV'!$B$5,$B133,AH$51)</f>
        <v>0</v>
      </c>
      <c r="AI133" s="592">
        <f ca="1">OFFSET('360SpcLdsCSV'!$B$5,$B133,AI$51)</f>
        <v>0</v>
      </c>
      <c r="AJ133" s="592" cm="1">
        <f t="array" ref="AJ133">_xlfn.IFS($F133="Resi",1,$F133="Racc",0,$F133="Coml",0,$F133="Prkg",0)</f>
        <v>0</v>
      </c>
      <c r="AK133" s="596"/>
      <c r="AL133" s="590">
        <f ca="1">OFFSET('360SpcLdsCSV'!$B$5,$B133,AL$51)</f>
        <v>1</v>
      </c>
      <c r="AM133" s="663">
        <f t="shared" ca="1" si="139"/>
        <v>1</v>
      </c>
      <c r="AN133" s="663">
        <f t="shared" ca="1" si="140"/>
        <v>0</v>
      </c>
      <c r="AO133" s="663">
        <f t="shared" ca="1" si="167"/>
        <v>197.10499999999999</v>
      </c>
      <c r="AP133" s="663">
        <f t="shared" ca="1" si="141"/>
        <v>1971.05</v>
      </c>
      <c r="AQ133" s="663">
        <f t="shared" ca="1" si="142"/>
        <v>0</v>
      </c>
      <c r="AR133" s="663">
        <f t="shared" ca="1" si="143"/>
        <v>0</v>
      </c>
      <c r="AS133" s="663">
        <f t="shared" ca="1" si="144"/>
        <v>473.4</v>
      </c>
      <c r="AT133" s="663">
        <f t="shared" ca="1" si="145"/>
        <v>0</v>
      </c>
      <c r="AU133" s="663">
        <f t="shared" ca="1" si="146"/>
        <v>0</v>
      </c>
      <c r="AV133" s="663">
        <f t="shared" ca="1" si="147"/>
        <v>0</v>
      </c>
      <c r="AW133" s="663">
        <f t="shared" ca="1" si="148"/>
        <v>0</v>
      </c>
      <c r="AX133" s="663">
        <f t="shared" ca="1" si="149"/>
        <v>0</v>
      </c>
      <c r="AY133" s="663">
        <f t="shared" ca="1" si="150"/>
        <v>197.1</v>
      </c>
      <c r="AZ133" s="663">
        <f t="shared" ca="1" si="151"/>
        <v>0</v>
      </c>
      <c r="BA133" s="663">
        <f t="shared" ca="1" si="152"/>
        <v>0</v>
      </c>
      <c r="BB133" s="663">
        <f t="shared" ca="1" si="153"/>
        <v>0</v>
      </c>
      <c r="BC133" s="663">
        <f t="shared" ca="1" si="154"/>
        <v>0</v>
      </c>
      <c r="BD133" s="663">
        <f t="shared" ca="1" si="155"/>
        <v>0</v>
      </c>
      <c r="BE133" s="663">
        <f t="shared" ca="1" si="156"/>
        <v>0</v>
      </c>
      <c r="BF133" s="663">
        <f t="shared" ca="1" si="157"/>
        <v>0</v>
      </c>
      <c r="BG133" s="663">
        <f t="shared" ca="1" si="158"/>
        <v>0</v>
      </c>
      <c r="BH133" s="663">
        <f t="shared" ca="1" si="159"/>
        <v>0</v>
      </c>
      <c r="BI133" s="663">
        <f t="shared" ca="1" si="160"/>
        <v>0</v>
      </c>
      <c r="BJ133" s="663">
        <f t="shared" ca="1" si="161"/>
        <v>0</v>
      </c>
      <c r="BK133" s="663">
        <f t="shared" ca="1" si="162"/>
        <v>0</v>
      </c>
      <c r="BL133" s="1918"/>
      <c r="BM133" s="1532"/>
      <c r="BN133" s="1919"/>
      <c r="BO133" s="600"/>
      <c r="BP133" s="601"/>
      <c r="BQ133" s="596"/>
      <c r="BR133" s="602"/>
      <c r="BS133" s="603"/>
      <c r="BT133" s="602"/>
      <c r="BU133" s="602"/>
      <c r="BV133" s="602"/>
      <c r="BW133" s="604"/>
      <c r="BX133" s="605"/>
      <c r="BY133" s="602"/>
      <c r="BZ133" s="602"/>
      <c r="CA133"/>
      <c r="CB133" s="607"/>
      <c r="CC133" s="608"/>
      <c r="CD133" s="608"/>
      <c r="CE133" s="608"/>
      <c r="CF133" s="600"/>
    </row>
    <row r="134" spans="2:84" ht="12" customHeight="1" x14ac:dyDescent="0.35">
      <c r="B134" s="590">
        <f>MATCH(C134,'360SpcLdsCSV'!$C$6:$C$500,0)</f>
        <v>78</v>
      </c>
      <c r="C134" s="590" t="str">
        <f>'360SpcLdsCSV'!C83</f>
        <v>R01-702_ElevRaccIncd</v>
      </c>
      <c r="D134" s="590" t="str">
        <f t="shared" si="163"/>
        <v>R01</v>
      </c>
      <c r="E134" s="590" t="str">
        <f t="shared" si="164"/>
        <v>Elev</v>
      </c>
      <c r="F134" s="590" t="str">
        <f t="shared" si="165"/>
        <v>Racc</v>
      </c>
      <c r="G134" s="590" t="str">
        <f t="shared" si="166"/>
        <v>Incd</v>
      </c>
      <c r="H134" s="590" t="str">
        <f ca="1">OFFSET('360SpcLdsCSV'!$B$5,$B134,H$51)</f>
        <v>Roof</v>
      </c>
      <c r="I134" s="590" t="str">
        <f ca="1">OFFSET('360SpcLdsCSV'!$B$5,$B134,I$51)</f>
        <v>IndirectlyConditioned</v>
      </c>
      <c r="J134" s="590" t="str">
        <f ca="1">OFFSET('360SpcLdsCSV'!$B$5,$B134,J$51)</f>
        <v>Unoccupied-Include in Gross Floor Area</v>
      </c>
      <c r="K134" s="590" t="str">
        <f ca="1">OFFSET('360SpcLdsCSV'!$B$5,$B134,K$51)</f>
        <v>Nonresidential</v>
      </c>
      <c r="L134" s="590" t="str">
        <f ca="1">OFFSET('360SpcLdsCSV'!$B$5,$B134,L$51)</f>
        <v>Thermal Zone: R01-701_StrsRaccBbrd</v>
      </c>
      <c r="M134" s="592">
        <f ca="1">OFFSET('360SpcLdsCSV'!$B$5,$B134,M$51)</f>
        <v>127.9872</v>
      </c>
      <c r="N134" s="592">
        <f ca="1">OFFSET('360SpcLdsCSV'!$B$5,$B134,N$51)</f>
        <v>1279.8699999999999</v>
      </c>
      <c r="O134" s="592">
        <f ca="1">OFFSET('360SpcLdsCSV'!$B$5,$B134,O$51)</f>
        <v>0</v>
      </c>
      <c r="P134" s="592">
        <f ca="1">OFFSET('360SpcLdsCSV'!$B$5,$B134,P$51)</f>
        <v>0</v>
      </c>
      <c r="Q134" s="592">
        <f ca="1">OFFSET('360SpcLdsCSV'!$B$5,$B134,Q$51)</f>
        <v>211.2</v>
      </c>
      <c r="R134" s="592">
        <f ca="1">OFFSET('360SpcLdsCSV'!$B$5,$B134,R$51)</f>
        <v>0</v>
      </c>
      <c r="S134" s="592">
        <f ca="1">OFFSET('360SpcLdsCSV'!$B$5,$B134,S$51)</f>
        <v>0</v>
      </c>
      <c r="T134" s="592">
        <f ca="1">OFFSET('360SpcLdsCSV'!$B$5,$B134,T$51)</f>
        <v>0</v>
      </c>
      <c r="U134" s="592">
        <f ca="1">OFFSET('360SpcLdsCSV'!$B$5,$B134,U$51)</f>
        <v>0</v>
      </c>
      <c r="V134" s="592">
        <f ca="1">OFFSET('360SpcLdsCSV'!$B$5,$B134,V$51)</f>
        <v>0</v>
      </c>
      <c r="W134" s="592">
        <f ca="1">OFFSET('360SpcLdsCSV'!$B$5,$B134,W$51)</f>
        <v>128</v>
      </c>
      <c r="X134" s="592">
        <f ca="1">OFFSET('360SpcLdsCSV'!$B$5,$B134,X$51)</f>
        <v>0</v>
      </c>
      <c r="Y134" s="592">
        <f ca="1">OFFSET('360SpcLdsCSV'!$B$5,$B134,Y$51)</f>
        <v>0</v>
      </c>
      <c r="Z134" s="592">
        <f ca="1">OFFSET('360SpcLdsCSV'!$B$5,$B134,Z$51)</f>
        <v>0</v>
      </c>
      <c r="AA134" s="592">
        <f ca="1">OFFSET('360SpcLdsCSV'!$B$5,$B134,AA$51)</f>
        <v>0</v>
      </c>
      <c r="AB134" s="592">
        <f ca="1">OFFSET('360SpcLdsCSV'!$B$5,$B134,AB$51)</f>
        <v>0</v>
      </c>
      <c r="AC134" s="592">
        <f ca="1">OFFSET('360SpcLdsCSV'!$B$5,$B134,AC$51)</f>
        <v>0</v>
      </c>
      <c r="AD134" s="592">
        <f ca="1">OFFSET('360SpcLdsCSV'!$B$5,$B134,AD$51)</f>
        <v>0</v>
      </c>
      <c r="AE134" s="592">
        <f ca="1">OFFSET('360SpcLdsCSV'!$B$5,$B134,AE$51)</f>
        <v>0</v>
      </c>
      <c r="AF134" s="592">
        <f ca="1">OFFSET('360SpcLdsCSV'!$B$5,$B134,AF$51)</f>
        <v>0</v>
      </c>
      <c r="AG134" s="592">
        <f ca="1">OFFSET('360SpcLdsCSV'!$B$5,$B134,AG$51)</f>
        <v>0</v>
      </c>
      <c r="AH134" s="592">
        <f ca="1">OFFSET('360SpcLdsCSV'!$B$5,$B134,AH$51)</f>
        <v>0</v>
      </c>
      <c r="AI134" s="592">
        <f ca="1">OFFSET('360SpcLdsCSV'!$B$5,$B134,AI$51)</f>
        <v>0</v>
      </c>
      <c r="AJ134" s="592" cm="1">
        <f t="array" ref="AJ134">_xlfn.IFS($F134="Resi",1,$F134="Racc",0,$F134="Coml",0,$F134="Prkg",0)</f>
        <v>0</v>
      </c>
      <c r="AK134" s="596"/>
      <c r="AL134" s="590">
        <f ca="1">OFFSET('360SpcLdsCSV'!$B$5,$B134,AL$51)</f>
        <v>1</v>
      </c>
      <c r="AM134" s="663">
        <f t="shared" ca="1" si="139"/>
        <v>1</v>
      </c>
      <c r="AN134" s="663">
        <f t="shared" ca="1" si="140"/>
        <v>0</v>
      </c>
      <c r="AO134" s="663">
        <f t="shared" ca="1" si="167"/>
        <v>127.9872</v>
      </c>
      <c r="AP134" s="663">
        <f t="shared" ca="1" si="141"/>
        <v>1279.8699999999999</v>
      </c>
      <c r="AQ134" s="663">
        <f t="shared" ca="1" si="142"/>
        <v>0</v>
      </c>
      <c r="AR134" s="663">
        <f t="shared" ca="1" si="143"/>
        <v>0</v>
      </c>
      <c r="AS134" s="663">
        <f t="shared" ca="1" si="144"/>
        <v>211.2</v>
      </c>
      <c r="AT134" s="663">
        <f t="shared" ca="1" si="145"/>
        <v>0</v>
      </c>
      <c r="AU134" s="663">
        <f t="shared" ca="1" si="146"/>
        <v>0</v>
      </c>
      <c r="AV134" s="663">
        <f t="shared" ca="1" si="147"/>
        <v>0</v>
      </c>
      <c r="AW134" s="663">
        <f t="shared" ca="1" si="148"/>
        <v>0</v>
      </c>
      <c r="AX134" s="663">
        <f t="shared" ca="1" si="149"/>
        <v>0</v>
      </c>
      <c r="AY134" s="663">
        <f t="shared" ca="1" si="150"/>
        <v>128</v>
      </c>
      <c r="AZ134" s="663">
        <f t="shared" ca="1" si="151"/>
        <v>0</v>
      </c>
      <c r="BA134" s="663">
        <f t="shared" ca="1" si="152"/>
        <v>0</v>
      </c>
      <c r="BB134" s="663">
        <f t="shared" ca="1" si="153"/>
        <v>0</v>
      </c>
      <c r="BC134" s="663">
        <f t="shared" ca="1" si="154"/>
        <v>0</v>
      </c>
      <c r="BD134" s="663">
        <f t="shared" ca="1" si="155"/>
        <v>0</v>
      </c>
      <c r="BE134" s="663">
        <f t="shared" ca="1" si="156"/>
        <v>0</v>
      </c>
      <c r="BF134" s="663">
        <f t="shared" ca="1" si="157"/>
        <v>0</v>
      </c>
      <c r="BG134" s="663">
        <f t="shared" ca="1" si="158"/>
        <v>0</v>
      </c>
      <c r="BH134" s="663">
        <f t="shared" ca="1" si="159"/>
        <v>0</v>
      </c>
      <c r="BI134" s="663">
        <f t="shared" ca="1" si="160"/>
        <v>0</v>
      </c>
      <c r="BJ134" s="663">
        <f t="shared" ca="1" si="161"/>
        <v>0</v>
      </c>
      <c r="BK134" s="663">
        <f t="shared" ca="1" si="162"/>
        <v>0</v>
      </c>
      <c r="BL134" s="1918"/>
      <c r="BM134" s="1532"/>
      <c r="BN134" s="1919"/>
      <c r="BO134" s="600"/>
      <c r="BP134" s="601"/>
      <c r="BQ134" s="596"/>
      <c r="BR134" s="602"/>
      <c r="BS134" s="603"/>
      <c r="BT134" s="602"/>
      <c r="BU134" s="602"/>
      <c r="BV134" s="602"/>
      <c r="BW134" s="604"/>
      <c r="BX134" s="605"/>
      <c r="BY134" s="602"/>
      <c r="BZ134" s="602"/>
      <c r="CA134"/>
      <c r="CB134" s="607"/>
      <c r="CC134" s="608"/>
      <c r="CD134" s="608"/>
      <c r="CE134" s="608"/>
      <c r="CF134" s="600"/>
    </row>
    <row r="135" spans="2:84" ht="12" customHeight="1" x14ac:dyDescent="0.35">
      <c r="B135" s="590">
        <f>MATCH(C135,'360SpcLdsCSV'!$C$6:$C$500,0)</f>
        <v>79</v>
      </c>
      <c r="C135" s="590" t="str">
        <f>'360SpcLdsCSV'!C84</f>
        <v>R01-703_MechRaccPtac</v>
      </c>
      <c r="D135" s="590" t="str">
        <f t="shared" si="163"/>
        <v>R01</v>
      </c>
      <c r="E135" s="590" t="str">
        <f t="shared" si="164"/>
        <v>Mech</v>
      </c>
      <c r="F135" s="590" t="str">
        <f t="shared" si="165"/>
        <v>Racc</v>
      </c>
      <c r="G135" s="590" t="str">
        <f t="shared" si="166"/>
        <v>Ptac</v>
      </c>
      <c r="H135" s="590" t="str">
        <f ca="1">OFFSET('360SpcLdsCSV'!$B$5,$B135,H$51)</f>
        <v>Roof</v>
      </c>
      <c r="I135" s="590" t="str">
        <f ca="1">OFFSET('360SpcLdsCSV'!$B$5,$B135,I$51)</f>
        <v>DirectlyConditioned</v>
      </c>
      <c r="J135" s="590" t="str">
        <f ca="1">OFFSET('360SpcLdsCSV'!$B$5,$B135,J$51)</f>
        <v>Electrical/MechanicaI Room</v>
      </c>
      <c r="K135" s="590" t="str">
        <f ca="1">OFFSET('360SpcLdsCSV'!$B$5,$B135,K$51)</f>
        <v>Nonresidential</v>
      </c>
      <c r="L135" s="590" t="str">
        <f ca="1">OFFSET('360SpcLdsCSV'!$B$5,$B135,L$51)</f>
        <v>Thermal Zone: R01-703_MechRaccPtac</v>
      </c>
      <c r="M135" s="592">
        <f ca="1">OFFSET('360SpcLdsCSV'!$B$5,$B135,M$51)</f>
        <v>102.77760000000001</v>
      </c>
      <c r="N135" s="592">
        <f ca="1">OFFSET('360SpcLdsCSV'!$B$5,$B135,N$51)</f>
        <v>1027.78</v>
      </c>
      <c r="O135" s="592">
        <f ca="1">OFFSET('360SpcLdsCSV'!$B$5,$B135,O$51)</f>
        <v>0</v>
      </c>
      <c r="P135" s="592">
        <f ca="1">OFFSET('360SpcLdsCSV'!$B$5,$B135,P$51)</f>
        <v>0</v>
      </c>
      <c r="Q135" s="592">
        <f ca="1">OFFSET('360SpcLdsCSV'!$B$5,$B135,Q$51)</f>
        <v>290.8</v>
      </c>
      <c r="R135" s="592">
        <f ca="1">OFFSET('360SpcLdsCSV'!$B$5,$B135,R$51)</f>
        <v>0</v>
      </c>
      <c r="S135" s="592">
        <f ca="1">OFFSET('360SpcLdsCSV'!$B$5,$B135,S$51)</f>
        <v>0</v>
      </c>
      <c r="T135" s="592">
        <f ca="1">OFFSET('360SpcLdsCSV'!$B$5,$B135,T$51)</f>
        <v>0</v>
      </c>
      <c r="U135" s="592">
        <f ca="1">OFFSET('360SpcLdsCSV'!$B$5,$B135,U$51)</f>
        <v>0</v>
      </c>
      <c r="V135" s="592">
        <f ca="1">OFFSET('360SpcLdsCSV'!$B$5,$B135,V$51)</f>
        <v>0</v>
      </c>
      <c r="W135" s="592">
        <f ca="1">OFFSET('360SpcLdsCSV'!$B$5,$B135,W$51)</f>
        <v>102.8</v>
      </c>
      <c r="X135" s="592">
        <f ca="1">OFFSET('360SpcLdsCSV'!$B$5,$B135,X$51)</f>
        <v>0</v>
      </c>
      <c r="Y135" s="592">
        <f ca="1">OFFSET('360SpcLdsCSV'!$B$5,$B135,Y$51)</f>
        <v>0</v>
      </c>
      <c r="Z135" s="592">
        <f ca="1">OFFSET('360SpcLdsCSV'!$B$5,$B135,Z$51)</f>
        <v>0</v>
      </c>
      <c r="AA135" s="592">
        <f ca="1">OFFSET('360SpcLdsCSV'!$B$5,$B135,AA$51)</f>
        <v>0</v>
      </c>
      <c r="AB135" s="592">
        <f ca="1">OFFSET('360SpcLdsCSV'!$B$5,$B135,AB$51)</f>
        <v>0</v>
      </c>
      <c r="AC135" s="592">
        <f ca="1">OFFSET('360SpcLdsCSV'!$B$5,$B135,AC$51)</f>
        <v>0</v>
      </c>
      <c r="AD135" s="592">
        <f ca="1">OFFSET('360SpcLdsCSV'!$B$5,$B135,AD$51)</f>
        <v>0</v>
      </c>
      <c r="AE135" s="592">
        <f ca="1">OFFSET('360SpcLdsCSV'!$B$5,$B135,AE$51)</f>
        <v>0</v>
      </c>
      <c r="AF135" s="592">
        <f ca="1">OFFSET('360SpcLdsCSV'!$B$5,$B135,AF$51)</f>
        <v>0</v>
      </c>
      <c r="AG135" s="592">
        <f ca="1">OFFSET('360SpcLdsCSV'!$B$5,$B135,AG$51)</f>
        <v>0</v>
      </c>
      <c r="AH135" s="592">
        <f ca="1">OFFSET('360SpcLdsCSV'!$B$5,$B135,AH$51)</f>
        <v>0</v>
      </c>
      <c r="AI135" s="592">
        <f ca="1">OFFSET('360SpcLdsCSV'!$B$5,$B135,AI$51)</f>
        <v>0</v>
      </c>
      <c r="AJ135" s="592" cm="1">
        <f t="array" ref="AJ135">_xlfn.IFS($F135="Resi",1,$F135="Racc",0,$F135="Coml",0,$F135="Prkg",0)</f>
        <v>0</v>
      </c>
      <c r="AK135" s="596"/>
      <c r="AL135" s="590">
        <f ca="1">OFFSET('360SpcLdsCSV'!$B$5,$B135,AL$51)</f>
        <v>1</v>
      </c>
      <c r="AM135" s="663">
        <f t="shared" ca="1" si="139"/>
        <v>1</v>
      </c>
      <c r="AN135" s="663">
        <f t="shared" ca="1" si="140"/>
        <v>0</v>
      </c>
      <c r="AO135" s="663">
        <f t="shared" ca="1" si="167"/>
        <v>102.77760000000001</v>
      </c>
      <c r="AP135" s="663">
        <f t="shared" ca="1" si="141"/>
        <v>1027.78</v>
      </c>
      <c r="AQ135" s="663">
        <f t="shared" ca="1" si="142"/>
        <v>0</v>
      </c>
      <c r="AR135" s="663">
        <f t="shared" ca="1" si="143"/>
        <v>0</v>
      </c>
      <c r="AS135" s="663">
        <f t="shared" ca="1" si="144"/>
        <v>290.8</v>
      </c>
      <c r="AT135" s="663">
        <f t="shared" ca="1" si="145"/>
        <v>0</v>
      </c>
      <c r="AU135" s="663">
        <f t="shared" ca="1" si="146"/>
        <v>0</v>
      </c>
      <c r="AV135" s="663">
        <f t="shared" ca="1" si="147"/>
        <v>0</v>
      </c>
      <c r="AW135" s="663">
        <f t="shared" ca="1" si="148"/>
        <v>0</v>
      </c>
      <c r="AX135" s="663">
        <f t="shared" ca="1" si="149"/>
        <v>0</v>
      </c>
      <c r="AY135" s="663">
        <f t="shared" ca="1" si="150"/>
        <v>102.8</v>
      </c>
      <c r="AZ135" s="663">
        <f t="shared" ca="1" si="151"/>
        <v>0</v>
      </c>
      <c r="BA135" s="663">
        <f t="shared" ca="1" si="152"/>
        <v>0</v>
      </c>
      <c r="BB135" s="663">
        <f t="shared" ca="1" si="153"/>
        <v>0</v>
      </c>
      <c r="BC135" s="663">
        <f t="shared" ca="1" si="154"/>
        <v>0</v>
      </c>
      <c r="BD135" s="663">
        <f t="shared" ca="1" si="155"/>
        <v>0</v>
      </c>
      <c r="BE135" s="663">
        <f t="shared" ca="1" si="156"/>
        <v>0</v>
      </c>
      <c r="BF135" s="663">
        <f t="shared" ca="1" si="157"/>
        <v>0</v>
      </c>
      <c r="BG135" s="663">
        <f t="shared" ca="1" si="158"/>
        <v>0</v>
      </c>
      <c r="BH135" s="663">
        <f t="shared" ca="1" si="159"/>
        <v>0</v>
      </c>
      <c r="BI135" s="663">
        <f t="shared" ca="1" si="160"/>
        <v>0</v>
      </c>
      <c r="BJ135" s="663">
        <f t="shared" ca="1" si="161"/>
        <v>0</v>
      </c>
      <c r="BK135" s="663">
        <f t="shared" ca="1" si="162"/>
        <v>0</v>
      </c>
      <c r="BL135" s="1918"/>
      <c r="BM135" s="1532"/>
      <c r="BN135" s="1919"/>
      <c r="BO135" s="600"/>
      <c r="BP135" s="601"/>
      <c r="BQ135" s="596"/>
      <c r="BR135" s="602"/>
      <c r="BS135" s="603"/>
      <c r="BT135" s="602"/>
      <c r="BU135" s="602"/>
      <c r="BV135" s="602"/>
      <c r="BW135" s="604"/>
      <c r="BX135" s="605"/>
      <c r="BY135" s="602"/>
      <c r="BZ135" s="602"/>
      <c r="CA135"/>
      <c r="CB135" s="607"/>
      <c r="CC135" s="608"/>
      <c r="CD135" s="608"/>
      <c r="CE135" s="608"/>
      <c r="CF135" s="600"/>
    </row>
    <row r="136" spans="2:84" ht="12" customHeight="1" x14ac:dyDescent="0.35">
      <c r="B136" s="590">
        <f>MATCH(C136,'360SpcLdsCSV'!$C$6:$C$500,0)</f>
        <v>80</v>
      </c>
      <c r="C136" s="590" t="str">
        <f>'360SpcLdsCSV'!C85</f>
        <v>R01-704_StrsRaccBbrd</v>
      </c>
      <c r="D136" s="590" t="str">
        <f t="shared" si="163"/>
        <v>R01</v>
      </c>
      <c r="E136" s="590" t="str">
        <f t="shared" si="164"/>
        <v>Strs</v>
      </c>
      <c r="F136" s="590" t="str">
        <f t="shared" si="165"/>
        <v>Racc</v>
      </c>
      <c r="G136" s="590" t="str">
        <f t="shared" si="166"/>
        <v>Bbrd</v>
      </c>
      <c r="H136" s="590" t="str">
        <f ca="1">OFFSET('360SpcLdsCSV'!$B$5,$B136,H$51)</f>
        <v>Roof</v>
      </c>
      <c r="I136" s="590" t="str">
        <f ca="1">OFFSET('360SpcLdsCSV'!$B$5,$B136,I$51)</f>
        <v>DirectlyConditioned</v>
      </c>
      <c r="J136" s="590" t="str">
        <f ca="1">OFFSET('360SpcLdsCSV'!$B$5,$B136,J$51)</f>
        <v>Stairwell</v>
      </c>
      <c r="K136" s="590" t="str">
        <f ca="1">OFFSET('360SpcLdsCSV'!$B$5,$B136,K$51)</f>
        <v>Nonresidential</v>
      </c>
      <c r="L136" s="590" t="str">
        <f ca="1">OFFSET('360SpcLdsCSV'!$B$5,$B136,L$51)</f>
        <v>Thermal Zone: R01-704_StrsRaccBbrd</v>
      </c>
      <c r="M136" s="592">
        <f ca="1">OFFSET('360SpcLdsCSV'!$B$5,$B136,M$51)</f>
        <v>236.34819999999999</v>
      </c>
      <c r="N136" s="592">
        <f ca="1">OFFSET('360SpcLdsCSV'!$B$5,$B136,N$51)</f>
        <v>2363.48</v>
      </c>
      <c r="O136" s="592">
        <f ca="1">OFFSET('360SpcLdsCSV'!$B$5,$B136,O$51)</f>
        <v>0</v>
      </c>
      <c r="P136" s="592">
        <f ca="1">OFFSET('360SpcLdsCSV'!$B$5,$B136,P$51)</f>
        <v>0</v>
      </c>
      <c r="Q136" s="592">
        <f ca="1">OFFSET('360SpcLdsCSV'!$B$5,$B136,Q$51)</f>
        <v>435.9</v>
      </c>
      <c r="R136" s="592">
        <f ca="1">OFFSET('360SpcLdsCSV'!$B$5,$B136,R$51)</f>
        <v>0</v>
      </c>
      <c r="S136" s="592">
        <f ca="1">OFFSET('360SpcLdsCSV'!$B$5,$B136,S$51)</f>
        <v>0</v>
      </c>
      <c r="T136" s="592">
        <f ca="1">OFFSET('360SpcLdsCSV'!$B$5,$B136,T$51)</f>
        <v>0</v>
      </c>
      <c r="U136" s="592">
        <f ca="1">OFFSET('360SpcLdsCSV'!$B$5,$B136,U$51)</f>
        <v>0</v>
      </c>
      <c r="V136" s="592">
        <f ca="1">OFFSET('360SpcLdsCSV'!$B$5,$B136,V$51)</f>
        <v>0</v>
      </c>
      <c r="W136" s="592">
        <f ca="1">OFFSET('360SpcLdsCSV'!$B$5,$B136,W$51)</f>
        <v>236.3</v>
      </c>
      <c r="X136" s="592">
        <f ca="1">OFFSET('360SpcLdsCSV'!$B$5,$B136,X$51)</f>
        <v>0</v>
      </c>
      <c r="Y136" s="592">
        <f ca="1">OFFSET('360SpcLdsCSV'!$B$5,$B136,Y$51)</f>
        <v>0</v>
      </c>
      <c r="Z136" s="592">
        <f ca="1">OFFSET('360SpcLdsCSV'!$B$5,$B136,Z$51)</f>
        <v>0</v>
      </c>
      <c r="AA136" s="592">
        <f ca="1">OFFSET('360SpcLdsCSV'!$B$5,$B136,AA$51)</f>
        <v>0</v>
      </c>
      <c r="AB136" s="592">
        <f ca="1">OFFSET('360SpcLdsCSV'!$B$5,$B136,AB$51)</f>
        <v>0</v>
      </c>
      <c r="AC136" s="592">
        <f ca="1">OFFSET('360SpcLdsCSV'!$B$5,$B136,AC$51)</f>
        <v>0</v>
      </c>
      <c r="AD136" s="592">
        <f ca="1">OFFSET('360SpcLdsCSV'!$B$5,$B136,AD$51)</f>
        <v>0</v>
      </c>
      <c r="AE136" s="592">
        <f ca="1">OFFSET('360SpcLdsCSV'!$B$5,$B136,AE$51)</f>
        <v>0</v>
      </c>
      <c r="AF136" s="592">
        <f ca="1">OFFSET('360SpcLdsCSV'!$B$5,$B136,AF$51)</f>
        <v>0</v>
      </c>
      <c r="AG136" s="592">
        <f ca="1">OFFSET('360SpcLdsCSV'!$B$5,$B136,AG$51)</f>
        <v>0</v>
      </c>
      <c r="AH136" s="592">
        <f ca="1">OFFSET('360SpcLdsCSV'!$B$5,$B136,AH$51)</f>
        <v>0</v>
      </c>
      <c r="AI136" s="592">
        <f ca="1">OFFSET('360SpcLdsCSV'!$B$5,$B136,AI$51)</f>
        <v>0</v>
      </c>
      <c r="AJ136" s="592" cm="1">
        <f t="array" ref="AJ136">_xlfn.IFS($F136="Resi",1,$F136="Racc",0,$F136="Coml",0,$F136="Prkg",0)</f>
        <v>0</v>
      </c>
      <c r="AK136" s="596"/>
      <c r="AL136" s="590">
        <f ca="1">OFFSET('360SpcLdsCSV'!$B$5,$B136,AL$51)</f>
        <v>1</v>
      </c>
      <c r="AM136" s="663">
        <f t="shared" ca="1" si="139"/>
        <v>1</v>
      </c>
      <c r="AN136" s="663">
        <f t="shared" ca="1" si="140"/>
        <v>0</v>
      </c>
      <c r="AO136" s="663">
        <f t="shared" ca="1" si="167"/>
        <v>236.34819999999999</v>
      </c>
      <c r="AP136" s="663">
        <f t="shared" ca="1" si="141"/>
        <v>2363.48</v>
      </c>
      <c r="AQ136" s="663">
        <f t="shared" ca="1" si="142"/>
        <v>0</v>
      </c>
      <c r="AR136" s="663">
        <f t="shared" ca="1" si="143"/>
        <v>0</v>
      </c>
      <c r="AS136" s="663">
        <f t="shared" ca="1" si="144"/>
        <v>435.9</v>
      </c>
      <c r="AT136" s="663">
        <f t="shared" ca="1" si="145"/>
        <v>0</v>
      </c>
      <c r="AU136" s="663">
        <f t="shared" ca="1" si="146"/>
        <v>0</v>
      </c>
      <c r="AV136" s="663">
        <f t="shared" ca="1" si="147"/>
        <v>0</v>
      </c>
      <c r="AW136" s="663">
        <f t="shared" ca="1" si="148"/>
        <v>0</v>
      </c>
      <c r="AX136" s="663">
        <f t="shared" ca="1" si="149"/>
        <v>0</v>
      </c>
      <c r="AY136" s="663">
        <f t="shared" ca="1" si="150"/>
        <v>236.3</v>
      </c>
      <c r="AZ136" s="663">
        <f t="shared" ca="1" si="151"/>
        <v>0</v>
      </c>
      <c r="BA136" s="663">
        <f t="shared" ca="1" si="152"/>
        <v>0</v>
      </c>
      <c r="BB136" s="663">
        <f t="shared" ca="1" si="153"/>
        <v>0</v>
      </c>
      <c r="BC136" s="663">
        <f t="shared" ca="1" si="154"/>
        <v>0</v>
      </c>
      <c r="BD136" s="663">
        <f t="shared" ca="1" si="155"/>
        <v>0</v>
      </c>
      <c r="BE136" s="663">
        <f t="shared" ca="1" si="156"/>
        <v>0</v>
      </c>
      <c r="BF136" s="663">
        <f t="shared" ca="1" si="157"/>
        <v>0</v>
      </c>
      <c r="BG136" s="663">
        <f t="shared" ca="1" si="158"/>
        <v>0</v>
      </c>
      <c r="BH136" s="663">
        <f t="shared" ca="1" si="159"/>
        <v>0</v>
      </c>
      <c r="BI136" s="663">
        <f t="shared" ca="1" si="160"/>
        <v>0</v>
      </c>
      <c r="BJ136" s="663">
        <f t="shared" ca="1" si="161"/>
        <v>0</v>
      </c>
      <c r="BK136" s="663">
        <f t="shared" ca="1" si="162"/>
        <v>0</v>
      </c>
      <c r="BL136" s="1918"/>
      <c r="BM136" s="1532"/>
      <c r="BN136" s="1919"/>
      <c r="BO136" s="600"/>
      <c r="BP136" s="601"/>
      <c r="BQ136" s="596"/>
      <c r="BR136" s="602"/>
      <c r="BS136" s="603"/>
      <c r="BT136" s="602"/>
      <c r="BU136" s="602"/>
      <c r="BV136" s="602"/>
      <c r="BW136" s="604"/>
      <c r="BX136" s="605"/>
      <c r="BY136" s="602"/>
      <c r="BZ136" s="602"/>
      <c r="CA136"/>
      <c r="CB136" s="607"/>
      <c r="CC136" s="608"/>
      <c r="CD136" s="608"/>
      <c r="CE136" s="608"/>
      <c r="CF136" s="600"/>
    </row>
    <row r="137" spans="2:84" ht="12" customHeight="1" x14ac:dyDescent="0.35">
      <c r="B137" s="590">
        <f>MATCH(C137,'360SpcLdsCSV'!$C$6:$C$500,0)</f>
        <v>81</v>
      </c>
      <c r="C137" s="590" t="str">
        <f>'360SpcLdsCSV'!C86</f>
        <v>R01-705_ElevRaccIncd</v>
      </c>
      <c r="D137" s="590" t="str">
        <f t="shared" si="163"/>
        <v>R01</v>
      </c>
      <c r="E137" s="590" t="str">
        <f t="shared" si="164"/>
        <v>Elev</v>
      </c>
      <c r="F137" s="590" t="str">
        <f t="shared" si="165"/>
        <v>Racc</v>
      </c>
      <c r="G137" s="590" t="str">
        <f t="shared" si="166"/>
        <v>Incd</v>
      </c>
      <c r="H137" s="590" t="str">
        <f ca="1">OFFSET('360SpcLdsCSV'!$B$5,$B137,H$51)</f>
        <v>Roof</v>
      </c>
      <c r="I137" s="590" t="str">
        <f ca="1">OFFSET('360SpcLdsCSV'!$B$5,$B137,I$51)</f>
        <v>IndirectlyConditioned</v>
      </c>
      <c r="J137" s="590" t="str">
        <f ca="1">OFFSET('360SpcLdsCSV'!$B$5,$B137,J$51)</f>
        <v>Unoccupied-Include in Gross Floor Area</v>
      </c>
      <c r="K137" s="590" t="str">
        <f ca="1">OFFSET('360SpcLdsCSV'!$B$5,$B137,K$51)</f>
        <v>Nonresidential</v>
      </c>
      <c r="L137" s="590" t="str">
        <f ca="1">OFFSET('360SpcLdsCSV'!$B$5,$B137,L$51)</f>
        <v>Thermal Zone: R01-704_StrsRaccBbrd</v>
      </c>
      <c r="M137" s="592">
        <f ca="1">OFFSET('360SpcLdsCSV'!$B$5,$B137,M$51)</f>
        <v>211.21340000000001</v>
      </c>
      <c r="N137" s="592">
        <f ca="1">OFFSET('360SpcLdsCSV'!$B$5,$B137,N$51)</f>
        <v>2112.13</v>
      </c>
      <c r="O137" s="592">
        <f ca="1">OFFSET('360SpcLdsCSV'!$B$5,$B137,O$51)</f>
        <v>0</v>
      </c>
      <c r="P137" s="592">
        <f ca="1">OFFSET('360SpcLdsCSV'!$B$5,$B137,P$51)</f>
        <v>0</v>
      </c>
      <c r="Q137" s="592">
        <f ca="1">OFFSET('360SpcLdsCSV'!$B$5,$B137,Q$51)</f>
        <v>208.4</v>
      </c>
      <c r="R137" s="592">
        <f ca="1">OFFSET('360SpcLdsCSV'!$B$5,$B137,R$51)</f>
        <v>0</v>
      </c>
      <c r="S137" s="592">
        <f ca="1">OFFSET('360SpcLdsCSV'!$B$5,$B137,S$51)</f>
        <v>0</v>
      </c>
      <c r="T137" s="592">
        <f ca="1">OFFSET('360SpcLdsCSV'!$B$5,$B137,T$51)</f>
        <v>0</v>
      </c>
      <c r="U137" s="592">
        <f ca="1">OFFSET('360SpcLdsCSV'!$B$5,$B137,U$51)</f>
        <v>0</v>
      </c>
      <c r="V137" s="592">
        <f ca="1">OFFSET('360SpcLdsCSV'!$B$5,$B137,V$51)</f>
        <v>0</v>
      </c>
      <c r="W137" s="592">
        <f ca="1">OFFSET('360SpcLdsCSV'!$B$5,$B137,W$51)</f>
        <v>211.2</v>
      </c>
      <c r="X137" s="592">
        <f ca="1">OFFSET('360SpcLdsCSV'!$B$5,$B137,X$51)</f>
        <v>0</v>
      </c>
      <c r="Y137" s="592">
        <f ca="1">OFFSET('360SpcLdsCSV'!$B$5,$B137,Y$51)</f>
        <v>0</v>
      </c>
      <c r="Z137" s="592">
        <f ca="1">OFFSET('360SpcLdsCSV'!$B$5,$B137,Z$51)</f>
        <v>0</v>
      </c>
      <c r="AA137" s="592">
        <f ca="1">OFFSET('360SpcLdsCSV'!$B$5,$B137,AA$51)</f>
        <v>0</v>
      </c>
      <c r="AB137" s="592">
        <f ca="1">OFFSET('360SpcLdsCSV'!$B$5,$B137,AB$51)</f>
        <v>0</v>
      </c>
      <c r="AC137" s="592">
        <f ca="1">OFFSET('360SpcLdsCSV'!$B$5,$B137,AC$51)</f>
        <v>0</v>
      </c>
      <c r="AD137" s="592">
        <f ca="1">OFFSET('360SpcLdsCSV'!$B$5,$B137,AD$51)</f>
        <v>0</v>
      </c>
      <c r="AE137" s="592">
        <f ca="1">OFFSET('360SpcLdsCSV'!$B$5,$B137,AE$51)</f>
        <v>0</v>
      </c>
      <c r="AF137" s="592">
        <f ca="1">OFFSET('360SpcLdsCSV'!$B$5,$B137,AF$51)</f>
        <v>0</v>
      </c>
      <c r="AG137" s="592">
        <f ca="1">OFFSET('360SpcLdsCSV'!$B$5,$B137,AG$51)</f>
        <v>0</v>
      </c>
      <c r="AH137" s="592">
        <f ca="1">OFFSET('360SpcLdsCSV'!$B$5,$B137,AH$51)</f>
        <v>0</v>
      </c>
      <c r="AI137" s="592">
        <f ca="1">OFFSET('360SpcLdsCSV'!$B$5,$B137,AI$51)</f>
        <v>0</v>
      </c>
      <c r="AJ137" s="592" cm="1">
        <f t="array" ref="AJ137">_xlfn.IFS($F137="Resi",1,$F137="Racc",0,$F137="Coml",0,$F137="Prkg",0)</f>
        <v>0</v>
      </c>
      <c r="AK137" s="596"/>
      <c r="AL137" s="590">
        <f ca="1">OFFSET('360SpcLdsCSV'!$B$5,$B137,AL$51)</f>
        <v>1</v>
      </c>
      <c r="AM137" s="663">
        <f t="shared" ca="1" si="139"/>
        <v>1</v>
      </c>
      <c r="AN137" s="663">
        <f t="shared" ca="1" si="140"/>
        <v>0</v>
      </c>
      <c r="AO137" s="663">
        <f t="shared" ca="1" si="167"/>
        <v>211.21340000000001</v>
      </c>
      <c r="AP137" s="663">
        <f t="shared" ca="1" si="141"/>
        <v>2112.13</v>
      </c>
      <c r="AQ137" s="663">
        <f t="shared" ca="1" si="142"/>
        <v>0</v>
      </c>
      <c r="AR137" s="663">
        <f t="shared" ca="1" si="143"/>
        <v>0</v>
      </c>
      <c r="AS137" s="663">
        <f t="shared" ca="1" si="144"/>
        <v>208.4</v>
      </c>
      <c r="AT137" s="663">
        <f t="shared" ca="1" si="145"/>
        <v>0</v>
      </c>
      <c r="AU137" s="663">
        <f t="shared" ca="1" si="146"/>
        <v>0</v>
      </c>
      <c r="AV137" s="663">
        <f t="shared" ca="1" si="147"/>
        <v>0</v>
      </c>
      <c r="AW137" s="663">
        <f t="shared" ca="1" si="148"/>
        <v>0</v>
      </c>
      <c r="AX137" s="663">
        <f t="shared" ca="1" si="149"/>
        <v>0</v>
      </c>
      <c r="AY137" s="663">
        <f t="shared" ca="1" si="150"/>
        <v>211.2</v>
      </c>
      <c r="AZ137" s="663">
        <f t="shared" ca="1" si="151"/>
        <v>0</v>
      </c>
      <c r="BA137" s="663">
        <f t="shared" ca="1" si="152"/>
        <v>0</v>
      </c>
      <c r="BB137" s="663">
        <f t="shared" ca="1" si="153"/>
        <v>0</v>
      </c>
      <c r="BC137" s="663">
        <f t="shared" ca="1" si="154"/>
        <v>0</v>
      </c>
      <c r="BD137" s="663">
        <f t="shared" ca="1" si="155"/>
        <v>0</v>
      </c>
      <c r="BE137" s="663">
        <f t="shared" ca="1" si="156"/>
        <v>0</v>
      </c>
      <c r="BF137" s="663">
        <f t="shared" ca="1" si="157"/>
        <v>0</v>
      </c>
      <c r="BG137" s="663">
        <f t="shared" ca="1" si="158"/>
        <v>0</v>
      </c>
      <c r="BH137" s="663">
        <f t="shared" ca="1" si="159"/>
        <v>0</v>
      </c>
      <c r="BI137" s="663">
        <f t="shared" ca="1" si="160"/>
        <v>0</v>
      </c>
      <c r="BJ137" s="663">
        <f t="shared" ca="1" si="161"/>
        <v>0</v>
      </c>
      <c r="BK137" s="663">
        <f t="shared" ca="1" si="162"/>
        <v>0</v>
      </c>
      <c r="BL137" s="1918"/>
      <c r="BM137" s="1532"/>
      <c r="BN137" s="1919"/>
      <c r="BO137" s="600"/>
      <c r="BP137" s="601"/>
      <c r="BQ137" s="596"/>
      <c r="BR137" s="602"/>
      <c r="BS137" s="603"/>
      <c r="BT137" s="602"/>
      <c r="BU137" s="602"/>
      <c r="BV137" s="602"/>
      <c r="BW137" s="604"/>
      <c r="BX137" s="605"/>
      <c r="BY137" s="602"/>
      <c r="BZ137" s="602"/>
      <c r="CA137"/>
      <c r="CB137" s="607"/>
      <c r="CC137" s="608"/>
      <c r="CD137" s="608"/>
      <c r="CE137" s="608"/>
      <c r="CF137" s="600"/>
    </row>
    <row r="138" spans="2:84" ht="12" customHeight="1" x14ac:dyDescent="0.35">
      <c r="B138" s="590">
        <f>MATCH(C138,'360SpcLdsCSV'!$C$6:$C$500,0)</f>
        <v>82</v>
      </c>
      <c r="C138" s="590" t="str">
        <f>'360SpcLdsCSV'!C87</f>
        <v>R01-706_MechRaccPtac</v>
      </c>
      <c r="D138" s="590" t="str">
        <f t="shared" si="163"/>
        <v>R01</v>
      </c>
      <c r="E138" s="590" t="str">
        <f t="shared" si="164"/>
        <v>Mech</v>
      </c>
      <c r="F138" s="590" t="str">
        <f t="shared" si="165"/>
        <v>Racc</v>
      </c>
      <c r="G138" s="590" t="str">
        <f t="shared" si="166"/>
        <v>Ptac</v>
      </c>
      <c r="H138" s="590" t="str">
        <f ca="1">OFFSET('360SpcLdsCSV'!$B$5,$B138,H$51)</f>
        <v>Roof</v>
      </c>
      <c r="I138" s="590" t="str">
        <f ca="1">OFFSET('360SpcLdsCSV'!$B$5,$B138,I$51)</f>
        <v>DirectlyConditioned</v>
      </c>
      <c r="J138" s="590" t="str">
        <f ca="1">OFFSET('360SpcLdsCSV'!$B$5,$B138,J$51)</f>
        <v>Electrical/MechanicaI Room</v>
      </c>
      <c r="K138" s="590" t="str">
        <f ca="1">OFFSET('360SpcLdsCSV'!$B$5,$B138,K$51)</f>
        <v>Nonresidential</v>
      </c>
      <c r="L138" s="590" t="str">
        <f ca="1">OFFSET('360SpcLdsCSV'!$B$5,$B138,L$51)</f>
        <v>Thermal Zone: R01-706_MechRaccPtac</v>
      </c>
      <c r="M138" s="592">
        <f ca="1">OFFSET('360SpcLdsCSV'!$B$5,$B138,M$51)</f>
        <v>272.42880000000002</v>
      </c>
      <c r="N138" s="592">
        <f ca="1">OFFSET('360SpcLdsCSV'!$B$5,$B138,N$51)</f>
        <v>2724.29</v>
      </c>
      <c r="O138" s="592">
        <f ca="1">OFFSET('360SpcLdsCSV'!$B$5,$B138,O$51)</f>
        <v>0</v>
      </c>
      <c r="P138" s="592">
        <f ca="1">OFFSET('360SpcLdsCSV'!$B$5,$B138,P$51)</f>
        <v>0</v>
      </c>
      <c r="Q138" s="592">
        <f ca="1">OFFSET('360SpcLdsCSV'!$B$5,$B138,Q$51)</f>
        <v>471.5</v>
      </c>
      <c r="R138" s="592">
        <f ca="1">OFFSET('360SpcLdsCSV'!$B$5,$B138,R$51)</f>
        <v>0</v>
      </c>
      <c r="S138" s="592">
        <f ca="1">OFFSET('360SpcLdsCSV'!$B$5,$B138,S$51)</f>
        <v>0</v>
      </c>
      <c r="T138" s="592">
        <f ca="1">OFFSET('360SpcLdsCSV'!$B$5,$B138,T$51)</f>
        <v>0</v>
      </c>
      <c r="U138" s="592">
        <f ca="1">OFFSET('360SpcLdsCSV'!$B$5,$B138,U$51)</f>
        <v>0</v>
      </c>
      <c r="V138" s="592">
        <f ca="1">OFFSET('360SpcLdsCSV'!$B$5,$B138,V$51)</f>
        <v>0</v>
      </c>
      <c r="W138" s="592">
        <f ca="1">OFFSET('360SpcLdsCSV'!$B$5,$B138,W$51)</f>
        <v>272.39999999999998</v>
      </c>
      <c r="X138" s="592">
        <f ca="1">OFFSET('360SpcLdsCSV'!$B$5,$B138,X$51)</f>
        <v>0</v>
      </c>
      <c r="Y138" s="592">
        <f ca="1">OFFSET('360SpcLdsCSV'!$B$5,$B138,Y$51)</f>
        <v>0</v>
      </c>
      <c r="Z138" s="592">
        <f ca="1">OFFSET('360SpcLdsCSV'!$B$5,$B138,Z$51)</f>
        <v>0</v>
      </c>
      <c r="AA138" s="592">
        <f ca="1">OFFSET('360SpcLdsCSV'!$B$5,$B138,AA$51)</f>
        <v>0</v>
      </c>
      <c r="AB138" s="592">
        <f ca="1">OFFSET('360SpcLdsCSV'!$B$5,$B138,AB$51)</f>
        <v>0</v>
      </c>
      <c r="AC138" s="592">
        <f ca="1">OFFSET('360SpcLdsCSV'!$B$5,$B138,AC$51)</f>
        <v>0</v>
      </c>
      <c r="AD138" s="592">
        <f ca="1">OFFSET('360SpcLdsCSV'!$B$5,$B138,AD$51)</f>
        <v>0</v>
      </c>
      <c r="AE138" s="592">
        <f ca="1">OFFSET('360SpcLdsCSV'!$B$5,$B138,AE$51)</f>
        <v>0</v>
      </c>
      <c r="AF138" s="592">
        <f ca="1">OFFSET('360SpcLdsCSV'!$B$5,$B138,AF$51)</f>
        <v>0</v>
      </c>
      <c r="AG138" s="592">
        <f ca="1">OFFSET('360SpcLdsCSV'!$B$5,$B138,AG$51)</f>
        <v>0</v>
      </c>
      <c r="AH138" s="592">
        <f ca="1">OFFSET('360SpcLdsCSV'!$B$5,$B138,AH$51)</f>
        <v>0</v>
      </c>
      <c r="AI138" s="592">
        <f ca="1">OFFSET('360SpcLdsCSV'!$B$5,$B138,AI$51)</f>
        <v>0</v>
      </c>
      <c r="AJ138" s="592" cm="1">
        <f t="array" ref="AJ138">_xlfn.IFS($F138="Resi",1,$F138="Racc",0,$F138="Coml",0,$F138="Prkg",0)</f>
        <v>0</v>
      </c>
      <c r="AK138" s="596"/>
      <c r="AL138" s="590">
        <f ca="1">OFFSET('360SpcLdsCSV'!$B$5,$B138,AL$51)</f>
        <v>1</v>
      </c>
      <c r="AM138" s="663">
        <f t="shared" ca="1" si="139"/>
        <v>1</v>
      </c>
      <c r="AN138" s="663">
        <f t="shared" ca="1" si="140"/>
        <v>0</v>
      </c>
      <c r="AO138" s="663">
        <f t="shared" ca="1" si="167"/>
        <v>272.42880000000002</v>
      </c>
      <c r="AP138" s="663">
        <f t="shared" ca="1" si="141"/>
        <v>2724.29</v>
      </c>
      <c r="AQ138" s="663">
        <f t="shared" ca="1" si="142"/>
        <v>0</v>
      </c>
      <c r="AR138" s="663">
        <f t="shared" ca="1" si="143"/>
        <v>0</v>
      </c>
      <c r="AS138" s="663">
        <f t="shared" ca="1" si="144"/>
        <v>471.5</v>
      </c>
      <c r="AT138" s="663">
        <f t="shared" ca="1" si="145"/>
        <v>0</v>
      </c>
      <c r="AU138" s="663">
        <f t="shared" ca="1" si="146"/>
        <v>0</v>
      </c>
      <c r="AV138" s="663">
        <f t="shared" ca="1" si="147"/>
        <v>0</v>
      </c>
      <c r="AW138" s="663">
        <f t="shared" ca="1" si="148"/>
        <v>0</v>
      </c>
      <c r="AX138" s="663">
        <f t="shared" ca="1" si="149"/>
        <v>0</v>
      </c>
      <c r="AY138" s="663">
        <f t="shared" ca="1" si="150"/>
        <v>272.39999999999998</v>
      </c>
      <c r="AZ138" s="663">
        <f t="shared" ca="1" si="151"/>
        <v>0</v>
      </c>
      <c r="BA138" s="663">
        <f t="shared" ca="1" si="152"/>
        <v>0</v>
      </c>
      <c r="BB138" s="663">
        <f t="shared" ca="1" si="153"/>
        <v>0</v>
      </c>
      <c r="BC138" s="663">
        <f t="shared" ca="1" si="154"/>
        <v>0</v>
      </c>
      <c r="BD138" s="663">
        <f t="shared" ca="1" si="155"/>
        <v>0</v>
      </c>
      <c r="BE138" s="663">
        <f t="shared" ca="1" si="156"/>
        <v>0</v>
      </c>
      <c r="BF138" s="663">
        <f t="shared" ca="1" si="157"/>
        <v>0</v>
      </c>
      <c r="BG138" s="663">
        <f t="shared" ca="1" si="158"/>
        <v>0</v>
      </c>
      <c r="BH138" s="663">
        <f t="shared" ca="1" si="159"/>
        <v>0</v>
      </c>
      <c r="BI138" s="663">
        <f t="shared" ca="1" si="160"/>
        <v>0</v>
      </c>
      <c r="BJ138" s="663">
        <f t="shared" ca="1" si="161"/>
        <v>0</v>
      </c>
      <c r="BK138" s="663">
        <f t="shared" ca="1" si="162"/>
        <v>0</v>
      </c>
      <c r="BL138" s="1918"/>
      <c r="BM138" s="1532"/>
      <c r="BN138" s="1919"/>
      <c r="BO138" s="600"/>
      <c r="BP138" s="601"/>
      <c r="BQ138" s="596"/>
      <c r="BR138" s="602"/>
      <c r="BS138" s="603"/>
      <c r="BT138" s="602"/>
      <c r="BU138" s="602"/>
      <c r="BV138" s="602"/>
      <c r="BW138" s="604"/>
      <c r="BX138" s="605"/>
      <c r="BY138" s="602"/>
      <c r="BZ138" s="602"/>
      <c r="CA138"/>
      <c r="CB138" s="607"/>
      <c r="CC138" s="608"/>
      <c r="CD138" s="608"/>
      <c r="CE138" s="608"/>
      <c r="CF138" s="600"/>
    </row>
    <row r="139" spans="2:84" ht="12" customHeight="1" x14ac:dyDescent="0.35">
      <c r="B139" s="590" t="e">
        <f>MATCH(C139,'360SpcLdsCSV'!$C$6:$C$500,0)</f>
        <v>#N/A</v>
      </c>
      <c r="C139" s="590">
        <f>'360SpcLdsCSV'!C88</f>
        <v>0</v>
      </c>
      <c r="D139" s="590" t="str">
        <f t="shared" si="163"/>
        <v>0</v>
      </c>
      <c r="E139" s="590" t="e">
        <f t="shared" si="164"/>
        <v>#VALUE!</v>
      </c>
      <c r="F139" s="590" t="e">
        <f t="shared" si="165"/>
        <v>#VALUE!</v>
      </c>
      <c r="G139" s="590" t="str">
        <f t="shared" si="166"/>
        <v>0</v>
      </c>
      <c r="H139" s="590" t="e">
        <f ca="1">OFFSET('360SpcLdsCSV'!$B$5,$B139,H$51)</f>
        <v>#N/A</v>
      </c>
      <c r="I139" s="590" t="e">
        <f ca="1">OFFSET('360SpcLdsCSV'!$B$5,$B139,I$51)</f>
        <v>#N/A</v>
      </c>
      <c r="J139" s="590" t="e">
        <f ca="1">OFFSET('360SpcLdsCSV'!$B$5,$B139,J$51)</f>
        <v>#N/A</v>
      </c>
      <c r="K139" s="590" t="e">
        <f ca="1">OFFSET('360SpcLdsCSV'!$B$5,$B139,K$51)</f>
        <v>#N/A</v>
      </c>
      <c r="L139" s="590" t="e">
        <f ca="1">OFFSET('360SpcLdsCSV'!$B$5,$B139,L$51)</f>
        <v>#N/A</v>
      </c>
      <c r="M139" s="592" t="e">
        <f ca="1">OFFSET('360SpcLdsCSV'!$B$5,$B139,M$51)</f>
        <v>#N/A</v>
      </c>
      <c r="N139" s="592" t="e">
        <f ca="1">OFFSET('360SpcLdsCSV'!$B$5,$B139,N$51)</f>
        <v>#N/A</v>
      </c>
      <c r="O139" s="592" t="e">
        <f ca="1">OFFSET('360SpcLdsCSV'!$B$5,$B139,O$51)</f>
        <v>#N/A</v>
      </c>
      <c r="P139" s="592" t="e">
        <f ca="1">OFFSET('360SpcLdsCSV'!$B$5,$B139,P$51)</f>
        <v>#N/A</v>
      </c>
      <c r="Q139" s="592" t="e">
        <f ca="1">OFFSET('360SpcLdsCSV'!$B$5,$B139,Q$51)</f>
        <v>#N/A</v>
      </c>
      <c r="R139" s="592" t="e">
        <f ca="1">OFFSET('360SpcLdsCSV'!$B$5,$B139,R$51)</f>
        <v>#N/A</v>
      </c>
      <c r="S139" s="592" t="e">
        <f ca="1">OFFSET('360SpcLdsCSV'!$B$5,$B139,S$51)</f>
        <v>#N/A</v>
      </c>
      <c r="T139" s="592" t="e">
        <f ca="1">OFFSET('360SpcLdsCSV'!$B$5,$B139,T$51)</f>
        <v>#N/A</v>
      </c>
      <c r="U139" s="592" t="e">
        <f ca="1">OFFSET('360SpcLdsCSV'!$B$5,$B139,U$51)</f>
        <v>#N/A</v>
      </c>
      <c r="V139" s="592" t="e">
        <f ca="1">OFFSET('360SpcLdsCSV'!$B$5,$B139,V$51)</f>
        <v>#N/A</v>
      </c>
      <c r="W139" s="592" t="e">
        <f ca="1">OFFSET('360SpcLdsCSV'!$B$5,$B139,W$51)</f>
        <v>#N/A</v>
      </c>
      <c r="X139" s="592" t="e">
        <f ca="1">OFFSET('360SpcLdsCSV'!$B$5,$B139,X$51)</f>
        <v>#N/A</v>
      </c>
      <c r="Y139" s="592" t="e">
        <f ca="1">OFFSET('360SpcLdsCSV'!$B$5,$B139,Y$51)</f>
        <v>#N/A</v>
      </c>
      <c r="Z139" s="592" t="e">
        <f ca="1">OFFSET('360SpcLdsCSV'!$B$5,$B139,Z$51)</f>
        <v>#N/A</v>
      </c>
      <c r="AA139" s="592" t="e">
        <f ca="1">OFFSET('360SpcLdsCSV'!$B$5,$B139,AA$51)</f>
        <v>#N/A</v>
      </c>
      <c r="AB139" s="592" t="e">
        <f ca="1">OFFSET('360SpcLdsCSV'!$B$5,$B139,AB$51)</f>
        <v>#N/A</v>
      </c>
      <c r="AC139" s="592" t="e">
        <f ca="1">OFFSET('360SpcLdsCSV'!$B$5,$B139,AC$51)</f>
        <v>#N/A</v>
      </c>
      <c r="AD139" s="592" t="e">
        <f ca="1">OFFSET('360SpcLdsCSV'!$B$5,$B139,AD$51)</f>
        <v>#N/A</v>
      </c>
      <c r="AE139" s="592" t="e">
        <f ca="1">OFFSET('360SpcLdsCSV'!$B$5,$B139,AE$51)</f>
        <v>#N/A</v>
      </c>
      <c r="AF139" s="592" t="e">
        <f ca="1">OFFSET('360SpcLdsCSV'!$B$5,$B139,AF$51)</f>
        <v>#N/A</v>
      </c>
      <c r="AG139" s="592" t="e">
        <f ca="1">OFFSET('360SpcLdsCSV'!$B$5,$B139,AG$51)</f>
        <v>#N/A</v>
      </c>
      <c r="AH139" s="592" t="e">
        <f ca="1">OFFSET('360SpcLdsCSV'!$B$5,$B139,AH$51)</f>
        <v>#N/A</v>
      </c>
      <c r="AI139" s="592" t="e">
        <f ca="1">OFFSET('360SpcLdsCSV'!$B$5,$B139,AI$51)</f>
        <v>#N/A</v>
      </c>
      <c r="AJ139" s="592" t="e" cm="1">
        <f t="array" ref="AJ139">_xlfn.IFS($F139="Resi",1,$F139="Racc",0,$F139="Coml",0,$F139="Prkg",0)</f>
        <v>#VALUE!</v>
      </c>
      <c r="AK139" s="596"/>
      <c r="AL139" s="590" t="e">
        <f ca="1">OFFSET('360SpcLdsCSV'!$B$5,$B139,AL$51)</f>
        <v>#N/A</v>
      </c>
      <c r="AM139" s="663" t="e">
        <f t="shared" ca="1" si="139"/>
        <v>#N/A</v>
      </c>
      <c r="AN139" s="663" t="e">
        <f t="shared" ca="1" si="140"/>
        <v>#N/A</v>
      </c>
      <c r="AO139" s="663" t="e">
        <f t="shared" ca="1" si="167"/>
        <v>#N/A</v>
      </c>
      <c r="AP139" s="663" t="e">
        <f t="shared" ca="1" si="141"/>
        <v>#N/A</v>
      </c>
      <c r="AQ139" s="663" t="e">
        <f t="shared" ca="1" si="142"/>
        <v>#N/A</v>
      </c>
      <c r="AR139" s="663" t="e">
        <f t="shared" ca="1" si="143"/>
        <v>#N/A</v>
      </c>
      <c r="AS139" s="663" t="e">
        <f t="shared" ca="1" si="144"/>
        <v>#N/A</v>
      </c>
      <c r="AT139" s="663" t="e">
        <f t="shared" ca="1" si="145"/>
        <v>#N/A</v>
      </c>
      <c r="AU139" s="663" t="e">
        <f t="shared" ca="1" si="146"/>
        <v>#N/A</v>
      </c>
      <c r="AV139" s="663" t="e">
        <f t="shared" ca="1" si="147"/>
        <v>#N/A</v>
      </c>
      <c r="AW139" s="663" t="e">
        <f t="shared" ca="1" si="148"/>
        <v>#N/A</v>
      </c>
      <c r="AX139" s="663" t="e">
        <f t="shared" ca="1" si="149"/>
        <v>#N/A</v>
      </c>
      <c r="AY139" s="663" t="e">
        <f t="shared" ca="1" si="150"/>
        <v>#N/A</v>
      </c>
      <c r="AZ139" s="663" t="e">
        <f t="shared" ca="1" si="151"/>
        <v>#N/A</v>
      </c>
      <c r="BA139" s="663" t="e">
        <f t="shared" ca="1" si="152"/>
        <v>#N/A</v>
      </c>
      <c r="BB139" s="663" t="e">
        <f t="shared" ca="1" si="153"/>
        <v>#N/A</v>
      </c>
      <c r="BC139" s="663" t="e">
        <f t="shared" ca="1" si="154"/>
        <v>#N/A</v>
      </c>
      <c r="BD139" s="663" t="e">
        <f t="shared" ca="1" si="155"/>
        <v>#N/A</v>
      </c>
      <c r="BE139" s="663" t="e">
        <f t="shared" ca="1" si="156"/>
        <v>#N/A</v>
      </c>
      <c r="BF139" s="663" t="e">
        <f t="shared" ca="1" si="157"/>
        <v>#N/A</v>
      </c>
      <c r="BG139" s="663" t="e">
        <f t="shared" ca="1" si="158"/>
        <v>#N/A</v>
      </c>
      <c r="BH139" s="663" t="e">
        <f t="shared" ca="1" si="159"/>
        <v>#N/A</v>
      </c>
      <c r="BI139" s="663" t="e">
        <f t="shared" ca="1" si="160"/>
        <v>#N/A</v>
      </c>
      <c r="BJ139" s="663" t="e">
        <f t="shared" ca="1" si="161"/>
        <v>#N/A</v>
      </c>
      <c r="BK139" s="663" t="e">
        <f t="shared" ca="1" si="162"/>
        <v>#N/A</v>
      </c>
      <c r="BL139" s="1918"/>
      <c r="BM139" s="1532"/>
      <c r="BN139" s="1919"/>
      <c r="BO139" s="600"/>
      <c r="BP139" s="601"/>
      <c r="BQ139" s="596"/>
      <c r="BR139" s="602"/>
      <c r="BS139" s="603"/>
      <c r="BT139" s="602"/>
      <c r="BU139" s="602"/>
      <c r="BV139" s="602"/>
      <c r="BW139" s="604"/>
      <c r="BX139" s="605"/>
      <c r="BY139" s="602"/>
      <c r="BZ139" s="602"/>
      <c r="CA139"/>
      <c r="CB139" s="607"/>
      <c r="CC139" s="608"/>
      <c r="CD139" s="608"/>
      <c r="CE139" s="608"/>
      <c r="CF139" s="600"/>
    </row>
    <row r="140" spans="2:84" ht="12" customHeight="1" x14ac:dyDescent="0.35">
      <c r="B140" s="590" t="e">
        <f>MATCH(C140,'360SpcLdsCSV'!$C$6:$C$500,0)</f>
        <v>#N/A</v>
      </c>
      <c r="C140" s="590">
        <f>'360SpcLdsCSV'!C89</f>
        <v>0</v>
      </c>
      <c r="D140" s="590" t="str">
        <f t="shared" si="163"/>
        <v>0</v>
      </c>
      <c r="E140" s="590" t="e">
        <f t="shared" si="164"/>
        <v>#VALUE!</v>
      </c>
      <c r="F140" s="590" t="e">
        <f t="shared" si="165"/>
        <v>#VALUE!</v>
      </c>
      <c r="G140" s="590" t="str">
        <f t="shared" si="166"/>
        <v>0</v>
      </c>
      <c r="H140" s="590" t="e">
        <f ca="1">OFFSET('360SpcLdsCSV'!$B$5,$B140,H$51)</f>
        <v>#N/A</v>
      </c>
      <c r="I140" s="590" t="e">
        <f ca="1">OFFSET('360SpcLdsCSV'!$B$5,$B140,I$51)</f>
        <v>#N/A</v>
      </c>
      <c r="J140" s="590" t="e">
        <f ca="1">OFFSET('360SpcLdsCSV'!$B$5,$B140,J$51)</f>
        <v>#N/A</v>
      </c>
      <c r="K140" s="590" t="e">
        <f ca="1">OFFSET('360SpcLdsCSV'!$B$5,$B140,K$51)</f>
        <v>#N/A</v>
      </c>
      <c r="L140" s="590" t="e">
        <f ca="1">OFFSET('360SpcLdsCSV'!$B$5,$B140,L$51)</f>
        <v>#N/A</v>
      </c>
      <c r="M140" s="592" t="e">
        <f ca="1">OFFSET('360SpcLdsCSV'!$B$5,$B140,M$51)</f>
        <v>#N/A</v>
      </c>
      <c r="N140" s="592" t="e">
        <f ca="1">OFFSET('360SpcLdsCSV'!$B$5,$B140,N$51)</f>
        <v>#N/A</v>
      </c>
      <c r="O140" s="592" t="e">
        <f ca="1">OFFSET('360SpcLdsCSV'!$B$5,$B140,O$51)</f>
        <v>#N/A</v>
      </c>
      <c r="P140" s="592" t="e">
        <f ca="1">OFFSET('360SpcLdsCSV'!$B$5,$B140,P$51)</f>
        <v>#N/A</v>
      </c>
      <c r="Q140" s="592" t="e">
        <f ca="1">OFFSET('360SpcLdsCSV'!$B$5,$B140,Q$51)</f>
        <v>#N/A</v>
      </c>
      <c r="R140" s="592" t="e">
        <f ca="1">OFFSET('360SpcLdsCSV'!$B$5,$B140,R$51)</f>
        <v>#N/A</v>
      </c>
      <c r="S140" s="592" t="e">
        <f ca="1">OFFSET('360SpcLdsCSV'!$B$5,$B140,S$51)</f>
        <v>#N/A</v>
      </c>
      <c r="T140" s="592" t="e">
        <f ca="1">OFFSET('360SpcLdsCSV'!$B$5,$B140,T$51)</f>
        <v>#N/A</v>
      </c>
      <c r="U140" s="592" t="e">
        <f ca="1">OFFSET('360SpcLdsCSV'!$B$5,$B140,U$51)</f>
        <v>#N/A</v>
      </c>
      <c r="V140" s="592" t="e">
        <f ca="1">OFFSET('360SpcLdsCSV'!$B$5,$B140,V$51)</f>
        <v>#N/A</v>
      </c>
      <c r="W140" s="592" t="e">
        <f ca="1">OFFSET('360SpcLdsCSV'!$B$5,$B140,W$51)</f>
        <v>#N/A</v>
      </c>
      <c r="X140" s="592" t="e">
        <f ca="1">OFFSET('360SpcLdsCSV'!$B$5,$B140,X$51)</f>
        <v>#N/A</v>
      </c>
      <c r="Y140" s="592" t="e">
        <f ca="1">OFFSET('360SpcLdsCSV'!$B$5,$B140,Y$51)</f>
        <v>#N/A</v>
      </c>
      <c r="Z140" s="592" t="e">
        <f ca="1">OFFSET('360SpcLdsCSV'!$B$5,$B140,Z$51)</f>
        <v>#N/A</v>
      </c>
      <c r="AA140" s="592" t="e">
        <f ca="1">OFFSET('360SpcLdsCSV'!$B$5,$B140,AA$51)</f>
        <v>#N/A</v>
      </c>
      <c r="AB140" s="592" t="e">
        <f ca="1">OFFSET('360SpcLdsCSV'!$B$5,$B140,AB$51)</f>
        <v>#N/A</v>
      </c>
      <c r="AC140" s="592" t="e">
        <f ca="1">OFFSET('360SpcLdsCSV'!$B$5,$B140,AC$51)</f>
        <v>#N/A</v>
      </c>
      <c r="AD140" s="592" t="e">
        <f ca="1">OFFSET('360SpcLdsCSV'!$B$5,$B140,AD$51)</f>
        <v>#N/A</v>
      </c>
      <c r="AE140" s="592" t="e">
        <f ca="1">OFFSET('360SpcLdsCSV'!$B$5,$B140,AE$51)</f>
        <v>#N/A</v>
      </c>
      <c r="AF140" s="592" t="e">
        <f ca="1">OFFSET('360SpcLdsCSV'!$B$5,$B140,AF$51)</f>
        <v>#N/A</v>
      </c>
      <c r="AG140" s="592" t="e">
        <f ca="1">OFFSET('360SpcLdsCSV'!$B$5,$B140,AG$51)</f>
        <v>#N/A</v>
      </c>
      <c r="AH140" s="592" t="e">
        <f ca="1">OFFSET('360SpcLdsCSV'!$B$5,$B140,AH$51)</f>
        <v>#N/A</v>
      </c>
      <c r="AI140" s="592" t="e">
        <f ca="1">OFFSET('360SpcLdsCSV'!$B$5,$B140,AI$51)</f>
        <v>#N/A</v>
      </c>
      <c r="AJ140" s="592" t="e" cm="1">
        <f t="array" ref="AJ140">_xlfn.IFS($F140="Resi",1,$F140="Racc",0,$F140="Coml",0,$F140="Prkg",0)</f>
        <v>#VALUE!</v>
      </c>
      <c r="AK140" s="596"/>
      <c r="AL140" s="590" t="e">
        <f ca="1">OFFSET('360SpcLdsCSV'!$B$5,$B140,AL$51)</f>
        <v>#N/A</v>
      </c>
      <c r="AM140" s="663" t="e">
        <f t="shared" ca="1" si="139"/>
        <v>#N/A</v>
      </c>
      <c r="AN140" s="663" t="e">
        <f t="shared" ca="1" si="140"/>
        <v>#N/A</v>
      </c>
      <c r="AO140" s="663" t="e">
        <f t="shared" ca="1" si="167"/>
        <v>#N/A</v>
      </c>
      <c r="AP140" s="663" t="e">
        <f t="shared" ca="1" si="141"/>
        <v>#N/A</v>
      </c>
      <c r="AQ140" s="663" t="e">
        <f t="shared" ca="1" si="142"/>
        <v>#N/A</v>
      </c>
      <c r="AR140" s="663" t="e">
        <f t="shared" ca="1" si="143"/>
        <v>#N/A</v>
      </c>
      <c r="AS140" s="663" t="e">
        <f t="shared" ca="1" si="144"/>
        <v>#N/A</v>
      </c>
      <c r="AT140" s="663" t="e">
        <f t="shared" ca="1" si="145"/>
        <v>#N/A</v>
      </c>
      <c r="AU140" s="663" t="e">
        <f t="shared" ca="1" si="146"/>
        <v>#N/A</v>
      </c>
      <c r="AV140" s="663" t="e">
        <f t="shared" ca="1" si="147"/>
        <v>#N/A</v>
      </c>
      <c r="AW140" s="663" t="e">
        <f t="shared" ca="1" si="148"/>
        <v>#N/A</v>
      </c>
      <c r="AX140" s="663" t="e">
        <f t="shared" ca="1" si="149"/>
        <v>#N/A</v>
      </c>
      <c r="AY140" s="663" t="e">
        <f t="shared" ca="1" si="150"/>
        <v>#N/A</v>
      </c>
      <c r="AZ140" s="663" t="e">
        <f t="shared" ca="1" si="151"/>
        <v>#N/A</v>
      </c>
      <c r="BA140" s="663" t="e">
        <f t="shared" ca="1" si="152"/>
        <v>#N/A</v>
      </c>
      <c r="BB140" s="663" t="e">
        <f t="shared" ca="1" si="153"/>
        <v>#N/A</v>
      </c>
      <c r="BC140" s="663" t="e">
        <f t="shared" ca="1" si="154"/>
        <v>#N/A</v>
      </c>
      <c r="BD140" s="663" t="e">
        <f t="shared" ca="1" si="155"/>
        <v>#N/A</v>
      </c>
      <c r="BE140" s="663" t="e">
        <f t="shared" ca="1" si="156"/>
        <v>#N/A</v>
      </c>
      <c r="BF140" s="663" t="e">
        <f t="shared" ca="1" si="157"/>
        <v>#N/A</v>
      </c>
      <c r="BG140" s="663" t="e">
        <f t="shared" ca="1" si="158"/>
        <v>#N/A</v>
      </c>
      <c r="BH140" s="663" t="e">
        <f t="shared" ca="1" si="159"/>
        <v>#N/A</v>
      </c>
      <c r="BI140" s="663" t="e">
        <f t="shared" ca="1" si="160"/>
        <v>#N/A</v>
      </c>
      <c r="BJ140" s="663" t="e">
        <f t="shared" ca="1" si="161"/>
        <v>#N/A</v>
      </c>
      <c r="BK140" s="663" t="e">
        <f t="shared" ca="1" si="162"/>
        <v>#N/A</v>
      </c>
      <c r="BL140" s="1918"/>
      <c r="BM140" s="1532"/>
      <c r="BN140" s="1919"/>
      <c r="BO140" s="600"/>
      <c r="BP140" s="601"/>
      <c r="BQ140" s="596"/>
      <c r="BR140" s="602"/>
      <c r="BS140" s="603"/>
      <c r="BT140" s="602"/>
      <c r="BU140" s="602"/>
      <c r="BV140" s="602"/>
      <c r="BW140" s="604"/>
      <c r="BX140" s="605"/>
      <c r="BY140" s="602"/>
      <c r="BZ140" s="602"/>
      <c r="CA140"/>
      <c r="CB140" s="607"/>
      <c r="CC140" s="608"/>
      <c r="CD140" s="608"/>
      <c r="CE140" s="608"/>
      <c r="CF140" s="600"/>
    </row>
    <row r="141" spans="2:84" ht="12" customHeight="1" x14ac:dyDescent="0.35">
      <c r="B141" s="590" t="e">
        <f>MATCH(C141,'360SpcLdsCSV'!$C$6:$C$500,0)</f>
        <v>#N/A</v>
      </c>
      <c r="C141" s="590">
        <f>'360SpcLdsCSV'!C90</f>
        <v>0</v>
      </c>
      <c r="D141" s="590" t="str">
        <f t="shared" si="163"/>
        <v>0</v>
      </c>
      <c r="E141" s="590" t="e">
        <f t="shared" si="164"/>
        <v>#VALUE!</v>
      </c>
      <c r="F141" s="590" t="e">
        <f t="shared" si="165"/>
        <v>#VALUE!</v>
      </c>
      <c r="G141" s="590" t="str">
        <f t="shared" si="166"/>
        <v>0</v>
      </c>
      <c r="H141" s="590" t="e">
        <f ca="1">OFFSET('360SpcLdsCSV'!$B$5,$B141,H$51)</f>
        <v>#N/A</v>
      </c>
      <c r="I141" s="590" t="e">
        <f ca="1">OFFSET('360SpcLdsCSV'!$B$5,$B141,I$51)</f>
        <v>#N/A</v>
      </c>
      <c r="J141" s="590" t="e">
        <f ca="1">OFFSET('360SpcLdsCSV'!$B$5,$B141,J$51)</f>
        <v>#N/A</v>
      </c>
      <c r="K141" s="590" t="e">
        <f ca="1">OFFSET('360SpcLdsCSV'!$B$5,$B141,K$51)</f>
        <v>#N/A</v>
      </c>
      <c r="L141" s="590" t="e">
        <f ca="1">OFFSET('360SpcLdsCSV'!$B$5,$B141,L$51)</f>
        <v>#N/A</v>
      </c>
      <c r="M141" s="592" t="e">
        <f ca="1">OFFSET('360SpcLdsCSV'!$B$5,$B141,M$51)</f>
        <v>#N/A</v>
      </c>
      <c r="N141" s="592" t="e">
        <f ca="1">OFFSET('360SpcLdsCSV'!$B$5,$B141,N$51)</f>
        <v>#N/A</v>
      </c>
      <c r="O141" s="592" t="e">
        <f ca="1">OFFSET('360SpcLdsCSV'!$B$5,$B141,O$51)</f>
        <v>#N/A</v>
      </c>
      <c r="P141" s="592" t="e">
        <f ca="1">OFFSET('360SpcLdsCSV'!$B$5,$B141,P$51)</f>
        <v>#N/A</v>
      </c>
      <c r="Q141" s="592" t="e">
        <f ca="1">OFFSET('360SpcLdsCSV'!$B$5,$B141,Q$51)</f>
        <v>#N/A</v>
      </c>
      <c r="R141" s="592" t="e">
        <f ca="1">OFFSET('360SpcLdsCSV'!$B$5,$B141,R$51)</f>
        <v>#N/A</v>
      </c>
      <c r="S141" s="592" t="e">
        <f ca="1">OFFSET('360SpcLdsCSV'!$B$5,$B141,S$51)</f>
        <v>#N/A</v>
      </c>
      <c r="T141" s="592" t="e">
        <f ca="1">OFFSET('360SpcLdsCSV'!$B$5,$B141,T$51)</f>
        <v>#N/A</v>
      </c>
      <c r="U141" s="592" t="e">
        <f ca="1">OFFSET('360SpcLdsCSV'!$B$5,$B141,U$51)</f>
        <v>#N/A</v>
      </c>
      <c r="V141" s="592" t="e">
        <f ca="1">OFFSET('360SpcLdsCSV'!$B$5,$B141,V$51)</f>
        <v>#N/A</v>
      </c>
      <c r="W141" s="592" t="e">
        <f ca="1">OFFSET('360SpcLdsCSV'!$B$5,$B141,W$51)</f>
        <v>#N/A</v>
      </c>
      <c r="X141" s="592" t="e">
        <f ca="1">OFFSET('360SpcLdsCSV'!$B$5,$B141,X$51)</f>
        <v>#N/A</v>
      </c>
      <c r="Y141" s="592" t="e">
        <f ca="1">OFFSET('360SpcLdsCSV'!$B$5,$B141,Y$51)</f>
        <v>#N/A</v>
      </c>
      <c r="Z141" s="592" t="e">
        <f ca="1">OFFSET('360SpcLdsCSV'!$B$5,$B141,Z$51)</f>
        <v>#N/A</v>
      </c>
      <c r="AA141" s="592" t="e">
        <f ca="1">OFFSET('360SpcLdsCSV'!$B$5,$B141,AA$51)</f>
        <v>#N/A</v>
      </c>
      <c r="AB141" s="592" t="e">
        <f ca="1">OFFSET('360SpcLdsCSV'!$B$5,$B141,AB$51)</f>
        <v>#N/A</v>
      </c>
      <c r="AC141" s="592" t="e">
        <f ca="1">OFFSET('360SpcLdsCSV'!$B$5,$B141,AC$51)</f>
        <v>#N/A</v>
      </c>
      <c r="AD141" s="592" t="e">
        <f ca="1">OFFSET('360SpcLdsCSV'!$B$5,$B141,AD$51)</f>
        <v>#N/A</v>
      </c>
      <c r="AE141" s="592" t="e">
        <f ca="1">OFFSET('360SpcLdsCSV'!$B$5,$B141,AE$51)</f>
        <v>#N/A</v>
      </c>
      <c r="AF141" s="592" t="e">
        <f ca="1">OFFSET('360SpcLdsCSV'!$B$5,$B141,AF$51)</f>
        <v>#N/A</v>
      </c>
      <c r="AG141" s="592" t="e">
        <f ca="1">OFFSET('360SpcLdsCSV'!$B$5,$B141,AG$51)</f>
        <v>#N/A</v>
      </c>
      <c r="AH141" s="592" t="e">
        <f ca="1">OFFSET('360SpcLdsCSV'!$B$5,$B141,AH$51)</f>
        <v>#N/A</v>
      </c>
      <c r="AI141" s="592" t="e">
        <f ca="1">OFFSET('360SpcLdsCSV'!$B$5,$B141,AI$51)</f>
        <v>#N/A</v>
      </c>
      <c r="AJ141" s="592" t="e" cm="1">
        <f t="array" ref="AJ141">_xlfn.IFS($F141="Resi",1,$F141="Racc",0,$F141="Coml",0,$F141="Prkg",0)</f>
        <v>#VALUE!</v>
      </c>
      <c r="AK141" s="596"/>
      <c r="AL141" s="590" t="e">
        <f ca="1">OFFSET('360SpcLdsCSV'!$B$5,$B141,AL$51)</f>
        <v>#N/A</v>
      </c>
      <c r="AM141" s="663" t="e">
        <f t="shared" ca="1" si="139"/>
        <v>#N/A</v>
      </c>
      <c r="AN141" s="663" t="e">
        <f t="shared" ca="1" si="140"/>
        <v>#N/A</v>
      </c>
      <c r="AO141" s="663" t="e">
        <f t="shared" ca="1" si="167"/>
        <v>#N/A</v>
      </c>
      <c r="AP141" s="663" t="e">
        <f t="shared" ca="1" si="141"/>
        <v>#N/A</v>
      </c>
      <c r="AQ141" s="663" t="e">
        <f t="shared" ca="1" si="142"/>
        <v>#N/A</v>
      </c>
      <c r="AR141" s="663" t="e">
        <f t="shared" ca="1" si="143"/>
        <v>#N/A</v>
      </c>
      <c r="AS141" s="663" t="e">
        <f t="shared" ca="1" si="144"/>
        <v>#N/A</v>
      </c>
      <c r="AT141" s="663" t="e">
        <f t="shared" ca="1" si="145"/>
        <v>#N/A</v>
      </c>
      <c r="AU141" s="663" t="e">
        <f t="shared" ca="1" si="146"/>
        <v>#N/A</v>
      </c>
      <c r="AV141" s="663" t="e">
        <f t="shared" ca="1" si="147"/>
        <v>#N/A</v>
      </c>
      <c r="AW141" s="663" t="e">
        <f t="shared" ca="1" si="148"/>
        <v>#N/A</v>
      </c>
      <c r="AX141" s="663" t="e">
        <f t="shared" ca="1" si="149"/>
        <v>#N/A</v>
      </c>
      <c r="AY141" s="663" t="e">
        <f t="shared" ca="1" si="150"/>
        <v>#N/A</v>
      </c>
      <c r="AZ141" s="663" t="e">
        <f t="shared" ca="1" si="151"/>
        <v>#N/A</v>
      </c>
      <c r="BA141" s="663" t="e">
        <f t="shared" ca="1" si="152"/>
        <v>#N/A</v>
      </c>
      <c r="BB141" s="663" t="e">
        <f t="shared" ca="1" si="153"/>
        <v>#N/A</v>
      </c>
      <c r="BC141" s="663" t="e">
        <f t="shared" ca="1" si="154"/>
        <v>#N/A</v>
      </c>
      <c r="BD141" s="663" t="e">
        <f t="shared" ca="1" si="155"/>
        <v>#N/A</v>
      </c>
      <c r="BE141" s="663" t="e">
        <f t="shared" ca="1" si="156"/>
        <v>#N/A</v>
      </c>
      <c r="BF141" s="663" t="e">
        <f t="shared" ca="1" si="157"/>
        <v>#N/A</v>
      </c>
      <c r="BG141" s="663" t="e">
        <f t="shared" ca="1" si="158"/>
        <v>#N/A</v>
      </c>
      <c r="BH141" s="663" t="e">
        <f t="shared" ca="1" si="159"/>
        <v>#N/A</v>
      </c>
      <c r="BI141" s="663" t="e">
        <f t="shared" ca="1" si="160"/>
        <v>#N/A</v>
      </c>
      <c r="BJ141" s="663" t="e">
        <f t="shared" ca="1" si="161"/>
        <v>#N/A</v>
      </c>
      <c r="BK141" s="663" t="e">
        <f t="shared" ca="1" si="162"/>
        <v>#N/A</v>
      </c>
      <c r="BL141" s="1918"/>
      <c r="BM141" s="1532"/>
      <c r="BN141" s="1919"/>
      <c r="BO141" s="600"/>
      <c r="BP141" s="601"/>
      <c r="BQ141" s="596"/>
      <c r="BR141" s="602"/>
      <c r="BS141" s="603"/>
      <c r="BT141" s="602"/>
      <c r="BU141" s="602"/>
      <c r="BV141" s="602"/>
      <c r="BW141" s="604"/>
      <c r="BX141" s="605"/>
      <c r="BY141" s="602"/>
      <c r="BZ141" s="602"/>
      <c r="CA141"/>
      <c r="CB141" s="607"/>
      <c r="CC141" s="608"/>
      <c r="CD141" s="608"/>
      <c r="CE141" s="608"/>
      <c r="CF141" s="600"/>
    </row>
    <row r="142" spans="2:84" ht="12" customHeight="1" x14ac:dyDescent="0.35">
      <c r="B142" s="590" t="e">
        <f>MATCH(C142,'360SpcLdsCSV'!$C$6:$C$500,0)</f>
        <v>#N/A</v>
      </c>
      <c r="C142" s="590">
        <f>'360SpcLdsCSV'!C91</f>
        <v>0</v>
      </c>
      <c r="D142" s="590" t="str">
        <f t="shared" si="163"/>
        <v>0</v>
      </c>
      <c r="E142" s="590" t="e">
        <f t="shared" si="164"/>
        <v>#VALUE!</v>
      </c>
      <c r="F142" s="590" t="e">
        <f t="shared" si="165"/>
        <v>#VALUE!</v>
      </c>
      <c r="G142" s="590" t="str">
        <f t="shared" si="166"/>
        <v>0</v>
      </c>
      <c r="H142" s="590" t="e">
        <f ca="1">OFFSET('360SpcLdsCSV'!$B$5,$B142,H$51)</f>
        <v>#N/A</v>
      </c>
      <c r="I142" s="590" t="e">
        <f ca="1">OFFSET('360SpcLdsCSV'!$B$5,$B142,I$51)</f>
        <v>#N/A</v>
      </c>
      <c r="J142" s="590" t="e">
        <f ca="1">OFFSET('360SpcLdsCSV'!$B$5,$B142,J$51)</f>
        <v>#N/A</v>
      </c>
      <c r="K142" s="590" t="e">
        <f ca="1">OFFSET('360SpcLdsCSV'!$B$5,$B142,K$51)</f>
        <v>#N/A</v>
      </c>
      <c r="L142" s="590" t="e">
        <f ca="1">OFFSET('360SpcLdsCSV'!$B$5,$B142,L$51)</f>
        <v>#N/A</v>
      </c>
      <c r="M142" s="592" t="e">
        <f ca="1">OFFSET('360SpcLdsCSV'!$B$5,$B142,M$51)</f>
        <v>#N/A</v>
      </c>
      <c r="N142" s="592" t="e">
        <f ca="1">OFFSET('360SpcLdsCSV'!$B$5,$B142,N$51)</f>
        <v>#N/A</v>
      </c>
      <c r="O142" s="592" t="e">
        <f ca="1">OFFSET('360SpcLdsCSV'!$B$5,$B142,O$51)</f>
        <v>#N/A</v>
      </c>
      <c r="P142" s="592" t="e">
        <f ca="1">OFFSET('360SpcLdsCSV'!$B$5,$B142,P$51)</f>
        <v>#N/A</v>
      </c>
      <c r="Q142" s="592" t="e">
        <f ca="1">OFFSET('360SpcLdsCSV'!$B$5,$B142,Q$51)</f>
        <v>#N/A</v>
      </c>
      <c r="R142" s="592" t="e">
        <f ca="1">OFFSET('360SpcLdsCSV'!$B$5,$B142,R$51)</f>
        <v>#N/A</v>
      </c>
      <c r="S142" s="592" t="e">
        <f ca="1">OFFSET('360SpcLdsCSV'!$B$5,$B142,S$51)</f>
        <v>#N/A</v>
      </c>
      <c r="T142" s="592" t="e">
        <f ca="1">OFFSET('360SpcLdsCSV'!$B$5,$B142,T$51)</f>
        <v>#N/A</v>
      </c>
      <c r="U142" s="592" t="e">
        <f ca="1">OFFSET('360SpcLdsCSV'!$B$5,$B142,U$51)</f>
        <v>#N/A</v>
      </c>
      <c r="V142" s="592" t="e">
        <f ca="1">OFFSET('360SpcLdsCSV'!$B$5,$B142,V$51)</f>
        <v>#N/A</v>
      </c>
      <c r="W142" s="592" t="e">
        <f ca="1">OFFSET('360SpcLdsCSV'!$B$5,$B142,W$51)</f>
        <v>#N/A</v>
      </c>
      <c r="X142" s="592" t="e">
        <f ca="1">OFFSET('360SpcLdsCSV'!$B$5,$B142,X$51)</f>
        <v>#N/A</v>
      </c>
      <c r="Y142" s="592" t="e">
        <f ca="1">OFFSET('360SpcLdsCSV'!$B$5,$B142,Y$51)</f>
        <v>#N/A</v>
      </c>
      <c r="Z142" s="592" t="e">
        <f ca="1">OFFSET('360SpcLdsCSV'!$B$5,$B142,Z$51)</f>
        <v>#N/A</v>
      </c>
      <c r="AA142" s="592" t="e">
        <f ca="1">OFFSET('360SpcLdsCSV'!$B$5,$B142,AA$51)</f>
        <v>#N/A</v>
      </c>
      <c r="AB142" s="592" t="e">
        <f ca="1">OFFSET('360SpcLdsCSV'!$B$5,$B142,AB$51)</f>
        <v>#N/A</v>
      </c>
      <c r="AC142" s="592" t="e">
        <f ca="1">OFFSET('360SpcLdsCSV'!$B$5,$B142,AC$51)</f>
        <v>#N/A</v>
      </c>
      <c r="AD142" s="592" t="e">
        <f ca="1">OFFSET('360SpcLdsCSV'!$B$5,$B142,AD$51)</f>
        <v>#N/A</v>
      </c>
      <c r="AE142" s="592" t="e">
        <f ca="1">OFFSET('360SpcLdsCSV'!$B$5,$B142,AE$51)</f>
        <v>#N/A</v>
      </c>
      <c r="AF142" s="592" t="e">
        <f ca="1">OFFSET('360SpcLdsCSV'!$B$5,$B142,AF$51)</f>
        <v>#N/A</v>
      </c>
      <c r="AG142" s="592" t="e">
        <f ca="1">OFFSET('360SpcLdsCSV'!$B$5,$B142,AG$51)</f>
        <v>#N/A</v>
      </c>
      <c r="AH142" s="592" t="e">
        <f ca="1">OFFSET('360SpcLdsCSV'!$B$5,$B142,AH$51)</f>
        <v>#N/A</v>
      </c>
      <c r="AI142" s="592" t="e">
        <f ca="1">OFFSET('360SpcLdsCSV'!$B$5,$B142,AI$51)</f>
        <v>#N/A</v>
      </c>
      <c r="AJ142" s="592" t="e" cm="1">
        <f t="array" ref="AJ142">_xlfn.IFS($F142="Resi",1,$F142="Racc",0,$F142="Coml",0,$F142="Prkg",0)</f>
        <v>#VALUE!</v>
      </c>
      <c r="AK142" s="596"/>
      <c r="AL142" s="590" t="e">
        <f ca="1">OFFSET('360SpcLdsCSV'!$B$5,$B142,AL$51)</f>
        <v>#N/A</v>
      </c>
      <c r="AM142" s="663" t="e">
        <f t="shared" ca="1" si="139"/>
        <v>#N/A</v>
      </c>
      <c r="AN142" s="663" t="e">
        <f t="shared" ca="1" si="140"/>
        <v>#N/A</v>
      </c>
      <c r="AO142" s="663" t="e">
        <f t="shared" ca="1" si="167"/>
        <v>#N/A</v>
      </c>
      <c r="AP142" s="663" t="e">
        <f t="shared" ca="1" si="141"/>
        <v>#N/A</v>
      </c>
      <c r="AQ142" s="663" t="e">
        <f t="shared" ca="1" si="142"/>
        <v>#N/A</v>
      </c>
      <c r="AR142" s="663" t="e">
        <f t="shared" ca="1" si="143"/>
        <v>#N/A</v>
      </c>
      <c r="AS142" s="663" t="e">
        <f t="shared" ca="1" si="144"/>
        <v>#N/A</v>
      </c>
      <c r="AT142" s="663" t="e">
        <f t="shared" ca="1" si="145"/>
        <v>#N/A</v>
      </c>
      <c r="AU142" s="663" t="e">
        <f t="shared" ca="1" si="146"/>
        <v>#N/A</v>
      </c>
      <c r="AV142" s="663" t="e">
        <f t="shared" ca="1" si="147"/>
        <v>#N/A</v>
      </c>
      <c r="AW142" s="663" t="e">
        <f t="shared" ca="1" si="148"/>
        <v>#N/A</v>
      </c>
      <c r="AX142" s="663" t="e">
        <f t="shared" ca="1" si="149"/>
        <v>#N/A</v>
      </c>
      <c r="AY142" s="663" t="e">
        <f t="shared" ca="1" si="150"/>
        <v>#N/A</v>
      </c>
      <c r="AZ142" s="663" t="e">
        <f t="shared" ca="1" si="151"/>
        <v>#N/A</v>
      </c>
      <c r="BA142" s="663" t="e">
        <f t="shared" ca="1" si="152"/>
        <v>#N/A</v>
      </c>
      <c r="BB142" s="663" t="e">
        <f t="shared" ca="1" si="153"/>
        <v>#N/A</v>
      </c>
      <c r="BC142" s="663" t="e">
        <f t="shared" ca="1" si="154"/>
        <v>#N/A</v>
      </c>
      <c r="BD142" s="663" t="e">
        <f t="shared" ca="1" si="155"/>
        <v>#N/A</v>
      </c>
      <c r="BE142" s="663" t="e">
        <f t="shared" ca="1" si="156"/>
        <v>#N/A</v>
      </c>
      <c r="BF142" s="663" t="e">
        <f t="shared" ca="1" si="157"/>
        <v>#N/A</v>
      </c>
      <c r="BG142" s="663" t="e">
        <f t="shared" ca="1" si="158"/>
        <v>#N/A</v>
      </c>
      <c r="BH142" s="663" t="e">
        <f t="shared" ca="1" si="159"/>
        <v>#N/A</v>
      </c>
      <c r="BI142" s="663" t="e">
        <f t="shared" ca="1" si="160"/>
        <v>#N/A</v>
      </c>
      <c r="BJ142" s="663" t="e">
        <f t="shared" ca="1" si="161"/>
        <v>#N/A</v>
      </c>
      <c r="BK142" s="663" t="e">
        <f t="shared" ca="1" si="162"/>
        <v>#N/A</v>
      </c>
      <c r="BL142" s="1918"/>
      <c r="BM142" s="1532"/>
      <c r="BN142" s="1919"/>
      <c r="BO142" s="600"/>
      <c r="BP142" s="601"/>
      <c r="BQ142" s="596"/>
      <c r="BR142" s="602"/>
      <c r="BS142" s="603"/>
      <c r="BT142" s="602"/>
      <c r="BU142" s="602"/>
      <c r="BV142" s="602"/>
      <c r="BW142" s="604"/>
      <c r="BX142" s="605"/>
      <c r="BY142" s="602"/>
      <c r="BZ142" s="602"/>
      <c r="CA142"/>
      <c r="CB142" s="607"/>
      <c r="CC142" s="608"/>
      <c r="CD142" s="608"/>
      <c r="CE142" s="608"/>
      <c r="CF142" s="600"/>
    </row>
    <row r="143" spans="2:84" ht="12" customHeight="1" x14ac:dyDescent="0.35">
      <c r="B143" s="590" t="e">
        <f>MATCH(C143,'360SpcLdsCSV'!$C$6:$C$500,0)</f>
        <v>#N/A</v>
      </c>
      <c r="C143" s="590">
        <f>'360SpcLdsCSV'!C92</f>
        <v>0</v>
      </c>
      <c r="D143" s="590" t="str">
        <f t="shared" si="163"/>
        <v>0</v>
      </c>
      <c r="E143" s="590" t="e">
        <f t="shared" si="164"/>
        <v>#VALUE!</v>
      </c>
      <c r="F143" s="590" t="e">
        <f t="shared" si="165"/>
        <v>#VALUE!</v>
      </c>
      <c r="G143" s="590" t="str">
        <f t="shared" si="166"/>
        <v>0</v>
      </c>
      <c r="H143" s="590" t="e">
        <f ca="1">OFFSET('360SpcLdsCSV'!$B$5,$B143,H$51)</f>
        <v>#N/A</v>
      </c>
      <c r="I143" s="590" t="e">
        <f ca="1">OFFSET('360SpcLdsCSV'!$B$5,$B143,I$51)</f>
        <v>#N/A</v>
      </c>
      <c r="J143" s="590" t="e">
        <f ca="1">OFFSET('360SpcLdsCSV'!$B$5,$B143,J$51)</f>
        <v>#N/A</v>
      </c>
      <c r="K143" s="590" t="e">
        <f ca="1">OFFSET('360SpcLdsCSV'!$B$5,$B143,K$51)</f>
        <v>#N/A</v>
      </c>
      <c r="L143" s="590" t="e">
        <f ca="1">OFFSET('360SpcLdsCSV'!$B$5,$B143,L$51)</f>
        <v>#N/A</v>
      </c>
      <c r="M143" s="592" t="e">
        <f ca="1">OFFSET('360SpcLdsCSV'!$B$5,$B143,M$51)</f>
        <v>#N/A</v>
      </c>
      <c r="N143" s="592" t="e">
        <f ca="1">OFFSET('360SpcLdsCSV'!$B$5,$B143,N$51)</f>
        <v>#N/A</v>
      </c>
      <c r="O143" s="592" t="e">
        <f ca="1">OFFSET('360SpcLdsCSV'!$B$5,$B143,O$51)</f>
        <v>#N/A</v>
      </c>
      <c r="P143" s="592" t="e">
        <f ca="1">OFFSET('360SpcLdsCSV'!$B$5,$B143,P$51)</f>
        <v>#N/A</v>
      </c>
      <c r="Q143" s="592" t="e">
        <f ca="1">OFFSET('360SpcLdsCSV'!$B$5,$B143,Q$51)</f>
        <v>#N/A</v>
      </c>
      <c r="R143" s="592" t="e">
        <f ca="1">OFFSET('360SpcLdsCSV'!$B$5,$B143,R$51)</f>
        <v>#N/A</v>
      </c>
      <c r="S143" s="592" t="e">
        <f ca="1">OFFSET('360SpcLdsCSV'!$B$5,$B143,S$51)</f>
        <v>#N/A</v>
      </c>
      <c r="T143" s="592" t="e">
        <f ca="1">OFFSET('360SpcLdsCSV'!$B$5,$B143,T$51)</f>
        <v>#N/A</v>
      </c>
      <c r="U143" s="592" t="e">
        <f ca="1">OFFSET('360SpcLdsCSV'!$B$5,$B143,U$51)</f>
        <v>#N/A</v>
      </c>
      <c r="V143" s="592" t="e">
        <f ca="1">OFFSET('360SpcLdsCSV'!$B$5,$B143,V$51)</f>
        <v>#N/A</v>
      </c>
      <c r="W143" s="592" t="e">
        <f ca="1">OFFSET('360SpcLdsCSV'!$B$5,$B143,W$51)</f>
        <v>#N/A</v>
      </c>
      <c r="X143" s="592" t="e">
        <f ca="1">OFFSET('360SpcLdsCSV'!$B$5,$B143,X$51)</f>
        <v>#N/A</v>
      </c>
      <c r="Y143" s="592" t="e">
        <f ca="1">OFFSET('360SpcLdsCSV'!$B$5,$B143,Y$51)</f>
        <v>#N/A</v>
      </c>
      <c r="Z143" s="592" t="e">
        <f ca="1">OFFSET('360SpcLdsCSV'!$B$5,$B143,Z$51)</f>
        <v>#N/A</v>
      </c>
      <c r="AA143" s="592" t="e">
        <f ca="1">OFFSET('360SpcLdsCSV'!$B$5,$B143,AA$51)</f>
        <v>#N/A</v>
      </c>
      <c r="AB143" s="592" t="e">
        <f ca="1">OFFSET('360SpcLdsCSV'!$B$5,$B143,AB$51)</f>
        <v>#N/A</v>
      </c>
      <c r="AC143" s="592" t="e">
        <f ca="1">OFFSET('360SpcLdsCSV'!$B$5,$B143,AC$51)</f>
        <v>#N/A</v>
      </c>
      <c r="AD143" s="592" t="e">
        <f ca="1">OFFSET('360SpcLdsCSV'!$B$5,$B143,AD$51)</f>
        <v>#N/A</v>
      </c>
      <c r="AE143" s="592" t="e">
        <f ca="1">OFFSET('360SpcLdsCSV'!$B$5,$B143,AE$51)</f>
        <v>#N/A</v>
      </c>
      <c r="AF143" s="592" t="e">
        <f ca="1">OFFSET('360SpcLdsCSV'!$B$5,$B143,AF$51)</f>
        <v>#N/A</v>
      </c>
      <c r="AG143" s="592" t="e">
        <f ca="1">OFFSET('360SpcLdsCSV'!$B$5,$B143,AG$51)</f>
        <v>#N/A</v>
      </c>
      <c r="AH143" s="592" t="e">
        <f ca="1">OFFSET('360SpcLdsCSV'!$B$5,$B143,AH$51)</f>
        <v>#N/A</v>
      </c>
      <c r="AI143" s="592" t="e">
        <f ca="1">OFFSET('360SpcLdsCSV'!$B$5,$B143,AI$51)</f>
        <v>#N/A</v>
      </c>
      <c r="AJ143" s="592" t="e" cm="1">
        <f t="array" ref="AJ143">_xlfn.IFS($F143="Resi",1,$F143="Racc",0,$F143="Coml",0,$F143="Prkg",0)</f>
        <v>#VALUE!</v>
      </c>
      <c r="AK143" s="596"/>
      <c r="AL143" s="590" t="e">
        <f ca="1">OFFSET('360SpcLdsCSV'!$B$5,$B143,AL$51)</f>
        <v>#N/A</v>
      </c>
      <c r="AM143" s="663" t="e">
        <f t="shared" ca="1" si="139"/>
        <v>#N/A</v>
      </c>
      <c r="AN143" s="663" t="e">
        <f t="shared" ca="1" si="140"/>
        <v>#N/A</v>
      </c>
      <c r="AO143" s="663" t="e">
        <f t="shared" ca="1" si="167"/>
        <v>#N/A</v>
      </c>
      <c r="AP143" s="663" t="e">
        <f t="shared" ca="1" si="141"/>
        <v>#N/A</v>
      </c>
      <c r="AQ143" s="663" t="e">
        <f t="shared" ca="1" si="142"/>
        <v>#N/A</v>
      </c>
      <c r="AR143" s="663" t="e">
        <f t="shared" ca="1" si="143"/>
        <v>#N/A</v>
      </c>
      <c r="AS143" s="663" t="e">
        <f t="shared" ca="1" si="144"/>
        <v>#N/A</v>
      </c>
      <c r="AT143" s="663" t="e">
        <f t="shared" ca="1" si="145"/>
        <v>#N/A</v>
      </c>
      <c r="AU143" s="663" t="e">
        <f t="shared" ca="1" si="146"/>
        <v>#N/A</v>
      </c>
      <c r="AV143" s="663" t="e">
        <f t="shared" ca="1" si="147"/>
        <v>#N/A</v>
      </c>
      <c r="AW143" s="663" t="e">
        <f t="shared" ca="1" si="148"/>
        <v>#N/A</v>
      </c>
      <c r="AX143" s="663" t="e">
        <f t="shared" ca="1" si="149"/>
        <v>#N/A</v>
      </c>
      <c r="AY143" s="663" t="e">
        <f t="shared" ca="1" si="150"/>
        <v>#N/A</v>
      </c>
      <c r="AZ143" s="663" t="e">
        <f t="shared" ca="1" si="151"/>
        <v>#N/A</v>
      </c>
      <c r="BA143" s="663" t="e">
        <f t="shared" ca="1" si="152"/>
        <v>#N/A</v>
      </c>
      <c r="BB143" s="663" t="e">
        <f t="shared" ca="1" si="153"/>
        <v>#N/A</v>
      </c>
      <c r="BC143" s="663" t="e">
        <f t="shared" ca="1" si="154"/>
        <v>#N/A</v>
      </c>
      <c r="BD143" s="663" t="e">
        <f t="shared" ca="1" si="155"/>
        <v>#N/A</v>
      </c>
      <c r="BE143" s="663" t="e">
        <f t="shared" ca="1" si="156"/>
        <v>#N/A</v>
      </c>
      <c r="BF143" s="663" t="e">
        <f t="shared" ca="1" si="157"/>
        <v>#N/A</v>
      </c>
      <c r="BG143" s="663" t="e">
        <f t="shared" ca="1" si="158"/>
        <v>#N/A</v>
      </c>
      <c r="BH143" s="663" t="e">
        <f t="shared" ca="1" si="159"/>
        <v>#N/A</v>
      </c>
      <c r="BI143" s="663" t="e">
        <f t="shared" ca="1" si="160"/>
        <v>#N/A</v>
      </c>
      <c r="BJ143" s="663" t="e">
        <f t="shared" ca="1" si="161"/>
        <v>#N/A</v>
      </c>
      <c r="BK143" s="663" t="e">
        <f t="shared" ca="1" si="162"/>
        <v>#N/A</v>
      </c>
      <c r="BL143" s="1918"/>
      <c r="BM143" s="1532"/>
      <c r="BN143" s="1919"/>
      <c r="BO143" s="600"/>
      <c r="BP143" s="601"/>
      <c r="BQ143" s="596"/>
      <c r="BR143" s="602"/>
      <c r="BS143" s="603"/>
      <c r="BT143" s="602"/>
      <c r="BU143" s="602"/>
      <c r="BV143" s="602"/>
      <c r="BW143" s="604"/>
      <c r="BX143" s="605"/>
      <c r="BY143" s="602"/>
      <c r="BZ143" s="602"/>
      <c r="CA143"/>
      <c r="CB143" s="607"/>
      <c r="CC143" s="608"/>
      <c r="CD143" s="608"/>
      <c r="CE143" s="608"/>
      <c r="CF143" s="600"/>
    </row>
    <row r="144" spans="2:84" ht="12" customHeight="1" x14ac:dyDescent="0.35">
      <c r="B144" s="590" t="e">
        <f>MATCH(C144,'360SpcLdsCSV'!$C$6:$C$500,0)</f>
        <v>#N/A</v>
      </c>
      <c r="C144" s="590">
        <f>'360SpcLdsCSV'!C93</f>
        <v>0</v>
      </c>
      <c r="D144" s="590" t="str">
        <f t="shared" si="163"/>
        <v>0</v>
      </c>
      <c r="E144" s="590" t="e">
        <f t="shared" si="164"/>
        <v>#VALUE!</v>
      </c>
      <c r="F144" s="590" t="e">
        <f t="shared" si="165"/>
        <v>#VALUE!</v>
      </c>
      <c r="G144" s="590" t="str">
        <f t="shared" si="166"/>
        <v>0</v>
      </c>
      <c r="H144" s="590" t="e">
        <f ca="1">OFFSET('360SpcLdsCSV'!$B$5,$B144,H$51)</f>
        <v>#N/A</v>
      </c>
      <c r="I144" s="590" t="e">
        <f ca="1">OFFSET('360SpcLdsCSV'!$B$5,$B144,I$51)</f>
        <v>#N/A</v>
      </c>
      <c r="J144" s="590" t="e">
        <f ca="1">OFFSET('360SpcLdsCSV'!$B$5,$B144,J$51)</f>
        <v>#N/A</v>
      </c>
      <c r="K144" s="590" t="e">
        <f ca="1">OFFSET('360SpcLdsCSV'!$B$5,$B144,K$51)</f>
        <v>#N/A</v>
      </c>
      <c r="L144" s="590" t="e">
        <f ca="1">OFFSET('360SpcLdsCSV'!$B$5,$B144,L$51)</f>
        <v>#N/A</v>
      </c>
      <c r="M144" s="592" t="e">
        <f ca="1">OFFSET('360SpcLdsCSV'!$B$5,$B144,M$51)</f>
        <v>#N/A</v>
      </c>
      <c r="N144" s="592" t="e">
        <f ca="1">OFFSET('360SpcLdsCSV'!$B$5,$B144,N$51)</f>
        <v>#N/A</v>
      </c>
      <c r="O144" s="592" t="e">
        <f ca="1">OFFSET('360SpcLdsCSV'!$B$5,$B144,O$51)</f>
        <v>#N/A</v>
      </c>
      <c r="P144" s="592" t="e">
        <f ca="1">OFFSET('360SpcLdsCSV'!$B$5,$B144,P$51)</f>
        <v>#N/A</v>
      </c>
      <c r="Q144" s="592" t="e">
        <f ca="1">OFFSET('360SpcLdsCSV'!$B$5,$B144,Q$51)</f>
        <v>#N/A</v>
      </c>
      <c r="R144" s="592" t="e">
        <f ca="1">OFFSET('360SpcLdsCSV'!$B$5,$B144,R$51)</f>
        <v>#N/A</v>
      </c>
      <c r="S144" s="592" t="e">
        <f ca="1">OFFSET('360SpcLdsCSV'!$B$5,$B144,S$51)</f>
        <v>#N/A</v>
      </c>
      <c r="T144" s="592" t="e">
        <f ca="1">OFFSET('360SpcLdsCSV'!$B$5,$B144,T$51)</f>
        <v>#N/A</v>
      </c>
      <c r="U144" s="592" t="e">
        <f ca="1">OFFSET('360SpcLdsCSV'!$B$5,$B144,U$51)</f>
        <v>#N/A</v>
      </c>
      <c r="V144" s="592" t="e">
        <f ca="1">OFFSET('360SpcLdsCSV'!$B$5,$B144,V$51)</f>
        <v>#N/A</v>
      </c>
      <c r="W144" s="592" t="e">
        <f ca="1">OFFSET('360SpcLdsCSV'!$B$5,$B144,W$51)</f>
        <v>#N/A</v>
      </c>
      <c r="X144" s="592" t="e">
        <f ca="1">OFFSET('360SpcLdsCSV'!$B$5,$B144,X$51)</f>
        <v>#N/A</v>
      </c>
      <c r="Y144" s="592" t="e">
        <f ca="1">OFFSET('360SpcLdsCSV'!$B$5,$B144,Y$51)</f>
        <v>#N/A</v>
      </c>
      <c r="Z144" s="592" t="e">
        <f ca="1">OFFSET('360SpcLdsCSV'!$B$5,$B144,Z$51)</f>
        <v>#N/A</v>
      </c>
      <c r="AA144" s="592" t="e">
        <f ca="1">OFFSET('360SpcLdsCSV'!$B$5,$B144,AA$51)</f>
        <v>#N/A</v>
      </c>
      <c r="AB144" s="592" t="e">
        <f ca="1">OFFSET('360SpcLdsCSV'!$B$5,$B144,AB$51)</f>
        <v>#N/A</v>
      </c>
      <c r="AC144" s="592" t="e">
        <f ca="1">OFFSET('360SpcLdsCSV'!$B$5,$B144,AC$51)</f>
        <v>#N/A</v>
      </c>
      <c r="AD144" s="592" t="e">
        <f ca="1">OFFSET('360SpcLdsCSV'!$B$5,$B144,AD$51)</f>
        <v>#N/A</v>
      </c>
      <c r="AE144" s="592" t="e">
        <f ca="1">OFFSET('360SpcLdsCSV'!$B$5,$B144,AE$51)</f>
        <v>#N/A</v>
      </c>
      <c r="AF144" s="592" t="e">
        <f ca="1">OFFSET('360SpcLdsCSV'!$B$5,$B144,AF$51)</f>
        <v>#N/A</v>
      </c>
      <c r="AG144" s="592" t="e">
        <f ca="1">OFFSET('360SpcLdsCSV'!$B$5,$B144,AG$51)</f>
        <v>#N/A</v>
      </c>
      <c r="AH144" s="592" t="e">
        <f ca="1">OFFSET('360SpcLdsCSV'!$B$5,$B144,AH$51)</f>
        <v>#N/A</v>
      </c>
      <c r="AI144" s="592" t="e">
        <f ca="1">OFFSET('360SpcLdsCSV'!$B$5,$B144,AI$51)</f>
        <v>#N/A</v>
      </c>
      <c r="AJ144" s="592" t="e" cm="1">
        <f t="array" ref="AJ144">_xlfn.IFS($F144="Resi",1,$F144="Racc",0,$F144="Coml",0,$F144="Prkg",0)</f>
        <v>#VALUE!</v>
      </c>
      <c r="AK144" s="596"/>
      <c r="AL144" s="590" t="e">
        <f ca="1">OFFSET('360SpcLdsCSV'!$B$5,$B144,AL$51)</f>
        <v>#N/A</v>
      </c>
      <c r="AM144" s="663" t="e">
        <f t="shared" ca="1" si="139"/>
        <v>#N/A</v>
      </c>
      <c r="AN144" s="663" t="e">
        <f t="shared" ca="1" si="140"/>
        <v>#N/A</v>
      </c>
      <c r="AO144" s="663" t="e">
        <f t="shared" ca="1" si="167"/>
        <v>#N/A</v>
      </c>
      <c r="AP144" s="663" t="e">
        <f t="shared" ca="1" si="141"/>
        <v>#N/A</v>
      </c>
      <c r="AQ144" s="663" t="e">
        <f t="shared" ca="1" si="142"/>
        <v>#N/A</v>
      </c>
      <c r="AR144" s="663" t="e">
        <f t="shared" ca="1" si="143"/>
        <v>#N/A</v>
      </c>
      <c r="AS144" s="663" t="e">
        <f t="shared" ca="1" si="144"/>
        <v>#N/A</v>
      </c>
      <c r="AT144" s="663" t="e">
        <f t="shared" ca="1" si="145"/>
        <v>#N/A</v>
      </c>
      <c r="AU144" s="663" t="e">
        <f t="shared" ca="1" si="146"/>
        <v>#N/A</v>
      </c>
      <c r="AV144" s="663" t="e">
        <f t="shared" ca="1" si="147"/>
        <v>#N/A</v>
      </c>
      <c r="AW144" s="663" t="e">
        <f t="shared" ca="1" si="148"/>
        <v>#N/A</v>
      </c>
      <c r="AX144" s="663" t="e">
        <f t="shared" ca="1" si="149"/>
        <v>#N/A</v>
      </c>
      <c r="AY144" s="663" t="e">
        <f t="shared" ca="1" si="150"/>
        <v>#N/A</v>
      </c>
      <c r="AZ144" s="663" t="e">
        <f t="shared" ca="1" si="151"/>
        <v>#N/A</v>
      </c>
      <c r="BA144" s="663" t="e">
        <f t="shared" ca="1" si="152"/>
        <v>#N/A</v>
      </c>
      <c r="BB144" s="663" t="e">
        <f t="shared" ca="1" si="153"/>
        <v>#N/A</v>
      </c>
      <c r="BC144" s="663" t="e">
        <f t="shared" ca="1" si="154"/>
        <v>#N/A</v>
      </c>
      <c r="BD144" s="663" t="e">
        <f t="shared" ca="1" si="155"/>
        <v>#N/A</v>
      </c>
      <c r="BE144" s="663" t="e">
        <f t="shared" ca="1" si="156"/>
        <v>#N/A</v>
      </c>
      <c r="BF144" s="663" t="e">
        <f t="shared" ca="1" si="157"/>
        <v>#N/A</v>
      </c>
      <c r="BG144" s="663" t="e">
        <f t="shared" ca="1" si="158"/>
        <v>#N/A</v>
      </c>
      <c r="BH144" s="663" t="e">
        <f t="shared" ca="1" si="159"/>
        <v>#N/A</v>
      </c>
      <c r="BI144" s="663" t="e">
        <f t="shared" ca="1" si="160"/>
        <v>#N/A</v>
      </c>
      <c r="BJ144" s="663" t="e">
        <f t="shared" ca="1" si="161"/>
        <v>#N/A</v>
      </c>
      <c r="BK144" s="663" t="e">
        <f t="shared" ca="1" si="162"/>
        <v>#N/A</v>
      </c>
      <c r="BL144" s="1918"/>
      <c r="BM144" s="1532"/>
      <c r="BN144" s="1919"/>
      <c r="BO144" s="603"/>
      <c r="BP144" s="602"/>
      <c r="BQ144" s="602"/>
      <c r="BR144" s="602"/>
      <c r="BS144" s="604"/>
      <c r="BT144" s="605"/>
      <c r="BU144" s="602"/>
      <c r="BV144" s="602"/>
      <c r="BW144" s="606"/>
      <c r="BX144" s="607"/>
      <c r="BY144" s="608"/>
      <c r="BZ144" s="608"/>
      <c r="CA144"/>
      <c r="CB144" s="600"/>
    </row>
    <row r="145" spans="2:80" ht="12" customHeight="1" x14ac:dyDescent="0.35">
      <c r="B145" s="590" t="e">
        <f>MATCH(C145,'360SpcLdsCSV'!$C$6:$C$500,0)</f>
        <v>#N/A</v>
      </c>
      <c r="C145" s="590">
        <f>'360SpcLdsCSV'!C94</f>
        <v>0</v>
      </c>
      <c r="D145" s="590" t="str">
        <f t="shared" si="163"/>
        <v>0</v>
      </c>
      <c r="E145" s="590" t="e">
        <f t="shared" si="164"/>
        <v>#VALUE!</v>
      </c>
      <c r="F145" s="590" t="e">
        <f t="shared" si="165"/>
        <v>#VALUE!</v>
      </c>
      <c r="G145" s="590" t="str">
        <f t="shared" si="166"/>
        <v>0</v>
      </c>
      <c r="H145" s="590" t="e">
        <f ca="1">OFFSET('360SpcLdsCSV'!$B$5,$B145,H$51)</f>
        <v>#N/A</v>
      </c>
      <c r="I145" s="590" t="e">
        <f ca="1">OFFSET('360SpcLdsCSV'!$B$5,$B145,I$51)</f>
        <v>#N/A</v>
      </c>
      <c r="J145" s="590" t="e">
        <f ca="1">OFFSET('360SpcLdsCSV'!$B$5,$B145,J$51)</f>
        <v>#N/A</v>
      </c>
      <c r="K145" s="590" t="e">
        <f ca="1">OFFSET('360SpcLdsCSV'!$B$5,$B145,K$51)</f>
        <v>#N/A</v>
      </c>
      <c r="L145" s="590" t="e">
        <f ca="1">OFFSET('360SpcLdsCSV'!$B$5,$B145,L$51)</f>
        <v>#N/A</v>
      </c>
      <c r="M145" s="592" t="e">
        <f ca="1">OFFSET('360SpcLdsCSV'!$B$5,$B145,M$51)</f>
        <v>#N/A</v>
      </c>
      <c r="N145" s="592" t="e">
        <f ca="1">OFFSET('360SpcLdsCSV'!$B$5,$B145,N$51)</f>
        <v>#N/A</v>
      </c>
      <c r="O145" s="592" t="e">
        <f ca="1">OFFSET('360SpcLdsCSV'!$B$5,$B145,O$51)</f>
        <v>#N/A</v>
      </c>
      <c r="P145" s="592" t="e">
        <f ca="1">OFFSET('360SpcLdsCSV'!$B$5,$B145,P$51)</f>
        <v>#N/A</v>
      </c>
      <c r="Q145" s="592" t="e">
        <f ca="1">OFFSET('360SpcLdsCSV'!$B$5,$B145,Q$51)</f>
        <v>#N/A</v>
      </c>
      <c r="R145" s="592" t="e">
        <f ca="1">OFFSET('360SpcLdsCSV'!$B$5,$B145,R$51)</f>
        <v>#N/A</v>
      </c>
      <c r="S145" s="592" t="e">
        <f ca="1">OFFSET('360SpcLdsCSV'!$B$5,$B145,S$51)</f>
        <v>#N/A</v>
      </c>
      <c r="T145" s="592" t="e">
        <f ca="1">OFFSET('360SpcLdsCSV'!$B$5,$B145,T$51)</f>
        <v>#N/A</v>
      </c>
      <c r="U145" s="592" t="e">
        <f ca="1">OFFSET('360SpcLdsCSV'!$B$5,$B145,U$51)</f>
        <v>#N/A</v>
      </c>
      <c r="V145" s="592" t="e">
        <f ca="1">OFFSET('360SpcLdsCSV'!$B$5,$B145,V$51)</f>
        <v>#N/A</v>
      </c>
      <c r="W145" s="592" t="e">
        <f ca="1">OFFSET('360SpcLdsCSV'!$B$5,$B145,W$51)</f>
        <v>#N/A</v>
      </c>
      <c r="X145" s="592" t="e">
        <f ca="1">OFFSET('360SpcLdsCSV'!$B$5,$B145,X$51)</f>
        <v>#N/A</v>
      </c>
      <c r="Y145" s="592" t="e">
        <f ca="1">OFFSET('360SpcLdsCSV'!$B$5,$B145,Y$51)</f>
        <v>#N/A</v>
      </c>
      <c r="Z145" s="592" t="e">
        <f ca="1">OFFSET('360SpcLdsCSV'!$B$5,$B145,Z$51)</f>
        <v>#N/A</v>
      </c>
      <c r="AA145" s="592" t="e">
        <f ca="1">OFFSET('360SpcLdsCSV'!$B$5,$B145,AA$51)</f>
        <v>#N/A</v>
      </c>
      <c r="AB145" s="592" t="e">
        <f ca="1">OFFSET('360SpcLdsCSV'!$B$5,$B145,AB$51)</f>
        <v>#N/A</v>
      </c>
      <c r="AC145" s="592" t="e">
        <f ca="1">OFFSET('360SpcLdsCSV'!$B$5,$B145,AC$51)</f>
        <v>#N/A</v>
      </c>
      <c r="AD145" s="592" t="e">
        <f ca="1">OFFSET('360SpcLdsCSV'!$B$5,$B145,AD$51)</f>
        <v>#N/A</v>
      </c>
      <c r="AE145" s="592" t="e">
        <f ca="1">OFFSET('360SpcLdsCSV'!$B$5,$B145,AE$51)</f>
        <v>#N/A</v>
      </c>
      <c r="AF145" s="592" t="e">
        <f ca="1">OFFSET('360SpcLdsCSV'!$B$5,$B145,AF$51)</f>
        <v>#N/A</v>
      </c>
      <c r="AG145" s="592" t="e">
        <f ca="1">OFFSET('360SpcLdsCSV'!$B$5,$B145,AG$51)</f>
        <v>#N/A</v>
      </c>
      <c r="AH145" s="592" t="e">
        <f ca="1">OFFSET('360SpcLdsCSV'!$B$5,$B145,AH$51)</f>
        <v>#N/A</v>
      </c>
      <c r="AI145" s="592" t="e">
        <f ca="1">OFFSET('360SpcLdsCSV'!$B$5,$B145,AI$51)</f>
        <v>#N/A</v>
      </c>
      <c r="AJ145" s="592" t="e" cm="1">
        <f t="array" ref="AJ145">_xlfn.IFS($F145="Resi",1,$F145="Racc",0,$F145="Coml",0,$F145="Prkg",0)</f>
        <v>#VALUE!</v>
      </c>
      <c r="AK145" s="596"/>
      <c r="AL145" s="590" t="e">
        <f ca="1">OFFSET('360SpcLdsCSV'!$B$5,$B145,AL$51)</f>
        <v>#N/A</v>
      </c>
      <c r="AM145" s="663" t="e">
        <f t="shared" ca="1" si="139"/>
        <v>#N/A</v>
      </c>
      <c r="AN145" s="663" t="e">
        <f t="shared" ca="1" si="140"/>
        <v>#N/A</v>
      </c>
      <c r="AO145" s="663" t="e">
        <f t="shared" ca="1" si="167"/>
        <v>#N/A</v>
      </c>
      <c r="AP145" s="663" t="e">
        <f t="shared" ca="1" si="141"/>
        <v>#N/A</v>
      </c>
      <c r="AQ145" s="663" t="e">
        <f t="shared" ca="1" si="142"/>
        <v>#N/A</v>
      </c>
      <c r="AR145" s="663" t="e">
        <f t="shared" ca="1" si="143"/>
        <v>#N/A</v>
      </c>
      <c r="AS145" s="663" t="e">
        <f t="shared" ca="1" si="144"/>
        <v>#N/A</v>
      </c>
      <c r="AT145" s="663" t="e">
        <f t="shared" ca="1" si="145"/>
        <v>#N/A</v>
      </c>
      <c r="AU145" s="663" t="e">
        <f t="shared" ca="1" si="146"/>
        <v>#N/A</v>
      </c>
      <c r="AV145" s="663" t="e">
        <f t="shared" ca="1" si="147"/>
        <v>#N/A</v>
      </c>
      <c r="AW145" s="663" t="e">
        <f t="shared" ca="1" si="148"/>
        <v>#N/A</v>
      </c>
      <c r="AX145" s="663" t="e">
        <f t="shared" ca="1" si="149"/>
        <v>#N/A</v>
      </c>
      <c r="AY145" s="663" t="e">
        <f t="shared" ca="1" si="150"/>
        <v>#N/A</v>
      </c>
      <c r="AZ145" s="663" t="e">
        <f t="shared" ca="1" si="151"/>
        <v>#N/A</v>
      </c>
      <c r="BA145" s="663" t="e">
        <f t="shared" ca="1" si="152"/>
        <v>#N/A</v>
      </c>
      <c r="BB145" s="663" t="e">
        <f t="shared" ca="1" si="153"/>
        <v>#N/A</v>
      </c>
      <c r="BC145" s="663" t="e">
        <f t="shared" ca="1" si="154"/>
        <v>#N/A</v>
      </c>
      <c r="BD145" s="663" t="e">
        <f t="shared" ca="1" si="155"/>
        <v>#N/A</v>
      </c>
      <c r="BE145" s="663" t="e">
        <f t="shared" ca="1" si="156"/>
        <v>#N/A</v>
      </c>
      <c r="BF145" s="663" t="e">
        <f t="shared" ca="1" si="157"/>
        <v>#N/A</v>
      </c>
      <c r="BG145" s="663" t="e">
        <f t="shared" ca="1" si="158"/>
        <v>#N/A</v>
      </c>
      <c r="BH145" s="663" t="e">
        <f t="shared" ca="1" si="159"/>
        <v>#N/A</v>
      </c>
      <c r="BI145" s="663" t="e">
        <f t="shared" ca="1" si="160"/>
        <v>#N/A</v>
      </c>
      <c r="BJ145" s="663" t="e">
        <f t="shared" ca="1" si="161"/>
        <v>#N/A</v>
      </c>
      <c r="BK145" s="663" t="e">
        <f t="shared" ca="1" si="162"/>
        <v>#N/A</v>
      </c>
      <c r="BL145" s="1918"/>
      <c r="BM145" s="1532"/>
      <c r="BN145" s="1919"/>
      <c r="BO145" s="603"/>
      <c r="BP145" s="602"/>
      <c r="BQ145" s="602"/>
      <c r="BR145" s="602"/>
      <c r="BS145" s="604"/>
      <c r="BT145" s="605"/>
      <c r="BU145" s="602"/>
      <c r="BV145" s="602"/>
      <c r="BW145" s="606"/>
      <c r="BX145" s="607"/>
      <c r="BY145" s="608"/>
      <c r="BZ145" s="608"/>
      <c r="CA145"/>
      <c r="CB145" s="600"/>
    </row>
    <row r="146" spans="2:80" ht="12" customHeight="1" x14ac:dyDescent="0.35">
      <c r="B146" s="590" t="e">
        <f>MATCH(C146,'360SpcLdsCSV'!$C$6:$C$500,0)</f>
        <v>#N/A</v>
      </c>
      <c r="C146" s="590">
        <f>'360SpcLdsCSV'!C95</f>
        <v>0</v>
      </c>
      <c r="D146" s="590" t="str">
        <f t="shared" si="163"/>
        <v>0</v>
      </c>
      <c r="E146" s="590" t="e">
        <f t="shared" si="164"/>
        <v>#VALUE!</v>
      </c>
      <c r="F146" s="590" t="e">
        <f t="shared" si="165"/>
        <v>#VALUE!</v>
      </c>
      <c r="G146" s="590" t="str">
        <f t="shared" si="166"/>
        <v>0</v>
      </c>
      <c r="H146" s="590" t="e">
        <f ca="1">OFFSET('360SpcLdsCSV'!$B$5,$B146,H$51)</f>
        <v>#N/A</v>
      </c>
      <c r="I146" s="590" t="e">
        <f ca="1">OFFSET('360SpcLdsCSV'!$B$5,$B146,I$51)</f>
        <v>#N/A</v>
      </c>
      <c r="J146" s="590" t="e">
        <f ca="1">OFFSET('360SpcLdsCSV'!$B$5,$B146,J$51)</f>
        <v>#N/A</v>
      </c>
      <c r="K146" s="590" t="e">
        <f ca="1">OFFSET('360SpcLdsCSV'!$B$5,$B146,K$51)</f>
        <v>#N/A</v>
      </c>
      <c r="L146" s="590" t="e">
        <f ca="1">OFFSET('360SpcLdsCSV'!$B$5,$B146,L$51)</f>
        <v>#N/A</v>
      </c>
      <c r="M146" s="592" t="e">
        <f ca="1">OFFSET('360SpcLdsCSV'!$B$5,$B146,M$51)</f>
        <v>#N/A</v>
      </c>
      <c r="N146" s="592" t="e">
        <f ca="1">OFFSET('360SpcLdsCSV'!$B$5,$B146,N$51)</f>
        <v>#N/A</v>
      </c>
      <c r="O146" s="592" t="e">
        <f ca="1">OFFSET('360SpcLdsCSV'!$B$5,$B146,O$51)</f>
        <v>#N/A</v>
      </c>
      <c r="P146" s="592" t="e">
        <f ca="1">OFFSET('360SpcLdsCSV'!$B$5,$B146,P$51)</f>
        <v>#N/A</v>
      </c>
      <c r="Q146" s="592" t="e">
        <f ca="1">OFFSET('360SpcLdsCSV'!$B$5,$B146,Q$51)</f>
        <v>#N/A</v>
      </c>
      <c r="R146" s="592" t="e">
        <f ca="1">OFFSET('360SpcLdsCSV'!$B$5,$B146,R$51)</f>
        <v>#N/A</v>
      </c>
      <c r="S146" s="592" t="e">
        <f ca="1">OFFSET('360SpcLdsCSV'!$B$5,$B146,S$51)</f>
        <v>#N/A</v>
      </c>
      <c r="T146" s="592" t="e">
        <f ca="1">OFFSET('360SpcLdsCSV'!$B$5,$B146,T$51)</f>
        <v>#N/A</v>
      </c>
      <c r="U146" s="592" t="e">
        <f ca="1">OFFSET('360SpcLdsCSV'!$B$5,$B146,U$51)</f>
        <v>#N/A</v>
      </c>
      <c r="V146" s="592" t="e">
        <f ca="1">OFFSET('360SpcLdsCSV'!$B$5,$B146,V$51)</f>
        <v>#N/A</v>
      </c>
      <c r="W146" s="592" t="e">
        <f ca="1">OFFSET('360SpcLdsCSV'!$B$5,$B146,W$51)</f>
        <v>#N/A</v>
      </c>
      <c r="X146" s="592" t="e">
        <f ca="1">OFFSET('360SpcLdsCSV'!$B$5,$B146,X$51)</f>
        <v>#N/A</v>
      </c>
      <c r="Y146" s="592" t="e">
        <f ca="1">OFFSET('360SpcLdsCSV'!$B$5,$B146,Y$51)</f>
        <v>#N/A</v>
      </c>
      <c r="Z146" s="592" t="e">
        <f ca="1">OFFSET('360SpcLdsCSV'!$B$5,$B146,Z$51)</f>
        <v>#N/A</v>
      </c>
      <c r="AA146" s="592" t="e">
        <f ca="1">OFFSET('360SpcLdsCSV'!$B$5,$B146,AA$51)</f>
        <v>#N/A</v>
      </c>
      <c r="AB146" s="592" t="e">
        <f ca="1">OFFSET('360SpcLdsCSV'!$B$5,$B146,AB$51)</f>
        <v>#N/A</v>
      </c>
      <c r="AC146" s="592" t="e">
        <f ca="1">OFFSET('360SpcLdsCSV'!$B$5,$B146,AC$51)</f>
        <v>#N/A</v>
      </c>
      <c r="AD146" s="592" t="e">
        <f ca="1">OFFSET('360SpcLdsCSV'!$B$5,$B146,AD$51)</f>
        <v>#N/A</v>
      </c>
      <c r="AE146" s="592" t="e">
        <f ca="1">OFFSET('360SpcLdsCSV'!$B$5,$B146,AE$51)</f>
        <v>#N/A</v>
      </c>
      <c r="AF146" s="592" t="e">
        <f ca="1">OFFSET('360SpcLdsCSV'!$B$5,$B146,AF$51)</f>
        <v>#N/A</v>
      </c>
      <c r="AG146" s="592" t="e">
        <f ca="1">OFFSET('360SpcLdsCSV'!$B$5,$B146,AG$51)</f>
        <v>#N/A</v>
      </c>
      <c r="AH146" s="592" t="e">
        <f ca="1">OFFSET('360SpcLdsCSV'!$B$5,$B146,AH$51)</f>
        <v>#N/A</v>
      </c>
      <c r="AI146" s="592" t="e">
        <f ca="1">OFFSET('360SpcLdsCSV'!$B$5,$B146,AI$51)</f>
        <v>#N/A</v>
      </c>
      <c r="AJ146" s="592" t="e" cm="1">
        <f t="array" ref="AJ146">_xlfn.IFS($F146="Resi",1,$F146="Racc",0,$F146="Coml",0,$F146="Prkg",0)</f>
        <v>#VALUE!</v>
      </c>
      <c r="AK146" s="596"/>
      <c r="AL146" s="590" t="e">
        <f ca="1">OFFSET('360SpcLdsCSV'!$B$5,$B146,AL$51)</f>
        <v>#N/A</v>
      </c>
      <c r="AM146" s="663" t="e">
        <f t="shared" ca="1" si="139"/>
        <v>#N/A</v>
      </c>
      <c r="AN146" s="663" t="e">
        <f t="shared" ca="1" si="140"/>
        <v>#N/A</v>
      </c>
      <c r="AO146" s="663" t="e">
        <f t="shared" ca="1" si="167"/>
        <v>#N/A</v>
      </c>
      <c r="AP146" s="663" t="e">
        <f t="shared" ca="1" si="141"/>
        <v>#N/A</v>
      </c>
      <c r="AQ146" s="663" t="e">
        <f t="shared" ca="1" si="142"/>
        <v>#N/A</v>
      </c>
      <c r="AR146" s="663" t="e">
        <f t="shared" ca="1" si="143"/>
        <v>#N/A</v>
      </c>
      <c r="AS146" s="663" t="e">
        <f t="shared" ca="1" si="144"/>
        <v>#N/A</v>
      </c>
      <c r="AT146" s="663" t="e">
        <f t="shared" ca="1" si="145"/>
        <v>#N/A</v>
      </c>
      <c r="AU146" s="663" t="e">
        <f t="shared" ca="1" si="146"/>
        <v>#N/A</v>
      </c>
      <c r="AV146" s="663" t="e">
        <f t="shared" ca="1" si="147"/>
        <v>#N/A</v>
      </c>
      <c r="AW146" s="663" t="e">
        <f t="shared" ca="1" si="148"/>
        <v>#N/A</v>
      </c>
      <c r="AX146" s="663" t="e">
        <f t="shared" ca="1" si="149"/>
        <v>#N/A</v>
      </c>
      <c r="AY146" s="663" t="e">
        <f t="shared" ca="1" si="150"/>
        <v>#N/A</v>
      </c>
      <c r="AZ146" s="663" t="e">
        <f t="shared" ca="1" si="151"/>
        <v>#N/A</v>
      </c>
      <c r="BA146" s="663" t="e">
        <f t="shared" ca="1" si="152"/>
        <v>#N/A</v>
      </c>
      <c r="BB146" s="663" t="e">
        <f t="shared" ca="1" si="153"/>
        <v>#N/A</v>
      </c>
      <c r="BC146" s="663" t="e">
        <f t="shared" ca="1" si="154"/>
        <v>#N/A</v>
      </c>
      <c r="BD146" s="663" t="e">
        <f t="shared" ca="1" si="155"/>
        <v>#N/A</v>
      </c>
      <c r="BE146" s="663" t="e">
        <f t="shared" ca="1" si="156"/>
        <v>#N/A</v>
      </c>
      <c r="BF146" s="663" t="e">
        <f t="shared" ca="1" si="157"/>
        <v>#N/A</v>
      </c>
      <c r="BG146" s="663" t="e">
        <f t="shared" ca="1" si="158"/>
        <v>#N/A</v>
      </c>
      <c r="BH146" s="663" t="e">
        <f t="shared" ca="1" si="159"/>
        <v>#N/A</v>
      </c>
      <c r="BI146" s="663" t="e">
        <f t="shared" ca="1" si="160"/>
        <v>#N/A</v>
      </c>
      <c r="BJ146" s="663" t="e">
        <f t="shared" ca="1" si="161"/>
        <v>#N/A</v>
      </c>
      <c r="BK146" s="663" t="e">
        <f t="shared" ca="1" si="162"/>
        <v>#N/A</v>
      </c>
      <c r="BL146" s="1918"/>
      <c r="BM146" s="1532"/>
      <c r="BN146" s="1919"/>
      <c r="BO146" s="603"/>
      <c r="BP146" s="602"/>
      <c r="BQ146" s="602"/>
      <c r="BR146" s="602"/>
      <c r="BS146" s="604"/>
      <c r="BT146" s="605"/>
      <c r="BU146" s="602"/>
      <c r="BV146" s="602"/>
      <c r="BW146" s="606"/>
      <c r="BX146" s="607"/>
      <c r="BY146" s="608"/>
      <c r="BZ146" s="608"/>
      <c r="CA146"/>
      <c r="CB146" s="600"/>
    </row>
    <row r="147" spans="2:80" ht="12" customHeight="1" x14ac:dyDescent="0.35">
      <c r="B147" s="590" t="e">
        <f>MATCH(C147,'360SpcLdsCSV'!$C$6:$C$500,0)</f>
        <v>#N/A</v>
      </c>
      <c r="C147" s="590">
        <f>'360SpcLdsCSV'!C96</f>
        <v>0</v>
      </c>
      <c r="D147" s="590" t="str">
        <f t="shared" si="163"/>
        <v>0</v>
      </c>
      <c r="E147" s="590" t="e">
        <f t="shared" si="164"/>
        <v>#VALUE!</v>
      </c>
      <c r="F147" s="590" t="e">
        <f t="shared" si="165"/>
        <v>#VALUE!</v>
      </c>
      <c r="G147" s="590" t="str">
        <f t="shared" si="166"/>
        <v>0</v>
      </c>
      <c r="H147" s="590" t="e">
        <f ca="1">OFFSET('360SpcLdsCSV'!$B$5,$B147,H$51)</f>
        <v>#N/A</v>
      </c>
      <c r="I147" s="590" t="e">
        <f ca="1">OFFSET('360SpcLdsCSV'!$B$5,$B147,I$51)</f>
        <v>#N/A</v>
      </c>
      <c r="J147" s="590" t="e">
        <f ca="1">OFFSET('360SpcLdsCSV'!$B$5,$B147,J$51)</f>
        <v>#N/A</v>
      </c>
      <c r="K147" s="590" t="e">
        <f ca="1">OFFSET('360SpcLdsCSV'!$B$5,$B147,K$51)</f>
        <v>#N/A</v>
      </c>
      <c r="L147" s="590" t="e">
        <f ca="1">OFFSET('360SpcLdsCSV'!$B$5,$B147,L$51)</f>
        <v>#N/A</v>
      </c>
      <c r="M147" s="592" t="e">
        <f ca="1">OFFSET('360SpcLdsCSV'!$B$5,$B147,M$51)</f>
        <v>#N/A</v>
      </c>
      <c r="N147" s="592" t="e">
        <f ca="1">OFFSET('360SpcLdsCSV'!$B$5,$B147,N$51)</f>
        <v>#N/A</v>
      </c>
      <c r="O147" s="592" t="e">
        <f ca="1">OFFSET('360SpcLdsCSV'!$B$5,$B147,O$51)</f>
        <v>#N/A</v>
      </c>
      <c r="P147" s="592" t="e">
        <f ca="1">OFFSET('360SpcLdsCSV'!$B$5,$B147,P$51)</f>
        <v>#N/A</v>
      </c>
      <c r="Q147" s="592" t="e">
        <f ca="1">OFFSET('360SpcLdsCSV'!$B$5,$B147,Q$51)</f>
        <v>#N/A</v>
      </c>
      <c r="R147" s="592" t="e">
        <f ca="1">OFFSET('360SpcLdsCSV'!$B$5,$B147,R$51)</f>
        <v>#N/A</v>
      </c>
      <c r="S147" s="592" t="e">
        <f ca="1">OFFSET('360SpcLdsCSV'!$B$5,$B147,S$51)</f>
        <v>#N/A</v>
      </c>
      <c r="T147" s="592" t="e">
        <f ca="1">OFFSET('360SpcLdsCSV'!$B$5,$B147,T$51)</f>
        <v>#N/A</v>
      </c>
      <c r="U147" s="592" t="e">
        <f ca="1">OFFSET('360SpcLdsCSV'!$B$5,$B147,U$51)</f>
        <v>#N/A</v>
      </c>
      <c r="V147" s="592" t="e">
        <f ca="1">OFFSET('360SpcLdsCSV'!$B$5,$B147,V$51)</f>
        <v>#N/A</v>
      </c>
      <c r="W147" s="592" t="e">
        <f ca="1">OFFSET('360SpcLdsCSV'!$B$5,$B147,W$51)</f>
        <v>#N/A</v>
      </c>
      <c r="X147" s="592" t="e">
        <f ca="1">OFFSET('360SpcLdsCSV'!$B$5,$B147,X$51)</f>
        <v>#N/A</v>
      </c>
      <c r="Y147" s="592" t="e">
        <f ca="1">OFFSET('360SpcLdsCSV'!$B$5,$B147,Y$51)</f>
        <v>#N/A</v>
      </c>
      <c r="Z147" s="592" t="e">
        <f ca="1">OFFSET('360SpcLdsCSV'!$B$5,$B147,Z$51)</f>
        <v>#N/A</v>
      </c>
      <c r="AA147" s="592" t="e">
        <f ca="1">OFFSET('360SpcLdsCSV'!$B$5,$B147,AA$51)</f>
        <v>#N/A</v>
      </c>
      <c r="AB147" s="592" t="e">
        <f ca="1">OFFSET('360SpcLdsCSV'!$B$5,$B147,AB$51)</f>
        <v>#N/A</v>
      </c>
      <c r="AC147" s="592" t="e">
        <f ca="1">OFFSET('360SpcLdsCSV'!$B$5,$B147,AC$51)</f>
        <v>#N/A</v>
      </c>
      <c r="AD147" s="592" t="e">
        <f ca="1">OFFSET('360SpcLdsCSV'!$B$5,$B147,AD$51)</f>
        <v>#N/A</v>
      </c>
      <c r="AE147" s="592" t="e">
        <f ca="1">OFFSET('360SpcLdsCSV'!$B$5,$B147,AE$51)</f>
        <v>#N/A</v>
      </c>
      <c r="AF147" s="592" t="e">
        <f ca="1">OFFSET('360SpcLdsCSV'!$B$5,$B147,AF$51)</f>
        <v>#N/A</v>
      </c>
      <c r="AG147" s="592" t="e">
        <f ca="1">OFFSET('360SpcLdsCSV'!$B$5,$B147,AG$51)</f>
        <v>#N/A</v>
      </c>
      <c r="AH147" s="592" t="e">
        <f ca="1">OFFSET('360SpcLdsCSV'!$B$5,$B147,AH$51)</f>
        <v>#N/A</v>
      </c>
      <c r="AI147" s="592" t="e">
        <f ca="1">OFFSET('360SpcLdsCSV'!$B$5,$B147,AI$51)</f>
        <v>#N/A</v>
      </c>
      <c r="AJ147" s="592" t="e" cm="1">
        <f t="array" ref="AJ147">_xlfn.IFS($F147="Resi",1,$F147="Racc",0,$F147="Coml",0,$F147="Prkg",0)</f>
        <v>#VALUE!</v>
      </c>
      <c r="AK147" s="596"/>
      <c r="AL147" s="590" t="e">
        <f ca="1">OFFSET('360SpcLdsCSV'!$B$5,$B147,AL$51)</f>
        <v>#N/A</v>
      </c>
      <c r="AM147" s="663" t="e">
        <f t="shared" ca="1" si="139"/>
        <v>#N/A</v>
      </c>
      <c r="AN147" s="663" t="e">
        <f t="shared" ca="1" si="140"/>
        <v>#N/A</v>
      </c>
      <c r="AO147" s="663" t="e">
        <f t="shared" ca="1" si="167"/>
        <v>#N/A</v>
      </c>
      <c r="AP147" s="663" t="e">
        <f t="shared" ca="1" si="141"/>
        <v>#N/A</v>
      </c>
      <c r="AQ147" s="663" t="e">
        <f t="shared" ca="1" si="142"/>
        <v>#N/A</v>
      </c>
      <c r="AR147" s="663" t="e">
        <f t="shared" ca="1" si="143"/>
        <v>#N/A</v>
      </c>
      <c r="AS147" s="663" t="e">
        <f t="shared" ca="1" si="144"/>
        <v>#N/A</v>
      </c>
      <c r="AT147" s="663" t="e">
        <f t="shared" ca="1" si="145"/>
        <v>#N/A</v>
      </c>
      <c r="AU147" s="663" t="e">
        <f t="shared" ca="1" si="146"/>
        <v>#N/A</v>
      </c>
      <c r="AV147" s="663" t="e">
        <f t="shared" ca="1" si="147"/>
        <v>#N/A</v>
      </c>
      <c r="AW147" s="663" t="e">
        <f t="shared" ca="1" si="148"/>
        <v>#N/A</v>
      </c>
      <c r="AX147" s="663" t="e">
        <f t="shared" ca="1" si="149"/>
        <v>#N/A</v>
      </c>
      <c r="AY147" s="663" t="e">
        <f t="shared" ca="1" si="150"/>
        <v>#N/A</v>
      </c>
      <c r="AZ147" s="663" t="e">
        <f t="shared" ca="1" si="151"/>
        <v>#N/A</v>
      </c>
      <c r="BA147" s="663" t="e">
        <f t="shared" ca="1" si="152"/>
        <v>#N/A</v>
      </c>
      <c r="BB147" s="663" t="e">
        <f t="shared" ca="1" si="153"/>
        <v>#N/A</v>
      </c>
      <c r="BC147" s="663" t="e">
        <f t="shared" ca="1" si="154"/>
        <v>#N/A</v>
      </c>
      <c r="BD147" s="663" t="e">
        <f t="shared" ca="1" si="155"/>
        <v>#N/A</v>
      </c>
      <c r="BE147" s="663" t="e">
        <f t="shared" ca="1" si="156"/>
        <v>#N/A</v>
      </c>
      <c r="BF147" s="663" t="e">
        <f t="shared" ca="1" si="157"/>
        <v>#N/A</v>
      </c>
      <c r="BG147" s="663" t="e">
        <f t="shared" ca="1" si="158"/>
        <v>#N/A</v>
      </c>
      <c r="BH147" s="663" t="e">
        <f t="shared" ca="1" si="159"/>
        <v>#N/A</v>
      </c>
      <c r="BI147" s="663" t="e">
        <f t="shared" ca="1" si="160"/>
        <v>#N/A</v>
      </c>
      <c r="BJ147" s="663" t="e">
        <f t="shared" ca="1" si="161"/>
        <v>#N/A</v>
      </c>
      <c r="BK147" s="663" t="e">
        <f t="shared" ca="1" si="162"/>
        <v>#N/A</v>
      </c>
      <c r="BL147" s="1918"/>
      <c r="BM147" s="1532"/>
      <c r="BN147" s="1919"/>
      <c r="BO147" s="603"/>
      <c r="BP147" s="602"/>
      <c r="BQ147" s="602"/>
      <c r="BR147" s="602"/>
      <c r="BS147" s="604"/>
      <c r="BT147" s="605"/>
      <c r="BU147" s="602"/>
      <c r="BV147" s="602"/>
      <c r="BW147" s="606"/>
      <c r="BX147" s="607"/>
      <c r="BY147" s="608"/>
      <c r="BZ147" s="608"/>
      <c r="CA147"/>
      <c r="CB147" s="600"/>
    </row>
    <row r="148" spans="2:80" ht="12" customHeight="1" x14ac:dyDescent="0.35">
      <c r="B148" s="590" t="e">
        <f>MATCH(C148,'360SpcLdsCSV'!$C$6:$C$500,0)</f>
        <v>#N/A</v>
      </c>
      <c r="C148" s="590">
        <f>'360SpcLdsCSV'!C97</f>
        <v>0</v>
      </c>
      <c r="D148" s="590" t="str">
        <f t="shared" si="163"/>
        <v>0</v>
      </c>
      <c r="E148" s="590" t="e">
        <f t="shared" si="164"/>
        <v>#VALUE!</v>
      </c>
      <c r="F148" s="590" t="e">
        <f t="shared" si="165"/>
        <v>#VALUE!</v>
      </c>
      <c r="G148" s="590" t="str">
        <f t="shared" si="166"/>
        <v>0</v>
      </c>
      <c r="H148" s="590" t="e">
        <f ca="1">OFFSET('360SpcLdsCSV'!$B$5,$B148,H$51)</f>
        <v>#N/A</v>
      </c>
      <c r="I148" s="590" t="e">
        <f ca="1">OFFSET('360SpcLdsCSV'!$B$5,$B148,I$51)</f>
        <v>#N/A</v>
      </c>
      <c r="J148" s="590" t="e">
        <f ca="1">OFFSET('360SpcLdsCSV'!$B$5,$B148,J$51)</f>
        <v>#N/A</v>
      </c>
      <c r="K148" s="590" t="e">
        <f ca="1">OFFSET('360SpcLdsCSV'!$B$5,$B148,K$51)</f>
        <v>#N/A</v>
      </c>
      <c r="L148" s="590" t="e">
        <f ca="1">OFFSET('360SpcLdsCSV'!$B$5,$B148,L$51)</f>
        <v>#N/A</v>
      </c>
      <c r="M148" s="592" t="e">
        <f ca="1">OFFSET('360SpcLdsCSV'!$B$5,$B148,M$51)</f>
        <v>#N/A</v>
      </c>
      <c r="N148" s="592" t="e">
        <f ca="1">OFFSET('360SpcLdsCSV'!$B$5,$B148,N$51)</f>
        <v>#N/A</v>
      </c>
      <c r="O148" s="592" t="e">
        <f ca="1">OFFSET('360SpcLdsCSV'!$B$5,$B148,O$51)</f>
        <v>#N/A</v>
      </c>
      <c r="P148" s="592" t="e">
        <f ca="1">OFFSET('360SpcLdsCSV'!$B$5,$B148,P$51)</f>
        <v>#N/A</v>
      </c>
      <c r="Q148" s="592" t="e">
        <f ca="1">OFFSET('360SpcLdsCSV'!$B$5,$B148,Q$51)</f>
        <v>#N/A</v>
      </c>
      <c r="R148" s="592" t="e">
        <f ca="1">OFFSET('360SpcLdsCSV'!$B$5,$B148,R$51)</f>
        <v>#N/A</v>
      </c>
      <c r="S148" s="592" t="e">
        <f ca="1">OFFSET('360SpcLdsCSV'!$B$5,$B148,S$51)</f>
        <v>#N/A</v>
      </c>
      <c r="T148" s="592" t="e">
        <f ca="1">OFFSET('360SpcLdsCSV'!$B$5,$B148,T$51)</f>
        <v>#N/A</v>
      </c>
      <c r="U148" s="592" t="e">
        <f ca="1">OFFSET('360SpcLdsCSV'!$B$5,$B148,U$51)</f>
        <v>#N/A</v>
      </c>
      <c r="V148" s="592" t="e">
        <f ca="1">OFFSET('360SpcLdsCSV'!$B$5,$B148,V$51)</f>
        <v>#N/A</v>
      </c>
      <c r="W148" s="592" t="e">
        <f ca="1">OFFSET('360SpcLdsCSV'!$B$5,$B148,W$51)</f>
        <v>#N/A</v>
      </c>
      <c r="X148" s="592" t="e">
        <f ca="1">OFFSET('360SpcLdsCSV'!$B$5,$B148,X$51)</f>
        <v>#N/A</v>
      </c>
      <c r="Y148" s="592" t="e">
        <f ca="1">OFFSET('360SpcLdsCSV'!$B$5,$B148,Y$51)</f>
        <v>#N/A</v>
      </c>
      <c r="Z148" s="592" t="e">
        <f ca="1">OFFSET('360SpcLdsCSV'!$B$5,$B148,Z$51)</f>
        <v>#N/A</v>
      </c>
      <c r="AA148" s="592" t="e">
        <f ca="1">OFFSET('360SpcLdsCSV'!$B$5,$B148,AA$51)</f>
        <v>#N/A</v>
      </c>
      <c r="AB148" s="592" t="e">
        <f ca="1">OFFSET('360SpcLdsCSV'!$B$5,$B148,AB$51)</f>
        <v>#N/A</v>
      </c>
      <c r="AC148" s="592" t="e">
        <f ca="1">OFFSET('360SpcLdsCSV'!$B$5,$B148,AC$51)</f>
        <v>#N/A</v>
      </c>
      <c r="AD148" s="592" t="e">
        <f ca="1">OFFSET('360SpcLdsCSV'!$B$5,$B148,AD$51)</f>
        <v>#N/A</v>
      </c>
      <c r="AE148" s="592" t="e">
        <f ca="1">OFFSET('360SpcLdsCSV'!$B$5,$B148,AE$51)</f>
        <v>#N/A</v>
      </c>
      <c r="AF148" s="592" t="e">
        <f ca="1">OFFSET('360SpcLdsCSV'!$B$5,$B148,AF$51)</f>
        <v>#N/A</v>
      </c>
      <c r="AG148" s="592" t="e">
        <f ca="1">OFFSET('360SpcLdsCSV'!$B$5,$B148,AG$51)</f>
        <v>#N/A</v>
      </c>
      <c r="AH148" s="592" t="e">
        <f ca="1">OFFSET('360SpcLdsCSV'!$B$5,$B148,AH$51)</f>
        <v>#N/A</v>
      </c>
      <c r="AI148" s="592" t="e">
        <f ca="1">OFFSET('360SpcLdsCSV'!$B$5,$B148,AI$51)</f>
        <v>#N/A</v>
      </c>
      <c r="AJ148" s="592" t="e" cm="1">
        <f t="array" ref="AJ148">_xlfn.IFS($F148="Resi",1,$F148="Racc",0,$F148="Coml",0,$F148="Prkg",0)</f>
        <v>#VALUE!</v>
      </c>
      <c r="AK148" s="596"/>
      <c r="AL148" s="590" t="e">
        <f ca="1">OFFSET('360SpcLdsCSV'!$B$5,$B148,AL$51)</f>
        <v>#N/A</v>
      </c>
      <c r="AM148" s="663" t="e">
        <f t="shared" ca="1" si="139"/>
        <v>#N/A</v>
      </c>
      <c r="AN148" s="663" t="e">
        <f t="shared" ca="1" si="140"/>
        <v>#N/A</v>
      </c>
      <c r="AO148" s="663" t="e">
        <f t="shared" ca="1" si="167"/>
        <v>#N/A</v>
      </c>
      <c r="AP148" s="663" t="e">
        <f t="shared" ca="1" si="141"/>
        <v>#N/A</v>
      </c>
      <c r="AQ148" s="663" t="e">
        <f t="shared" ca="1" si="142"/>
        <v>#N/A</v>
      </c>
      <c r="AR148" s="663" t="e">
        <f t="shared" ca="1" si="143"/>
        <v>#N/A</v>
      </c>
      <c r="AS148" s="663" t="e">
        <f t="shared" ca="1" si="144"/>
        <v>#N/A</v>
      </c>
      <c r="AT148" s="663" t="e">
        <f t="shared" ca="1" si="145"/>
        <v>#N/A</v>
      </c>
      <c r="AU148" s="663" t="e">
        <f t="shared" ca="1" si="146"/>
        <v>#N/A</v>
      </c>
      <c r="AV148" s="663" t="e">
        <f t="shared" ca="1" si="147"/>
        <v>#N/A</v>
      </c>
      <c r="AW148" s="663" t="e">
        <f t="shared" ca="1" si="148"/>
        <v>#N/A</v>
      </c>
      <c r="AX148" s="663" t="e">
        <f t="shared" ca="1" si="149"/>
        <v>#N/A</v>
      </c>
      <c r="AY148" s="663" t="e">
        <f t="shared" ca="1" si="150"/>
        <v>#N/A</v>
      </c>
      <c r="AZ148" s="663" t="e">
        <f t="shared" ca="1" si="151"/>
        <v>#N/A</v>
      </c>
      <c r="BA148" s="663" t="e">
        <f t="shared" ca="1" si="152"/>
        <v>#N/A</v>
      </c>
      <c r="BB148" s="663" t="e">
        <f t="shared" ca="1" si="153"/>
        <v>#N/A</v>
      </c>
      <c r="BC148" s="663" t="e">
        <f t="shared" ca="1" si="154"/>
        <v>#N/A</v>
      </c>
      <c r="BD148" s="663" t="e">
        <f t="shared" ca="1" si="155"/>
        <v>#N/A</v>
      </c>
      <c r="BE148" s="663" t="e">
        <f t="shared" ca="1" si="156"/>
        <v>#N/A</v>
      </c>
      <c r="BF148" s="663" t="e">
        <f t="shared" ca="1" si="157"/>
        <v>#N/A</v>
      </c>
      <c r="BG148" s="663" t="e">
        <f t="shared" ca="1" si="158"/>
        <v>#N/A</v>
      </c>
      <c r="BH148" s="663" t="e">
        <f t="shared" ca="1" si="159"/>
        <v>#N/A</v>
      </c>
      <c r="BI148" s="663" t="e">
        <f t="shared" ca="1" si="160"/>
        <v>#N/A</v>
      </c>
      <c r="BJ148" s="663" t="e">
        <f t="shared" ca="1" si="161"/>
        <v>#N/A</v>
      </c>
      <c r="BK148" s="663" t="e">
        <f t="shared" ca="1" si="162"/>
        <v>#N/A</v>
      </c>
      <c r="BL148" s="1918"/>
      <c r="BM148" s="1532"/>
      <c r="BN148" s="1919"/>
      <c r="BO148" s="603"/>
      <c r="BP148" s="602"/>
      <c r="BQ148" s="602"/>
      <c r="BR148" s="602"/>
      <c r="BS148" s="604"/>
      <c r="BT148" s="605"/>
      <c r="BU148" s="602"/>
      <c r="BV148" s="602"/>
      <c r="BW148" s="606"/>
      <c r="BX148" s="607"/>
      <c r="BY148" s="608"/>
      <c r="BZ148" s="608"/>
      <c r="CA148"/>
      <c r="CB148" s="600"/>
    </row>
    <row r="149" spans="2:80" ht="12" customHeight="1" x14ac:dyDescent="0.35">
      <c r="B149" s="590" t="e">
        <f>MATCH(C149,'360SpcLdsCSV'!$C$6:$C$500,0)</f>
        <v>#N/A</v>
      </c>
      <c r="C149" s="590">
        <f>'360SpcLdsCSV'!C98</f>
        <v>0</v>
      </c>
      <c r="D149" s="590" t="str">
        <f t="shared" si="163"/>
        <v>0</v>
      </c>
      <c r="E149" s="590" t="e">
        <f t="shared" si="164"/>
        <v>#VALUE!</v>
      </c>
      <c r="F149" s="590" t="e">
        <f t="shared" si="165"/>
        <v>#VALUE!</v>
      </c>
      <c r="G149" s="590" t="str">
        <f t="shared" si="166"/>
        <v>0</v>
      </c>
      <c r="H149" s="590" t="e">
        <f ca="1">OFFSET('360SpcLdsCSV'!$B$5,$B149,H$51)</f>
        <v>#N/A</v>
      </c>
      <c r="I149" s="590" t="e">
        <f ca="1">OFFSET('360SpcLdsCSV'!$B$5,$B149,I$51)</f>
        <v>#N/A</v>
      </c>
      <c r="J149" s="590" t="e">
        <f ca="1">OFFSET('360SpcLdsCSV'!$B$5,$B149,J$51)</f>
        <v>#N/A</v>
      </c>
      <c r="K149" s="590" t="e">
        <f ca="1">OFFSET('360SpcLdsCSV'!$B$5,$B149,K$51)</f>
        <v>#N/A</v>
      </c>
      <c r="L149" s="590" t="e">
        <f ca="1">OFFSET('360SpcLdsCSV'!$B$5,$B149,L$51)</f>
        <v>#N/A</v>
      </c>
      <c r="M149" s="592" t="e">
        <f ca="1">OFFSET('360SpcLdsCSV'!$B$5,$B149,M$51)</f>
        <v>#N/A</v>
      </c>
      <c r="N149" s="592" t="e">
        <f ca="1">OFFSET('360SpcLdsCSV'!$B$5,$B149,N$51)</f>
        <v>#N/A</v>
      </c>
      <c r="O149" s="592" t="e">
        <f ca="1">OFFSET('360SpcLdsCSV'!$B$5,$B149,O$51)</f>
        <v>#N/A</v>
      </c>
      <c r="P149" s="592" t="e">
        <f ca="1">OFFSET('360SpcLdsCSV'!$B$5,$B149,P$51)</f>
        <v>#N/A</v>
      </c>
      <c r="Q149" s="592" t="e">
        <f ca="1">OFFSET('360SpcLdsCSV'!$B$5,$B149,Q$51)</f>
        <v>#N/A</v>
      </c>
      <c r="R149" s="592" t="e">
        <f ca="1">OFFSET('360SpcLdsCSV'!$B$5,$B149,R$51)</f>
        <v>#N/A</v>
      </c>
      <c r="S149" s="592" t="e">
        <f ca="1">OFFSET('360SpcLdsCSV'!$B$5,$B149,S$51)</f>
        <v>#N/A</v>
      </c>
      <c r="T149" s="592" t="e">
        <f ca="1">OFFSET('360SpcLdsCSV'!$B$5,$B149,T$51)</f>
        <v>#N/A</v>
      </c>
      <c r="U149" s="592" t="e">
        <f ca="1">OFFSET('360SpcLdsCSV'!$B$5,$B149,U$51)</f>
        <v>#N/A</v>
      </c>
      <c r="V149" s="592" t="e">
        <f ca="1">OFFSET('360SpcLdsCSV'!$B$5,$B149,V$51)</f>
        <v>#N/A</v>
      </c>
      <c r="W149" s="592" t="e">
        <f ca="1">OFFSET('360SpcLdsCSV'!$B$5,$B149,W$51)</f>
        <v>#N/A</v>
      </c>
      <c r="X149" s="592" t="e">
        <f ca="1">OFFSET('360SpcLdsCSV'!$B$5,$B149,X$51)</f>
        <v>#N/A</v>
      </c>
      <c r="Y149" s="592" t="e">
        <f ca="1">OFFSET('360SpcLdsCSV'!$B$5,$B149,Y$51)</f>
        <v>#N/A</v>
      </c>
      <c r="Z149" s="592" t="e">
        <f ca="1">OFFSET('360SpcLdsCSV'!$B$5,$B149,Z$51)</f>
        <v>#N/A</v>
      </c>
      <c r="AA149" s="592" t="e">
        <f ca="1">OFFSET('360SpcLdsCSV'!$B$5,$B149,AA$51)</f>
        <v>#N/A</v>
      </c>
      <c r="AB149" s="592" t="e">
        <f ca="1">OFFSET('360SpcLdsCSV'!$B$5,$B149,AB$51)</f>
        <v>#N/A</v>
      </c>
      <c r="AC149" s="592" t="e">
        <f ca="1">OFFSET('360SpcLdsCSV'!$B$5,$B149,AC$51)</f>
        <v>#N/A</v>
      </c>
      <c r="AD149" s="592" t="e">
        <f ca="1">OFFSET('360SpcLdsCSV'!$B$5,$B149,AD$51)</f>
        <v>#N/A</v>
      </c>
      <c r="AE149" s="592" t="e">
        <f ca="1">OFFSET('360SpcLdsCSV'!$B$5,$B149,AE$51)</f>
        <v>#N/A</v>
      </c>
      <c r="AF149" s="592" t="e">
        <f ca="1">OFFSET('360SpcLdsCSV'!$B$5,$B149,AF$51)</f>
        <v>#N/A</v>
      </c>
      <c r="AG149" s="592" t="e">
        <f ca="1">OFFSET('360SpcLdsCSV'!$B$5,$B149,AG$51)</f>
        <v>#N/A</v>
      </c>
      <c r="AH149" s="592" t="e">
        <f ca="1">OFFSET('360SpcLdsCSV'!$B$5,$B149,AH$51)</f>
        <v>#N/A</v>
      </c>
      <c r="AI149" s="592" t="e">
        <f ca="1">OFFSET('360SpcLdsCSV'!$B$5,$B149,AI$51)</f>
        <v>#N/A</v>
      </c>
      <c r="AJ149" s="592" t="e" cm="1">
        <f t="array" ref="AJ149">_xlfn.IFS($F149="Resi",1,$F149="Racc",0,$F149="Coml",0,$F149="Prkg",0)</f>
        <v>#VALUE!</v>
      </c>
      <c r="AK149" s="596"/>
      <c r="AL149" s="590" t="e">
        <f ca="1">OFFSET('360SpcLdsCSV'!$B$5,$B149,AL$51)</f>
        <v>#N/A</v>
      </c>
      <c r="AM149" s="663" t="e">
        <f t="shared" ca="1" si="139"/>
        <v>#N/A</v>
      </c>
      <c r="AN149" s="663" t="e">
        <f t="shared" ca="1" si="140"/>
        <v>#N/A</v>
      </c>
      <c r="AO149" s="663" t="e">
        <f t="shared" ca="1" si="167"/>
        <v>#N/A</v>
      </c>
      <c r="AP149" s="663" t="e">
        <f t="shared" ca="1" si="141"/>
        <v>#N/A</v>
      </c>
      <c r="AQ149" s="663" t="e">
        <f t="shared" ca="1" si="142"/>
        <v>#N/A</v>
      </c>
      <c r="AR149" s="663" t="e">
        <f t="shared" ca="1" si="143"/>
        <v>#N/A</v>
      </c>
      <c r="AS149" s="663" t="e">
        <f t="shared" ca="1" si="144"/>
        <v>#N/A</v>
      </c>
      <c r="AT149" s="663" t="e">
        <f t="shared" ca="1" si="145"/>
        <v>#N/A</v>
      </c>
      <c r="AU149" s="663" t="e">
        <f t="shared" ca="1" si="146"/>
        <v>#N/A</v>
      </c>
      <c r="AV149" s="663" t="e">
        <f t="shared" ca="1" si="147"/>
        <v>#N/A</v>
      </c>
      <c r="AW149" s="663" t="e">
        <f t="shared" ca="1" si="148"/>
        <v>#N/A</v>
      </c>
      <c r="AX149" s="663" t="e">
        <f t="shared" ca="1" si="149"/>
        <v>#N/A</v>
      </c>
      <c r="AY149" s="663" t="e">
        <f t="shared" ca="1" si="150"/>
        <v>#N/A</v>
      </c>
      <c r="AZ149" s="663" t="e">
        <f t="shared" ca="1" si="151"/>
        <v>#N/A</v>
      </c>
      <c r="BA149" s="663" t="e">
        <f t="shared" ca="1" si="152"/>
        <v>#N/A</v>
      </c>
      <c r="BB149" s="663" t="e">
        <f t="shared" ca="1" si="153"/>
        <v>#N/A</v>
      </c>
      <c r="BC149" s="663" t="e">
        <f t="shared" ca="1" si="154"/>
        <v>#N/A</v>
      </c>
      <c r="BD149" s="663" t="e">
        <f t="shared" ca="1" si="155"/>
        <v>#N/A</v>
      </c>
      <c r="BE149" s="663" t="e">
        <f t="shared" ca="1" si="156"/>
        <v>#N/A</v>
      </c>
      <c r="BF149" s="663" t="e">
        <f t="shared" ca="1" si="157"/>
        <v>#N/A</v>
      </c>
      <c r="BG149" s="663" t="e">
        <f t="shared" ca="1" si="158"/>
        <v>#N/A</v>
      </c>
      <c r="BH149" s="663" t="e">
        <f t="shared" ca="1" si="159"/>
        <v>#N/A</v>
      </c>
      <c r="BI149" s="663" t="e">
        <f t="shared" ca="1" si="160"/>
        <v>#N/A</v>
      </c>
      <c r="BJ149" s="663" t="e">
        <f t="shared" ca="1" si="161"/>
        <v>#N/A</v>
      </c>
      <c r="BK149" s="663" t="e">
        <f t="shared" ca="1" si="162"/>
        <v>#N/A</v>
      </c>
      <c r="BL149" s="1918"/>
      <c r="BM149" s="1532"/>
      <c r="BN149" s="1919"/>
      <c r="BO149" s="603"/>
      <c r="BP149" s="602"/>
      <c r="BQ149" s="602"/>
      <c r="BR149" s="602"/>
      <c r="BS149" s="604"/>
      <c r="BT149" s="605"/>
      <c r="BU149" s="602"/>
      <c r="BV149" s="602"/>
      <c r="BW149" s="606"/>
      <c r="BX149" s="607"/>
      <c r="BY149" s="608"/>
      <c r="BZ149" s="608"/>
      <c r="CA149"/>
      <c r="CB149" s="600"/>
    </row>
    <row r="150" spans="2:80" ht="12" customHeight="1" x14ac:dyDescent="0.35">
      <c r="B150" s="590" t="e">
        <f>MATCH(C150,'360SpcLdsCSV'!$C$6:$C$500,0)</f>
        <v>#N/A</v>
      </c>
      <c r="C150" s="590">
        <f>'360SpcLdsCSV'!C99</f>
        <v>0</v>
      </c>
      <c r="D150" s="590" t="str">
        <f t="shared" si="163"/>
        <v>0</v>
      </c>
      <c r="E150" s="590" t="e">
        <f t="shared" si="164"/>
        <v>#VALUE!</v>
      </c>
      <c r="F150" s="590" t="e">
        <f t="shared" si="165"/>
        <v>#VALUE!</v>
      </c>
      <c r="G150" s="590" t="str">
        <f t="shared" si="166"/>
        <v>0</v>
      </c>
      <c r="H150" s="590" t="e">
        <f ca="1">OFFSET('360SpcLdsCSV'!$B$5,$B150,H$51)</f>
        <v>#N/A</v>
      </c>
      <c r="I150" s="590" t="e">
        <f ca="1">OFFSET('360SpcLdsCSV'!$B$5,$B150,I$51)</f>
        <v>#N/A</v>
      </c>
      <c r="J150" s="590" t="e">
        <f ca="1">OFFSET('360SpcLdsCSV'!$B$5,$B150,J$51)</f>
        <v>#N/A</v>
      </c>
      <c r="K150" s="590" t="e">
        <f ca="1">OFFSET('360SpcLdsCSV'!$B$5,$B150,K$51)</f>
        <v>#N/A</v>
      </c>
      <c r="L150" s="590" t="e">
        <f ca="1">OFFSET('360SpcLdsCSV'!$B$5,$B150,L$51)</f>
        <v>#N/A</v>
      </c>
      <c r="M150" s="592" t="e">
        <f ca="1">OFFSET('360SpcLdsCSV'!$B$5,$B150,M$51)</f>
        <v>#N/A</v>
      </c>
      <c r="N150" s="592" t="e">
        <f ca="1">OFFSET('360SpcLdsCSV'!$B$5,$B150,N$51)</f>
        <v>#N/A</v>
      </c>
      <c r="O150" s="592" t="e">
        <f ca="1">OFFSET('360SpcLdsCSV'!$B$5,$B150,O$51)</f>
        <v>#N/A</v>
      </c>
      <c r="P150" s="592" t="e">
        <f ca="1">OFFSET('360SpcLdsCSV'!$B$5,$B150,P$51)</f>
        <v>#N/A</v>
      </c>
      <c r="Q150" s="592" t="e">
        <f ca="1">OFFSET('360SpcLdsCSV'!$B$5,$B150,Q$51)</f>
        <v>#N/A</v>
      </c>
      <c r="R150" s="592" t="e">
        <f ca="1">OFFSET('360SpcLdsCSV'!$B$5,$B150,R$51)</f>
        <v>#N/A</v>
      </c>
      <c r="S150" s="592" t="e">
        <f ca="1">OFFSET('360SpcLdsCSV'!$B$5,$B150,S$51)</f>
        <v>#N/A</v>
      </c>
      <c r="T150" s="592" t="e">
        <f ca="1">OFFSET('360SpcLdsCSV'!$B$5,$B150,T$51)</f>
        <v>#N/A</v>
      </c>
      <c r="U150" s="592" t="e">
        <f ca="1">OFFSET('360SpcLdsCSV'!$B$5,$B150,U$51)</f>
        <v>#N/A</v>
      </c>
      <c r="V150" s="592" t="e">
        <f ca="1">OFFSET('360SpcLdsCSV'!$B$5,$B150,V$51)</f>
        <v>#N/A</v>
      </c>
      <c r="W150" s="592" t="e">
        <f ca="1">OFFSET('360SpcLdsCSV'!$B$5,$B150,W$51)</f>
        <v>#N/A</v>
      </c>
      <c r="X150" s="592" t="e">
        <f ca="1">OFFSET('360SpcLdsCSV'!$B$5,$B150,X$51)</f>
        <v>#N/A</v>
      </c>
      <c r="Y150" s="592" t="e">
        <f ca="1">OFFSET('360SpcLdsCSV'!$B$5,$B150,Y$51)</f>
        <v>#N/A</v>
      </c>
      <c r="Z150" s="592" t="e">
        <f ca="1">OFFSET('360SpcLdsCSV'!$B$5,$B150,Z$51)</f>
        <v>#N/A</v>
      </c>
      <c r="AA150" s="592" t="e">
        <f ca="1">OFFSET('360SpcLdsCSV'!$B$5,$B150,AA$51)</f>
        <v>#N/A</v>
      </c>
      <c r="AB150" s="592" t="e">
        <f ca="1">OFFSET('360SpcLdsCSV'!$B$5,$B150,AB$51)</f>
        <v>#N/A</v>
      </c>
      <c r="AC150" s="592" t="e">
        <f ca="1">OFFSET('360SpcLdsCSV'!$B$5,$B150,AC$51)</f>
        <v>#N/A</v>
      </c>
      <c r="AD150" s="592" t="e">
        <f ca="1">OFFSET('360SpcLdsCSV'!$B$5,$B150,AD$51)</f>
        <v>#N/A</v>
      </c>
      <c r="AE150" s="592" t="e">
        <f ca="1">OFFSET('360SpcLdsCSV'!$B$5,$B150,AE$51)</f>
        <v>#N/A</v>
      </c>
      <c r="AF150" s="592" t="e">
        <f ca="1">OFFSET('360SpcLdsCSV'!$B$5,$B150,AF$51)</f>
        <v>#N/A</v>
      </c>
      <c r="AG150" s="592" t="e">
        <f ca="1">OFFSET('360SpcLdsCSV'!$B$5,$B150,AG$51)</f>
        <v>#N/A</v>
      </c>
      <c r="AH150" s="592" t="e">
        <f ca="1">OFFSET('360SpcLdsCSV'!$B$5,$B150,AH$51)</f>
        <v>#N/A</v>
      </c>
      <c r="AI150" s="592" t="e">
        <f ca="1">OFFSET('360SpcLdsCSV'!$B$5,$B150,AI$51)</f>
        <v>#N/A</v>
      </c>
      <c r="AJ150" s="592" t="e" cm="1">
        <f t="array" ref="AJ150">_xlfn.IFS($F150="Resi",1,$F150="Racc",0,$F150="Coml",0,$F150="Prkg",0)</f>
        <v>#VALUE!</v>
      </c>
      <c r="AK150" s="596"/>
      <c r="AL150" s="590" t="e">
        <f ca="1">OFFSET('360SpcLdsCSV'!$B$5,$B150,AL$51)</f>
        <v>#N/A</v>
      </c>
      <c r="AM150" s="663" t="e">
        <f t="shared" ca="1" si="139"/>
        <v>#N/A</v>
      </c>
      <c r="AN150" s="663" t="e">
        <f t="shared" ca="1" si="140"/>
        <v>#N/A</v>
      </c>
      <c r="AO150" s="663" t="e">
        <f t="shared" ca="1" si="167"/>
        <v>#N/A</v>
      </c>
      <c r="AP150" s="663" t="e">
        <f t="shared" ca="1" si="141"/>
        <v>#N/A</v>
      </c>
      <c r="AQ150" s="663" t="e">
        <f t="shared" ca="1" si="142"/>
        <v>#N/A</v>
      </c>
      <c r="AR150" s="663" t="e">
        <f t="shared" ca="1" si="143"/>
        <v>#N/A</v>
      </c>
      <c r="AS150" s="663" t="e">
        <f t="shared" ca="1" si="144"/>
        <v>#N/A</v>
      </c>
      <c r="AT150" s="663" t="e">
        <f t="shared" ca="1" si="145"/>
        <v>#N/A</v>
      </c>
      <c r="AU150" s="663" t="e">
        <f t="shared" ca="1" si="146"/>
        <v>#N/A</v>
      </c>
      <c r="AV150" s="663" t="e">
        <f t="shared" ca="1" si="147"/>
        <v>#N/A</v>
      </c>
      <c r="AW150" s="663" t="e">
        <f t="shared" ca="1" si="148"/>
        <v>#N/A</v>
      </c>
      <c r="AX150" s="663" t="e">
        <f t="shared" ca="1" si="149"/>
        <v>#N/A</v>
      </c>
      <c r="AY150" s="663" t="e">
        <f t="shared" ca="1" si="150"/>
        <v>#N/A</v>
      </c>
      <c r="AZ150" s="663" t="e">
        <f t="shared" ca="1" si="151"/>
        <v>#N/A</v>
      </c>
      <c r="BA150" s="663" t="e">
        <f t="shared" ca="1" si="152"/>
        <v>#N/A</v>
      </c>
      <c r="BB150" s="663" t="e">
        <f t="shared" ca="1" si="153"/>
        <v>#N/A</v>
      </c>
      <c r="BC150" s="663" t="e">
        <f t="shared" ca="1" si="154"/>
        <v>#N/A</v>
      </c>
      <c r="BD150" s="663" t="e">
        <f t="shared" ca="1" si="155"/>
        <v>#N/A</v>
      </c>
      <c r="BE150" s="663" t="e">
        <f t="shared" ca="1" si="156"/>
        <v>#N/A</v>
      </c>
      <c r="BF150" s="663" t="e">
        <f t="shared" ca="1" si="157"/>
        <v>#N/A</v>
      </c>
      <c r="BG150" s="663" t="e">
        <f t="shared" ca="1" si="158"/>
        <v>#N/A</v>
      </c>
      <c r="BH150" s="663" t="e">
        <f t="shared" ca="1" si="159"/>
        <v>#N/A</v>
      </c>
      <c r="BI150" s="663" t="e">
        <f t="shared" ca="1" si="160"/>
        <v>#N/A</v>
      </c>
      <c r="BJ150" s="663" t="e">
        <f t="shared" ca="1" si="161"/>
        <v>#N/A</v>
      </c>
      <c r="BK150" s="663" t="e">
        <f t="shared" ca="1" si="162"/>
        <v>#N/A</v>
      </c>
      <c r="BL150" s="1918"/>
      <c r="BM150" s="1532"/>
      <c r="BN150" s="1919"/>
      <c r="BO150" s="603"/>
      <c r="BP150" s="602"/>
      <c r="BQ150" s="602"/>
      <c r="BR150" s="602"/>
      <c r="BS150" s="604"/>
      <c r="BT150" s="605"/>
      <c r="BU150" s="602"/>
      <c r="BV150" s="602"/>
      <c r="BW150" s="606"/>
      <c r="BX150" s="607"/>
      <c r="BY150" s="608"/>
      <c r="BZ150" s="608"/>
      <c r="CA150"/>
      <c r="CB150" s="600"/>
    </row>
    <row r="151" spans="2:80" ht="12" customHeight="1" x14ac:dyDescent="0.35">
      <c r="B151" s="590" t="e">
        <f>MATCH(C151,'360SpcLdsCSV'!$C$6:$C$500,0)</f>
        <v>#N/A</v>
      </c>
      <c r="C151" s="590">
        <f>'360SpcLdsCSV'!C100</f>
        <v>0</v>
      </c>
      <c r="D151" s="590" t="str">
        <f t="shared" si="163"/>
        <v>0</v>
      </c>
      <c r="E151" s="590" t="e">
        <f t="shared" si="164"/>
        <v>#VALUE!</v>
      </c>
      <c r="F151" s="590" t="e">
        <f t="shared" si="165"/>
        <v>#VALUE!</v>
      </c>
      <c r="G151" s="590" t="str">
        <f t="shared" si="166"/>
        <v>0</v>
      </c>
      <c r="H151" s="590" t="e">
        <f ca="1">OFFSET('360SpcLdsCSV'!$B$5,$B151,H$51)</f>
        <v>#N/A</v>
      </c>
      <c r="I151" s="590" t="e">
        <f ca="1">OFFSET('360SpcLdsCSV'!$B$5,$B151,I$51)</f>
        <v>#N/A</v>
      </c>
      <c r="J151" s="590" t="e">
        <f ca="1">OFFSET('360SpcLdsCSV'!$B$5,$B151,J$51)</f>
        <v>#N/A</v>
      </c>
      <c r="K151" s="590" t="e">
        <f ca="1">OFFSET('360SpcLdsCSV'!$B$5,$B151,K$51)</f>
        <v>#N/A</v>
      </c>
      <c r="L151" s="590" t="e">
        <f ca="1">OFFSET('360SpcLdsCSV'!$B$5,$B151,L$51)</f>
        <v>#N/A</v>
      </c>
      <c r="M151" s="592" t="e">
        <f ca="1">OFFSET('360SpcLdsCSV'!$B$5,$B151,M$51)</f>
        <v>#N/A</v>
      </c>
      <c r="N151" s="592" t="e">
        <f ca="1">OFFSET('360SpcLdsCSV'!$B$5,$B151,N$51)</f>
        <v>#N/A</v>
      </c>
      <c r="O151" s="592" t="e">
        <f ca="1">OFFSET('360SpcLdsCSV'!$B$5,$B151,O$51)</f>
        <v>#N/A</v>
      </c>
      <c r="P151" s="592" t="e">
        <f ca="1">OFFSET('360SpcLdsCSV'!$B$5,$B151,P$51)</f>
        <v>#N/A</v>
      </c>
      <c r="Q151" s="592" t="e">
        <f ca="1">OFFSET('360SpcLdsCSV'!$B$5,$B151,Q$51)</f>
        <v>#N/A</v>
      </c>
      <c r="R151" s="592" t="e">
        <f ca="1">OFFSET('360SpcLdsCSV'!$B$5,$B151,R$51)</f>
        <v>#N/A</v>
      </c>
      <c r="S151" s="592" t="e">
        <f ca="1">OFFSET('360SpcLdsCSV'!$B$5,$B151,S$51)</f>
        <v>#N/A</v>
      </c>
      <c r="T151" s="592" t="e">
        <f ca="1">OFFSET('360SpcLdsCSV'!$B$5,$B151,T$51)</f>
        <v>#N/A</v>
      </c>
      <c r="U151" s="592" t="e">
        <f ca="1">OFFSET('360SpcLdsCSV'!$B$5,$B151,U$51)</f>
        <v>#N/A</v>
      </c>
      <c r="V151" s="592" t="e">
        <f ca="1">OFFSET('360SpcLdsCSV'!$B$5,$B151,V$51)</f>
        <v>#N/A</v>
      </c>
      <c r="W151" s="592" t="e">
        <f ca="1">OFFSET('360SpcLdsCSV'!$B$5,$B151,W$51)</f>
        <v>#N/A</v>
      </c>
      <c r="X151" s="592" t="e">
        <f ca="1">OFFSET('360SpcLdsCSV'!$B$5,$B151,X$51)</f>
        <v>#N/A</v>
      </c>
      <c r="Y151" s="592" t="e">
        <f ca="1">OFFSET('360SpcLdsCSV'!$B$5,$B151,Y$51)</f>
        <v>#N/A</v>
      </c>
      <c r="Z151" s="592" t="e">
        <f ca="1">OFFSET('360SpcLdsCSV'!$B$5,$B151,Z$51)</f>
        <v>#N/A</v>
      </c>
      <c r="AA151" s="592" t="e">
        <f ca="1">OFFSET('360SpcLdsCSV'!$B$5,$B151,AA$51)</f>
        <v>#N/A</v>
      </c>
      <c r="AB151" s="592" t="e">
        <f ca="1">OFFSET('360SpcLdsCSV'!$B$5,$B151,AB$51)</f>
        <v>#N/A</v>
      </c>
      <c r="AC151" s="592" t="e">
        <f ca="1">OFFSET('360SpcLdsCSV'!$B$5,$B151,AC$51)</f>
        <v>#N/A</v>
      </c>
      <c r="AD151" s="592" t="e">
        <f ca="1">OFFSET('360SpcLdsCSV'!$B$5,$B151,AD$51)</f>
        <v>#N/A</v>
      </c>
      <c r="AE151" s="592" t="e">
        <f ca="1">OFFSET('360SpcLdsCSV'!$B$5,$B151,AE$51)</f>
        <v>#N/A</v>
      </c>
      <c r="AF151" s="592" t="e">
        <f ca="1">OFFSET('360SpcLdsCSV'!$B$5,$B151,AF$51)</f>
        <v>#N/A</v>
      </c>
      <c r="AG151" s="592" t="e">
        <f ca="1">OFFSET('360SpcLdsCSV'!$B$5,$B151,AG$51)</f>
        <v>#N/A</v>
      </c>
      <c r="AH151" s="592" t="e">
        <f ca="1">OFFSET('360SpcLdsCSV'!$B$5,$B151,AH$51)</f>
        <v>#N/A</v>
      </c>
      <c r="AI151" s="592" t="e">
        <f ca="1">OFFSET('360SpcLdsCSV'!$B$5,$B151,AI$51)</f>
        <v>#N/A</v>
      </c>
      <c r="AJ151" s="592" t="e" cm="1">
        <f t="array" ref="AJ151">_xlfn.IFS($F151="Resi",1,$F151="Racc",0,$F151="Coml",0,$F151="Prkg",0)</f>
        <v>#VALUE!</v>
      </c>
      <c r="AK151" s="596"/>
      <c r="AL151" s="590" t="e">
        <f ca="1">OFFSET('360SpcLdsCSV'!$B$5,$B151,AL$51)</f>
        <v>#N/A</v>
      </c>
      <c r="AM151" s="663" t="e">
        <f t="shared" ca="1" si="139"/>
        <v>#N/A</v>
      </c>
      <c r="AN151" s="663" t="e">
        <f t="shared" ca="1" si="140"/>
        <v>#N/A</v>
      </c>
      <c r="AO151" s="663" t="e">
        <f t="shared" ca="1" si="167"/>
        <v>#N/A</v>
      </c>
      <c r="AP151" s="663" t="e">
        <f t="shared" ca="1" si="141"/>
        <v>#N/A</v>
      </c>
      <c r="AQ151" s="663" t="e">
        <f t="shared" ca="1" si="142"/>
        <v>#N/A</v>
      </c>
      <c r="AR151" s="663" t="e">
        <f t="shared" ca="1" si="143"/>
        <v>#N/A</v>
      </c>
      <c r="AS151" s="663" t="e">
        <f t="shared" ca="1" si="144"/>
        <v>#N/A</v>
      </c>
      <c r="AT151" s="663" t="e">
        <f t="shared" ca="1" si="145"/>
        <v>#N/A</v>
      </c>
      <c r="AU151" s="663" t="e">
        <f t="shared" ca="1" si="146"/>
        <v>#N/A</v>
      </c>
      <c r="AV151" s="663" t="e">
        <f t="shared" ca="1" si="147"/>
        <v>#N/A</v>
      </c>
      <c r="AW151" s="663" t="e">
        <f t="shared" ca="1" si="148"/>
        <v>#N/A</v>
      </c>
      <c r="AX151" s="663" t="e">
        <f t="shared" ca="1" si="149"/>
        <v>#N/A</v>
      </c>
      <c r="AY151" s="663" t="e">
        <f t="shared" ca="1" si="150"/>
        <v>#N/A</v>
      </c>
      <c r="AZ151" s="663" t="e">
        <f t="shared" ca="1" si="151"/>
        <v>#N/A</v>
      </c>
      <c r="BA151" s="663" t="e">
        <f t="shared" ca="1" si="152"/>
        <v>#N/A</v>
      </c>
      <c r="BB151" s="663" t="e">
        <f t="shared" ca="1" si="153"/>
        <v>#N/A</v>
      </c>
      <c r="BC151" s="663" t="e">
        <f t="shared" ca="1" si="154"/>
        <v>#N/A</v>
      </c>
      <c r="BD151" s="663" t="e">
        <f t="shared" ca="1" si="155"/>
        <v>#N/A</v>
      </c>
      <c r="BE151" s="663" t="e">
        <f t="shared" ca="1" si="156"/>
        <v>#N/A</v>
      </c>
      <c r="BF151" s="663" t="e">
        <f t="shared" ca="1" si="157"/>
        <v>#N/A</v>
      </c>
      <c r="BG151" s="663" t="e">
        <f t="shared" ca="1" si="158"/>
        <v>#N/A</v>
      </c>
      <c r="BH151" s="663" t="e">
        <f t="shared" ca="1" si="159"/>
        <v>#N/A</v>
      </c>
      <c r="BI151" s="663" t="e">
        <f t="shared" ca="1" si="160"/>
        <v>#N/A</v>
      </c>
      <c r="BJ151" s="663" t="e">
        <f t="shared" ca="1" si="161"/>
        <v>#N/A</v>
      </c>
      <c r="BK151" s="663" t="e">
        <f t="shared" ca="1" si="162"/>
        <v>#N/A</v>
      </c>
      <c r="BL151" s="1918"/>
      <c r="BM151" s="1532"/>
      <c r="BN151" s="1919"/>
      <c r="BO151" s="603"/>
      <c r="BP151" s="602"/>
      <c r="BQ151" s="602"/>
      <c r="BR151" s="602"/>
      <c r="BS151" s="604"/>
      <c r="BT151" s="605"/>
      <c r="BU151" s="602"/>
      <c r="BV151" s="602"/>
      <c r="BW151" s="606"/>
      <c r="BX151" s="607"/>
      <c r="BY151" s="608"/>
      <c r="BZ151" s="608"/>
      <c r="CA151"/>
      <c r="CB151" s="600"/>
    </row>
    <row r="152" spans="2:80" ht="12" customHeight="1" x14ac:dyDescent="0.35">
      <c r="B152" s="590" t="e">
        <f>MATCH(C152,'360SpcLdsCSV'!$C$6:$C$500,0)</f>
        <v>#N/A</v>
      </c>
      <c r="C152" s="590">
        <f>'360SpcLdsCSV'!C101</f>
        <v>0</v>
      </c>
      <c r="D152" s="590" t="str">
        <f t="shared" si="163"/>
        <v>0</v>
      </c>
      <c r="E152" s="590" t="e">
        <f t="shared" si="164"/>
        <v>#VALUE!</v>
      </c>
      <c r="F152" s="590" t="e">
        <f t="shared" si="165"/>
        <v>#VALUE!</v>
      </c>
      <c r="G152" s="590" t="str">
        <f t="shared" si="166"/>
        <v>0</v>
      </c>
      <c r="H152" s="590" t="e">
        <f ca="1">OFFSET('360SpcLdsCSV'!$B$5,$B152,H$51)</f>
        <v>#N/A</v>
      </c>
      <c r="I152" s="590" t="e">
        <f ca="1">OFFSET('360SpcLdsCSV'!$B$5,$B152,I$51)</f>
        <v>#N/A</v>
      </c>
      <c r="J152" s="590" t="e">
        <f ca="1">OFFSET('360SpcLdsCSV'!$B$5,$B152,J$51)</f>
        <v>#N/A</v>
      </c>
      <c r="K152" s="590" t="e">
        <f ca="1">OFFSET('360SpcLdsCSV'!$B$5,$B152,K$51)</f>
        <v>#N/A</v>
      </c>
      <c r="L152" s="590" t="e">
        <f ca="1">OFFSET('360SpcLdsCSV'!$B$5,$B152,L$51)</f>
        <v>#N/A</v>
      </c>
      <c r="M152" s="592" t="e">
        <f ca="1">OFFSET('360SpcLdsCSV'!$B$5,$B152,M$51)</f>
        <v>#N/A</v>
      </c>
      <c r="N152" s="592" t="e">
        <f ca="1">OFFSET('360SpcLdsCSV'!$B$5,$B152,N$51)</f>
        <v>#N/A</v>
      </c>
      <c r="O152" s="592" t="e">
        <f ca="1">OFFSET('360SpcLdsCSV'!$B$5,$B152,O$51)</f>
        <v>#N/A</v>
      </c>
      <c r="P152" s="592" t="e">
        <f ca="1">OFFSET('360SpcLdsCSV'!$B$5,$B152,P$51)</f>
        <v>#N/A</v>
      </c>
      <c r="Q152" s="592" t="e">
        <f ca="1">OFFSET('360SpcLdsCSV'!$B$5,$B152,Q$51)</f>
        <v>#N/A</v>
      </c>
      <c r="R152" s="592" t="e">
        <f ca="1">OFFSET('360SpcLdsCSV'!$B$5,$B152,R$51)</f>
        <v>#N/A</v>
      </c>
      <c r="S152" s="592" t="e">
        <f ca="1">OFFSET('360SpcLdsCSV'!$B$5,$B152,S$51)</f>
        <v>#N/A</v>
      </c>
      <c r="T152" s="592" t="e">
        <f ca="1">OFFSET('360SpcLdsCSV'!$B$5,$B152,T$51)</f>
        <v>#N/A</v>
      </c>
      <c r="U152" s="592" t="e">
        <f ca="1">OFFSET('360SpcLdsCSV'!$B$5,$B152,U$51)</f>
        <v>#N/A</v>
      </c>
      <c r="V152" s="592" t="e">
        <f ca="1">OFFSET('360SpcLdsCSV'!$B$5,$B152,V$51)</f>
        <v>#N/A</v>
      </c>
      <c r="W152" s="592" t="e">
        <f ca="1">OFFSET('360SpcLdsCSV'!$B$5,$B152,W$51)</f>
        <v>#N/A</v>
      </c>
      <c r="X152" s="592" t="e">
        <f ca="1">OFFSET('360SpcLdsCSV'!$B$5,$B152,X$51)</f>
        <v>#N/A</v>
      </c>
      <c r="Y152" s="592" t="e">
        <f ca="1">OFFSET('360SpcLdsCSV'!$B$5,$B152,Y$51)</f>
        <v>#N/A</v>
      </c>
      <c r="Z152" s="592" t="e">
        <f ca="1">OFFSET('360SpcLdsCSV'!$B$5,$B152,Z$51)</f>
        <v>#N/A</v>
      </c>
      <c r="AA152" s="592" t="e">
        <f ca="1">OFFSET('360SpcLdsCSV'!$B$5,$B152,AA$51)</f>
        <v>#N/A</v>
      </c>
      <c r="AB152" s="592" t="e">
        <f ca="1">OFFSET('360SpcLdsCSV'!$B$5,$B152,AB$51)</f>
        <v>#N/A</v>
      </c>
      <c r="AC152" s="592" t="e">
        <f ca="1">OFFSET('360SpcLdsCSV'!$B$5,$B152,AC$51)</f>
        <v>#N/A</v>
      </c>
      <c r="AD152" s="592" t="e">
        <f ca="1">OFFSET('360SpcLdsCSV'!$B$5,$B152,AD$51)</f>
        <v>#N/A</v>
      </c>
      <c r="AE152" s="592" t="e">
        <f ca="1">OFFSET('360SpcLdsCSV'!$B$5,$B152,AE$51)</f>
        <v>#N/A</v>
      </c>
      <c r="AF152" s="592" t="e">
        <f ca="1">OFFSET('360SpcLdsCSV'!$B$5,$B152,AF$51)</f>
        <v>#N/A</v>
      </c>
      <c r="AG152" s="592" t="e">
        <f ca="1">OFFSET('360SpcLdsCSV'!$B$5,$B152,AG$51)</f>
        <v>#N/A</v>
      </c>
      <c r="AH152" s="592" t="e">
        <f ca="1">OFFSET('360SpcLdsCSV'!$B$5,$B152,AH$51)</f>
        <v>#N/A</v>
      </c>
      <c r="AI152" s="592" t="e">
        <f ca="1">OFFSET('360SpcLdsCSV'!$B$5,$B152,AI$51)</f>
        <v>#N/A</v>
      </c>
      <c r="AJ152" s="592" t="e" cm="1">
        <f t="array" ref="AJ152">_xlfn.IFS($F152="Resi",1,$F152="Racc",0,$F152="Coml",0,$F152="Prkg",0)</f>
        <v>#VALUE!</v>
      </c>
      <c r="AK152" s="596"/>
      <c r="AL152" s="590" t="e">
        <f ca="1">OFFSET('360SpcLdsCSV'!$B$5,$B152,AL$51)</f>
        <v>#N/A</v>
      </c>
      <c r="AM152" s="663" t="e">
        <f t="shared" ca="1" si="139"/>
        <v>#N/A</v>
      </c>
      <c r="AN152" s="663" t="e">
        <f t="shared" ca="1" si="140"/>
        <v>#N/A</v>
      </c>
      <c r="AO152" s="663" t="e">
        <f t="shared" ca="1" si="167"/>
        <v>#N/A</v>
      </c>
      <c r="AP152" s="663" t="e">
        <f t="shared" ca="1" si="141"/>
        <v>#N/A</v>
      </c>
      <c r="AQ152" s="663" t="e">
        <f t="shared" ca="1" si="142"/>
        <v>#N/A</v>
      </c>
      <c r="AR152" s="663" t="e">
        <f t="shared" ca="1" si="143"/>
        <v>#N/A</v>
      </c>
      <c r="AS152" s="663" t="e">
        <f t="shared" ca="1" si="144"/>
        <v>#N/A</v>
      </c>
      <c r="AT152" s="663" t="e">
        <f t="shared" ca="1" si="145"/>
        <v>#N/A</v>
      </c>
      <c r="AU152" s="663" t="e">
        <f t="shared" ca="1" si="146"/>
        <v>#N/A</v>
      </c>
      <c r="AV152" s="663" t="e">
        <f t="shared" ca="1" si="147"/>
        <v>#N/A</v>
      </c>
      <c r="AW152" s="663" t="e">
        <f t="shared" ca="1" si="148"/>
        <v>#N/A</v>
      </c>
      <c r="AX152" s="663" t="e">
        <f t="shared" ca="1" si="149"/>
        <v>#N/A</v>
      </c>
      <c r="AY152" s="663" t="e">
        <f t="shared" ca="1" si="150"/>
        <v>#N/A</v>
      </c>
      <c r="AZ152" s="663" t="e">
        <f t="shared" ca="1" si="151"/>
        <v>#N/A</v>
      </c>
      <c r="BA152" s="663" t="e">
        <f t="shared" ca="1" si="152"/>
        <v>#N/A</v>
      </c>
      <c r="BB152" s="663" t="e">
        <f t="shared" ca="1" si="153"/>
        <v>#N/A</v>
      </c>
      <c r="BC152" s="663" t="e">
        <f t="shared" ca="1" si="154"/>
        <v>#N/A</v>
      </c>
      <c r="BD152" s="663" t="e">
        <f t="shared" ca="1" si="155"/>
        <v>#N/A</v>
      </c>
      <c r="BE152" s="663" t="e">
        <f t="shared" ca="1" si="156"/>
        <v>#N/A</v>
      </c>
      <c r="BF152" s="663" t="e">
        <f t="shared" ca="1" si="157"/>
        <v>#N/A</v>
      </c>
      <c r="BG152" s="663" t="e">
        <f t="shared" ca="1" si="158"/>
        <v>#N/A</v>
      </c>
      <c r="BH152" s="663" t="e">
        <f t="shared" ca="1" si="159"/>
        <v>#N/A</v>
      </c>
      <c r="BI152" s="663" t="e">
        <f t="shared" ca="1" si="160"/>
        <v>#N/A</v>
      </c>
      <c r="BJ152" s="663" t="e">
        <f t="shared" ca="1" si="161"/>
        <v>#N/A</v>
      </c>
      <c r="BK152" s="663" t="e">
        <f t="shared" ca="1" si="162"/>
        <v>#N/A</v>
      </c>
      <c r="BL152" s="1918"/>
      <c r="BM152" s="1532"/>
      <c r="BN152" s="1919"/>
      <c r="BO152" s="603"/>
      <c r="BP152" s="602"/>
      <c r="BQ152" s="602"/>
      <c r="BR152" s="602"/>
      <c r="BS152" s="604"/>
      <c r="BT152" s="605"/>
      <c r="BU152" s="602"/>
      <c r="BV152" s="602"/>
      <c r="BW152" s="606"/>
      <c r="BX152" s="607"/>
      <c r="BY152" s="608"/>
      <c r="BZ152" s="608"/>
      <c r="CA152"/>
      <c r="CB152" s="600"/>
    </row>
    <row r="153" spans="2:80" ht="12" customHeight="1" x14ac:dyDescent="0.35">
      <c r="B153" s="590" t="e">
        <f>MATCH(C153,'360SpcLdsCSV'!$C$6:$C$500,0)</f>
        <v>#N/A</v>
      </c>
      <c r="C153" s="590">
        <f>'360SpcLdsCSV'!C102</f>
        <v>0</v>
      </c>
      <c r="D153" s="590" t="str">
        <f t="shared" si="163"/>
        <v>0</v>
      </c>
      <c r="E153" s="590" t="e">
        <f t="shared" si="164"/>
        <v>#VALUE!</v>
      </c>
      <c r="F153" s="590" t="e">
        <f t="shared" si="165"/>
        <v>#VALUE!</v>
      </c>
      <c r="G153" s="590" t="str">
        <f t="shared" si="166"/>
        <v>0</v>
      </c>
      <c r="H153" s="590" t="e">
        <f ca="1">OFFSET('360SpcLdsCSV'!$B$5,$B153,H$51)</f>
        <v>#N/A</v>
      </c>
      <c r="I153" s="590" t="e">
        <f ca="1">OFFSET('360SpcLdsCSV'!$B$5,$B153,I$51)</f>
        <v>#N/A</v>
      </c>
      <c r="J153" s="590" t="e">
        <f ca="1">OFFSET('360SpcLdsCSV'!$B$5,$B153,J$51)</f>
        <v>#N/A</v>
      </c>
      <c r="K153" s="590" t="e">
        <f ca="1">OFFSET('360SpcLdsCSV'!$B$5,$B153,K$51)</f>
        <v>#N/A</v>
      </c>
      <c r="L153" s="590" t="e">
        <f ca="1">OFFSET('360SpcLdsCSV'!$B$5,$B153,L$51)</f>
        <v>#N/A</v>
      </c>
      <c r="M153" s="592" t="e">
        <f ca="1">OFFSET('360SpcLdsCSV'!$B$5,$B153,M$51)</f>
        <v>#N/A</v>
      </c>
      <c r="N153" s="592" t="e">
        <f ca="1">OFFSET('360SpcLdsCSV'!$B$5,$B153,N$51)</f>
        <v>#N/A</v>
      </c>
      <c r="O153" s="592" t="e">
        <f ca="1">OFFSET('360SpcLdsCSV'!$B$5,$B153,O$51)</f>
        <v>#N/A</v>
      </c>
      <c r="P153" s="592" t="e">
        <f ca="1">OFFSET('360SpcLdsCSV'!$B$5,$B153,P$51)</f>
        <v>#N/A</v>
      </c>
      <c r="Q153" s="592" t="e">
        <f ca="1">OFFSET('360SpcLdsCSV'!$B$5,$B153,Q$51)</f>
        <v>#N/A</v>
      </c>
      <c r="R153" s="592" t="e">
        <f ca="1">OFFSET('360SpcLdsCSV'!$B$5,$B153,R$51)</f>
        <v>#N/A</v>
      </c>
      <c r="S153" s="592" t="e">
        <f ca="1">OFFSET('360SpcLdsCSV'!$B$5,$B153,S$51)</f>
        <v>#N/A</v>
      </c>
      <c r="T153" s="592" t="e">
        <f ca="1">OFFSET('360SpcLdsCSV'!$B$5,$B153,T$51)</f>
        <v>#N/A</v>
      </c>
      <c r="U153" s="592" t="e">
        <f ca="1">OFFSET('360SpcLdsCSV'!$B$5,$B153,U$51)</f>
        <v>#N/A</v>
      </c>
      <c r="V153" s="592" t="e">
        <f ca="1">OFFSET('360SpcLdsCSV'!$B$5,$B153,V$51)</f>
        <v>#N/A</v>
      </c>
      <c r="W153" s="592" t="e">
        <f ca="1">OFFSET('360SpcLdsCSV'!$B$5,$B153,W$51)</f>
        <v>#N/A</v>
      </c>
      <c r="X153" s="592" t="e">
        <f ca="1">OFFSET('360SpcLdsCSV'!$B$5,$B153,X$51)</f>
        <v>#N/A</v>
      </c>
      <c r="Y153" s="592" t="e">
        <f ca="1">OFFSET('360SpcLdsCSV'!$B$5,$B153,Y$51)</f>
        <v>#N/A</v>
      </c>
      <c r="Z153" s="592" t="e">
        <f ca="1">OFFSET('360SpcLdsCSV'!$B$5,$B153,Z$51)</f>
        <v>#N/A</v>
      </c>
      <c r="AA153" s="592" t="e">
        <f ca="1">OFFSET('360SpcLdsCSV'!$B$5,$B153,AA$51)</f>
        <v>#N/A</v>
      </c>
      <c r="AB153" s="592" t="e">
        <f ca="1">OFFSET('360SpcLdsCSV'!$B$5,$B153,AB$51)</f>
        <v>#N/A</v>
      </c>
      <c r="AC153" s="592" t="e">
        <f ca="1">OFFSET('360SpcLdsCSV'!$B$5,$B153,AC$51)</f>
        <v>#N/A</v>
      </c>
      <c r="AD153" s="592" t="e">
        <f ca="1">OFFSET('360SpcLdsCSV'!$B$5,$B153,AD$51)</f>
        <v>#N/A</v>
      </c>
      <c r="AE153" s="592" t="e">
        <f ca="1">OFFSET('360SpcLdsCSV'!$B$5,$B153,AE$51)</f>
        <v>#N/A</v>
      </c>
      <c r="AF153" s="592" t="e">
        <f ca="1">OFFSET('360SpcLdsCSV'!$B$5,$B153,AF$51)</f>
        <v>#N/A</v>
      </c>
      <c r="AG153" s="592" t="e">
        <f ca="1">OFFSET('360SpcLdsCSV'!$B$5,$B153,AG$51)</f>
        <v>#N/A</v>
      </c>
      <c r="AH153" s="592" t="e">
        <f ca="1">OFFSET('360SpcLdsCSV'!$B$5,$B153,AH$51)</f>
        <v>#N/A</v>
      </c>
      <c r="AI153" s="592" t="e">
        <f ca="1">OFFSET('360SpcLdsCSV'!$B$5,$B153,AI$51)</f>
        <v>#N/A</v>
      </c>
      <c r="AJ153" s="592" t="e" cm="1">
        <f t="array" ref="AJ153">_xlfn.IFS($F153="Resi",1,$F153="Racc",0,$F153="Coml",0,$F153="Prkg",0)</f>
        <v>#VALUE!</v>
      </c>
      <c r="AK153" s="596"/>
      <c r="AL153" s="590" t="e">
        <f ca="1">OFFSET('360SpcLdsCSV'!$B$5,$B153,AL$51)</f>
        <v>#N/A</v>
      </c>
      <c r="AM153" s="663" t="e">
        <f t="shared" ca="1" si="139"/>
        <v>#N/A</v>
      </c>
      <c r="AN153" s="663" t="e">
        <f t="shared" ca="1" si="140"/>
        <v>#N/A</v>
      </c>
      <c r="AO153" s="663" t="e">
        <f t="shared" ca="1" si="167"/>
        <v>#N/A</v>
      </c>
      <c r="AP153" s="663" t="e">
        <f t="shared" ca="1" si="141"/>
        <v>#N/A</v>
      </c>
      <c r="AQ153" s="663" t="e">
        <f t="shared" ca="1" si="142"/>
        <v>#N/A</v>
      </c>
      <c r="AR153" s="663" t="e">
        <f t="shared" ca="1" si="143"/>
        <v>#N/A</v>
      </c>
      <c r="AS153" s="663" t="e">
        <f t="shared" ca="1" si="144"/>
        <v>#N/A</v>
      </c>
      <c r="AT153" s="663" t="e">
        <f t="shared" ca="1" si="145"/>
        <v>#N/A</v>
      </c>
      <c r="AU153" s="663" t="e">
        <f t="shared" ca="1" si="146"/>
        <v>#N/A</v>
      </c>
      <c r="AV153" s="663" t="e">
        <f t="shared" ca="1" si="147"/>
        <v>#N/A</v>
      </c>
      <c r="AW153" s="663" t="e">
        <f t="shared" ca="1" si="148"/>
        <v>#N/A</v>
      </c>
      <c r="AX153" s="663" t="e">
        <f t="shared" ca="1" si="149"/>
        <v>#N/A</v>
      </c>
      <c r="AY153" s="663" t="e">
        <f t="shared" ca="1" si="150"/>
        <v>#N/A</v>
      </c>
      <c r="AZ153" s="663" t="e">
        <f t="shared" ca="1" si="151"/>
        <v>#N/A</v>
      </c>
      <c r="BA153" s="663" t="e">
        <f t="shared" ca="1" si="152"/>
        <v>#N/A</v>
      </c>
      <c r="BB153" s="663" t="e">
        <f t="shared" ca="1" si="153"/>
        <v>#N/A</v>
      </c>
      <c r="BC153" s="663" t="e">
        <f t="shared" ca="1" si="154"/>
        <v>#N/A</v>
      </c>
      <c r="BD153" s="663" t="e">
        <f t="shared" ca="1" si="155"/>
        <v>#N/A</v>
      </c>
      <c r="BE153" s="663" t="e">
        <f t="shared" ca="1" si="156"/>
        <v>#N/A</v>
      </c>
      <c r="BF153" s="663" t="e">
        <f t="shared" ca="1" si="157"/>
        <v>#N/A</v>
      </c>
      <c r="BG153" s="663" t="e">
        <f t="shared" ca="1" si="158"/>
        <v>#N/A</v>
      </c>
      <c r="BH153" s="663" t="e">
        <f t="shared" ca="1" si="159"/>
        <v>#N/A</v>
      </c>
      <c r="BI153" s="663" t="e">
        <f t="shared" ca="1" si="160"/>
        <v>#N/A</v>
      </c>
      <c r="BJ153" s="663" t="e">
        <f t="shared" ca="1" si="161"/>
        <v>#N/A</v>
      </c>
      <c r="BK153" s="663" t="e">
        <f t="shared" ca="1" si="162"/>
        <v>#N/A</v>
      </c>
      <c r="BL153" s="1918"/>
      <c r="BM153" s="1532"/>
      <c r="BN153" s="1919"/>
      <c r="BO153" s="603"/>
      <c r="BP153" s="602"/>
      <c r="BQ153" s="602"/>
      <c r="BR153" s="602"/>
      <c r="BS153" s="604"/>
      <c r="BT153" s="605"/>
      <c r="BU153" s="602"/>
      <c r="BV153" s="602"/>
      <c r="BW153" s="606"/>
      <c r="BX153" s="607"/>
      <c r="BY153" s="608"/>
      <c r="BZ153" s="608"/>
      <c r="CA153"/>
      <c r="CB153" s="600"/>
    </row>
    <row r="154" spans="2:80" ht="12" customHeight="1" x14ac:dyDescent="0.35">
      <c r="B154" s="590" t="e">
        <f>MATCH(C154,'360SpcLdsCSV'!$C$6:$C$500,0)</f>
        <v>#N/A</v>
      </c>
      <c r="C154" s="590">
        <f>'360SpcLdsCSV'!C103</f>
        <v>0</v>
      </c>
      <c r="D154" s="590" t="str">
        <f t="shared" si="163"/>
        <v>0</v>
      </c>
      <c r="E154" s="590" t="e">
        <f t="shared" si="164"/>
        <v>#VALUE!</v>
      </c>
      <c r="F154" s="590" t="e">
        <f t="shared" si="165"/>
        <v>#VALUE!</v>
      </c>
      <c r="G154" s="590" t="str">
        <f t="shared" si="166"/>
        <v>0</v>
      </c>
      <c r="H154" s="590" t="e">
        <f ca="1">OFFSET('360SpcLdsCSV'!$B$5,$B154,H$51)</f>
        <v>#N/A</v>
      </c>
      <c r="I154" s="590" t="e">
        <f ca="1">OFFSET('360SpcLdsCSV'!$B$5,$B154,I$51)</f>
        <v>#N/A</v>
      </c>
      <c r="J154" s="590" t="e">
        <f ca="1">OFFSET('360SpcLdsCSV'!$B$5,$B154,J$51)</f>
        <v>#N/A</v>
      </c>
      <c r="K154" s="590" t="e">
        <f ca="1">OFFSET('360SpcLdsCSV'!$B$5,$B154,K$51)</f>
        <v>#N/A</v>
      </c>
      <c r="L154" s="590" t="e">
        <f ca="1">OFFSET('360SpcLdsCSV'!$B$5,$B154,L$51)</f>
        <v>#N/A</v>
      </c>
      <c r="M154" s="592" t="e">
        <f ca="1">OFFSET('360SpcLdsCSV'!$B$5,$B154,M$51)</f>
        <v>#N/A</v>
      </c>
      <c r="N154" s="592" t="e">
        <f ca="1">OFFSET('360SpcLdsCSV'!$B$5,$B154,N$51)</f>
        <v>#N/A</v>
      </c>
      <c r="O154" s="592" t="e">
        <f ca="1">OFFSET('360SpcLdsCSV'!$B$5,$B154,O$51)</f>
        <v>#N/A</v>
      </c>
      <c r="P154" s="592" t="e">
        <f ca="1">OFFSET('360SpcLdsCSV'!$B$5,$B154,P$51)</f>
        <v>#N/A</v>
      </c>
      <c r="Q154" s="592" t="e">
        <f ca="1">OFFSET('360SpcLdsCSV'!$B$5,$B154,Q$51)</f>
        <v>#N/A</v>
      </c>
      <c r="R154" s="592" t="e">
        <f ca="1">OFFSET('360SpcLdsCSV'!$B$5,$B154,R$51)</f>
        <v>#N/A</v>
      </c>
      <c r="S154" s="592" t="e">
        <f ca="1">OFFSET('360SpcLdsCSV'!$B$5,$B154,S$51)</f>
        <v>#N/A</v>
      </c>
      <c r="T154" s="592" t="e">
        <f ca="1">OFFSET('360SpcLdsCSV'!$B$5,$B154,T$51)</f>
        <v>#N/A</v>
      </c>
      <c r="U154" s="592" t="e">
        <f ca="1">OFFSET('360SpcLdsCSV'!$B$5,$B154,U$51)</f>
        <v>#N/A</v>
      </c>
      <c r="V154" s="592" t="e">
        <f ca="1">OFFSET('360SpcLdsCSV'!$B$5,$B154,V$51)</f>
        <v>#N/A</v>
      </c>
      <c r="W154" s="592" t="e">
        <f ca="1">OFFSET('360SpcLdsCSV'!$B$5,$B154,W$51)</f>
        <v>#N/A</v>
      </c>
      <c r="X154" s="592" t="e">
        <f ca="1">OFFSET('360SpcLdsCSV'!$B$5,$B154,X$51)</f>
        <v>#N/A</v>
      </c>
      <c r="Y154" s="592" t="e">
        <f ca="1">OFFSET('360SpcLdsCSV'!$B$5,$B154,Y$51)</f>
        <v>#N/A</v>
      </c>
      <c r="Z154" s="592" t="e">
        <f ca="1">OFFSET('360SpcLdsCSV'!$B$5,$B154,Z$51)</f>
        <v>#N/A</v>
      </c>
      <c r="AA154" s="592" t="e">
        <f ca="1">OFFSET('360SpcLdsCSV'!$B$5,$B154,AA$51)</f>
        <v>#N/A</v>
      </c>
      <c r="AB154" s="592" t="e">
        <f ca="1">OFFSET('360SpcLdsCSV'!$B$5,$B154,AB$51)</f>
        <v>#N/A</v>
      </c>
      <c r="AC154" s="592" t="e">
        <f ca="1">OFFSET('360SpcLdsCSV'!$B$5,$B154,AC$51)</f>
        <v>#N/A</v>
      </c>
      <c r="AD154" s="592" t="e">
        <f ca="1">OFFSET('360SpcLdsCSV'!$B$5,$B154,AD$51)</f>
        <v>#N/A</v>
      </c>
      <c r="AE154" s="592" t="e">
        <f ca="1">OFFSET('360SpcLdsCSV'!$B$5,$B154,AE$51)</f>
        <v>#N/A</v>
      </c>
      <c r="AF154" s="592" t="e">
        <f ca="1">OFFSET('360SpcLdsCSV'!$B$5,$B154,AF$51)</f>
        <v>#N/A</v>
      </c>
      <c r="AG154" s="592" t="e">
        <f ca="1">OFFSET('360SpcLdsCSV'!$B$5,$B154,AG$51)</f>
        <v>#N/A</v>
      </c>
      <c r="AH154" s="592" t="e">
        <f ca="1">OFFSET('360SpcLdsCSV'!$B$5,$B154,AH$51)</f>
        <v>#N/A</v>
      </c>
      <c r="AI154" s="592" t="e">
        <f ca="1">OFFSET('360SpcLdsCSV'!$B$5,$B154,AI$51)</f>
        <v>#N/A</v>
      </c>
      <c r="AJ154" s="592" t="e" cm="1">
        <f t="array" ref="AJ154">_xlfn.IFS($F154="Resi",1,$F154="Racc",0,$F154="Coml",0,$F154="Prkg",0)</f>
        <v>#VALUE!</v>
      </c>
      <c r="AK154" s="596"/>
      <c r="AL154" s="590" t="e">
        <f ca="1">OFFSET('360SpcLdsCSV'!$B$5,$B154,AL$51)</f>
        <v>#N/A</v>
      </c>
      <c r="AM154" s="663" t="e">
        <f t="shared" ca="1" si="139"/>
        <v>#N/A</v>
      </c>
      <c r="AN154" s="663" t="e">
        <f t="shared" ca="1" si="140"/>
        <v>#N/A</v>
      </c>
      <c r="AO154" s="663" t="e">
        <f t="shared" ca="1" si="167"/>
        <v>#N/A</v>
      </c>
      <c r="AP154" s="663" t="e">
        <f t="shared" ca="1" si="141"/>
        <v>#N/A</v>
      </c>
      <c r="AQ154" s="663" t="e">
        <f t="shared" ca="1" si="142"/>
        <v>#N/A</v>
      </c>
      <c r="AR154" s="663" t="e">
        <f t="shared" ca="1" si="143"/>
        <v>#N/A</v>
      </c>
      <c r="AS154" s="663" t="e">
        <f t="shared" ca="1" si="144"/>
        <v>#N/A</v>
      </c>
      <c r="AT154" s="663" t="e">
        <f t="shared" ca="1" si="145"/>
        <v>#N/A</v>
      </c>
      <c r="AU154" s="663" t="e">
        <f t="shared" ca="1" si="146"/>
        <v>#N/A</v>
      </c>
      <c r="AV154" s="663" t="e">
        <f t="shared" ca="1" si="147"/>
        <v>#N/A</v>
      </c>
      <c r="AW154" s="663" t="e">
        <f t="shared" ca="1" si="148"/>
        <v>#N/A</v>
      </c>
      <c r="AX154" s="663" t="e">
        <f t="shared" ca="1" si="149"/>
        <v>#N/A</v>
      </c>
      <c r="AY154" s="663" t="e">
        <f t="shared" ca="1" si="150"/>
        <v>#N/A</v>
      </c>
      <c r="AZ154" s="663" t="e">
        <f t="shared" ca="1" si="151"/>
        <v>#N/A</v>
      </c>
      <c r="BA154" s="663" t="e">
        <f t="shared" ca="1" si="152"/>
        <v>#N/A</v>
      </c>
      <c r="BB154" s="663" t="e">
        <f t="shared" ca="1" si="153"/>
        <v>#N/A</v>
      </c>
      <c r="BC154" s="663" t="e">
        <f t="shared" ca="1" si="154"/>
        <v>#N/A</v>
      </c>
      <c r="BD154" s="663" t="e">
        <f t="shared" ca="1" si="155"/>
        <v>#N/A</v>
      </c>
      <c r="BE154" s="663" t="e">
        <f t="shared" ca="1" si="156"/>
        <v>#N/A</v>
      </c>
      <c r="BF154" s="663" t="e">
        <f t="shared" ca="1" si="157"/>
        <v>#N/A</v>
      </c>
      <c r="BG154" s="663" t="e">
        <f t="shared" ca="1" si="158"/>
        <v>#N/A</v>
      </c>
      <c r="BH154" s="663" t="e">
        <f t="shared" ca="1" si="159"/>
        <v>#N/A</v>
      </c>
      <c r="BI154" s="663" t="e">
        <f t="shared" ca="1" si="160"/>
        <v>#N/A</v>
      </c>
      <c r="BJ154" s="663" t="e">
        <f t="shared" ca="1" si="161"/>
        <v>#N/A</v>
      </c>
      <c r="BK154" s="663" t="e">
        <f t="shared" ca="1" si="162"/>
        <v>#N/A</v>
      </c>
      <c r="BL154" s="1918"/>
      <c r="BM154" s="1532"/>
      <c r="BN154" s="1919"/>
      <c r="BO154" s="603"/>
      <c r="BP154" s="602"/>
      <c r="BQ154" s="602"/>
      <c r="BR154" s="602"/>
      <c r="BS154" s="604"/>
      <c r="BT154" s="605"/>
      <c r="BU154" s="602"/>
      <c r="BV154" s="602"/>
      <c r="BW154" s="606"/>
      <c r="BX154" s="607"/>
      <c r="BY154" s="608"/>
      <c r="BZ154" s="608"/>
      <c r="CA154"/>
      <c r="CB154" s="600"/>
    </row>
    <row r="155" spans="2:80" ht="12" customHeight="1" x14ac:dyDescent="0.35">
      <c r="B155" s="590" t="e">
        <f>MATCH(C155,'360SpcLdsCSV'!$C$6:$C$500,0)</f>
        <v>#N/A</v>
      </c>
      <c r="C155" s="590">
        <f>'360SpcLdsCSV'!C104</f>
        <v>0</v>
      </c>
      <c r="D155" s="590" t="str">
        <f t="shared" si="163"/>
        <v>0</v>
      </c>
      <c r="E155" s="590" t="e">
        <f t="shared" si="164"/>
        <v>#VALUE!</v>
      </c>
      <c r="F155" s="590" t="e">
        <f t="shared" si="165"/>
        <v>#VALUE!</v>
      </c>
      <c r="G155" s="590" t="str">
        <f t="shared" si="166"/>
        <v>0</v>
      </c>
      <c r="H155" s="590" t="e">
        <f ca="1">OFFSET('360SpcLdsCSV'!$B$5,$B155,H$51)</f>
        <v>#N/A</v>
      </c>
      <c r="I155" s="590" t="e">
        <f ca="1">OFFSET('360SpcLdsCSV'!$B$5,$B155,I$51)</f>
        <v>#N/A</v>
      </c>
      <c r="J155" s="590" t="e">
        <f ca="1">OFFSET('360SpcLdsCSV'!$B$5,$B155,J$51)</f>
        <v>#N/A</v>
      </c>
      <c r="K155" s="590" t="e">
        <f ca="1">OFFSET('360SpcLdsCSV'!$B$5,$B155,K$51)</f>
        <v>#N/A</v>
      </c>
      <c r="L155" s="590" t="e">
        <f ca="1">OFFSET('360SpcLdsCSV'!$B$5,$B155,L$51)</f>
        <v>#N/A</v>
      </c>
      <c r="M155" s="592" t="e">
        <f ca="1">OFFSET('360SpcLdsCSV'!$B$5,$B155,M$51)</f>
        <v>#N/A</v>
      </c>
      <c r="N155" s="592" t="e">
        <f ca="1">OFFSET('360SpcLdsCSV'!$B$5,$B155,N$51)</f>
        <v>#N/A</v>
      </c>
      <c r="O155" s="592" t="e">
        <f ca="1">OFFSET('360SpcLdsCSV'!$B$5,$B155,O$51)</f>
        <v>#N/A</v>
      </c>
      <c r="P155" s="592" t="e">
        <f ca="1">OFFSET('360SpcLdsCSV'!$B$5,$B155,P$51)</f>
        <v>#N/A</v>
      </c>
      <c r="Q155" s="592" t="e">
        <f ca="1">OFFSET('360SpcLdsCSV'!$B$5,$B155,Q$51)</f>
        <v>#N/A</v>
      </c>
      <c r="R155" s="592" t="e">
        <f ca="1">OFFSET('360SpcLdsCSV'!$B$5,$B155,R$51)</f>
        <v>#N/A</v>
      </c>
      <c r="S155" s="592" t="e">
        <f ca="1">OFFSET('360SpcLdsCSV'!$B$5,$B155,S$51)</f>
        <v>#N/A</v>
      </c>
      <c r="T155" s="592" t="e">
        <f ca="1">OFFSET('360SpcLdsCSV'!$B$5,$B155,T$51)</f>
        <v>#N/A</v>
      </c>
      <c r="U155" s="592" t="e">
        <f ca="1">OFFSET('360SpcLdsCSV'!$B$5,$B155,U$51)</f>
        <v>#N/A</v>
      </c>
      <c r="V155" s="592" t="e">
        <f ca="1">OFFSET('360SpcLdsCSV'!$B$5,$B155,V$51)</f>
        <v>#N/A</v>
      </c>
      <c r="W155" s="592" t="e">
        <f ca="1">OFFSET('360SpcLdsCSV'!$B$5,$B155,W$51)</f>
        <v>#N/A</v>
      </c>
      <c r="X155" s="592" t="e">
        <f ca="1">OFFSET('360SpcLdsCSV'!$B$5,$B155,X$51)</f>
        <v>#N/A</v>
      </c>
      <c r="Y155" s="592" t="e">
        <f ca="1">OFFSET('360SpcLdsCSV'!$B$5,$B155,Y$51)</f>
        <v>#N/A</v>
      </c>
      <c r="Z155" s="592" t="e">
        <f ca="1">OFFSET('360SpcLdsCSV'!$B$5,$B155,Z$51)</f>
        <v>#N/A</v>
      </c>
      <c r="AA155" s="592" t="e">
        <f ca="1">OFFSET('360SpcLdsCSV'!$B$5,$B155,AA$51)</f>
        <v>#N/A</v>
      </c>
      <c r="AB155" s="592" t="e">
        <f ca="1">OFFSET('360SpcLdsCSV'!$B$5,$B155,AB$51)</f>
        <v>#N/A</v>
      </c>
      <c r="AC155" s="592" t="e">
        <f ca="1">OFFSET('360SpcLdsCSV'!$B$5,$B155,AC$51)</f>
        <v>#N/A</v>
      </c>
      <c r="AD155" s="592" t="e">
        <f ca="1">OFFSET('360SpcLdsCSV'!$B$5,$B155,AD$51)</f>
        <v>#N/A</v>
      </c>
      <c r="AE155" s="592" t="e">
        <f ca="1">OFFSET('360SpcLdsCSV'!$B$5,$B155,AE$51)</f>
        <v>#N/A</v>
      </c>
      <c r="AF155" s="592" t="e">
        <f ca="1">OFFSET('360SpcLdsCSV'!$B$5,$B155,AF$51)</f>
        <v>#N/A</v>
      </c>
      <c r="AG155" s="592" t="e">
        <f ca="1">OFFSET('360SpcLdsCSV'!$B$5,$B155,AG$51)</f>
        <v>#N/A</v>
      </c>
      <c r="AH155" s="592" t="e">
        <f ca="1">OFFSET('360SpcLdsCSV'!$B$5,$B155,AH$51)</f>
        <v>#N/A</v>
      </c>
      <c r="AI155" s="592" t="e">
        <f ca="1">OFFSET('360SpcLdsCSV'!$B$5,$B155,AI$51)</f>
        <v>#N/A</v>
      </c>
      <c r="AJ155" s="592" t="e" cm="1">
        <f t="array" ref="AJ155">_xlfn.IFS($F155="Resi",1,$F155="Racc",0,$F155="Coml",0,$F155="Prkg",0)</f>
        <v>#VALUE!</v>
      </c>
      <c r="AK155" s="596"/>
      <c r="AL155" s="590" t="e">
        <f ca="1">OFFSET('360SpcLdsCSV'!$B$5,$B155,AL$51)</f>
        <v>#N/A</v>
      </c>
      <c r="AM155" s="663" t="e">
        <f t="shared" ca="1" si="139"/>
        <v>#N/A</v>
      </c>
      <c r="AN155" s="663" t="e">
        <f t="shared" ca="1" si="140"/>
        <v>#N/A</v>
      </c>
      <c r="AO155" s="663" t="e">
        <f t="shared" ca="1" si="167"/>
        <v>#N/A</v>
      </c>
      <c r="AP155" s="663" t="e">
        <f t="shared" ca="1" si="141"/>
        <v>#N/A</v>
      </c>
      <c r="AQ155" s="663" t="e">
        <f t="shared" ca="1" si="142"/>
        <v>#N/A</v>
      </c>
      <c r="AR155" s="663" t="e">
        <f t="shared" ca="1" si="143"/>
        <v>#N/A</v>
      </c>
      <c r="AS155" s="663" t="e">
        <f t="shared" ca="1" si="144"/>
        <v>#N/A</v>
      </c>
      <c r="AT155" s="663" t="e">
        <f t="shared" ca="1" si="145"/>
        <v>#N/A</v>
      </c>
      <c r="AU155" s="663" t="e">
        <f t="shared" ca="1" si="146"/>
        <v>#N/A</v>
      </c>
      <c r="AV155" s="663" t="e">
        <f t="shared" ca="1" si="147"/>
        <v>#N/A</v>
      </c>
      <c r="AW155" s="663" t="e">
        <f t="shared" ca="1" si="148"/>
        <v>#N/A</v>
      </c>
      <c r="AX155" s="663" t="e">
        <f t="shared" ca="1" si="149"/>
        <v>#N/A</v>
      </c>
      <c r="AY155" s="663" t="e">
        <f t="shared" ca="1" si="150"/>
        <v>#N/A</v>
      </c>
      <c r="AZ155" s="663" t="e">
        <f t="shared" ca="1" si="151"/>
        <v>#N/A</v>
      </c>
      <c r="BA155" s="663" t="e">
        <f t="shared" ca="1" si="152"/>
        <v>#N/A</v>
      </c>
      <c r="BB155" s="663" t="e">
        <f t="shared" ca="1" si="153"/>
        <v>#N/A</v>
      </c>
      <c r="BC155" s="663" t="e">
        <f t="shared" ca="1" si="154"/>
        <v>#N/A</v>
      </c>
      <c r="BD155" s="663" t="e">
        <f t="shared" ca="1" si="155"/>
        <v>#N/A</v>
      </c>
      <c r="BE155" s="663" t="e">
        <f t="shared" ca="1" si="156"/>
        <v>#N/A</v>
      </c>
      <c r="BF155" s="663" t="e">
        <f t="shared" ca="1" si="157"/>
        <v>#N/A</v>
      </c>
      <c r="BG155" s="663" t="e">
        <f t="shared" ca="1" si="158"/>
        <v>#N/A</v>
      </c>
      <c r="BH155" s="663" t="e">
        <f t="shared" ca="1" si="159"/>
        <v>#N/A</v>
      </c>
      <c r="BI155" s="663" t="e">
        <f t="shared" ca="1" si="160"/>
        <v>#N/A</v>
      </c>
      <c r="BJ155" s="663" t="e">
        <f t="shared" ca="1" si="161"/>
        <v>#N/A</v>
      </c>
      <c r="BK155" s="663" t="e">
        <f t="shared" ca="1" si="162"/>
        <v>#N/A</v>
      </c>
      <c r="BL155" s="1918"/>
      <c r="BM155" s="1532"/>
      <c r="BN155" s="1919"/>
      <c r="BO155" s="603"/>
      <c r="BP155" s="602"/>
      <c r="BQ155" s="602"/>
      <c r="BR155" s="602"/>
      <c r="BS155" s="604"/>
      <c r="BT155" s="605"/>
      <c r="BU155" s="602"/>
      <c r="BV155" s="602"/>
      <c r="BW155" s="606"/>
      <c r="BX155" s="607"/>
      <c r="BY155" s="608"/>
      <c r="BZ155" s="608"/>
      <c r="CA155"/>
      <c r="CB155" s="600"/>
    </row>
    <row r="156" spans="2:80" ht="12" customHeight="1" x14ac:dyDescent="0.35">
      <c r="B156" s="590" t="e">
        <f>MATCH(C156,'360SpcLdsCSV'!$C$6:$C$500,0)</f>
        <v>#N/A</v>
      </c>
      <c r="C156" s="590">
        <f>'360SpcLdsCSV'!C105</f>
        <v>0</v>
      </c>
      <c r="D156" s="590" t="str">
        <f t="shared" si="163"/>
        <v>0</v>
      </c>
      <c r="E156" s="590" t="e">
        <f t="shared" si="164"/>
        <v>#VALUE!</v>
      </c>
      <c r="F156" s="590" t="e">
        <f t="shared" si="165"/>
        <v>#VALUE!</v>
      </c>
      <c r="G156" s="590" t="str">
        <f t="shared" si="166"/>
        <v>0</v>
      </c>
      <c r="H156" s="590" t="e">
        <f ca="1">OFFSET('360SpcLdsCSV'!$B$5,$B156,H$51)</f>
        <v>#N/A</v>
      </c>
      <c r="I156" s="590" t="e">
        <f ca="1">OFFSET('360SpcLdsCSV'!$B$5,$B156,I$51)</f>
        <v>#N/A</v>
      </c>
      <c r="J156" s="590" t="e">
        <f ca="1">OFFSET('360SpcLdsCSV'!$B$5,$B156,J$51)</f>
        <v>#N/A</v>
      </c>
      <c r="K156" s="590" t="e">
        <f ca="1">OFFSET('360SpcLdsCSV'!$B$5,$B156,K$51)</f>
        <v>#N/A</v>
      </c>
      <c r="L156" s="590" t="e">
        <f ca="1">OFFSET('360SpcLdsCSV'!$B$5,$B156,L$51)</f>
        <v>#N/A</v>
      </c>
      <c r="M156" s="592" t="e">
        <f ca="1">OFFSET('360SpcLdsCSV'!$B$5,$B156,M$51)</f>
        <v>#N/A</v>
      </c>
      <c r="N156" s="592" t="e">
        <f ca="1">OFFSET('360SpcLdsCSV'!$B$5,$B156,N$51)</f>
        <v>#N/A</v>
      </c>
      <c r="O156" s="592" t="e">
        <f ca="1">OFFSET('360SpcLdsCSV'!$B$5,$B156,O$51)</f>
        <v>#N/A</v>
      </c>
      <c r="P156" s="592" t="e">
        <f ca="1">OFFSET('360SpcLdsCSV'!$B$5,$B156,P$51)</f>
        <v>#N/A</v>
      </c>
      <c r="Q156" s="592" t="e">
        <f ca="1">OFFSET('360SpcLdsCSV'!$B$5,$B156,Q$51)</f>
        <v>#N/A</v>
      </c>
      <c r="R156" s="592" t="e">
        <f ca="1">OFFSET('360SpcLdsCSV'!$B$5,$B156,R$51)</f>
        <v>#N/A</v>
      </c>
      <c r="S156" s="592" t="e">
        <f ca="1">OFFSET('360SpcLdsCSV'!$B$5,$B156,S$51)</f>
        <v>#N/A</v>
      </c>
      <c r="T156" s="592" t="e">
        <f ca="1">OFFSET('360SpcLdsCSV'!$B$5,$B156,T$51)</f>
        <v>#N/A</v>
      </c>
      <c r="U156" s="592" t="e">
        <f ca="1">OFFSET('360SpcLdsCSV'!$B$5,$B156,U$51)</f>
        <v>#N/A</v>
      </c>
      <c r="V156" s="592" t="e">
        <f ca="1">OFFSET('360SpcLdsCSV'!$B$5,$B156,V$51)</f>
        <v>#N/A</v>
      </c>
      <c r="W156" s="592" t="e">
        <f ca="1">OFFSET('360SpcLdsCSV'!$B$5,$B156,W$51)</f>
        <v>#N/A</v>
      </c>
      <c r="X156" s="592" t="e">
        <f ca="1">OFFSET('360SpcLdsCSV'!$B$5,$B156,X$51)</f>
        <v>#N/A</v>
      </c>
      <c r="Y156" s="592" t="e">
        <f ca="1">OFFSET('360SpcLdsCSV'!$B$5,$B156,Y$51)</f>
        <v>#N/A</v>
      </c>
      <c r="Z156" s="592" t="e">
        <f ca="1">OFFSET('360SpcLdsCSV'!$B$5,$B156,Z$51)</f>
        <v>#N/A</v>
      </c>
      <c r="AA156" s="592" t="e">
        <f ca="1">OFFSET('360SpcLdsCSV'!$B$5,$B156,AA$51)</f>
        <v>#N/A</v>
      </c>
      <c r="AB156" s="592" t="e">
        <f ca="1">OFFSET('360SpcLdsCSV'!$B$5,$B156,AB$51)</f>
        <v>#N/A</v>
      </c>
      <c r="AC156" s="592" t="e">
        <f ca="1">OFFSET('360SpcLdsCSV'!$B$5,$B156,AC$51)</f>
        <v>#N/A</v>
      </c>
      <c r="AD156" s="592" t="e">
        <f ca="1">OFFSET('360SpcLdsCSV'!$B$5,$B156,AD$51)</f>
        <v>#N/A</v>
      </c>
      <c r="AE156" s="592" t="e">
        <f ca="1">OFFSET('360SpcLdsCSV'!$B$5,$B156,AE$51)</f>
        <v>#N/A</v>
      </c>
      <c r="AF156" s="592" t="e">
        <f ca="1">OFFSET('360SpcLdsCSV'!$B$5,$B156,AF$51)</f>
        <v>#N/A</v>
      </c>
      <c r="AG156" s="592" t="e">
        <f ca="1">OFFSET('360SpcLdsCSV'!$B$5,$B156,AG$51)</f>
        <v>#N/A</v>
      </c>
      <c r="AH156" s="592" t="e">
        <f ca="1">OFFSET('360SpcLdsCSV'!$B$5,$B156,AH$51)</f>
        <v>#N/A</v>
      </c>
      <c r="AI156" s="592" t="e">
        <f ca="1">OFFSET('360SpcLdsCSV'!$B$5,$B156,AI$51)</f>
        <v>#N/A</v>
      </c>
      <c r="AJ156" s="592" t="e" cm="1">
        <f t="array" ref="AJ156">_xlfn.IFS($F156="Resi",1,$F156="Racc",0,$F156="Coml",0,$F156="Prkg",0)</f>
        <v>#VALUE!</v>
      </c>
      <c r="AK156" s="596"/>
      <c r="AL156" s="590" t="e">
        <f ca="1">OFFSET('360SpcLdsCSV'!$B$5,$B156,AL$51)</f>
        <v>#N/A</v>
      </c>
      <c r="AM156" s="663" t="e">
        <f t="shared" ca="1" si="139"/>
        <v>#N/A</v>
      </c>
      <c r="AN156" s="663" t="e">
        <f t="shared" ca="1" si="140"/>
        <v>#N/A</v>
      </c>
      <c r="AO156" s="663" t="e">
        <f t="shared" ca="1" si="167"/>
        <v>#N/A</v>
      </c>
      <c r="AP156" s="663" t="e">
        <f t="shared" ca="1" si="141"/>
        <v>#N/A</v>
      </c>
      <c r="AQ156" s="663" t="e">
        <f t="shared" ca="1" si="142"/>
        <v>#N/A</v>
      </c>
      <c r="AR156" s="663" t="e">
        <f t="shared" ca="1" si="143"/>
        <v>#N/A</v>
      </c>
      <c r="AS156" s="663" t="e">
        <f t="shared" ca="1" si="144"/>
        <v>#N/A</v>
      </c>
      <c r="AT156" s="663" t="e">
        <f t="shared" ca="1" si="145"/>
        <v>#N/A</v>
      </c>
      <c r="AU156" s="663" t="e">
        <f t="shared" ca="1" si="146"/>
        <v>#N/A</v>
      </c>
      <c r="AV156" s="663" t="e">
        <f t="shared" ca="1" si="147"/>
        <v>#N/A</v>
      </c>
      <c r="AW156" s="663" t="e">
        <f t="shared" ca="1" si="148"/>
        <v>#N/A</v>
      </c>
      <c r="AX156" s="663" t="e">
        <f t="shared" ca="1" si="149"/>
        <v>#N/A</v>
      </c>
      <c r="AY156" s="663" t="e">
        <f t="shared" ca="1" si="150"/>
        <v>#N/A</v>
      </c>
      <c r="AZ156" s="663" t="e">
        <f t="shared" ca="1" si="151"/>
        <v>#N/A</v>
      </c>
      <c r="BA156" s="663" t="e">
        <f t="shared" ca="1" si="152"/>
        <v>#N/A</v>
      </c>
      <c r="BB156" s="663" t="e">
        <f t="shared" ca="1" si="153"/>
        <v>#N/A</v>
      </c>
      <c r="BC156" s="663" t="e">
        <f t="shared" ca="1" si="154"/>
        <v>#N/A</v>
      </c>
      <c r="BD156" s="663" t="e">
        <f t="shared" ca="1" si="155"/>
        <v>#N/A</v>
      </c>
      <c r="BE156" s="663" t="e">
        <f t="shared" ca="1" si="156"/>
        <v>#N/A</v>
      </c>
      <c r="BF156" s="663" t="e">
        <f t="shared" ca="1" si="157"/>
        <v>#N/A</v>
      </c>
      <c r="BG156" s="663" t="e">
        <f t="shared" ca="1" si="158"/>
        <v>#N/A</v>
      </c>
      <c r="BH156" s="663" t="e">
        <f t="shared" ca="1" si="159"/>
        <v>#N/A</v>
      </c>
      <c r="BI156" s="663" t="e">
        <f t="shared" ca="1" si="160"/>
        <v>#N/A</v>
      </c>
      <c r="BJ156" s="663" t="e">
        <f t="shared" ca="1" si="161"/>
        <v>#N/A</v>
      </c>
      <c r="BK156" s="663" t="e">
        <f t="shared" ca="1" si="162"/>
        <v>#N/A</v>
      </c>
      <c r="BL156" s="1918"/>
      <c r="BM156" s="1532"/>
      <c r="BN156" s="1919"/>
      <c r="BO156" s="603"/>
      <c r="BP156" s="602"/>
      <c r="BQ156" s="602"/>
      <c r="BR156" s="602"/>
      <c r="BS156" s="604"/>
      <c r="BT156" s="605"/>
      <c r="BU156" s="602"/>
      <c r="BV156" s="602"/>
      <c r="BW156" s="606"/>
      <c r="BX156" s="607"/>
      <c r="BY156" s="608"/>
      <c r="BZ156" s="608"/>
      <c r="CA156"/>
      <c r="CB156" s="600"/>
    </row>
    <row r="157" spans="2:80" ht="12" customHeight="1" x14ac:dyDescent="0.35">
      <c r="B157" s="590" t="e">
        <f>MATCH(C157,'360SpcLdsCSV'!$C$6:$C$500,0)</f>
        <v>#N/A</v>
      </c>
      <c r="C157" s="590">
        <f>'360SpcLdsCSV'!C106</f>
        <v>0</v>
      </c>
      <c r="D157" s="590" t="str">
        <f t="shared" si="163"/>
        <v>0</v>
      </c>
      <c r="E157" s="590" t="e">
        <f t="shared" si="164"/>
        <v>#VALUE!</v>
      </c>
      <c r="F157" s="590" t="e">
        <f t="shared" si="165"/>
        <v>#VALUE!</v>
      </c>
      <c r="G157" s="590" t="str">
        <f t="shared" si="166"/>
        <v>0</v>
      </c>
      <c r="H157" s="590" t="e">
        <f ca="1">OFFSET('360SpcLdsCSV'!$B$5,$B157,H$51)</f>
        <v>#N/A</v>
      </c>
      <c r="I157" s="590" t="e">
        <f ca="1">OFFSET('360SpcLdsCSV'!$B$5,$B157,I$51)</f>
        <v>#N/A</v>
      </c>
      <c r="J157" s="590" t="e">
        <f ca="1">OFFSET('360SpcLdsCSV'!$B$5,$B157,J$51)</f>
        <v>#N/A</v>
      </c>
      <c r="K157" s="590" t="e">
        <f ca="1">OFFSET('360SpcLdsCSV'!$B$5,$B157,K$51)</f>
        <v>#N/A</v>
      </c>
      <c r="L157" s="590" t="e">
        <f ca="1">OFFSET('360SpcLdsCSV'!$B$5,$B157,L$51)</f>
        <v>#N/A</v>
      </c>
      <c r="M157" s="592" t="e">
        <f ca="1">OFFSET('360SpcLdsCSV'!$B$5,$B157,M$51)</f>
        <v>#N/A</v>
      </c>
      <c r="N157" s="592" t="e">
        <f ca="1">OFFSET('360SpcLdsCSV'!$B$5,$B157,N$51)</f>
        <v>#N/A</v>
      </c>
      <c r="O157" s="592" t="e">
        <f ca="1">OFFSET('360SpcLdsCSV'!$B$5,$B157,O$51)</f>
        <v>#N/A</v>
      </c>
      <c r="P157" s="592" t="e">
        <f ca="1">OFFSET('360SpcLdsCSV'!$B$5,$B157,P$51)</f>
        <v>#N/A</v>
      </c>
      <c r="Q157" s="592" t="e">
        <f ca="1">OFFSET('360SpcLdsCSV'!$B$5,$B157,Q$51)</f>
        <v>#N/A</v>
      </c>
      <c r="R157" s="592" t="e">
        <f ca="1">OFFSET('360SpcLdsCSV'!$B$5,$B157,R$51)</f>
        <v>#N/A</v>
      </c>
      <c r="S157" s="592" t="e">
        <f ca="1">OFFSET('360SpcLdsCSV'!$B$5,$B157,S$51)</f>
        <v>#N/A</v>
      </c>
      <c r="T157" s="592" t="e">
        <f ca="1">OFFSET('360SpcLdsCSV'!$B$5,$B157,T$51)</f>
        <v>#N/A</v>
      </c>
      <c r="U157" s="592" t="e">
        <f ca="1">OFFSET('360SpcLdsCSV'!$B$5,$B157,U$51)</f>
        <v>#N/A</v>
      </c>
      <c r="V157" s="592" t="e">
        <f ca="1">OFFSET('360SpcLdsCSV'!$B$5,$B157,V$51)</f>
        <v>#N/A</v>
      </c>
      <c r="W157" s="592" t="e">
        <f ca="1">OFFSET('360SpcLdsCSV'!$B$5,$B157,W$51)</f>
        <v>#N/A</v>
      </c>
      <c r="X157" s="592" t="e">
        <f ca="1">OFFSET('360SpcLdsCSV'!$B$5,$B157,X$51)</f>
        <v>#N/A</v>
      </c>
      <c r="Y157" s="592" t="e">
        <f ca="1">OFFSET('360SpcLdsCSV'!$B$5,$B157,Y$51)</f>
        <v>#N/A</v>
      </c>
      <c r="Z157" s="592" t="e">
        <f ca="1">OFFSET('360SpcLdsCSV'!$B$5,$B157,Z$51)</f>
        <v>#N/A</v>
      </c>
      <c r="AA157" s="592" t="e">
        <f ca="1">OFFSET('360SpcLdsCSV'!$B$5,$B157,AA$51)</f>
        <v>#N/A</v>
      </c>
      <c r="AB157" s="592" t="e">
        <f ca="1">OFFSET('360SpcLdsCSV'!$B$5,$B157,AB$51)</f>
        <v>#N/A</v>
      </c>
      <c r="AC157" s="592" t="e">
        <f ca="1">OFFSET('360SpcLdsCSV'!$B$5,$B157,AC$51)</f>
        <v>#N/A</v>
      </c>
      <c r="AD157" s="592" t="e">
        <f ca="1">OFFSET('360SpcLdsCSV'!$B$5,$B157,AD$51)</f>
        <v>#N/A</v>
      </c>
      <c r="AE157" s="592" t="e">
        <f ca="1">OFFSET('360SpcLdsCSV'!$B$5,$B157,AE$51)</f>
        <v>#N/A</v>
      </c>
      <c r="AF157" s="592" t="e">
        <f ca="1">OFFSET('360SpcLdsCSV'!$B$5,$B157,AF$51)</f>
        <v>#N/A</v>
      </c>
      <c r="AG157" s="592" t="e">
        <f ca="1">OFFSET('360SpcLdsCSV'!$B$5,$B157,AG$51)</f>
        <v>#N/A</v>
      </c>
      <c r="AH157" s="592" t="e">
        <f ca="1">OFFSET('360SpcLdsCSV'!$B$5,$B157,AH$51)</f>
        <v>#N/A</v>
      </c>
      <c r="AI157" s="592" t="e">
        <f ca="1">OFFSET('360SpcLdsCSV'!$B$5,$B157,AI$51)</f>
        <v>#N/A</v>
      </c>
      <c r="AJ157" s="592" t="e" cm="1">
        <f t="array" ref="AJ157">_xlfn.IFS($F157="Resi",1,$F157="Racc",0,$F157="Coml",0,$F157="Prkg",0)</f>
        <v>#VALUE!</v>
      </c>
      <c r="AK157" s="596"/>
      <c r="AL157" s="590" t="e">
        <f ca="1">OFFSET('360SpcLdsCSV'!$B$5,$B157,AL$51)</f>
        <v>#N/A</v>
      </c>
      <c r="AM157" s="663" t="e">
        <f t="shared" ca="1" si="139"/>
        <v>#N/A</v>
      </c>
      <c r="AN157" s="663" t="e">
        <f t="shared" ca="1" si="140"/>
        <v>#N/A</v>
      </c>
      <c r="AO157" s="663" t="e">
        <f t="shared" ca="1" si="167"/>
        <v>#N/A</v>
      </c>
      <c r="AP157" s="663" t="e">
        <f t="shared" ca="1" si="141"/>
        <v>#N/A</v>
      </c>
      <c r="AQ157" s="663" t="e">
        <f t="shared" ca="1" si="142"/>
        <v>#N/A</v>
      </c>
      <c r="AR157" s="663" t="e">
        <f t="shared" ca="1" si="143"/>
        <v>#N/A</v>
      </c>
      <c r="AS157" s="663" t="e">
        <f t="shared" ca="1" si="144"/>
        <v>#N/A</v>
      </c>
      <c r="AT157" s="663" t="e">
        <f t="shared" ca="1" si="145"/>
        <v>#N/A</v>
      </c>
      <c r="AU157" s="663" t="e">
        <f t="shared" ca="1" si="146"/>
        <v>#N/A</v>
      </c>
      <c r="AV157" s="663" t="e">
        <f t="shared" ca="1" si="147"/>
        <v>#N/A</v>
      </c>
      <c r="AW157" s="663" t="e">
        <f t="shared" ca="1" si="148"/>
        <v>#N/A</v>
      </c>
      <c r="AX157" s="663" t="e">
        <f t="shared" ca="1" si="149"/>
        <v>#N/A</v>
      </c>
      <c r="AY157" s="663" t="e">
        <f t="shared" ca="1" si="150"/>
        <v>#N/A</v>
      </c>
      <c r="AZ157" s="663" t="e">
        <f t="shared" ca="1" si="151"/>
        <v>#N/A</v>
      </c>
      <c r="BA157" s="663" t="e">
        <f t="shared" ca="1" si="152"/>
        <v>#N/A</v>
      </c>
      <c r="BB157" s="663" t="e">
        <f t="shared" ca="1" si="153"/>
        <v>#N/A</v>
      </c>
      <c r="BC157" s="663" t="e">
        <f t="shared" ca="1" si="154"/>
        <v>#N/A</v>
      </c>
      <c r="BD157" s="663" t="e">
        <f t="shared" ca="1" si="155"/>
        <v>#N/A</v>
      </c>
      <c r="BE157" s="663" t="e">
        <f t="shared" ca="1" si="156"/>
        <v>#N/A</v>
      </c>
      <c r="BF157" s="663" t="e">
        <f t="shared" ca="1" si="157"/>
        <v>#N/A</v>
      </c>
      <c r="BG157" s="663" t="e">
        <f t="shared" ca="1" si="158"/>
        <v>#N/A</v>
      </c>
      <c r="BH157" s="663" t="e">
        <f t="shared" ca="1" si="159"/>
        <v>#N/A</v>
      </c>
      <c r="BI157" s="663" t="e">
        <f t="shared" ca="1" si="160"/>
        <v>#N/A</v>
      </c>
      <c r="BJ157" s="663" t="e">
        <f t="shared" ca="1" si="161"/>
        <v>#N/A</v>
      </c>
      <c r="BK157" s="663" t="e">
        <f t="shared" ca="1" si="162"/>
        <v>#N/A</v>
      </c>
      <c r="BL157" s="1918"/>
      <c r="BM157" s="1532"/>
      <c r="BN157" s="1919"/>
      <c r="BO157" s="603"/>
      <c r="BP157" s="602"/>
      <c r="BQ157" s="602"/>
      <c r="BR157" s="602"/>
      <c r="BS157" s="604"/>
      <c r="BT157" s="605"/>
      <c r="BU157" s="602"/>
      <c r="BV157" s="602"/>
      <c r="BW157" s="606"/>
      <c r="BX157" s="607"/>
      <c r="BY157" s="608"/>
      <c r="BZ157" s="608"/>
      <c r="CA157"/>
      <c r="CB157" s="600"/>
    </row>
    <row r="158" spans="2:80" ht="12" customHeight="1" x14ac:dyDescent="0.35">
      <c r="B158" s="590" t="e">
        <f>MATCH(C158,'360SpcLdsCSV'!$C$6:$C$500,0)</f>
        <v>#N/A</v>
      </c>
      <c r="C158" s="590">
        <f>'360SpcLdsCSV'!C107</f>
        <v>0</v>
      </c>
      <c r="D158" s="590" t="str">
        <f t="shared" si="163"/>
        <v>0</v>
      </c>
      <c r="E158" s="590" t="e">
        <f t="shared" si="164"/>
        <v>#VALUE!</v>
      </c>
      <c r="F158" s="590" t="e">
        <f t="shared" si="165"/>
        <v>#VALUE!</v>
      </c>
      <c r="G158" s="590" t="str">
        <f t="shared" si="166"/>
        <v>0</v>
      </c>
      <c r="H158" s="590" t="e">
        <f ca="1">OFFSET('360SpcLdsCSV'!$B$5,$B158,H$51)</f>
        <v>#N/A</v>
      </c>
      <c r="I158" s="590" t="e">
        <f ca="1">OFFSET('360SpcLdsCSV'!$B$5,$B158,I$51)</f>
        <v>#N/A</v>
      </c>
      <c r="J158" s="590" t="e">
        <f ca="1">OFFSET('360SpcLdsCSV'!$B$5,$B158,J$51)</f>
        <v>#N/A</v>
      </c>
      <c r="K158" s="590" t="e">
        <f ca="1">OFFSET('360SpcLdsCSV'!$B$5,$B158,K$51)</f>
        <v>#N/A</v>
      </c>
      <c r="L158" s="590" t="e">
        <f ca="1">OFFSET('360SpcLdsCSV'!$B$5,$B158,L$51)</f>
        <v>#N/A</v>
      </c>
      <c r="M158" s="592" t="e">
        <f ca="1">OFFSET('360SpcLdsCSV'!$B$5,$B158,M$51)</f>
        <v>#N/A</v>
      </c>
      <c r="N158" s="592" t="e">
        <f ca="1">OFFSET('360SpcLdsCSV'!$B$5,$B158,N$51)</f>
        <v>#N/A</v>
      </c>
      <c r="O158" s="592" t="e">
        <f ca="1">OFFSET('360SpcLdsCSV'!$B$5,$B158,O$51)</f>
        <v>#N/A</v>
      </c>
      <c r="P158" s="592" t="e">
        <f ca="1">OFFSET('360SpcLdsCSV'!$B$5,$B158,P$51)</f>
        <v>#N/A</v>
      </c>
      <c r="Q158" s="592" t="e">
        <f ca="1">OFFSET('360SpcLdsCSV'!$B$5,$B158,Q$51)</f>
        <v>#N/A</v>
      </c>
      <c r="R158" s="592" t="e">
        <f ca="1">OFFSET('360SpcLdsCSV'!$B$5,$B158,R$51)</f>
        <v>#N/A</v>
      </c>
      <c r="S158" s="592" t="e">
        <f ca="1">OFFSET('360SpcLdsCSV'!$B$5,$B158,S$51)</f>
        <v>#N/A</v>
      </c>
      <c r="T158" s="592" t="e">
        <f ca="1">OFFSET('360SpcLdsCSV'!$B$5,$B158,T$51)</f>
        <v>#N/A</v>
      </c>
      <c r="U158" s="592" t="e">
        <f ca="1">OFFSET('360SpcLdsCSV'!$B$5,$B158,U$51)</f>
        <v>#N/A</v>
      </c>
      <c r="V158" s="592" t="e">
        <f ca="1">OFFSET('360SpcLdsCSV'!$B$5,$B158,V$51)</f>
        <v>#N/A</v>
      </c>
      <c r="W158" s="592" t="e">
        <f ca="1">OFFSET('360SpcLdsCSV'!$B$5,$B158,W$51)</f>
        <v>#N/A</v>
      </c>
      <c r="X158" s="592" t="e">
        <f ca="1">OFFSET('360SpcLdsCSV'!$B$5,$B158,X$51)</f>
        <v>#N/A</v>
      </c>
      <c r="Y158" s="592" t="e">
        <f ca="1">OFFSET('360SpcLdsCSV'!$B$5,$B158,Y$51)</f>
        <v>#N/A</v>
      </c>
      <c r="Z158" s="592" t="e">
        <f ca="1">OFFSET('360SpcLdsCSV'!$B$5,$B158,Z$51)</f>
        <v>#N/A</v>
      </c>
      <c r="AA158" s="592" t="e">
        <f ca="1">OFFSET('360SpcLdsCSV'!$B$5,$B158,AA$51)</f>
        <v>#N/A</v>
      </c>
      <c r="AB158" s="592" t="e">
        <f ca="1">OFFSET('360SpcLdsCSV'!$B$5,$B158,AB$51)</f>
        <v>#N/A</v>
      </c>
      <c r="AC158" s="592" t="e">
        <f ca="1">OFFSET('360SpcLdsCSV'!$B$5,$B158,AC$51)</f>
        <v>#N/A</v>
      </c>
      <c r="AD158" s="592" t="e">
        <f ca="1">OFFSET('360SpcLdsCSV'!$B$5,$B158,AD$51)</f>
        <v>#N/A</v>
      </c>
      <c r="AE158" s="592" t="e">
        <f ca="1">OFFSET('360SpcLdsCSV'!$B$5,$B158,AE$51)</f>
        <v>#N/A</v>
      </c>
      <c r="AF158" s="592" t="e">
        <f ca="1">OFFSET('360SpcLdsCSV'!$B$5,$B158,AF$51)</f>
        <v>#N/A</v>
      </c>
      <c r="AG158" s="592" t="e">
        <f ca="1">OFFSET('360SpcLdsCSV'!$B$5,$B158,AG$51)</f>
        <v>#N/A</v>
      </c>
      <c r="AH158" s="592" t="e">
        <f ca="1">OFFSET('360SpcLdsCSV'!$B$5,$B158,AH$51)</f>
        <v>#N/A</v>
      </c>
      <c r="AI158" s="592" t="e">
        <f ca="1">OFFSET('360SpcLdsCSV'!$B$5,$B158,AI$51)</f>
        <v>#N/A</v>
      </c>
      <c r="AJ158" s="592" t="e" cm="1">
        <f t="array" ref="AJ158">_xlfn.IFS($F158="Resi",1,$F158="Racc",0,$F158="Coml",0,$F158="Prkg",0)</f>
        <v>#VALUE!</v>
      </c>
      <c r="AK158" s="596"/>
      <c r="AL158" s="590" t="e">
        <f ca="1">OFFSET('360SpcLdsCSV'!$B$5,$B158,AL$51)</f>
        <v>#N/A</v>
      </c>
      <c r="AM158" s="663" t="e">
        <f t="shared" ca="1" si="139"/>
        <v>#N/A</v>
      </c>
      <c r="AN158" s="663" t="e">
        <f t="shared" ca="1" si="140"/>
        <v>#N/A</v>
      </c>
      <c r="AO158" s="663" t="e">
        <f t="shared" ca="1" si="167"/>
        <v>#N/A</v>
      </c>
      <c r="AP158" s="663" t="e">
        <f t="shared" ca="1" si="141"/>
        <v>#N/A</v>
      </c>
      <c r="AQ158" s="663" t="e">
        <f t="shared" ca="1" si="142"/>
        <v>#N/A</v>
      </c>
      <c r="AR158" s="663" t="e">
        <f t="shared" ca="1" si="143"/>
        <v>#N/A</v>
      </c>
      <c r="AS158" s="663" t="e">
        <f t="shared" ca="1" si="144"/>
        <v>#N/A</v>
      </c>
      <c r="AT158" s="663" t="e">
        <f t="shared" ca="1" si="145"/>
        <v>#N/A</v>
      </c>
      <c r="AU158" s="663" t="e">
        <f t="shared" ca="1" si="146"/>
        <v>#N/A</v>
      </c>
      <c r="AV158" s="663" t="e">
        <f t="shared" ca="1" si="147"/>
        <v>#N/A</v>
      </c>
      <c r="AW158" s="663" t="e">
        <f t="shared" ca="1" si="148"/>
        <v>#N/A</v>
      </c>
      <c r="AX158" s="663" t="e">
        <f t="shared" ca="1" si="149"/>
        <v>#N/A</v>
      </c>
      <c r="AY158" s="663" t="e">
        <f t="shared" ca="1" si="150"/>
        <v>#N/A</v>
      </c>
      <c r="AZ158" s="663" t="e">
        <f t="shared" ca="1" si="151"/>
        <v>#N/A</v>
      </c>
      <c r="BA158" s="663" t="e">
        <f t="shared" ca="1" si="152"/>
        <v>#N/A</v>
      </c>
      <c r="BB158" s="663" t="e">
        <f t="shared" ca="1" si="153"/>
        <v>#N/A</v>
      </c>
      <c r="BC158" s="663" t="e">
        <f t="shared" ca="1" si="154"/>
        <v>#N/A</v>
      </c>
      <c r="BD158" s="663" t="e">
        <f t="shared" ca="1" si="155"/>
        <v>#N/A</v>
      </c>
      <c r="BE158" s="663" t="e">
        <f t="shared" ca="1" si="156"/>
        <v>#N/A</v>
      </c>
      <c r="BF158" s="663" t="e">
        <f t="shared" ca="1" si="157"/>
        <v>#N/A</v>
      </c>
      <c r="BG158" s="663" t="e">
        <f t="shared" ca="1" si="158"/>
        <v>#N/A</v>
      </c>
      <c r="BH158" s="663" t="e">
        <f t="shared" ca="1" si="159"/>
        <v>#N/A</v>
      </c>
      <c r="BI158" s="663" t="e">
        <f t="shared" ca="1" si="160"/>
        <v>#N/A</v>
      </c>
      <c r="BJ158" s="663" t="e">
        <f t="shared" ca="1" si="161"/>
        <v>#N/A</v>
      </c>
      <c r="BK158" s="663" t="e">
        <f t="shared" ca="1" si="162"/>
        <v>#N/A</v>
      </c>
      <c r="BL158" s="1918"/>
      <c r="BM158" s="1532"/>
      <c r="BN158" s="1919"/>
      <c r="BO158" s="603"/>
      <c r="BP158" s="602"/>
      <c r="BQ158" s="602"/>
      <c r="BR158" s="602"/>
      <c r="BS158" s="604"/>
      <c r="BT158" s="605"/>
      <c r="BU158" s="602"/>
      <c r="BV158" s="602"/>
      <c r="BW158" s="606"/>
      <c r="BX158" s="607"/>
      <c r="BY158" s="608"/>
      <c r="BZ158" s="608"/>
      <c r="CA158"/>
      <c r="CB158" s="600"/>
    </row>
    <row r="159" spans="2:80" ht="12" customHeight="1" x14ac:dyDescent="0.35">
      <c r="B159" s="590" t="e">
        <f>MATCH(C159,'360SpcLdsCSV'!$C$6:$C$500,0)</f>
        <v>#N/A</v>
      </c>
      <c r="C159" s="590">
        <f>'360SpcLdsCSV'!C108</f>
        <v>0</v>
      </c>
      <c r="D159" s="590" t="str">
        <f t="shared" si="163"/>
        <v>0</v>
      </c>
      <c r="E159" s="590" t="e">
        <f t="shared" si="164"/>
        <v>#VALUE!</v>
      </c>
      <c r="F159" s="590" t="e">
        <f t="shared" si="165"/>
        <v>#VALUE!</v>
      </c>
      <c r="G159" s="590" t="str">
        <f t="shared" si="166"/>
        <v>0</v>
      </c>
      <c r="H159" s="590" t="e">
        <f ca="1">OFFSET('360SpcLdsCSV'!$B$5,$B159,H$51)</f>
        <v>#N/A</v>
      </c>
      <c r="I159" s="590" t="e">
        <f ca="1">OFFSET('360SpcLdsCSV'!$B$5,$B159,I$51)</f>
        <v>#N/A</v>
      </c>
      <c r="J159" s="590" t="e">
        <f ca="1">OFFSET('360SpcLdsCSV'!$B$5,$B159,J$51)</f>
        <v>#N/A</v>
      </c>
      <c r="K159" s="590" t="e">
        <f ca="1">OFFSET('360SpcLdsCSV'!$B$5,$B159,K$51)</f>
        <v>#N/A</v>
      </c>
      <c r="L159" s="590" t="e">
        <f ca="1">OFFSET('360SpcLdsCSV'!$B$5,$B159,L$51)</f>
        <v>#N/A</v>
      </c>
      <c r="M159" s="592" t="e">
        <f ca="1">OFFSET('360SpcLdsCSV'!$B$5,$B159,M$51)</f>
        <v>#N/A</v>
      </c>
      <c r="N159" s="592" t="e">
        <f ca="1">OFFSET('360SpcLdsCSV'!$B$5,$B159,N$51)</f>
        <v>#N/A</v>
      </c>
      <c r="O159" s="592" t="e">
        <f ca="1">OFFSET('360SpcLdsCSV'!$B$5,$B159,O$51)</f>
        <v>#N/A</v>
      </c>
      <c r="P159" s="592" t="e">
        <f ca="1">OFFSET('360SpcLdsCSV'!$B$5,$B159,P$51)</f>
        <v>#N/A</v>
      </c>
      <c r="Q159" s="592" t="e">
        <f ca="1">OFFSET('360SpcLdsCSV'!$B$5,$B159,Q$51)</f>
        <v>#N/A</v>
      </c>
      <c r="R159" s="592" t="e">
        <f ca="1">OFFSET('360SpcLdsCSV'!$B$5,$B159,R$51)</f>
        <v>#N/A</v>
      </c>
      <c r="S159" s="592" t="e">
        <f ca="1">OFFSET('360SpcLdsCSV'!$B$5,$B159,S$51)</f>
        <v>#N/A</v>
      </c>
      <c r="T159" s="592" t="e">
        <f ca="1">OFFSET('360SpcLdsCSV'!$B$5,$B159,T$51)</f>
        <v>#N/A</v>
      </c>
      <c r="U159" s="592" t="e">
        <f ca="1">OFFSET('360SpcLdsCSV'!$B$5,$B159,U$51)</f>
        <v>#N/A</v>
      </c>
      <c r="V159" s="592" t="e">
        <f ca="1">OFFSET('360SpcLdsCSV'!$B$5,$B159,V$51)</f>
        <v>#N/A</v>
      </c>
      <c r="W159" s="592" t="e">
        <f ca="1">OFFSET('360SpcLdsCSV'!$B$5,$B159,W$51)</f>
        <v>#N/A</v>
      </c>
      <c r="X159" s="592" t="e">
        <f ca="1">OFFSET('360SpcLdsCSV'!$B$5,$B159,X$51)</f>
        <v>#N/A</v>
      </c>
      <c r="Y159" s="592" t="e">
        <f ca="1">OFFSET('360SpcLdsCSV'!$B$5,$B159,Y$51)</f>
        <v>#N/A</v>
      </c>
      <c r="Z159" s="592" t="e">
        <f ca="1">OFFSET('360SpcLdsCSV'!$B$5,$B159,Z$51)</f>
        <v>#N/A</v>
      </c>
      <c r="AA159" s="592" t="e">
        <f ca="1">OFFSET('360SpcLdsCSV'!$B$5,$B159,AA$51)</f>
        <v>#N/A</v>
      </c>
      <c r="AB159" s="592" t="e">
        <f ca="1">OFFSET('360SpcLdsCSV'!$B$5,$B159,AB$51)</f>
        <v>#N/A</v>
      </c>
      <c r="AC159" s="592" t="e">
        <f ca="1">OFFSET('360SpcLdsCSV'!$B$5,$B159,AC$51)</f>
        <v>#N/A</v>
      </c>
      <c r="AD159" s="592" t="e">
        <f ca="1">OFFSET('360SpcLdsCSV'!$B$5,$B159,AD$51)</f>
        <v>#N/A</v>
      </c>
      <c r="AE159" s="592" t="e">
        <f ca="1">OFFSET('360SpcLdsCSV'!$B$5,$B159,AE$51)</f>
        <v>#N/A</v>
      </c>
      <c r="AF159" s="592" t="e">
        <f ca="1">OFFSET('360SpcLdsCSV'!$B$5,$B159,AF$51)</f>
        <v>#N/A</v>
      </c>
      <c r="AG159" s="592" t="e">
        <f ca="1">OFFSET('360SpcLdsCSV'!$B$5,$B159,AG$51)</f>
        <v>#N/A</v>
      </c>
      <c r="AH159" s="592" t="e">
        <f ca="1">OFFSET('360SpcLdsCSV'!$B$5,$B159,AH$51)</f>
        <v>#N/A</v>
      </c>
      <c r="AI159" s="592" t="e">
        <f ca="1">OFFSET('360SpcLdsCSV'!$B$5,$B159,AI$51)</f>
        <v>#N/A</v>
      </c>
      <c r="AJ159" s="592" t="e" cm="1">
        <f t="array" ref="AJ159">_xlfn.IFS($F159="Resi",1,$F159="Racc",0,$F159="Coml",0,$F159="Prkg",0)</f>
        <v>#VALUE!</v>
      </c>
      <c r="AK159" s="596"/>
      <c r="AL159" s="590" t="e">
        <f ca="1">OFFSET('360SpcLdsCSV'!$B$5,$B159,AL$51)</f>
        <v>#N/A</v>
      </c>
      <c r="AM159" s="663" t="e">
        <f t="shared" ca="1" si="139"/>
        <v>#N/A</v>
      </c>
      <c r="AN159" s="663" t="e">
        <f t="shared" ca="1" si="140"/>
        <v>#N/A</v>
      </c>
      <c r="AO159" s="663" t="e">
        <f t="shared" ca="1" si="167"/>
        <v>#N/A</v>
      </c>
      <c r="AP159" s="663" t="e">
        <f t="shared" ca="1" si="141"/>
        <v>#N/A</v>
      </c>
      <c r="AQ159" s="663" t="e">
        <f t="shared" ca="1" si="142"/>
        <v>#N/A</v>
      </c>
      <c r="AR159" s="663" t="e">
        <f t="shared" ca="1" si="143"/>
        <v>#N/A</v>
      </c>
      <c r="AS159" s="663" t="e">
        <f t="shared" ca="1" si="144"/>
        <v>#N/A</v>
      </c>
      <c r="AT159" s="663" t="e">
        <f t="shared" ca="1" si="145"/>
        <v>#N/A</v>
      </c>
      <c r="AU159" s="663" t="e">
        <f t="shared" ca="1" si="146"/>
        <v>#N/A</v>
      </c>
      <c r="AV159" s="663" t="e">
        <f t="shared" ca="1" si="147"/>
        <v>#N/A</v>
      </c>
      <c r="AW159" s="663" t="e">
        <f t="shared" ca="1" si="148"/>
        <v>#N/A</v>
      </c>
      <c r="AX159" s="663" t="e">
        <f t="shared" ca="1" si="149"/>
        <v>#N/A</v>
      </c>
      <c r="AY159" s="663" t="e">
        <f t="shared" ca="1" si="150"/>
        <v>#N/A</v>
      </c>
      <c r="AZ159" s="663" t="e">
        <f t="shared" ca="1" si="151"/>
        <v>#N/A</v>
      </c>
      <c r="BA159" s="663" t="e">
        <f t="shared" ca="1" si="152"/>
        <v>#N/A</v>
      </c>
      <c r="BB159" s="663" t="e">
        <f t="shared" ca="1" si="153"/>
        <v>#N/A</v>
      </c>
      <c r="BC159" s="663" t="e">
        <f t="shared" ca="1" si="154"/>
        <v>#N/A</v>
      </c>
      <c r="BD159" s="663" t="e">
        <f t="shared" ca="1" si="155"/>
        <v>#N/A</v>
      </c>
      <c r="BE159" s="663" t="e">
        <f t="shared" ca="1" si="156"/>
        <v>#N/A</v>
      </c>
      <c r="BF159" s="663" t="e">
        <f t="shared" ca="1" si="157"/>
        <v>#N/A</v>
      </c>
      <c r="BG159" s="663" t="e">
        <f t="shared" ca="1" si="158"/>
        <v>#N/A</v>
      </c>
      <c r="BH159" s="663" t="e">
        <f t="shared" ca="1" si="159"/>
        <v>#N/A</v>
      </c>
      <c r="BI159" s="663" t="e">
        <f t="shared" ca="1" si="160"/>
        <v>#N/A</v>
      </c>
      <c r="BJ159" s="663" t="e">
        <f t="shared" ca="1" si="161"/>
        <v>#N/A</v>
      </c>
      <c r="BK159" s="663" t="e">
        <f t="shared" ca="1" si="162"/>
        <v>#N/A</v>
      </c>
      <c r="BL159" s="1918"/>
      <c r="BM159" s="1532"/>
      <c r="BN159" s="1919"/>
      <c r="BO159" s="603"/>
      <c r="BP159" s="602"/>
      <c r="BQ159" s="602"/>
      <c r="BR159" s="602"/>
      <c r="BS159" s="604"/>
      <c r="BT159" s="605"/>
      <c r="BU159" s="602"/>
      <c r="BV159" s="602"/>
      <c r="BW159" s="606"/>
      <c r="BX159" s="607"/>
      <c r="BY159" s="608"/>
      <c r="BZ159" s="608"/>
      <c r="CA159"/>
      <c r="CB159" s="600"/>
    </row>
    <row r="160" spans="2:80" ht="12" customHeight="1" x14ac:dyDescent="0.35">
      <c r="B160" s="590" t="e">
        <f>MATCH(C160,'360SpcLdsCSV'!$C$6:$C$500,0)</f>
        <v>#N/A</v>
      </c>
      <c r="C160" s="590">
        <f>'360SpcLdsCSV'!C109</f>
        <v>0</v>
      </c>
      <c r="D160" s="590" t="str">
        <f t="shared" si="163"/>
        <v>0</v>
      </c>
      <c r="E160" s="590" t="e">
        <f t="shared" si="164"/>
        <v>#VALUE!</v>
      </c>
      <c r="F160" s="590" t="e">
        <f t="shared" si="165"/>
        <v>#VALUE!</v>
      </c>
      <c r="G160" s="590" t="str">
        <f t="shared" si="166"/>
        <v>0</v>
      </c>
      <c r="H160" s="590" t="e">
        <f ca="1">OFFSET('360SpcLdsCSV'!$B$5,$B160,H$51)</f>
        <v>#N/A</v>
      </c>
      <c r="I160" s="590" t="e">
        <f ca="1">OFFSET('360SpcLdsCSV'!$B$5,$B160,I$51)</f>
        <v>#N/A</v>
      </c>
      <c r="J160" s="590" t="e">
        <f ca="1">OFFSET('360SpcLdsCSV'!$B$5,$B160,J$51)</f>
        <v>#N/A</v>
      </c>
      <c r="K160" s="590" t="e">
        <f ca="1">OFFSET('360SpcLdsCSV'!$B$5,$B160,K$51)</f>
        <v>#N/A</v>
      </c>
      <c r="L160" s="590" t="e">
        <f ca="1">OFFSET('360SpcLdsCSV'!$B$5,$B160,L$51)</f>
        <v>#N/A</v>
      </c>
      <c r="M160" s="592" t="e">
        <f ca="1">OFFSET('360SpcLdsCSV'!$B$5,$B160,M$51)</f>
        <v>#N/A</v>
      </c>
      <c r="N160" s="592" t="e">
        <f ca="1">OFFSET('360SpcLdsCSV'!$B$5,$B160,N$51)</f>
        <v>#N/A</v>
      </c>
      <c r="O160" s="592" t="e">
        <f ca="1">OFFSET('360SpcLdsCSV'!$B$5,$B160,O$51)</f>
        <v>#N/A</v>
      </c>
      <c r="P160" s="592" t="e">
        <f ca="1">OFFSET('360SpcLdsCSV'!$B$5,$B160,P$51)</f>
        <v>#N/A</v>
      </c>
      <c r="Q160" s="592" t="e">
        <f ca="1">OFFSET('360SpcLdsCSV'!$B$5,$B160,Q$51)</f>
        <v>#N/A</v>
      </c>
      <c r="R160" s="592" t="e">
        <f ca="1">OFFSET('360SpcLdsCSV'!$B$5,$B160,R$51)</f>
        <v>#N/A</v>
      </c>
      <c r="S160" s="592" t="e">
        <f ca="1">OFFSET('360SpcLdsCSV'!$B$5,$B160,S$51)</f>
        <v>#N/A</v>
      </c>
      <c r="T160" s="592" t="e">
        <f ca="1">OFFSET('360SpcLdsCSV'!$B$5,$B160,T$51)</f>
        <v>#N/A</v>
      </c>
      <c r="U160" s="592" t="e">
        <f ca="1">OFFSET('360SpcLdsCSV'!$B$5,$B160,U$51)</f>
        <v>#N/A</v>
      </c>
      <c r="V160" s="592" t="e">
        <f ca="1">OFFSET('360SpcLdsCSV'!$B$5,$B160,V$51)</f>
        <v>#N/A</v>
      </c>
      <c r="W160" s="592" t="e">
        <f ca="1">OFFSET('360SpcLdsCSV'!$B$5,$B160,W$51)</f>
        <v>#N/A</v>
      </c>
      <c r="X160" s="592" t="e">
        <f ca="1">OFFSET('360SpcLdsCSV'!$B$5,$B160,X$51)</f>
        <v>#N/A</v>
      </c>
      <c r="Y160" s="592" t="e">
        <f ca="1">OFFSET('360SpcLdsCSV'!$B$5,$B160,Y$51)</f>
        <v>#N/A</v>
      </c>
      <c r="Z160" s="592" t="e">
        <f ca="1">OFFSET('360SpcLdsCSV'!$B$5,$B160,Z$51)</f>
        <v>#N/A</v>
      </c>
      <c r="AA160" s="592" t="e">
        <f ca="1">OFFSET('360SpcLdsCSV'!$B$5,$B160,AA$51)</f>
        <v>#N/A</v>
      </c>
      <c r="AB160" s="592" t="e">
        <f ca="1">OFFSET('360SpcLdsCSV'!$B$5,$B160,AB$51)</f>
        <v>#N/A</v>
      </c>
      <c r="AC160" s="592" t="e">
        <f ca="1">OFFSET('360SpcLdsCSV'!$B$5,$B160,AC$51)</f>
        <v>#N/A</v>
      </c>
      <c r="AD160" s="592" t="e">
        <f ca="1">OFFSET('360SpcLdsCSV'!$B$5,$B160,AD$51)</f>
        <v>#N/A</v>
      </c>
      <c r="AE160" s="592" t="e">
        <f ca="1">OFFSET('360SpcLdsCSV'!$B$5,$B160,AE$51)</f>
        <v>#N/A</v>
      </c>
      <c r="AF160" s="592" t="e">
        <f ca="1">OFFSET('360SpcLdsCSV'!$B$5,$B160,AF$51)</f>
        <v>#N/A</v>
      </c>
      <c r="AG160" s="592" t="e">
        <f ca="1">OFFSET('360SpcLdsCSV'!$B$5,$B160,AG$51)</f>
        <v>#N/A</v>
      </c>
      <c r="AH160" s="592" t="e">
        <f ca="1">OFFSET('360SpcLdsCSV'!$B$5,$B160,AH$51)</f>
        <v>#N/A</v>
      </c>
      <c r="AI160" s="592" t="e">
        <f ca="1">OFFSET('360SpcLdsCSV'!$B$5,$B160,AI$51)</f>
        <v>#N/A</v>
      </c>
      <c r="AJ160" s="592" t="e" cm="1">
        <f t="array" ref="AJ160">_xlfn.IFS($F160="Resi",1,$F160="Racc",0,$F160="Coml",0,$F160="Prkg",0)</f>
        <v>#VALUE!</v>
      </c>
      <c r="AK160" s="596"/>
      <c r="AL160" s="590" t="e">
        <f ca="1">OFFSET('360SpcLdsCSV'!$B$5,$B160,AL$51)</f>
        <v>#N/A</v>
      </c>
      <c r="AM160" s="663" t="e">
        <f t="shared" ca="1" si="139"/>
        <v>#N/A</v>
      </c>
      <c r="AN160" s="663" t="e">
        <f t="shared" ca="1" si="140"/>
        <v>#N/A</v>
      </c>
      <c r="AO160" s="663" t="e">
        <f t="shared" ca="1" si="167"/>
        <v>#N/A</v>
      </c>
      <c r="AP160" s="663" t="e">
        <f t="shared" ca="1" si="141"/>
        <v>#N/A</v>
      </c>
      <c r="AQ160" s="663" t="e">
        <f t="shared" ca="1" si="142"/>
        <v>#N/A</v>
      </c>
      <c r="AR160" s="663" t="e">
        <f t="shared" ca="1" si="143"/>
        <v>#N/A</v>
      </c>
      <c r="AS160" s="663" t="e">
        <f t="shared" ca="1" si="144"/>
        <v>#N/A</v>
      </c>
      <c r="AT160" s="663" t="e">
        <f t="shared" ca="1" si="145"/>
        <v>#N/A</v>
      </c>
      <c r="AU160" s="663" t="e">
        <f t="shared" ca="1" si="146"/>
        <v>#N/A</v>
      </c>
      <c r="AV160" s="663" t="e">
        <f t="shared" ca="1" si="147"/>
        <v>#N/A</v>
      </c>
      <c r="AW160" s="663" t="e">
        <f t="shared" ca="1" si="148"/>
        <v>#N/A</v>
      </c>
      <c r="AX160" s="663" t="e">
        <f t="shared" ca="1" si="149"/>
        <v>#N/A</v>
      </c>
      <c r="AY160" s="663" t="e">
        <f t="shared" ca="1" si="150"/>
        <v>#N/A</v>
      </c>
      <c r="AZ160" s="663" t="e">
        <f t="shared" ca="1" si="151"/>
        <v>#N/A</v>
      </c>
      <c r="BA160" s="663" t="e">
        <f t="shared" ca="1" si="152"/>
        <v>#N/A</v>
      </c>
      <c r="BB160" s="663" t="e">
        <f t="shared" ca="1" si="153"/>
        <v>#N/A</v>
      </c>
      <c r="BC160" s="663" t="e">
        <f t="shared" ca="1" si="154"/>
        <v>#N/A</v>
      </c>
      <c r="BD160" s="663" t="e">
        <f t="shared" ca="1" si="155"/>
        <v>#N/A</v>
      </c>
      <c r="BE160" s="663" t="e">
        <f t="shared" ca="1" si="156"/>
        <v>#N/A</v>
      </c>
      <c r="BF160" s="663" t="e">
        <f t="shared" ca="1" si="157"/>
        <v>#N/A</v>
      </c>
      <c r="BG160" s="663" t="e">
        <f t="shared" ca="1" si="158"/>
        <v>#N/A</v>
      </c>
      <c r="BH160" s="663" t="e">
        <f t="shared" ca="1" si="159"/>
        <v>#N/A</v>
      </c>
      <c r="BI160" s="663" t="e">
        <f t="shared" ca="1" si="160"/>
        <v>#N/A</v>
      </c>
      <c r="BJ160" s="663" t="e">
        <f t="shared" ca="1" si="161"/>
        <v>#N/A</v>
      </c>
      <c r="BK160" s="663" t="e">
        <f t="shared" ca="1" si="162"/>
        <v>#N/A</v>
      </c>
      <c r="BL160" s="1918"/>
      <c r="BM160" s="1532"/>
      <c r="BN160" s="1919"/>
      <c r="BO160" s="603"/>
      <c r="BP160" s="602"/>
      <c r="BQ160" s="602"/>
      <c r="BR160" s="602"/>
      <c r="BS160" s="604"/>
      <c r="BT160" s="605"/>
      <c r="BU160" s="602"/>
      <c r="BV160" s="602"/>
      <c r="BW160" s="606"/>
      <c r="BX160" s="607"/>
      <c r="BY160" s="608"/>
      <c r="BZ160" s="608"/>
      <c r="CA160"/>
      <c r="CB160" s="600"/>
    </row>
    <row r="161" spans="2:80" ht="12" customHeight="1" x14ac:dyDescent="0.35">
      <c r="B161" s="590" t="e">
        <f>MATCH(C161,'360SpcLdsCSV'!$C$6:$C$500,0)</f>
        <v>#N/A</v>
      </c>
      <c r="C161" s="590">
        <f>'360SpcLdsCSV'!C110</f>
        <v>0</v>
      </c>
      <c r="D161" s="590" t="str">
        <f t="shared" si="163"/>
        <v>0</v>
      </c>
      <c r="E161" s="590" t="e">
        <f t="shared" si="164"/>
        <v>#VALUE!</v>
      </c>
      <c r="F161" s="590" t="e">
        <f t="shared" si="165"/>
        <v>#VALUE!</v>
      </c>
      <c r="G161" s="590" t="str">
        <f t="shared" si="166"/>
        <v>0</v>
      </c>
      <c r="H161" s="590" t="e">
        <f ca="1">OFFSET('360SpcLdsCSV'!$B$5,$B161,H$51)</f>
        <v>#N/A</v>
      </c>
      <c r="I161" s="590" t="e">
        <f ca="1">OFFSET('360SpcLdsCSV'!$B$5,$B161,I$51)</f>
        <v>#N/A</v>
      </c>
      <c r="J161" s="590" t="e">
        <f ca="1">OFFSET('360SpcLdsCSV'!$B$5,$B161,J$51)</f>
        <v>#N/A</v>
      </c>
      <c r="K161" s="590" t="e">
        <f ca="1">OFFSET('360SpcLdsCSV'!$B$5,$B161,K$51)</f>
        <v>#N/A</v>
      </c>
      <c r="L161" s="590" t="e">
        <f ca="1">OFFSET('360SpcLdsCSV'!$B$5,$B161,L$51)</f>
        <v>#N/A</v>
      </c>
      <c r="M161" s="592" t="e">
        <f ca="1">OFFSET('360SpcLdsCSV'!$B$5,$B161,M$51)</f>
        <v>#N/A</v>
      </c>
      <c r="N161" s="592" t="e">
        <f ca="1">OFFSET('360SpcLdsCSV'!$B$5,$B161,N$51)</f>
        <v>#N/A</v>
      </c>
      <c r="O161" s="592" t="e">
        <f ca="1">OFFSET('360SpcLdsCSV'!$B$5,$B161,O$51)</f>
        <v>#N/A</v>
      </c>
      <c r="P161" s="592" t="e">
        <f ca="1">OFFSET('360SpcLdsCSV'!$B$5,$B161,P$51)</f>
        <v>#N/A</v>
      </c>
      <c r="Q161" s="592" t="e">
        <f ca="1">OFFSET('360SpcLdsCSV'!$B$5,$B161,Q$51)</f>
        <v>#N/A</v>
      </c>
      <c r="R161" s="592" t="e">
        <f ca="1">OFFSET('360SpcLdsCSV'!$B$5,$B161,R$51)</f>
        <v>#N/A</v>
      </c>
      <c r="S161" s="592" t="e">
        <f ca="1">OFFSET('360SpcLdsCSV'!$B$5,$B161,S$51)</f>
        <v>#N/A</v>
      </c>
      <c r="T161" s="592" t="e">
        <f ca="1">OFFSET('360SpcLdsCSV'!$B$5,$B161,T$51)</f>
        <v>#N/A</v>
      </c>
      <c r="U161" s="592" t="e">
        <f ca="1">OFFSET('360SpcLdsCSV'!$B$5,$B161,U$51)</f>
        <v>#N/A</v>
      </c>
      <c r="V161" s="592" t="e">
        <f ca="1">OFFSET('360SpcLdsCSV'!$B$5,$B161,V$51)</f>
        <v>#N/A</v>
      </c>
      <c r="W161" s="592" t="e">
        <f ca="1">OFFSET('360SpcLdsCSV'!$B$5,$B161,W$51)</f>
        <v>#N/A</v>
      </c>
      <c r="X161" s="592" t="e">
        <f ca="1">OFFSET('360SpcLdsCSV'!$B$5,$B161,X$51)</f>
        <v>#N/A</v>
      </c>
      <c r="Y161" s="592" t="e">
        <f ca="1">OFFSET('360SpcLdsCSV'!$B$5,$B161,Y$51)</f>
        <v>#N/A</v>
      </c>
      <c r="Z161" s="592" t="e">
        <f ca="1">OFFSET('360SpcLdsCSV'!$B$5,$B161,Z$51)</f>
        <v>#N/A</v>
      </c>
      <c r="AA161" s="592" t="e">
        <f ca="1">OFFSET('360SpcLdsCSV'!$B$5,$B161,AA$51)</f>
        <v>#N/A</v>
      </c>
      <c r="AB161" s="592" t="e">
        <f ca="1">OFFSET('360SpcLdsCSV'!$B$5,$B161,AB$51)</f>
        <v>#N/A</v>
      </c>
      <c r="AC161" s="592" t="e">
        <f ca="1">OFFSET('360SpcLdsCSV'!$B$5,$B161,AC$51)</f>
        <v>#N/A</v>
      </c>
      <c r="AD161" s="592" t="e">
        <f ca="1">OFFSET('360SpcLdsCSV'!$B$5,$B161,AD$51)</f>
        <v>#N/A</v>
      </c>
      <c r="AE161" s="592" t="e">
        <f ca="1">OFFSET('360SpcLdsCSV'!$B$5,$B161,AE$51)</f>
        <v>#N/A</v>
      </c>
      <c r="AF161" s="592" t="e">
        <f ca="1">OFFSET('360SpcLdsCSV'!$B$5,$B161,AF$51)</f>
        <v>#N/A</v>
      </c>
      <c r="AG161" s="592" t="e">
        <f ca="1">OFFSET('360SpcLdsCSV'!$B$5,$B161,AG$51)</f>
        <v>#N/A</v>
      </c>
      <c r="AH161" s="592" t="e">
        <f ca="1">OFFSET('360SpcLdsCSV'!$B$5,$B161,AH$51)</f>
        <v>#N/A</v>
      </c>
      <c r="AI161" s="592" t="e">
        <f ca="1">OFFSET('360SpcLdsCSV'!$B$5,$B161,AI$51)</f>
        <v>#N/A</v>
      </c>
      <c r="AJ161" s="592" t="e" cm="1">
        <f t="array" ref="AJ161">_xlfn.IFS($F161="Resi",1,$F161="Racc",0,$F161="Coml",0,$F161="Prkg",0)</f>
        <v>#VALUE!</v>
      </c>
      <c r="AK161" s="596"/>
      <c r="AL161" s="590" t="e">
        <f ca="1">OFFSET('360SpcLdsCSV'!$B$5,$B161,AL$51)</f>
        <v>#N/A</v>
      </c>
      <c r="AM161" s="663" t="e">
        <f t="shared" ca="1" si="139"/>
        <v>#N/A</v>
      </c>
      <c r="AN161" s="663" t="e">
        <f t="shared" ca="1" si="140"/>
        <v>#N/A</v>
      </c>
      <c r="AO161" s="663" t="e">
        <f t="shared" ca="1" si="167"/>
        <v>#N/A</v>
      </c>
      <c r="AP161" s="663" t="e">
        <f t="shared" ca="1" si="141"/>
        <v>#N/A</v>
      </c>
      <c r="AQ161" s="663" t="e">
        <f t="shared" ca="1" si="142"/>
        <v>#N/A</v>
      </c>
      <c r="AR161" s="663" t="e">
        <f t="shared" ca="1" si="143"/>
        <v>#N/A</v>
      </c>
      <c r="AS161" s="663" t="e">
        <f t="shared" ca="1" si="144"/>
        <v>#N/A</v>
      </c>
      <c r="AT161" s="663" t="e">
        <f t="shared" ca="1" si="145"/>
        <v>#N/A</v>
      </c>
      <c r="AU161" s="663" t="e">
        <f t="shared" ca="1" si="146"/>
        <v>#N/A</v>
      </c>
      <c r="AV161" s="663" t="e">
        <f t="shared" ca="1" si="147"/>
        <v>#N/A</v>
      </c>
      <c r="AW161" s="663" t="e">
        <f t="shared" ca="1" si="148"/>
        <v>#N/A</v>
      </c>
      <c r="AX161" s="663" t="e">
        <f t="shared" ca="1" si="149"/>
        <v>#N/A</v>
      </c>
      <c r="AY161" s="663" t="e">
        <f t="shared" ca="1" si="150"/>
        <v>#N/A</v>
      </c>
      <c r="AZ161" s="663" t="e">
        <f t="shared" ca="1" si="151"/>
        <v>#N/A</v>
      </c>
      <c r="BA161" s="663" t="e">
        <f t="shared" ca="1" si="152"/>
        <v>#N/A</v>
      </c>
      <c r="BB161" s="663" t="e">
        <f t="shared" ca="1" si="153"/>
        <v>#N/A</v>
      </c>
      <c r="BC161" s="663" t="e">
        <f t="shared" ca="1" si="154"/>
        <v>#N/A</v>
      </c>
      <c r="BD161" s="663" t="e">
        <f t="shared" ca="1" si="155"/>
        <v>#N/A</v>
      </c>
      <c r="BE161" s="663" t="e">
        <f t="shared" ca="1" si="156"/>
        <v>#N/A</v>
      </c>
      <c r="BF161" s="663" t="e">
        <f t="shared" ca="1" si="157"/>
        <v>#N/A</v>
      </c>
      <c r="BG161" s="663" t="e">
        <f t="shared" ca="1" si="158"/>
        <v>#N/A</v>
      </c>
      <c r="BH161" s="663" t="e">
        <f t="shared" ca="1" si="159"/>
        <v>#N/A</v>
      </c>
      <c r="BI161" s="663" t="e">
        <f t="shared" ca="1" si="160"/>
        <v>#N/A</v>
      </c>
      <c r="BJ161" s="663" t="e">
        <f t="shared" ca="1" si="161"/>
        <v>#N/A</v>
      </c>
      <c r="BK161" s="663" t="e">
        <f t="shared" ca="1" si="162"/>
        <v>#N/A</v>
      </c>
      <c r="BL161" s="1918"/>
      <c r="BM161" s="1532"/>
      <c r="BN161" s="1919"/>
      <c r="BO161" s="603"/>
      <c r="BP161" s="602"/>
      <c r="BQ161" s="602"/>
      <c r="BR161" s="602"/>
      <c r="BS161" s="604"/>
      <c r="BT161" s="605"/>
      <c r="BU161" s="602"/>
      <c r="BV161" s="602"/>
      <c r="BW161" s="606"/>
      <c r="BX161" s="607"/>
      <c r="BY161" s="608"/>
      <c r="BZ161" s="608"/>
      <c r="CA161"/>
      <c r="CB161" s="600"/>
    </row>
    <row r="162" spans="2:80" ht="12" customHeight="1" x14ac:dyDescent="0.35">
      <c r="B162" s="590" t="e">
        <f>MATCH(C162,'360SpcLdsCSV'!$C$6:$C$500,0)</f>
        <v>#N/A</v>
      </c>
      <c r="C162" s="590">
        <f>'360SpcLdsCSV'!C111</f>
        <v>0</v>
      </c>
      <c r="D162" s="590" t="str">
        <f t="shared" si="163"/>
        <v>0</v>
      </c>
      <c r="E162" s="590" t="e">
        <f t="shared" si="164"/>
        <v>#VALUE!</v>
      </c>
      <c r="F162" s="590" t="e">
        <f t="shared" si="165"/>
        <v>#VALUE!</v>
      </c>
      <c r="G162" s="590" t="str">
        <f t="shared" si="166"/>
        <v>0</v>
      </c>
      <c r="H162" s="590" t="e">
        <f ca="1">OFFSET('360SpcLdsCSV'!$B$5,$B162,H$51)</f>
        <v>#N/A</v>
      </c>
      <c r="I162" s="590" t="e">
        <f ca="1">OFFSET('360SpcLdsCSV'!$B$5,$B162,I$51)</f>
        <v>#N/A</v>
      </c>
      <c r="J162" s="590" t="e">
        <f ca="1">OFFSET('360SpcLdsCSV'!$B$5,$B162,J$51)</f>
        <v>#N/A</v>
      </c>
      <c r="K162" s="590" t="e">
        <f ca="1">OFFSET('360SpcLdsCSV'!$B$5,$B162,K$51)</f>
        <v>#N/A</v>
      </c>
      <c r="L162" s="590" t="e">
        <f ca="1">OFFSET('360SpcLdsCSV'!$B$5,$B162,L$51)</f>
        <v>#N/A</v>
      </c>
      <c r="M162" s="592" t="e">
        <f ca="1">OFFSET('360SpcLdsCSV'!$B$5,$B162,M$51)</f>
        <v>#N/A</v>
      </c>
      <c r="N162" s="592" t="e">
        <f ca="1">OFFSET('360SpcLdsCSV'!$B$5,$B162,N$51)</f>
        <v>#N/A</v>
      </c>
      <c r="O162" s="592" t="e">
        <f ca="1">OFFSET('360SpcLdsCSV'!$B$5,$B162,O$51)</f>
        <v>#N/A</v>
      </c>
      <c r="P162" s="592" t="e">
        <f ca="1">OFFSET('360SpcLdsCSV'!$B$5,$B162,P$51)</f>
        <v>#N/A</v>
      </c>
      <c r="Q162" s="592" t="e">
        <f ca="1">OFFSET('360SpcLdsCSV'!$B$5,$B162,Q$51)</f>
        <v>#N/A</v>
      </c>
      <c r="R162" s="592" t="e">
        <f ca="1">OFFSET('360SpcLdsCSV'!$B$5,$B162,R$51)</f>
        <v>#N/A</v>
      </c>
      <c r="S162" s="592" t="e">
        <f ca="1">OFFSET('360SpcLdsCSV'!$B$5,$B162,S$51)</f>
        <v>#N/A</v>
      </c>
      <c r="T162" s="592" t="e">
        <f ca="1">OFFSET('360SpcLdsCSV'!$B$5,$B162,T$51)</f>
        <v>#N/A</v>
      </c>
      <c r="U162" s="592" t="e">
        <f ca="1">OFFSET('360SpcLdsCSV'!$B$5,$B162,U$51)</f>
        <v>#N/A</v>
      </c>
      <c r="V162" s="592" t="e">
        <f ca="1">OFFSET('360SpcLdsCSV'!$B$5,$B162,V$51)</f>
        <v>#N/A</v>
      </c>
      <c r="W162" s="592" t="e">
        <f ca="1">OFFSET('360SpcLdsCSV'!$B$5,$B162,W$51)</f>
        <v>#N/A</v>
      </c>
      <c r="X162" s="592" t="e">
        <f ca="1">OFFSET('360SpcLdsCSV'!$B$5,$B162,X$51)</f>
        <v>#N/A</v>
      </c>
      <c r="Y162" s="592" t="e">
        <f ca="1">OFFSET('360SpcLdsCSV'!$B$5,$B162,Y$51)</f>
        <v>#N/A</v>
      </c>
      <c r="Z162" s="592" t="e">
        <f ca="1">OFFSET('360SpcLdsCSV'!$B$5,$B162,Z$51)</f>
        <v>#N/A</v>
      </c>
      <c r="AA162" s="592" t="e">
        <f ca="1">OFFSET('360SpcLdsCSV'!$B$5,$B162,AA$51)</f>
        <v>#N/A</v>
      </c>
      <c r="AB162" s="592" t="e">
        <f ca="1">OFFSET('360SpcLdsCSV'!$B$5,$B162,AB$51)</f>
        <v>#N/A</v>
      </c>
      <c r="AC162" s="592" t="e">
        <f ca="1">OFFSET('360SpcLdsCSV'!$B$5,$B162,AC$51)</f>
        <v>#N/A</v>
      </c>
      <c r="AD162" s="592" t="e">
        <f ca="1">OFFSET('360SpcLdsCSV'!$B$5,$B162,AD$51)</f>
        <v>#N/A</v>
      </c>
      <c r="AE162" s="592" t="e">
        <f ca="1">OFFSET('360SpcLdsCSV'!$B$5,$B162,AE$51)</f>
        <v>#N/A</v>
      </c>
      <c r="AF162" s="592" t="e">
        <f ca="1">OFFSET('360SpcLdsCSV'!$B$5,$B162,AF$51)</f>
        <v>#N/A</v>
      </c>
      <c r="AG162" s="592" t="e">
        <f ca="1">OFFSET('360SpcLdsCSV'!$B$5,$B162,AG$51)</f>
        <v>#N/A</v>
      </c>
      <c r="AH162" s="592" t="e">
        <f ca="1">OFFSET('360SpcLdsCSV'!$B$5,$B162,AH$51)</f>
        <v>#N/A</v>
      </c>
      <c r="AI162" s="592" t="e">
        <f ca="1">OFFSET('360SpcLdsCSV'!$B$5,$B162,AI$51)</f>
        <v>#N/A</v>
      </c>
      <c r="AJ162" s="592" t="e" cm="1">
        <f t="array" ref="AJ162">_xlfn.IFS($F162="Resi",1,$F162="Racc",0,$F162="Coml",0,$F162="Prkg",0)</f>
        <v>#VALUE!</v>
      </c>
      <c r="AK162" s="596"/>
      <c r="AL162" s="590" t="e">
        <f ca="1">OFFSET('360SpcLdsCSV'!$B$5,$B162,AL$51)</f>
        <v>#N/A</v>
      </c>
      <c r="AM162" s="663" t="e">
        <f t="shared" ca="1" si="139"/>
        <v>#N/A</v>
      </c>
      <c r="AN162" s="663" t="e">
        <f t="shared" ca="1" si="140"/>
        <v>#N/A</v>
      </c>
      <c r="AO162" s="663" t="e">
        <f t="shared" ca="1" si="167"/>
        <v>#N/A</v>
      </c>
      <c r="AP162" s="663" t="e">
        <f t="shared" ca="1" si="141"/>
        <v>#N/A</v>
      </c>
      <c r="AQ162" s="663" t="e">
        <f t="shared" ca="1" si="142"/>
        <v>#N/A</v>
      </c>
      <c r="AR162" s="663" t="e">
        <f t="shared" ca="1" si="143"/>
        <v>#N/A</v>
      </c>
      <c r="AS162" s="663" t="e">
        <f t="shared" ca="1" si="144"/>
        <v>#N/A</v>
      </c>
      <c r="AT162" s="663" t="e">
        <f t="shared" ca="1" si="145"/>
        <v>#N/A</v>
      </c>
      <c r="AU162" s="663" t="e">
        <f t="shared" ca="1" si="146"/>
        <v>#N/A</v>
      </c>
      <c r="AV162" s="663" t="e">
        <f t="shared" ca="1" si="147"/>
        <v>#N/A</v>
      </c>
      <c r="AW162" s="663" t="e">
        <f t="shared" ca="1" si="148"/>
        <v>#N/A</v>
      </c>
      <c r="AX162" s="663" t="e">
        <f t="shared" ca="1" si="149"/>
        <v>#N/A</v>
      </c>
      <c r="AY162" s="663" t="e">
        <f t="shared" ca="1" si="150"/>
        <v>#N/A</v>
      </c>
      <c r="AZ162" s="663" t="e">
        <f t="shared" ca="1" si="151"/>
        <v>#N/A</v>
      </c>
      <c r="BA162" s="663" t="e">
        <f t="shared" ca="1" si="152"/>
        <v>#N/A</v>
      </c>
      <c r="BB162" s="663" t="e">
        <f t="shared" ca="1" si="153"/>
        <v>#N/A</v>
      </c>
      <c r="BC162" s="663" t="e">
        <f t="shared" ca="1" si="154"/>
        <v>#N/A</v>
      </c>
      <c r="BD162" s="663" t="e">
        <f t="shared" ca="1" si="155"/>
        <v>#N/A</v>
      </c>
      <c r="BE162" s="663" t="e">
        <f t="shared" ca="1" si="156"/>
        <v>#N/A</v>
      </c>
      <c r="BF162" s="663" t="e">
        <f t="shared" ca="1" si="157"/>
        <v>#N/A</v>
      </c>
      <c r="BG162" s="663" t="e">
        <f t="shared" ca="1" si="158"/>
        <v>#N/A</v>
      </c>
      <c r="BH162" s="663" t="e">
        <f t="shared" ca="1" si="159"/>
        <v>#N/A</v>
      </c>
      <c r="BI162" s="663" t="e">
        <f t="shared" ca="1" si="160"/>
        <v>#N/A</v>
      </c>
      <c r="BJ162" s="663" t="e">
        <f t="shared" ca="1" si="161"/>
        <v>#N/A</v>
      </c>
      <c r="BK162" s="663" t="e">
        <f t="shared" ca="1" si="162"/>
        <v>#N/A</v>
      </c>
      <c r="BL162" s="1918"/>
      <c r="BM162" s="1532"/>
      <c r="BN162" s="1919"/>
      <c r="BO162" s="603"/>
      <c r="BP162" s="602"/>
      <c r="BQ162" s="602"/>
      <c r="BR162" s="602"/>
      <c r="BS162" s="604"/>
      <c r="BT162" s="605"/>
      <c r="BU162" s="602"/>
      <c r="BV162" s="602"/>
      <c r="BW162" s="606"/>
      <c r="BX162" s="607"/>
      <c r="BY162" s="608"/>
      <c r="BZ162" s="608"/>
      <c r="CA162"/>
      <c r="CB162" s="600"/>
    </row>
    <row r="163" spans="2:80" ht="12" customHeight="1" x14ac:dyDescent="0.35">
      <c r="B163" s="590" t="e">
        <f>MATCH(C163,'360SpcLdsCSV'!$C$6:$C$500,0)</f>
        <v>#N/A</v>
      </c>
      <c r="C163" s="590">
        <f>'360SpcLdsCSV'!C112</f>
        <v>0</v>
      </c>
      <c r="D163" s="590" t="str">
        <f t="shared" si="163"/>
        <v>0</v>
      </c>
      <c r="E163" s="590" t="e">
        <f t="shared" si="164"/>
        <v>#VALUE!</v>
      </c>
      <c r="F163" s="590" t="e">
        <f t="shared" si="165"/>
        <v>#VALUE!</v>
      </c>
      <c r="G163" s="590" t="str">
        <f t="shared" si="166"/>
        <v>0</v>
      </c>
      <c r="H163" s="590" t="e">
        <f ca="1">OFFSET('360SpcLdsCSV'!$B$5,$B163,H$51)</f>
        <v>#N/A</v>
      </c>
      <c r="I163" s="590" t="e">
        <f ca="1">OFFSET('360SpcLdsCSV'!$B$5,$B163,I$51)</f>
        <v>#N/A</v>
      </c>
      <c r="J163" s="590" t="e">
        <f ca="1">OFFSET('360SpcLdsCSV'!$B$5,$B163,J$51)</f>
        <v>#N/A</v>
      </c>
      <c r="K163" s="590" t="e">
        <f ca="1">OFFSET('360SpcLdsCSV'!$B$5,$B163,K$51)</f>
        <v>#N/A</v>
      </c>
      <c r="L163" s="590" t="e">
        <f ca="1">OFFSET('360SpcLdsCSV'!$B$5,$B163,L$51)</f>
        <v>#N/A</v>
      </c>
      <c r="M163" s="592" t="e">
        <f ca="1">OFFSET('360SpcLdsCSV'!$B$5,$B163,M$51)</f>
        <v>#N/A</v>
      </c>
      <c r="N163" s="592" t="e">
        <f ca="1">OFFSET('360SpcLdsCSV'!$B$5,$B163,N$51)</f>
        <v>#N/A</v>
      </c>
      <c r="O163" s="592" t="e">
        <f ca="1">OFFSET('360SpcLdsCSV'!$B$5,$B163,O$51)</f>
        <v>#N/A</v>
      </c>
      <c r="P163" s="592" t="e">
        <f ca="1">OFFSET('360SpcLdsCSV'!$B$5,$B163,P$51)</f>
        <v>#N/A</v>
      </c>
      <c r="Q163" s="592" t="e">
        <f ca="1">OFFSET('360SpcLdsCSV'!$B$5,$B163,Q$51)</f>
        <v>#N/A</v>
      </c>
      <c r="R163" s="592" t="e">
        <f ca="1">OFFSET('360SpcLdsCSV'!$B$5,$B163,R$51)</f>
        <v>#N/A</v>
      </c>
      <c r="S163" s="592" t="e">
        <f ca="1">OFFSET('360SpcLdsCSV'!$B$5,$B163,S$51)</f>
        <v>#N/A</v>
      </c>
      <c r="T163" s="592" t="e">
        <f ca="1">OFFSET('360SpcLdsCSV'!$B$5,$B163,T$51)</f>
        <v>#N/A</v>
      </c>
      <c r="U163" s="592" t="e">
        <f ca="1">OFFSET('360SpcLdsCSV'!$B$5,$B163,U$51)</f>
        <v>#N/A</v>
      </c>
      <c r="V163" s="592" t="e">
        <f ca="1">OFFSET('360SpcLdsCSV'!$B$5,$B163,V$51)</f>
        <v>#N/A</v>
      </c>
      <c r="W163" s="592" t="e">
        <f ca="1">OFFSET('360SpcLdsCSV'!$B$5,$B163,W$51)</f>
        <v>#N/A</v>
      </c>
      <c r="X163" s="592" t="e">
        <f ca="1">OFFSET('360SpcLdsCSV'!$B$5,$B163,X$51)</f>
        <v>#N/A</v>
      </c>
      <c r="Y163" s="592" t="e">
        <f ca="1">OFFSET('360SpcLdsCSV'!$B$5,$B163,Y$51)</f>
        <v>#N/A</v>
      </c>
      <c r="Z163" s="592" t="e">
        <f ca="1">OFFSET('360SpcLdsCSV'!$B$5,$B163,Z$51)</f>
        <v>#N/A</v>
      </c>
      <c r="AA163" s="592" t="e">
        <f ca="1">OFFSET('360SpcLdsCSV'!$B$5,$B163,AA$51)</f>
        <v>#N/A</v>
      </c>
      <c r="AB163" s="592" t="e">
        <f ca="1">OFFSET('360SpcLdsCSV'!$B$5,$B163,AB$51)</f>
        <v>#N/A</v>
      </c>
      <c r="AC163" s="592" t="e">
        <f ca="1">OFFSET('360SpcLdsCSV'!$B$5,$B163,AC$51)</f>
        <v>#N/A</v>
      </c>
      <c r="AD163" s="592" t="e">
        <f ca="1">OFFSET('360SpcLdsCSV'!$B$5,$B163,AD$51)</f>
        <v>#N/A</v>
      </c>
      <c r="AE163" s="592" t="e">
        <f ca="1">OFFSET('360SpcLdsCSV'!$B$5,$B163,AE$51)</f>
        <v>#N/A</v>
      </c>
      <c r="AF163" s="592" t="e">
        <f ca="1">OFFSET('360SpcLdsCSV'!$B$5,$B163,AF$51)</f>
        <v>#N/A</v>
      </c>
      <c r="AG163" s="592" t="e">
        <f ca="1">OFFSET('360SpcLdsCSV'!$B$5,$B163,AG$51)</f>
        <v>#N/A</v>
      </c>
      <c r="AH163" s="592" t="e">
        <f ca="1">OFFSET('360SpcLdsCSV'!$B$5,$B163,AH$51)</f>
        <v>#N/A</v>
      </c>
      <c r="AI163" s="592" t="e">
        <f ca="1">OFFSET('360SpcLdsCSV'!$B$5,$B163,AI$51)</f>
        <v>#N/A</v>
      </c>
      <c r="AJ163" s="592" t="e" cm="1">
        <f t="array" ref="AJ163">_xlfn.IFS($F163="Resi",1,$F163="Racc",0,$F163="Coml",0,$F163="Prkg",0)</f>
        <v>#VALUE!</v>
      </c>
      <c r="AK163" s="596"/>
      <c r="AL163" s="590" t="e">
        <f ca="1">OFFSET('360SpcLdsCSV'!$B$5,$B163,AL$51)</f>
        <v>#N/A</v>
      </c>
      <c r="AM163" s="663" t="e">
        <f t="shared" ca="1" si="139"/>
        <v>#N/A</v>
      </c>
      <c r="AN163" s="663" t="e">
        <f t="shared" ca="1" si="140"/>
        <v>#N/A</v>
      </c>
      <c r="AO163" s="663" t="e">
        <f t="shared" ca="1" si="167"/>
        <v>#N/A</v>
      </c>
      <c r="AP163" s="663" t="e">
        <f t="shared" ca="1" si="141"/>
        <v>#N/A</v>
      </c>
      <c r="AQ163" s="663" t="e">
        <f t="shared" ca="1" si="142"/>
        <v>#N/A</v>
      </c>
      <c r="AR163" s="663" t="e">
        <f t="shared" ca="1" si="143"/>
        <v>#N/A</v>
      </c>
      <c r="AS163" s="663" t="e">
        <f t="shared" ca="1" si="144"/>
        <v>#N/A</v>
      </c>
      <c r="AT163" s="663" t="e">
        <f t="shared" ca="1" si="145"/>
        <v>#N/A</v>
      </c>
      <c r="AU163" s="663" t="e">
        <f t="shared" ca="1" si="146"/>
        <v>#N/A</v>
      </c>
      <c r="AV163" s="663" t="e">
        <f t="shared" ca="1" si="147"/>
        <v>#N/A</v>
      </c>
      <c r="AW163" s="663" t="e">
        <f t="shared" ca="1" si="148"/>
        <v>#N/A</v>
      </c>
      <c r="AX163" s="663" t="e">
        <f t="shared" ca="1" si="149"/>
        <v>#N/A</v>
      </c>
      <c r="AY163" s="663" t="e">
        <f t="shared" ca="1" si="150"/>
        <v>#N/A</v>
      </c>
      <c r="AZ163" s="663" t="e">
        <f t="shared" ca="1" si="151"/>
        <v>#N/A</v>
      </c>
      <c r="BA163" s="663" t="e">
        <f t="shared" ca="1" si="152"/>
        <v>#N/A</v>
      </c>
      <c r="BB163" s="663" t="e">
        <f t="shared" ca="1" si="153"/>
        <v>#N/A</v>
      </c>
      <c r="BC163" s="663" t="e">
        <f t="shared" ca="1" si="154"/>
        <v>#N/A</v>
      </c>
      <c r="BD163" s="663" t="e">
        <f t="shared" ca="1" si="155"/>
        <v>#N/A</v>
      </c>
      <c r="BE163" s="663" t="e">
        <f t="shared" ca="1" si="156"/>
        <v>#N/A</v>
      </c>
      <c r="BF163" s="663" t="e">
        <f t="shared" ca="1" si="157"/>
        <v>#N/A</v>
      </c>
      <c r="BG163" s="663" t="e">
        <f t="shared" ca="1" si="158"/>
        <v>#N/A</v>
      </c>
      <c r="BH163" s="663" t="e">
        <f t="shared" ca="1" si="159"/>
        <v>#N/A</v>
      </c>
      <c r="BI163" s="663" t="e">
        <f t="shared" ca="1" si="160"/>
        <v>#N/A</v>
      </c>
      <c r="BJ163" s="663" t="e">
        <f t="shared" ca="1" si="161"/>
        <v>#N/A</v>
      </c>
      <c r="BK163" s="663" t="e">
        <f t="shared" ca="1" si="162"/>
        <v>#N/A</v>
      </c>
      <c r="BL163" s="1918"/>
      <c r="BM163" s="1532"/>
      <c r="BN163" s="1919"/>
      <c r="BO163" s="603"/>
      <c r="BP163" s="602"/>
      <c r="BQ163" s="602"/>
      <c r="BR163" s="602"/>
      <c r="BS163" s="604"/>
      <c r="BT163" s="605"/>
      <c r="BU163" s="602"/>
      <c r="BV163" s="602"/>
      <c r="BW163" s="606"/>
      <c r="BX163" s="607"/>
      <c r="BY163" s="608"/>
      <c r="BZ163" s="608"/>
      <c r="CA163"/>
      <c r="CB163" s="600"/>
    </row>
    <row r="164" spans="2:80" ht="12" customHeight="1" x14ac:dyDescent="0.35">
      <c r="B164" s="590" t="e">
        <f>MATCH(C164,'360SpcLdsCSV'!$C$6:$C$500,0)</f>
        <v>#N/A</v>
      </c>
      <c r="C164" s="590">
        <f>'360SpcLdsCSV'!C113</f>
        <v>0</v>
      </c>
      <c r="D164" s="590" t="str">
        <f t="shared" si="163"/>
        <v>0</v>
      </c>
      <c r="E164" s="590" t="e">
        <f t="shared" si="164"/>
        <v>#VALUE!</v>
      </c>
      <c r="F164" s="590" t="e">
        <f t="shared" si="165"/>
        <v>#VALUE!</v>
      </c>
      <c r="G164" s="590" t="str">
        <f t="shared" si="166"/>
        <v>0</v>
      </c>
      <c r="H164" s="590" t="e">
        <f ca="1">OFFSET('360SpcLdsCSV'!$B$5,$B164,H$51)</f>
        <v>#N/A</v>
      </c>
      <c r="I164" s="590" t="e">
        <f ca="1">OFFSET('360SpcLdsCSV'!$B$5,$B164,I$51)</f>
        <v>#N/A</v>
      </c>
      <c r="J164" s="590" t="e">
        <f ca="1">OFFSET('360SpcLdsCSV'!$B$5,$B164,J$51)</f>
        <v>#N/A</v>
      </c>
      <c r="K164" s="590" t="e">
        <f ca="1">OFFSET('360SpcLdsCSV'!$B$5,$B164,K$51)</f>
        <v>#N/A</v>
      </c>
      <c r="L164" s="590" t="e">
        <f ca="1">OFFSET('360SpcLdsCSV'!$B$5,$B164,L$51)</f>
        <v>#N/A</v>
      </c>
      <c r="M164" s="592" t="e">
        <f ca="1">OFFSET('360SpcLdsCSV'!$B$5,$B164,M$51)</f>
        <v>#N/A</v>
      </c>
      <c r="N164" s="592" t="e">
        <f ca="1">OFFSET('360SpcLdsCSV'!$B$5,$B164,N$51)</f>
        <v>#N/A</v>
      </c>
      <c r="O164" s="592" t="e">
        <f ca="1">OFFSET('360SpcLdsCSV'!$B$5,$B164,O$51)</f>
        <v>#N/A</v>
      </c>
      <c r="P164" s="592" t="e">
        <f ca="1">OFFSET('360SpcLdsCSV'!$B$5,$B164,P$51)</f>
        <v>#N/A</v>
      </c>
      <c r="Q164" s="592" t="e">
        <f ca="1">OFFSET('360SpcLdsCSV'!$B$5,$B164,Q$51)</f>
        <v>#N/A</v>
      </c>
      <c r="R164" s="592" t="e">
        <f ca="1">OFFSET('360SpcLdsCSV'!$B$5,$B164,R$51)</f>
        <v>#N/A</v>
      </c>
      <c r="S164" s="592" t="e">
        <f ca="1">OFFSET('360SpcLdsCSV'!$B$5,$B164,S$51)</f>
        <v>#N/A</v>
      </c>
      <c r="T164" s="592" t="e">
        <f ca="1">OFFSET('360SpcLdsCSV'!$B$5,$B164,T$51)</f>
        <v>#N/A</v>
      </c>
      <c r="U164" s="592" t="e">
        <f ca="1">OFFSET('360SpcLdsCSV'!$B$5,$B164,U$51)</f>
        <v>#N/A</v>
      </c>
      <c r="V164" s="592" t="e">
        <f ca="1">OFFSET('360SpcLdsCSV'!$B$5,$B164,V$51)</f>
        <v>#N/A</v>
      </c>
      <c r="W164" s="592" t="e">
        <f ca="1">OFFSET('360SpcLdsCSV'!$B$5,$B164,W$51)</f>
        <v>#N/A</v>
      </c>
      <c r="X164" s="592" t="e">
        <f ca="1">OFFSET('360SpcLdsCSV'!$B$5,$B164,X$51)</f>
        <v>#N/A</v>
      </c>
      <c r="Y164" s="592" t="e">
        <f ca="1">OFFSET('360SpcLdsCSV'!$B$5,$B164,Y$51)</f>
        <v>#N/A</v>
      </c>
      <c r="Z164" s="592" t="e">
        <f ca="1">OFFSET('360SpcLdsCSV'!$B$5,$B164,Z$51)</f>
        <v>#N/A</v>
      </c>
      <c r="AA164" s="592" t="e">
        <f ca="1">OFFSET('360SpcLdsCSV'!$B$5,$B164,AA$51)</f>
        <v>#N/A</v>
      </c>
      <c r="AB164" s="592" t="e">
        <f ca="1">OFFSET('360SpcLdsCSV'!$B$5,$B164,AB$51)</f>
        <v>#N/A</v>
      </c>
      <c r="AC164" s="592" t="e">
        <f ca="1">OFFSET('360SpcLdsCSV'!$B$5,$B164,AC$51)</f>
        <v>#N/A</v>
      </c>
      <c r="AD164" s="592" t="e">
        <f ca="1">OFFSET('360SpcLdsCSV'!$B$5,$B164,AD$51)</f>
        <v>#N/A</v>
      </c>
      <c r="AE164" s="592" t="e">
        <f ca="1">OFFSET('360SpcLdsCSV'!$B$5,$B164,AE$51)</f>
        <v>#N/A</v>
      </c>
      <c r="AF164" s="592" t="e">
        <f ca="1">OFFSET('360SpcLdsCSV'!$B$5,$B164,AF$51)</f>
        <v>#N/A</v>
      </c>
      <c r="AG164" s="592" t="e">
        <f ca="1">OFFSET('360SpcLdsCSV'!$B$5,$B164,AG$51)</f>
        <v>#N/A</v>
      </c>
      <c r="AH164" s="592" t="e">
        <f ca="1">OFFSET('360SpcLdsCSV'!$B$5,$B164,AH$51)</f>
        <v>#N/A</v>
      </c>
      <c r="AI164" s="592" t="e">
        <f ca="1">OFFSET('360SpcLdsCSV'!$B$5,$B164,AI$51)</f>
        <v>#N/A</v>
      </c>
      <c r="AJ164" s="592" t="e" cm="1">
        <f t="array" ref="AJ164">_xlfn.IFS($F164="Resi",1,$F164="Racc",0,$F164="Coml",0,$F164="Prkg",0)</f>
        <v>#VALUE!</v>
      </c>
      <c r="AK164" s="596"/>
      <c r="AL164" s="590" t="e">
        <f ca="1">OFFSET('360SpcLdsCSV'!$B$5,$B164,AL$51)</f>
        <v>#N/A</v>
      </c>
      <c r="AM164" s="663" t="e">
        <f t="shared" ca="1" si="139"/>
        <v>#N/A</v>
      </c>
      <c r="AN164" s="663" t="e">
        <f t="shared" ca="1" si="140"/>
        <v>#N/A</v>
      </c>
      <c r="AO164" s="663" t="e">
        <f t="shared" ca="1" si="167"/>
        <v>#N/A</v>
      </c>
      <c r="AP164" s="663" t="e">
        <f t="shared" ca="1" si="141"/>
        <v>#N/A</v>
      </c>
      <c r="AQ164" s="663" t="e">
        <f t="shared" ca="1" si="142"/>
        <v>#N/A</v>
      </c>
      <c r="AR164" s="663" t="e">
        <f t="shared" ca="1" si="143"/>
        <v>#N/A</v>
      </c>
      <c r="AS164" s="663" t="e">
        <f t="shared" ca="1" si="144"/>
        <v>#N/A</v>
      </c>
      <c r="AT164" s="663" t="e">
        <f t="shared" ca="1" si="145"/>
        <v>#N/A</v>
      </c>
      <c r="AU164" s="663" t="e">
        <f t="shared" ca="1" si="146"/>
        <v>#N/A</v>
      </c>
      <c r="AV164" s="663" t="e">
        <f t="shared" ca="1" si="147"/>
        <v>#N/A</v>
      </c>
      <c r="AW164" s="663" t="e">
        <f t="shared" ca="1" si="148"/>
        <v>#N/A</v>
      </c>
      <c r="AX164" s="663" t="e">
        <f t="shared" ca="1" si="149"/>
        <v>#N/A</v>
      </c>
      <c r="AY164" s="663" t="e">
        <f t="shared" ca="1" si="150"/>
        <v>#N/A</v>
      </c>
      <c r="AZ164" s="663" t="e">
        <f t="shared" ca="1" si="151"/>
        <v>#N/A</v>
      </c>
      <c r="BA164" s="663" t="e">
        <f t="shared" ca="1" si="152"/>
        <v>#N/A</v>
      </c>
      <c r="BB164" s="663" t="e">
        <f t="shared" ca="1" si="153"/>
        <v>#N/A</v>
      </c>
      <c r="BC164" s="663" t="e">
        <f t="shared" ca="1" si="154"/>
        <v>#N/A</v>
      </c>
      <c r="BD164" s="663" t="e">
        <f t="shared" ca="1" si="155"/>
        <v>#N/A</v>
      </c>
      <c r="BE164" s="663" t="e">
        <f t="shared" ca="1" si="156"/>
        <v>#N/A</v>
      </c>
      <c r="BF164" s="663" t="e">
        <f t="shared" ca="1" si="157"/>
        <v>#N/A</v>
      </c>
      <c r="BG164" s="663" t="e">
        <f t="shared" ca="1" si="158"/>
        <v>#N/A</v>
      </c>
      <c r="BH164" s="663" t="e">
        <f t="shared" ca="1" si="159"/>
        <v>#N/A</v>
      </c>
      <c r="BI164" s="663" t="e">
        <f t="shared" ca="1" si="160"/>
        <v>#N/A</v>
      </c>
      <c r="BJ164" s="663" t="e">
        <f t="shared" ca="1" si="161"/>
        <v>#N/A</v>
      </c>
      <c r="BK164" s="663" t="e">
        <f t="shared" ca="1" si="162"/>
        <v>#N/A</v>
      </c>
      <c r="BL164" s="1918"/>
      <c r="BM164" s="1532"/>
      <c r="BN164" s="1919"/>
      <c r="BO164" s="603"/>
      <c r="BP164" s="602"/>
      <c r="BQ164" s="602"/>
      <c r="BR164" s="602"/>
      <c r="BS164" s="604"/>
      <c r="BT164" s="605"/>
      <c r="BU164" s="602"/>
      <c r="BV164" s="602"/>
      <c r="BW164" s="606"/>
      <c r="BX164" s="607"/>
      <c r="BY164" s="608"/>
      <c r="BZ164" s="608"/>
      <c r="CA164"/>
      <c r="CB164" s="600"/>
    </row>
    <row r="165" spans="2:80" ht="12" customHeight="1" x14ac:dyDescent="0.35">
      <c r="B165" s="590" t="e">
        <f>MATCH(C165,'360SpcLdsCSV'!$C$6:$C$500,0)</f>
        <v>#N/A</v>
      </c>
      <c r="C165" s="590">
        <f>'360SpcLdsCSV'!C114</f>
        <v>0</v>
      </c>
      <c r="D165" s="590" t="str">
        <f t="shared" si="163"/>
        <v>0</v>
      </c>
      <c r="E165" s="590" t="e">
        <f t="shared" si="164"/>
        <v>#VALUE!</v>
      </c>
      <c r="F165" s="590" t="e">
        <f t="shared" si="165"/>
        <v>#VALUE!</v>
      </c>
      <c r="G165" s="590" t="str">
        <f t="shared" si="166"/>
        <v>0</v>
      </c>
      <c r="H165" s="590" t="e">
        <f ca="1">OFFSET('360SpcLdsCSV'!$B$5,$B165,H$51)</f>
        <v>#N/A</v>
      </c>
      <c r="I165" s="590" t="e">
        <f ca="1">OFFSET('360SpcLdsCSV'!$B$5,$B165,I$51)</f>
        <v>#N/A</v>
      </c>
      <c r="J165" s="590" t="e">
        <f ca="1">OFFSET('360SpcLdsCSV'!$B$5,$B165,J$51)</f>
        <v>#N/A</v>
      </c>
      <c r="K165" s="590" t="e">
        <f ca="1">OFFSET('360SpcLdsCSV'!$B$5,$B165,K$51)</f>
        <v>#N/A</v>
      </c>
      <c r="L165" s="590" t="e">
        <f ca="1">OFFSET('360SpcLdsCSV'!$B$5,$B165,L$51)</f>
        <v>#N/A</v>
      </c>
      <c r="M165" s="592" t="e">
        <f ca="1">OFFSET('360SpcLdsCSV'!$B$5,$B165,M$51)</f>
        <v>#N/A</v>
      </c>
      <c r="N165" s="592" t="e">
        <f ca="1">OFFSET('360SpcLdsCSV'!$B$5,$B165,N$51)</f>
        <v>#N/A</v>
      </c>
      <c r="O165" s="592" t="e">
        <f ca="1">OFFSET('360SpcLdsCSV'!$B$5,$B165,O$51)</f>
        <v>#N/A</v>
      </c>
      <c r="P165" s="592" t="e">
        <f ca="1">OFFSET('360SpcLdsCSV'!$B$5,$B165,P$51)</f>
        <v>#N/A</v>
      </c>
      <c r="Q165" s="592" t="e">
        <f ca="1">OFFSET('360SpcLdsCSV'!$B$5,$B165,Q$51)</f>
        <v>#N/A</v>
      </c>
      <c r="R165" s="592" t="e">
        <f ca="1">OFFSET('360SpcLdsCSV'!$B$5,$B165,R$51)</f>
        <v>#N/A</v>
      </c>
      <c r="S165" s="592" t="e">
        <f ca="1">OFFSET('360SpcLdsCSV'!$B$5,$B165,S$51)</f>
        <v>#N/A</v>
      </c>
      <c r="T165" s="592" t="e">
        <f ca="1">OFFSET('360SpcLdsCSV'!$B$5,$B165,T$51)</f>
        <v>#N/A</v>
      </c>
      <c r="U165" s="592" t="e">
        <f ca="1">OFFSET('360SpcLdsCSV'!$B$5,$B165,U$51)</f>
        <v>#N/A</v>
      </c>
      <c r="V165" s="592" t="e">
        <f ca="1">OFFSET('360SpcLdsCSV'!$B$5,$B165,V$51)</f>
        <v>#N/A</v>
      </c>
      <c r="W165" s="592" t="e">
        <f ca="1">OFFSET('360SpcLdsCSV'!$B$5,$B165,W$51)</f>
        <v>#N/A</v>
      </c>
      <c r="X165" s="592" t="e">
        <f ca="1">OFFSET('360SpcLdsCSV'!$B$5,$B165,X$51)</f>
        <v>#N/A</v>
      </c>
      <c r="Y165" s="592" t="e">
        <f ca="1">OFFSET('360SpcLdsCSV'!$B$5,$B165,Y$51)</f>
        <v>#N/A</v>
      </c>
      <c r="Z165" s="592" t="e">
        <f ca="1">OFFSET('360SpcLdsCSV'!$B$5,$B165,Z$51)</f>
        <v>#N/A</v>
      </c>
      <c r="AA165" s="592" t="e">
        <f ca="1">OFFSET('360SpcLdsCSV'!$B$5,$B165,AA$51)</f>
        <v>#N/A</v>
      </c>
      <c r="AB165" s="592" t="e">
        <f ca="1">OFFSET('360SpcLdsCSV'!$B$5,$B165,AB$51)</f>
        <v>#N/A</v>
      </c>
      <c r="AC165" s="592" t="e">
        <f ca="1">OFFSET('360SpcLdsCSV'!$B$5,$B165,AC$51)</f>
        <v>#N/A</v>
      </c>
      <c r="AD165" s="592" t="e">
        <f ca="1">OFFSET('360SpcLdsCSV'!$B$5,$B165,AD$51)</f>
        <v>#N/A</v>
      </c>
      <c r="AE165" s="592" t="e">
        <f ca="1">OFFSET('360SpcLdsCSV'!$B$5,$B165,AE$51)</f>
        <v>#N/A</v>
      </c>
      <c r="AF165" s="592" t="e">
        <f ca="1">OFFSET('360SpcLdsCSV'!$B$5,$B165,AF$51)</f>
        <v>#N/A</v>
      </c>
      <c r="AG165" s="592" t="e">
        <f ca="1">OFFSET('360SpcLdsCSV'!$B$5,$B165,AG$51)</f>
        <v>#N/A</v>
      </c>
      <c r="AH165" s="592" t="e">
        <f ca="1">OFFSET('360SpcLdsCSV'!$B$5,$B165,AH$51)</f>
        <v>#N/A</v>
      </c>
      <c r="AI165" s="592" t="e">
        <f ca="1">OFFSET('360SpcLdsCSV'!$B$5,$B165,AI$51)</f>
        <v>#N/A</v>
      </c>
      <c r="AJ165" s="592" t="e" cm="1">
        <f t="array" ref="AJ165">_xlfn.IFS($F165="Resi",1,$F165="Racc",0,$F165="Coml",0,$F165="Prkg",0)</f>
        <v>#VALUE!</v>
      </c>
      <c r="AK165" s="596"/>
      <c r="AL165" s="590" t="e">
        <f ca="1">OFFSET('360SpcLdsCSV'!$B$5,$B165,AL$51)</f>
        <v>#N/A</v>
      </c>
      <c r="AM165" s="663" t="e">
        <f t="shared" ca="1" si="139"/>
        <v>#N/A</v>
      </c>
      <c r="AN165" s="663" t="e">
        <f t="shared" ca="1" si="140"/>
        <v>#N/A</v>
      </c>
      <c r="AO165" s="663" t="e">
        <f t="shared" ca="1" si="167"/>
        <v>#N/A</v>
      </c>
      <c r="AP165" s="663" t="e">
        <f t="shared" ca="1" si="141"/>
        <v>#N/A</v>
      </c>
      <c r="AQ165" s="663" t="e">
        <f t="shared" ca="1" si="142"/>
        <v>#N/A</v>
      </c>
      <c r="AR165" s="663" t="e">
        <f t="shared" ca="1" si="143"/>
        <v>#N/A</v>
      </c>
      <c r="AS165" s="663" t="e">
        <f t="shared" ca="1" si="144"/>
        <v>#N/A</v>
      </c>
      <c r="AT165" s="663" t="e">
        <f t="shared" ca="1" si="145"/>
        <v>#N/A</v>
      </c>
      <c r="AU165" s="663" t="e">
        <f t="shared" ca="1" si="146"/>
        <v>#N/A</v>
      </c>
      <c r="AV165" s="663" t="e">
        <f t="shared" ca="1" si="147"/>
        <v>#N/A</v>
      </c>
      <c r="AW165" s="663" t="e">
        <f t="shared" ca="1" si="148"/>
        <v>#N/A</v>
      </c>
      <c r="AX165" s="663" t="e">
        <f t="shared" ca="1" si="149"/>
        <v>#N/A</v>
      </c>
      <c r="AY165" s="663" t="e">
        <f t="shared" ca="1" si="150"/>
        <v>#N/A</v>
      </c>
      <c r="AZ165" s="663" t="e">
        <f t="shared" ca="1" si="151"/>
        <v>#N/A</v>
      </c>
      <c r="BA165" s="663" t="e">
        <f t="shared" ca="1" si="152"/>
        <v>#N/A</v>
      </c>
      <c r="BB165" s="663" t="e">
        <f t="shared" ca="1" si="153"/>
        <v>#N/A</v>
      </c>
      <c r="BC165" s="663" t="e">
        <f t="shared" ca="1" si="154"/>
        <v>#N/A</v>
      </c>
      <c r="BD165" s="663" t="e">
        <f t="shared" ca="1" si="155"/>
        <v>#N/A</v>
      </c>
      <c r="BE165" s="663" t="e">
        <f t="shared" ca="1" si="156"/>
        <v>#N/A</v>
      </c>
      <c r="BF165" s="663" t="e">
        <f t="shared" ca="1" si="157"/>
        <v>#N/A</v>
      </c>
      <c r="BG165" s="663" t="e">
        <f t="shared" ca="1" si="158"/>
        <v>#N/A</v>
      </c>
      <c r="BH165" s="663" t="e">
        <f t="shared" ca="1" si="159"/>
        <v>#N/A</v>
      </c>
      <c r="BI165" s="663" t="e">
        <f t="shared" ca="1" si="160"/>
        <v>#N/A</v>
      </c>
      <c r="BJ165" s="663" t="e">
        <f t="shared" ca="1" si="161"/>
        <v>#N/A</v>
      </c>
      <c r="BK165" s="663" t="e">
        <f t="shared" ca="1" si="162"/>
        <v>#N/A</v>
      </c>
      <c r="BL165" s="1918"/>
      <c r="BM165" s="1532"/>
      <c r="BN165" s="1919"/>
      <c r="BO165" s="603"/>
      <c r="BP165" s="602"/>
      <c r="BQ165" s="602"/>
      <c r="BR165" s="602"/>
      <c r="BS165" s="604"/>
      <c r="BT165" s="605"/>
      <c r="BU165" s="602"/>
      <c r="BV165" s="602"/>
      <c r="BW165" s="606"/>
      <c r="BX165" s="607"/>
      <c r="BY165" s="608"/>
      <c r="BZ165" s="608"/>
      <c r="CA165"/>
      <c r="CB165" s="600"/>
    </row>
    <row r="166" spans="2:80" ht="12" customHeight="1" x14ac:dyDescent="0.35">
      <c r="B166" s="590" t="e">
        <f>MATCH(C166,'360SpcLdsCSV'!$C$6:$C$500,0)</f>
        <v>#N/A</v>
      </c>
      <c r="C166" s="590">
        <f>'360SpcLdsCSV'!C115</f>
        <v>0</v>
      </c>
      <c r="D166" s="590" t="str">
        <f t="shared" si="163"/>
        <v>0</v>
      </c>
      <c r="E166" s="590" t="e">
        <f t="shared" si="164"/>
        <v>#VALUE!</v>
      </c>
      <c r="F166" s="590" t="e">
        <f t="shared" si="165"/>
        <v>#VALUE!</v>
      </c>
      <c r="G166" s="590" t="str">
        <f t="shared" si="166"/>
        <v>0</v>
      </c>
      <c r="H166" s="590" t="e">
        <f ca="1">OFFSET('360SpcLdsCSV'!$B$5,$B166,H$51)</f>
        <v>#N/A</v>
      </c>
      <c r="I166" s="590" t="e">
        <f ca="1">OFFSET('360SpcLdsCSV'!$B$5,$B166,I$51)</f>
        <v>#N/A</v>
      </c>
      <c r="J166" s="590" t="e">
        <f ca="1">OFFSET('360SpcLdsCSV'!$B$5,$B166,J$51)</f>
        <v>#N/A</v>
      </c>
      <c r="K166" s="590" t="e">
        <f ca="1">OFFSET('360SpcLdsCSV'!$B$5,$B166,K$51)</f>
        <v>#N/A</v>
      </c>
      <c r="L166" s="590" t="e">
        <f ca="1">OFFSET('360SpcLdsCSV'!$B$5,$B166,L$51)</f>
        <v>#N/A</v>
      </c>
      <c r="M166" s="592" t="e">
        <f ca="1">OFFSET('360SpcLdsCSV'!$B$5,$B166,M$51)</f>
        <v>#N/A</v>
      </c>
      <c r="N166" s="592" t="e">
        <f ca="1">OFFSET('360SpcLdsCSV'!$B$5,$B166,N$51)</f>
        <v>#N/A</v>
      </c>
      <c r="O166" s="592" t="e">
        <f ca="1">OFFSET('360SpcLdsCSV'!$B$5,$B166,O$51)</f>
        <v>#N/A</v>
      </c>
      <c r="P166" s="592" t="e">
        <f ca="1">OFFSET('360SpcLdsCSV'!$B$5,$B166,P$51)</f>
        <v>#N/A</v>
      </c>
      <c r="Q166" s="592" t="e">
        <f ca="1">OFFSET('360SpcLdsCSV'!$B$5,$B166,Q$51)</f>
        <v>#N/A</v>
      </c>
      <c r="R166" s="592" t="e">
        <f ca="1">OFFSET('360SpcLdsCSV'!$B$5,$B166,R$51)</f>
        <v>#N/A</v>
      </c>
      <c r="S166" s="592" t="e">
        <f ca="1">OFFSET('360SpcLdsCSV'!$B$5,$B166,S$51)</f>
        <v>#N/A</v>
      </c>
      <c r="T166" s="592" t="e">
        <f ca="1">OFFSET('360SpcLdsCSV'!$B$5,$B166,T$51)</f>
        <v>#N/A</v>
      </c>
      <c r="U166" s="592" t="e">
        <f ca="1">OFFSET('360SpcLdsCSV'!$B$5,$B166,U$51)</f>
        <v>#N/A</v>
      </c>
      <c r="V166" s="592" t="e">
        <f ca="1">OFFSET('360SpcLdsCSV'!$B$5,$B166,V$51)</f>
        <v>#N/A</v>
      </c>
      <c r="W166" s="592" t="e">
        <f ca="1">OFFSET('360SpcLdsCSV'!$B$5,$B166,W$51)</f>
        <v>#N/A</v>
      </c>
      <c r="X166" s="592" t="e">
        <f ca="1">OFFSET('360SpcLdsCSV'!$B$5,$B166,X$51)</f>
        <v>#N/A</v>
      </c>
      <c r="Y166" s="592" t="e">
        <f ca="1">OFFSET('360SpcLdsCSV'!$B$5,$B166,Y$51)</f>
        <v>#N/A</v>
      </c>
      <c r="Z166" s="592" t="e">
        <f ca="1">OFFSET('360SpcLdsCSV'!$B$5,$B166,Z$51)</f>
        <v>#N/A</v>
      </c>
      <c r="AA166" s="592" t="e">
        <f ca="1">OFFSET('360SpcLdsCSV'!$B$5,$B166,AA$51)</f>
        <v>#N/A</v>
      </c>
      <c r="AB166" s="592" t="e">
        <f ca="1">OFFSET('360SpcLdsCSV'!$B$5,$B166,AB$51)</f>
        <v>#N/A</v>
      </c>
      <c r="AC166" s="592" t="e">
        <f ca="1">OFFSET('360SpcLdsCSV'!$B$5,$B166,AC$51)</f>
        <v>#N/A</v>
      </c>
      <c r="AD166" s="592" t="e">
        <f ca="1">OFFSET('360SpcLdsCSV'!$B$5,$B166,AD$51)</f>
        <v>#N/A</v>
      </c>
      <c r="AE166" s="592" t="e">
        <f ca="1">OFFSET('360SpcLdsCSV'!$B$5,$B166,AE$51)</f>
        <v>#N/A</v>
      </c>
      <c r="AF166" s="592" t="e">
        <f ca="1">OFFSET('360SpcLdsCSV'!$B$5,$B166,AF$51)</f>
        <v>#N/A</v>
      </c>
      <c r="AG166" s="592" t="e">
        <f ca="1">OFFSET('360SpcLdsCSV'!$B$5,$B166,AG$51)</f>
        <v>#N/A</v>
      </c>
      <c r="AH166" s="592" t="e">
        <f ca="1">OFFSET('360SpcLdsCSV'!$B$5,$B166,AH$51)</f>
        <v>#N/A</v>
      </c>
      <c r="AI166" s="592" t="e">
        <f ca="1">OFFSET('360SpcLdsCSV'!$B$5,$B166,AI$51)</f>
        <v>#N/A</v>
      </c>
      <c r="AJ166" s="592" t="e" cm="1">
        <f t="array" ref="AJ166">_xlfn.IFS($F166="Resi",1,$F166="Racc",0,$F166="Coml",0,$F166="Prkg",0)</f>
        <v>#VALUE!</v>
      </c>
      <c r="AK166" s="596"/>
      <c r="AL166" s="590" t="e">
        <f ca="1">OFFSET('360SpcLdsCSV'!$B$5,$B166,AL$51)</f>
        <v>#N/A</v>
      </c>
      <c r="AM166" s="663" t="e">
        <f t="shared" ca="1" si="139"/>
        <v>#N/A</v>
      </c>
      <c r="AN166" s="663" t="e">
        <f t="shared" ca="1" si="140"/>
        <v>#N/A</v>
      </c>
      <c r="AO166" s="663" t="e">
        <f t="shared" ca="1" si="167"/>
        <v>#N/A</v>
      </c>
      <c r="AP166" s="663" t="e">
        <f t="shared" ca="1" si="141"/>
        <v>#N/A</v>
      </c>
      <c r="AQ166" s="663" t="e">
        <f t="shared" ca="1" si="142"/>
        <v>#N/A</v>
      </c>
      <c r="AR166" s="663" t="e">
        <f t="shared" ca="1" si="143"/>
        <v>#N/A</v>
      </c>
      <c r="AS166" s="663" t="e">
        <f t="shared" ca="1" si="144"/>
        <v>#N/A</v>
      </c>
      <c r="AT166" s="663" t="e">
        <f t="shared" ca="1" si="145"/>
        <v>#N/A</v>
      </c>
      <c r="AU166" s="663" t="e">
        <f t="shared" ca="1" si="146"/>
        <v>#N/A</v>
      </c>
      <c r="AV166" s="663" t="e">
        <f t="shared" ca="1" si="147"/>
        <v>#N/A</v>
      </c>
      <c r="AW166" s="663" t="e">
        <f t="shared" ca="1" si="148"/>
        <v>#N/A</v>
      </c>
      <c r="AX166" s="663" t="e">
        <f t="shared" ca="1" si="149"/>
        <v>#N/A</v>
      </c>
      <c r="AY166" s="663" t="e">
        <f t="shared" ca="1" si="150"/>
        <v>#N/A</v>
      </c>
      <c r="AZ166" s="663" t="e">
        <f t="shared" ca="1" si="151"/>
        <v>#N/A</v>
      </c>
      <c r="BA166" s="663" t="e">
        <f t="shared" ca="1" si="152"/>
        <v>#N/A</v>
      </c>
      <c r="BB166" s="663" t="e">
        <f t="shared" ca="1" si="153"/>
        <v>#N/A</v>
      </c>
      <c r="BC166" s="663" t="e">
        <f t="shared" ca="1" si="154"/>
        <v>#N/A</v>
      </c>
      <c r="BD166" s="663" t="e">
        <f t="shared" ca="1" si="155"/>
        <v>#N/A</v>
      </c>
      <c r="BE166" s="663" t="e">
        <f t="shared" ca="1" si="156"/>
        <v>#N/A</v>
      </c>
      <c r="BF166" s="663" t="e">
        <f t="shared" ca="1" si="157"/>
        <v>#N/A</v>
      </c>
      <c r="BG166" s="663" t="e">
        <f t="shared" ca="1" si="158"/>
        <v>#N/A</v>
      </c>
      <c r="BH166" s="663" t="e">
        <f t="shared" ca="1" si="159"/>
        <v>#N/A</v>
      </c>
      <c r="BI166" s="663" t="e">
        <f t="shared" ca="1" si="160"/>
        <v>#N/A</v>
      </c>
      <c r="BJ166" s="663" t="e">
        <f t="shared" ca="1" si="161"/>
        <v>#N/A</v>
      </c>
      <c r="BK166" s="663" t="e">
        <f t="shared" ca="1" si="162"/>
        <v>#N/A</v>
      </c>
      <c r="BL166" s="1918"/>
      <c r="BM166" s="1532"/>
      <c r="BN166" s="1919"/>
      <c r="BO166" s="603"/>
      <c r="BP166" s="602"/>
      <c r="BQ166" s="602"/>
      <c r="BR166" s="602"/>
      <c r="BS166" s="604"/>
      <c r="BT166" s="605"/>
      <c r="BU166" s="602"/>
      <c r="BV166" s="602"/>
      <c r="BW166" s="606"/>
      <c r="BX166" s="607"/>
      <c r="BY166" s="608"/>
      <c r="BZ166" s="608"/>
      <c r="CA166"/>
      <c r="CB166" s="600"/>
    </row>
    <row r="167" spans="2:80" ht="12" customHeight="1" x14ac:dyDescent="0.35">
      <c r="B167" s="590" t="e">
        <f>MATCH(C167,'360SpcLdsCSV'!$C$6:$C$500,0)</f>
        <v>#N/A</v>
      </c>
      <c r="C167" s="590">
        <f>'360SpcLdsCSV'!C116</f>
        <v>0</v>
      </c>
      <c r="D167" s="590" t="str">
        <f t="shared" si="163"/>
        <v>0</v>
      </c>
      <c r="E167" s="590" t="e">
        <f t="shared" si="164"/>
        <v>#VALUE!</v>
      </c>
      <c r="F167" s="590" t="e">
        <f t="shared" si="165"/>
        <v>#VALUE!</v>
      </c>
      <c r="G167" s="590" t="str">
        <f t="shared" si="166"/>
        <v>0</v>
      </c>
      <c r="H167" s="590" t="e">
        <f ca="1">OFFSET('360SpcLdsCSV'!$B$5,$B167,H$51)</f>
        <v>#N/A</v>
      </c>
      <c r="I167" s="590" t="e">
        <f ca="1">OFFSET('360SpcLdsCSV'!$B$5,$B167,I$51)</f>
        <v>#N/A</v>
      </c>
      <c r="J167" s="590" t="e">
        <f ca="1">OFFSET('360SpcLdsCSV'!$B$5,$B167,J$51)</f>
        <v>#N/A</v>
      </c>
      <c r="K167" s="590" t="e">
        <f ca="1">OFFSET('360SpcLdsCSV'!$B$5,$B167,K$51)</f>
        <v>#N/A</v>
      </c>
      <c r="L167" s="590" t="e">
        <f ca="1">OFFSET('360SpcLdsCSV'!$B$5,$B167,L$51)</f>
        <v>#N/A</v>
      </c>
      <c r="M167" s="592" t="e">
        <f ca="1">OFFSET('360SpcLdsCSV'!$B$5,$B167,M$51)</f>
        <v>#N/A</v>
      </c>
      <c r="N167" s="592" t="e">
        <f ca="1">OFFSET('360SpcLdsCSV'!$B$5,$B167,N$51)</f>
        <v>#N/A</v>
      </c>
      <c r="O167" s="592" t="e">
        <f ca="1">OFFSET('360SpcLdsCSV'!$B$5,$B167,O$51)</f>
        <v>#N/A</v>
      </c>
      <c r="P167" s="592" t="e">
        <f ca="1">OFFSET('360SpcLdsCSV'!$B$5,$B167,P$51)</f>
        <v>#N/A</v>
      </c>
      <c r="Q167" s="592" t="e">
        <f ca="1">OFFSET('360SpcLdsCSV'!$B$5,$B167,Q$51)</f>
        <v>#N/A</v>
      </c>
      <c r="R167" s="592" t="e">
        <f ca="1">OFFSET('360SpcLdsCSV'!$B$5,$B167,R$51)</f>
        <v>#N/A</v>
      </c>
      <c r="S167" s="592" t="e">
        <f ca="1">OFFSET('360SpcLdsCSV'!$B$5,$B167,S$51)</f>
        <v>#N/A</v>
      </c>
      <c r="T167" s="592" t="e">
        <f ca="1">OFFSET('360SpcLdsCSV'!$B$5,$B167,T$51)</f>
        <v>#N/A</v>
      </c>
      <c r="U167" s="592" t="e">
        <f ca="1">OFFSET('360SpcLdsCSV'!$B$5,$B167,U$51)</f>
        <v>#N/A</v>
      </c>
      <c r="V167" s="592" t="e">
        <f ca="1">OFFSET('360SpcLdsCSV'!$B$5,$B167,V$51)</f>
        <v>#N/A</v>
      </c>
      <c r="W167" s="592" t="e">
        <f ca="1">OFFSET('360SpcLdsCSV'!$B$5,$B167,W$51)</f>
        <v>#N/A</v>
      </c>
      <c r="X167" s="592" t="e">
        <f ca="1">OFFSET('360SpcLdsCSV'!$B$5,$B167,X$51)</f>
        <v>#N/A</v>
      </c>
      <c r="Y167" s="592" t="e">
        <f ca="1">OFFSET('360SpcLdsCSV'!$B$5,$B167,Y$51)</f>
        <v>#N/A</v>
      </c>
      <c r="Z167" s="592" t="e">
        <f ca="1">OFFSET('360SpcLdsCSV'!$B$5,$B167,Z$51)</f>
        <v>#N/A</v>
      </c>
      <c r="AA167" s="592" t="e">
        <f ca="1">OFFSET('360SpcLdsCSV'!$B$5,$B167,AA$51)</f>
        <v>#N/A</v>
      </c>
      <c r="AB167" s="592" t="e">
        <f ca="1">OFFSET('360SpcLdsCSV'!$B$5,$B167,AB$51)</f>
        <v>#N/A</v>
      </c>
      <c r="AC167" s="592" t="e">
        <f ca="1">OFFSET('360SpcLdsCSV'!$B$5,$B167,AC$51)</f>
        <v>#N/A</v>
      </c>
      <c r="AD167" s="592" t="e">
        <f ca="1">OFFSET('360SpcLdsCSV'!$B$5,$B167,AD$51)</f>
        <v>#N/A</v>
      </c>
      <c r="AE167" s="592" t="e">
        <f ca="1">OFFSET('360SpcLdsCSV'!$B$5,$B167,AE$51)</f>
        <v>#N/A</v>
      </c>
      <c r="AF167" s="592" t="e">
        <f ca="1">OFFSET('360SpcLdsCSV'!$B$5,$B167,AF$51)</f>
        <v>#N/A</v>
      </c>
      <c r="AG167" s="592" t="e">
        <f ca="1">OFFSET('360SpcLdsCSV'!$B$5,$B167,AG$51)</f>
        <v>#N/A</v>
      </c>
      <c r="AH167" s="592" t="e">
        <f ca="1">OFFSET('360SpcLdsCSV'!$B$5,$B167,AH$51)</f>
        <v>#N/A</v>
      </c>
      <c r="AI167" s="592" t="e">
        <f ca="1">OFFSET('360SpcLdsCSV'!$B$5,$B167,AI$51)</f>
        <v>#N/A</v>
      </c>
      <c r="AJ167" s="592" t="e" cm="1">
        <f t="array" ref="AJ167">_xlfn.IFS($F167="Resi",1,$F167="Racc",0,$F167="Coml",0,$F167="Prkg",0)</f>
        <v>#VALUE!</v>
      </c>
      <c r="AK167" s="596"/>
      <c r="AL167" s="590" t="e">
        <f ca="1">OFFSET('360SpcLdsCSV'!$B$5,$B167,AL$51)</f>
        <v>#N/A</v>
      </c>
      <c r="AM167" s="663" t="e">
        <f t="shared" ca="1" si="139"/>
        <v>#N/A</v>
      </c>
      <c r="AN167" s="663" t="e">
        <f t="shared" ca="1" si="140"/>
        <v>#N/A</v>
      </c>
      <c r="AO167" s="663" t="e">
        <f t="shared" ca="1" si="167"/>
        <v>#N/A</v>
      </c>
      <c r="AP167" s="663" t="e">
        <f t="shared" ca="1" si="141"/>
        <v>#N/A</v>
      </c>
      <c r="AQ167" s="663" t="e">
        <f t="shared" ca="1" si="142"/>
        <v>#N/A</v>
      </c>
      <c r="AR167" s="663" t="e">
        <f t="shared" ca="1" si="143"/>
        <v>#N/A</v>
      </c>
      <c r="AS167" s="663" t="e">
        <f t="shared" ca="1" si="144"/>
        <v>#N/A</v>
      </c>
      <c r="AT167" s="663" t="e">
        <f t="shared" ca="1" si="145"/>
        <v>#N/A</v>
      </c>
      <c r="AU167" s="663" t="e">
        <f t="shared" ca="1" si="146"/>
        <v>#N/A</v>
      </c>
      <c r="AV167" s="663" t="e">
        <f t="shared" ca="1" si="147"/>
        <v>#N/A</v>
      </c>
      <c r="AW167" s="663" t="e">
        <f t="shared" ca="1" si="148"/>
        <v>#N/A</v>
      </c>
      <c r="AX167" s="663" t="e">
        <f t="shared" ca="1" si="149"/>
        <v>#N/A</v>
      </c>
      <c r="AY167" s="663" t="e">
        <f t="shared" ca="1" si="150"/>
        <v>#N/A</v>
      </c>
      <c r="AZ167" s="663" t="e">
        <f t="shared" ca="1" si="151"/>
        <v>#N/A</v>
      </c>
      <c r="BA167" s="663" t="e">
        <f t="shared" ca="1" si="152"/>
        <v>#N/A</v>
      </c>
      <c r="BB167" s="663" t="e">
        <f t="shared" ca="1" si="153"/>
        <v>#N/A</v>
      </c>
      <c r="BC167" s="663" t="e">
        <f t="shared" ca="1" si="154"/>
        <v>#N/A</v>
      </c>
      <c r="BD167" s="663" t="e">
        <f t="shared" ca="1" si="155"/>
        <v>#N/A</v>
      </c>
      <c r="BE167" s="663" t="e">
        <f t="shared" ca="1" si="156"/>
        <v>#N/A</v>
      </c>
      <c r="BF167" s="663" t="e">
        <f t="shared" ca="1" si="157"/>
        <v>#N/A</v>
      </c>
      <c r="BG167" s="663" t="e">
        <f t="shared" ca="1" si="158"/>
        <v>#N/A</v>
      </c>
      <c r="BH167" s="663" t="e">
        <f t="shared" ca="1" si="159"/>
        <v>#N/A</v>
      </c>
      <c r="BI167" s="663" t="e">
        <f t="shared" ca="1" si="160"/>
        <v>#N/A</v>
      </c>
      <c r="BJ167" s="663" t="e">
        <f t="shared" ca="1" si="161"/>
        <v>#N/A</v>
      </c>
      <c r="BK167" s="663" t="e">
        <f t="shared" ca="1" si="162"/>
        <v>#N/A</v>
      </c>
      <c r="BL167" s="1918"/>
      <c r="BM167" s="1532"/>
      <c r="BN167" s="1919"/>
      <c r="BO167" s="603"/>
      <c r="BP167" s="602"/>
      <c r="BQ167" s="602"/>
      <c r="BR167" s="602"/>
      <c r="BS167" s="604"/>
      <c r="BT167" s="605"/>
      <c r="BU167" s="602"/>
      <c r="BV167" s="602"/>
      <c r="BW167" s="606"/>
      <c r="BX167" s="607"/>
      <c r="BY167" s="608"/>
      <c r="BZ167" s="608"/>
      <c r="CA167"/>
      <c r="CB167" s="600"/>
    </row>
    <row r="168" spans="2:80" ht="12" customHeight="1" x14ac:dyDescent="0.35">
      <c r="B168" s="590" t="e">
        <f>MATCH(C168,'360SpcLdsCSV'!$C$6:$C$500,0)</f>
        <v>#N/A</v>
      </c>
      <c r="C168" s="590">
        <f>'360SpcLdsCSV'!C117</f>
        <v>0</v>
      </c>
      <c r="D168" s="590" t="str">
        <f t="shared" si="163"/>
        <v>0</v>
      </c>
      <c r="E168" s="590" t="e">
        <f t="shared" si="164"/>
        <v>#VALUE!</v>
      </c>
      <c r="F168" s="590" t="e">
        <f t="shared" si="165"/>
        <v>#VALUE!</v>
      </c>
      <c r="G168" s="590" t="str">
        <f t="shared" si="166"/>
        <v>0</v>
      </c>
      <c r="H168" s="590" t="e">
        <f ca="1">OFFSET('360SpcLdsCSV'!$B$5,$B168,H$51)</f>
        <v>#N/A</v>
      </c>
      <c r="I168" s="590" t="e">
        <f ca="1">OFFSET('360SpcLdsCSV'!$B$5,$B168,I$51)</f>
        <v>#N/A</v>
      </c>
      <c r="J168" s="590" t="e">
        <f ca="1">OFFSET('360SpcLdsCSV'!$B$5,$B168,J$51)</f>
        <v>#N/A</v>
      </c>
      <c r="K168" s="590" t="e">
        <f ca="1">OFFSET('360SpcLdsCSV'!$B$5,$B168,K$51)</f>
        <v>#N/A</v>
      </c>
      <c r="L168" s="590" t="e">
        <f ca="1">OFFSET('360SpcLdsCSV'!$B$5,$B168,L$51)</f>
        <v>#N/A</v>
      </c>
      <c r="M168" s="592" t="e">
        <f ca="1">OFFSET('360SpcLdsCSV'!$B$5,$B168,M$51)</f>
        <v>#N/A</v>
      </c>
      <c r="N168" s="592" t="e">
        <f ca="1">OFFSET('360SpcLdsCSV'!$B$5,$B168,N$51)</f>
        <v>#N/A</v>
      </c>
      <c r="O168" s="592" t="e">
        <f ca="1">OFFSET('360SpcLdsCSV'!$B$5,$B168,O$51)</f>
        <v>#N/A</v>
      </c>
      <c r="P168" s="592" t="e">
        <f ca="1">OFFSET('360SpcLdsCSV'!$B$5,$B168,P$51)</f>
        <v>#N/A</v>
      </c>
      <c r="Q168" s="592" t="e">
        <f ca="1">OFFSET('360SpcLdsCSV'!$B$5,$B168,Q$51)</f>
        <v>#N/A</v>
      </c>
      <c r="R168" s="592" t="e">
        <f ca="1">OFFSET('360SpcLdsCSV'!$B$5,$B168,R$51)</f>
        <v>#N/A</v>
      </c>
      <c r="S168" s="592" t="e">
        <f ca="1">OFFSET('360SpcLdsCSV'!$B$5,$B168,S$51)</f>
        <v>#N/A</v>
      </c>
      <c r="T168" s="592" t="e">
        <f ca="1">OFFSET('360SpcLdsCSV'!$B$5,$B168,T$51)</f>
        <v>#N/A</v>
      </c>
      <c r="U168" s="592" t="e">
        <f ca="1">OFFSET('360SpcLdsCSV'!$B$5,$B168,U$51)</f>
        <v>#N/A</v>
      </c>
      <c r="V168" s="592" t="e">
        <f ca="1">OFFSET('360SpcLdsCSV'!$B$5,$B168,V$51)</f>
        <v>#N/A</v>
      </c>
      <c r="W168" s="592" t="e">
        <f ca="1">OFFSET('360SpcLdsCSV'!$B$5,$B168,W$51)</f>
        <v>#N/A</v>
      </c>
      <c r="X168" s="592" t="e">
        <f ca="1">OFFSET('360SpcLdsCSV'!$B$5,$B168,X$51)</f>
        <v>#N/A</v>
      </c>
      <c r="Y168" s="592" t="e">
        <f ca="1">OFFSET('360SpcLdsCSV'!$B$5,$B168,Y$51)</f>
        <v>#N/A</v>
      </c>
      <c r="Z168" s="592" t="e">
        <f ca="1">OFFSET('360SpcLdsCSV'!$B$5,$B168,Z$51)</f>
        <v>#N/A</v>
      </c>
      <c r="AA168" s="592" t="e">
        <f ca="1">OFFSET('360SpcLdsCSV'!$B$5,$B168,AA$51)</f>
        <v>#N/A</v>
      </c>
      <c r="AB168" s="592" t="e">
        <f ca="1">OFFSET('360SpcLdsCSV'!$B$5,$B168,AB$51)</f>
        <v>#N/A</v>
      </c>
      <c r="AC168" s="592" t="e">
        <f ca="1">OFFSET('360SpcLdsCSV'!$B$5,$B168,AC$51)</f>
        <v>#N/A</v>
      </c>
      <c r="AD168" s="592" t="e">
        <f ca="1">OFFSET('360SpcLdsCSV'!$B$5,$B168,AD$51)</f>
        <v>#N/A</v>
      </c>
      <c r="AE168" s="592" t="e">
        <f ca="1">OFFSET('360SpcLdsCSV'!$B$5,$B168,AE$51)</f>
        <v>#N/A</v>
      </c>
      <c r="AF168" s="592" t="e">
        <f ca="1">OFFSET('360SpcLdsCSV'!$B$5,$B168,AF$51)</f>
        <v>#N/A</v>
      </c>
      <c r="AG168" s="592" t="e">
        <f ca="1">OFFSET('360SpcLdsCSV'!$B$5,$B168,AG$51)</f>
        <v>#N/A</v>
      </c>
      <c r="AH168" s="592" t="e">
        <f ca="1">OFFSET('360SpcLdsCSV'!$B$5,$B168,AH$51)</f>
        <v>#N/A</v>
      </c>
      <c r="AI168" s="592" t="e">
        <f ca="1">OFFSET('360SpcLdsCSV'!$B$5,$B168,AI$51)</f>
        <v>#N/A</v>
      </c>
      <c r="AJ168" s="592" t="e" cm="1">
        <f t="array" ref="AJ168">_xlfn.IFS($F168="Resi",1,$F168="Racc",0,$F168="Coml",0,$F168="Prkg",0)</f>
        <v>#VALUE!</v>
      </c>
      <c r="AK168" s="596"/>
      <c r="AL168" s="590" t="e">
        <f ca="1">OFFSET('360SpcLdsCSV'!$B$5,$B168,AL$51)</f>
        <v>#N/A</v>
      </c>
      <c r="AM168" s="663" t="e">
        <f t="shared" ca="1" si="139"/>
        <v>#N/A</v>
      </c>
      <c r="AN168" s="663" t="e">
        <f t="shared" ca="1" si="140"/>
        <v>#N/A</v>
      </c>
      <c r="AO168" s="663" t="e">
        <f t="shared" ca="1" si="167"/>
        <v>#N/A</v>
      </c>
      <c r="AP168" s="663" t="e">
        <f t="shared" ca="1" si="141"/>
        <v>#N/A</v>
      </c>
      <c r="AQ168" s="663" t="e">
        <f t="shared" ca="1" si="142"/>
        <v>#N/A</v>
      </c>
      <c r="AR168" s="663" t="e">
        <f t="shared" ca="1" si="143"/>
        <v>#N/A</v>
      </c>
      <c r="AS168" s="663" t="e">
        <f t="shared" ca="1" si="144"/>
        <v>#N/A</v>
      </c>
      <c r="AT168" s="663" t="e">
        <f t="shared" ca="1" si="145"/>
        <v>#N/A</v>
      </c>
      <c r="AU168" s="663" t="e">
        <f t="shared" ca="1" si="146"/>
        <v>#N/A</v>
      </c>
      <c r="AV168" s="663" t="e">
        <f t="shared" ca="1" si="147"/>
        <v>#N/A</v>
      </c>
      <c r="AW168" s="663" t="e">
        <f t="shared" ca="1" si="148"/>
        <v>#N/A</v>
      </c>
      <c r="AX168" s="663" t="e">
        <f t="shared" ca="1" si="149"/>
        <v>#N/A</v>
      </c>
      <c r="AY168" s="663" t="e">
        <f t="shared" ca="1" si="150"/>
        <v>#N/A</v>
      </c>
      <c r="AZ168" s="663" t="e">
        <f t="shared" ca="1" si="151"/>
        <v>#N/A</v>
      </c>
      <c r="BA168" s="663" t="e">
        <f t="shared" ca="1" si="152"/>
        <v>#N/A</v>
      </c>
      <c r="BB168" s="663" t="e">
        <f t="shared" ca="1" si="153"/>
        <v>#N/A</v>
      </c>
      <c r="BC168" s="663" t="e">
        <f t="shared" ca="1" si="154"/>
        <v>#N/A</v>
      </c>
      <c r="BD168" s="663" t="e">
        <f t="shared" ca="1" si="155"/>
        <v>#N/A</v>
      </c>
      <c r="BE168" s="663" t="e">
        <f t="shared" ca="1" si="156"/>
        <v>#N/A</v>
      </c>
      <c r="BF168" s="663" t="e">
        <f t="shared" ca="1" si="157"/>
        <v>#N/A</v>
      </c>
      <c r="BG168" s="663" t="e">
        <f t="shared" ca="1" si="158"/>
        <v>#N/A</v>
      </c>
      <c r="BH168" s="663" t="e">
        <f t="shared" ca="1" si="159"/>
        <v>#N/A</v>
      </c>
      <c r="BI168" s="663" t="e">
        <f t="shared" ca="1" si="160"/>
        <v>#N/A</v>
      </c>
      <c r="BJ168" s="663" t="e">
        <f t="shared" ca="1" si="161"/>
        <v>#N/A</v>
      </c>
      <c r="BK168" s="663" t="e">
        <f t="shared" ca="1" si="162"/>
        <v>#N/A</v>
      </c>
      <c r="BL168" s="1918"/>
      <c r="BM168" s="1532"/>
      <c r="BN168" s="1919"/>
      <c r="BO168" s="603"/>
      <c r="BP168" s="602"/>
      <c r="BQ168" s="602"/>
      <c r="BR168" s="602"/>
      <c r="BS168" s="604"/>
      <c r="BT168" s="605"/>
      <c r="BU168" s="602"/>
      <c r="BV168" s="602"/>
      <c r="BW168" s="606"/>
      <c r="BX168" s="607"/>
      <c r="BY168" s="608"/>
      <c r="BZ168" s="608"/>
      <c r="CA168"/>
      <c r="CB168" s="600"/>
    </row>
    <row r="169" spans="2:80" ht="12" customHeight="1" x14ac:dyDescent="0.35">
      <c r="B169" s="590" t="e">
        <f>MATCH(C169,'360SpcLdsCSV'!$C$6:$C$500,0)</f>
        <v>#N/A</v>
      </c>
      <c r="C169" s="590">
        <f>'360SpcLdsCSV'!C118</f>
        <v>0</v>
      </c>
      <c r="D169" s="590" t="str">
        <f t="shared" si="163"/>
        <v>0</v>
      </c>
      <c r="E169" s="590" t="e">
        <f t="shared" si="164"/>
        <v>#VALUE!</v>
      </c>
      <c r="F169" s="590" t="e">
        <f t="shared" si="165"/>
        <v>#VALUE!</v>
      </c>
      <c r="G169" s="590" t="str">
        <f t="shared" si="166"/>
        <v>0</v>
      </c>
      <c r="H169" s="590" t="e">
        <f ca="1">OFFSET('360SpcLdsCSV'!$B$5,$B169,H$51)</f>
        <v>#N/A</v>
      </c>
      <c r="I169" s="590" t="e">
        <f ca="1">OFFSET('360SpcLdsCSV'!$B$5,$B169,I$51)</f>
        <v>#N/A</v>
      </c>
      <c r="J169" s="590" t="e">
        <f ca="1">OFFSET('360SpcLdsCSV'!$B$5,$B169,J$51)</f>
        <v>#N/A</v>
      </c>
      <c r="K169" s="590" t="e">
        <f ca="1">OFFSET('360SpcLdsCSV'!$B$5,$B169,K$51)</f>
        <v>#N/A</v>
      </c>
      <c r="L169" s="590" t="e">
        <f ca="1">OFFSET('360SpcLdsCSV'!$B$5,$B169,L$51)</f>
        <v>#N/A</v>
      </c>
      <c r="M169" s="592" t="e">
        <f ca="1">OFFSET('360SpcLdsCSV'!$B$5,$B169,M$51)</f>
        <v>#N/A</v>
      </c>
      <c r="N169" s="592" t="e">
        <f ca="1">OFFSET('360SpcLdsCSV'!$B$5,$B169,N$51)</f>
        <v>#N/A</v>
      </c>
      <c r="O169" s="592" t="e">
        <f ca="1">OFFSET('360SpcLdsCSV'!$B$5,$B169,O$51)</f>
        <v>#N/A</v>
      </c>
      <c r="P169" s="592" t="e">
        <f ca="1">OFFSET('360SpcLdsCSV'!$B$5,$B169,P$51)</f>
        <v>#N/A</v>
      </c>
      <c r="Q169" s="592" t="e">
        <f ca="1">OFFSET('360SpcLdsCSV'!$B$5,$B169,Q$51)</f>
        <v>#N/A</v>
      </c>
      <c r="R169" s="592" t="e">
        <f ca="1">OFFSET('360SpcLdsCSV'!$B$5,$B169,R$51)</f>
        <v>#N/A</v>
      </c>
      <c r="S169" s="592" t="e">
        <f ca="1">OFFSET('360SpcLdsCSV'!$B$5,$B169,S$51)</f>
        <v>#N/A</v>
      </c>
      <c r="T169" s="592" t="e">
        <f ca="1">OFFSET('360SpcLdsCSV'!$B$5,$B169,T$51)</f>
        <v>#N/A</v>
      </c>
      <c r="U169" s="592" t="e">
        <f ca="1">OFFSET('360SpcLdsCSV'!$B$5,$B169,U$51)</f>
        <v>#N/A</v>
      </c>
      <c r="V169" s="592" t="e">
        <f ca="1">OFFSET('360SpcLdsCSV'!$B$5,$B169,V$51)</f>
        <v>#N/A</v>
      </c>
      <c r="W169" s="592" t="e">
        <f ca="1">OFFSET('360SpcLdsCSV'!$B$5,$B169,W$51)</f>
        <v>#N/A</v>
      </c>
      <c r="X169" s="592" t="e">
        <f ca="1">OFFSET('360SpcLdsCSV'!$B$5,$B169,X$51)</f>
        <v>#N/A</v>
      </c>
      <c r="Y169" s="592" t="e">
        <f ca="1">OFFSET('360SpcLdsCSV'!$B$5,$B169,Y$51)</f>
        <v>#N/A</v>
      </c>
      <c r="Z169" s="592" t="e">
        <f ca="1">OFFSET('360SpcLdsCSV'!$B$5,$B169,Z$51)</f>
        <v>#N/A</v>
      </c>
      <c r="AA169" s="592" t="e">
        <f ca="1">OFFSET('360SpcLdsCSV'!$B$5,$B169,AA$51)</f>
        <v>#N/A</v>
      </c>
      <c r="AB169" s="592" t="e">
        <f ca="1">OFFSET('360SpcLdsCSV'!$B$5,$B169,AB$51)</f>
        <v>#N/A</v>
      </c>
      <c r="AC169" s="592" t="e">
        <f ca="1">OFFSET('360SpcLdsCSV'!$B$5,$B169,AC$51)</f>
        <v>#N/A</v>
      </c>
      <c r="AD169" s="592" t="e">
        <f ca="1">OFFSET('360SpcLdsCSV'!$B$5,$B169,AD$51)</f>
        <v>#N/A</v>
      </c>
      <c r="AE169" s="592" t="e">
        <f ca="1">OFFSET('360SpcLdsCSV'!$B$5,$B169,AE$51)</f>
        <v>#N/A</v>
      </c>
      <c r="AF169" s="592" t="e">
        <f ca="1">OFFSET('360SpcLdsCSV'!$B$5,$B169,AF$51)</f>
        <v>#N/A</v>
      </c>
      <c r="AG169" s="592" t="e">
        <f ca="1">OFFSET('360SpcLdsCSV'!$B$5,$B169,AG$51)</f>
        <v>#N/A</v>
      </c>
      <c r="AH169" s="592" t="e">
        <f ca="1">OFFSET('360SpcLdsCSV'!$B$5,$B169,AH$51)</f>
        <v>#N/A</v>
      </c>
      <c r="AI169" s="592" t="e">
        <f ca="1">OFFSET('360SpcLdsCSV'!$B$5,$B169,AI$51)</f>
        <v>#N/A</v>
      </c>
      <c r="AJ169" s="592" t="e" cm="1">
        <f t="array" ref="AJ169">_xlfn.IFS($F169="Resi",1,$F169="Racc",0,$F169="Coml",0,$F169="Prkg",0)</f>
        <v>#VALUE!</v>
      </c>
      <c r="AK169" s="596"/>
      <c r="AL169" s="590" t="e">
        <f ca="1">OFFSET('360SpcLdsCSV'!$B$5,$B169,AL$51)</f>
        <v>#N/A</v>
      </c>
      <c r="AM169" s="663" t="e">
        <f t="shared" ca="1" si="139"/>
        <v>#N/A</v>
      </c>
      <c r="AN169" s="663" t="e">
        <f t="shared" ca="1" si="140"/>
        <v>#N/A</v>
      </c>
      <c r="AO169" s="663" t="e">
        <f t="shared" ca="1" si="167"/>
        <v>#N/A</v>
      </c>
      <c r="AP169" s="663" t="e">
        <f t="shared" ca="1" si="141"/>
        <v>#N/A</v>
      </c>
      <c r="AQ169" s="663" t="e">
        <f t="shared" ca="1" si="142"/>
        <v>#N/A</v>
      </c>
      <c r="AR169" s="663" t="e">
        <f t="shared" ca="1" si="143"/>
        <v>#N/A</v>
      </c>
      <c r="AS169" s="663" t="e">
        <f t="shared" ca="1" si="144"/>
        <v>#N/A</v>
      </c>
      <c r="AT169" s="663" t="e">
        <f t="shared" ca="1" si="145"/>
        <v>#N/A</v>
      </c>
      <c r="AU169" s="663" t="e">
        <f t="shared" ca="1" si="146"/>
        <v>#N/A</v>
      </c>
      <c r="AV169" s="663" t="e">
        <f t="shared" ca="1" si="147"/>
        <v>#N/A</v>
      </c>
      <c r="AW169" s="663" t="e">
        <f t="shared" ca="1" si="148"/>
        <v>#N/A</v>
      </c>
      <c r="AX169" s="663" t="e">
        <f t="shared" ca="1" si="149"/>
        <v>#N/A</v>
      </c>
      <c r="AY169" s="663" t="e">
        <f t="shared" ca="1" si="150"/>
        <v>#N/A</v>
      </c>
      <c r="AZ169" s="663" t="e">
        <f t="shared" ca="1" si="151"/>
        <v>#N/A</v>
      </c>
      <c r="BA169" s="663" t="e">
        <f t="shared" ca="1" si="152"/>
        <v>#N/A</v>
      </c>
      <c r="BB169" s="663" t="e">
        <f t="shared" ca="1" si="153"/>
        <v>#N/A</v>
      </c>
      <c r="BC169" s="663" t="e">
        <f t="shared" ca="1" si="154"/>
        <v>#N/A</v>
      </c>
      <c r="BD169" s="663" t="e">
        <f t="shared" ca="1" si="155"/>
        <v>#N/A</v>
      </c>
      <c r="BE169" s="663" t="e">
        <f t="shared" ca="1" si="156"/>
        <v>#N/A</v>
      </c>
      <c r="BF169" s="663" t="e">
        <f t="shared" ca="1" si="157"/>
        <v>#N/A</v>
      </c>
      <c r="BG169" s="663" t="e">
        <f t="shared" ca="1" si="158"/>
        <v>#N/A</v>
      </c>
      <c r="BH169" s="663" t="e">
        <f t="shared" ca="1" si="159"/>
        <v>#N/A</v>
      </c>
      <c r="BI169" s="663" t="e">
        <f t="shared" ca="1" si="160"/>
        <v>#N/A</v>
      </c>
      <c r="BJ169" s="663" t="e">
        <f t="shared" ca="1" si="161"/>
        <v>#N/A</v>
      </c>
      <c r="BK169" s="663" t="e">
        <f t="shared" ca="1" si="162"/>
        <v>#N/A</v>
      </c>
      <c r="BL169" s="1918"/>
      <c r="BM169" s="1532"/>
      <c r="BN169" s="1919"/>
      <c r="BO169" s="603"/>
      <c r="BP169" s="602"/>
      <c r="BQ169" s="602"/>
      <c r="BR169" s="602"/>
      <c r="BS169" s="604"/>
      <c r="BT169" s="605"/>
      <c r="BU169" s="602"/>
      <c r="BV169" s="602"/>
      <c r="BW169" s="606"/>
      <c r="BX169" s="607"/>
      <c r="BY169" s="608"/>
      <c r="BZ169" s="608"/>
      <c r="CA169"/>
      <c r="CB169" s="600"/>
    </row>
    <row r="170" spans="2:80" ht="12" customHeight="1" x14ac:dyDescent="0.35">
      <c r="B170" s="590" t="e">
        <f>MATCH(C170,'360SpcLdsCSV'!$C$6:$C$500,0)</f>
        <v>#N/A</v>
      </c>
      <c r="C170" s="590">
        <f>'360SpcLdsCSV'!C119</f>
        <v>0</v>
      </c>
      <c r="D170" s="590" t="str">
        <f t="shared" si="163"/>
        <v>0</v>
      </c>
      <c r="E170" s="590" t="e">
        <f t="shared" si="164"/>
        <v>#VALUE!</v>
      </c>
      <c r="F170" s="590" t="e">
        <f t="shared" si="165"/>
        <v>#VALUE!</v>
      </c>
      <c r="G170" s="590" t="str">
        <f t="shared" si="166"/>
        <v>0</v>
      </c>
      <c r="H170" s="590" t="e">
        <f ca="1">OFFSET('360SpcLdsCSV'!$B$5,$B170,H$51)</f>
        <v>#N/A</v>
      </c>
      <c r="I170" s="590" t="e">
        <f ca="1">OFFSET('360SpcLdsCSV'!$B$5,$B170,I$51)</f>
        <v>#N/A</v>
      </c>
      <c r="J170" s="590" t="e">
        <f ca="1">OFFSET('360SpcLdsCSV'!$B$5,$B170,J$51)</f>
        <v>#N/A</v>
      </c>
      <c r="K170" s="590" t="e">
        <f ca="1">OFFSET('360SpcLdsCSV'!$B$5,$B170,K$51)</f>
        <v>#N/A</v>
      </c>
      <c r="L170" s="590" t="e">
        <f ca="1">OFFSET('360SpcLdsCSV'!$B$5,$B170,L$51)</f>
        <v>#N/A</v>
      </c>
      <c r="M170" s="592" t="e">
        <f ca="1">OFFSET('360SpcLdsCSV'!$B$5,$B170,M$51)</f>
        <v>#N/A</v>
      </c>
      <c r="N170" s="592" t="e">
        <f ca="1">OFFSET('360SpcLdsCSV'!$B$5,$B170,N$51)</f>
        <v>#N/A</v>
      </c>
      <c r="O170" s="592" t="e">
        <f ca="1">OFFSET('360SpcLdsCSV'!$B$5,$B170,O$51)</f>
        <v>#N/A</v>
      </c>
      <c r="P170" s="592" t="e">
        <f ca="1">OFFSET('360SpcLdsCSV'!$B$5,$B170,P$51)</f>
        <v>#N/A</v>
      </c>
      <c r="Q170" s="592" t="e">
        <f ca="1">OFFSET('360SpcLdsCSV'!$B$5,$B170,Q$51)</f>
        <v>#N/A</v>
      </c>
      <c r="R170" s="592" t="e">
        <f ca="1">OFFSET('360SpcLdsCSV'!$B$5,$B170,R$51)</f>
        <v>#N/A</v>
      </c>
      <c r="S170" s="592" t="e">
        <f ca="1">OFFSET('360SpcLdsCSV'!$B$5,$B170,S$51)</f>
        <v>#N/A</v>
      </c>
      <c r="T170" s="592" t="e">
        <f ca="1">OFFSET('360SpcLdsCSV'!$B$5,$B170,T$51)</f>
        <v>#N/A</v>
      </c>
      <c r="U170" s="592" t="e">
        <f ca="1">OFFSET('360SpcLdsCSV'!$B$5,$B170,U$51)</f>
        <v>#N/A</v>
      </c>
      <c r="V170" s="592" t="e">
        <f ca="1">OFFSET('360SpcLdsCSV'!$B$5,$B170,V$51)</f>
        <v>#N/A</v>
      </c>
      <c r="W170" s="592" t="e">
        <f ca="1">OFFSET('360SpcLdsCSV'!$B$5,$B170,W$51)</f>
        <v>#N/A</v>
      </c>
      <c r="X170" s="592" t="e">
        <f ca="1">OFFSET('360SpcLdsCSV'!$B$5,$B170,X$51)</f>
        <v>#N/A</v>
      </c>
      <c r="Y170" s="592" t="e">
        <f ca="1">OFFSET('360SpcLdsCSV'!$B$5,$B170,Y$51)</f>
        <v>#N/A</v>
      </c>
      <c r="Z170" s="592" t="e">
        <f ca="1">OFFSET('360SpcLdsCSV'!$B$5,$B170,Z$51)</f>
        <v>#N/A</v>
      </c>
      <c r="AA170" s="592" t="e">
        <f ca="1">OFFSET('360SpcLdsCSV'!$B$5,$B170,AA$51)</f>
        <v>#N/A</v>
      </c>
      <c r="AB170" s="592" t="e">
        <f ca="1">OFFSET('360SpcLdsCSV'!$B$5,$B170,AB$51)</f>
        <v>#N/A</v>
      </c>
      <c r="AC170" s="592" t="e">
        <f ca="1">OFFSET('360SpcLdsCSV'!$B$5,$B170,AC$51)</f>
        <v>#N/A</v>
      </c>
      <c r="AD170" s="592" t="e">
        <f ca="1">OFFSET('360SpcLdsCSV'!$B$5,$B170,AD$51)</f>
        <v>#N/A</v>
      </c>
      <c r="AE170" s="592" t="e">
        <f ca="1">OFFSET('360SpcLdsCSV'!$B$5,$B170,AE$51)</f>
        <v>#N/A</v>
      </c>
      <c r="AF170" s="592" t="e">
        <f ca="1">OFFSET('360SpcLdsCSV'!$B$5,$B170,AF$51)</f>
        <v>#N/A</v>
      </c>
      <c r="AG170" s="592" t="e">
        <f ca="1">OFFSET('360SpcLdsCSV'!$B$5,$B170,AG$51)</f>
        <v>#N/A</v>
      </c>
      <c r="AH170" s="592" t="e">
        <f ca="1">OFFSET('360SpcLdsCSV'!$B$5,$B170,AH$51)</f>
        <v>#N/A</v>
      </c>
      <c r="AI170" s="592" t="e">
        <f ca="1">OFFSET('360SpcLdsCSV'!$B$5,$B170,AI$51)</f>
        <v>#N/A</v>
      </c>
      <c r="AJ170" s="592" t="e" cm="1">
        <f t="array" ref="AJ170">_xlfn.IFS($F170="Resi",1,$F170="Racc",0,$F170="Coml",0,$F170="Prkg",0)</f>
        <v>#VALUE!</v>
      </c>
      <c r="AK170" s="596"/>
      <c r="AL170" s="590" t="e">
        <f ca="1">OFFSET('360SpcLdsCSV'!$B$5,$B170,AL$51)</f>
        <v>#N/A</v>
      </c>
      <c r="AM170" s="663" t="e">
        <f t="shared" ca="1" si="139"/>
        <v>#N/A</v>
      </c>
      <c r="AN170" s="663" t="e">
        <f t="shared" ca="1" si="140"/>
        <v>#N/A</v>
      </c>
      <c r="AO170" s="663" t="e">
        <f t="shared" ca="1" si="167"/>
        <v>#N/A</v>
      </c>
      <c r="AP170" s="663" t="e">
        <f t="shared" ca="1" si="141"/>
        <v>#N/A</v>
      </c>
      <c r="AQ170" s="663" t="e">
        <f t="shared" ca="1" si="142"/>
        <v>#N/A</v>
      </c>
      <c r="AR170" s="663" t="e">
        <f t="shared" ca="1" si="143"/>
        <v>#N/A</v>
      </c>
      <c r="AS170" s="663" t="e">
        <f t="shared" ca="1" si="144"/>
        <v>#N/A</v>
      </c>
      <c r="AT170" s="663" t="e">
        <f t="shared" ca="1" si="145"/>
        <v>#N/A</v>
      </c>
      <c r="AU170" s="663" t="e">
        <f t="shared" ca="1" si="146"/>
        <v>#N/A</v>
      </c>
      <c r="AV170" s="663" t="e">
        <f t="shared" ca="1" si="147"/>
        <v>#N/A</v>
      </c>
      <c r="AW170" s="663" t="e">
        <f t="shared" ca="1" si="148"/>
        <v>#N/A</v>
      </c>
      <c r="AX170" s="663" t="e">
        <f t="shared" ca="1" si="149"/>
        <v>#N/A</v>
      </c>
      <c r="AY170" s="663" t="e">
        <f t="shared" ca="1" si="150"/>
        <v>#N/A</v>
      </c>
      <c r="AZ170" s="663" t="e">
        <f t="shared" ca="1" si="151"/>
        <v>#N/A</v>
      </c>
      <c r="BA170" s="663" t="e">
        <f t="shared" ca="1" si="152"/>
        <v>#N/A</v>
      </c>
      <c r="BB170" s="663" t="e">
        <f t="shared" ca="1" si="153"/>
        <v>#N/A</v>
      </c>
      <c r="BC170" s="663" t="e">
        <f t="shared" ca="1" si="154"/>
        <v>#N/A</v>
      </c>
      <c r="BD170" s="663" t="e">
        <f t="shared" ca="1" si="155"/>
        <v>#N/A</v>
      </c>
      <c r="BE170" s="663" t="e">
        <f t="shared" ca="1" si="156"/>
        <v>#N/A</v>
      </c>
      <c r="BF170" s="663" t="e">
        <f t="shared" ca="1" si="157"/>
        <v>#N/A</v>
      </c>
      <c r="BG170" s="663" t="e">
        <f t="shared" ca="1" si="158"/>
        <v>#N/A</v>
      </c>
      <c r="BH170" s="663" t="e">
        <f t="shared" ca="1" si="159"/>
        <v>#N/A</v>
      </c>
      <c r="BI170" s="663" t="e">
        <f t="shared" ca="1" si="160"/>
        <v>#N/A</v>
      </c>
      <c r="BJ170" s="663" t="e">
        <f t="shared" ca="1" si="161"/>
        <v>#N/A</v>
      </c>
      <c r="BK170" s="663" t="e">
        <f t="shared" ca="1" si="162"/>
        <v>#N/A</v>
      </c>
      <c r="BL170" s="1918"/>
      <c r="BM170" s="1532"/>
      <c r="BN170" s="1919"/>
      <c r="BO170" s="603"/>
      <c r="BP170" s="602"/>
      <c r="BQ170" s="602"/>
      <c r="BR170" s="602"/>
      <c r="BS170" s="604"/>
      <c r="BT170" s="605"/>
      <c r="BU170" s="602"/>
      <c r="BV170" s="602"/>
      <c r="BW170" s="606"/>
      <c r="BX170" s="607"/>
      <c r="BY170" s="608"/>
      <c r="BZ170" s="608"/>
      <c r="CA170"/>
      <c r="CB170" s="600"/>
    </row>
    <row r="171" spans="2:80" ht="12" customHeight="1" x14ac:dyDescent="0.35">
      <c r="B171" s="590" t="e">
        <f>MATCH(C171,'360SpcLdsCSV'!$C$6:$C$500,0)</f>
        <v>#N/A</v>
      </c>
      <c r="C171" s="590">
        <f>'360SpcLdsCSV'!C120</f>
        <v>0</v>
      </c>
      <c r="D171" s="590" t="str">
        <f t="shared" si="163"/>
        <v>0</v>
      </c>
      <c r="E171" s="590" t="e">
        <f t="shared" si="164"/>
        <v>#VALUE!</v>
      </c>
      <c r="F171" s="590" t="e">
        <f t="shared" si="165"/>
        <v>#VALUE!</v>
      </c>
      <c r="G171" s="590" t="str">
        <f t="shared" si="166"/>
        <v>0</v>
      </c>
      <c r="H171" s="590" t="e">
        <f ca="1">OFFSET('360SpcLdsCSV'!$B$5,$B171,H$51)</f>
        <v>#N/A</v>
      </c>
      <c r="I171" s="590" t="e">
        <f ca="1">OFFSET('360SpcLdsCSV'!$B$5,$B171,I$51)</f>
        <v>#N/A</v>
      </c>
      <c r="J171" s="590" t="e">
        <f ca="1">OFFSET('360SpcLdsCSV'!$B$5,$B171,J$51)</f>
        <v>#N/A</v>
      </c>
      <c r="K171" s="590" t="e">
        <f ca="1">OFFSET('360SpcLdsCSV'!$B$5,$B171,K$51)</f>
        <v>#N/A</v>
      </c>
      <c r="L171" s="590" t="e">
        <f ca="1">OFFSET('360SpcLdsCSV'!$B$5,$B171,L$51)</f>
        <v>#N/A</v>
      </c>
      <c r="M171" s="592" t="e">
        <f ca="1">OFFSET('360SpcLdsCSV'!$B$5,$B171,M$51)</f>
        <v>#N/A</v>
      </c>
      <c r="N171" s="592" t="e">
        <f ca="1">OFFSET('360SpcLdsCSV'!$B$5,$B171,N$51)</f>
        <v>#N/A</v>
      </c>
      <c r="O171" s="592" t="e">
        <f ca="1">OFFSET('360SpcLdsCSV'!$B$5,$B171,O$51)</f>
        <v>#N/A</v>
      </c>
      <c r="P171" s="592" t="e">
        <f ca="1">OFFSET('360SpcLdsCSV'!$B$5,$B171,P$51)</f>
        <v>#N/A</v>
      </c>
      <c r="Q171" s="592" t="e">
        <f ca="1">OFFSET('360SpcLdsCSV'!$B$5,$B171,Q$51)</f>
        <v>#N/A</v>
      </c>
      <c r="R171" s="592" t="e">
        <f ca="1">OFFSET('360SpcLdsCSV'!$B$5,$B171,R$51)</f>
        <v>#N/A</v>
      </c>
      <c r="S171" s="592" t="e">
        <f ca="1">OFFSET('360SpcLdsCSV'!$B$5,$B171,S$51)</f>
        <v>#N/A</v>
      </c>
      <c r="T171" s="592" t="e">
        <f ca="1">OFFSET('360SpcLdsCSV'!$B$5,$B171,T$51)</f>
        <v>#N/A</v>
      </c>
      <c r="U171" s="592" t="e">
        <f ca="1">OFFSET('360SpcLdsCSV'!$B$5,$B171,U$51)</f>
        <v>#N/A</v>
      </c>
      <c r="V171" s="592" t="e">
        <f ca="1">OFFSET('360SpcLdsCSV'!$B$5,$B171,V$51)</f>
        <v>#N/A</v>
      </c>
      <c r="W171" s="592" t="e">
        <f ca="1">OFFSET('360SpcLdsCSV'!$B$5,$B171,W$51)</f>
        <v>#N/A</v>
      </c>
      <c r="X171" s="592" t="e">
        <f ca="1">OFFSET('360SpcLdsCSV'!$B$5,$B171,X$51)</f>
        <v>#N/A</v>
      </c>
      <c r="Y171" s="592" t="e">
        <f ca="1">OFFSET('360SpcLdsCSV'!$B$5,$B171,Y$51)</f>
        <v>#N/A</v>
      </c>
      <c r="Z171" s="592" t="e">
        <f ca="1">OFFSET('360SpcLdsCSV'!$B$5,$B171,Z$51)</f>
        <v>#N/A</v>
      </c>
      <c r="AA171" s="592" t="e">
        <f ca="1">OFFSET('360SpcLdsCSV'!$B$5,$B171,AA$51)</f>
        <v>#N/A</v>
      </c>
      <c r="AB171" s="592" t="e">
        <f ca="1">OFFSET('360SpcLdsCSV'!$B$5,$B171,AB$51)</f>
        <v>#N/A</v>
      </c>
      <c r="AC171" s="592" t="e">
        <f ca="1">OFFSET('360SpcLdsCSV'!$B$5,$B171,AC$51)</f>
        <v>#N/A</v>
      </c>
      <c r="AD171" s="592" t="e">
        <f ca="1">OFFSET('360SpcLdsCSV'!$B$5,$B171,AD$51)</f>
        <v>#N/A</v>
      </c>
      <c r="AE171" s="592" t="e">
        <f ca="1">OFFSET('360SpcLdsCSV'!$B$5,$B171,AE$51)</f>
        <v>#N/A</v>
      </c>
      <c r="AF171" s="592" t="e">
        <f ca="1">OFFSET('360SpcLdsCSV'!$B$5,$B171,AF$51)</f>
        <v>#N/A</v>
      </c>
      <c r="AG171" s="592" t="e">
        <f ca="1">OFFSET('360SpcLdsCSV'!$B$5,$B171,AG$51)</f>
        <v>#N/A</v>
      </c>
      <c r="AH171" s="592" t="e">
        <f ca="1">OFFSET('360SpcLdsCSV'!$B$5,$B171,AH$51)</f>
        <v>#N/A</v>
      </c>
      <c r="AI171" s="592" t="e">
        <f ca="1">OFFSET('360SpcLdsCSV'!$B$5,$B171,AI$51)</f>
        <v>#N/A</v>
      </c>
      <c r="AJ171" s="592" t="e" cm="1">
        <f t="array" ref="AJ171">_xlfn.IFS($F171="Resi",1,$F171="Racc",0,$F171="Coml",0,$F171="Prkg",0)</f>
        <v>#VALUE!</v>
      </c>
      <c r="AK171" s="596"/>
      <c r="AL171" s="590" t="e">
        <f ca="1">OFFSET('360SpcLdsCSV'!$B$5,$B171,AL$51)</f>
        <v>#N/A</v>
      </c>
      <c r="AM171" s="663" t="e">
        <f t="shared" ca="1" si="139"/>
        <v>#N/A</v>
      </c>
      <c r="AN171" s="663" t="e">
        <f t="shared" ca="1" si="140"/>
        <v>#N/A</v>
      </c>
      <c r="AO171" s="663" t="e">
        <f t="shared" ca="1" si="167"/>
        <v>#N/A</v>
      </c>
      <c r="AP171" s="663" t="e">
        <f t="shared" ca="1" si="141"/>
        <v>#N/A</v>
      </c>
      <c r="AQ171" s="663" t="e">
        <f t="shared" ca="1" si="142"/>
        <v>#N/A</v>
      </c>
      <c r="AR171" s="663" t="e">
        <f t="shared" ca="1" si="143"/>
        <v>#N/A</v>
      </c>
      <c r="AS171" s="663" t="e">
        <f t="shared" ca="1" si="144"/>
        <v>#N/A</v>
      </c>
      <c r="AT171" s="663" t="e">
        <f t="shared" ca="1" si="145"/>
        <v>#N/A</v>
      </c>
      <c r="AU171" s="663" t="e">
        <f t="shared" ca="1" si="146"/>
        <v>#N/A</v>
      </c>
      <c r="AV171" s="663" t="e">
        <f t="shared" ca="1" si="147"/>
        <v>#N/A</v>
      </c>
      <c r="AW171" s="663" t="e">
        <f t="shared" ca="1" si="148"/>
        <v>#N/A</v>
      </c>
      <c r="AX171" s="663" t="e">
        <f t="shared" ca="1" si="149"/>
        <v>#N/A</v>
      </c>
      <c r="AY171" s="663" t="e">
        <f t="shared" ca="1" si="150"/>
        <v>#N/A</v>
      </c>
      <c r="AZ171" s="663" t="e">
        <f t="shared" ca="1" si="151"/>
        <v>#N/A</v>
      </c>
      <c r="BA171" s="663" t="e">
        <f t="shared" ca="1" si="152"/>
        <v>#N/A</v>
      </c>
      <c r="BB171" s="663" t="e">
        <f t="shared" ca="1" si="153"/>
        <v>#N/A</v>
      </c>
      <c r="BC171" s="663" t="e">
        <f t="shared" ca="1" si="154"/>
        <v>#N/A</v>
      </c>
      <c r="BD171" s="663" t="e">
        <f t="shared" ca="1" si="155"/>
        <v>#N/A</v>
      </c>
      <c r="BE171" s="663" t="e">
        <f t="shared" ca="1" si="156"/>
        <v>#N/A</v>
      </c>
      <c r="BF171" s="663" t="e">
        <f t="shared" ca="1" si="157"/>
        <v>#N/A</v>
      </c>
      <c r="BG171" s="663" t="e">
        <f t="shared" ca="1" si="158"/>
        <v>#N/A</v>
      </c>
      <c r="BH171" s="663" t="e">
        <f t="shared" ca="1" si="159"/>
        <v>#N/A</v>
      </c>
      <c r="BI171" s="663" t="e">
        <f t="shared" ca="1" si="160"/>
        <v>#N/A</v>
      </c>
      <c r="BJ171" s="663" t="e">
        <f t="shared" ca="1" si="161"/>
        <v>#N/A</v>
      </c>
      <c r="BK171" s="663" t="e">
        <f t="shared" ca="1" si="162"/>
        <v>#N/A</v>
      </c>
      <c r="BL171" s="1918"/>
      <c r="BM171" s="1532"/>
      <c r="BN171" s="1919"/>
      <c r="BO171" s="603"/>
      <c r="BP171" s="602"/>
      <c r="BQ171" s="602"/>
      <c r="BR171" s="602"/>
      <c r="BS171" s="604"/>
      <c r="BT171" s="605"/>
      <c r="BU171" s="602"/>
      <c r="BV171" s="602"/>
      <c r="BW171" s="606"/>
      <c r="BX171" s="607"/>
      <c r="BY171" s="608"/>
      <c r="BZ171" s="608"/>
      <c r="CA171"/>
      <c r="CB171" s="600"/>
    </row>
    <row r="172" spans="2:80" ht="12" customHeight="1" x14ac:dyDescent="0.35">
      <c r="B172" s="590" t="e">
        <f>MATCH(C172,'360SpcLdsCSV'!$C$6:$C$500,0)</f>
        <v>#N/A</v>
      </c>
      <c r="C172" s="590">
        <f>'360SpcLdsCSV'!C121</f>
        <v>0</v>
      </c>
      <c r="D172" s="590" t="str">
        <f t="shared" si="163"/>
        <v>0</v>
      </c>
      <c r="E172" s="590" t="e">
        <f t="shared" si="164"/>
        <v>#VALUE!</v>
      </c>
      <c r="F172" s="590" t="e">
        <f t="shared" si="165"/>
        <v>#VALUE!</v>
      </c>
      <c r="G172" s="590" t="str">
        <f t="shared" si="166"/>
        <v>0</v>
      </c>
      <c r="H172" s="590" t="e">
        <f ca="1">OFFSET('360SpcLdsCSV'!$B$5,$B172,H$51)</f>
        <v>#N/A</v>
      </c>
      <c r="I172" s="590" t="e">
        <f ca="1">OFFSET('360SpcLdsCSV'!$B$5,$B172,I$51)</f>
        <v>#N/A</v>
      </c>
      <c r="J172" s="590" t="e">
        <f ca="1">OFFSET('360SpcLdsCSV'!$B$5,$B172,J$51)</f>
        <v>#N/A</v>
      </c>
      <c r="K172" s="590" t="e">
        <f ca="1">OFFSET('360SpcLdsCSV'!$B$5,$B172,K$51)</f>
        <v>#N/A</v>
      </c>
      <c r="L172" s="590" t="e">
        <f ca="1">OFFSET('360SpcLdsCSV'!$B$5,$B172,L$51)</f>
        <v>#N/A</v>
      </c>
      <c r="M172" s="592" t="e">
        <f ca="1">OFFSET('360SpcLdsCSV'!$B$5,$B172,M$51)</f>
        <v>#N/A</v>
      </c>
      <c r="N172" s="592" t="e">
        <f ca="1">OFFSET('360SpcLdsCSV'!$B$5,$B172,N$51)</f>
        <v>#N/A</v>
      </c>
      <c r="O172" s="592" t="e">
        <f ca="1">OFFSET('360SpcLdsCSV'!$B$5,$B172,O$51)</f>
        <v>#N/A</v>
      </c>
      <c r="P172" s="592" t="e">
        <f ca="1">OFFSET('360SpcLdsCSV'!$B$5,$B172,P$51)</f>
        <v>#N/A</v>
      </c>
      <c r="Q172" s="592" t="e">
        <f ca="1">OFFSET('360SpcLdsCSV'!$B$5,$B172,Q$51)</f>
        <v>#N/A</v>
      </c>
      <c r="R172" s="592" t="e">
        <f ca="1">OFFSET('360SpcLdsCSV'!$B$5,$B172,R$51)</f>
        <v>#N/A</v>
      </c>
      <c r="S172" s="592" t="e">
        <f ca="1">OFFSET('360SpcLdsCSV'!$B$5,$B172,S$51)</f>
        <v>#N/A</v>
      </c>
      <c r="T172" s="592" t="e">
        <f ca="1">OFFSET('360SpcLdsCSV'!$B$5,$B172,T$51)</f>
        <v>#N/A</v>
      </c>
      <c r="U172" s="592" t="e">
        <f ca="1">OFFSET('360SpcLdsCSV'!$B$5,$B172,U$51)</f>
        <v>#N/A</v>
      </c>
      <c r="V172" s="592" t="e">
        <f ca="1">OFFSET('360SpcLdsCSV'!$B$5,$B172,V$51)</f>
        <v>#N/A</v>
      </c>
      <c r="W172" s="592" t="e">
        <f ca="1">OFFSET('360SpcLdsCSV'!$B$5,$B172,W$51)</f>
        <v>#N/A</v>
      </c>
      <c r="X172" s="592" t="e">
        <f ca="1">OFFSET('360SpcLdsCSV'!$B$5,$B172,X$51)</f>
        <v>#N/A</v>
      </c>
      <c r="Y172" s="592" t="e">
        <f ca="1">OFFSET('360SpcLdsCSV'!$B$5,$B172,Y$51)</f>
        <v>#N/A</v>
      </c>
      <c r="Z172" s="592" t="e">
        <f ca="1">OFFSET('360SpcLdsCSV'!$B$5,$B172,Z$51)</f>
        <v>#N/A</v>
      </c>
      <c r="AA172" s="592" t="e">
        <f ca="1">OFFSET('360SpcLdsCSV'!$B$5,$B172,AA$51)</f>
        <v>#N/A</v>
      </c>
      <c r="AB172" s="592" t="e">
        <f ca="1">OFFSET('360SpcLdsCSV'!$B$5,$B172,AB$51)</f>
        <v>#N/A</v>
      </c>
      <c r="AC172" s="592" t="e">
        <f ca="1">OFFSET('360SpcLdsCSV'!$B$5,$B172,AC$51)</f>
        <v>#N/A</v>
      </c>
      <c r="AD172" s="592" t="e">
        <f ca="1">OFFSET('360SpcLdsCSV'!$B$5,$B172,AD$51)</f>
        <v>#N/A</v>
      </c>
      <c r="AE172" s="592" t="e">
        <f ca="1">OFFSET('360SpcLdsCSV'!$B$5,$B172,AE$51)</f>
        <v>#N/A</v>
      </c>
      <c r="AF172" s="592" t="e">
        <f ca="1">OFFSET('360SpcLdsCSV'!$B$5,$B172,AF$51)</f>
        <v>#N/A</v>
      </c>
      <c r="AG172" s="592" t="e">
        <f ca="1">OFFSET('360SpcLdsCSV'!$B$5,$B172,AG$51)</f>
        <v>#N/A</v>
      </c>
      <c r="AH172" s="592" t="e">
        <f ca="1">OFFSET('360SpcLdsCSV'!$B$5,$B172,AH$51)</f>
        <v>#N/A</v>
      </c>
      <c r="AI172" s="592" t="e">
        <f ca="1">OFFSET('360SpcLdsCSV'!$B$5,$B172,AI$51)</f>
        <v>#N/A</v>
      </c>
      <c r="AJ172" s="592" t="e" cm="1">
        <f t="array" ref="AJ172">_xlfn.IFS($F172="Resi",1,$F172="Racc",0,$F172="Coml",0,$F172="Prkg",0)</f>
        <v>#VALUE!</v>
      </c>
      <c r="AK172" s="596"/>
      <c r="AL172" s="590" t="e">
        <f ca="1">OFFSET('360SpcLdsCSV'!$B$5,$B172,AL$51)</f>
        <v>#N/A</v>
      </c>
      <c r="AM172" s="663" t="e">
        <f t="shared" ca="1" si="139"/>
        <v>#N/A</v>
      </c>
      <c r="AN172" s="663" t="e">
        <f t="shared" ca="1" si="140"/>
        <v>#N/A</v>
      </c>
      <c r="AO172" s="663" t="e">
        <f t="shared" ca="1" si="167"/>
        <v>#N/A</v>
      </c>
      <c r="AP172" s="663" t="e">
        <f t="shared" ca="1" si="141"/>
        <v>#N/A</v>
      </c>
      <c r="AQ172" s="663" t="e">
        <f t="shared" ca="1" si="142"/>
        <v>#N/A</v>
      </c>
      <c r="AR172" s="663" t="e">
        <f t="shared" ca="1" si="143"/>
        <v>#N/A</v>
      </c>
      <c r="AS172" s="663" t="e">
        <f t="shared" ca="1" si="144"/>
        <v>#N/A</v>
      </c>
      <c r="AT172" s="663" t="e">
        <f t="shared" ca="1" si="145"/>
        <v>#N/A</v>
      </c>
      <c r="AU172" s="663" t="e">
        <f t="shared" ca="1" si="146"/>
        <v>#N/A</v>
      </c>
      <c r="AV172" s="663" t="e">
        <f t="shared" ca="1" si="147"/>
        <v>#N/A</v>
      </c>
      <c r="AW172" s="663" t="e">
        <f t="shared" ca="1" si="148"/>
        <v>#N/A</v>
      </c>
      <c r="AX172" s="663" t="e">
        <f t="shared" ca="1" si="149"/>
        <v>#N/A</v>
      </c>
      <c r="AY172" s="663" t="e">
        <f t="shared" ca="1" si="150"/>
        <v>#N/A</v>
      </c>
      <c r="AZ172" s="663" t="e">
        <f t="shared" ca="1" si="151"/>
        <v>#N/A</v>
      </c>
      <c r="BA172" s="663" t="e">
        <f t="shared" ca="1" si="152"/>
        <v>#N/A</v>
      </c>
      <c r="BB172" s="663" t="e">
        <f t="shared" ca="1" si="153"/>
        <v>#N/A</v>
      </c>
      <c r="BC172" s="663" t="e">
        <f t="shared" ca="1" si="154"/>
        <v>#N/A</v>
      </c>
      <c r="BD172" s="663" t="e">
        <f t="shared" ca="1" si="155"/>
        <v>#N/A</v>
      </c>
      <c r="BE172" s="663" t="e">
        <f t="shared" ca="1" si="156"/>
        <v>#N/A</v>
      </c>
      <c r="BF172" s="663" t="e">
        <f t="shared" ca="1" si="157"/>
        <v>#N/A</v>
      </c>
      <c r="BG172" s="663" t="e">
        <f t="shared" ca="1" si="158"/>
        <v>#N/A</v>
      </c>
      <c r="BH172" s="663" t="e">
        <f t="shared" ca="1" si="159"/>
        <v>#N/A</v>
      </c>
      <c r="BI172" s="663" t="e">
        <f t="shared" ca="1" si="160"/>
        <v>#N/A</v>
      </c>
      <c r="BJ172" s="663" t="e">
        <f t="shared" ca="1" si="161"/>
        <v>#N/A</v>
      </c>
      <c r="BK172" s="663" t="e">
        <f t="shared" ca="1" si="162"/>
        <v>#N/A</v>
      </c>
      <c r="BL172" s="1918"/>
      <c r="BM172" s="1532"/>
      <c r="BN172" s="1919"/>
      <c r="BO172" s="603"/>
      <c r="BP172" s="602"/>
      <c r="BQ172" s="602"/>
      <c r="BR172" s="602"/>
      <c r="BS172" s="604"/>
      <c r="BT172" s="605"/>
      <c r="BU172" s="602"/>
      <c r="BV172" s="602"/>
      <c r="BW172" s="606"/>
      <c r="BX172" s="607"/>
      <c r="BY172" s="608"/>
      <c r="BZ172" s="608"/>
      <c r="CA172"/>
      <c r="CB172" s="600"/>
    </row>
    <row r="173" spans="2:80" ht="12" customHeight="1" x14ac:dyDescent="0.35">
      <c r="B173" s="590" t="e">
        <f>MATCH(C173,'360SpcLdsCSV'!$C$6:$C$500,0)</f>
        <v>#N/A</v>
      </c>
      <c r="C173" s="590">
        <f>'360SpcLdsCSV'!C122</f>
        <v>0</v>
      </c>
      <c r="D173" s="590" t="str">
        <f t="shared" si="163"/>
        <v>0</v>
      </c>
      <c r="E173" s="590" t="e">
        <f t="shared" si="164"/>
        <v>#VALUE!</v>
      </c>
      <c r="F173" s="590" t="e">
        <f t="shared" si="165"/>
        <v>#VALUE!</v>
      </c>
      <c r="G173" s="590" t="str">
        <f t="shared" si="166"/>
        <v>0</v>
      </c>
      <c r="H173" s="590" t="e">
        <f ca="1">OFFSET('360SpcLdsCSV'!$B$5,$B173,H$51)</f>
        <v>#N/A</v>
      </c>
      <c r="I173" s="590" t="e">
        <f ca="1">OFFSET('360SpcLdsCSV'!$B$5,$B173,I$51)</f>
        <v>#N/A</v>
      </c>
      <c r="J173" s="590" t="e">
        <f ca="1">OFFSET('360SpcLdsCSV'!$B$5,$B173,J$51)</f>
        <v>#N/A</v>
      </c>
      <c r="K173" s="590" t="e">
        <f ca="1">OFFSET('360SpcLdsCSV'!$B$5,$B173,K$51)</f>
        <v>#N/A</v>
      </c>
      <c r="L173" s="590" t="e">
        <f ca="1">OFFSET('360SpcLdsCSV'!$B$5,$B173,L$51)</f>
        <v>#N/A</v>
      </c>
      <c r="M173" s="592" t="e">
        <f ca="1">OFFSET('360SpcLdsCSV'!$B$5,$B173,M$51)</f>
        <v>#N/A</v>
      </c>
      <c r="N173" s="592" t="e">
        <f ca="1">OFFSET('360SpcLdsCSV'!$B$5,$B173,N$51)</f>
        <v>#N/A</v>
      </c>
      <c r="O173" s="592" t="e">
        <f ca="1">OFFSET('360SpcLdsCSV'!$B$5,$B173,O$51)</f>
        <v>#N/A</v>
      </c>
      <c r="P173" s="592" t="e">
        <f ca="1">OFFSET('360SpcLdsCSV'!$B$5,$B173,P$51)</f>
        <v>#N/A</v>
      </c>
      <c r="Q173" s="592" t="e">
        <f ca="1">OFFSET('360SpcLdsCSV'!$B$5,$B173,Q$51)</f>
        <v>#N/A</v>
      </c>
      <c r="R173" s="592" t="e">
        <f ca="1">OFFSET('360SpcLdsCSV'!$B$5,$B173,R$51)</f>
        <v>#N/A</v>
      </c>
      <c r="S173" s="592" t="e">
        <f ca="1">OFFSET('360SpcLdsCSV'!$B$5,$B173,S$51)</f>
        <v>#N/A</v>
      </c>
      <c r="T173" s="592" t="e">
        <f ca="1">OFFSET('360SpcLdsCSV'!$B$5,$B173,T$51)</f>
        <v>#N/A</v>
      </c>
      <c r="U173" s="592" t="e">
        <f ca="1">OFFSET('360SpcLdsCSV'!$B$5,$B173,U$51)</f>
        <v>#N/A</v>
      </c>
      <c r="V173" s="592" t="e">
        <f ca="1">OFFSET('360SpcLdsCSV'!$B$5,$B173,V$51)</f>
        <v>#N/A</v>
      </c>
      <c r="W173" s="592" t="e">
        <f ca="1">OFFSET('360SpcLdsCSV'!$B$5,$B173,W$51)</f>
        <v>#N/A</v>
      </c>
      <c r="X173" s="592" t="e">
        <f ca="1">OFFSET('360SpcLdsCSV'!$B$5,$B173,X$51)</f>
        <v>#N/A</v>
      </c>
      <c r="Y173" s="592" t="e">
        <f ca="1">OFFSET('360SpcLdsCSV'!$B$5,$B173,Y$51)</f>
        <v>#N/A</v>
      </c>
      <c r="Z173" s="592" t="e">
        <f ca="1">OFFSET('360SpcLdsCSV'!$B$5,$B173,Z$51)</f>
        <v>#N/A</v>
      </c>
      <c r="AA173" s="592" t="e">
        <f ca="1">OFFSET('360SpcLdsCSV'!$B$5,$B173,AA$51)</f>
        <v>#N/A</v>
      </c>
      <c r="AB173" s="592" t="e">
        <f ca="1">OFFSET('360SpcLdsCSV'!$B$5,$B173,AB$51)</f>
        <v>#N/A</v>
      </c>
      <c r="AC173" s="592" t="e">
        <f ca="1">OFFSET('360SpcLdsCSV'!$B$5,$B173,AC$51)</f>
        <v>#N/A</v>
      </c>
      <c r="AD173" s="592" t="e">
        <f ca="1">OFFSET('360SpcLdsCSV'!$B$5,$B173,AD$51)</f>
        <v>#N/A</v>
      </c>
      <c r="AE173" s="592" t="e">
        <f ca="1">OFFSET('360SpcLdsCSV'!$B$5,$B173,AE$51)</f>
        <v>#N/A</v>
      </c>
      <c r="AF173" s="592" t="e">
        <f ca="1">OFFSET('360SpcLdsCSV'!$B$5,$B173,AF$51)</f>
        <v>#N/A</v>
      </c>
      <c r="AG173" s="592" t="e">
        <f ca="1">OFFSET('360SpcLdsCSV'!$B$5,$B173,AG$51)</f>
        <v>#N/A</v>
      </c>
      <c r="AH173" s="592" t="e">
        <f ca="1">OFFSET('360SpcLdsCSV'!$B$5,$B173,AH$51)</f>
        <v>#N/A</v>
      </c>
      <c r="AI173" s="592" t="e">
        <f ca="1">OFFSET('360SpcLdsCSV'!$B$5,$B173,AI$51)</f>
        <v>#N/A</v>
      </c>
      <c r="AJ173" s="592" t="e" cm="1">
        <f t="array" ref="AJ173">_xlfn.IFS($F173="Resi",1,$F173="Racc",0,$F173="Coml",0,$F173="Prkg",0)</f>
        <v>#VALUE!</v>
      </c>
      <c r="AK173" s="596"/>
      <c r="AL173" s="590" t="e">
        <f ca="1">OFFSET('360SpcLdsCSV'!$B$5,$B173,AL$51)</f>
        <v>#N/A</v>
      </c>
      <c r="AM173" s="663" t="e">
        <f t="shared" ca="1" si="139"/>
        <v>#N/A</v>
      </c>
      <c r="AN173" s="663" t="e">
        <f t="shared" ca="1" si="140"/>
        <v>#N/A</v>
      </c>
      <c r="AO173" s="663" t="e">
        <f t="shared" ca="1" si="167"/>
        <v>#N/A</v>
      </c>
      <c r="AP173" s="663" t="e">
        <f t="shared" ca="1" si="141"/>
        <v>#N/A</v>
      </c>
      <c r="AQ173" s="663" t="e">
        <f t="shared" ca="1" si="142"/>
        <v>#N/A</v>
      </c>
      <c r="AR173" s="663" t="e">
        <f t="shared" ca="1" si="143"/>
        <v>#N/A</v>
      </c>
      <c r="AS173" s="663" t="e">
        <f t="shared" ca="1" si="144"/>
        <v>#N/A</v>
      </c>
      <c r="AT173" s="663" t="e">
        <f t="shared" ca="1" si="145"/>
        <v>#N/A</v>
      </c>
      <c r="AU173" s="663" t="e">
        <f t="shared" ca="1" si="146"/>
        <v>#N/A</v>
      </c>
      <c r="AV173" s="663" t="e">
        <f t="shared" ca="1" si="147"/>
        <v>#N/A</v>
      </c>
      <c r="AW173" s="663" t="e">
        <f t="shared" ca="1" si="148"/>
        <v>#N/A</v>
      </c>
      <c r="AX173" s="663" t="e">
        <f t="shared" ca="1" si="149"/>
        <v>#N/A</v>
      </c>
      <c r="AY173" s="663" t="e">
        <f t="shared" ca="1" si="150"/>
        <v>#N/A</v>
      </c>
      <c r="AZ173" s="663" t="e">
        <f t="shared" ca="1" si="151"/>
        <v>#N/A</v>
      </c>
      <c r="BA173" s="663" t="e">
        <f t="shared" ca="1" si="152"/>
        <v>#N/A</v>
      </c>
      <c r="BB173" s="663" t="e">
        <f t="shared" ca="1" si="153"/>
        <v>#N/A</v>
      </c>
      <c r="BC173" s="663" t="e">
        <f t="shared" ca="1" si="154"/>
        <v>#N/A</v>
      </c>
      <c r="BD173" s="663" t="e">
        <f t="shared" ca="1" si="155"/>
        <v>#N/A</v>
      </c>
      <c r="BE173" s="663" t="e">
        <f t="shared" ca="1" si="156"/>
        <v>#N/A</v>
      </c>
      <c r="BF173" s="663" t="e">
        <f t="shared" ca="1" si="157"/>
        <v>#N/A</v>
      </c>
      <c r="BG173" s="663" t="e">
        <f t="shared" ca="1" si="158"/>
        <v>#N/A</v>
      </c>
      <c r="BH173" s="663" t="e">
        <f t="shared" ca="1" si="159"/>
        <v>#N/A</v>
      </c>
      <c r="BI173" s="663" t="e">
        <f t="shared" ca="1" si="160"/>
        <v>#N/A</v>
      </c>
      <c r="BJ173" s="663" t="e">
        <f t="shared" ca="1" si="161"/>
        <v>#N/A</v>
      </c>
      <c r="BK173" s="663" t="e">
        <f t="shared" ca="1" si="162"/>
        <v>#N/A</v>
      </c>
      <c r="BL173" s="1918"/>
      <c r="BM173" s="1532"/>
      <c r="BN173" s="1919"/>
      <c r="BO173" s="603"/>
      <c r="BP173" s="602"/>
      <c r="BQ173" s="602"/>
      <c r="BR173" s="602"/>
      <c r="BS173" s="604"/>
      <c r="BT173" s="605"/>
      <c r="BU173" s="602"/>
      <c r="BV173" s="602"/>
      <c r="BW173" s="606"/>
      <c r="BX173" s="607"/>
      <c r="BY173" s="608"/>
      <c r="BZ173" s="608"/>
      <c r="CA173"/>
      <c r="CB173" s="600"/>
    </row>
    <row r="174" spans="2:80" ht="12" customHeight="1" x14ac:dyDescent="0.35">
      <c r="B174" s="590" t="e">
        <f>MATCH(C174,'360SpcLdsCSV'!$C$6:$C$500,0)</f>
        <v>#N/A</v>
      </c>
      <c r="C174" s="590">
        <f>'360SpcLdsCSV'!C123</f>
        <v>0</v>
      </c>
      <c r="D174" s="590" t="str">
        <f t="shared" si="163"/>
        <v>0</v>
      </c>
      <c r="E174" s="590" t="e">
        <f t="shared" si="164"/>
        <v>#VALUE!</v>
      </c>
      <c r="F174" s="590" t="e">
        <f t="shared" si="165"/>
        <v>#VALUE!</v>
      </c>
      <c r="G174" s="590" t="str">
        <f t="shared" si="166"/>
        <v>0</v>
      </c>
      <c r="H174" s="590" t="e">
        <f ca="1">OFFSET('360SpcLdsCSV'!$B$5,$B174,H$51)</f>
        <v>#N/A</v>
      </c>
      <c r="I174" s="590" t="e">
        <f ca="1">OFFSET('360SpcLdsCSV'!$B$5,$B174,I$51)</f>
        <v>#N/A</v>
      </c>
      <c r="J174" s="590" t="e">
        <f ca="1">OFFSET('360SpcLdsCSV'!$B$5,$B174,J$51)</f>
        <v>#N/A</v>
      </c>
      <c r="K174" s="590" t="e">
        <f ca="1">OFFSET('360SpcLdsCSV'!$B$5,$B174,K$51)</f>
        <v>#N/A</v>
      </c>
      <c r="L174" s="590" t="e">
        <f ca="1">OFFSET('360SpcLdsCSV'!$B$5,$B174,L$51)</f>
        <v>#N/A</v>
      </c>
      <c r="M174" s="592" t="e">
        <f ca="1">OFFSET('360SpcLdsCSV'!$B$5,$B174,M$51)</f>
        <v>#N/A</v>
      </c>
      <c r="N174" s="592" t="e">
        <f ca="1">OFFSET('360SpcLdsCSV'!$B$5,$B174,N$51)</f>
        <v>#N/A</v>
      </c>
      <c r="O174" s="592" t="e">
        <f ca="1">OFFSET('360SpcLdsCSV'!$B$5,$B174,O$51)</f>
        <v>#N/A</v>
      </c>
      <c r="P174" s="592" t="e">
        <f ca="1">OFFSET('360SpcLdsCSV'!$B$5,$B174,P$51)</f>
        <v>#N/A</v>
      </c>
      <c r="Q174" s="592" t="e">
        <f ca="1">OFFSET('360SpcLdsCSV'!$B$5,$B174,Q$51)</f>
        <v>#N/A</v>
      </c>
      <c r="R174" s="592" t="e">
        <f ca="1">OFFSET('360SpcLdsCSV'!$B$5,$B174,R$51)</f>
        <v>#N/A</v>
      </c>
      <c r="S174" s="592" t="e">
        <f ca="1">OFFSET('360SpcLdsCSV'!$B$5,$B174,S$51)</f>
        <v>#N/A</v>
      </c>
      <c r="T174" s="592" t="e">
        <f ca="1">OFFSET('360SpcLdsCSV'!$B$5,$B174,T$51)</f>
        <v>#N/A</v>
      </c>
      <c r="U174" s="592" t="e">
        <f ca="1">OFFSET('360SpcLdsCSV'!$B$5,$B174,U$51)</f>
        <v>#N/A</v>
      </c>
      <c r="V174" s="592" t="e">
        <f ca="1">OFFSET('360SpcLdsCSV'!$B$5,$B174,V$51)</f>
        <v>#N/A</v>
      </c>
      <c r="W174" s="592" t="e">
        <f ca="1">OFFSET('360SpcLdsCSV'!$B$5,$B174,W$51)</f>
        <v>#N/A</v>
      </c>
      <c r="X174" s="592" t="e">
        <f ca="1">OFFSET('360SpcLdsCSV'!$B$5,$B174,X$51)</f>
        <v>#N/A</v>
      </c>
      <c r="Y174" s="592" t="e">
        <f ca="1">OFFSET('360SpcLdsCSV'!$B$5,$B174,Y$51)</f>
        <v>#N/A</v>
      </c>
      <c r="Z174" s="592" t="e">
        <f ca="1">OFFSET('360SpcLdsCSV'!$B$5,$B174,Z$51)</f>
        <v>#N/A</v>
      </c>
      <c r="AA174" s="592" t="e">
        <f ca="1">OFFSET('360SpcLdsCSV'!$B$5,$B174,AA$51)</f>
        <v>#N/A</v>
      </c>
      <c r="AB174" s="592" t="e">
        <f ca="1">OFFSET('360SpcLdsCSV'!$B$5,$B174,AB$51)</f>
        <v>#N/A</v>
      </c>
      <c r="AC174" s="592" t="e">
        <f ca="1">OFFSET('360SpcLdsCSV'!$B$5,$B174,AC$51)</f>
        <v>#N/A</v>
      </c>
      <c r="AD174" s="592" t="e">
        <f ca="1">OFFSET('360SpcLdsCSV'!$B$5,$B174,AD$51)</f>
        <v>#N/A</v>
      </c>
      <c r="AE174" s="592" t="e">
        <f ca="1">OFFSET('360SpcLdsCSV'!$B$5,$B174,AE$51)</f>
        <v>#N/A</v>
      </c>
      <c r="AF174" s="592" t="e">
        <f ca="1">OFFSET('360SpcLdsCSV'!$B$5,$B174,AF$51)</f>
        <v>#N/A</v>
      </c>
      <c r="AG174" s="592" t="e">
        <f ca="1">OFFSET('360SpcLdsCSV'!$B$5,$B174,AG$51)</f>
        <v>#N/A</v>
      </c>
      <c r="AH174" s="592" t="e">
        <f ca="1">OFFSET('360SpcLdsCSV'!$B$5,$B174,AH$51)</f>
        <v>#N/A</v>
      </c>
      <c r="AI174" s="592" t="e">
        <f ca="1">OFFSET('360SpcLdsCSV'!$B$5,$B174,AI$51)</f>
        <v>#N/A</v>
      </c>
      <c r="AJ174" s="592" t="e" cm="1">
        <f t="array" ref="AJ174">_xlfn.IFS($F174="Resi",1,$F174="Racc",0,$F174="Coml",0,$F174="Prkg",0)</f>
        <v>#VALUE!</v>
      </c>
      <c r="AK174" s="596"/>
      <c r="AL174" s="590" t="e">
        <f ca="1">OFFSET('360SpcLdsCSV'!$B$5,$B174,AL$51)</f>
        <v>#N/A</v>
      </c>
      <c r="AM174" s="663" t="e">
        <f t="shared" ca="1" si="139"/>
        <v>#N/A</v>
      </c>
      <c r="AN174" s="663" t="e">
        <f t="shared" ca="1" si="140"/>
        <v>#N/A</v>
      </c>
      <c r="AO174" s="663" t="e">
        <f t="shared" ca="1" si="167"/>
        <v>#N/A</v>
      </c>
      <c r="AP174" s="663" t="e">
        <f t="shared" ca="1" si="141"/>
        <v>#N/A</v>
      </c>
      <c r="AQ174" s="663" t="e">
        <f t="shared" ca="1" si="142"/>
        <v>#N/A</v>
      </c>
      <c r="AR174" s="663" t="e">
        <f t="shared" ca="1" si="143"/>
        <v>#N/A</v>
      </c>
      <c r="AS174" s="663" t="e">
        <f t="shared" ca="1" si="144"/>
        <v>#N/A</v>
      </c>
      <c r="AT174" s="663" t="e">
        <f t="shared" ca="1" si="145"/>
        <v>#N/A</v>
      </c>
      <c r="AU174" s="663" t="e">
        <f t="shared" ca="1" si="146"/>
        <v>#N/A</v>
      </c>
      <c r="AV174" s="663" t="e">
        <f t="shared" ca="1" si="147"/>
        <v>#N/A</v>
      </c>
      <c r="AW174" s="663" t="e">
        <f t="shared" ca="1" si="148"/>
        <v>#N/A</v>
      </c>
      <c r="AX174" s="663" t="e">
        <f t="shared" ca="1" si="149"/>
        <v>#N/A</v>
      </c>
      <c r="AY174" s="663" t="e">
        <f t="shared" ca="1" si="150"/>
        <v>#N/A</v>
      </c>
      <c r="AZ174" s="663" t="e">
        <f t="shared" ca="1" si="151"/>
        <v>#N/A</v>
      </c>
      <c r="BA174" s="663" t="e">
        <f t="shared" ca="1" si="152"/>
        <v>#N/A</v>
      </c>
      <c r="BB174" s="663" t="e">
        <f t="shared" ca="1" si="153"/>
        <v>#N/A</v>
      </c>
      <c r="BC174" s="663" t="e">
        <f t="shared" ca="1" si="154"/>
        <v>#N/A</v>
      </c>
      <c r="BD174" s="663" t="e">
        <f t="shared" ca="1" si="155"/>
        <v>#N/A</v>
      </c>
      <c r="BE174" s="663" t="e">
        <f t="shared" ca="1" si="156"/>
        <v>#N/A</v>
      </c>
      <c r="BF174" s="663" t="e">
        <f t="shared" ca="1" si="157"/>
        <v>#N/A</v>
      </c>
      <c r="BG174" s="663" t="e">
        <f t="shared" ca="1" si="158"/>
        <v>#N/A</v>
      </c>
      <c r="BH174" s="663" t="e">
        <f t="shared" ca="1" si="159"/>
        <v>#N/A</v>
      </c>
      <c r="BI174" s="663" t="e">
        <f t="shared" ca="1" si="160"/>
        <v>#N/A</v>
      </c>
      <c r="BJ174" s="663" t="e">
        <f t="shared" ca="1" si="161"/>
        <v>#N/A</v>
      </c>
      <c r="BK174" s="663" t="e">
        <f t="shared" ca="1" si="162"/>
        <v>#N/A</v>
      </c>
      <c r="BL174" s="1918"/>
      <c r="BM174" s="1532"/>
      <c r="BN174" s="1919"/>
      <c r="BO174" s="603"/>
      <c r="BP174" s="602"/>
      <c r="BQ174" s="602"/>
      <c r="BR174" s="602"/>
      <c r="BS174" s="604"/>
      <c r="BT174" s="605"/>
      <c r="BU174" s="602"/>
      <c r="BV174" s="602"/>
      <c r="BW174" s="606"/>
      <c r="BX174" s="607"/>
      <c r="BY174" s="608"/>
      <c r="BZ174" s="608"/>
      <c r="CA174"/>
      <c r="CB174" s="600"/>
    </row>
    <row r="175" spans="2:80" ht="12" customHeight="1" x14ac:dyDescent="0.35">
      <c r="B175" s="590" t="e">
        <f>MATCH(C175,'360SpcLdsCSV'!$C$6:$C$500,0)</f>
        <v>#N/A</v>
      </c>
      <c r="C175" s="590">
        <f>'360SpcLdsCSV'!C124</f>
        <v>0</v>
      </c>
      <c r="D175" s="590" t="str">
        <f t="shared" si="163"/>
        <v>0</v>
      </c>
      <c r="E175" s="590" t="e">
        <f t="shared" si="164"/>
        <v>#VALUE!</v>
      </c>
      <c r="F175" s="590" t="e">
        <f t="shared" si="165"/>
        <v>#VALUE!</v>
      </c>
      <c r="G175" s="590" t="str">
        <f t="shared" si="166"/>
        <v>0</v>
      </c>
      <c r="H175" s="590" t="e">
        <f ca="1">OFFSET('360SpcLdsCSV'!$B$5,$B175,H$51)</f>
        <v>#N/A</v>
      </c>
      <c r="I175" s="590" t="e">
        <f ca="1">OFFSET('360SpcLdsCSV'!$B$5,$B175,I$51)</f>
        <v>#N/A</v>
      </c>
      <c r="J175" s="590" t="e">
        <f ca="1">OFFSET('360SpcLdsCSV'!$B$5,$B175,J$51)</f>
        <v>#N/A</v>
      </c>
      <c r="K175" s="590" t="e">
        <f ca="1">OFFSET('360SpcLdsCSV'!$B$5,$B175,K$51)</f>
        <v>#N/A</v>
      </c>
      <c r="L175" s="590" t="e">
        <f ca="1">OFFSET('360SpcLdsCSV'!$B$5,$B175,L$51)</f>
        <v>#N/A</v>
      </c>
      <c r="M175" s="592" t="e">
        <f ca="1">OFFSET('360SpcLdsCSV'!$B$5,$B175,M$51)</f>
        <v>#N/A</v>
      </c>
      <c r="N175" s="592" t="e">
        <f ca="1">OFFSET('360SpcLdsCSV'!$B$5,$B175,N$51)</f>
        <v>#N/A</v>
      </c>
      <c r="O175" s="592" t="e">
        <f ca="1">OFFSET('360SpcLdsCSV'!$B$5,$B175,O$51)</f>
        <v>#N/A</v>
      </c>
      <c r="P175" s="592" t="e">
        <f ca="1">OFFSET('360SpcLdsCSV'!$B$5,$B175,P$51)</f>
        <v>#N/A</v>
      </c>
      <c r="Q175" s="592" t="e">
        <f ca="1">OFFSET('360SpcLdsCSV'!$B$5,$B175,Q$51)</f>
        <v>#N/A</v>
      </c>
      <c r="R175" s="592" t="e">
        <f ca="1">OFFSET('360SpcLdsCSV'!$B$5,$B175,R$51)</f>
        <v>#N/A</v>
      </c>
      <c r="S175" s="592" t="e">
        <f ca="1">OFFSET('360SpcLdsCSV'!$B$5,$B175,S$51)</f>
        <v>#N/A</v>
      </c>
      <c r="T175" s="592" t="e">
        <f ca="1">OFFSET('360SpcLdsCSV'!$B$5,$B175,T$51)</f>
        <v>#N/A</v>
      </c>
      <c r="U175" s="592" t="e">
        <f ca="1">OFFSET('360SpcLdsCSV'!$B$5,$B175,U$51)</f>
        <v>#N/A</v>
      </c>
      <c r="V175" s="592" t="e">
        <f ca="1">OFFSET('360SpcLdsCSV'!$B$5,$B175,V$51)</f>
        <v>#N/A</v>
      </c>
      <c r="W175" s="592" t="e">
        <f ca="1">OFFSET('360SpcLdsCSV'!$B$5,$B175,W$51)</f>
        <v>#N/A</v>
      </c>
      <c r="X175" s="592" t="e">
        <f ca="1">OFFSET('360SpcLdsCSV'!$B$5,$B175,X$51)</f>
        <v>#N/A</v>
      </c>
      <c r="Y175" s="592" t="e">
        <f ca="1">OFFSET('360SpcLdsCSV'!$B$5,$B175,Y$51)</f>
        <v>#N/A</v>
      </c>
      <c r="Z175" s="592" t="e">
        <f ca="1">OFFSET('360SpcLdsCSV'!$B$5,$B175,Z$51)</f>
        <v>#N/A</v>
      </c>
      <c r="AA175" s="592" t="e">
        <f ca="1">OFFSET('360SpcLdsCSV'!$B$5,$B175,AA$51)</f>
        <v>#N/A</v>
      </c>
      <c r="AB175" s="592" t="e">
        <f ca="1">OFFSET('360SpcLdsCSV'!$B$5,$B175,AB$51)</f>
        <v>#N/A</v>
      </c>
      <c r="AC175" s="592" t="e">
        <f ca="1">OFFSET('360SpcLdsCSV'!$B$5,$B175,AC$51)</f>
        <v>#N/A</v>
      </c>
      <c r="AD175" s="592" t="e">
        <f ca="1">OFFSET('360SpcLdsCSV'!$B$5,$B175,AD$51)</f>
        <v>#N/A</v>
      </c>
      <c r="AE175" s="592" t="e">
        <f ca="1">OFFSET('360SpcLdsCSV'!$B$5,$B175,AE$51)</f>
        <v>#N/A</v>
      </c>
      <c r="AF175" s="592" t="e">
        <f ca="1">OFFSET('360SpcLdsCSV'!$B$5,$B175,AF$51)</f>
        <v>#N/A</v>
      </c>
      <c r="AG175" s="592" t="e">
        <f ca="1">OFFSET('360SpcLdsCSV'!$B$5,$B175,AG$51)</f>
        <v>#N/A</v>
      </c>
      <c r="AH175" s="592" t="e">
        <f ca="1">OFFSET('360SpcLdsCSV'!$B$5,$B175,AH$51)</f>
        <v>#N/A</v>
      </c>
      <c r="AI175" s="592" t="e">
        <f ca="1">OFFSET('360SpcLdsCSV'!$B$5,$B175,AI$51)</f>
        <v>#N/A</v>
      </c>
      <c r="AJ175" s="592" t="e" cm="1">
        <f t="array" ref="AJ175">_xlfn.IFS($F175="Resi",1,$F175="Racc",0,$F175="Coml",0,$F175="Prkg",0)</f>
        <v>#VALUE!</v>
      </c>
      <c r="AK175" s="596"/>
      <c r="AL175" s="590" t="e">
        <f ca="1">OFFSET('360SpcLdsCSV'!$B$5,$B175,AL$51)</f>
        <v>#N/A</v>
      </c>
      <c r="AM175" s="663" t="e">
        <f t="shared" ca="1" si="139"/>
        <v>#N/A</v>
      </c>
      <c r="AN175" s="663" t="e">
        <f t="shared" ca="1" si="140"/>
        <v>#N/A</v>
      </c>
      <c r="AO175" s="663" t="e">
        <f t="shared" ca="1" si="167"/>
        <v>#N/A</v>
      </c>
      <c r="AP175" s="663" t="e">
        <f t="shared" ca="1" si="141"/>
        <v>#N/A</v>
      </c>
      <c r="AQ175" s="663" t="e">
        <f t="shared" ca="1" si="142"/>
        <v>#N/A</v>
      </c>
      <c r="AR175" s="663" t="e">
        <f t="shared" ca="1" si="143"/>
        <v>#N/A</v>
      </c>
      <c r="AS175" s="663" t="e">
        <f t="shared" ca="1" si="144"/>
        <v>#N/A</v>
      </c>
      <c r="AT175" s="663" t="e">
        <f t="shared" ca="1" si="145"/>
        <v>#N/A</v>
      </c>
      <c r="AU175" s="663" t="e">
        <f t="shared" ca="1" si="146"/>
        <v>#N/A</v>
      </c>
      <c r="AV175" s="663" t="e">
        <f t="shared" ca="1" si="147"/>
        <v>#N/A</v>
      </c>
      <c r="AW175" s="663" t="e">
        <f t="shared" ca="1" si="148"/>
        <v>#N/A</v>
      </c>
      <c r="AX175" s="663" t="e">
        <f t="shared" ca="1" si="149"/>
        <v>#N/A</v>
      </c>
      <c r="AY175" s="663" t="e">
        <f t="shared" ca="1" si="150"/>
        <v>#N/A</v>
      </c>
      <c r="AZ175" s="663" t="e">
        <f t="shared" ca="1" si="151"/>
        <v>#N/A</v>
      </c>
      <c r="BA175" s="663" t="e">
        <f t="shared" ca="1" si="152"/>
        <v>#N/A</v>
      </c>
      <c r="BB175" s="663" t="e">
        <f t="shared" ca="1" si="153"/>
        <v>#N/A</v>
      </c>
      <c r="BC175" s="663" t="e">
        <f t="shared" ca="1" si="154"/>
        <v>#N/A</v>
      </c>
      <c r="BD175" s="663" t="e">
        <f t="shared" ca="1" si="155"/>
        <v>#N/A</v>
      </c>
      <c r="BE175" s="663" t="e">
        <f t="shared" ca="1" si="156"/>
        <v>#N/A</v>
      </c>
      <c r="BF175" s="663" t="e">
        <f t="shared" ca="1" si="157"/>
        <v>#N/A</v>
      </c>
      <c r="BG175" s="663" t="e">
        <f t="shared" ca="1" si="158"/>
        <v>#N/A</v>
      </c>
      <c r="BH175" s="663" t="e">
        <f t="shared" ca="1" si="159"/>
        <v>#N/A</v>
      </c>
      <c r="BI175" s="663" t="e">
        <f t="shared" ca="1" si="160"/>
        <v>#N/A</v>
      </c>
      <c r="BJ175" s="663" t="e">
        <f t="shared" ca="1" si="161"/>
        <v>#N/A</v>
      </c>
      <c r="BK175" s="663" t="e">
        <f t="shared" ca="1" si="162"/>
        <v>#N/A</v>
      </c>
      <c r="BL175" s="1918"/>
      <c r="BM175" s="1532"/>
      <c r="BN175" s="1919"/>
      <c r="BO175" s="603"/>
      <c r="BP175" s="602"/>
      <c r="BQ175" s="602"/>
      <c r="BR175" s="602"/>
      <c r="BS175" s="604"/>
      <c r="BT175" s="605"/>
      <c r="BU175" s="602"/>
      <c r="BV175" s="602"/>
      <c r="BW175" s="606"/>
      <c r="BX175" s="607"/>
      <c r="BY175" s="608"/>
      <c r="BZ175" s="608"/>
      <c r="CA175"/>
      <c r="CB175" s="600"/>
    </row>
    <row r="176" spans="2:80" ht="12" customHeight="1" x14ac:dyDescent="0.35">
      <c r="B176" s="590" t="e">
        <f>MATCH(C176,'360SpcLdsCSV'!$C$6:$C$500,0)</f>
        <v>#N/A</v>
      </c>
      <c r="C176" s="590">
        <f>'360SpcLdsCSV'!C125</f>
        <v>0</v>
      </c>
      <c r="D176" s="590" t="str">
        <f t="shared" si="163"/>
        <v>0</v>
      </c>
      <c r="E176" s="590" t="e">
        <f t="shared" si="164"/>
        <v>#VALUE!</v>
      </c>
      <c r="F176" s="590" t="e">
        <f t="shared" si="165"/>
        <v>#VALUE!</v>
      </c>
      <c r="G176" s="590" t="str">
        <f t="shared" si="166"/>
        <v>0</v>
      </c>
      <c r="H176" s="590" t="e">
        <f ca="1">OFFSET('360SpcLdsCSV'!$B$5,$B176,H$51)</f>
        <v>#N/A</v>
      </c>
      <c r="I176" s="590" t="e">
        <f ca="1">OFFSET('360SpcLdsCSV'!$B$5,$B176,I$51)</f>
        <v>#N/A</v>
      </c>
      <c r="J176" s="590" t="e">
        <f ca="1">OFFSET('360SpcLdsCSV'!$B$5,$B176,J$51)</f>
        <v>#N/A</v>
      </c>
      <c r="K176" s="590" t="e">
        <f ca="1">OFFSET('360SpcLdsCSV'!$B$5,$B176,K$51)</f>
        <v>#N/A</v>
      </c>
      <c r="L176" s="590" t="e">
        <f ca="1">OFFSET('360SpcLdsCSV'!$B$5,$B176,L$51)</f>
        <v>#N/A</v>
      </c>
      <c r="M176" s="592" t="e">
        <f ca="1">OFFSET('360SpcLdsCSV'!$B$5,$B176,M$51)</f>
        <v>#N/A</v>
      </c>
      <c r="N176" s="592" t="e">
        <f ca="1">OFFSET('360SpcLdsCSV'!$B$5,$B176,N$51)</f>
        <v>#N/A</v>
      </c>
      <c r="O176" s="592" t="e">
        <f ca="1">OFFSET('360SpcLdsCSV'!$B$5,$B176,O$51)</f>
        <v>#N/A</v>
      </c>
      <c r="P176" s="592" t="e">
        <f ca="1">OFFSET('360SpcLdsCSV'!$B$5,$B176,P$51)</f>
        <v>#N/A</v>
      </c>
      <c r="Q176" s="592" t="e">
        <f ca="1">OFFSET('360SpcLdsCSV'!$B$5,$B176,Q$51)</f>
        <v>#N/A</v>
      </c>
      <c r="R176" s="592" t="e">
        <f ca="1">OFFSET('360SpcLdsCSV'!$B$5,$B176,R$51)</f>
        <v>#N/A</v>
      </c>
      <c r="S176" s="592" t="e">
        <f ca="1">OFFSET('360SpcLdsCSV'!$B$5,$B176,S$51)</f>
        <v>#N/A</v>
      </c>
      <c r="T176" s="592" t="e">
        <f ca="1">OFFSET('360SpcLdsCSV'!$B$5,$B176,T$51)</f>
        <v>#N/A</v>
      </c>
      <c r="U176" s="592" t="e">
        <f ca="1">OFFSET('360SpcLdsCSV'!$B$5,$B176,U$51)</f>
        <v>#N/A</v>
      </c>
      <c r="V176" s="592" t="e">
        <f ca="1">OFFSET('360SpcLdsCSV'!$B$5,$B176,V$51)</f>
        <v>#N/A</v>
      </c>
      <c r="W176" s="592" t="e">
        <f ca="1">OFFSET('360SpcLdsCSV'!$B$5,$B176,W$51)</f>
        <v>#N/A</v>
      </c>
      <c r="X176" s="592" t="e">
        <f ca="1">OFFSET('360SpcLdsCSV'!$B$5,$B176,X$51)</f>
        <v>#N/A</v>
      </c>
      <c r="Y176" s="592" t="e">
        <f ca="1">OFFSET('360SpcLdsCSV'!$B$5,$B176,Y$51)</f>
        <v>#N/A</v>
      </c>
      <c r="Z176" s="592" t="e">
        <f ca="1">OFFSET('360SpcLdsCSV'!$B$5,$B176,Z$51)</f>
        <v>#N/A</v>
      </c>
      <c r="AA176" s="592" t="e">
        <f ca="1">OFFSET('360SpcLdsCSV'!$B$5,$B176,AA$51)</f>
        <v>#N/A</v>
      </c>
      <c r="AB176" s="592" t="e">
        <f ca="1">OFFSET('360SpcLdsCSV'!$B$5,$B176,AB$51)</f>
        <v>#N/A</v>
      </c>
      <c r="AC176" s="592" t="e">
        <f ca="1">OFFSET('360SpcLdsCSV'!$B$5,$B176,AC$51)</f>
        <v>#N/A</v>
      </c>
      <c r="AD176" s="592" t="e">
        <f ca="1">OFFSET('360SpcLdsCSV'!$B$5,$B176,AD$51)</f>
        <v>#N/A</v>
      </c>
      <c r="AE176" s="592" t="e">
        <f ca="1">OFFSET('360SpcLdsCSV'!$B$5,$B176,AE$51)</f>
        <v>#N/A</v>
      </c>
      <c r="AF176" s="592" t="e">
        <f ca="1">OFFSET('360SpcLdsCSV'!$B$5,$B176,AF$51)</f>
        <v>#N/A</v>
      </c>
      <c r="AG176" s="592" t="e">
        <f ca="1">OFFSET('360SpcLdsCSV'!$B$5,$B176,AG$51)</f>
        <v>#N/A</v>
      </c>
      <c r="AH176" s="592" t="e">
        <f ca="1">OFFSET('360SpcLdsCSV'!$B$5,$B176,AH$51)</f>
        <v>#N/A</v>
      </c>
      <c r="AI176" s="592" t="e">
        <f ca="1">OFFSET('360SpcLdsCSV'!$B$5,$B176,AI$51)</f>
        <v>#N/A</v>
      </c>
      <c r="AJ176" s="592" t="e" cm="1">
        <f t="array" ref="AJ176">_xlfn.IFS($F176="Resi",1,$F176="Racc",0,$F176="Coml",0,$F176="Prkg",0)</f>
        <v>#VALUE!</v>
      </c>
      <c r="AK176" s="596"/>
      <c r="AL176" s="590" t="e">
        <f ca="1">OFFSET('360SpcLdsCSV'!$B$5,$B176,AL$51)</f>
        <v>#N/A</v>
      </c>
      <c r="AM176" s="663" t="e">
        <f t="shared" ca="1" si="139"/>
        <v>#N/A</v>
      </c>
      <c r="AN176" s="663" t="e">
        <f t="shared" ca="1" si="140"/>
        <v>#N/A</v>
      </c>
      <c r="AO176" s="663" t="e">
        <f t="shared" ca="1" si="167"/>
        <v>#N/A</v>
      </c>
      <c r="AP176" s="663" t="e">
        <f t="shared" ca="1" si="141"/>
        <v>#N/A</v>
      </c>
      <c r="AQ176" s="663" t="e">
        <f t="shared" ca="1" si="142"/>
        <v>#N/A</v>
      </c>
      <c r="AR176" s="663" t="e">
        <f t="shared" ca="1" si="143"/>
        <v>#N/A</v>
      </c>
      <c r="AS176" s="663" t="e">
        <f t="shared" ca="1" si="144"/>
        <v>#N/A</v>
      </c>
      <c r="AT176" s="663" t="e">
        <f t="shared" ca="1" si="145"/>
        <v>#N/A</v>
      </c>
      <c r="AU176" s="663" t="e">
        <f t="shared" ca="1" si="146"/>
        <v>#N/A</v>
      </c>
      <c r="AV176" s="663" t="e">
        <f t="shared" ca="1" si="147"/>
        <v>#N/A</v>
      </c>
      <c r="AW176" s="663" t="e">
        <f t="shared" ca="1" si="148"/>
        <v>#N/A</v>
      </c>
      <c r="AX176" s="663" t="e">
        <f t="shared" ca="1" si="149"/>
        <v>#N/A</v>
      </c>
      <c r="AY176" s="663" t="e">
        <f t="shared" ca="1" si="150"/>
        <v>#N/A</v>
      </c>
      <c r="AZ176" s="663" t="e">
        <f t="shared" ca="1" si="151"/>
        <v>#N/A</v>
      </c>
      <c r="BA176" s="663" t="e">
        <f t="shared" ca="1" si="152"/>
        <v>#N/A</v>
      </c>
      <c r="BB176" s="663" t="e">
        <f t="shared" ca="1" si="153"/>
        <v>#N/A</v>
      </c>
      <c r="BC176" s="663" t="e">
        <f t="shared" ca="1" si="154"/>
        <v>#N/A</v>
      </c>
      <c r="BD176" s="663" t="e">
        <f t="shared" ca="1" si="155"/>
        <v>#N/A</v>
      </c>
      <c r="BE176" s="663" t="e">
        <f t="shared" ca="1" si="156"/>
        <v>#N/A</v>
      </c>
      <c r="BF176" s="663" t="e">
        <f t="shared" ca="1" si="157"/>
        <v>#N/A</v>
      </c>
      <c r="BG176" s="663" t="e">
        <f t="shared" ca="1" si="158"/>
        <v>#N/A</v>
      </c>
      <c r="BH176" s="663" t="e">
        <f t="shared" ca="1" si="159"/>
        <v>#N/A</v>
      </c>
      <c r="BI176" s="663" t="e">
        <f t="shared" ca="1" si="160"/>
        <v>#N/A</v>
      </c>
      <c r="BJ176" s="663" t="e">
        <f t="shared" ca="1" si="161"/>
        <v>#N/A</v>
      </c>
      <c r="BK176" s="663" t="e">
        <f t="shared" ca="1" si="162"/>
        <v>#N/A</v>
      </c>
      <c r="BL176" s="1918"/>
      <c r="BM176" s="1532"/>
      <c r="BN176" s="1919"/>
      <c r="BO176" s="603"/>
      <c r="BP176" s="602"/>
      <c r="BQ176" s="602"/>
      <c r="BR176" s="602"/>
      <c r="BS176" s="604"/>
      <c r="BT176" s="605"/>
      <c r="BU176" s="602"/>
      <c r="BV176" s="602"/>
      <c r="BW176" s="606"/>
      <c r="BX176" s="607"/>
      <c r="BY176" s="608"/>
      <c r="BZ176" s="608"/>
      <c r="CA176"/>
      <c r="CB176" s="600"/>
    </row>
    <row r="177" spans="2:80" ht="12" customHeight="1" x14ac:dyDescent="0.35">
      <c r="B177" s="590" t="e">
        <f>MATCH(C177,'360SpcLdsCSV'!$C$6:$C$500,0)</f>
        <v>#N/A</v>
      </c>
      <c r="C177" s="590">
        <f>'360SpcLdsCSV'!C126</f>
        <v>0</v>
      </c>
      <c r="D177" s="590" t="str">
        <f t="shared" si="163"/>
        <v>0</v>
      </c>
      <c r="E177" s="590" t="e">
        <f t="shared" si="164"/>
        <v>#VALUE!</v>
      </c>
      <c r="F177" s="590" t="e">
        <f t="shared" si="165"/>
        <v>#VALUE!</v>
      </c>
      <c r="G177" s="590" t="str">
        <f t="shared" si="166"/>
        <v>0</v>
      </c>
      <c r="H177" s="590" t="e">
        <f ca="1">OFFSET('360SpcLdsCSV'!$B$5,$B177,H$51)</f>
        <v>#N/A</v>
      </c>
      <c r="I177" s="590" t="e">
        <f ca="1">OFFSET('360SpcLdsCSV'!$B$5,$B177,I$51)</f>
        <v>#N/A</v>
      </c>
      <c r="J177" s="590" t="e">
        <f ca="1">OFFSET('360SpcLdsCSV'!$B$5,$B177,J$51)</f>
        <v>#N/A</v>
      </c>
      <c r="K177" s="590" t="e">
        <f ca="1">OFFSET('360SpcLdsCSV'!$B$5,$B177,K$51)</f>
        <v>#N/A</v>
      </c>
      <c r="L177" s="590" t="e">
        <f ca="1">OFFSET('360SpcLdsCSV'!$B$5,$B177,L$51)</f>
        <v>#N/A</v>
      </c>
      <c r="M177" s="592" t="e">
        <f ca="1">OFFSET('360SpcLdsCSV'!$B$5,$B177,M$51)</f>
        <v>#N/A</v>
      </c>
      <c r="N177" s="592" t="e">
        <f ca="1">OFFSET('360SpcLdsCSV'!$B$5,$B177,N$51)</f>
        <v>#N/A</v>
      </c>
      <c r="O177" s="592" t="e">
        <f ca="1">OFFSET('360SpcLdsCSV'!$B$5,$B177,O$51)</f>
        <v>#N/A</v>
      </c>
      <c r="P177" s="592" t="e">
        <f ca="1">OFFSET('360SpcLdsCSV'!$B$5,$B177,P$51)</f>
        <v>#N/A</v>
      </c>
      <c r="Q177" s="592" t="e">
        <f ca="1">OFFSET('360SpcLdsCSV'!$B$5,$B177,Q$51)</f>
        <v>#N/A</v>
      </c>
      <c r="R177" s="592" t="e">
        <f ca="1">OFFSET('360SpcLdsCSV'!$B$5,$B177,R$51)</f>
        <v>#N/A</v>
      </c>
      <c r="S177" s="592" t="e">
        <f ca="1">OFFSET('360SpcLdsCSV'!$B$5,$B177,S$51)</f>
        <v>#N/A</v>
      </c>
      <c r="T177" s="592" t="e">
        <f ca="1">OFFSET('360SpcLdsCSV'!$B$5,$B177,T$51)</f>
        <v>#N/A</v>
      </c>
      <c r="U177" s="592" t="e">
        <f ca="1">OFFSET('360SpcLdsCSV'!$B$5,$B177,U$51)</f>
        <v>#N/A</v>
      </c>
      <c r="V177" s="592" t="e">
        <f ca="1">OFFSET('360SpcLdsCSV'!$B$5,$B177,V$51)</f>
        <v>#N/A</v>
      </c>
      <c r="W177" s="592" t="e">
        <f ca="1">OFFSET('360SpcLdsCSV'!$B$5,$B177,W$51)</f>
        <v>#N/A</v>
      </c>
      <c r="X177" s="592" t="e">
        <f ca="1">OFFSET('360SpcLdsCSV'!$B$5,$B177,X$51)</f>
        <v>#N/A</v>
      </c>
      <c r="Y177" s="592" t="e">
        <f ca="1">OFFSET('360SpcLdsCSV'!$B$5,$B177,Y$51)</f>
        <v>#N/A</v>
      </c>
      <c r="Z177" s="592" t="e">
        <f ca="1">OFFSET('360SpcLdsCSV'!$B$5,$B177,Z$51)</f>
        <v>#N/A</v>
      </c>
      <c r="AA177" s="592" t="e">
        <f ca="1">OFFSET('360SpcLdsCSV'!$B$5,$B177,AA$51)</f>
        <v>#N/A</v>
      </c>
      <c r="AB177" s="592" t="e">
        <f ca="1">OFFSET('360SpcLdsCSV'!$B$5,$B177,AB$51)</f>
        <v>#N/A</v>
      </c>
      <c r="AC177" s="592" t="e">
        <f ca="1">OFFSET('360SpcLdsCSV'!$B$5,$B177,AC$51)</f>
        <v>#N/A</v>
      </c>
      <c r="AD177" s="592" t="e">
        <f ca="1">OFFSET('360SpcLdsCSV'!$B$5,$B177,AD$51)</f>
        <v>#N/A</v>
      </c>
      <c r="AE177" s="592" t="e">
        <f ca="1">OFFSET('360SpcLdsCSV'!$B$5,$B177,AE$51)</f>
        <v>#N/A</v>
      </c>
      <c r="AF177" s="592" t="e">
        <f ca="1">OFFSET('360SpcLdsCSV'!$B$5,$B177,AF$51)</f>
        <v>#N/A</v>
      </c>
      <c r="AG177" s="592" t="e">
        <f ca="1">OFFSET('360SpcLdsCSV'!$B$5,$B177,AG$51)</f>
        <v>#N/A</v>
      </c>
      <c r="AH177" s="592" t="e">
        <f ca="1">OFFSET('360SpcLdsCSV'!$B$5,$B177,AH$51)</f>
        <v>#N/A</v>
      </c>
      <c r="AI177" s="592" t="e">
        <f ca="1">OFFSET('360SpcLdsCSV'!$B$5,$B177,AI$51)</f>
        <v>#N/A</v>
      </c>
      <c r="AJ177" s="592" t="e" cm="1">
        <f t="array" ref="AJ177">_xlfn.IFS($F177="Resi",1,$F177="Racc",0,$F177="Coml",0,$F177="Prkg",0)</f>
        <v>#VALUE!</v>
      </c>
      <c r="AK177" s="596"/>
      <c r="AL177" s="590" t="e">
        <f ca="1">OFFSET('360SpcLdsCSV'!$B$5,$B177,AL$51)</f>
        <v>#N/A</v>
      </c>
      <c r="AM177" s="663" t="e">
        <f t="shared" ca="1" si="139"/>
        <v>#N/A</v>
      </c>
      <c r="AN177" s="663" t="e">
        <f t="shared" ca="1" si="140"/>
        <v>#N/A</v>
      </c>
      <c r="AO177" s="663" t="e">
        <f t="shared" ca="1" si="167"/>
        <v>#N/A</v>
      </c>
      <c r="AP177" s="663" t="e">
        <f t="shared" ca="1" si="141"/>
        <v>#N/A</v>
      </c>
      <c r="AQ177" s="663" t="e">
        <f t="shared" ca="1" si="142"/>
        <v>#N/A</v>
      </c>
      <c r="AR177" s="663" t="e">
        <f t="shared" ca="1" si="143"/>
        <v>#N/A</v>
      </c>
      <c r="AS177" s="663" t="e">
        <f t="shared" ca="1" si="144"/>
        <v>#N/A</v>
      </c>
      <c r="AT177" s="663" t="e">
        <f t="shared" ca="1" si="145"/>
        <v>#N/A</v>
      </c>
      <c r="AU177" s="663" t="e">
        <f t="shared" ca="1" si="146"/>
        <v>#N/A</v>
      </c>
      <c r="AV177" s="663" t="e">
        <f t="shared" ca="1" si="147"/>
        <v>#N/A</v>
      </c>
      <c r="AW177" s="663" t="e">
        <f t="shared" ca="1" si="148"/>
        <v>#N/A</v>
      </c>
      <c r="AX177" s="663" t="e">
        <f t="shared" ca="1" si="149"/>
        <v>#N/A</v>
      </c>
      <c r="AY177" s="663" t="e">
        <f t="shared" ca="1" si="150"/>
        <v>#N/A</v>
      </c>
      <c r="AZ177" s="663" t="e">
        <f t="shared" ca="1" si="151"/>
        <v>#N/A</v>
      </c>
      <c r="BA177" s="663" t="e">
        <f t="shared" ca="1" si="152"/>
        <v>#N/A</v>
      </c>
      <c r="BB177" s="663" t="e">
        <f t="shared" ca="1" si="153"/>
        <v>#N/A</v>
      </c>
      <c r="BC177" s="663" t="e">
        <f t="shared" ca="1" si="154"/>
        <v>#N/A</v>
      </c>
      <c r="BD177" s="663" t="e">
        <f t="shared" ca="1" si="155"/>
        <v>#N/A</v>
      </c>
      <c r="BE177" s="663" t="e">
        <f t="shared" ca="1" si="156"/>
        <v>#N/A</v>
      </c>
      <c r="BF177" s="663" t="e">
        <f t="shared" ca="1" si="157"/>
        <v>#N/A</v>
      </c>
      <c r="BG177" s="663" t="e">
        <f t="shared" ca="1" si="158"/>
        <v>#N/A</v>
      </c>
      <c r="BH177" s="663" t="e">
        <f t="shared" ca="1" si="159"/>
        <v>#N/A</v>
      </c>
      <c r="BI177" s="663" t="e">
        <f t="shared" ca="1" si="160"/>
        <v>#N/A</v>
      </c>
      <c r="BJ177" s="663" t="e">
        <f t="shared" ca="1" si="161"/>
        <v>#N/A</v>
      </c>
      <c r="BK177" s="663" t="e">
        <f t="shared" ca="1" si="162"/>
        <v>#N/A</v>
      </c>
      <c r="BL177" s="1918"/>
      <c r="BM177" s="1532"/>
      <c r="BN177" s="1919"/>
      <c r="BO177" s="603"/>
      <c r="BP177" s="602"/>
      <c r="BQ177" s="602"/>
      <c r="BR177" s="602"/>
      <c r="BS177" s="604"/>
      <c r="BT177" s="605"/>
      <c r="BU177" s="602"/>
      <c r="BV177" s="602"/>
      <c r="BW177" s="606"/>
      <c r="BX177" s="607"/>
      <c r="BY177" s="608"/>
      <c r="BZ177" s="608"/>
      <c r="CA177"/>
      <c r="CB177" s="600"/>
    </row>
    <row r="178" spans="2:80" ht="12" customHeight="1" x14ac:dyDescent="0.35">
      <c r="B178" s="590" t="e">
        <f>MATCH(C178,'360SpcLdsCSV'!$C$6:$C$500,0)</f>
        <v>#N/A</v>
      </c>
      <c r="C178" s="590">
        <f>'360SpcLdsCSV'!C127</f>
        <v>0</v>
      </c>
      <c r="D178" s="590" t="str">
        <f t="shared" si="163"/>
        <v>0</v>
      </c>
      <c r="E178" s="590" t="e">
        <f t="shared" si="164"/>
        <v>#VALUE!</v>
      </c>
      <c r="F178" s="590" t="e">
        <f t="shared" si="165"/>
        <v>#VALUE!</v>
      </c>
      <c r="G178" s="590" t="str">
        <f t="shared" si="166"/>
        <v>0</v>
      </c>
      <c r="H178" s="590" t="e">
        <f ca="1">OFFSET('360SpcLdsCSV'!$B$5,$B178,H$51)</f>
        <v>#N/A</v>
      </c>
      <c r="I178" s="590" t="e">
        <f ca="1">OFFSET('360SpcLdsCSV'!$B$5,$B178,I$51)</f>
        <v>#N/A</v>
      </c>
      <c r="J178" s="590" t="e">
        <f ca="1">OFFSET('360SpcLdsCSV'!$B$5,$B178,J$51)</f>
        <v>#N/A</v>
      </c>
      <c r="K178" s="590" t="e">
        <f ca="1">OFFSET('360SpcLdsCSV'!$B$5,$B178,K$51)</f>
        <v>#N/A</v>
      </c>
      <c r="L178" s="590" t="e">
        <f ca="1">OFFSET('360SpcLdsCSV'!$B$5,$B178,L$51)</f>
        <v>#N/A</v>
      </c>
      <c r="M178" s="592" t="e">
        <f ca="1">OFFSET('360SpcLdsCSV'!$B$5,$B178,M$51)</f>
        <v>#N/A</v>
      </c>
      <c r="N178" s="592" t="e">
        <f ca="1">OFFSET('360SpcLdsCSV'!$B$5,$B178,N$51)</f>
        <v>#N/A</v>
      </c>
      <c r="O178" s="592" t="e">
        <f ca="1">OFFSET('360SpcLdsCSV'!$B$5,$B178,O$51)</f>
        <v>#N/A</v>
      </c>
      <c r="P178" s="592" t="e">
        <f ca="1">OFFSET('360SpcLdsCSV'!$B$5,$B178,P$51)</f>
        <v>#N/A</v>
      </c>
      <c r="Q178" s="592" t="e">
        <f ca="1">OFFSET('360SpcLdsCSV'!$B$5,$B178,Q$51)</f>
        <v>#N/A</v>
      </c>
      <c r="R178" s="592" t="e">
        <f ca="1">OFFSET('360SpcLdsCSV'!$B$5,$B178,R$51)</f>
        <v>#N/A</v>
      </c>
      <c r="S178" s="592" t="e">
        <f ca="1">OFFSET('360SpcLdsCSV'!$B$5,$B178,S$51)</f>
        <v>#N/A</v>
      </c>
      <c r="T178" s="592" t="e">
        <f ca="1">OFFSET('360SpcLdsCSV'!$B$5,$B178,T$51)</f>
        <v>#N/A</v>
      </c>
      <c r="U178" s="592" t="e">
        <f ca="1">OFFSET('360SpcLdsCSV'!$B$5,$B178,U$51)</f>
        <v>#N/A</v>
      </c>
      <c r="V178" s="592" t="e">
        <f ca="1">OFFSET('360SpcLdsCSV'!$B$5,$B178,V$51)</f>
        <v>#N/A</v>
      </c>
      <c r="W178" s="592" t="e">
        <f ca="1">OFFSET('360SpcLdsCSV'!$B$5,$B178,W$51)</f>
        <v>#N/A</v>
      </c>
      <c r="X178" s="592" t="e">
        <f ca="1">OFFSET('360SpcLdsCSV'!$B$5,$B178,X$51)</f>
        <v>#N/A</v>
      </c>
      <c r="Y178" s="592" t="e">
        <f ca="1">OFFSET('360SpcLdsCSV'!$B$5,$B178,Y$51)</f>
        <v>#N/A</v>
      </c>
      <c r="Z178" s="592" t="e">
        <f ca="1">OFFSET('360SpcLdsCSV'!$B$5,$B178,Z$51)</f>
        <v>#N/A</v>
      </c>
      <c r="AA178" s="592" t="e">
        <f ca="1">OFFSET('360SpcLdsCSV'!$B$5,$B178,AA$51)</f>
        <v>#N/A</v>
      </c>
      <c r="AB178" s="592" t="e">
        <f ca="1">OFFSET('360SpcLdsCSV'!$B$5,$B178,AB$51)</f>
        <v>#N/A</v>
      </c>
      <c r="AC178" s="592" t="e">
        <f ca="1">OFFSET('360SpcLdsCSV'!$B$5,$B178,AC$51)</f>
        <v>#N/A</v>
      </c>
      <c r="AD178" s="592" t="e">
        <f ca="1">OFFSET('360SpcLdsCSV'!$B$5,$B178,AD$51)</f>
        <v>#N/A</v>
      </c>
      <c r="AE178" s="592" t="e">
        <f ca="1">OFFSET('360SpcLdsCSV'!$B$5,$B178,AE$51)</f>
        <v>#N/A</v>
      </c>
      <c r="AF178" s="592" t="e">
        <f ca="1">OFFSET('360SpcLdsCSV'!$B$5,$B178,AF$51)</f>
        <v>#N/A</v>
      </c>
      <c r="AG178" s="592" t="e">
        <f ca="1">OFFSET('360SpcLdsCSV'!$B$5,$B178,AG$51)</f>
        <v>#N/A</v>
      </c>
      <c r="AH178" s="592" t="e">
        <f ca="1">OFFSET('360SpcLdsCSV'!$B$5,$B178,AH$51)</f>
        <v>#N/A</v>
      </c>
      <c r="AI178" s="592" t="e">
        <f ca="1">OFFSET('360SpcLdsCSV'!$B$5,$B178,AI$51)</f>
        <v>#N/A</v>
      </c>
      <c r="AJ178" s="592" t="e" cm="1">
        <f t="array" ref="AJ178">_xlfn.IFS($F178="Resi",1,$F178="Racc",0,$F178="Coml",0,$F178="Prkg",0)</f>
        <v>#VALUE!</v>
      </c>
      <c r="AK178" s="596"/>
      <c r="AL178" s="590" t="e">
        <f ca="1">OFFSET('360SpcLdsCSV'!$B$5,$B178,AL$51)</f>
        <v>#N/A</v>
      </c>
      <c r="AM178" s="663" t="e">
        <f t="shared" ca="1" si="139"/>
        <v>#N/A</v>
      </c>
      <c r="AN178" s="663" t="e">
        <f t="shared" ca="1" si="140"/>
        <v>#N/A</v>
      </c>
      <c r="AO178" s="663" t="e">
        <f t="shared" ca="1" si="167"/>
        <v>#N/A</v>
      </c>
      <c r="AP178" s="663" t="e">
        <f t="shared" ca="1" si="141"/>
        <v>#N/A</v>
      </c>
      <c r="AQ178" s="663" t="e">
        <f t="shared" ca="1" si="142"/>
        <v>#N/A</v>
      </c>
      <c r="AR178" s="663" t="e">
        <f t="shared" ca="1" si="143"/>
        <v>#N/A</v>
      </c>
      <c r="AS178" s="663" t="e">
        <f t="shared" ca="1" si="144"/>
        <v>#N/A</v>
      </c>
      <c r="AT178" s="663" t="e">
        <f t="shared" ca="1" si="145"/>
        <v>#N/A</v>
      </c>
      <c r="AU178" s="663" t="e">
        <f t="shared" ca="1" si="146"/>
        <v>#N/A</v>
      </c>
      <c r="AV178" s="663" t="e">
        <f t="shared" ca="1" si="147"/>
        <v>#N/A</v>
      </c>
      <c r="AW178" s="663" t="e">
        <f t="shared" ca="1" si="148"/>
        <v>#N/A</v>
      </c>
      <c r="AX178" s="663" t="e">
        <f t="shared" ca="1" si="149"/>
        <v>#N/A</v>
      </c>
      <c r="AY178" s="663" t="e">
        <f t="shared" ca="1" si="150"/>
        <v>#N/A</v>
      </c>
      <c r="AZ178" s="663" t="e">
        <f t="shared" ca="1" si="151"/>
        <v>#N/A</v>
      </c>
      <c r="BA178" s="663" t="e">
        <f t="shared" ca="1" si="152"/>
        <v>#N/A</v>
      </c>
      <c r="BB178" s="663" t="e">
        <f t="shared" ca="1" si="153"/>
        <v>#N/A</v>
      </c>
      <c r="BC178" s="663" t="e">
        <f t="shared" ca="1" si="154"/>
        <v>#N/A</v>
      </c>
      <c r="BD178" s="663" t="e">
        <f t="shared" ca="1" si="155"/>
        <v>#N/A</v>
      </c>
      <c r="BE178" s="663" t="e">
        <f t="shared" ca="1" si="156"/>
        <v>#N/A</v>
      </c>
      <c r="BF178" s="663" t="e">
        <f t="shared" ca="1" si="157"/>
        <v>#N/A</v>
      </c>
      <c r="BG178" s="663" t="e">
        <f t="shared" ca="1" si="158"/>
        <v>#N/A</v>
      </c>
      <c r="BH178" s="663" t="e">
        <f t="shared" ca="1" si="159"/>
        <v>#N/A</v>
      </c>
      <c r="BI178" s="663" t="e">
        <f t="shared" ca="1" si="160"/>
        <v>#N/A</v>
      </c>
      <c r="BJ178" s="663" t="e">
        <f t="shared" ca="1" si="161"/>
        <v>#N/A</v>
      </c>
      <c r="BK178" s="663" t="e">
        <f t="shared" ca="1" si="162"/>
        <v>#N/A</v>
      </c>
      <c r="BL178" s="1918"/>
      <c r="BM178" s="1532"/>
      <c r="BN178" s="1919"/>
      <c r="BO178" s="603"/>
      <c r="BP178" s="602"/>
      <c r="BQ178" s="602"/>
      <c r="BR178" s="602"/>
      <c r="BS178" s="604"/>
      <c r="BT178" s="605"/>
      <c r="BU178" s="602"/>
      <c r="BV178" s="602"/>
      <c r="BW178" s="606"/>
      <c r="BX178" s="607"/>
      <c r="BY178" s="608"/>
      <c r="BZ178" s="608"/>
      <c r="CA178"/>
      <c r="CB178" s="600"/>
    </row>
    <row r="179" spans="2:80" ht="12" customHeight="1" x14ac:dyDescent="0.35">
      <c r="B179" s="590" t="e">
        <f>MATCH(C179,'360SpcLdsCSV'!$C$6:$C$500,0)</f>
        <v>#N/A</v>
      </c>
      <c r="C179" s="590">
        <f>'360SpcLdsCSV'!C128</f>
        <v>0</v>
      </c>
      <c r="D179" s="590" t="str">
        <f t="shared" si="163"/>
        <v>0</v>
      </c>
      <c r="E179" s="590" t="e">
        <f t="shared" si="164"/>
        <v>#VALUE!</v>
      </c>
      <c r="F179" s="590" t="e">
        <f t="shared" si="165"/>
        <v>#VALUE!</v>
      </c>
      <c r="G179" s="590" t="str">
        <f t="shared" si="166"/>
        <v>0</v>
      </c>
      <c r="H179" s="590" t="e">
        <f ca="1">OFFSET('360SpcLdsCSV'!$B$5,$B179,H$51)</f>
        <v>#N/A</v>
      </c>
      <c r="I179" s="590" t="e">
        <f ca="1">OFFSET('360SpcLdsCSV'!$B$5,$B179,I$51)</f>
        <v>#N/A</v>
      </c>
      <c r="J179" s="590" t="e">
        <f ca="1">OFFSET('360SpcLdsCSV'!$B$5,$B179,J$51)</f>
        <v>#N/A</v>
      </c>
      <c r="K179" s="590" t="e">
        <f ca="1">OFFSET('360SpcLdsCSV'!$B$5,$B179,K$51)</f>
        <v>#N/A</v>
      </c>
      <c r="L179" s="590" t="e">
        <f ca="1">OFFSET('360SpcLdsCSV'!$B$5,$B179,L$51)</f>
        <v>#N/A</v>
      </c>
      <c r="M179" s="592" t="e">
        <f ca="1">OFFSET('360SpcLdsCSV'!$B$5,$B179,M$51)</f>
        <v>#N/A</v>
      </c>
      <c r="N179" s="592" t="e">
        <f ca="1">OFFSET('360SpcLdsCSV'!$B$5,$B179,N$51)</f>
        <v>#N/A</v>
      </c>
      <c r="O179" s="592" t="e">
        <f ca="1">OFFSET('360SpcLdsCSV'!$B$5,$B179,O$51)</f>
        <v>#N/A</v>
      </c>
      <c r="P179" s="592" t="e">
        <f ca="1">OFFSET('360SpcLdsCSV'!$B$5,$B179,P$51)</f>
        <v>#N/A</v>
      </c>
      <c r="Q179" s="592" t="e">
        <f ca="1">OFFSET('360SpcLdsCSV'!$B$5,$B179,Q$51)</f>
        <v>#N/A</v>
      </c>
      <c r="R179" s="592" t="e">
        <f ca="1">OFFSET('360SpcLdsCSV'!$B$5,$B179,R$51)</f>
        <v>#N/A</v>
      </c>
      <c r="S179" s="592" t="e">
        <f ca="1">OFFSET('360SpcLdsCSV'!$B$5,$B179,S$51)</f>
        <v>#N/A</v>
      </c>
      <c r="T179" s="592" t="e">
        <f ca="1">OFFSET('360SpcLdsCSV'!$B$5,$B179,T$51)</f>
        <v>#N/A</v>
      </c>
      <c r="U179" s="592" t="e">
        <f ca="1">OFFSET('360SpcLdsCSV'!$B$5,$B179,U$51)</f>
        <v>#N/A</v>
      </c>
      <c r="V179" s="592" t="e">
        <f ca="1">OFFSET('360SpcLdsCSV'!$B$5,$B179,V$51)</f>
        <v>#N/A</v>
      </c>
      <c r="W179" s="592" t="e">
        <f ca="1">OFFSET('360SpcLdsCSV'!$B$5,$B179,W$51)</f>
        <v>#N/A</v>
      </c>
      <c r="X179" s="592" t="e">
        <f ca="1">OFFSET('360SpcLdsCSV'!$B$5,$B179,X$51)</f>
        <v>#N/A</v>
      </c>
      <c r="Y179" s="592" t="e">
        <f ca="1">OFFSET('360SpcLdsCSV'!$B$5,$B179,Y$51)</f>
        <v>#N/A</v>
      </c>
      <c r="Z179" s="592" t="e">
        <f ca="1">OFFSET('360SpcLdsCSV'!$B$5,$B179,Z$51)</f>
        <v>#N/A</v>
      </c>
      <c r="AA179" s="592" t="e">
        <f ca="1">OFFSET('360SpcLdsCSV'!$B$5,$B179,AA$51)</f>
        <v>#N/A</v>
      </c>
      <c r="AB179" s="592" t="e">
        <f ca="1">OFFSET('360SpcLdsCSV'!$B$5,$B179,AB$51)</f>
        <v>#N/A</v>
      </c>
      <c r="AC179" s="592" t="e">
        <f ca="1">OFFSET('360SpcLdsCSV'!$B$5,$B179,AC$51)</f>
        <v>#N/A</v>
      </c>
      <c r="AD179" s="592" t="e">
        <f ca="1">OFFSET('360SpcLdsCSV'!$B$5,$B179,AD$51)</f>
        <v>#N/A</v>
      </c>
      <c r="AE179" s="592" t="e">
        <f ca="1">OFFSET('360SpcLdsCSV'!$B$5,$B179,AE$51)</f>
        <v>#N/A</v>
      </c>
      <c r="AF179" s="592" t="e">
        <f ca="1">OFFSET('360SpcLdsCSV'!$B$5,$B179,AF$51)</f>
        <v>#N/A</v>
      </c>
      <c r="AG179" s="592" t="e">
        <f ca="1">OFFSET('360SpcLdsCSV'!$B$5,$B179,AG$51)</f>
        <v>#N/A</v>
      </c>
      <c r="AH179" s="592" t="e">
        <f ca="1">OFFSET('360SpcLdsCSV'!$B$5,$B179,AH$51)</f>
        <v>#N/A</v>
      </c>
      <c r="AI179" s="592" t="e">
        <f ca="1">OFFSET('360SpcLdsCSV'!$B$5,$B179,AI$51)</f>
        <v>#N/A</v>
      </c>
      <c r="AJ179" s="592" t="e" cm="1">
        <f t="array" ref="AJ179">_xlfn.IFS($F179="Resi",1,$F179="Racc",0,$F179="Coml",0,$F179="Prkg",0)</f>
        <v>#VALUE!</v>
      </c>
      <c r="AK179" s="596"/>
      <c r="AL179" s="590" t="e">
        <f ca="1">OFFSET('360SpcLdsCSV'!$B$5,$B179,AL$51)</f>
        <v>#N/A</v>
      </c>
      <c r="AM179" s="663" t="e">
        <f t="shared" ca="1" si="139"/>
        <v>#N/A</v>
      </c>
      <c r="AN179" s="663" t="e">
        <f t="shared" ca="1" si="140"/>
        <v>#N/A</v>
      </c>
      <c r="AO179" s="663" t="e">
        <f t="shared" ca="1" si="167"/>
        <v>#N/A</v>
      </c>
      <c r="AP179" s="663" t="e">
        <f t="shared" ca="1" si="141"/>
        <v>#N/A</v>
      </c>
      <c r="AQ179" s="663" t="e">
        <f t="shared" ca="1" si="142"/>
        <v>#N/A</v>
      </c>
      <c r="AR179" s="663" t="e">
        <f t="shared" ca="1" si="143"/>
        <v>#N/A</v>
      </c>
      <c r="AS179" s="663" t="e">
        <f t="shared" ca="1" si="144"/>
        <v>#N/A</v>
      </c>
      <c r="AT179" s="663" t="e">
        <f t="shared" ca="1" si="145"/>
        <v>#N/A</v>
      </c>
      <c r="AU179" s="663" t="e">
        <f t="shared" ca="1" si="146"/>
        <v>#N/A</v>
      </c>
      <c r="AV179" s="663" t="e">
        <f t="shared" ca="1" si="147"/>
        <v>#N/A</v>
      </c>
      <c r="AW179" s="663" t="e">
        <f t="shared" ca="1" si="148"/>
        <v>#N/A</v>
      </c>
      <c r="AX179" s="663" t="e">
        <f t="shared" ca="1" si="149"/>
        <v>#N/A</v>
      </c>
      <c r="AY179" s="663" t="e">
        <f t="shared" ca="1" si="150"/>
        <v>#N/A</v>
      </c>
      <c r="AZ179" s="663" t="e">
        <f t="shared" ca="1" si="151"/>
        <v>#N/A</v>
      </c>
      <c r="BA179" s="663" t="e">
        <f t="shared" ca="1" si="152"/>
        <v>#N/A</v>
      </c>
      <c r="BB179" s="663" t="e">
        <f t="shared" ca="1" si="153"/>
        <v>#N/A</v>
      </c>
      <c r="BC179" s="663" t="e">
        <f t="shared" ca="1" si="154"/>
        <v>#N/A</v>
      </c>
      <c r="BD179" s="663" t="e">
        <f t="shared" ca="1" si="155"/>
        <v>#N/A</v>
      </c>
      <c r="BE179" s="663" t="e">
        <f t="shared" ca="1" si="156"/>
        <v>#N/A</v>
      </c>
      <c r="BF179" s="663" t="e">
        <f t="shared" ca="1" si="157"/>
        <v>#N/A</v>
      </c>
      <c r="BG179" s="663" t="e">
        <f t="shared" ca="1" si="158"/>
        <v>#N/A</v>
      </c>
      <c r="BH179" s="663" t="e">
        <f t="shared" ca="1" si="159"/>
        <v>#N/A</v>
      </c>
      <c r="BI179" s="663" t="e">
        <f t="shared" ca="1" si="160"/>
        <v>#N/A</v>
      </c>
      <c r="BJ179" s="663" t="e">
        <f t="shared" ca="1" si="161"/>
        <v>#N/A</v>
      </c>
      <c r="BK179" s="663" t="e">
        <f t="shared" ca="1" si="162"/>
        <v>#N/A</v>
      </c>
      <c r="BL179" s="1918"/>
      <c r="BM179" s="1532"/>
      <c r="BN179" s="1919"/>
      <c r="BO179" s="603"/>
      <c r="BP179" s="602"/>
      <c r="BQ179" s="602"/>
      <c r="BR179" s="602"/>
      <c r="BS179" s="604"/>
      <c r="BT179" s="605"/>
      <c r="BU179" s="602"/>
      <c r="BV179" s="602"/>
      <c r="BW179" s="606"/>
      <c r="BX179" s="607"/>
      <c r="BY179" s="608"/>
      <c r="BZ179" s="608"/>
      <c r="CA179"/>
      <c r="CB179" s="600"/>
    </row>
    <row r="180" spans="2:80" ht="12" customHeight="1" x14ac:dyDescent="0.35">
      <c r="B180" s="590" t="e">
        <f>MATCH(C180,'360SpcLdsCSV'!$C$6:$C$500,0)</f>
        <v>#N/A</v>
      </c>
      <c r="C180" s="590">
        <f>'360SpcLdsCSV'!C129</f>
        <v>0</v>
      </c>
      <c r="D180" s="590" t="str">
        <f t="shared" si="163"/>
        <v>0</v>
      </c>
      <c r="E180" s="590" t="e">
        <f t="shared" si="164"/>
        <v>#VALUE!</v>
      </c>
      <c r="F180" s="590" t="e">
        <f t="shared" si="165"/>
        <v>#VALUE!</v>
      </c>
      <c r="G180" s="590" t="str">
        <f t="shared" si="166"/>
        <v>0</v>
      </c>
      <c r="H180" s="590" t="e">
        <f ca="1">OFFSET('360SpcLdsCSV'!$B$5,$B180,H$51)</f>
        <v>#N/A</v>
      </c>
      <c r="I180" s="590" t="e">
        <f ca="1">OFFSET('360SpcLdsCSV'!$B$5,$B180,I$51)</f>
        <v>#N/A</v>
      </c>
      <c r="J180" s="590" t="e">
        <f ca="1">OFFSET('360SpcLdsCSV'!$B$5,$B180,J$51)</f>
        <v>#N/A</v>
      </c>
      <c r="K180" s="590" t="e">
        <f ca="1">OFFSET('360SpcLdsCSV'!$B$5,$B180,K$51)</f>
        <v>#N/A</v>
      </c>
      <c r="L180" s="590" t="e">
        <f ca="1">OFFSET('360SpcLdsCSV'!$B$5,$B180,L$51)</f>
        <v>#N/A</v>
      </c>
      <c r="M180" s="592" t="e">
        <f ca="1">OFFSET('360SpcLdsCSV'!$B$5,$B180,M$51)</f>
        <v>#N/A</v>
      </c>
      <c r="N180" s="592" t="e">
        <f ca="1">OFFSET('360SpcLdsCSV'!$B$5,$B180,N$51)</f>
        <v>#N/A</v>
      </c>
      <c r="O180" s="592" t="e">
        <f ca="1">OFFSET('360SpcLdsCSV'!$B$5,$B180,O$51)</f>
        <v>#N/A</v>
      </c>
      <c r="P180" s="592" t="e">
        <f ca="1">OFFSET('360SpcLdsCSV'!$B$5,$B180,P$51)</f>
        <v>#N/A</v>
      </c>
      <c r="Q180" s="592" t="e">
        <f ca="1">OFFSET('360SpcLdsCSV'!$B$5,$B180,Q$51)</f>
        <v>#N/A</v>
      </c>
      <c r="R180" s="592" t="e">
        <f ca="1">OFFSET('360SpcLdsCSV'!$B$5,$B180,R$51)</f>
        <v>#N/A</v>
      </c>
      <c r="S180" s="592" t="e">
        <f ca="1">OFFSET('360SpcLdsCSV'!$B$5,$B180,S$51)</f>
        <v>#N/A</v>
      </c>
      <c r="T180" s="592" t="e">
        <f ca="1">OFFSET('360SpcLdsCSV'!$B$5,$B180,T$51)</f>
        <v>#N/A</v>
      </c>
      <c r="U180" s="592" t="e">
        <f ca="1">OFFSET('360SpcLdsCSV'!$B$5,$B180,U$51)</f>
        <v>#N/A</v>
      </c>
      <c r="V180" s="592" t="e">
        <f ca="1">OFFSET('360SpcLdsCSV'!$B$5,$B180,V$51)</f>
        <v>#N/A</v>
      </c>
      <c r="W180" s="592" t="e">
        <f ca="1">OFFSET('360SpcLdsCSV'!$B$5,$B180,W$51)</f>
        <v>#N/A</v>
      </c>
      <c r="X180" s="592" t="e">
        <f ca="1">OFFSET('360SpcLdsCSV'!$B$5,$B180,X$51)</f>
        <v>#N/A</v>
      </c>
      <c r="Y180" s="592" t="e">
        <f ca="1">OFFSET('360SpcLdsCSV'!$B$5,$B180,Y$51)</f>
        <v>#N/A</v>
      </c>
      <c r="Z180" s="592" t="e">
        <f ca="1">OFFSET('360SpcLdsCSV'!$B$5,$B180,Z$51)</f>
        <v>#N/A</v>
      </c>
      <c r="AA180" s="592" t="e">
        <f ca="1">OFFSET('360SpcLdsCSV'!$B$5,$B180,AA$51)</f>
        <v>#N/A</v>
      </c>
      <c r="AB180" s="592" t="e">
        <f ca="1">OFFSET('360SpcLdsCSV'!$B$5,$B180,AB$51)</f>
        <v>#N/A</v>
      </c>
      <c r="AC180" s="592" t="e">
        <f ca="1">OFFSET('360SpcLdsCSV'!$B$5,$B180,AC$51)</f>
        <v>#N/A</v>
      </c>
      <c r="AD180" s="592" t="e">
        <f ca="1">OFFSET('360SpcLdsCSV'!$B$5,$B180,AD$51)</f>
        <v>#N/A</v>
      </c>
      <c r="AE180" s="592" t="e">
        <f ca="1">OFFSET('360SpcLdsCSV'!$B$5,$B180,AE$51)</f>
        <v>#N/A</v>
      </c>
      <c r="AF180" s="592" t="e">
        <f ca="1">OFFSET('360SpcLdsCSV'!$B$5,$B180,AF$51)</f>
        <v>#N/A</v>
      </c>
      <c r="AG180" s="592" t="e">
        <f ca="1">OFFSET('360SpcLdsCSV'!$B$5,$B180,AG$51)</f>
        <v>#N/A</v>
      </c>
      <c r="AH180" s="592" t="e">
        <f ca="1">OFFSET('360SpcLdsCSV'!$B$5,$B180,AH$51)</f>
        <v>#N/A</v>
      </c>
      <c r="AI180" s="592" t="e">
        <f ca="1">OFFSET('360SpcLdsCSV'!$B$5,$B180,AI$51)</f>
        <v>#N/A</v>
      </c>
      <c r="AJ180" s="592" t="e" cm="1">
        <f t="array" ref="AJ180">_xlfn.IFS($F180="Resi",1,$F180="Racc",0,$F180="Coml",0,$F180="Prkg",0)</f>
        <v>#VALUE!</v>
      </c>
      <c r="AK180" s="596"/>
      <c r="AL180" s="590" t="e">
        <f ca="1">OFFSET('360SpcLdsCSV'!$B$5,$B180,AL$51)</f>
        <v>#N/A</v>
      </c>
      <c r="AM180" s="663" t="e">
        <f t="shared" ca="1" si="139"/>
        <v>#N/A</v>
      </c>
      <c r="AN180" s="663" t="e">
        <f t="shared" ca="1" si="140"/>
        <v>#N/A</v>
      </c>
      <c r="AO180" s="663" t="e">
        <f t="shared" ca="1" si="167"/>
        <v>#N/A</v>
      </c>
      <c r="AP180" s="663" t="e">
        <f t="shared" ca="1" si="141"/>
        <v>#N/A</v>
      </c>
      <c r="AQ180" s="663" t="e">
        <f t="shared" ca="1" si="142"/>
        <v>#N/A</v>
      </c>
      <c r="AR180" s="663" t="e">
        <f t="shared" ca="1" si="143"/>
        <v>#N/A</v>
      </c>
      <c r="AS180" s="663" t="e">
        <f t="shared" ca="1" si="144"/>
        <v>#N/A</v>
      </c>
      <c r="AT180" s="663" t="e">
        <f t="shared" ca="1" si="145"/>
        <v>#N/A</v>
      </c>
      <c r="AU180" s="663" t="e">
        <f t="shared" ca="1" si="146"/>
        <v>#N/A</v>
      </c>
      <c r="AV180" s="663" t="e">
        <f t="shared" ca="1" si="147"/>
        <v>#N/A</v>
      </c>
      <c r="AW180" s="663" t="e">
        <f t="shared" ca="1" si="148"/>
        <v>#N/A</v>
      </c>
      <c r="AX180" s="663" t="e">
        <f t="shared" ca="1" si="149"/>
        <v>#N/A</v>
      </c>
      <c r="AY180" s="663" t="e">
        <f t="shared" ca="1" si="150"/>
        <v>#N/A</v>
      </c>
      <c r="AZ180" s="663" t="e">
        <f t="shared" ca="1" si="151"/>
        <v>#N/A</v>
      </c>
      <c r="BA180" s="663" t="e">
        <f t="shared" ca="1" si="152"/>
        <v>#N/A</v>
      </c>
      <c r="BB180" s="663" t="e">
        <f t="shared" ca="1" si="153"/>
        <v>#N/A</v>
      </c>
      <c r="BC180" s="663" t="e">
        <f t="shared" ca="1" si="154"/>
        <v>#N/A</v>
      </c>
      <c r="BD180" s="663" t="e">
        <f t="shared" ca="1" si="155"/>
        <v>#N/A</v>
      </c>
      <c r="BE180" s="663" t="e">
        <f t="shared" ca="1" si="156"/>
        <v>#N/A</v>
      </c>
      <c r="BF180" s="663" t="e">
        <f t="shared" ca="1" si="157"/>
        <v>#N/A</v>
      </c>
      <c r="BG180" s="663" t="e">
        <f t="shared" ca="1" si="158"/>
        <v>#N/A</v>
      </c>
      <c r="BH180" s="663" t="e">
        <f t="shared" ca="1" si="159"/>
        <v>#N/A</v>
      </c>
      <c r="BI180" s="663" t="e">
        <f t="shared" ca="1" si="160"/>
        <v>#N/A</v>
      </c>
      <c r="BJ180" s="663" t="e">
        <f t="shared" ca="1" si="161"/>
        <v>#N/A</v>
      </c>
      <c r="BK180" s="663" t="e">
        <f t="shared" ca="1" si="162"/>
        <v>#N/A</v>
      </c>
      <c r="BL180" s="1918"/>
      <c r="BM180" s="1532"/>
      <c r="BN180" s="1919"/>
      <c r="BO180" s="603"/>
      <c r="BP180" s="602"/>
      <c r="BQ180" s="602"/>
      <c r="BR180" s="602"/>
      <c r="BS180" s="604"/>
      <c r="BT180" s="605"/>
      <c r="BU180" s="602"/>
      <c r="BV180" s="602"/>
      <c r="BW180" s="606"/>
      <c r="BX180" s="607"/>
      <c r="BY180" s="608"/>
      <c r="BZ180" s="608"/>
      <c r="CA180"/>
      <c r="CB180" s="600"/>
    </row>
    <row r="181" spans="2:80" ht="12" customHeight="1" x14ac:dyDescent="0.35">
      <c r="B181" s="590" t="e">
        <f>MATCH(C181,'360SpcLdsCSV'!$C$6:$C$500,0)</f>
        <v>#N/A</v>
      </c>
      <c r="C181" s="590">
        <f>'360SpcLdsCSV'!C130</f>
        <v>0</v>
      </c>
      <c r="D181" s="590" t="str">
        <f t="shared" si="163"/>
        <v>0</v>
      </c>
      <c r="E181" s="590" t="e">
        <f t="shared" si="164"/>
        <v>#VALUE!</v>
      </c>
      <c r="F181" s="590" t="e">
        <f t="shared" si="165"/>
        <v>#VALUE!</v>
      </c>
      <c r="G181" s="590" t="str">
        <f t="shared" si="166"/>
        <v>0</v>
      </c>
      <c r="H181" s="590" t="e">
        <f ca="1">OFFSET('360SpcLdsCSV'!$B$5,$B181,H$51)</f>
        <v>#N/A</v>
      </c>
      <c r="I181" s="590" t="e">
        <f ca="1">OFFSET('360SpcLdsCSV'!$B$5,$B181,I$51)</f>
        <v>#N/A</v>
      </c>
      <c r="J181" s="590" t="e">
        <f ca="1">OFFSET('360SpcLdsCSV'!$B$5,$B181,J$51)</f>
        <v>#N/A</v>
      </c>
      <c r="K181" s="590" t="e">
        <f ca="1">OFFSET('360SpcLdsCSV'!$B$5,$B181,K$51)</f>
        <v>#N/A</v>
      </c>
      <c r="L181" s="590" t="e">
        <f ca="1">OFFSET('360SpcLdsCSV'!$B$5,$B181,L$51)</f>
        <v>#N/A</v>
      </c>
      <c r="M181" s="592" t="e">
        <f ca="1">OFFSET('360SpcLdsCSV'!$B$5,$B181,M$51)</f>
        <v>#N/A</v>
      </c>
      <c r="N181" s="592" t="e">
        <f ca="1">OFFSET('360SpcLdsCSV'!$B$5,$B181,N$51)</f>
        <v>#N/A</v>
      </c>
      <c r="O181" s="592" t="e">
        <f ca="1">OFFSET('360SpcLdsCSV'!$B$5,$B181,O$51)</f>
        <v>#N/A</v>
      </c>
      <c r="P181" s="592" t="e">
        <f ca="1">OFFSET('360SpcLdsCSV'!$B$5,$B181,P$51)</f>
        <v>#N/A</v>
      </c>
      <c r="Q181" s="592" t="e">
        <f ca="1">OFFSET('360SpcLdsCSV'!$B$5,$B181,Q$51)</f>
        <v>#N/A</v>
      </c>
      <c r="R181" s="592" t="e">
        <f ca="1">OFFSET('360SpcLdsCSV'!$B$5,$B181,R$51)</f>
        <v>#N/A</v>
      </c>
      <c r="S181" s="592" t="e">
        <f ca="1">OFFSET('360SpcLdsCSV'!$B$5,$B181,S$51)</f>
        <v>#N/A</v>
      </c>
      <c r="T181" s="592" t="e">
        <f ca="1">OFFSET('360SpcLdsCSV'!$B$5,$B181,T$51)</f>
        <v>#N/A</v>
      </c>
      <c r="U181" s="592" t="e">
        <f ca="1">OFFSET('360SpcLdsCSV'!$B$5,$B181,U$51)</f>
        <v>#N/A</v>
      </c>
      <c r="V181" s="592" t="e">
        <f ca="1">OFFSET('360SpcLdsCSV'!$B$5,$B181,V$51)</f>
        <v>#N/A</v>
      </c>
      <c r="W181" s="592" t="e">
        <f ca="1">OFFSET('360SpcLdsCSV'!$B$5,$B181,W$51)</f>
        <v>#N/A</v>
      </c>
      <c r="X181" s="592" t="e">
        <f ca="1">OFFSET('360SpcLdsCSV'!$B$5,$B181,X$51)</f>
        <v>#N/A</v>
      </c>
      <c r="Y181" s="592" t="e">
        <f ca="1">OFFSET('360SpcLdsCSV'!$B$5,$B181,Y$51)</f>
        <v>#N/A</v>
      </c>
      <c r="Z181" s="592" t="e">
        <f ca="1">OFFSET('360SpcLdsCSV'!$B$5,$B181,Z$51)</f>
        <v>#N/A</v>
      </c>
      <c r="AA181" s="592" t="e">
        <f ca="1">OFFSET('360SpcLdsCSV'!$B$5,$B181,AA$51)</f>
        <v>#N/A</v>
      </c>
      <c r="AB181" s="592" t="e">
        <f ca="1">OFFSET('360SpcLdsCSV'!$B$5,$B181,AB$51)</f>
        <v>#N/A</v>
      </c>
      <c r="AC181" s="592" t="e">
        <f ca="1">OFFSET('360SpcLdsCSV'!$B$5,$B181,AC$51)</f>
        <v>#N/A</v>
      </c>
      <c r="AD181" s="592" t="e">
        <f ca="1">OFFSET('360SpcLdsCSV'!$B$5,$B181,AD$51)</f>
        <v>#N/A</v>
      </c>
      <c r="AE181" s="592" t="e">
        <f ca="1">OFFSET('360SpcLdsCSV'!$B$5,$B181,AE$51)</f>
        <v>#N/A</v>
      </c>
      <c r="AF181" s="592" t="e">
        <f ca="1">OFFSET('360SpcLdsCSV'!$B$5,$B181,AF$51)</f>
        <v>#N/A</v>
      </c>
      <c r="AG181" s="592" t="e">
        <f ca="1">OFFSET('360SpcLdsCSV'!$B$5,$B181,AG$51)</f>
        <v>#N/A</v>
      </c>
      <c r="AH181" s="592" t="e">
        <f ca="1">OFFSET('360SpcLdsCSV'!$B$5,$B181,AH$51)</f>
        <v>#N/A</v>
      </c>
      <c r="AI181" s="592" t="e">
        <f ca="1">OFFSET('360SpcLdsCSV'!$B$5,$B181,AI$51)</f>
        <v>#N/A</v>
      </c>
      <c r="AJ181" s="592" t="e" cm="1">
        <f t="array" ref="AJ181">_xlfn.IFS($F181="Resi",1,$F181="Racc",0,$F181="Coml",0,$F181="Prkg",0)</f>
        <v>#VALUE!</v>
      </c>
      <c r="AK181" s="596"/>
      <c r="AL181" s="590" t="e">
        <f ca="1">OFFSET('360SpcLdsCSV'!$B$5,$B181,AL$51)</f>
        <v>#N/A</v>
      </c>
      <c r="AM181" s="663" t="e">
        <f t="shared" ca="1" si="139"/>
        <v>#N/A</v>
      </c>
      <c r="AN181" s="663" t="e">
        <f t="shared" ca="1" si="140"/>
        <v>#N/A</v>
      </c>
      <c r="AO181" s="663" t="e">
        <f t="shared" ca="1" si="167"/>
        <v>#N/A</v>
      </c>
      <c r="AP181" s="663" t="e">
        <f t="shared" ca="1" si="141"/>
        <v>#N/A</v>
      </c>
      <c r="AQ181" s="663" t="e">
        <f t="shared" ca="1" si="142"/>
        <v>#N/A</v>
      </c>
      <c r="AR181" s="663" t="e">
        <f t="shared" ca="1" si="143"/>
        <v>#N/A</v>
      </c>
      <c r="AS181" s="663" t="e">
        <f t="shared" ca="1" si="144"/>
        <v>#N/A</v>
      </c>
      <c r="AT181" s="663" t="e">
        <f t="shared" ca="1" si="145"/>
        <v>#N/A</v>
      </c>
      <c r="AU181" s="663" t="e">
        <f t="shared" ca="1" si="146"/>
        <v>#N/A</v>
      </c>
      <c r="AV181" s="663" t="e">
        <f t="shared" ca="1" si="147"/>
        <v>#N/A</v>
      </c>
      <c r="AW181" s="663" t="e">
        <f t="shared" ca="1" si="148"/>
        <v>#N/A</v>
      </c>
      <c r="AX181" s="663" t="e">
        <f t="shared" ca="1" si="149"/>
        <v>#N/A</v>
      </c>
      <c r="AY181" s="663" t="e">
        <f t="shared" ca="1" si="150"/>
        <v>#N/A</v>
      </c>
      <c r="AZ181" s="663" t="e">
        <f t="shared" ca="1" si="151"/>
        <v>#N/A</v>
      </c>
      <c r="BA181" s="663" t="e">
        <f t="shared" ca="1" si="152"/>
        <v>#N/A</v>
      </c>
      <c r="BB181" s="663" t="e">
        <f t="shared" ca="1" si="153"/>
        <v>#N/A</v>
      </c>
      <c r="BC181" s="663" t="e">
        <f t="shared" ca="1" si="154"/>
        <v>#N/A</v>
      </c>
      <c r="BD181" s="663" t="e">
        <f t="shared" ca="1" si="155"/>
        <v>#N/A</v>
      </c>
      <c r="BE181" s="663" t="e">
        <f t="shared" ca="1" si="156"/>
        <v>#N/A</v>
      </c>
      <c r="BF181" s="663" t="e">
        <f t="shared" ca="1" si="157"/>
        <v>#N/A</v>
      </c>
      <c r="BG181" s="663" t="e">
        <f t="shared" ca="1" si="158"/>
        <v>#N/A</v>
      </c>
      <c r="BH181" s="663" t="e">
        <f t="shared" ca="1" si="159"/>
        <v>#N/A</v>
      </c>
      <c r="BI181" s="663" t="e">
        <f t="shared" ca="1" si="160"/>
        <v>#N/A</v>
      </c>
      <c r="BJ181" s="663" t="e">
        <f t="shared" ca="1" si="161"/>
        <v>#N/A</v>
      </c>
      <c r="BK181" s="663" t="e">
        <f t="shared" ca="1" si="162"/>
        <v>#N/A</v>
      </c>
      <c r="BL181" s="1918"/>
      <c r="BM181" s="1532"/>
      <c r="BN181" s="1919"/>
      <c r="BO181" s="603"/>
      <c r="BP181" s="602"/>
      <c r="BQ181" s="602"/>
      <c r="BR181" s="602"/>
      <c r="BS181" s="604"/>
      <c r="BT181" s="605"/>
      <c r="BU181" s="602"/>
      <c r="BV181" s="602"/>
      <c r="BW181" s="606"/>
      <c r="BX181" s="607"/>
      <c r="BY181" s="608"/>
      <c r="BZ181" s="608"/>
      <c r="CA181"/>
      <c r="CB181" s="600"/>
    </row>
    <row r="182" spans="2:80" ht="12" customHeight="1" x14ac:dyDescent="0.35">
      <c r="B182" s="590" t="e">
        <f>MATCH(C182,'360SpcLdsCSV'!$C$6:$C$500,0)</f>
        <v>#N/A</v>
      </c>
      <c r="C182" s="590">
        <f>'360SpcLdsCSV'!C131</f>
        <v>0</v>
      </c>
      <c r="D182" s="590" t="str">
        <f t="shared" si="163"/>
        <v>0</v>
      </c>
      <c r="E182" s="590" t="e">
        <f t="shared" si="164"/>
        <v>#VALUE!</v>
      </c>
      <c r="F182" s="590" t="e">
        <f t="shared" si="165"/>
        <v>#VALUE!</v>
      </c>
      <c r="G182" s="590" t="str">
        <f t="shared" si="166"/>
        <v>0</v>
      </c>
      <c r="H182" s="590" t="e">
        <f ca="1">OFFSET('360SpcLdsCSV'!$B$5,$B182,H$51)</f>
        <v>#N/A</v>
      </c>
      <c r="I182" s="590" t="e">
        <f ca="1">OFFSET('360SpcLdsCSV'!$B$5,$B182,I$51)</f>
        <v>#N/A</v>
      </c>
      <c r="J182" s="590" t="e">
        <f ca="1">OFFSET('360SpcLdsCSV'!$B$5,$B182,J$51)</f>
        <v>#N/A</v>
      </c>
      <c r="K182" s="590" t="e">
        <f ca="1">OFFSET('360SpcLdsCSV'!$B$5,$B182,K$51)</f>
        <v>#N/A</v>
      </c>
      <c r="L182" s="590" t="e">
        <f ca="1">OFFSET('360SpcLdsCSV'!$B$5,$B182,L$51)</f>
        <v>#N/A</v>
      </c>
      <c r="M182" s="592" t="e">
        <f ca="1">OFFSET('360SpcLdsCSV'!$B$5,$B182,M$51)</f>
        <v>#N/A</v>
      </c>
      <c r="N182" s="592" t="e">
        <f ca="1">OFFSET('360SpcLdsCSV'!$B$5,$B182,N$51)</f>
        <v>#N/A</v>
      </c>
      <c r="O182" s="592" t="e">
        <f ca="1">OFFSET('360SpcLdsCSV'!$B$5,$B182,O$51)</f>
        <v>#N/A</v>
      </c>
      <c r="P182" s="592" t="e">
        <f ca="1">OFFSET('360SpcLdsCSV'!$B$5,$B182,P$51)</f>
        <v>#N/A</v>
      </c>
      <c r="Q182" s="592" t="e">
        <f ca="1">OFFSET('360SpcLdsCSV'!$B$5,$B182,Q$51)</f>
        <v>#N/A</v>
      </c>
      <c r="R182" s="592" t="e">
        <f ca="1">OFFSET('360SpcLdsCSV'!$B$5,$B182,R$51)</f>
        <v>#N/A</v>
      </c>
      <c r="S182" s="592" t="e">
        <f ca="1">OFFSET('360SpcLdsCSV'!$B$5,$B182,S$51)</f>
        <v>#N/A</v>
      </c>
      <c r="T182" s="592" t="e">
        <f ca="1">OFFSET('360SpcLdsCSV'!$B$5,$B182,T$51)</f>
        <v>#N/A</v>
      </c>
      <c r="U182" s="592" t="e">
        <f ca="1">OFFSET('360SpcLdsCSV'!$B$5,$B182,U$51)</f>
        <v>#N/A</v>
      </c>
      <c r="V182" s="592" t="e">
        <f ca="1">OFFSET('360SpcLdsCSV'!$B$5,$B182,V$51)</f>
        <v>#N/A</v>
      </c>
      <c r="W182" s="592" t="e">
        <f ca="1">OFFSET('360SpcLdsCSV'!$B$5,$B182,W$51)</f>
        <v>#N/A</v>
      </c>
      <c r="X182" s="592" t="e">
        <f ca="1">OFFSET('360SpcLdsCSV'!$B$5,$B182,X$51)</f>
        <v>#N/A</v>
      </c>
      <c r="Y182" s="592" t="e">
        <f ca="1">OFFSET('360SpcLdsCSV'!$B$5,$B182,Y$51)</f>
        <v>#N/A</v>
      </c>
      <c r="Z182" s="592" t="e">
        <f ca="1">OFFSET('360SpcLdsCSV'!$B$5,$B182,Z$51)</f>
        <v>#N/A</v>
      </c>
      <c r="AA182" s="592" t="e">
        <f ca="1">OFFSET('360SpcLdsCSV'!$B$5,$B182,AA$51)</f>
        <v>#N/A</v>
      </c>
      <c r="AB182" s="592" t="e">
        <f ca="1">OFFSET('360SpcLdsCSV'!$B$5,$B182,AB$51)</f>
        <v>#N/A</v>
      </c>
      <c r="AC182" s="592" t="e">
        <f ca="1">OFFSET('360SpcLdsCSV'!$B$5,$B182,AC$51)</f>
        <v>#N/A</v>
      </c>
      <c r="AD182" s="592" t="e">
        <f ca="1">OFFSET('360SpcLdsCSV'!$B$5,$B182,AD$51)</f>
        <v>#N/A</v>
      </c>
      <c r="AE182" s="592" t="e">
        <f ca="1">OFFSET('360SpcLdsCSV'!$B$5,$B182,AE$51)</f>
        <v>#N/A</v>
      </c>
      <c r="AF182" s="592" t="e">
        <f ca="1">OFFSET('360SpcLdsCSV'!$B$5,$B182,AF$51)</f>
        <v>#N/A</v>
      </c>
      <c r="AG182" s="592" t="e">
        <f ca="1">OFFSET('360SpcLdsCSV'!$B$5,$B182,AG$51)</f>
        <v>#N/A</v>
      </c>
      <c r="AH182" s="592" t="e">
        <f ca="1">OFFSET('360SpcLdsCSV'!$B$5,$B182,AH$51)</f>
        <v>#N/A</v>
      </c>
      <c r="AI182" s="592" t="e">
        <f ca="1">OFFSET('360SpcLdsCSV'!$B$5,$B182,AI$51)</f>
        <v>#N/A</v>
      </c>
      <c r="AJ182" s="592" t="e" cm="1">
        <f t="array" ref="AJ182">_xlfn.IFS($F182="Resi",1,$F182="Racc",0,$F182="Coml",0,$F182="Prkg",0)</f>
        <v>#VALUE!</v>
      </c>
      <c r="AK182" s="596"/>
      <c r="AL182" s="590" t="e">
        <f ca="1">OFFSET('360SpcLdsCSV'!$B$5,$B182,AL$51)</f>
        <v>#N/A</v>
      </c>
      <c r="AM182" s="663" t="e">
        <f t="shared" ca="1" si="139"/>
        <v>#N/A</v>
      </c>
      <c r="AN182" s="663" t="e">
        <f t="shared" ca="1" si="140"/>
        <v>#N/A</v>
      </c>
      <c r="AO182" s="663" t="e">
        <f t="shared" ca="1" si="167"/>
        <v>#N/A</v>
      </c>
      <c r="AP182" s="663" t="e">
        <f t="shared" ca="1" si="141"/>
        <v>#N/A</v>
      </c>
      <c r="AQ182" s="663" t="e">
        <f t="shared" ca="1" si="142"/>
        <v>#N/A</v>
      </c>
      <c r="AR182" s="663" t="e">
        <f t="shared" ca="1" si="143"/>
        <v>#N/A</v>
      </c>
      <c r="AS182" s="663" t="e">
        <f t="shared" ca="1" si="144"/>
        <v>#N/A</v>
      </c>
      <c r="AT182" s="663" t="e">
        <f t="shared" ca="1" si="145"/>
        <v>#N/A</v>
      </c>
      <c r="AU182" s="663" t="e">
        <f t="shared" ca="1" si="146"/>
        <v>#N/A</v>
      </c>
      <c r="AV182" s="663" t="e">
        <f t="shared" ca="1" si="147"/>
        <v>#N/A</v>
      </c>
      <c r="AW182" s="663" t="e">
        <f t="shared" ca="1" si="148"/>
        <v>#N/A</v>
      </c>
      <c r="AX182" s="663" t="e">
        <f t="shared" ca="1" si="149"/>
        <v>#N/A</v>
      </c>
      <c r="AY182" s="663" t="e">
        <f t="shared" ca="1" si="150"/>
        <v>#N/A</v>
      </c>
      <c r="AZ182" s="663" t="e">
        <f t="shared" ca="1" si="151"/>
        <v>#N/A</v>
      </c>
      <c r="BA182" s="663" t="e">
        <f t="shared" ca="1" si="152"/>
        <v>#N/A</v>
      </c>
      <c r="BB182" s="663" t="e">
        <f t="shared" ca="1" si="153"/>
        <v>#N/A</v>
      </c>
      <c r="BC182" s="663" t="e">
        <f t="shared" ca="1" si="154"/>
        <v>#N/A</v>
      </c>
      <c r="BD182" s="663" t="e">
        <f t="shared" ca="1" si="155"/>
        <v>#N/A</v>
      </c>
      <c r="BE182" s="663" t="e">
        <f t="shared" ca="1" si="156"/>
        <v>#N/A</v>
      </c>
      <c r="BF182" s="663" t="e">
        <f t="shared" ca="1" si="157"/>
        <v>#N/A</v>
      </c>
      <c r="BG182" s="663" t="e">
        <f t="shared" ca="1" si="158"/>
        <v>#N/A</v>
      </c>
      <c r="BH182" s="663" t="e">
        <f t="shared" ca="1" si="159"/>
        <v>#N/A</v>
      </c>
      <c r="BI182" s="663" t="e">
        <f t="shared" ca="1" si="160"/>
        <v>#N/A</v>
      </c>
      <c r="BJ182" s="663" t="e">
        <f t="shared" ca="1" si="161"/>
        <v>#N/A</v>
      </c>
      <c r="BK182" s="663" t="e">
        <f t="shared" ca="1" si="162"/>
        <v>#N/A</v>
      </c>
      <c r="BL182" s="1918"/>
      <c r="BM182" s="1532"/>
      <c r="BN182" s="1919"/>
      <c r="BO182" s="603"/>
      <c r="BP182" s="602"/>
      <c r="BQ182" s="602"/>
      <c r="BR182" s="602"/>
      <c r="BS182" s="604"/>
      <c r="BT182" s="605"/>
      <c r="BU182" s="602"/>
      <c r="BV182" s="602"/>
      <c r="BW182" s="606"/>
      <c r="BX182" s="607"/>
      <c r="BY182" s="608"/>
      <c r="BZ182" s="608"/>
      <c r="CA182"/>
      <c r="CB182" s="600"/>
    </row>
    <row r="183" spans="2:80" ht="12" customHeight="1" x14ac:dyDescent="0.35">
      <c r="B183" s="590" t="e">
        <f>MATCH(C183,'360SpcLdsCSV'!$C$6:$C$500,0)</f>
        <v>#N/A</v>
      </c>
      <c r="C183" s="590">
        <f>'360SpcLdsCSV'!C132</f>
        <v>0</v>
      </c>
      <c r="D183" s="590" t="str">
        <f t="shared" si="163"/>
        <v>0</v>
      </c>
      <c r="E183" s="590" t="e">
        <f t="shared" si="164"/>
        <v>#VALUE!</v>
      </c>
      <c r="F183" s="590" t="e">
        <f t="shared" si="165"/>
        <v>#VALUE!</v>
      </c>
      <c r="G183" s="590" t="str">
        <f t="shared" si="166"/>
        <v>0</v>
      </c>
      <c r="H183" s="590" t="e">
        <f ca="1">OFFSET('360SpcLdsCSV'!$B$5,$B183,H$51)</f>
        <v>#N/A</v>
      </c>
      <c r="I183" s="590" t="e">
        <f ca="1">OFFSET('360SpcLdsCSV'!$B$5,$B183,I$51)</f>
        <v>#N/A</v>
      </c>
      <c r="J183" s="590" t="e">
        <f ca="1">OFFSET('360SpcLdsCSV'!$B$5,$B183,J$51)</f>
        <v>#N/A</v>
      </c>
      <c r="K183" s="590" t="e">
        <f ca="1">OFFSET('360SpcLdsCSV'!$B$5,$B183,K$51)</f>
        <v>#N/A</v>
      </c>
      <c r="L183" s="590" t="e">
        <f ca="1">OFFSET('360SpcLdsCSV'!$B$5,$B183,L$51)</f>
        <v>#N/A</v>
      </c>
      <c r="M183" s="592" t="e">
        <f ca="1">OFFSET('360SpcLdsCSV'!$B$5,$B183,M$51)</f>
        <v>#N/A</v>
      </c>
      <c r="N183" s="592" t="e">
        <f ca="1">OFFSET('360SpcLdsCSV'!$B$5,$B183,N$51)</f>
        <v>#N/A</v>
      </c>
      <c r="O183" s="592" t="e">
        <f ca="1">OFFSET('360SpcLdsCSV'!$B$5,$B183,O$51)</f>
        <v>#N/A</v>
      </c>
      <c r="P183" s="592" t="e">
        <f ca="1">OFFSET('360SpcLdsCSV'!$B$5,$B183,P$51)</f>
        <v>#N/A</v>
      </c>
      <c r="Q183" s="592" t="e">
        <f ca="1">OFFSET('360SpcLdsCSV'!$B$5,$B183,Q$51)</f>
        <v>#N/A</v>
      </c>
      <c r="R183" s="592" t="e">
        <f ca="1">OFFSET('360SpcLdsCSV'!$B$5,$B183,R$51)</f>
        <v>#N/A</v>
      </c>
      <c r="S183" s="592" t="e">
        <f ca="1">OFFSET('360SpcLdsCSV'!$B$5,$B183,S$51)</f>
        <v>#N/A</v>
      </c>
      <c r="T183" s="592" t="e">
        <f ca="1">OFFSET('360SpcLdsCSV'!$B$5,$B183,T$51)</f>
        <v>#N/A</v>
      </c>
      <c r="U183" s="592" t="e">
        <f ca="1">OFFSET('360SpcLdsCSV'!$B$5,$B183,U$51)</f>
        <v>#N/A</v>
      </c>
      <c r="V183" s="592" t="e">
        <f ca="1">OFFSET('360SpcLdsCSV'!$B$5,$B183,V$51)</f>
        <v>#N/A</v>
      </c>
      <c r="W183" s="592" t="e">
        <f ca="1">OFFSET('360SpcLdsCSV'!$B$5,$B183,W$51)</f>
        <v>#N/A</v>
      </c>
      <c r="X183" s="592" t="e">
        <f ca="1">OFFSET('360SpcLdsCSV'!$B$5,$B183,X$51)</f>
        <v>#N/A</v>
      </c>
      <c r="Y183" s="592" t="e">
        <f ca="1">OFFSET('360SpcLdsCSV'!$B$5,$B183,Y$51)</f>
        <v>#N/A</v>
      </c>
      <c r="Z183" s="592" t="e">
        <f ca="1">OFFSET('360SpcLdsCSV'!$B$5,$B183,Z$51)</f>
        <v>#N/A</v>
      </c>
      <c r="AA183" s="592" t="e">
        <f ca="1">OFFSET('360SpcLdsCSV'!$B$5,$B183,AA$51)</f>
        <v>#N/A</v>
      </c>
      <c r="AB183" s="592" t="e">
        <f ca="1">OFFSET('360SpcLdsCSV'!$B$5,$B183,AB$51)</f>
        <v>#N/A</v>
      </c>
      <c r="AC183" s="592" t="e">
        <f ca="1">OFFSET('360SpcLdsCSV'!$B$5,$B183,AC$51)</f>
        <v>#N/A</v>
      </c>
      <c r="AD183" s="592" t="e">
        <f ca="1">OFFSET('360SpcLdsCSV'!$B$5,$B183,AD$51)</f>
        <v>#N/A</v>
      </c>
      <c r="AE183" s="592" t="e">
        <f ca="1">OFFSET('360SpcLdsCSV'!$B$5,$B183,AE$51)</f>
        <v>#N/A</v>
      </c>
      <c r="AF183" s="592" t="e">
        <f ca="1">OFFSET('360SpcLdsCSV'!$B$5,$B183,AF$51)</f>
        <v>#N/A</v>
      </c>
      <c r="AG183" s="592" t="e">
        <f ca="1">OFFSET('360SpcLdsCSV'!$B$5,$B183,AG$51)</f>
        <v>#N/A</v>
      </c>
      <c r="AH183" s="592" t="e">
        <f ca="1">OFFSET('360SpcLdsCSV'!$B$5,$B183,AH$51)</f>
        <v>#N/A</v>
      </c>
      <c r="AI183" s="592" t="e">
        <f ca="1">OFFSET('360SpcLdsCSV'!$B$5,$B183,AI$51)</f>
        <v>#N/A</v>
      </c>
      <c r="AJ183" s="592" t="e" cm="1">
        <f t="array" ref="AJ183">_xlfn.IFS($F183="Resi",1,$F183="Racc",0,$F183="Coml",0,$F183="Prkg",0)</f>
        <v>#VALUE!</v>
      </c>
      <c r="AK183" s="596"/>
      <c r="AL183" s="590" t="e">
        <f ca="1">OFFSET('360SpcLdsCSV'!$B$5,$B183,AL$51)</f>
        <v>#N/A</v>
      </c>
      <c r="AM183" s="663" t="e">
        <f t="shared" ca="1" si="139"/>
        <v>#N/A</v>
      </c>
      <c r="AN183" s="663" t="e">
        <f t="shared" ca="1" si="140"/>
        <v>#N/A</v>
      </c>
      <c r="AO183" s="663" t="e">
        <f t="shared" ca="1" si="167"/>
        <v>#N/A</v>
      </c>
      <c r="AP183" s="663" t="e">
        <f t="shared" ca="1" si="141"/>
        <v>#N/A</v>
      </c>
      <c r="AQ183" s="663" t="e">
        <f t="shared" ca="1" si="142"/>
        <v>#N/A</v>
      </c>
      <c r="AR183" s="663" t="e">
        <f t="shared" ca="1" si="143"/>
        <v>#N/A</v>
      </c>
      <c r="AS183" s="663" t="e">
        <f t="shared" ca="1" si="144"/>
        <v>#N/A</v>
      </c>
      <c r="AT183" s="663" t="e">
        <f t="shared" ca="1" si="145"/>
        <v>#N/A</v>
      </c>
      <c r="AU183" s="663" t="e">
        <f t="shared" ca="1" si="146"/>
        <v>#N/A</v>
      </c>
      <c r="AV183" s="663" t="e">
        <f t="shared" ca="1" si="147"/>
        <v>#N/A</v>
      </c>
      <c r="AW183" s="663" t="e">
        <f t="shared" ca="1" si="148"/>
        <v>#N/A</v>
      </c>
      <c r="AX183" s="663" t="e">
        <f t="shared" ca="1" si="149"/>
        <v>#N/A</v>
      </c>
      <c r="AY183" s="663" t="e">
        <f t="shared" ca="1" si="150"/>
        <v>#N/A</v>
      </c>
      <c r="AZ183" s="663" t="e">
        <f t="shared" ca="1" si="151"/>
        <v>#N/A</v>
      </c>
      <c r="BA183" s="663" t="e">
        <f t="shared" ca="1" si="152"/>
        <v>#N/A</v>
      </c>
      <c r="BB183" s="663" t="e">
        <f t="shared" ca="1" si="153"/>
        <v>#N/A</v>
      </c>
      <c r="BC183" s="663" t="e">
        <f t="shared" ca="1" si="154"/>
        <v>#N/A</v>
      </c>
      <c r="BD183" s="663" t="e">
        <f t="shared" ca="1" si="155"/>
        <v>#N/A</v>
      </c>
      <c r="BE183" s="663" t="e">
        <f t="shared" ca="1" si="156"/>
        <v>#N/A</v>
      </c>
      <c r="BF183" s="663" t="e">
        <f t="shared" ca="1" si="157"/>
        <v>#N/A</v>
      </c>
      <c r="BG183" s="663" t="e">
        <f t="shared" ca="1" si="158"/>
        <v>#N/A</v>
      </c>
      <c r="BH183" s="663" t="e">
        <f t="shared" ca="1" si="159"/>
        <v>#N/A</v>
      </c>
      <c r="BI183" s="663" t="e">
        <f t="shared" ca="1" si="160"/>
        <v>#N/A</v>
      </c>
      <c r="BJ183" s="663" t="e">
        <f t="shared" ca="1" si="161"/>
        <v>#N/A</v>
      </c>
      <c r="BK183" s="663" t="e">
        <f t="shared" ca="1" si="162"/>
        <v>#N/A</v>
      </c>
      <c r="BL183" s="1918"/>
      <c r="BM183" s="1532"/>
      <c r="BN183" s="1919"/>
      <c r="BO183" s="603"/>
      <c r="BP183" s="602"/>
      <c r="BQ183" s="602"/>
      <c r="BR183" s="602"/>
      <c r="BS183" s="604"/>
      <c r="BT183" s="605"/>
      <c r="BU183" s="602"/>
      <c r="BV183" s="602"/>
      <c r="BW183" s="606"/>
      <c r="BX183" s="607"/>
      <c r="BY183" s="608"/>
      <c r="BZ183" s="608"/>
      <c r="CA183"/>
      <c r="CB183" s="600"/>
    </row>
    <row r="184" spans="2:80" ht="12" customHeight="1" x14ac:dyDescent="0.35">
      <c r="B184" s="590" t="e">
        <f>MATCH(C184,'360SpcLdsCSV'!$C$6:$C$500,0)</f>
        <v>#N/A</v>
      </c>
      <c r="C184" s="590">
        <f>'360SpcLdsCSV'!C133</f>
        <v>0</v>
      </c>
      <c r="D184" s="590" t="str">
        <f t="shared" si="163"/>
        <v>0</v>
      </c>
      <c r="E184" s="590" t="e">
        <f t="shared" si="164"/>
        <v>#VALUE!</v>
      </c>
      <c r="F184" s="590" t="e">
        <f t="shared" si="165"/>
        <v>#VALUE!</v>
      </c>
      <c r="G184" s="590" t="str">
        <f t="shared" si="166"/>
        <v>0</v>
      </c>
      <c r="H184" s="590" t="e">
        <f ca="1">OFFSET('360SpcLdsCSV'!$B$5,$B184,H$51)</f>
        <v>#N/A</v>
      </c>
      <c r="I184" s="590" t="e">
        <f ca="1">OFFSET('360SpcLdsCSV'!$B$5,$B184,I$51)</f>
        <v>#N/A</v>
      </c>
      <c r="J184" s="590" t="e">
        <f ca="1">OFFSET('360SpcLdsCSV'!$B$5,$B184,J$51)</f>
        <v>#N/A</v>
      </c>
      <c r="K184" s="590" t="e">
        <f ca="1">OFFSET('360SpcLdsCSV'!$B$5,$B184,K$51)</f>
        <v>#N/A</v>
      </c>
      <c r="L184" s="590" t="e">
        <f ca="1">OFFSET('360SpcLdsCSV'!$B$5,$B184,L$51)</f>
        <v>#N/A</v>
      </c>
      <c r="M184" s="592" t="e">
        <f ca="1">OFFSET('360SpcLdsCSV'!$B$5,$B184,M$51)</f>
        <v>#N/A</v>
      </c>
      <c r="N184" s="592" t="e">
        <f ca="1">OFFSET('360SpcLdsCSV'!$B$5,$B184,N$51)</f>
        <v>#N/A</v>
      </c>
      <c r="O184" s="592" t="e">
        <f ca="1">OFFSET('360SpcLdsCSV'!$B$5,$B184,O$51)</f>
        <v>#N/A</v>
      </c>
      <c r="P184" s="592" t="e">
        <f ca="1">OFFSET('360SpcLdsCSV'!$B$5,$B184,P$51)</f>
        <v>#N/A</v>
      </c>
      <c r="Q184" s="592" t="e">
        <f ca="1">OFFSET('360SpcLdsCSV'!$B$5,$B184,Q$51)</f>
        <v>#N/A</v>
      </c>
      <c r="R184" s="592" t="e">
        <f ca="1">OFFSET('360SpcLdsCSV'!$B$5,$B184,R$51)</f>
        <v>#N/A</v>
      </c>
      <c r="S184" s="592" t="e">
        <f ca="1">OFFSET('360SpcLdsCSV'!$B$5,$B184,S$51)</f>
        <v>#N/A</v>
      </c>
      <c r="T184" s="592" t="e">
        <f ca="1">OFFSET('360SpcLdsCSV'!$B$5,$B184,T$51)</f>
        <v>#N/A</v>
      </c>
      <c r="U184" s="592" t="e">
        <f ca="1">OFFSET('360SpcLdsCSV'!$B$5,$B184,U$51)</f>
        <v>#N/A</v>
      </c>
      <c r="V184" s="592" t="e">
        <f ca="1">OFFSET('360SpcLdsCSV'!$B$5,$B184,V$51)</f>
        <v>#N/A</v>
      </c>
      <c r="W184" s="592" t="e">
        <f ca="1">OFFSET('360SpcLdsCSV'!$B$5,$B184,W$51)</f>
        <v>#N/A</v>
      </c>
      <c r="X184" s="592" t="e">
        <f ca="1">OFFSET('360SpcLdsCSV'!$B$5,$B184,X$51)</f>
        <v>#N/A</v>
      </c>
      <c r="Y184" s="592" t="e">
        <f ca="1">OFFSET('360SpcLdsCSV'!$B$5,$B184,Y$51)</f>
        <v>#N/A</v>
      </c>
      <c r="Z184" s="592" t="e">
        <f ca="1">OFFSET('360SpcLdsCSV'!$B$5,$B184,Z$51)</f>
        <v>#N/A</v>
      </c>
      <c r="AA184" s="592" t="e">
        <f ca="1">OFFSET('360SpcLdsCSV'!$B$5,$B184,AA$51)</f>
        <v>#N/A</v>
      </c>
      <c r="AB184" s="592" t="e">
        <f ca="1">OFFSET('360SpcLdsCSV'!$B$5,$B184,AB$51)</f>
        <v>#N/A</v>
      </c>
      <c r="AC184" s="592" t="e">
        <f ca="1">OFFSET('360SpcLdsCSV'!$B$5,$B184,AC$51)</f>
        <v>#N/A</v>
      </c>
      <c r="AD184" s="592" t="e">
        <f ca="1">OFFSET('360SpcLdsCSV'!$B$5,$B184,AD$51)</f>
        <v>#N/A</v>
      </c>
      <c r="AE184" s="592" t="e">
        <f ca="1">OFFSET('360SpcLdsCSV'!$B$5,$B184,AE$51)</f>
        <v>#N/A</v>
      </c>
      <c r="AF184" s="592" t="e">
        <f ca="1">OFFSET('360SpcLdsCSV'!$B$5,$B184,AF$51)</f>
        <v>#N/A</v>
      </c>
      <c r="AG184" s="592" t="e">
        <f ca="1">OFFSET('360SpcLdsCSV'!$B$5,$B184,AG$51)</f>
        <v>#N/A</v>
      </c>
      <c r="AH184" s="592" t="e">
        <f ca="1">OFFSET('360SpcLdsCSV'!$B$5,$B184,AH$51)</f>
        <v>#N/A</v>
      </c>
      <c r="AI184" s="592" t="e">
        <f ca="1">OFFSET('360SpcLdsCSV'!$B$5,$B184,AI$51)</f>
        <v>#N/A</v>
      </c>
      <c r="AJ184" s="592" t="e" cm="1">
        <f t="array" ref="AJ184">_xlfn.IFS($F184="Resi",1,$F184="Racc",0,$F184="Coml",0,$F184="Prkg",0)</f>
        <v>#VALUE!</v>
      </c>
      <c r="AK184" s="596"/>
      <c r="AL184" s="590" t="e">
        <f ca="1">OFFSET('360SpcLdsCSV'!$B$5,$B184,AL$51)</f>
        <v>#N/A</v>
      </c>
      <c r="AM184" s="663" t="e">
        <f t="shared" ca="1" si="139"/>
        <v>#N/A</v>
      </c>
      <c r="AN184" s="663" t="e">
        <f t="shared" ca="1" si="140"/>
        <v>#N/A</v>
      </c>
      <c r="AO184" s="663" t="e">
        <f t="shared" ca="1" si="167"/>
        <v>#N/A</v>
      </c>
      <c r="AP184" s="663" t="e">
        <f t="shared" ca="1" si="141"/>
        <v>#N/A</v>
      </c>
      <c r="AQ184" s="663" t="e">
        <f t="shared" ca="1" si="142"/>
        <v>#N/A</v>
      </c>
      <c r="AR184" s="663" t="e">
        <f t="shared" ca="1" si="143"/>
        <v>#N/A</v>
      </c>
      <c r="AS184" s="663" t="e">
        <f t="shared" ca="1" si="144"/>
        <v>#N/A</v>
      </c>
      <c r="AT184" s="663" t="e">
        <f t="shared" ca="1" si="145"/>
        <v>#N/A</v>
      </c>
      <c r="AU184" s="663" t="e">
        <f t="shared" ca="1" si="146"/>
        <v>#N/A</v>
      </c>
      <c r="AV184" s="663" t="e">
        <f t="shared" ca="1" si="147"/>
        <v>#N/A</v>
      </c>
      <c r="AW184" s="663" t="e">
        <f t="shared" ca="1" si="148"/>
        <v>#N/A</v>
      </c>
      <c r="AX184" s="663" t="e">
        <f t="shared" ca="1" si="149"/>
        <v>#N/A</v>
      </c>
      <c r="AY184" s="663" t="e">
        <f t="shared" ca="1" si="150"/>
        <v>#N/A</v>
      </c>
      <c r="AZ184" s="663" t="e">
        <f t="shared" ca="1" si="151"/>
        <v>#N/A</v>
      </c>
      <c r="BA184" s="663" t="e">
        <f t="shared" ca="1" si="152"/>
        <v>#N/A</v>
      </c>
      <c r="BB184" s="663" t="e">
        <f t="shared" ca="1" si="153"/>
        <v>#N/A</v>
      </c>
      <c r="BC184" s="663" t="e">
        <f t="shared" ca="1" si="154"/>
        <v>#N/A</v>
      </c>
      <c r="BD184" s="663" t="e">
        <f t="shared" ca="1" si="155"/>
        <v>#N/A</v>
      </c>
      <c r="BE184" s="663" t="e">
        <f t="shared" ca="1" si="156"/>
        <v>#N/A</v>
      </c>
      <c r="BF184" s="663" t="e">
        <f t="shared" ca="1" si="157"/>
        <v>#N/A</v>
      </c>
      <c r="BG184" s="663" t="e">
        <f t="shared" ca="1" si="158"/>
        <v>#N/A</v>
      </c>
      <c r="BH184" s="663" t="e">
        <f t="shared" ca="1" si="159"/>
        <v>#N/A</v>
      </c>
      <c r="BI184" s="663" t="e">
        <f t="shared" ca="1" si="160"/>
        <v>#N/A</v>
      </c>
      <c r="BJ184" s="663" t="e">
        <f t="shared" ca="1" si="161"/>
        <v>#N/A</v>
      </c>
      <c r="BK184" s="663" t="e">
        <f t="shared" ca="1" si="162"/>
        <v>#N/A</v>
      </c>
      <c r="BL184" s="1918"/>
      <c r="BM184" s="1532"/>
      <c r="BN184" s="1919"/>
      <c r="BO184" s="603"/>
      <c r="BP184" s="602"/>
      <c r="BQ184" s="602"/>
      <c r="BR184" s="602"/>
      <c r="BS184" s="604"/>
      <c r="BT184" s="605"/>
      <c r="BU184" s="602"/>
      <c r="BV184" s="602"/>
      <c r="BW184" s="606"/>
      <c r="BX184" s="607"/>
      <c r="BY184" s="608"/>
      <c r="BZ184" s="608"/>
      <c r="CA184"/>
      <c r="CB184" s="600"/>
    </row>
    <row r="185" spans="2:80" ht="12" customHeight="1" x14ac:dyDescent="0.35">
      <c r="B185" s="590" t="e">
        <f>MATCH(C185,'360SpcLdsCSV'!$C$6:$C$500,0)</f>
        <v>#N/A</v>
      </c>
      <c r="C185" s="590">
        <f>'360SpcLdsCSV'!C134</f>
        <v>0</v>
      </c>
      <c r="D185" s="590" t="str">
        <f t="shared" si="163"/>
        <v>0</v>
      </c>
      <c r="E185" s="590" t="e">
        <f t="shared" si="164"/>
        <v>#VALUE!</v>
      </c>
      <c r="F185" s="590" t="e">
        <f t="shared" si="165"/>
        <v>#VALUE!</v>
      </c>
      <c r="G185" s="590" t="str">
        <f t="shared" si="166"/>
        <v>0</v>
      </c>
      <c r="H185" s="590" t="e">
        <f ca="1">OFFSET('360SpcLdsCSV'!$B$5,$B185,H$51)</f>
        <v>#N/A</v>
      </c>
      <c r="I185" s="590" t="e">
        <f ca="1">OFFSET('360SpcLdsCSV'!$B$5,$B185,I$51)</f>
        <v>#N/A</v>
      </c>
      <c r="J185" s="590" t="e">
        <f ca="1">OFFSET('360SpcLdsCSV'!$B$5,$B185,J$51)</f>
        <v>#N/A</v>
      </c>
      <c r="K185" s="590" t="e">
        <f ca="1">OFFSET('360SpcLdsCSV'!$B$5,$B185,K$51)</f>
        <v>#N/A</v>
      </c>
      <c r="L185" s="590" t="e">
        <f ca="1">OFFSET('360SpcLdsCSV'!$B$5,$B185,L$51)</f>
        <v>#N/A</v>
      </c>
      <c r="M185" s="592" t="e">
        <f ca="1">OFFSET('360SpcLdsCSV'!$B$5,$B185,M$51)</f>
        <v>#N/A</v>
      </c>
      <c r="N185" s="592" t="e">
        <f ca="1">OFFSET('360SpcLdsCSV'!$B$5,$B185,N$51)</f>
        <v>#N/A</v>
      </c>
      <c r="O185" s="592" t="e">
        <f ca="1">OFFSET('360SpcLdsCSV'!$B$5,$B185,O$51)</f>
        <v>#N/A</v>
      </c>
      <c r="P185" s="592" t="e">
        <f ca="1">OFFSET('360SpcLdsCSV'!$B$5,$B185,P$51)</f>
        <v>#N/A</v>
      </c>
      <c r="Q185" s="592" t="e">
        <f ca="1">OFFSET('360SpcLdsCSV'!$B$5,$B185,Q$51)</f>
        <v>#N/A</v>
      </c>
      <c r="R185" s="592" t="e">
        <f ca="1">OFFSET('360SpcLdsCSV'!$B$5,$B185,R$51)</f>
        <v>#N/A</v>
      </c>
      <c r="S185" s="592" t="e">
        <f ca="1">OFFSET('360SpcLdsCSV'!$B$5,$B185,S$51)</f>
        <v>#N/A</v>
      </c>
      <c r="T185" s="592" t="e">
        <f ca="1">OFFSET('360SpcLdsCSV'!$B$5,$B185,T$51)</f>
        <v>#N/A</v>
      </c>
      <c r="U185" s="592" t="e">
        <f ca="1">OFFSET('360SpcLdsCSV'!$B$5,$B185,U$51)</f>
        <v>#N/A</v>
      </c>
      <c r="V185" s="592" t="e">
        <f ca="1">OFFSET('360SpcLdsCSV'!$B$5,$B185,V$51)</f>
        <v>#N/A</v>
      </c>
      <c r="W185" s="592" t="e">
        <f ca="1">OFFSET('360SpcLdsCSV'!$B$5,$B185,W$51)</f>
        <v>#N/A</v>
      </c>
      <c r="X185" s="592" t="e">
        <f ca="1">OFFSET('360SpcLdsCSV'!$B$5,$B185,X$51)</f>
        <v>#N/A</v>
      </c>
      <c r="Y185" s="592" t="e">
        <f ca="1">OFFSET('360SpcLdsCSV'!$B$5,$B185,Y$51)</f>
        <v>#N/A</v>
      </c>
      <c r="Z185" s="592" t="e">
        <f ca="1">OFFSET('360SpcLdsCSV'!$B$5,$B185,Z$51)</f>
        <v>#N/A</v>
      </c>
      <c r="AA185" s="592" t="e">
        <f ca="1">OFFSET('360SpcLdsCSV'!$B$5,$B185,AA$51)</f>
        <v>#N/A</v>
      </c>
      <c r="AB185" s="592" t="e">
        <f ca="1">OFFSET('360SpcLdsCSV'!$B$5,$B185,AB$51)</f>
        <v>#N/A</v>
      </c>
      <c r="AC185" s="592" t="e">
        <f ca="1">OFFSET('360SpcLdsCSV'!$B$5,$B185,AC$51)</f>
        <v>#N/A</v>
      </c>
      <c r="AD185" s="592" t="e">
        <f ca="1">OFFSET('360SpcLdsCSV'!$B$5,$B185,AD$51)</f>
        <v>#N/A</v>
      </c>
      <c r="AE185" s="592" t="e">
        <f ca="1">OFFSET('360SpcLdsCSV'!$B$5,$B185,AE$51)</f>
        <v>#N/A</v>
      </c>
      <c r="AF185" s="592" t="e">
        <f ca="1">OFFSET('360SpcLdsCSV'!$B$5,$B185,AF$51)</f>
        <v>#N/A</v>
      </c>
      <c r="AG185" s="592" t="e">
        <f ca="1">OFFSET('360SpcLdsCSV'!$B$5,$B185,AG$51)</f>
        <v>#N/A</v>
      </c>
      <c r="AH185" s="592" t="e">
        <f ca="1">OFFSET('360SpcLdsCSV'!$B$5,$B185,AH$51)</f>
        <v>#N/A</v>
      </c>
      <c r="AI185" s="592" t="e">
        <f ca="1">OFFSET('360SpcLdsCSV'!$B$5,$B185,AI$51)</f>
        <v>#N/A</v>
      </c>
      <c r="AJ185" s="592" t="e" cm="1">
        <f t="array" ref="AJ185">_xlfn.IFS($F185="Resi",1,$F185="Racc",0,$F185="Coml",0,$F185="Prkg",0)</f>
        <v>#VALUE!</v>
      </c>
      <c r="AK185" s="596"/>
      <c r="AL185" s="590" t="e">
        <f ca="1">OFFSET('360SpcLdsCSV'!$B$5,$B185,AL$51)</f>
        <v>#N/A</v>
      </c>
      <c r="AM185" s="663" t="e">
        <f t="shared" ref="AM185:AM248" ca="1" si="168">IF(I185="Unconditioned",0,1)</f>
        <v>#N/A</v>
      </c>
      <c r="AN185" s="663" t="e">
        <f t="shared" ref="AN185:AN248" ca="1" si="169">IF(K185="Residential",1,0)</f>
        <v>#N/A</v>
      </c>
      <c r="AO185" s="663" t="e">
        <f t="shared" ca="1" si="167"/>
        <v>#N/A</v>
      </c>
      <c r="AP185" s="663" t="e">
        <f t="shared" ref="AP185:AP248" ca="1" si="170">N185*$AL185</f>
        <v>#N/A</v>
      </c>
      <c r="AQ185" s="663" t="e">
        <f t="shared" ref="AQ185:AQ248" ca="1" si="171">O185*$AL185</f>
        <v>#N/A</v>
      </c>
      <c r="AR185" s="663" t="e">
        <f t="shared" ref="AR185:AR248" ca="1" si="172">P185*$AL185</f>
        <v>#N/A</v>
      </c>
      <c r="AS185" s="663" t="e">
        <f t="shared" ref="AS185:AS248" ca="1" si="173">Q185*$AL185</f>
        <v>#N/A</v>
      </c>
      <c r="AT185" s="663" t="e">
        <f t="shared" ref="AT185:AT248" ca="1" si="174">R185*$AL185</f>
        <v>#N/A</v>
      </c>
      <c r="AU185" s="663" t="e">
        <f t="shared" ref="AU185:AU248" ca="1" si="175">S185*$AL185</f>
        <v>#N/A</v>
      </c>
      <c r="AV185" s="663" t="e">
        <f t="shared" ref="AV185:AV248" ca="1" si="176">T185*$AL185</f>
        <v>#N/A</v>
      </c>
      <c r="AW185" s="663" t="e">
        <f t="shared" ref="AW185:AW248" ca="1" si="177">U185*$AL185</f>
        <v>#N/A</v>
      </c>
      <c r="AX185" s="663" t="e">
        <f t="shared" ref="AX185:AX248" ca="1" si="178">V185*$AL185</f>
        <v>#N/A</v>
      </c>
      <c r="AY185" s="663" t="e">
        <f t="shared" ref="AY185:AY248" ca="1" si="179">W185*$AL185</f>
        <v>#N/A</v>
      </c>
      <c r="AZ185" s="663" t="e">
        <f t="shared" ref="AZ185:AZ248" ca="1" si="180">X185*$AL185</f>
        <v>#N/A</v>
      </c>
      <c r="BA185" s="663" t="e">
        <f t="shared" ref="BA185:BA248" ca="1" si="181">Y185*$AL185</f>
        <v>#N/A</v>
      </c>
      <c r="BB185" s="663" t="e">
        <f t="shared" ref="BB185:BB248" ca="1" si="182">Z185*$AL185</f>
        <v>#N/A</v>
      </c>
      <c r="BC185" s="663" t="e">
        <f t="shared" ref="BC185:BC248" ca="1" si="183">AA185*$AL185</f>
        <v>#N/A</v>
      </c>
      <c r="BD185" s="663" t="e">
        <f t="shared" ref="BD185:BD248" ca="1" si="184">AB185*$AL185</f>
        <v>#N/A</v>
      </c>
      <c r="BE185" s="663" t="e">
        <f t="shared" ref="BE185:BE248" ca="1" si="185">AC185*$AL185</f>
        <v>#N/A</v>
      </c>
      <c r="BF185" s="663" t="e">
        <f t="shared" ref="BF185:BF248" ca="1" si="186">AD185*$AL185</f>
        <v>#N/A</v>
      </c>
      <c r="BG185" s="663" t="e">
        <f t="shared" ref="BG185:BG248" ca="1" si="187">AE185*$AL185</f>
        <v>#N/A</v>
      </c>
      <c r="BH185" s="663" t="e">
        <f t="shared" ref="BH185:BH248" ca="1" si="188">AF185*$AL185</f>
        <v>#N/A</v>
      </c>
      <c r="BI185" s="663" t="e">
        <f t="shared" ref="BI185:BI248" ca="1" si="189">AG185*$AL185</f>
        <v>#N/A</v>
      </c>
      <c r="BJ185" s="663" t="e">
        <f t="shared" ref="BJ185:BJ248" ca="1" si="190">AH185*$AL185</f>
        <v>#N/A</v>
      </c>
      <c r="BK185" s="663" t="e">
        <f t="shared" ref="BK185:BK248" ca="1" si="191">AI185*$AL185</f>
        <v>#N/A</v>
      </c>
      <c r="BL185" s="1918"/>
      <c r="BM185" s="1532"/>
      <c r="BN185" s="1919"/>
      <c r="BO185" s="603"/>
      <c r="BP185" s="602"/>
      <c r="BQ185" s="602"/>
      <c r="BR185" s="602"/>
      <c r="BS185" s="604"/>
      <c r="BT185" s="605"/>
      <c r="BU185" s="602"/>
      <c r="BV185" s="602"/>
      <c r="BW185" s="606"/>
      <c r="BX185" s="607"/>
      <c r="BY185" s="608"/>
      <c r="BZ185" s="608"/>
      <c r="CA185"/>
      <c r="CB185" s="600"/>
    </row>
    <row r="186" spans="2:80" ht="12" customHeight="1" x14ac:dyDescent="0.35">
      <c r="B186" s="590" t="e">
        <f>MATCH(C186,'360SpcLdsCSV'!$C$6:$C$500,0)</f>
        <v>#N/A</v>
      </c>
      <c r="C186" s="590">
        <f>'360SpcLdsCSV'!C135</f>
        <v>0</v>
      </c>
      <c r="D186" s="590" t="str">
        <f t="shared" ref="D186:D213" si="192">LEFT(C186,3)</f>
        <v>0</v>
      </c>
      <c r="E186" s="590" t="e">
        <f t="shared" ref="E186:E249" si="193">MID(C186,FIND("_",C186,1)+1,4)</f>
        <v>#VALUE!</v>
      </c>
      <c r="F186" s="590" t="e">
        <f t="shared" ref="F186:F249" si="194">MID(C186,FIND("_",C186,1)+5,4)</f>
        <v>#VALUE!</v>
      </c>
      <c r="G186" s="590" t="str">
        <f t="shared" ref="G186:G213" si="195">RIGHT(C186,4)</f>
        <v>0</v>
      </c>
      <c r="H186" s="590" t="e">
        <f ca="1">OFFSET('360SpcLdsCSV'!$B$5,$B186,H$51)</f>
        <v>#N/A</v>
      </c>
      <c r="I186" s="590" t="e">
        <f ca="1">OFFSET('360SpcLdsCSV'!$B$5,$B186,I$51)</f>
        <v>#N/A</v>
      </c>
      <c r="J186" s="590" t="e">
        <f ca="1">OFFSET('360SpcLdsCSV'!$B$5,$B186,J$51)</f>
        <v>#N/A</v>
      </c>
      <c r="K186" s="590" t="e">
        <f ca="1">OFFSET('360SpcLdsCSV'!$B$5,$B186,K$51)</f>
        <v>#N/A</v>
      </c>
      <c r="L186" s="590" t="e">
        <f ca="1">OFFSET('360SpcLdsCSV'!$B$5,$B186,L$51)</f>
        <v>#N/A</v>
      </c>
      <c r="M186" s="592" t="e">
        <f ca="1">OFFSET('360SpcLdsCSV'!$B$5,$B186,M$51)</f>
        <v>#N/A</v>
      </c>
      <c r="N186" s="592" t="e">
        <f ca="1">OFFSET('360SpcLdsCSV'!$B$5,$B186,N$51)</f>
        <v>#N/A</v>
      </c>
      <c r="O186" s="592" t="e">
        <f ca="1">OFFSET('360SpcLdsCSV'!$B$5,$B186,O$51)</f>
        <v>#N/A</v>
      </c>
      <c r="P186" s="592" t="e">
        <f ca="1">OFFSET('360SpcLdsCSV'!$B$5,$B186,P$51)</f>
        <v>#N/A</v>
      </c>
      <c r="Q186" s="592" t="e">
        <f ca="1">OFFSET('360SpcLdsCSV'!$B$5,$B186,Q$51)</f>
        <v>#N/A</v>
      </c>
      <c r="R186" s="592" t="e">
        <f ca="1">OFFSET('360SpcLdsCSV'!$B$5,$B186,R$51)</f>
        <v>#N/A</v>
      </c>
      <c r="S186" s="592" t="e">
        <f ca="1">OFFSET('360SpcLdsCSV'!$B$5,$B186,S$51)</f>
        <v>#N/A</v>
      </c>
      <c r="T186" s="592" t="e">
        <f ca="1">OFFSET('360SpcLdsCSV'!$B$5,$B186,T$51)</f>
        <v>#N/A</v>
      </c>
      <c r="U186" s="592" t="e">
        <f ca="1">OFFSET('360SpcLdsCSV'!$B$5,$B186,U$51)</f>
        <v>#N/A</v>
      </c>
      <c r="V186" s="592" t="e">
        <f ca="1">OFFSET('360SpcLdsCSV'!$B$5,$B186,V$51)</f>
        <v>#N/A</v>
      </c>
      <c r="W186" s="592" t="e">
        <f ca="1">OFFSET('360SpcLdsCSV'!$B$5,$B186,W$51)</f>
        <v>#N/A</v>
      </c>
      <c r="X186" s="592" t="e">
        <f ca="1">OFFSET('360SpcLdsCSV'!$B$5,$B186,X$51)</f>
        <v>#N/A</v>
      </c>
      <c r="Y186" s="592" t="e">
        <f ca="1">OFFSET('360SpcLdsCSV'!$B$5,$B186,Y$51)</f>
        <v>#N/A</v>
      </c>
      <c r="Z186" s="592" t="e">
        <f ca="1">OFFSET('360SpcLdsCSV'!$B$5,$B186,Z$51)</f>
        <v>#N/A</v>
      </c>
      <c r="AA186" s="592" t="e">
        <f ca="1">OFFSET('360SpcLdsCSV'!$B$5,$B186,AA$51)</f>
        <v>#N/A</v>
      </c>
      <c r="AB186" s="592" t="e">
        <f ca="1">OFFSET('360SpcLdsCSV'!$B$5,$B186,AB$51)</f>
        <v>#N/A</v>
      </c>
      <c r="AC186" s="592" t="e">
        <f ca="1">OFFSET('360SpcLdsCSV'!$B$5,$B186,AC$51)</f>
        <v>#N/A</v>
      </c>
      <c r="AD186" s="592" t="e">
        <f ca="1">OFFSET('360SpcLdsCSV'!$B$5,$B186,AD$51)</f>
        <v>#N/A</v>
      </c>
      <c r="AE186" s="592" t="e">
        <f ca="1">OFFSET('360SpcLdsCSV'!$B$5,$B186,AE$51)</f>
        <v>#N/A</v>
      </c>
      <c r="AF186" s="592" t="e">
        <f ca="1">OFFSET('360SpcLdsCSV'!$B$5,$B186,AF$51)</f>
        <v>#N/A</v>
      </c>
      <c r="AG186" s="592" t="e">
        <f ca="1">OFFSET('360SpcLdsCSV'!$B$5,$B186,AG$51)</f>
        <v>#N/A</v>
      </c>
      <c r="AH186" s="592" t="e">
        <f ca="1">OFFSET('360SpcLdsCSV'!$B$5,$B186,AH$51)</f>
        <v>#N/A</v>
      </c>
      <c r="AI186" s="592" t="e">
        <f ca="1">OFFSET('360SpcLdsCSV'!$B$5,$B186,AI$51)</f>
        <v>#N/A</v>
      </c>
      <c r="AJ186" s="592" t="e" cm="1">
        <f t="array" ref="AJ186">_xlfn.IFS($F186="Resi",1,$F186="Racc",0,$F186="Coml",0,$F186="Prkg",0)</f>
        <v>#VALUE!</v>
      </c>
      <c r="AK186" s="596"/>
      <c r="AL186" s="590" t="e">
        <f ca="1">OFFSET('360SpcLdsCSV'!$B$5,$B186,AL$51)</f>
        <v>#N/A</v>
      </c>
      <c r="AM186" s="663" t="e">
        <f t="shared" ca="1" si="168"/>
        <v>#N/A</v>
      </c>
      <c r="AN186" s="663" t="e">
        <f t="shared" ca="1" si="169"/>
        <v>#N/A</v>
      </c>
      <c r="AO186" s="663" t="e">
        <f t="shared" ref="AO186:AO249" ca="1" si="196">M186*$AL186</f>
        <v>#N/A</v>
      </c>
      <c r="AP186" s="663" t="e">
        <f t="shared" ca="1" si="170"/>
        <v>#N/A</v>
      </c>
      <c r="AQ186" s="663" t="e">
        <f t="shared" ca="1" si="171"/>
        <v>#N/A</v>
      </c>
      <c r="AR186" s="663" t="e">
        <f t="shared" ca="1" si="172"/>
        <v>#N/A</v>
      </c>
      <c r="AS186" s="663" t="e">
        <f t="shared" ca="1" si="173"/>
        <v>#N/A</v>
      </c>
      <c r="AT186" s="663" t="e">
        <f t="shared" ca="1" si="174"/>
        <v>#N/A</v>
      </c>
      <c r="AU186" s="663" t="e">
        <f t="shared" ca="1" si="175"/>
        <v>#N/A</v>
      </c>
      <c r="AV186" s="663" t="e">
        <f t="shared" ca="1" si="176"/>
        <v>#N/A</v>
      </c>
      <c r="AW186" s="663" t="e">
        <f t="shared" ca="1" si="177"/>
        <v>#N/A</v>
      </c>
      <c r="AX186" s="663" t="e">
        <f t="shared" ca="1" si="178"/>
        <v>#N/A</v>
      </c>
      <c r="AY186" s="663" t="e">
        <f t="shared" ca="1" si="179"/>
        <v>#N/A</v>
      </c>
      <c r="AZ186" s="663" t="e">
        <f t="shared" ca="1" si="180"/>
        <v>#N/A</v>
      </c>
      <c r="BA186" s="663" t="e">
        <f t="shared" ca="1" si="181"/>
        <v>#N/A</v>
      </c>
      <c r="BB186" s="663" t="e">
        <f t="shared" ca="1" si="182"/>
        <v>#N/A</v>
      </c>
      <c r="BC186" s="663" t="e">
        <f t="shared" ca="1" si="183"/>
        <v>#N/A</v>
      </c>
      <c r="BD186" s="663" t="e">
        <f t="shared" ca="1" si="184"/>
        <v>#N/A</v>
      </c>
      <c r="BE186" s="663" t="e">
        <f t="shared" ca="1" si="185"/>
        <v>#N/A</v>
      </c>
      <c r="BF186" s="663" t="e">
        <f t="shared" ca="1" si="186"/>
        <v>#N/A</v>
      </c>
      <c r="BG186" s="663" t="e">
        <f t="shared" ca="1" si="187"/>
        <v>#N/A</v>
      </c>
      <c r="BH186" s="663" t="e">
        <f t="shared" ca="1" si="188"/>
        <v>#N/A</v>
      </c>
      <c r="BI186" s="663" t="e">
        <f t="shared" ca="1" si="189"/>
        <v>#N/A</v>
      </c>
      <c r="BJ186" s="663" t="e">
        <f t="shared" ca="1" si="190"/>
        <v>#N/A</v>
      </c>
      <c r="BK186" s="663" t="e">
        <f t="shared" ca="1" si="191"/>
        <v>#N/A</v>
      </c>
      <c r="BL186" s="1918"/>
      <c r="BM186" s="1532"/>
      <c r="BN186" s="1919"/>
      <c r="BO186" s="603"/>
      <c r="BP186" s="602"/>
      <c r="BQ186" s="602"/>
      <c r="BR186" s="602"/>
      <c r="BS186" s="604"/>
      <c r="BT186" s="605"/>
      <c r="BU186" s="602"/>
      <c r="BV186" s="602"/>
      <c r="BW186" s="606"/>
      <c r="BX186" s="607"/>
      <c r="BY186" s="608"/>
      <c r="BZ186" s="608"/>
      <c r="CA186"/>
      <c r="CB186" s="600"/>
    </row>
    <row r="187" spans="2:80" ht="12" customHeight="1" x14ac:dyDescent="0.35">
      <c r="B187" s="590" t="e">
        <f>MATCH(C187,'360SpcLdsCSV'!$C$6:$C$500,0)</f>
        <v>#N/A</v>
      </c>
      <c r="C187" s="590">
        <f>'360SpcLdsCSV'!C136</f>
        <v>0</v>
      </c>
      <c r="D187" s="590" t="str">
        <f t="shared" si="192"/>
        <v>0</v>
      </c>
      <c r="E187" s="590" t="e">
        <f t="shared" si="193"/>
        <v>#VALUE!</v>
      </c>
      <c r="F187" s="590" t="e">
        <f t="shared" si="194"/>
        <v>#VALUE!</v>
      </c>
      <c r="G187" s="590" t="str">
        <f t="shared" si="195"/>
        <v>0</v>
      </c>
      <c r="H187" s="590" t="e">
        <f ca="1">OFFSET('360SpcLdsCSV'!$B$5,$B187,H$51)</f>
        <v>#N/A</v>
      </c>
      <c r="I187" s="590" t="e">
        <f ca="1">OFFSET('360SpcLdsCSV'!$B$5,$B187,I$51)</f>
        <v>#N/A</v>
      </c>
      <c r="J187" s="590" t="e">
        <f ca="1">OFFSET('360SpcLdsCSV'!$B$5,$B187,J$51)</f>
        <v>#N/A</v>
      </c>
      <c r="K187" s="590" t="e">
        <f ca="1">OFFSET('360SpcLdsCSV'!$B$5,$B187,K$51)</f>
        <v>#N/A</v>
      </c>
      <c r="L187" s="590" t="e">
        <f ca="1">OFFSET('360SpcLdsCSV'!$B$5,$B187,L$51)</f>
        <v>#N/A</v>
      </c>
      <c r="M187" s="592" t="e">
        <f ca="1">OFFSET('360SpcLdsCSV'!$B$5,$B187,M$51)</f>
        <v>#N/A</v>
      </c>
      <c r="N187" s="592" t="e">
        <f ca="1">OFFSET('360SpcLdsCSV'!$B$5,$B187,N$51)</f>
        <v>#N/A</v>
      </c>
      <c r="O187" s="592" t="e">
        <f ca="1">OFFSET('360SpcLdsCSV'!$B$5,$B187,O$51)</f>
        <v>#N/A</v>
      </c>
      <c r="P187" s="592" t="e">
        <f ca="1">OFFSET('360SpcLdsCSV'!$B$5,$B187,P$51)</f>
        <v>#N/A</v>
      </c>
      <c r="Q187" s="592" t="e">
        <f ca="1">OFFSET('360SpcLdsCSV'!$B$5,$B187,Q$51)</f>
        <v>#N/A</v>
      </c>
      <c r="R187" s="592" t="e">
        <f ca="1">OFFSET('360SpcLdsCSV'!$B$5,$B187,R$51)</f>
        <v>#N/A</v>
      </c>
      <c r="S187" s="592" t="e">
        <f ca="1">OFFSET('360SpcLdsCSV'!$B$5,$B187,S$51)</f>
        <v>#N/A</v>
      </c>
      <c r="T187" s="592" t="e">
        <f ca="1">OFFSET('360SpcLdsCSV'!$B$5,$B187,T$51)</f>
        <v>#N/A</v>
      </c>
      <c r="U187" s="592" t="e">
        <f ca="1">OFFSET('360SpcLdsCSV'!$B$5,$B187,U$51)</f>
        <v>#N/A</v>
      </c>
      <c r="V187" s="592" t="e">
        <f ca="1">OFFSET('360SpcLdsCSV'!$B$5,$B187,V$51)</f>
        <v>#N/A</v>
      </c>
      <c r="W187" s="592" t="e">
        <f ca="1">OFFSET('360SpcLdsCSV'!$B$5,$B187,W$51)</f>
        <v>#N/A</v>
      </c>
      <c r="X187" s="592" t="e">
        <f ca="1">OFFSET('360SpcLdsCSV'!$B$5,$B187,X$51)</f>
        <v>#N/A</v>
      </c>
      <c r="Y187" s="592" t="e">
        <f ca="1">OFFSET('360SpcLdsCSV'!$B$5,$B187,Y$51)</f>
        <v>#N/A</v>
      </c>
      <c r="Z187" s="592" t="e">
        <f ca="1">OFFSET('360SpcLdsCSV'!$B$5,$B187,Z$51)</f>
        <v>#N/A</v>
      </c>
      <c r="AA187" s="592" t="e">
        <f ca="1">OFFSET('360SpcLdsCSV'!$B$5,$B187,AA$51)</f>
        <v>#N/A</v>
      </c>
      <c r="AB187" s="592" t="e">
        <f ca="1">OFFSET('360SpcLdsCSV'!$B$5,$B187,AB$51)</f>
        <v>#N/A</v>
      </c>
      <c r="AC187" s="592" t="e">
        <f ca="1">OFFSET('360SpcLdsCSV'!$B$5,$B187,AC$51)</f>
        <v>#N/A</v>
      </c>
      <c r="AD187" s="592" t="e">
        <f ca="1">OFFSET('360SpcLdsCSV'!$B$5,$B187,AD$51)</f>
        <v>#N/A</v>
      </c>
      <c r="AE187" s="592" t="e">
        <f ca="1">OFFSET('360SpcLdsCSV'!$B$5,$B187,AE$51)</f>
        <v>#N/A</v>
      </c>
      <c r="AF187" s="592" t="e">
        <f ca="1">OFFSET('360SpcLdsCSV'!$B$5,$B187,AF$51)</f>
        <v>#N/A</v>
      </c>
      <c r="AG187" s="592" t="e">
        <f ca="1">OFFSET('360SpcLdsCSV'!$B$5,$B187,AG$51)</f>
        <v>#N/A</v>
      </c>
      <c r="AH187" s="592" t="e">
        <f ca="1">OFFSET('360SpcLdsCSV'!$B$5,$B187,AH$51)</f>
        <v>#N/A</v>
      </c>
      <c r="AI187" s="592" t="e">
        <f ca="1">OFFSET('360SpcLdsCSV'!$B$5,$B187,AI$51)</f>
        <v>#N/A</v>
      </c>
      <c r="AJ187" s="592" t="e" cm="1">
        <f t="array" ref="AJ187">_xlfn.IFS($F187="Resi",1,$F187="Racc",0,$F187="Coml",0,$F187="Prkg",0)</f>
        <v>#VALUE!</v>
      </c>
      <c r="AK187" s="596"/>
      <c r="AL187" s="590" t="e">
        <f ca="1">OFFSET('360SpcLdsCSV'!$B$5,$B187,AL$51)</f>
        <v>#N/A</v>
      </c>
      <c r="AM187" s="663" t="e">
        <f t="shared" ca="1" si="168"/>
        <v>#N/A</v>
      </c>
      <c r="AN187" s="663" t="e">
        <f t="shared" ca="1" si="169"/>
        <v>#N/A</v>
      </c>
      <c r="AO187" s="663" t="e">
        <f t="shared" ca="1" si="196"/>
        <v>#N/A</v>
      </c>
      <c r="AP187" s="663" t="e">
        <f t="shared" ca="1" si="170"/>
        <v>#N/A</v>
      </c>
      <c r="AQ187" s="663" t="e">
        <f t="shared" ca="1" si="171"/>
        <v>#N/A</v>
      </c>
      <c r="AR187" s="663" t="e">
        <f t="shared" ca="1" si="172"/>
        <v>#N/A</v>
      </c>
      <c r="AS187" s="663" t="e">
        <f t="shared" ca="1" si="173"/>
        <v>#N/A</v>
      </c>
      <c r="AT187" s="663" t="e">
        <f t="shared" ca="1" si="174"/>
        <v>#N/A</v>
      </c>
      <c r="AU187" s="663" t="e">
        <f t="shared" ca="1" si="175"/>
        <v>#N/A</v>
      </c>
      <c r="AV187" s="663" t="e">
        <f t="shared" ca="1" si="176"/>
        <v>#N/A</v>
      </c>
      <c r="AW187" s="663" t="e">
        <f t="shared" ca="1" si="177"/>
        <v>#N/A</v>
      </c>
      <c r="AX187" s="663" t="e">
        <f t="shared" ca="1" si="178"/>
        <v>#N/A</v>
      </c>
      <c r="AY187" s="663" t="e">
        <f t="shared" ca="1" si="179"/>
        <v>#N/A</v>
      </c>
      <c r="AZ187" s="663" t="e">
        <f t="shared" ca="1" si="180"/>
        <v>#N/A</v>
      </c>
      <c r="BA187" s="663" t="e">
        <f t="shared" ca="1" si="181"/>
        <v>#N/A</v>
      </c>
      <c r="BB187" s="663" t="e">
        <f t="shared" ca="1" si="182"/>
        <v>#N/A</v>
      </c>
      <c r="BC187" s="663" t="e">
        <f t="shared" ca="1" si="183"/>
        <v>#N/A</v>
      </c>
      <c r="BD187" s="663" t="e">
        <f t="shared" ca="1" si="184"/>
        <v>#N/A</v>
      </c>
      <c r="BE187" s="663" t="e">
        <f t="shared" ca="1" si="185"/>
        <v>#N/A</v>
      </c>
      <c r="BF187" s="663" t="e">
        <f t="shared" ca="1" si="186"/>
        <v>#N/A</v>
      </c>
      <c r="BG187" s="663" t="e">
        <f t="shared" ca="1" si="187"/>
        <v>#N/A</v>
      </c>
      <c r="BH187" s="663" t="e">
        <f t="shared" ca="1" si="188"/>
        <v>#N/A</v>
      </c>
      <c r="BI187" s="663" t="e">
        <f t="shared" ca="1" si="189"/>
        <v>#N/A</v>
      </c>
      <c r="BJ187" s="663" t="e">
        <f t="shared" ca="1" si="190"/>
        <v>#N/A</v>
      </c>
      <c r="BK187" s="663" t="e">
        <f t="shared" ca="1" si="191"/>
        <v>#N/A</v>
      </c>
      <c r="BL187" s="1918"/>
      <c r="BM187" s="1532"/>
      <c r="BN187" s="1919"/>
      <c r="BO187" s="603"/>
      <c r="BP187" s="602"/>
      <c r="BQ187" s="602"/>
      <c r="BR187" s="602"/>
      <c r="BS187" s="604"/>
      <c r="BT187" s="605"/>
      <c r="BU187" s="602"/>
      <c r="BV187" s="602"/>
      <c r="BW187" s="606"/>
      <c r="BX187" s="607"/>
      <c r="BY187" s="608"/>
      <c r="BZ187" s="608"/>
      <c r="CA187"/>
      <c r="CB187" s="600"/>
    </row>
    <row r="188" spans="2:80" ht="12" customHeight="1" x14ac:dyDescent="0.35">
      <c r="B188" s="590" t="e">
        <f>MATCH(C188,'360SpcLdsCSV'!$C$6:$C$500,0)</f>
        <v>#N/A</v>
      </c>
      <c r="C188" s="590">
        <f>'360SpcLdsCSV'!C137</f>
        <v>0</v>
      </c>
      <c r="D188" s="590" t="str">
        <f t="shared" si="192"/>
        <v>0</v>
      </c>
      <c r="E188" s="590" t="e">
        <f t="shared" si="193"/>
        <v>#VALUE!</v>
      </c>
      <c r="F188" s="590" t="e">
        <f t="shared" si="194"/>
        <v>#VALUE!</v>
      </c>
      <c r="G188" s="590" t="str">
        <f t="shared" si="195"/>
        <v>0</v>
      </c>
      <c r="H188" s="590" t="e">
        <f ca="1">OFFSET('360SpcLdsCSV'!$B$5,$B188,H$51)</f>
        <v>#N/A</v>
      </c>
      <c r="I188" s="590" t="e">
        <f ca="1">OFFSET('360SpcLdsCSV'!$B$5,$B188,I$51)</f>
        <v>#N/A</v>
      </c>
      <c r="J188" s="590" t="e">
        <f ca="1">OFFSET('360SpcLdsCSV'!$B$5,$B188,J$51)</f>
        <v>#N/A</v>
      </c>
      <c r="K188" s="590" t="e">
        <f ca="1">OFFSET('360SpcLdsCSV'!$B$5,$B188,K$51)</f>
        <v>#N/A</v>
      </c>
      <c r="L188" s="590" t="e">
        <f ca="1">OFFSET('360SpcLdsCSV'!$B$5,$B188,L$51)</f>
        <v>#N/A</v>
      </c>
      <c r="M188" s="592" t="e">
        <f ca="1">OFFSET('360SpcLdsCSV'!$B$5,$B188,M$51)</f>
        <v>#N/A</v>
      </c>
      <c r="N188" s="592" t="e">
        <f ca="1">OFFSET('360SpcLdsCSV'!$B$5,$B188,N$51)</f>
        <v>#N/A</v>
      </c>
      <c r="O188" s="592" t="e">
        <f ca="1">OFFSET('360SpcLdsCSV'!$B$5,$B188,O$51)</f>
        <v>#N/A</v>
      </c>
      <c r="P188" s="592" t="e">
        <f ca="1">OFFSET('360SpcLdsCSV'!$B$5,$B188,P$51)</f>
        <v>#N/A</v>
      </c>
      <c r="Q188" s="592" t="e">
        <f ca="1">OFFSET('360SpcLdsCSV'!$B$5,$B188,Q$51)</f>
        <v>#N/A</v>
      </c>
      <c r="R188" s="592" t="e">
        <f ca="1">OFFSET('360SpcLdsCSV'!$B$5,$B188,R$51)</f>
        <v>#N/A</v>
      </c>
      <c r="S188" s="592" t="e">
        <f ca="1">OFFSET('360SpcLdsCSV'!$B$5,$B188,S$51)</f>
        <v>#N/A</v>
      </c>
      <c r="T188" s="592" t="e">
        <f ca="1">OFFSET('360SpcLdsCSV'!$B$5,$B188,T$51)</f>
        <v>#N/A</v>
      </c>
      <c r="U188" s="592" t="e">
        <f ca="1">OFFSET('360SpcLdsCSV'!$B$5,$B188,U$51)</f>
        <v>#N/A</v>
      </c>
      <c r="V188" s="592" t="e">
        <f ca="1">OFFSET('360SpcLdsCSV'!$B$5,$B188,V$51)</f>
        <v>#N/A</v>
      </c>
      <c r="W188" s="592" t="e">
        <f ca="1">OFFSET('360SpcLdsCSV'!$B$5,$B188,W$51)</f>
        <v>#N/A</v>
      </c>
      <c r="X188" s="592" t="e">
        <f ca="1">OFFSET('360SpcLdsCSV'!$B$5,$B188,X$51)</f>
        <v>#N/A</v>
      </c>
      <c r="Y188" s="592" t="e">
        <f ca="1">OFFSET('360SpcLdsCSV'!$B$5,$B188,Y$51)</f>
        <v>#N/A</v>
      </c>
      <c r="Z188" s="592" t="e">
        <f ca="1">OFFSET('360SpcLdsCSV'!$B$5,$B188,Z$51)</f>
        <v>#N/A</v>
      </c>
      <c r="AA188" s="592" t="e">
        <f ca="1">OFFSET('360SpcLdsCSV'!$B$5,$B188,AA$51)</f>
        <v>#N/A</v>
      </c>
      <c r="AB188" s="592" t="e">
        <f ca="1">OFFSET('360SpcLdsCSV'!$B$5,$B188,AB$51)</f>
        <v>#N/A</v>
      </c>
      <c r="AC188" s="592" t="e">
        <f ca="1">OFFSET('360SpcLdsCSV'!$B$5,$B188,AC$51)</f>
        <v>#N/A</v>
      </c>
      <c r="AD188" s="592" t="e">
        <f ca="1">OFFSET('360SpcLdsCSV'!$B$5,$B188,AD$51)</f>
        <v>#N/A</v>
      </c>
      <c r="AE188" s="592" t="e">
        <f ca="1">OFFSET('360SpcLdsCSV'!$B$5,$B188,AE$51)</f>
        <v>#N/A</v>
      </c>
      <c r="AF188" s="592" t="e">
        <f ca="1">OFFSET('360SpcLdsCSV'!$B$5,$B188,AF$51)</f>
        <v>#N/A</v>
      </c>
      <c r="AG188" s="592" t="e">
        <f ca="1">OFFSET('360SpcLdsCSV'!$B$5,$B188,AG$51)</f>
        <v>#N/A</v>
      </c>
      <c r="AH188" s="592" t="e">
        <f ca="1">OFFSET('360SpcLdsCSV'!$B$5,$B188,AH$51)</f>
        <v>#N/A</v>
      </c>
      <c r="AI188" s="592" t="e">
        <f ca="1">OFFSET('360SpcLdsCSV'!$B$5,$B188,AI$51)</f>
        <v>#N/A</v>
      </c>
      <c r="AJ188" s="592" t="e" cm="1">
        <f t="array" ref="AJ188">_xlfn.IFS($F188="Resi",1,$F188="Racc",0,$F188="Coml",0,$F188="Prkg",0)</f>
        <v>#VALUE!</v>
      </c>
      <c r="AK188" s="596"/>
      <c r="AL188" s="590" t="e">
        <f ca="1">OFFSET('360SpcLdsCSV'!$B$5,$B188,AL$51)</f>
        <v>#N/A</v>
      </c>
      <c r="AM188" s="663" t="e">
        <f t="shared" ca="1" si="168"/>
        <v>#N/A</v>
      </c>
      <c r="AN188" s="663" t="e">
        <f t="shared" ca="1" si="169"/>
        <v>#N/A</v>
      </c>
      <c r="AO188" s="663" t="e">
        <f t="shared" ca="1" si="196"/>
        <v>#N/A</v>
      </c>
      <c r="AP188" s="663" t="e">
        <f t="shared" ca="1" si="170"/>
        <v>#N/A</v>
      </c>
      <c r="AQ188" s="663" t="e">
        <f t="shared" ca="1" si="171"/>
        <v>#N/A</v>
      </c>
      <c r="AR188" s="663" t="e">
        <f t="shared" ca="1" si="172"/>
        <v>#N/A</v>
      </c>
      <c r="AS188" s="663" t="e">
        <f t="shared" ca="1" si="173"/>
        <v>#N/A</v>
      </c>
      <c r="AT188" s="663" t="e">
        <f t="shared" ca="1" si="174"/>
        <v>#N/A</v>
      </c>
      <c r="AU188" s="663" t="e">
        <f t="shared" ca="1" si="175"/>
        <v>#N/A</v>
      </c>
      <c r="AV188" s="663" t="e">
        <f t="shared" ca="1" si="176"/>
        <v>#N/A</v>
      </c>
      <c r="AW188" s="663" t="e">
        <f t="shared" ca="1" si="177"/>
        <v>#N/A</v>
      </c>
      <c r="AX188" s="663" t="e">
        <f t="shared" ca="1" si="178"/>
        <v>#N/A</v>
      </c>
      <c r="AY188" s="663" t="e">
        <f t="shared" ca="1" si="179"/>
        <v>#N/A</v>
      </c>
      <c r="AZ188" s="663" t="e">
        <f t="shared" ca="1" si="180"/>
        <v>#N/A</v>
      </c>
      <c r="BA188" s="663" t="e">
        <f t="shared" ca="1" si="181"/>
        <v>#N/A</v>
      </c>
      <c r="BB188" s="663" t="e">
        <f t="shared" ca="1" si="182"/>
        <v>#N/A</v>
      </c>
      <c r="BC188" s="663" t="e">
        <f t="shared" ca="1" si="183"/>
        <v>#N/A</v>
      </c>
      <c r="BD188" s="663" t="e">
        <f t="shared" ca="1" si="184"/>
        <v>#N/A</v>
      </c>
      <c r="BE188" s="663" t="e">
        <f t="shared" ca="1" si="185"/>
        <v>#N/A</v>
      </c>
      <c r="BF188" s="663" t="e">
        <f t="shared" ca="1" si="186"/>
        <v>#N/A</v>
      </c>
      <c r="BG188" s="663" t="e">
        <f t="shared" ca="1" si="187"/>
        <v>#N/A</v>
      </c>
      <c r="BH188" s="663" t="e">
        <f t="shared" ca="1" si="188"/>
        <v>#N/A</v>
      </c>
      <c r="BI188" s="663" t="e">
        <f t="shared" ca="1" si="189"/>
        <v>#N/A</v>
      </c>
      <c r="BJ188" s="663" t="e">
        <f t="shared" ca="1" si="190"/>
        <v>#N/A</v>
      </c>
      <c r="BK188" s="663" t="e">
        <f t="shared" ca="1" si="191"/>
        <v>#N/A</v>
      </c>
      <c r="BL188" s="1918"/>
      <c r="BM188" s="1532"/>
      <c r="BN188" s="1919"/>
      <c r="BO188" s="603"/>
      <c r="BP188" s="602"/>
      <c r="BQ188" s="602"/>
      <c r="BR188" s="602"/>
      <c r="BS188" s="604"/>
      <c r="BT188" s="605"/>
      <c r="BU188" s="602"/>
      <c r="BV188" s="602"/>
      <c r="BW188" s="606"/>
      <c r="BX188" s="607"/>
      <c r="BY188" s="608"/>
      <c r="BZ188" s="608"/>
      <c r="CA188"/>
      <c r="CB188" s="600"/>
    </row>
    <row r="189" spans="2:80" ht="12" customHeight="1" x14ac:dyDescent="0.35">
      <c r="B189" s="590" t="e">
        <f>MATCH(C189,'360SpcLdsCSV'!$C$6:$C$500,0)</f>
        <v>#N/A</v>
      </c>
      <c r="C189" s="590">
        <f>'360SpcLdsCSV'!C138</f>
        <v>0</v>
      </c>
      <c r="D189" s="590" t="str">
        <f t="shared" si="192"/>
        <v>0</v>
      </c>
      <c r="E189" s="590" t="e">
        <f t="shared" si="193"/>
        <v>#VALUE!</v>
      </c>
      <c r="F189" s="590" t="e">
        <f t="shared" si="194"/>
        <v>#VALUE!</v>
      </c>
      <c r="G189" s="590" t="str">
        <f t="shared" si="195"/>
        <v>0</v>
      </c>
      <c r="H189" s="590" t="e">
        <f ca="1">OFFSET('360SpcLdsCSV'!$B$5,$B189,H$51)</f>
        <v>#N/A</v>
      </c>
      <c r="I189" s="590" t="e">
        <f ca="1">OFFSET('360SpcLdsCSV'!$B$5,$B189,I$51)</f>
        <v>#N/A</v>
      </c>
      <c r="J189" s="590" t="e">
        <f ca="1">OFFSET('360SpcLdsCSV'!$B$5,$B189,J$51)</f>
        <v>#N/A</v>
      </c>
      <c r="K189" s="590" t="e">
        <f ca="1">OFFSET('360SpcLdsCSV'!$B$5,$B189,K$51)</f>
        <v>#N/A</v>
      </c>
      <c r="L189" s="590" t="e">
        <f ca="1">OFFSET('360SpcLdsCSV'!$B$5,$B189,L$51)</f>
        <v>#N/A</v>
      </c>
      <c r="M189" s="592" t="e">
        <f ca="1">OFFSET('360SpcLdsCSV'!$B$5,$B189,M$51)</f>
        <v>#N/A</v>
      </c>
      <c r="N189" s="592" t="e">
        <f ca="1">OFFSET('360SpcLdsCSV'!$B$5,$B189,N$51)</f>
        <v>#N/A</v>
      </c>
      <c r="O189" s="592" t="e">
        <f ca="1">OFFSET('360SpcLdsCSV'!$B$5,$B189,O$51)</f>
        <v>#N/A</v>
      </c>
      <c r="P189" s="592" t="e">
        <f ca="1">OFFSET('360SpcLdsCSV'!$B$5,$B189,P$51)</f>
        <v>#N/A</v>
      </c>
      <c r="Q189" s="592" t="e">
        <f ca="1">OFFSET('360SpcLdsCSV'!$B$5,$B189,Q$51)</f>
        <v>#N/A</v>
      </c>
      <c r="R189" s="592" t="e">
        <f ca="1">OFFSET('360SpcLdsCSV'!$B$5,$B189,R$51)</f>
        <v>#N/A</v>
      </c>
      <c r="S189" s="592" t="e">
        <f ca="1">OFFSET('360SpcLdsCSV'!$B$5,$B189,S$51)</f>
        <v>#N/A</v>
      </c>
      <c r="T189" s="592" t="e">
        <f ca="1">OFFSET('360SpcLdsCSV'!$B$5,$B189,T$51)</f>
        <v>#N/A</v>
      </c>
      <c r="U189" s="592" t="e">
        <f ca="1">OFFSET('360SpcLdsCSV'!$B$5,$B189,U$51)</f>
        <v>#N/A</v>
      </c>
      <c r="V189" s="592" t="e">
        <f ca="1">OFFSET('360SpcLdsCSV'!$B$5,$B189,V$51)</f>
        <v>#N/A</v>
      </c>
      <c r="W189" s="592" t="e">
        <f ca="1">OFFSET('360SpcLdsCSV'!$B$5,$B189,W$51)</f>
        <v>#N/A</v>
      </c>
      <c r="X189" s="592" t="e">
        <f ca="1">OFFSET('360SpcLdsCSV'!$B$5,$B189,X$51)</f>
        <v>#N/A</v>
      </c>
      <c r="Y189" s="592" t="e">
        <f ca="1">OFFSET('360SpcLdsCSV'!$B$5,$B189,Y$51)</f>
        <v>#N/A</v>
      </c>
      <c r="Z189" s="592" t="e">
        <f ca="1">OFFSET('360SpcLdsCSV'!$B$5,$B189,Z$51)</f>
        <v>#N/A</v>
      </c>
      <c r="AA189" s="592" t="e">
        <f ca="1">OFFSET('360SpcLdsCSV'!$B$5,$B189,AA$51)</f>
        <v>#N/A</v>
      </c>
      <c r="AB189" s="592" t="e">
        <f ca="1">OFFSET('360SpcLdsCSV'!$B$5,$B189,AB$51)</f>
        <v>#N/A</v>
      </c>
      <c r="AC189" s="592" t="e">
        <f ca="1">OFFSET('360SpcLdsCSV'!$B$5,$B189,AC$51)</f>
        <v>#N/A</v>
      </c>
      <c r="AD189" s="592" t="e">
        <f ca="1">OFFSET('360SpcLdsCSV'!$B$5,$B189,AD$51)</f>
        <v>#N/A</v>
      </c>
      <c r="AE189" s="592" t="e">
        <f ca="1">OFFSET('360SpcLdsCSV'!$B$5,$B189,AE$51)</f>
        <v>#N/A</v>
      </c>
      <c r="AF189" s="592" t="e">
        <f ca="1">OFFSET('360SpcLdsCSV'!$B$5,$B189,AF$51)</f>
        <v>#N/A</v>
      </c>
      <c r="AG189" s="592" t="e">
        <f ca="1">OFFSET('360SpcLdsCSV'!$B$5,$B189,AG$51)</f>
        <v>#N/A</v>
      </c>
      <c r="AH189" s="592" t="e">
        <f ca="1">OFFSET('360SpcLdsCSV'!$B$5,$B189,AH$51)</f>
        <v>#N/A</v>
      </c>
      <c r="AI189" s="592" t="e">
        <f ca="1">OFFSET('360SpcLdsCSV'!$B$5,$B189,AI$51)</f>
        <v>#N/A</v>
      </c>
      <c r="AJ189" s="592" t="e" cm="1">
        <f t="array" ref="AJ189">_xlfn.IFS($F189="Resi",1,$F189="Racc",0,$F189="Coml",0,$F189="Prkg",0)</f>
        <v>#VALUE!</v>
      </c>
      <c r="AK189" s="596"/>
      <c r="AL189" s="590" t="e">
        <f ca="1">OFFSET('360SpcLdsCSV'!$B$5,$B189,AL$51)</f>
        <v>#N/A</v>
      </c>
      <c r="AM189" s="663" t="e">
        <f t="shared" ca="1" si="168"/>
        <v>#N/A</v>
      </c>
      <c r="AN189" s="663" t="e">
        <f t="shared" ca="1" si="169"/>
        <v>#N/A</v>
      </c>
      <c r="AO189" s="663" t="e">
        <f t="shared" ca="1" si="196"/>
        <v>#N/A</v>
      </c>
      <c r="AP189" s="663" t="e">
        <f t="shared" ca="1" si="170"/>
        <v>#N/A</v>
      </c>
      <c r="AQ189" s="663" t="e">
        <f t="shared" ca="1" si="171"/>
        <v>#N/A</v>
      </c>
      <c r="AR189" s="663" t="e">
        <f t="shared" ca="1" si="172"/>
        <v>#N/A</v>
      </c>
      <c r="AS189" s="663" t="e">
        <f t="shared" ca="1" si="173"/>
        <v>#N/A</v>
      </c>
      <c r="AT189" s="663" t="e">
        <f t="shared" ca="1" si="174"/>
        <v>#N/A</v>
      </c>
      <c r="AU189" s="663" t="e">
        <f t="shared" ca="1" si="175"/>
        <v>#N/A</v>
      </c>
      <c r="AV189" s="663" t="e">
        <f t="shared" ca="1" si="176"/>
        <v>#N/A</v>
      </c>
      <c r="AW189" s="663" t="e">
        <f t="shared" ca="1" si="177"/>
        <v>#N/A</v>
      </c>
      <c r="AX189" s="663" t="e">
        <f t="shared" ca="1" si="178"/>
        <v>#N/A</v>
      </c>
      <c r="AY189" s="663" t="e">
        <f t="shared" ca="1" si="179"/>
        <v>#N/A</v>
      </c>
      <c r="AZ189" s="663" t="e">
        <f t="shared" ca="1" si="180"/>
        <v>#N/A</v>
      </c>
      <c r="BA189" s="663" t="e">
        <f t="shared" ca="1" si="181"/>
        <v>#N/A</v>
      </c>
      <c r="BB189" s="663" t="e">
        <f t="shared" ca="1" si="182"/>
        <v>#N/A</v>
      </c>
      <c r="BC189" s="663" t="e">
        <f t="shared" ca="1" si="183"/>
        <v>#N/A</v>
      </c>
      <c r="BD189" s="663" t="e">
        <f t="shared" ca="1" si="184"/>
        <v>#N/A</v>
      </c>
      <c r="BE189" s="663" t="e">
        <f t="shared" ca="1" si="185"/>
        <v>#N/A</v>
      </c>
      <c r="BF189" s="663" t="e">
        <f t="shared" ca="1" si="186"/>
        <v>#N/A</v>
      </c>
      <c r="BG189" s="663" t="e">
        <f t="shared" ca="1" si="187"/>
        <v>#N/A</v>
      </c>
      <c r="BH189" s="663" t="e">
        <f t="shared" ca="1" si="188"/>
        <v>#N/A</v>
      </c>
      <c r="BI189" s="663" t="e">
        <f t="shared" ca="1" si="189"/>
        <v>#N/A</v>
      </c>
      <c r="BJ189" s="663" t="e">
        <f t="shared" ca="1" si="190"/>
        <v>#N/A</v>
      </c>
      <c r="BK189" s="663" t="e">
        <f t="shared" ca="1" si="191"/>
        <v>#N/A</v>
      </c>
      <c r="BL189" s="1918"/>
      <c r="BM189" s="1532"/>
      <c r="BN189" s="1919"/>
      <c r="BO189" s="603"/>
      <c r="BP189" s="602"/>
      <c r="BQ189" s="602"/>
      <c r="BR189" s="602"/>
      <c r="BS189" s="604"/>
      <c r="BT189" s="605"/>
      <c r="BU189" s="602"/>
      <c r="BV189" s="602"/>
      <c r="BW189" s="606"/>
      <c r="BX189" s="607"/>
      <c r="BY189" s="608"/>
      <c r="BZ189" s="608"/>
      <c r="CA189"/>
      <c r="CB189" s="600"/>
    </row>
    <row r="190" spans="2:80" ht="12" customHeight="1" x14ac:dyDescent="0.35">
      <c r="B190" s="590" t="e">
        <f>MATCH(C190,'360SpcLdsCSV'!$C$6:$C$500,0)</f>
        <v>#N/A</v>
      </c>
      <c r="C190" s="590">
        <f>'360SpcLdsCSV'!C139</f>
        <v>0</v>
      </c>
      <c r="D190" s="590" t="str">
        <f t="shared" si="192"/>
        <v>0</v>
      </c>
      <c r="E190" s="590" t="e">
        <f t="shared" si="193"/>
        <v>#VALUE!</v>
      </c>
      <c r="F190" s="590" t="e">
        <f t="shared" si="194"/>
        <v>#VALUE!</v>
      </c>
      <c r="G190" s="590" t="str">
        <f t="shared" si="195"/>
        <v>0</v>
      </c>
      <c r="H190" s="590" t="e">
        <f ca="1">OFFSET('360SpcLdsCSV'!$B$5,$B190,H$51)</f>
        <v>#N/A</v>
      </c>
      <c r="I190" s="590" t="e">
        <f ca="1">OFFSET('360SpcLdsCSV'!$B$5,$B190,I$51)</f>
        <v>#N/A</v>
      </c>
      <c r="J190" s="590" t="e">
        <f ca="1">OFFSET('360SpcLdsCSV'!$B$5,$B190,J$51)</f>
        <v>#N/A</v>
      </c>
      <c r="K190" s="590" t="e">
        <f ca="1">OFFSET('360SpcLdsCSV'!$B$5,$B190,K$51)</f>
        <v>#N/A</v>
      </c>
      <c r="L190" s="590" t="e">
        <f ca="1">OFFSET('360SpcLdsCSV'!$B$5,$B190,L$51)</f>
        <v>#N/A</v>
      </c>
      <c r="M190" s="592" t="e">
        <f ca="1">OFFSET('360SpcLdsCSV'!$B$5,$B190,M$51)</f>
        <v>#N/A</v>
      </c>
      <c r="N190" s="592" t="e">
        <f ca="1">OFFSET('360SpcLdsCSV'!$B$5,$B190,N$51)</f>
        <v>#N/A</v>
      </c>
      <c r="O190" s="592" t="e">
        <f ca="1">OFFSET('360SpcLdsCSV'!$B$5,$B190,O$51)</f>
        <v>#N/A</v>
      </c>
      <c r="P190" s="592" t="e">
        <f ca="1">OFFSET('360SpcLdsCSV'!$B$5,$B190,P$51)</f>
        <v>#N/A</v>
      </c>
      <c r="Q190" s="592" t="e">
        <f ca="1">OFFSET('360SpcLdsCSV'!$B$5,$B190,Q$51)</f>
        <v>#N/A</v>
      </c>
      <c r="R190" s="592" t="e">
        <f ca="1">OFFSET('360SpcLdsCSV'!$B$5,$B190,R$51)</f>
        <v>#N/A</v>
      </c>
      <c r="S190" s="592" t="e">
        <f ca="1">OFFSET('360SpcLdsCSV'!$B$5,$B190,S$51)</f>
        <v>#N/A</v>
      </c>
      <c r="T190" s="592" t="e">
        <f ca="1">OFFSET('360SpcLdsCSV'!$B$5,$B190,T$51)</f>
        <v>#N/A</v>
      </c>
      <c r="U190" s="592" t="e">
        <f ca="1">OFFSET('360SpcLdsCSV'!$B$5,$B190,U$51)</f>
        <v>#N/A</v>
      </c>
      <c r="V190" s="592" t="e">
        <f ca="1">OFFSET('360SpcLdsCSV'!$B$5,$B190,V$51)</f>
        <v>#N/A</v>
      </c>
      <c r="W190" s="592" t="e">
        <f ca="1">OFFSET('360SpcLdsCSV'!$B$5,$B190,W$51)</f>
        <v>#N/A</v>
      </c>
      <c r="X190" s="592" t="e">
        <f ca="1">OFFSET('360SpcLdsCSV'!$B$5,$B190,X$51)</f>
        <v>#N/A</v>
      </c>
      <c r="Y190" s="592" t="e">
        <f ca="1">OFFSET('360SpcLdsCSV'!$B$5,$B190,Y$51)</f>
        <v>#N/A</v>
      </c>
      <c r="Z190" s="592" t="e">
        <f ca="1">OFFSET('360SpcLdsCSV'!$B$5,$B190,Z$51)</f>
        <v>#N/A</v>
      </c>
      <c r="AA190" s="592" t="e">
        <f ca="1">OFFSET('360SpcLdsCSV'!$B$5,$B190,AA$51)</f>
        <v>#N/A</v>
      </c>
      <c r="AB190" s="592" t="e">
        <f ca="1">OFFSET('360SpcLdsCSV'!$B$5,$B190,AB$51)</f>
        <v>#N/A</v>
      </c>
      <c r="AC190" s="592" t="e">
        <f ca="1">OFFSET('360SpcLdsCSV'!$B$5,$B190,AC$51)</f>
        <v>#N/A</v>
      </c>
      <c r="AD190" s="592" t="e">
        <f ca="1">OFFSET('360SpcLdsCSV'!$B$5,$B190,AD$51)</f>
        <v>#N/A</v>
      </c>
      <c r="AE190" s="592" t="e">
        <f ca="1">OFFSET('360SpcLdsCSV'!$B$5,$B190,AE$51)</f>
        <v>#N/A</v>
      </c>
      <c r="AF190" s="592" t="e">
        <f ca="1">OFFSET('360SpcLdsCSV'!$B$5,$B190,AF$51)</f>
        <v>#N/A</v>
      </c>
      <c r="AG190" s="592" t="e">
        <f ca="1">OFFSET('360SpcLdsCSV'!$B$5,$B190,AG$51)</f>
        <v>#N/A</v>
      </c>
      <c r="AH190" s="592" t="e">
        <f ca="1">OFFSET('360SpcLdsCSV'!$B$5,$B190,AH$51)</f>
        <v>#N/A</v>
      </c>
      <c r="AI190" s="592" t="e">
        <f ca="1">OFFSET('360SpcLdsCSV'!$B$5,$B190,AI$51)</f>
        <v>#N/A</v>
      </c>
      <c r="AJ190" s="592" t="e" cm="1">
        <f t="array" ref="AJ190">_xlfn.IFS($F190="Resi",1,$F190="Racc",0,$F190="Coml",0,$F190="Prkg",0)</f>
        <v>#VALUE!</v>
      </c>
      <c r="AK190" s="596"/>
      <c r="AL190" s="590" t="e">
        <f ca="1">OFFSET('360SpcLdsCSV'!$B$5,$B190,AL$51)</f>
        <v>#N/A</v>
      </c>
      <c r="AM190" s="663" t="e">
        <f t="shared" ca="1" si="168"/>
        <v>#N/A</v>
      </c>
      <c r="AN190" s="663" t="e">
        <f t="shared" ca="1" si="169"/>
        <v>#N/A</v>
      </c>
      <c r="AO190" s="663" t="e">
        <f t="shared" ca="1" si="196"/>
        <v>#N/A</v>
      </c>
      <c r="AP190" s="663" t="e">
        <f t="shared" ca="1" si="170"/>
        <v>#N/A</v>
      </c>
      <c r="AQ190" s="663" t="e">
        <f t="shared" ca="1" si="171"/>
        <v>#N/A</v>
      </c>
      <c r="AR190" s="663" t="e">
        <f t="shared" ca="1" si="172"/>
        <v>#N/A</v>
      </c>
      <c r="AS190" s="663" t="e">
        <f t="shared" ca="1" si="173"/>
        <v>#N/A</v>
      </c>
      <c r="AT190" s="663" t="e">
        <f t="shared" ca="1" si="174"/>
        <v>#N/A</v>
      </c>
      <c r="AU190" s="663" t="e">
        <f t="shared" ca="1" si="175"/>
        <v>#N/A</v>
      </c>
      <c r="AV190" s="663" t="e">
        <f t="shared" ca="1" si="176"/>
        <v>#N/A</v>
      </c>
      <c r="AW190" s="663" t="e">
        <f t="shared" ca="1" si="177"/>
        <v>#N/A</v>
      </c>
      <c r="AX190" s="663" t="e">
        <f t="shared" ca="1" si="178"/>
        <v>#N/A</v>
      </c>
      <c r="AY190" s="663" t="e">
        <f t="shared" ca="1" si="179"/>
        <v>#N/A</v>
      </c>
      <c r="AZ190" s="663" t="e">
        <f t="shared" ca="1" si="180"/>
        <v>#N/A</v>
      </c>
      <c r="BA190" s="663" t="e">
        <f t="shared" ca="1" si="181"/>
        <v>#N/A</v>
      </c>
      <c r="BB190" s="663" t="e">
        <f t="shared" ca="1" si="182"/>
        <v>#N/A</v>
      </c>
      <c r="BC190" s="663" t="e">
        <f t="shared" ca="1" si="183"/>
        <v>#N/A</v>
      </c>
      <c r="BD190" s="663" t="e">
        <f t="shared" ca="1" si="184"/>
        <v>#N/A</v>
      </c>
      <c r="BE190" s="663" t="e">
        <f t="shared" ca="1" si="185"/>
        <v>#N/A</v>
      </c>
      <c r="BF190" s="663" t="e">
        <f t="shared" ca="1" si="186"/>
        <v>#N/A</v>
      </c>
      <c r="BG190" s="663" t="e">
        <f t="shared" ca="1" si="187"/>
        <v>#N/A</v>
      </c>
      <c r="BH190" s="663" t="e">
        <f t="shared" ca="1" si="188"/>
        <v>#N/A</v>
      </c>
      <c r="BI190" s="663" t="e">
        <f t="shared" ca="1" si="189"/>
        <v>#N/A</v>
      </c>
      <c r="BJ190" s="663" t="e">
        <f t="shared" ca="1" si="190"/>
        <v>#N/A</v>
      </c>
      <c r="BK190" s="663" t="e">
        <f t="shared" ca="1" si="191"/>
        <v>#N/A</v>
      </c>
      <c r="BL190" s="1918"/>
      <c r="BM190" s="1532"/>
      <c r="BN190" s="1919"/>
      <c r="BO190" s="603"/>
      <c r="BP190" s="602"/>
      <c r="BQ190" s="602"/>
      <c r="BR190" s="602"/>
      <c r="BS190" s="604"/>
      <c r="BT190" s="605"/>
      <c r="BU190" s="602"/>
      <c r="BV190" s="602"/>
      <c r="BW190" s="606"/>
      <c r="BX190" s="607"/>
      <c r="BY190" s="608"/>
      <c r="BZ190" s="608"/>
      <c r="CA190"/>
      <c r="CB190" s="600"/>
    </row>
    <row r="191" spans="2:80" ht="12" customHeight="1" x14ac:dyDescent="0.35">
      <c r="B191" s="590" t="e">
        <f>MATCH(C191,'360SpcLdsCSV'!$C$6:$C$500,0)</f>
        <v>#N/A</v>
      </c>
      <c r="C191" s="590">
        <f>'360SpcLdsCSV'!C140</f>
        <v>0</v>
      </c>
      <c r="D191" s="590" t="str">
        <f t="shared" si="192"/>
        <v>0</v>
      </c>
      <c r="E191" s="590" t="e">
        <f t="shared" si="193"/>
        <v>#VALUE!</v>
      </c>
      <c r="F191" s="590" t="e">
        <f t="shared" si="194"/>
        <v>#VALUE!</v>
      </c>
      <c r="G191" s="590" t="str">
        <f t="shared" si="195"/>
        <v>0</v>
      </c>
      <c r="H191" s="590" t="e">
        <f ca="1">OFFSET('360SpcLdsCSV'!$B$5,$B191,H$51)</f>
        <v>#N/A</v>
      </c>
      <c r="I191" s="590" t="e">
        <f ca="1">OFFSET('360SpcLdsCSV'!$B$5,$B191,I$51)</f>
        <v>#N/A</v>
      </c>
      <c r="J191" s="590" t="e">
        <f ca="1">OFFSET('360SpcLdsCSV'!$B$5,$B191,J$51)</f>
        <v>#N/A</v>
      </c>
      <c r="K191" s="590" t="e">
        <f ca="1">OFFSET('360SpcLdsCSV'!$B$5,$B191,K$51)</f>
        <v>#N/A</v>
      </c>
      <c r="L191" s="590" t="e">
        <f ca="1">OFFSET('360SpcLdsCSV'!$B$5,$B191,L$51)</f>
        <v>#N/A</v>
      </c>
      <c r="M191" s="592" t="e">
        <f ca="1">OFFSET('360SpcLdsCSV'!$B$5,$B191,M$51)</f>
        <v>#N/A</v>
      </c>
      <c r="N191" s="592" t="e">
        <f ca="1">OFFSET('360SpcLdsCSV'!$B$5,$B191,N$51)</f>
        <v>#N/A</v>
      </c>
      <c r="O191" s="592" t="e">
        <f ca="1">OFFSET('360SpcLdsCSV'!$B$5,$B191,O$51)</f>
        <v>#N/A</v>
      </c>
      <c r="P191" s="592" t="e">
        <f ca="1">OFFSET('360SpcLdsCSV'!$B$5,$B191,P$51)</f>
        <v>#N/A</v>
      </c>
      <c r="Q191" s="592" t="e">
        <f ca="1">OFFSET('360SpcLdsCSV'!$B$5,$B191,Q$51)</f>
        <v>#N/A</v>
      </c>
      <c r="R191" s="592" t="e">
        <f ca="1">OFFSET('360SpcLdsCSV'!$B$5,$B191,R$51)</f>
        <v>#N/A</v>
      </c>
      <c r="S191" s="592" t="e">
        <f ca="1">OFFSET('360SpcLdsCSV'!$B$5,$B191,S$51)</f>
        <v>#N/A</v>
      </c>
      <c r="T191" s="592" t="e">
        <f ca="1">OFFSET('360SpcLdsCSV'!$B$5,$B191,T$51)</f>
        <v>#N/A</v>
      </c>
      <c r="U191" s="592" t="e">
        <f ca="1">OFFSET('360SpcLdsCSV'!$B$5,$B191,U$51)</f>
        <v>#N/A</v>
      </c>
      <c r="V191" s="592" t="e">
        <f ca="1">OFFSET('360SpcLdsCSV'!$B$5,$B191,V$51)</f>
        <v>#N/A</v>
      </c>
      <c r="W191" s="592" t="e">
        <f ca="1">OFFSET('360SpcLdsCSV'!$B$5,$B191,W$51)</f>
        <v>#N/A</v>
      </c>
      <c r="X191" s="592" t="e">
        <f ca="1">OFFSET('360SpcLdsCSV'!$B$5,$B191,X$51)</f>
        <v>#N/A</v>
      </c>
      <c r="Y191" s="592" t="e">
        <f ca="1">OFFSET('360SpcLdsCSV'!$B$5,$B191,Y$51)</f>
        <v>#N/A</v>
      </c>
      <c r="Z191" s="592" t="e">
        <f ca="1">OFFSET('360SpcLdsCSV'!$B$5,$B191,Z$51)</f>
        <v>#N/A</v>
      </c>
      <c r="AA191" s="592" t="e">
        <f ca="1">OFFSET('360SpcLdsCSV'!$B$5,$B191,AA$51)</f>
        <v>#N/A</v>
      </c>
      <c r="AB191" s="592" t="e">
        <f ca="1">OFFSET('360SpcLdsCSV'!$B$5,$B191,AB$51)</f>
        <v>#N/A</v>
      </c>
      <c r="AC191" s="592" t="e">
        <f ca="1">OFFSET('360SpcLdsCSV'!$B$5,$B191,AC$51)</f>
        <v>#N/A</v>
      </c>
      <c r="AD191" s="592" t="e">
        <f ca="1">OFFSET('360SpcLdsCSV'!$B$5,$B191,AD$51)</f>
        <v>#N/A</v>
      </c>
      <c r="AE191" s="592" t="e">
        <f ca="1">OFFSET('360SpcLdsCSV'!$B$5,$B191,AE$51)</f>
        <v>#N/A</v>
      </c>
      <c r="AF191" s="592" t="e">
        <f ca="1">OFFSET('360SpcLdsCSV'!$B$5,$B191,AF$51)</f>
        <v>#N/A</v>
      </c>
      <c r="AG191" s="592" t="e">
        <f ca="1">OFFSET('360SpcLdsCSV'!$B$5,$B191,AG$51)</f>
        <v>#N/A</v>
      </c>
      <c r="AH191" s="592" t="e">
        <f ca="1">OFFSET('360SpcLdsCSV'!$B$5,$B191,AH$51)</f>
        <v>#N/A</v>
      </c>
      <c r="AI191" s="592" t="e">
        <f ca="1">OFFSET('360SpcLdsCSV'!$B$5,$B191,AI$51)</f>
        <v>#N/A</v>
      </c>
      <c r="AJ191" s="592" t="e" cm="1">
        <f t="array" ref="AJ191">_xlfn.IFS($F191="Resi",1,$F191="Racc",0,$F191="Coml",0,$F191="Prkg",0)</f>
        <v>#VALUE!</v>
      </c>
      <c r="AK191" s="596"/>
      <c r="AL191" s="590" t="e">
        <f ca="1">OFFSET('360SpcLdsCSV'!$B$5,$B191,AL$51)</f>
        <v>#N/A</v>
      </c>
      <c r="AM191" s="663" t="e">
        <f t="shared" ca="1" si="168"/>
        <v>#N/A</v>
      </c>
      <c r="AN191" s="663" t="e">
        <f t="shared" ca="1" si="169"/>
        <v>#N/A</v>
      </c>
      <c r="AO191" s="663" t="e">
        <f t="shared" ca="1" si="196"/>
        <v>#N/A</v>
      </c>
      <c r="AP191" s="663" t="e">
        <f t="shared" ca="1" si="170"/>
        <v>#N/A</v>
      </c>
      <c r="AQ191" s="663" t="e">
        <f t="shared" ca="1" si="171"/>
        <v>#N/A</v>
      </c>
      <c r="AR191" s="663" t="e">
        <f t="shared" ca="1" si="172"/>
        <v>#N/A</v>
      </c>
      <c r="AS191" s="663" t="e">
        <f t="shared" ca="1" si="173"/>
        <v>#N/A</v>
      </c>
      <c r="AT191" s="663" t="e">
        <f t="shared" ca="1" si="174"/>
        <v>#N/A</v>
      </c>
      <c r="AU191" s="663" t="e">
        <f t="shared" ca="1" si="175"/>
        <v>#N/A</v>
      </c>
      <c r="AV191" s="663" t="e">
        <f t="shared" ca="1" si="176"/>
        <v>#N/A</v>
      </c>
      <c r="AW191" s="663" t="e">
        <f t="shared" ca="1" si="177"/>
        <v>#N/A</v>
      </c>
      <c r="AX191" s="663" t="e">
        <f t="shared" ca="1" si="178"/>
        <v>#N/A</v>
      </c>
      <c r="AY191" s="663" t="e">
        <f t="shared" ca="1" si="179"/>
        <v>#N/A</v>
      </c>
      <c r="AZ191" s="663" t="e">
        <f t="shared" ca="1" si="180"/>
        <v>#N/A</v>
      </c>
      <c r="BA191" s="663" t="e">
        <f t="shared" ca="1" si="181"/>
        <v>#N/A</v>
      </c>
      <c r="BB191" s="663" t="e">
        <f t="shared" ca="1" si="182"/>
        <v>#N/A</v>
      </c>
      <c r="BC191" s="663" t="e">
        <f t="shared" ca="1" si="183"/>
        <v>#N/A</v>
      </c>
      <c r="BD191" s="663" t="e">
        <f t="shared" ca="1" si="184"/>
        <v>#N/A</v>
      </c>
      <c r="BE191" s="663" t="e">
        <f t="shared" ca="1" si="185"/>
        <v>#N/A</v>
      </c>
      <c r="BF191" s="663" t="e">
        <f t="shared" ca="1" si="186"/>
        <v>#N/A</v>
      </c>
      <c r="BG191" s="663" t="e">
        <f t="shared" ca="1" si="187"/>
        <v>#N/A</v>
      </c>
      <c r="BH191" s="663" t="e">
        <f t="shared" ca="1" si="188"/>
        <v>#N/A</v>
      </c>
      <c r="BI191" s="663" t="e">
        <f t="shared" ca="1" si="189"/>
        <v>#N/A</v>
      </c>
      <c r="BJ191" s="663" t="e">
        <f t="shared" ca="1" si="190"/>
        <v>#N/A</v>
      </c>
      <c r="BK191" s="663" t="e">
        <f t="shared" ca="1" si="191"/>
        <v>#N/A</v>
      </c>
      <c r="BL191" s="1918"/>
      <c r="BM191" s="1532"/>
      <c r="BN191" s="1919"/>
      <c r="BO191" s="603"/>
      <c r="BP191" s="602"/>
      <c r="BQ191" s="602"/>
      <c r="BR191" s="602"/>
      <c r="BS191" s="604"/>
      <c r="BT191" s="605"/>
      <c r="BU191" s="602"/>
      <c r="BV191" s="602"/>
      <c r="BW191" s="606"/>
      <c r="BX191" s="607"/>
      <c r="BY191" s="608"/>
      <c r="BZ191" s="608"/>
      <c r="CA191"/>
      <c r="CB191" s="600"/>
    </row>
    <row r="192" spans="2:80" ht="12" customHeight="1" x14ac:dyDescent="0.35">
      <c r="B192" s="590" t="e">
        <f>MATCH(C192,'360SpcLdsCSV'!$C$6:$C$500,0)</f>
        <v>#N/A</v>
      </c>
      <c r="C192" s="590">
        <f>'360SpcLdsCSV'!C141</f>
        <v>0</v>
      </c>
      <c r="D192" s="590" t="str">
        <f t="shared" si="192"/>
        <v>0</v>
      </c>
      <c r="E192" s="590" t="e">
        <f t="shared" si="193"/>
        <v>#VALUE!</v>
      </c>
      <c r="F192" s="590" t="e">
        <f t="shared" si="194"/>
        <v>#VALUE!</v>
      </c>
      <c r="G192" s="590" t="str">
        <f t="shared" si="195"/>
        <v>0</v>
      </c>
      <c r="H192" s="590" t="e">
        <f ca="1">OFFSET('360SpcLdsCSV'!$B$5,$B192,H$51)</f>
        <v>#N/A</v>
      </c>
      <c r="I192" s="590" t="e">
        <f ca="1">OFFSET('360SpcLdsCSV'!$B$5,$B192,I$51)</f>
        <v>#N/A</v>
      </c>
      <c r="J192" s="590" t="e">
        <f ca="1">OFFSET('360SpcLdsCSV'!$B$5,$B192,J$51)</f>
        <v>#N/A</v>
      </c>
      <c r="K192" s="590" t="e">
        <f ca="1">OFFSET('360SpcLdsCSV'!$B$5,$B192,K$51)</f>
        <v>#N/A</v>
      </c>
      <c r="L192" s="590" t="e">
        <f ca="1">OFFSET('360SpcLdsCSV'!$B$5,$B192,L$51)</f>
        <v>#N/A</v>
      </c>
      <c r="M192" s="592" t="e">
        <f ca="1">OFFSET('360SpcLdsCSV'!$B$5,$B192,M$51)</f>
        <v>#N/A</v>
      </c>
      <c r="N192" s="592" t="e">
        <f ca="1">OFFSET('360SpcLdsCSV'!$B$5,$B192,N$51)</f>
        <v>#N/A</v>
      </c>
      <c r="O192" s="592" t="e">
        <f ca="1">OFFSET('360SpcLdsCSV'!$B$5,$B192,O$51)</f>
        <v>#N/A</v>
      </c>
      <c r="P192" s="592" t="e">
        <f ca="1">OFFSET('360SpcLdsCSV'!$B$5,$B192,P$51)</f>
        <v>#N/A</v>
      </c>
      <c r="Q192" s="592" t="e">
        <f ca="1">OFFSET('360SpcLdsCSV'!$B$5,$B192,Q$51)</f>
        <v>#N/A</v>
      </c>
      <c r="R192" s="592" t="e">
        <f ca="1">OFFSET('360SpcLdsCSV'!$B$5,$B192,R$51)</f>
        <v>#N/A</v>
      </c>
      <c r="S192" s="592" t="e">
        <f ca="1">OFFSET('360SpcLdsCSV'!$B$5,$B192,S$51)</f>
        <v>#N/A</v>
      </c>
      <c r="T192" s="592" t="e">
        <f ca="1">OFFSET('360SpcLdsCSV'!$B$5,$B192,T$51)</f>
        <v>#N/A</v>
      </c>
      <c r="U192" s="592" t="e">
        <f ca="1">OFFSET('360SpcLdsCSV'!$B$5,$B192,U$51)</f>
        <v>#N/A</v>
      </c>
      <c r="V192" s="592" t="e">
        <f ca="1">OFFSET('360SpcLdsCSV'!$B$5,$B192,V$51)</f>
        <v>#N/A</v>
      </c>
      <c r="W192" s="592" t="e">
        <f ca="1">OFFSET('360SpcLdsCSV'!$B$5,$B192,W$51)</f>
        <v>#N/A</v>
      </c>
      <c r="X192" s="592" t="e">
        <f ca="1">OFFSET('360SpcLdsCSV'!$B$5,$B192,X$51)</f>
        <v>#N/A</v>
      </c>
      <c r="Y192" s="592" t="e">
        <f ca="1">OFFSET('360SpcLdsCSV'!$B$5,$B192,Y$51)</f>
        <v>#N/A</v>
      </c>
      <c r="Z192" s="592" t="e">
        <f ca="1">OFFSET('360SpcLdsCSV'!$B$5,$B192,Z$51)</f>
        <v>#N/A</v>
      </c>
      <c r="AA192" s="592" t="e">
        <f ca="1">OFFSET('360SpcLdsCSV'!$B$5,$B192,AA$51)</f>
        <v>#N/A</v>
      </c>
      <c r="AB192" s="592" t="e">
        <f ca="1">OFFSET('360SpcLdsCSV'!$B$5,$B192,AB$51)</f>
        <v>#N/A</v>
      </c>
      <c r="AC192" s="592" t="e">
        <f ca="1">OFFSET('360SpcLdsCSV'!$B$5,$B192,AC$51)</f>
        <v>#N/A</v>
      </c>
      <c r="AD192" s="592" t="e">
        <f ca="1">OFFSET('360SpcLdsCSV'!$B$5,$B192,AD$51)</f>
        <v>#N/A</v>
      </c>
      <c r="AE192" s="592" t="e">
        <f ca="1">OFFSET('360SpcLdsCSV'!$B$5,$B192,AE$51)</f>
        <v>#N/A</v>
      </c>
      <c r="AF192" s="592" t="e">
        <f ca="1">OFFSET('360SpcLdsCSV'!$B$5,$B192,AF$51)</f>
        <v>#N/A</v>
      </c>
      <c r="AG192" s="592" t="e">
        <f ca="1">OFFSET('360SpcLdsCSV'!$B$5,$B192,AG$51)</f>
        <v>#N/A</v>
      </c>
      <c r="AH192" s="592" t="e">
        <f ca="1">OFFSET('360SpcLdsCSV'!$B$5,$B192,AH$51)</f>
        <v>#N/A</v>
      </c>
      <c r="AI192" s="592" t="e">
        <f ca="1">OFFSET('360SpcLdsCSV'!$B$5,$B192,AI$51)</f>
        <v>#N/A</v>
      </c>
      <c r="AJ192" s="592" t="e" cm="1">
        <f t="array" ref="AJ192">_xlfn.IFS($F192="Resi",1,$F192="Racc",0,$F192="Coml",0,$F192="Prkg",0)</f>
        <v>#VALUE!</v>
      </c>
      <c r="AK192" s="596"/>
      <c r="AL192" s="590" t="e">
        <f ca="1">OFFSET('360SpcLdsCSV'!$B$5,$B192,AL$51)</f>
        <v>#N/A</v>
      </c>
      <c r="AM192" s="663" t="e">
        <f t="shared" ca="1" si="168"/>
        <v>#N/A</v>
      </c>
      <c r="AN192" s="663" t="e">
        <f t="shared" ca="1" si="169"/>
        <v>#N/A</v>
      </c>
      <c r="AO192" s="663" t="e">
        <f t="shared" ca="1" si="196"/>
        <v>#N/A</v>
      </c>
      <c r="AP192" s="663" t="e">
        <f t="shared" ca="1" si="170"/>
        <v>#N/A</v>
      </c>
      <c r="AQ192" s="663" t="e">
        <f t="shared" ca="1" si="171"/>
        <v>#N/A</v>
      </c>
      <c r="AR192" s="663" t="e">
        <f t="shared" ca="1" si="172"/>
        <v>#N/A</v>
      </c>
      <c r="AS192" s="663" t="e">
        <f t="shared" ca="1" si="173"/>
        <v>#N/A</v>
      </c>
      <c r="AT192" s="663" t="e">
        <f t="shared" ca="1" si="174"/>
        <v>#N/A</v>
      </c>
      <c r="AU192" s="663" t="e">
        <f t="shared" ca="1" si="175"/>
        <v>#N/A</v>
      </c>
      <c r="AV192" s="663" t="e">
        <f t="shared" ca="1" si="176"/>
        <v>#N/A</v>
      </c>
      <c r="AW192" s="663" t="e">
        <f t="shared" ca="1" si="177"/>
        <v>#N/A</v>
      </c>
      <c r="AX192" s="663" t="e">
        <f t="shared" ca="1" si="178"/>
        <v>#N/A</v>
      </c>
      <c r="AY192" s="663" t="e">
        <f t="shared" ca="1" si="179"/>
        <v>#N/A</v>
      </c>
      <c r="AZ192" s="663" t="e">
        <f t="shared" ca="1" si="180"/>
        <v>#N/A</v>
      </c>
      <c r="BA192" s="663" t="e">
        <f t="shared" ca="1" si="181"/>
        <v>#N/A</v>
      </c>
      <c r="BB192" s="663" t="e">
        <f t="shared" ca="1" si="182"/>
        <v>#N/A</v>
      </c>
      <c r="BC192" s="663" t="e">
        <f t="shared" ca="1" si="183"/>
        <v>#N/A</v>
      </c>
      <c r="BD192" s="663" t="e">
        <f t="shared" ca="1" si="184"/>
        <v>#N/A</v>
      </c>
      <c r="BE192" s="663" t="e">
        <f t="shared" ca="1" si="185"/>
        <v>#N/A</v>
      </c>
      <c r="BF192" s="663" t="e">
        <f t="shared" ca="1" si="186"/>
        <v>#N/A</v>
      </c>
      <c r="BG192" s="663" t="e">
        <f t="shared" ca="1" si="187"/>
        <v>#N/A</v>
      </c>
      <c r="BH192" s="663" t="e">
        <f t="shared" ca="1" si="188"/>
        <v>#N/A</v>
      </c>
      <c r="BI192" s="663" t="e">
        <f t="shared" ca="1" si="189"/>
        <v>#N/A</v>
      </c>
      <c r="BJ192" s="663" t="e">
        <f t="shared" ca="1" si="190"/>
        <v>#N/A</v>
      </c>
      <c r="BK192" s="663" t="e">
        <f t="shared" ca="1" si="191"/>
        <v>#N/A</v>
      </c>
      <c r="BL192" s="1918"/>
      <c r="BM192" s="1532"/>
      <c r="BN192" s="1919"/>
      <c r="BO192" s="603"/>
      <c r="BP192" s="602"/>
      <c r="BQ192" s="602"/>
      <c r="BR192" s="602"/>
      <c r="BS192" s="604"/>
      <c r="BT192" s="605"/>
      <c r="BU192" s="602"/>
      <c r="BV192" s="602"/>
      <c r="BW192" s="606"/>
      <c r="BX192" s="607"/>
      <c r="BY192" s="608"/>
      <c r="BZ192" s="608"/>
      <c r="CA192"/>
      <c r="CB192" s="600"/>
    </row>
    <row r="193" spans="2:80" ht="12" customHeight="1" x14ac:dyDescent="0.35">
      <c r="B193" s="590" t="e">
        <f>MATCH(C193,'360SpcLdsCSV'!$C$6:$C$500,0)</f>
        <v>#N/A</v>
      </c>
      <c r="C193" s="590">
        <f>'360SpcLdsCSV'!C142</f>
        <v>0</v>
      </c>
      <c r="D193" s="590" t="str">
        <f t="shared" si="192"/>
        <v>0</v>
      </c>
      <c r="E193" s="590" t="e">
        <f t="shared" si="193"/>
        <v>#VALUE!</v>
      </c>
      <c r="F193" s="590" t="e">
        <f t="shared" si="194"/>
        <v>#VALUE!</v>
      </c>
      <c r="G193" s="590" t="str">
        <f t="shared" si="195"/>
        <v>0</v>
      </c>
      <c r="H193" s="590" t="e">
        <f ca="1">OFFSET('360SpcLdsCSV'!$B$5,$B193,H$51)</f>
        <v>#N/A</v>
      </c>
      <c r="I193" s="590" t="e">
        <f ca="1">OFFSET('360SpcLdsCSV'!$B$5,$B193,I$51)</f>
        <v>#N/A</v>
      </c>
      <c r="J193" s="590" t="e">
        <f ca="1">OFFSET('360SpcLdsCSV'!$B$5,$B193,J$51)</f>
        <v>#N/A</v>
      </c>
      <c r="K193" s="590" t="e">
        <f ca="1">OFFSET('360SpcLdsCSV'!$B$5,$B193,K$51)</f>
        <v>#N/A</v>
      </c>
      <c r="L193" s="590" t="e">
        <f ca="1">OFFSET('360SpcLdsCSV'!$B$5,$B193,L$51)</f>
        <v>#N/A</v>
      </c>
      <c r="M193" s="592" t="e">
        <f ca="1">OFFSET('360SpcLdsCSV'!$B$5,$B193,M$51)</f>
        <v>#N/A</v>
      </c>
      <c r="N193" s="592" t="e">
        <f ca="1">OFFSET('360SpcLdsCSV'!$B$5,$B193,N$51)</f>
        <v>#N/A</v>
      </c>
      <c r="O193" s="592" t="e">
        <f ca="1">OFFSET('360SpcLdsCSV'!$B$5,$B193,O$51)</f>
        <v>#N/A</v>
      </c>
      <c r="P193" s="592" t="e">
        <f ca="1">OFFSET('360SpcLdsCSV'!$B$5,$B193,P$51)</f>
        <v>#N/A</v>
      </c>
      <c r="Q193" s="592" t="e">
        <f ca="1">OFFSET('360SpcLdsCSV'!$B$5,$B193,Q$51)</f>
        <v>#N/A</v>
      </c>
      <c r="R193" s="592" t="e">
        <f ca="1">OFFSET('360SpcLdsCSV'!$B$5,$B193,R$51)</f>
        <v>#N/A</v>
      </c>
      <c r="S193" s="592" t="e">
        <f ca="1">OFFSET('360SpcLdsCSV'!$B$5,$B193,S$51)</f>
        <v>#N/A</v>
      </c>
      <c r="T193" s="592" t="e">
        <f ca="1">OFFSET('360SpcLdsCSV'!$B$5,$B193,T$51)</f>
        <v>#N/A</v>
      </c>
      <c r="U193" s="592" t="e">
        <f ca="1">OFFSET('360SpcLdsCSV'!$B$5,$B193,U$51)</f>
        <v>#N/A</v>
      </c>
      <c r="V193" s="592" t="e">
        <f ca="1">OFFSET('360SpcLdsCSV'!$B$5,$B193,V$51)</f>
        <v>#N/A</v>
      </c>
      <c r="W193" s="592" t="e">
        <f ca="1">OFFSET('360SpcLdsCSV'!$B$5,$B193,W$51)</f>
        <v>#N/A</v>
      </c>
      <c r="X193" s="592" t="e">
        <f ca="1">OFFSET('360SpcLdsCSV'!$B$5,$B193,X$51)</f>
        <v>#N/A</v>
      </c>
      <c r="Y193" s="592" t="e">
        <f ca="1">OFFSET('360SpcLdsCSV'!$B$5,$B193,Y$51)</f>
        <v>#N/A</v>
      </c>
      <c r="Z193" s="592" t="e">
        <f ca="1">OFFSET('360SpcLdsCSV'!$B$5,$B193,Z$51)</f>
        <v>#N/A</v>
      </c>
      <c r="AA193" s="592" t="e">
        <f ca="1">OFFSET('360SpcLdsCSV'!$B$5,$B193,AA$51)</f>
        <v>#N/A</v>
      </c>
      <c r="AB193" s="592" t="e">
        <f ca="1">OFFSET('360SpcLdsCSV'!$B$5,$B193,AB$51)</f>
        <v>#N/A</v>
      </c>
      <c r="AC193" s="592" t="e">
        <f ca="1">OFFSET('360SpcLdsCSV'!$B$5,$B193,AC$51)</f>
        <v>#N/A</v>
      </c>
      <c r="AD193" s="592" t="e">
        <f ca="1">OFFSET('360SpcLdsCSV'!$B$5,$B193,AD$51)</f>
        <v>#N/A</v>
      </c>
      <c r="AE193" s="592" t="e">
        <f ca="1">OFFSET('360SpcLdsCSV'!$B$5,$B193,AE$51)</f>
        <v>#N/A</v>
      </c>
      <c r="AF193" s="592" t="e">
        <f ca="1">OFFSET('360SpcLdsCSV'!$B$5,$B193,AF$51)</f>
        <v>#N/A</v>
      </c>
      <c r="AG193" s="592" t="e">
        <f ca="1">OFFSET('360SpcLdsCSV'!$B$5,$B193,AG$51)</f>
        <v>#N/A</v>
      </c>
      <c r="AH193" s="592" t="e">
        <f ca="1">OFFSET('360SpcLdsCSV'!$B$5,$B193,AH$51)</f>
        <v>#N/A</v>
      </c>
      <c r="AI193" s="592" t="e">
        <f ca="1">OFFSET('360SpcLdsCSV'!$B$5,$B193,AI$51)</f>
        <v>#N/A</v>
      </c>
      <c r="AJ193" s="592" t="e" cm="1">
        <f t="array" ref="AJ193">_xlfn.IFS($F193="Resi",1,$F193="Racc",0,$F193="Coml",0,$F193="Prkg",0)</f>
        <v>#VALUE!</v>
      </c>
      <c r="AK193" s="596"/>
      <c r="AL193" s="590" t="e">
        <f ca="1">OFFSET('360SpcLdsCSV'!$B$5,$B193,AL$51)</f>
        <v>#N/A</v>
      </c>
      <c r="AM193" s="663" t="e">
        <f t="shared" ca="1" si="168"/>
        <v>#N/A</v>
      </c>
      <c r="AN193" s="663" t="e">
        <f t="shared" ca="1" si="169"/>
        <v>#N/A</v>
      </c>
      <c r="AO193" s="663" t="e">
        <f t="shared" ca="1" si="196"/>
        <v>#N/A</v>
      </c>
      <c r="AP193" s="663" t="e">
        <f t="shared" ca="1" si="170"/>
        <v>#N/A</v>
      </c>
      <c r="AQ193" s="663" t="e">
        <f t="shared" ca="1" si="171"/>
        <v>#N/A</v>
      </c>
      <c r="AR193" s="663" t="e">
        <f t="shared" ca="1" si="172"/>
        <v>#N/A</v>
      </c>
      <c r="AS193" s="663" t="e">
        <f t="shared" ca="1" si="173"/>
        <v>#N/A</v>
      </c>
      <c r="AT193" s="663" t="e">
        <f t="shared" ca="1" si="174"/>
        <v>#N/A</v>
      </c>
      <c r="AU193" s="663" t="e">
        <f t="shared" ca="1" si="175"/>
        <v>#N/A</v>
      </c>
      <c r="AV193" s="663" t="e">
        <f t="shared" ca="1" si="176"/>
        <v>#N/A</v>
      </c>
      <c r="AW193" s="663" t="e">
        <f t="shared" ca="1" si="177"/>
        <v>#N/A</v>
      </c>
      <c r="AX193" s="663" t="e">
        <f t="shared" ca="1" si="178"/>
        <v>#N/A</v>
      </c>
      <c r="AY193" s="663" t="e">
        <f t="shared" ca="1" si="179"/>
        <v>#N/A</v>
      </c>
      <c r="AZ193" s="663" t="e">
        <f t="shared" ca="1" si="180"/>
        <v>#N/A</v>
      </c>
      <c r="BA193" s="663" t="e">
        <f t="shared" ca="1" si="181"/>
        <v>#N/A</v>
      </c>
      <c r="BB193" s="663" t="e">
        <f t="shared" ca="1" si="182"/>
        <v>#N/A</v>
      </c>
      <c r="BC193" s="663" t="e">
        <f t="shared" ca="1" si="183"/>
        <v>#N/A</v>
      </c>
      <c r="BD193" s="663" t="e">
        <f t="shared" ca="1" si="184"/>
        <v>#N/A</v>
      </c>
      <c r="BE193" s="663" t="e">
        <f t="shared" ca="1" si="185"/>
        <v>#N/A</v>
      </c>
      <c r="BF193" s="663" t="e">
        <f t="shared" ca="1" si="186"/>
        <v>#N/A</v>
      </c>
      <c r="BG193" s="663" t="e">
        <f t="shared" ca="1" si="187"/>
        <v>#N/A</v>
      </c>
      <c r="BH193" s="663" t="e">
        <f t="shared" ca="1" si="188"/>
        <v>#N/A</v>
      </c>
      <c r="BI193" s="663" t="e">
        <f t="shared" ca="1" si="189"/>
        <v>#N/A</v>
      </c>
      <c r="BJ193" s="663" t="e">
        <f t="shared" ca="1" si="190"/>
        <v>#N/A</v>
      </c>
      <c r="BK193" s="663" t="e">
        <f t="shared" ca="1" si="191"/>
        <v>#N/A</v>
      </c>
      <c r="BL193" s="1918"/>
      <c r="BM193" s="1532"/>
      <c r="BN193" s="1919"/>
      <c r="BO193" s="603"/>
      <c r="BP193" s="602"/>
      <c r="BQ193" s="602"/>
      <c r="BR193" s="602"/>
      <c r="BS193" s="604"/>
      <c r="BT193" s="605"/>
      <c r="BU193" s="602"/>
      <c r="BV193" s="602"/>
      <c r="BW193" s="606"/>
      <c r="BX193" s="607"/>
      <c r="BY193" s="608"/>
      <c r="BZ193" s="608"/>
      <c r="CA193"/>
      <c r="CB193" s="600"/>
    </row>
    <row r="194" spans="2:80" ht="12" customHeight="1" x14ac:dyDescent="0.35">
      <c r="B194" s="590" t="e">
        <f>MATCH(C194,'360SpcLdsCSV'!$C$6:$C$500,0)</f>
        <v>#N/A</v>
      </c>
      <c r="C194" s="590">
        <f>'360SpcLdsCSV'!C143</f>
        <v>0</v>
      </c>
      <c r="D194" s="590" t="str">
        <f t="shared" si="192"/>
        <v>0</v>
      </c>
      <c r="E194" s="590" t="e">
        <f t="shared" si="193"/>
        <v>#VALUE!</v>
      </c>
      <c r="F194" s="590" t="e">
        <f t="shared" si="194"/>
        <v>#VALUE!</v>
      </c>
      <c r="G194" s="590" t="str">
        <f t="shared" si="195"/>
        <v>0</v>
      </c>
      <c r="H194" s="590" t="e">
        <f ca="1">OFFSET('360SpcLdsCSV'!$B$5,$B194,H$51)</f>
        <v>#N/A</v>
      </c>
      <c r="I194" s="590" t="e">
        <f ca="1">OFFSET('360SpcLdsCSV'!$B$5,$B194,I$51)</f>
        <v>#N/A</v>
      </c>
      <c r="J194" s="590" t="e">
        <f ca="1">OFFSET('360SpcLdsCSV'!$B$5,$B194,J$51)</f>
        <v>#N/A</v>
      </c>
      <c r="K194" s="590" t="e">
        <f ca="1">OFFSET('360SpcLdsCSV'!$B$5,$B194,K$51)</f>
        <v>#N/A</v>
      </c>
      <c r="L194" s="590" t="e">
        <f ca="1">OFFSET('360SpcLdsCSV'!$B$5,$B194,L$51)</f>
        <v>#N/A</v>
      </c>
      <c r="M194" s="592" t="e">
        <f ca="1">OFFSET('360SpcLdsCSV'!$B$5,$B194,M$51)</f>
        <v>#N/A</v>
      </c>
      <c r="N194" s="592" t="e">
        <f ca="1">OFFSET('360SpcLdsCSV'!$B$5,$B194,N$51)</f>
        <v>#N/A</v>
      </c>
      <c r="O194" s="592" t="e">
        <f ca="1">OFFSET('360SpcLdsCSV'!$B$5,$B194,O$51)</f>
        <v>#N/A</v>
      </c>
      <c r="P194" s="592" t="e">
        <f ca="1">OFFSET('360SpcLdsCSV'!$B$5,$B194,P$51)</f>
        <v>#N/A</v>
      </c>
      <c r="Q194" s="592" t="e">
        <f ca="1">OFFSET('360SpcLdsCSV'!$B$5,$B194,Q$51)</f>
        <v>#N/A</v>
      </c>
      <c r="R194" s="592" t="e">
        <f ca="1">OFFSET('360SpcLdsCSV'!$B$5,$B194,R$51)</f>
        <v>#N/A</v>
      </c>
      <c r="S194" s="592" t="e">
        <f ca="1">OFFSET('360SpcLdsCSV'!$B$5,$B194,S$51)</f>
        <v>#N/A</v>
      </c>
      <c r="T194" s="592" t="e">
        <f ca="1">OFFSET('360SpcLdsCSV'!$B$5,$B194,T$51)</f>
        <v>#N/A</v>
      </c>
      <c r="U194" s="592" t="e">
        <f ca="1">OFFSET('360SpcLdsCSV'!$B$5,$B194,U$51)</f>
        <v>#N/A</v>
      </c>
      <c r="V194" s="592" t="e">
        <f ca="1">OFFSET('360SpcLdsCSV'!$B$5,$B194,V$51)</f>
        <v>#N/A</v>
      </c>
      <c r="W194" s="592" t="e">
        <f ca="1">OFFSET('360SpcLdsCSV'!$B$5,$B194,W$51)</f>
        <v>#N/A</v>
      </c>
      <c r="X194" s="592" t="e">
        <f ca="1">OFFSET('360SpcLdsCSV'!$B$5,$B194,X$51)</f>
        <v>#N/A</v>
      </c>
      <c r="Y194" s="592" t="e">
        <f ca="1">OFFSET('360SpcLdsCSV'!$B$5,$B194,Y$51)</f>
        <v>#N/A</v>
      </c>
      <c r="Z194" s="592" t="e">
        <f ca="1">OFFSET('360SpcLdsCSV'!$B$5,$B194,Z$51)</f>
        <v>#N/A</v>
      </c>
      <c r="AA194" s="592" t="e">
        <f ca="1">OFFSET('360SpcLdsCSV'!$B$5,$B194,AA$51)</f>
        <v>#N/A</v>
      </c>
      <c r="AB194" s="592" t="e">
        <f ca="1">OFFSET('360SpcLdsCSV'!$B$5,$B194,AB$51)</f>
        <v>#N/A</v>
      </c>
      <c r="AC194" s="592" t="e">
        <f ca="1">OFFSET('360SpcLdsCSV'!$B$5,$B194,AC$51)</f>
        <v>#N/A</v>
      </c>
      <c r="AD194" s="592" t="e">
        <f ca="1">OFFSET('360SpcLdsCSV'!$B$5,$B194,AD$51)</f>
        <v>#N/A</v>
      </c>
      <c r="AE194" s="592" t="e">
        <f ca="1">OFFSET('360SpcLdsCSV'!$B$5,$B194,AE$51)</f>
        <v>#N/A</v>
      </c>
      <c r="AF194" s="592" t="e">
        <f ca="1">OFFSET('360SpcLdsCSV'!$B$5,$B194,AF$51)</f>
        <v>#N/A</v>
      </c>
      <c r="AG194" s="592" t="e">
        <f ca="1">OFFSET('360SpcLdsCSV'!$B$5,$B194,AG$51)</f>
        <v>#N/A</v>
      </c>
      <c r="AH194" s="592" t="e">
        <f ca="1">OFFSET('360SpcLdsCSV'!$B$5,$B194,AH$51)</f>
        <v>#N/A</v>
      </c>
      <c r="AI194" s="592" t="e">
        <f ca="1">OFFSET('360SpcLdsCSV'!$B$5,$B194,AI$51)</f>
        <v>#N/A</v>
      </c>
      <c r="AJ194" s="592" t="e" cm="1">
        <f t="array" ref="AJ194">_xlfn.IFS($F194="Resi",1,$F194="Racc",0,$F194="Coml",0,$F194="Prkg",0)</f>
        <v>#VALUE!</v>
      </c>
      <c r="AK194" s="596"/>
      <c r="AL194" s="590" t="e">
        <f ca="1">OFFSET('360SpcLdsCSV'!$B$5,$B194,AL$51)</f>
        <v>#N/A</v>
      </c>
      <c r="AM194" s="663" t="e">
        <f t="shared" ca="1" si="168"/>
        <v>#N/A</v>
      </c>
      <c r="AN194" s="663" t="e">
        <f t="shared" ca="1" si="169"/>
        <v>#N/A</v>
      </c>
      <c r="AO194" s="663" t="e">
        <f t="shared" ca="1" si="196"/>
        <v>#N/A</v>
      </c>
      <c r="AP194" s="663" t="e">
        <f t="shared" ca="1" si="170"/>
        <v>#N/A</v>
      </c>
      <c r="AQ194" s="663" t="e">
        <f t="shared" ca="1" si="171"/>
        <v>#N/A</v>
      </c>
      <c r="AR194" s="663" t="e">
        <f t="shared" ca="1" si="172"/>
        <v>#N/A</v>
      </c>
      <c r="AS194" s="663" t="e">
        <f t="shared" ca="1" si="173"/>
        <v>#N/A</v>
      </c>
      <c r="AT194" s="663" t="e">
        <f t="shared" ca="1" si="174"/>
        <v>#N/A</v>
      </c>
      <c r="AU194" s="663" t="e">
        <f t="shared" ca="1" si="175"/>
        <v>#N/A</v>
      </c>
      <c r="AV194" s="663" t="e">
        <f t="shared" ca="1" si="176"/>
        <v>#N/A</v>
      </c>
      <c r="AW194" s="663" t="e">
        <f t="shared" ca="1" si="177"/>
        <v>#N/A</v>
      </c>
      <c r="AX194" s="663" t="e">
        <f t="shared" ca="1" si="178"/>
        <v>#N/A</v>
      </c>
      <c r="AY194" s="663" t="e">
        <f t="shared" ca="1" si="179"/>
        <v>#N/A</v>
      </c>
      <c r="AZ194" s="663" t="e">
        <f t="shared" ca="1" si="180"/>
        <v>#N/A</v>
      </c>
      <c r="BA194" s="663" t="e">
        <f t="shared" ca="1" si="181"/>
        <v>#N/A</v>
      </c>
      <c r="BB194" s="663" t="e">
        <f t="shared" ca="1" si="182"/>
        <v>#N/A</v>
      </c>
      <c r="BC194" s="663" t="e">
        <f t="shared" ca="1" si="183"/>
        <v>#N/A</v>
      </c>
      <c r="BD194" s="663" t="e">
        <f t="shared" ca="1" si="184"/>
        <v>#N/A</v>
      </c>
      <c r="BE194" s="663" t="e">
        <f t="shared" ca="1" si="185"/>
        <v>#N/A</v>
      </c>
      <c r="BF194" s="663" t="e">
        <f t="shared" ca="1" si="186"/>
        <v>#N/A</v>
      </c>
      <c r="BG194" s="663" t="e">
        <f t="shared" ca="1" si="187"/>
        <v>#N/A</v>
      </c>
      <c r="BH194" s="663" t="e">
        <f t="shared" ca="1" si="188"/>
        <v>#N/A</v>
      </c>
      <c r="BI194" s="663" t="e">
        <f t="shared" ca="1" si="189"/>
        <v>#N/A</v>
      </c>
      <c r="BJ194" s="663" t="e">
        <f t="shared" ca="1" si="190"/>
        <v>#N/A</v>
      </c>
      <c r="BK194" s="663" t="e">
        <f t="shared" ca="1" si="191"/>
        <v>#N/A</v>
      </c>
      <c r="BL194" s="1918"/>
      <c r="BM194" s="1532"/>
      <c r="BN194" s="1919"/>
      <c r="BO194" s="603"/>
      <c r="BP194" s="602"/>
      <c r="BQ194" s="602"/>
      <c r="BR194" s="602"/>
      <c r="BS194" s="604"/>
      <c r="BT194" s="605"/>
      <c r="BU194" s="602"/>
      <c r="BV194" s="602"/>
      <c r="BW194" s="606"/>
      <c r="BX194" s="607"/>
      <c r="BY194" s="608"/>
      <c r="BZ194" s="608"/>
      <c r="CA194"/>
      <c r="CB194" s="600"/>
    </row>
    <row r="195" spans="2:80" ht="12" customHeight="1" x14ac:dyDescent="0.35">
      <c r="B195" s="590" t="e">
        <f>MATCH(C195,'360SpcLdsCSV'!$C$6:$C$500,0)</f>
        <v>#N/A</v>
      </c>
      <c r="C195" s="590">
        <f>'360SpcLdsCSV'!C144</f>
        <v>0</v>
      </c>
      <c r="D195" s="590" t="str">
        <f t="shared" si="192"/>
        <v>0</v>
      </c>
      <c r="E195" s="590" t="e">
        <f t="shared" si="193"/>
        <v>#VALUE!</v>
      </c>
      <c r="F195" s="590" t="e">
        <f t="shared" si="194"/>
        <v>#VALUE!</v>
      </c>
      <c r="G195" s="590" t="str">
        <f t="shared" si="195"/>
        <v>0</v>
      </c>
      <c r="H195" s="590" t="e">
        <f ca="1">OFFSET('360SpcLdsCSV'!$B$5,$B195,H$51)</f>
        <v>#N/A</v>
      </c>
      <c r="I195" s="590" t="e">
        <f ca="1">OFFSET('360SpcLdsCSV'!$B$5,$B195,I$51)</f>
        <v>#N/A</v>
      </c>
      <c r="J195" s="590" t="e">
        <f ca="1">OFFSET('360SpcLdsCSV'!$B$5,$B195,J$51)</f>
        <v>#N/A</v>
      </c>
      <c r="K195" s="590" t="e">
        <f ca="1">OFFSET('360SpcLdsCSV'!$B$5,$B195,K$51)</f>
        <v>#N/A</v>
      </c>
      <c r="L195" s="590" t="e">
        <f ca="1">OFFSET('360SpcLdsCSV'!$B$5,$B195,L$51)</f>
        <v>#N/A</v>
      </c>
      <c r="M195" s="592" t="e">
        <f ca="1">OFFSET('360SpcLdsCSV'!$B$5,$B195,M$51)</f>
        <v>#N/A</v>
      </c>
      <c r="N195" s="592" t="e">
        <f ca="1">OFFSET('360SpcLdsCSV'!$B$5,$B195,N$51)</f>
        <v>#N/A</v>
      </c>
      <c r="O195" s="592" t="e">
        <f ca="1">OFFSET('360SpcLdsCSV'!$B$5,$B195,O$51)</f>
        <v>#N/A</v>
      </c>
      <c r="P195" s="592" t="e">
        <f ca="1">OFFSET('360SpcLdsCSV'!$B$5,$B195,P$51)</f>
        <v>#N/A</v>
      </c>
      <c r="Q195" s="592" t="e">
        <f ca="1">OFFSET('360SpcLdsCSV'!$B$5,$B195,Q$51)</f>
        <v>#N/A</v>
      </c>
      <c r="R195" s="592" t="e">
        <f ca="1">OFFSET('360SpcLdsCSV'!$B$5,$B195,R$51)</f>
        <v>#N/A</v>
      </c>
      <c r="S195" s="592" t="e">
        <f ca="1">OFFSET('360SpcLdsCSV'!$B$5,$B195,S$51)</f>
        <v>#N/A</v>
      </c>
      <c r="T195" s="592" t="e">
        <f ca="1">OFFSET('360SpcLdsCSV'!$B$5,$B195,T$51)</f>
        <v>#N/A</v>
      </c>
      <c r="U195" s="592" t="e">
        <f ca="1">OFFSET('360SpcLdsCSV'!$B$5,$B195,U$51)</f>
        <v>#N/A</v>
      </c>
      <c r="V195" s="592" t="e">
        <f ca="1">OFFSET('360SpcLdsCSV'!$B$5,$B195,V$51)</f>
        <v>#N/A</v>
      </c>
      <c r="W195" s="592" t="e">
        <f ca="1">OFFSET('360SpcLdsCSV'!$B$5,$B195,W$51)</f>
        <v>#N/A</v>
      </c>
      <c r="X195" s="592" t="e">
        <f ca="1">OFFSET('360SpcLdsCSV'!$B$5,$B195,X$51)</f>
        <v>#N/A</v>
      </c>
      <c r="Y195" s="592" t="e">
        <f ca="1">OFFSET('360SpcLdsCSV'!$B$5,$B195,Y$51)</f>
        <v>#N/A</v>
      </c>
      <c r="Z195" s="592" t="e">
        <f ca="1">OFFSET('360SpcLdsCSV'!$B$5,$B195,Z$51)</f>
        <v>#N/A</v>
      </c>
      <c r="AA195" s="592" t="e">
        <f ca="1">OFFSET('360SpcLdsCSV'!$B$5,$B195,AA$51)</f>
        <v>#N/A</v>
      </c>
      <c r="AB195" s="592" t="e">
        <f ca="1">OFFSET('360SpcLdsCSV'!$B$5,$B195,AB$51)</f>
        <v>#N/A</v>
      </c>
      <c r="AC195" s="592" t="e">
        <f ca="1">OFFSET('360SpcLdsCSV'!$B$5,$B195,AC$51)</f>
        <v>#N/A</v>
      </c>
      <c r="AD195" s="592" t="e">
        <f ca="1">OFFSET('360SpcLdsCSV'!$B$5,$B195,AD$51)</f>
        <v>#N/A</v>
      </c>
      <c r="AE195" s="592" t="e">
        <f ca="1">OFFSET('360SpcLdsCSV'!$B$5,$B195,AE$51)</f>
        <v>#N/A</v>
      </c>
      <c r="AF195" s="592" t="e">
        <f ca="1">OFFSET('360SpcLdsCSV'!$B$5,$B195,AF$51)</f>
        <v>#N/A</v>
      </c>
      <c r="AG195" s="592" t="e">
        <f ca="1">OFFSET('360SpcLdsCSV'!$B$5,$B195,AG$51)</f>
        <v>#N/A</v>
      </c>
      <c r="AH195" s="592" t="e">
        <f ca="1">OFFSET('360SpcLdsCSV'!$B$5,$B195,AH$51)</f>
        <v>#N/A</v>
      </c>
      <c r="AI195" s="592" t="e">
        <f ca="1">OFFSET('360SpcLdsCSV'!$B$5,$B195,AI$51)</f>
        <v>#N/A</v>
      </c>
      <c r="AJ195" s="592" t="e" cm="1">
        <f t="array" ref="AJ195">_xlfn.IFS($F195="Resi",1,$F195="Racc",0,$F195="Coml",0,$F195="Prkg",0)</f>
        <v>#VALUE!</v>
      </c>
      <c r="AK195" s="596"/>
      <c r="AL195" s="590" t="e">
        <f ca="1">OFFSET('360SpcLdsCSV'!$B$5,$B195,AL$51)</f>
        <v>#N/A</v>
      </c>
      <c r="AM195" s="663" t="e">
        <f t="shared" ca="1" si="168"/>
        <v>#N/A</v>
      </c>
      <c r="AN195" s="663" t="e">
        <f t="shared" ca="1" si="169"/>
        <v>#N/A</v>
      </c>
      <c r="AO195" s="663" t="e">
        <f t="shared" ca="1" si="196"/>
        <v>#N/A</v>
      </c>
      <c r="AP195" s="663" t="e">
        <f t="shared" ca="1" si="170"/>
        <v>#N/A</v>
      </c>
      <c r="AQ195" s="663" t="e">
        <f t="shared" ca="1" si="171"/>
        <v>#N/A</v>
      </c>
      <c r="AR195" s="663" t="e">
        <f t="shared" ca="1" si="172"/>
        <v>#N/A</v>
      </c>
      <c r="AS195" s="663" t="e">
        <f t="shared" ca="1" si="173"/>
        <v>#N/A</v>
      </c>
      <c r="AT195" s="663" t="e">
        <f t="shared" ca="1" si="174"/>
        <v>#N/A</v>
      </c>
      <c r="AU195" s="663" t="e">
        <f t="shared" ca="1" si="175"/>
        <v>#N/A</v>
      </c>
      <c r="AV195" s="663" t="e">
        <f t="shared" ca="1" si="176"/>
        <v>#N/A</v>
      </c>
      <c r="AW195" s="663" t="e">
        <f t="shared" ca="1" si="177"/>
        <v>#N/A</v>
      </c>
      <c r="AX195" s="663" t="e">
        <f t="shared" ca="1" si="178"/>
        <v>#N/A</v>
      </c>
      <c r="AY195" s="663" t="e">
        <f t="shared" ca="1" si="179"/>
        <v>#N/A</v>
      </c>
      <c r="AZ195" s="663" t="e">
        <f t="shared" ca="1" si="180"/>
        <v>#N/A</v>
      </c>
      <c r="BA195" s="663" t="e">
        <f t="shared" ca="1" si="181"/>
        <v>#N/A</v>
      </c>
      <c r="BB195" s="663" t="e">
        <f t="shared" ca="1" si="182"/>
        <v>#N/A</v>
      </c>
      <c r="BC195" s="663" t="e">
        <f t="shared" ca="1" si="183"/>
        <v>#N/A</v>
      </c>
      <c r="BD195" s="663" t="e">
        <f t="shared" ca="1" si="184"/>
        <v>#N/A</v>
      </c>
      <c r="BE195" s="663" t="e">
        <f t="shared" ca="1" si="185"/>
        <v>#N/A</v>
      </c>
      <c r="BF195" s="663" t="e">
        <f t="shared" ca="1" si="186"/>
        <v>#N/A</v>
      </c>
      <c r="BG195" s="663" t="e">
        <f t="shared" ca="1" si="187"/>
        <v>#N/A</v>
      </c>
      <c r="BH195" s="663" t="e">
        <f t="shared" ca="1" si="188"/>
        <v>#N/A</v>
      </c>
      <c r="BI195" s="663" t="e">
        <f t="shared" ca="1" si="189"/>
        <v>#N/A</v>
      </c>
      <c r="BJ195" s="663" t="e">
        <f t="shared" ca="1" si="190"/>
        <v>#N/A</v>
      </c>
      <c r="BK195" s="663" t="e">
        <f t="shared" ca="1" si="191"/>
        <v>#N/A</v>
      </c>
      <c r="BL195" s="1918"/>
      <c r="BM195" s="1532"/>
      <c r="BN195" s="1919"/>
      <c r="BO195" s="603"/>
      <c r="BP195" s="602"/>
      <c r="BQ195" s="602"/>
      <c r="BR195" s="602"/>
      <c r="BS195" s="604"/>
      <c r="BT195" s="605"/>
      <c r="BU195" s="602"/>
      <c r="BV195" s="602"/>
      <c r="BW195" s="606"/>
      <c r="BX195" s="607"/>
      <c r="BY195" s="608"/>
      <c r="BZ195" s="608"/>
      <c r="CA195"/>
      <c r="CB195" s="600"/>
    </row>
    <row r="196" spans="2:80" ht="12" customHeight="1" x14ac:dyDescent="0.35">
      <c r="B196" s="590" t="e">
        <f>MATCH(C196,'360SpcLdsCSV'!$C$6:$C$500,0)</f>
        <v>#N/A</v>
      </c>
      <c r="C196" s="590">
        <f>'360SpcLdsCSV'!C145</f>
        <v>0</v>
      </c>
      <c r="D196" s="590" t="str">
        <f t="shared" si="192"/>
        <v>0</v>
      </c>
      <c r="E196" s="590" t="e">
        <f t="shared" si="193"/>
        <v>#VALUE!</v>
      </c>
      <c r="F196" s="590" t="e">
        <f t="shared" si="194"/>
        <v>#VALUE!</v>
      </c>
      <c r="G196" s="590" t="str">
        <f t="shared" si="195"/>
        <v>0</v>
      </c>
      <c r="H196" s="590" t="e">
        <f ca="1">OFFSET('360SpcLdsCSV'!$B$5,$B196,H$51)</f>
        <v>#N/A</v>
      </c>
      <c r="I196" s="590" t="e">
        <f ca="1">OFFSET('360SpcLdsCSV'!$B$5,$B196,I$51)</f>
        <v>#N/A</v>
      </c>
      <c r="J196" s="590" t="e">
        <f ca="1">OFFSET('360SpcLdsCSV'!$B$5,$B196,J$51)</f>
        <v>#N/A</v>
      </c>
      <c r="K196" s="590" t="e">
        <f ca="1">OFFSET('360SpcLdsCSV'!$B$5,$B196,K$51)</f>
        <v>#N/A</v>
      </c>
      <c r="L196" s="590" t="e">
        <f ca="1">OFFSET('360SpcLdsCSV'!$B$5,$B196,L$51)</f>
        <v>#N/A</v>
      </c>
      <c r="M196" s="592" t="e">
        <f ca="1">OFFSET('360SpcLdsCSV'!$B$5,$B196,M$51)</f>
        <v>#N/A</v>
      </c>
      <c r="N196" s="592" t="e">
        <f ca="1">OFFSET('360SpcLdsCSV'!$B$5,$B196,N$51)</f>
        <v>#N/A</v>
      </c>
      <c r="O196" s="592" t="e">
        <f ca="1">OFFSET('360SpcLdsCSV'!$B$5,$B196,O$51)</f>
        <v>#N/A</v>
      </c>
      <c r="P196" s="592" t="e">
        <f ca="1">OFFSET('360SpcLdsCSV'!$B$5,$B196,P$51)</f>
        <v>#N/A</v>
      </c>
      <c r="Q196" s="592" t="e">
        <f ca="1">OFFSET('360SpcLdsCSV'!$B$5,$B196,Q$51)</f>
        <v>#N/A</v>
      </c>
      <c r="R196" s="592" t="e">
        <f ca="1">OFFSET('360SpcLdsCSV'!$B$5,$B196,R$51)</f>
        <v>#N/A</v>
      </c>
      <c r="S196" s="592" t="e">
        <f ca="1">OFFSET('360SpcLdsCSV'!$B$5,$B196,S$51)</f>
        <v>#N/A</v>
      </c>
      <c r="T196" s="592" t="e">
        <f ca="1">OFFSET('360SpcLdsCSV'!$B$5,$B196,T$51)</f>
        <v>#N/A</v>
      </c>
      <c r="U196" s="592" t="e">
        <f ca="1">OFFSET('360SpcLdsCSV'!$B$5,$B196,U$51)</f>
        <v>#N/A</v>
      </c>
      <c r="V196" s="592" t="e">
        <f ca="1">OFFSET('360SpcLdsCSV'!$B$5,$B196,V$51)</f>
        <v>#N/A</v>
      </c>
      <c r="W196" s="592" t="e">
        <f ca="1">OFFSET('360SpcLdsCSV'!$B$5,$B196,W$51)</f>
        <v>#N/A</v>
      </c>
      <c r="X196" s="592" t="e">
        <f ca="1">OFFSET('360SpcLdsCSV'!$B$5,$B196,X$51)</f>
        <v>#N/A</v>
      </c>
      <c r="Y196" s="592" t="e">
        <f ca="1">OFFSET('360SpcLdsCSV'!$B$5,$B196,Y$51)</f>
        <v>#N/A</v>
      </c>
      <c r="Z196" s="592" t="e">
        <f ca="1">OFFSET('360SpcLdsCSV'!$B$5,$B196,Z$51)</f>
        <v>#N/A</v>
      </c>
      <c r="AA196" s="592" t="e">
        <f ca="1">OFFSET('360SpcLdsCSV'!$B$5,$B196,AA$51)</f>
        <v>#N/A</v>
      </c>
      <c r="AB196" s="592" t="e">
        <f ca="1">OFFSET('360SpcLdsCSV'!$B$5,$B196,AB$51)</f>
        <v>#N/A</v>
      </c>
      <c r="AC196" s="592" t="e">
        <f ca="1">OFFSET('360SpcLdsCSV'!$B$5,$B196,AC$51)</f>
        <v>#N/A</v>
      </c>
      <c r="AD196" s="592" t="e">
        <f ca="1">OFFSET('360SpcLdsCSV'!$B$5,$B196,AD$51)</f>
        <v>#N/A</v>
      </c>
      <c r="AE196" s="592" t="e">
        <f ca="1">OFFSET('360SpcLdsCSV'!$B$5,$B196,AE$51)</f>
        <v>#N/A</v>
      </c>
      <c r="AF196" s="592" t="e">
        <f ca="1">OFFSET('360SpcLdsCSV'!$B$5,$B196,AF$51)</f>
        <v>#N/A</v>
      </c>
      <c r="AG196" s="592" t="e">
        <f ca="1">OFFSET('360SpcLdsCSV'!$B$5,$B196,AG$51)</f>
        <v>#N/A</v>
      </c>
      <c r="AH196" s="592" t="e">
        <f ca="1">OFFSET('360SpcLdsCSV'!$B$5,$B196,AH$51)</f>
        <v>#N/A</v>
      </c>
      <c r="AI196" s="592" t="e">
        <f ca="1">OFFSET('360SpcLdsCSV'!$B$5,$B196,AI$51)</f>
        <v>#N/A</v>
      </c>
      <c r="AJ196" s="592" t="e" cm="1">
        <f t="array" ref="AJ196">_xlfn.IFS($F196="Resi",1,$F196="Racc",0,$F196="Coml",0,$F196="Prkg",0)</f>
        <v>#VALUE!</v>
      </c>
      <c r="AK196" s="596"/>
      <c r="AL196" s="590" t="e">
        <f ca="1">OFFSET('360SpcLdsCSV'!$B$5,$B196,AL$51)</f>
        <v>#N/A</v>
      </c>
      <c r="AM196" s="663" t="e">
        <f t="shared" ca="1" si="168"/>
        <v>#N/A</v>
      </c>
      <c r="AN196" s="663" t="e">
        <f t="shared" ca="1" si="169"/>
        <v>#N/A</v>
      </c>
      <c r="AO196" s="663" t="e">
        <f t="shared" ca="1" si="196"/>
        <v>#N/A</v>
      </c>
      <c r="AP196" s="663" t="e">
        <f t="shared" ca="1" si="170"/>
        <v>#N/A</v>
      </c>
      <c r="AQ196" s="663" t="e">
        <f t="shared" ca="1" si="171"/>
        <v>#N/A</v>
      </c>
      <c r="AR196" s="663" t="e">
        <f t="shared" ca="1" si="172"/>
        <v>#N/A</v>
      </c>
      <c r="AS196" s="663" t="e">
        <f t="shared" ca="1" si="173"/>
        <v>#N/A</v>
      </c>
      <c r="AT196" s="663" t="e">
        <f t="shared" ca="1" si="174"/>
        <v>#N/A</v>
      </c>
      <c r="AU196" s="663" t="e">
        <f t="shared" ca="1" si="175"/>
        <v>#N/A</v>
      </c>
      <c r="AV196" s="663" t="e">
        <f t="shared" ca="1" si="176"/>
        <v>#N/A</v>
      </c>
      <c r="AW196" s="663" t="e">
        <f t="shared" ca="1" si="177"/>
        <v>#N/A</v>
      </c>
      <c r="AX196" s="663" t="e">
        <f t="shared" ca="1" si="178"/>
        <v>#N/A</v>
      </c>
      <c r="AY196" s="663" t="e">
        <f t="shared" ca="1" si="179"/>
        <v>#N/A</v>
      </c>
      <c r="AZ196" s="663" t="e">
        <f t="shared" ca="1" si="180"/>
        <v>#N/A</v>
      </c>
      <c r="BA196" s="663" t="e">
        <f t="shared" ca="1" si="181"/>
        <v>#N/A</v>
      </c>
      <c r="BB196" s="663" t="e">
        <f t="shared" ca="1" si="182"/>
        <v>#N/A</v>
      </c>
      <c r="BC196" s="663" t="e">
        <f t="shared" ca="1" si="183"/>
        <v>#N/A</v>
      </c>
      <c r="BD196" s="663" t="e">
        <f t="shared" ca="1" si="184"/>
        <v>#N/A</v>
      </c>
      <c r="BE196" s="663" t="e">
        <f t="shared" ca="1" si="185"/>
        <v>#N/A</v>
      </c>
      <c r="BF196" s="663" t="e">
        <f t="shared" ca="1" si="186"/>
        <v>#N/A</v>
      </c>
      <c r="BG196" s="663" t="e">
        <f t="shared" ca="1" si="187"/>
        <v>#N/A</v>
      </c>
      <c r="BH196" s="663" t="e">
        <f t="shared" ca="1" si="188"/>
        <v>#N/A</v>
      </c>
      <c r="BI196" s="663" t="e">
        <f t="shared" ca="1" si="189"/>
        <v>#N/A</v>
      </c>
      <c r="BJ196" s="663" t="e">
        <f t="shared" ca="1" si="190"/>
        <v>#N/A</v>
      </c>
      <c r="BK196" s="663" t="e">
        <f t="shared" ca="1" si="191"/>
        <v>#N/A</v>
      </c>
      <c r="BL196" s="1918"/>
      <c r="BM196" s="1532"/>
      <c r="BN196" s="1919"/>
      <c r="BO196" s="603"/>
      <c r="BP196" s="602"/>
      <c r="BQ196" s="602"/>
      <c r="BR196" s="602"/>
      <c r="BS196" s="604"/>
      <c r="BT196" s="605"/>
      <c r="BU196" s="602"/>
      <c r="BV196" s="602"/>
      <c r="BW196" s="606"/>
      <c r="BX196" s="607"/>
      <c r="BY196" s="608"/>
      <c r="BZ196" s="608"/>
      <c r="CA196"/>
      <c r="CB196" s="600"/>
    </row>
    <row r="197" spans="2:80" ht="12" customHeight="1" x14ac:dyDescent="0.35">
      <c r="B197" s="590" t="e">
        <f>MATCH(C197,'360SpcLdsCSV'!$C$6:$C$500,0)</f>
        <v>#N/A</v>
      </c>
      <c r="C197" s="590">
        <f>'360SpcLdsCSV'!C146</f>
        <v>0</v>
      </c>
      <c r="D197" s="590" t="str">
        <f t="shared" si="192"/>
        <v>0</v>
      </c>
      <c r="E197" s="590" t="e">
        <f t="shared" si="193"/>
        <v>#VALUE!</v>
      </c>
      <c r="F197" s="590" t="e">
        <f t="shared" si="194"/>
        <v>#VALUE!</v>
      </c>
      <c r="G197" s="590" t="str">
        <f t="shared" si="195"/>
        <v>0</v>
      </c>
      <c r="H197" s="590" t="e">
        <f ca="1">OFFSET('360SpcLdsCSV'!$B$5,$B197,H$51)</f>
        <v>#N/A</v>
      </c>
      <c r="I197" s="590" t="e">
        <f ca="1">OFFSET('360SpcLdsCSV'!$B$5,$B197,I$51)</f>
        <v>#N/A</v>
      </c>
      <c r="J197" s="590" t="e">
        <f ca="1">OFFSET('360SpcLdsCSV'!$B$5,$B197,J$51)</f>
        <v>#N/A</v>
      </c>
      <c r="K197" s="590" t="e">
        <f ca="1">OFFSET('360SpcLdsCSV'!$B$5,$B197,K$51)</f>
        <v>#N/A</v>
      </c>
      <c r="L197" s="590" t="e">
        <f ca="1">OFFSET('360SpcLdsCSV'!$B$5,$B197,L$51)</f>
        <v>#N/A</v>
      </c>
      <c r="M197" s="592" t="e">
        <f ca="1">OFFSET('360SpcLdsCSV'!$B$5,$B197,M$51)</f>
        <v>#N/A</v>
      </c>
      <c r="N197" s="592" t="e">
        <f ca="1">OFFSET('360SpcLdsCSV'!$B$5,$B197,N$51)</f>
        <v>#N/A</v>
      </c>
      <c r="O197" s="592" t="e">
        <f ca="1">OFFSET('360SpcLdsCSV'!$B$5,$B197,O$51)</f>
        <v>#N/A</v>
      </c>
      <c r="P197" s="592" t="e">
        <f ca="1">OFFSET('360SpcLdsCSV'!$B$5,$B197,P$51)</f>
        <v>#N/A</v>
      </c>
      <c r="Q197" s="592" t="e">
        <f ca="1">OFFSET('360SpcLdsCSV'!$B$5,$B197,Q$51)</f>
        <v>#N/A</v>
      </c>
      <c r="R197" s="592" t="e">
        <f ca="1">OFFSET('360SpcLdsCSV'!$B$5,$B197,R$51)</f>
        <v>#N/A</v>
      </c>
      <c r="S197" s="592" t="e">
        <f ca="1">OFFSET('360SpcLdsCSV'!$B$5,$B197,S$51)</f>
        <v>#N/A</v>
      </c>
      <c r="T197" s="592" t="e">
        <f ca="1">OFFSET('360SpcLdsCSV'!$B$5,$B197,T$51)</f>
        <v>#N/A</v>
      </c>
      <c r="U197" s="592" t="e">
        <f ca="1">OFFSET('360SpcLdsCSV'!$B$5,$B197,U$51)</f>
        <v>#N/A</v>
      </c>
      <c r="V197" s="592" t="e">
        <f ca="1">OFFSET('360SpcLdsCSV'!$B$5,$B197,V$51)</f>
        <v>#N/A</v>
      </c>
      <c r="W197" s="592" t="e">
        <f ca="1">OFFSET('360SpcLdsCSV'!$B$5,$B197,W$51)</f>
        <v>#N/A</v>
      </c>
      <c r="X197" s="592" t="e">
        <f ca="1">OFFSET('360SpcLdsCSV'!$B$5,$B197,X$51)</f>
        <v>#N/A</v>
      </c>
      <c r="Y197" s="592" t="e">
        <f ca="1">OFFSET('360SpcLdsCSV'!$B$5,$B197,Y$51)</f>
        <v>#N/A</v>
      </c>
      <c r="Z197" s="592" t="e">
        <f ca="1">OFFSET('360SpcLdsCSV'!$B$5,$B197,Z$51)</f>
        <v>#N/A</v>
      </c>
      <c r="AA197" s="592" t="e">
        <f ca="1">OFFSET('360SpcLdsCSV'!$B$5,$B197,AA$51)</f>
        <v>#N/A</v>
      </c>
      <c r="AB197" s="592" t="e">
        <f ca="1">OFFSET('360SpcLdsCSV'!$B$5,$B197,AB$51)</f>
        <v>#N/A</v>
      </c>
      <c r="AC197" s="592" t="e">
        <f ca="1">OFFSET('360SpcLdsCSV'!$B$5,$B197,AC$51)</f>
        <v>#N/A</v>
      </c>
      <c r="AD197" s="592" t="e">
        <f ca="1">OFFSET('360SpcLdsCSV'!$B$5,$B197,AD$51)</f>
        <v>#N/A</v>
      </c>
      <c r="AE197" s="592" t="e">
        <f ca="1">OFFSET('360SpcLdsCSV'!$B$5,$B197,AE$51)</f>
        <v>#N/A</v>
      </c>
      <c r="AF197" s="592" t="e">
        <f ca="1">OFFSET('360SpcLdsCSV'!$B$5,$B197,AF$51)</f>
        <v>#N/A</v>
      </c>
      <c r="AG197" s="592" t="e">
        <f ca="1">OFFSET('360SpcLdsCSV'!$B$5,$B197,AG$51)</f>
        <v>#N/A</v>
      </c>
      <c r="AH197" s="592" t="e">
        <f ca="1">OFFSET('360SpcLdsCSV'!$B$5,$B197,AH$51)</f>
        <v>#N/A</v>
      </c>
      <c r="AI197" s="592" t="e">
        <f ca="1">OFFSET('360SpcLdsCSV'!$B$5,$B197,AI$51)</f>
        <v>#N/A</v>
      </c>
      <c r="AJ197" s="592" t="e" cm="1">
        <f t="array" ref="AJ197">_xlfn.IFS($F197="Resi",1,$F197="Racc",0,$F197="Coml",0,$F197="Prkg",0)</f>
        <v>#VALUE!</v>
      </c>
      <c r="AK197" s="596"/>
      <c r="AL197" s="590" t="e">
        <f ca="1">OFFSET('360SpcLdsCSV'!$B$5,$B197,AL$51)</f>
        <v>#N/A</v>
      </c>
      <c r="AM197" s="663" t="e">
        <f t="shared" ca="1" si="168"/>
        <v>#N/A</v>
      </c>
      <c r="AN197" s="663" t="e">
        <f t="shared" ca="1" si="169"/>
        <v>#N/A</v>
      </c>
      <c r="AO197" s="663" t="e">
        <f t="shared" ca="1" si="196"/>
        <v>#N/A</v>
      </c>
      <c r="AP197" s="663" t="e">
        <f t="shared" ca="1" si="170"/>
        <v>#N/A</v>
      </c>
      <c r="AQ197" s="663" t="e">
        <f t="shared" ca="1" si="171"/>
        <v>#N/A</v>
      </c>
      <c r="AR197" s="663" t="e">
        <f t="shared" ca="1" si="172"/>
        <v>#N/A</v>
      </c>
      <c r="AS197" s="663" t="e">
        <f t="shared" ca="1" si="173"/>
        <v>#N/A</v>
      </c>
      <c r="AT197" s="663" t="e">
        <f t="shared" ca="1" si="174"/>
        <v>#N/A</v>
      </c>
      <c r="AU197" s="663" t="e">
        <f t="shared" ca="1" si="175"/>
        <v>#N/A</v>
      </c>
      <c r="AV197" s="663" t="e">
        <f t="shared" ca="1" si="176"/>
        <v>#N/A</v>
      </c>
      <c r="AW197" s="663" t="e">
        <f t="shared" ca="1" si="177"/>
        <v>#N/A</v>
      </c>
      <c r="AX197" s="663" t="e">
        <f t="shared" ca="1" si="178"/>
        <v>#N/A</v>
      </c>
      <c r="AY197" s="663" t="e">
        <f t="shared" ca="1" si="179"/>
        <v>#N/A</v>
      </c>
      <c r="AZ197" s="663" t="e">
        <f t="shared" ca="1" si="180"/>
        <v>#N/A</v>
      </c>
      <c r="BA197" s="663" t="e">
        <f t="shared" ca="1" si="181"/>
        <v>#N/A</v>
      </c>
      <c r="BB197" s="663" t="e">
        <f t="shared" ca="1" si="182"/>
        <v>#N/A</v>
      </c>
      <c r="BC197" s="663" t="e">
        <f t="shared" ca="1" si="183"/>
        <v>#N/A</v>
      </c>
      <c r="BD197" s="663" t="e">
        <f t="shared" ca="1" si="184"/>
        <v>#N/A</v>
      </c>
      <c r="BE197" s="663" t="e">
        <f t="shared" ca="1" si="185"/>
        <v>#N/A</v>
      </c>
      <c r="BF197" s="663" t="e">
        <f t="shared" ca="1" si="186"/>
        <v>#N/A</v>
      </c>
      <c r="BG197" s="663" t="e">
        <f t="shared" ca="1" si="187"/>
        <v>#N/A</v>
      </c>
      <c r="BH197" s="663" t="e">
        <f t="shared" ca="1" si="188"/>
        <v>#N/A</v>
      </c>
      <c r="BI197" s="663" t="e">
        <f t="shared" ca="1" si="189"/>
        <v>#N/A</v>
      </c>
      <c r="BJ197" s="663" t="e">
        <f t="shared" ca="1" si="190"/>
        <v>#N/A</v>
      </c>
      <c r="BK197" s="663" t="e">
        <f t="shared" ca="1" si="191"/>
        <v>#N/A</v>
      </c>
      <c r="BL197" s="1918"/>
      <c r="BM197" s="1532"/>
      <c r="BN197" s="1919"/>
      <c r="BO197" s="603"/>
      <c r="BP197" s="602"/>
      <c r="BQ197" s="602"/>
      <c r="BR197" s="602"/>
      <c r="BS197" s="604"/>
      <c r="BT197" s="605"/>
      <c r="BU197" s="602"/>
      <c r="BV197" s="602"/>
      <c r="BW197" s="606"/>
      <c r="BX197" s="607"/>
      <c r="BY197" s="608"/>
      <c r="BZ197" s="608"/>
      <c r="CA197"/>
      <c r="CB197" s="600"/>
    </row>
    <row r="198" spans="2:80" ht="12" customHeight="1" x14ac:dyDescent="0.35">
      <c r="B198" s="590" t="e">
        <f>MATCH(C198,'360SpcLdsCSV'!$C$6:$C$500,0)</f>
        <v>#N/A</v>
      </c>
      <c r="C198" s="590">
        <f>'360SpcLdsCSV'!C147</f>
        <v>0</v>
      </c>
      <c r="D198" s="590" t="str">
        <f t="shared" si="192"/>
        <v>0</v>
      </c>
      <c r="E198" s="590" t="e">
        <f t="shared" si="193"/>
        <v>#VALUE!</v>
      </c>
      <c r="F198" s="590" t="e">
        <f t="shared" si="194"/>
        <v>#VALUE!</v>
      </c>
      <c r="G198" s="590" t="str">
        <f t="shared" si="195"/>
        <v>0</v>
      </c>
      <c r="H198" s="590" t="e">
        <f ca="1">OFFSET('360SpcLdsCSV'!$B$5,$B198,H$51)</f>
        <v>#N/A</v>
      </c>
      <c r="I198" s="590" t="e">
        <f ca="1">OFFSET('360SpcLdsCSV'!$B$5,$B198,I$51)</f>
        <v>#N/A</v>
      </c>
      <c r="J198" s="590" t="e">
        <f ca="1">OFFSET('360SpcLdsCSV'!$B$5,$B198,J$51)</f>
        <v>#N/A</v>
      </c>
      <c r="K198" s="590" t="e">
        <f ca="1">OFFSET('360SpcLdsCSV'!$B$5,$B198,K$51)</f>
        <v>#N/A</v>
      </c>
      <c r="L198" s="590" t="e">
        <f ca="1">OFFSET('360SpcLdsCSV'!$B$5,$B198,L$51)</f>
        <v>#N/A</v>
      </c>
      <c r="M198" s="592" t="e">
        <f ca="1">OFFSET('360SpcLdsCSV'!$B$5,$B198,M$51)</f>
        <v>#N/A</v>
      </c>
      <c r="N198" s="592" t="e">
        <f ca="1">OFFSET('360SpcLdsCSV'!$B$5,$B198,N$51)</f>
        <v>#N/A</v>
      </c>
      <c r="O198" s="592" t="e">
        <f ca="1">OFFSET('360SpcLdsCSV'!$B$5,$B198,O$51)</f>
        <v>#N/A</v>
      </c>
      <c r="P198" s="592" t="e">
        <f ca="1">OFFSET('360SpcLdsCSV'!$B$5,$B198,P$51)</f>
        <v>#N/A</v>
      </c>
      <c r="Q198" s="592" t="e">
        <f ca="1">OFFSET('360SpcLdsCSV'!$B$5,$B198,Q$51)</f>
        <v>#N/A</v>
      </c>
      <c r="R198" s="592" t="e">
        <f ca="1">OFFSET('360SpcLdsCSV'!$B$5,$B198,R$51)</f>
        <v>#N/A</v>
      </c>
      <c r="S198" s="592" t="e">
        <f ca="1">OFFSET('360SpcLdsCSV'!$B$5,$B198,S$51)</f>
        <v>#N/A</v>
      </c>
      <c r="T198" s="592" t="e">
        <f ca="1">OFFSET('360SpcLdsCSV'!$B$5,$B198,T$51)</f>
        <v>#N/A</v>
      </c>
      <c r="U198" s="592" t="e">
        <f ca="1">OFFSET('360SpcLdsCSV'!$B$5,$B198,U$51)</f>
        <v>#N/A</v>
      </c>
      <c r="V198" s="592" t="e">
        <f ca="1">OFFSET('360SpcLdsCSV'!$B$5,$B198,V$51)</f>
        <v>#N/A</v>
      </c>
      <c r="W198" s="592" t="e">
        <f ca="1">OFFSET('360SpcLdsCSV'!$B$5,$B198,W$51)</f>
        <v>#N/A</v>
      </c>
      <c r="X198" s="592" t="e">
        <f ca="1">OFFSET('360SpcLdsCSV'!$B$5,$B198,X$51)</f>
        <v>#N/A</v>
      </c>
      <c r="Y198" s="592" t="e">
        <f ca="1">OFFSET('360SpcLdsCSV'!$B$5,$B198,Y$51)</f>
        <v>#N/A</v>
      </c>
      <c r="Z198" s="592" t="e">
        <f ca="1">OFFSET('360SpcLdsCSV'!$B$5,$B198,Z$51)</f>
        <v>#N/A</v>
      </c>
      <c r="AA198" s="592" t="e">
        <f ca="1">OFFSET('360SpcLdsCSV'!$B$5,$B198,AA$51)</f>
        <v>#N/A</v>
      </c>
      <c r="AB198" s="592" t="e">
        <f ca="1">OFFSET('360SpcLdsCSV'!$B$5,$B198,AB$51)</f>
        <v>#N/A</v>
      </c>
      <c r="AC198" s="592" t="e">
        <f ca="1">OFFSET('360SpcLdsCSV'!$B$5,$B198,AC$51)</f>
        <v>#N/A</v>
      </c>
      <c r="AD198" s="592" t="e">
        <f ca="1">OFFSET('360SpcLdsCSV'!$B$5,$B198,AD$51)</f>
        <v>#N/A</v>
      </c>
      <c r="AE198" s="592" t="e">
        <f ca="1">OFFSET('360SpcLdsCSV'!$B$5,$B198,AE$51)</f>
        <v>#N/A</v>
      </c>
      <c r="AF198" s="592" t="e">
        <f ca="1">OFFSET('360SpcLdsCSV'!$B$5,$B198,AF$51)</f>
        <v>#N/A</v>
      </c>
      <c r="AG198" s="592" t="e">
        <f ca="1">OFFSET('360SpcLdsCSV'!$B$5,$B198,AG$51)</f>
        <v>#N/A</v>
      </c>
      <c r="AH198" s="592" t="e">
        <f ca="1">OFFSET('360SpcLdsCSV'!$B$5,$B198,AH$51)</f>
        <v>#N/A</v>
      </c>
      <c r="AI198" s="592" t="e">
        <f ca="1">OFFSET('360SpcLdsCSV'!$B$5,$B198,AI$51)</f>
        <v>#N/A</v>
      </c>
      <c r="AJ198" s="592" t="e" cm="1">
        <f t="array" ref="AJ198">_xlfn.IFS($F198="Resi",1,$F198="Racc",0,$F198="Coml",0,$F198="Prkg",0)</f>
        <v>#VALUE!</v>
      </c>
      <c r="AK198" s="596"/>
      <c r="AL198" s="590" t="e">
        <f ca="1">OFFSET('360SpcLdsCSV'!$B$5,$B198,AL$51)</f>
        <v>#N/A</v>
      </c>
      <c r="AM198" s="663" t="e">
        <f t="shared" ca="1" si="168"/>
        <v>#N/A</v>
      </c>
      <c r="AN198" s="663" t="e">
        <f t="shared" ca="1" si="169"/>
        <v>#N/A</v>
      </c>
      <c r="AO198" s="663" t="e">
        <f t="shared" ca="1" si="196"/>
        <v>#N/A</v>
      </c>
      <c r="AP198" s="663" t="e">
        <f t="shared" ca="1" si="170"/>
        <v>#N/A</v>
      </c>
      <c r="AQ198" s="663" t="e">
        <f t="shared" ca="1" si="171"/>
        <v>#N/A</v>
      </c>
      <c r="AR198" s="663" t="e">
        <f t="shared" ca="1" si="172"/>
        <v>#N/A</v>
      </c>
      <c r="AS198" s="663" t="e">
        <f t="shared" ca="1" si="173"/>
        <v>#N/A</v>
      </c>
      <c r="AT198" s="663" t="e">
        <f t="shared" ca="1" si="174"/>
        <v>#N/A</v>
      </c>
      <c r="AU198" s="663" t="e">
        <f t="shared" ca="1" si="175"/>
        <v>#N/A</v>
      </c>
      <c r="AV198" s="663" t="e">
        <f t="shared" ca="1" si="176"/>
        <v>#N/A</v>
      </c>
      <c r="AW198" s="663" t="e">
        <f t="shared" ca="1" si="177"/>
        <v>#N/A</v>
      </c>
      <c r="AX198" s="663" t="e">
        <f t="shared" ca="1" si="178"/>
        <v>#N/A</v>
      </c>
      <c r="AY198" s="663" t="e">
        <f t="shared" ca="1" si="179"/>
        <v>#N/A</v>
      </c>
      <c r="AZ198" s="663" t="e">
        <f t="shared" ca="1" si="180"/>
        <v>#N/A</v>
      </c>
      <c r="BA198" s="663" t="e">
        <f t="shared" ca="1" si="181"/>
        <v>#N/A</v>
      </c>
      <c r="BB198" s="663" t="e">
        <f t="shared" ca="1" si="182"/>
        <v>#N/A</v>
      </c>
      <c r="BC198" s="663" t="e">
        <f t="shared" ca="1" si="183"/>
        <v>#N/A</v>
      </c>
      <c r="BD198" s="663" t="e">
        <f t="shared" ca="1" si="184"/>
        <v>#N/A</v>
      </c>
      <c r="BE198" s="663" t="e">
        <f t="shared" ca="1" si="185"/>
        <v>#N/A</v>
      </c>
      <c r="BF198" s="663" t="e">
        <f t="shared" ca="1" si="186"/>
        <v>#N/A</v>
      </c>
      <c r="BG198" s="663" t="e">
        <f t="shared" ca="1" si="187"/>
        <v>#N/A</v>
      </c>
      <c r="BH198" s="663" t="e">
        <f t="shared" ca="1" si="188"/>
        <v>#N/A</v>
      </c>
      <c r="BI198" s="663" t="e">
        <f t="shared" ca="1" si="189"/>
        <v>#N/A</v>
      </c>
      <c r="BJ198" s="663" t="e">
        <f t="shared" ca="1" si="190"/>
        <v>#N/A</v>
      </c>
      <c r="BK198" s="663" t="e">
        <f t="shared" ca="1" si="191"/>
        <v>#N/A</v>
      </c>
      <c r="BL198" s="1918"/>
      <c r="BM198" s="1532"/>
      <c r="BN198" s="1919"/>
      <c r="BO198" s="603"/>
      <c r="BP198" s="602"/>
      <c r="BQ198" s="602"/>
      <c r="BR198" s="602"/>
      <c r="BS198" s="604"/>
      <c r="BT198" s="605"/>
      <c r="BU198" s="602"/>
      <c r="BV198" s="602"/>
      <c r="BW198" s="606"/>
      <c r="BX198" s="607"/>
      <c r="BY198" s="608"/>
      <c r="BZ198" s="608"/>
      <c r="CA198"/>
      <c r="CB198" s="600"/>
    </row>
    <row r="199" spans="2:80" ht="12" customHeight="1" x14ac:dyDescent="0.35">
      <c r="B199" s="590" t="e">
        <f>MATCH(C199,'360SpcLdsCSV'!$C$6:$C$500,0)</f>
        <v>#N/A</v>
      </c>
      <c r="C199" s="590">
        <f>'360SpcLdsCSV'!C148</f>
        <v>0</v>
      </c>
      <c r="D199" s="590" t="str">
        <f t="shared" si="192"/>
        <v>0</v>
      </c>
      <c r="E199" s="590" t="e">
        <f t="shared" si="193"/>
        <v>#VALUE!</v>
      </c>
      <c r="F199" s="590" t="e">
        <f t="shared" si="194"/>
        <v>#VALUE!</v>
      </c>
      <c r="G199" s="590" t="str">
        <f t="shared" si="195"/>
        <v>0</v>
      </c>
      <c r="H199" s="590" t="e">
        <f ca="1">OFFSET('360SpcLdsCSV'!$B$5,$B199,H$51)</f>
        <v>#N/A</v>
      </c>
      <c r="I199" s="590" t="e">
        <f ca="1">OFFSET('360SpcLdsCSV'!$B$5,$B199,I$51)</f>
        <v>#N/A</v>
      </c>
      <c r="J199" s="590" t="e">
        <f ca="1">OFFSET('360SpcLdsCSV'!$B$5,$B199,J$51)</f>
        <v>#N/A</v>
      </c>
      <c r="K199" s="590" t="e">
        <f ca="1">OFFSET('360SpcLdsCSV'!$B$5,$B199,K$51)</f>
        <v>#N/A</v>
      </c>
      <c r="L199" s="590" t="e">
        <f ca="1">OFFSET('360SpcLdsCSV'!$B$5,$B199,L$51)</f>
        <v>#N/A</v>
      </c>
      <c r="M199" s="592" t="e">
        <f ca="1">OFFSET('360SpcLdsCSV'!$B$5,$B199,M$51)</f>
        <v>#N/A</v>
      </c>
      <c r="N199" s="592" t="e">
        <f ca="1">OFFSET('360SpcLdsCSV'!$B$5,$B199,N$51)</f>
        <v>#N/A</v>
      </c>
      <c r="O199" s="592" t="e">
        <f ca="1">OFFSET('360SpcLdsCSV'!$B$5,$B199,O$51)</f>
        <v>#N/A</v>
      </c>
      <c r="P199" s="592" t="e">
        <f ca="1">OFFSET('360SpcLdsCSV'!$B$5,$B199,P$51)</f>
        <v>#N/A</v>
      </c>
      <c r="Q199" s="592" t="e">
        <f ca="1">OFFSET('360SpcLdsCSV'!$B$5,$B199,Q$51)</f>
        <v>#N/A</v>
      </c>
      <c r="R199" s="592" t="e">
        <f ca="1">OFFSET('360SpcLdsCSV'!$B$5,$B199,R$51)</f>
        <v>#N/A</v>
      </c>
      <c r="S199" s="592" t="e">
        <f ca="1">OFFSET('360SpcLdsCSV'!$B$5,$B199,S$51)</f>
        <v>#N/A</v>
      </c>
      <c r="T199" s="592" t="e">
        <f ca="1">OFFSET('360SpcLdsCSV'!$B$5,$B199,T$51)</f>
        <v>#N/A</v>
      </c>
      <c r="U199" s="592" t="e">
        <f ca="1">OFFSET('360SpcLdsCSV'!$B$5,$B199,U$51)</f>
        <v>#N/A</v>
      </c>
      <c r="V199" s="592" t="e">
        <f ca="1">OFFSET('360SpcLdsCSV'!$B$5,$B199,V$51)</f>
        <v>#N/A</v>
      </c>
      <c r="W199" s="592" t="e">
        <f ca="1">OFFSET('360SpcLdsCSV'!$B$5,$B199,W$51)</f>
        <v>#N/A</v>
      </c>
      <c r="X199" s="592" t="e">
        <f ca="1">OFFSET('360SpcLdsCSV'!$B$5,$B199,X$51)</f>
        <v>#N/A</v>
      </c>
      <c r="Y199" s="592" t="e">
        <f ca="1">OFFSET('360SpcLdsCSV'!$B$5,$B199,Y$51)</f>
        <v>#N/A</v>
      </c>
      <c r="Z199" s="592" t="e">
        <f ca="1">OFFSET('360SpcLdsCSV'!$B$5,$B199,Z$51)</f>
        <v>#N/A</v>
      </c>
      <c r="AA199" s="592" t="e">
        <f ca="1">OFFSET('360SpcLdsCSV'!$B$5,$B199,AA$51)</f>
        <v>#N/A</v>
      </c>
      <c r="AB199" s="592" t="e">
        <f ca="1">OFFSET('360SpcLdsCSV'!$B$5,$B199,AB$51)</f>
        <v>#N/A</v>
      </c>
      <c r="AC199" s="592" t="e">
        <f ca="1">OFFSET('360SpcLdsCSV'!$B$5,$B199,AC$51)</f>
        <v>#N/A</v>
      </c>
      <c r="AD199" s="592" t="e">
        <f ca="1">OFFSET('360SpcLdsCSV'!$B$5,$B199,AD$51)</f>
        <v>#N/A</v>
      </c>
      <c r="AE199" s="592" t="e">
        <f ca="1">OFFSET('360SpcLdsCSV'!$B$5,$B199,AE$51)</f>
        <v>#N/A</v>
      </c>
      <c r="AF199" s="592" t="e">
        <f ca="1">OFFSET('360SpcLdsCSV'!$B$5,$B199,AF$51)</f>
        <v>#N/A</v>
      </c>
      <c r="AG199" s="592" t="e">
        <f ca="1">OFFSET('360SpcLdsCSV'!$B$5,$B199,AG$51)</f>
        <v>#N/A</v>
      </c>
      <c r="AH199" s="592" t="e">
        <f ca="1">OFFSET('360SpcLdsCSV'!$B$5,$B199,AH$51)</f>
        <v>#N/A</v>
      </c>
      <c r="AI199" s="592" t="e">
        <f ca="1">OFFSET('360SpcLdsCSV'!$B$5,$B199,AI$51)</f>
        <v>#N/A</v>
      </c>
      <c r="AJ199" s="592" t="e" cm="1">
        <f t="array" ref="AJ199">_xlfn.IFS($F199="Resi",1,$F199="Racc",0,$F199="Coml",0,$F199="Prkg",0)</f>
        <v>#VALUE!</v>
      </c>
      <c r="AK199" s="596"/>
      <c r="AL199" s="590" t="e">
        <f ca="1">OFFSET('360SpcLdsCSV'!$B$5,$B199,AL$51)</f>
        <v>#N/A</v>
      </c>
      <c r="AM199" s="663" t="e">
        <f t="shared" ca="1" si="168"/>
        <v>#N/A</v>
      </c>
      <c r="AN199" s="663" t="e">
        <f t="shared" ca="1" si="169"/>
        <v>#N/A</v>
      </c>
      <c r="AO199" s="663" t="e">
        <f t="shared" ca="1" si="196"/>
        <v>#N/A</v>
      </c>
      <c r="AP199" s="663" t="e">
        <f t="shared" ca="1" si="170"/>
        <v>#N/A</v>
      </c>
      <c r="AQ199" s="663" t="e">
        <f t="shared" ca="1" si="171"/>
        <v>#N/A</v>
      </c>
      <c r="AR199" s="663" t="e">
        <f t="shared" ca="1" si="172"/>
        <v>#N/A</v>
      </c>
      <c r="AS199" s="663" t="e">
        <f t="shared" ca="1" si="173"/>
        <v>#N/A</v>
      </c>
      <c r="AT199" s="663" t="e">
        <f t="shared" ca="1" si="174"/>
        <v>#N/A</v>
      </c>
      <c r="AU199" s="663" t="e">
        <f t="shared" ca="1" si="175"/>
        <v>#N/A</v>
      </c>
      <c r="AV199" s="663" t="e">
        <f t="shared" ca="1" si="176"/>
        <v>#N/A</v>
      </c>
      <c r="AW199" s="663" t="e">
        <f t="shared" ca="1" si="177"/>
        <v>#N/A</v>
      </c>
      <c r="AX199" s="663" t="e">
        <f t="shared" ca="1" si="178"/>
        <v>#N/A</v>
      </c>
      <c r="AY199" s="663" t="e">
        <f t="shared" ca="1" si="179"/>
        <v>#N/A</v>
      </c>
      <c r="AZ199" s="663" t="e">
        <f t="shared" ca="1" si="180"/>
        <v>#N/A</v>
      </c>
      <c r="BA199" s="663" t="e">
        <f t="shared" ca="1" si="181"/>
        <v>#N/A</v>
      </c>
      <c r="BB199" s="663" t="e">
        <f t="shared" ca="1" si="182"/>
        <v>#N/A</v>
      </c>
      <c r="BC199" s="663" t="e">
        <f t="shared" ca="1" si="183"/>
        <v>#N/A</v>
      </c>
      <c r="BD199" s="663" t="e">
        <f t="shared" ca="1" si="184"/>
        <v>#N/A</v>
      </c>
      <c r="BE199" s="663" t="e">
        <f t="shared" ca="1" si="185"/>
        <v>#N/A</v>
      </c>
      <c r="BF199" s="663" t="e">
        <f t="shared" ca="1" si="186"/>
        <v>#N/A</v>
      </c>
      <c r="BG199" s="663" t="e">
        <f t="shared" ca="1" si="187"/>
        <v>#N/A</v>
      </c>
      <c r="BH199" s="663" t="e">
        <f t="shared" ca="1" si="188"/>
        <v>#N/A</v>
      </c>
      <c r="BI199" s="663" t="e">
        <f t="shared" ca="1" si="189"/>
        <v>#N/A</v>
      </c>
      <c r="BJ199" s="663" t="e">
        <f t="shared" ca="1" si="190"/>
        <v>#N/A</v>
      </c>
      <c r="BK199" s="663" t="e">
        <f t="shared" ca="1" si="191"/>
        <v>#N/A</v>
      </c>
      <c r="BL199" s="1918"/>
      <c r="BM199" s="1532"/>
      <c r="BN199" s="1919"/>
      <c r="BO199" s="603"/>
      <c r="BP199" s="602"/>
      <c r="BQ199" s="602"/>
      <c r="BR199" s="602"/>
      <c r="BS199" s="604"/>
      <c r="BT199" s="605"/>
      <c r="BU199" s="602"/>
      <c r="BV199" s="602"/>
      <c r="BW199" s="606"/>
      <c r="BX199" s="607"/>
      <c r="BY199" s="608"/>
      <c r="BZ199" s="608"/>
      <c r="CA199"/>
      <c r="CB199" s="600"/>
    </row>
    <row r="200" spans="2:80" ht="12" customHeight="1" x14ac:dyDescent="0.35">
      <c r="B200" s="590" t="e">
        <f>MATCH(C200,'360SpcLdsCSV'!$C$6:$C$500,0)</f>
        <v>#N/A</v>
      </c>
      <c r="C200" s="590">
        <f>'360SpcLdsCSV'!C149</f>
        <v>0</v>
      </c>
      <c r="D200" s="590" t="str">
        <f t="shared" si="192"/>
        <v>0</v>
      </c>
      <c r="E200" s="590" t="e">
        <f t="shared" si="193"/>
        <v>#VALUE!</v>
      </c>
      <c r="F200" s="590" t="e">
        <f t="shared" si="194"/>
        <v>#VALUE!</v>
      </c>
      <c r="G200" s="590" t="str">
        <f t="shared" si="195"/>
        <v>0</v>
      </c>
      <c r="H200" s="590" t="e">
        <f ca="1">OFFSET('360SpcLdsCSV'!$B$5,$B200,H$51)</f>
        <v>#N/A</v>
      </c>
      <c r="I200" s="590" t="e">
        <f ca="1">OFFSET('360SpcLdsCSV'!$B$5,$B200,I$51)</f>
        <v>#N/A</v>
      </c>
      <c r="J200" s="590" t="e">
        <f ca="1">OFFSET('360SpcLdsCSV'!$B$5,$B200,J$51)</f>
        <v>#N/A</v>
      </c>
      <c r="K200" s="590" t="e">
        <f ca="1">OFFSET('360SpcLdsCSV'!$B$5,$B200,K$51)</f>
        <v>#N/A</v>
      </c>
      <c r="L200" s="590" t="e">
        <f ca="1">OFFSET('360SpcLdsCSV'!$B$5,$B200,L$51)</f>
        <v>#N/A</v>
      </c>
      <c r="M200" s="592" t="e">
        <f ca="1">OFFSET('360SpcLdsCSV'!$B$5,$B200,M$51)</f>
        <v>#N/A</v>
      </c>
      <c r="N200" s="592" t="e">
        <f ca="1">OFFSET('360SpcLdsCSV'!$B$5,$B200,N$51)</f>
        <v>#N/A</v>
      </c>
      <c r="O200" s="592" t="e">
        <f ca="1">OFFSET('360SpcLdsCSV'!$B$5,$B200,O$51)</f>
        <v>#N/A</v>
      </c>
      <c r="P200" s="592" t="e">
        <f ca="1">OFFSET('360SpcLdsCSV'!$B$5,$B200,P$51)</f>
        <v>#N/A</v>
      </c>
      <c r="Q200" s="592" t="e">
        <f ca="1">OFFSET('360SpcLdsCSV'!$B$5,$B200,Q$51)</f>
        <v>#N/A</v>
      </c>
      <c r="R200" s="592" t="e">
        <f ca="1">OFFSET('360SpcLdsCSV'!$B$5,$B200,R$51)</f>
        <v>#N/A</v>
      </c>
      <c r="S200" s="592" t="e">
        <f ca="1">OFFSET('360SpcLdsCSV'!$B$5,$B200,S$51)</f>
        <v>#N/A</v>
      </c>
      <c r="T200" s="592" t="e">
        <f ca="1">OFFSET('360SpcLdsCSV'!$B$5,$B200,T$51)</f>
        <v>#N/A</v>
      </c>
      <c r="U200" s="592" t="e">
        <f ca="1">OFFSET('360SpcLdsCSV'!$B$5,$B200,U$51)</f>
        <v>#N/A</v>
      </c>
      <c r="V200" s="592" t="e">
        <f ca="1">OFFSET('360SpcLdsCSV'!$B$5,$B200,V$51)</f>
        <v>#N/A</v>
      </c>
      <c r="W200" s="592" t="e">
        <f ca="1">OFFSET('360SpcLdsCSV'!$B$5,$B200,W$51)</f>
        <v>#N/A</v>
      </c>
      <c r="X200" s="592" t="e">
        <f ca="1">OFFSET('360SpcLdsCSV'!$B$5,$B200,X$51)</f>
        <v>#N/A</v>
      </c>
      <c r="Y200" s="592" t="e">
        <f ca="1">OFFSET('360SpcLdsCSV'!$B$5,$B200,Y$51)</f>
        <v>#N/A</v>
      </c>
      <c r="Z200" s="592" t="e">
        <f ca="1">OFFSET('360SpcLdsCSV'!$B$5,$B200,Z$51)</f>
        <v>#N/A</v>
      </c>
      <c r="AA200" s="592" t="e">
        <f ca="1">OFFSET('360SpcLdsCSV'!$B$5,$B200,AA$51)</f>
        <v>#N/A</v>
      </c>
      <c r="AB200" s="592" t="e">
        <f ca="1">OFFSET('360SpcLdsCSV'!$B$5,$B200,AB$51)</f>
        <v>#N/A</v>
      </c>
      <c r="AC200" s="592" t="e">
        <f ca="1">OFFSET('360SpcLdsCSV'!$B$5,$B200,AC$51)</f>
        <v>#N/A</v>
      </c>
      <c r="AD200" s="592" t="e">
        <f ca="1">OFFSET('360SpcLdsCSV'!$B$5,$B200,AD$51)</f>
        <v>#N/A</v>
      </c>
      <c r="AE200" s="592" t="e">
        <f ca="1">OFFSET('360SpcLdsCSV'!$B$5,$B200,AE$51)</f>
        <v>#N/A</v>
      </c>
      <c r="AF200" s="592" t="e">
        <f ca="1">OFFSET('360SpcLdsCSV'!$B$5,$B200,AF$51)</f>
        <v>#N/A</v>
      </c>
      <c r="AG200" s="592" t="e">
        <f ca="1">OFFSET('360SpcLdsCSV'!$B$5,$B200,AG$51)</f>
        <v>#N/A</v>
      </c>
      <c r="AH200" s="592" t="e">
        <f ca="1">OFFSET('360SpcLdsCSV'!$B$5,$B200,AH$51)</f>
        <v>#N/A</v>
      </c>
      <c r="AI200" s="592" t="e">
        <f ca="1">OFFSET('360SpcLdsCSV'!$B$5,$B200,AI$51)</f>
        <v>#N/A</v>
      </c>
      <c r="AJ200" s="592" t="e" cm="1">
        <f t="array" ref="AJ200">_xlfn.IFS($F200="Resi",1,$F200="Racc",0,$F200="Coml",0,$F200="Prkg",0)</f>
        <v>#VALUE!</v>
      </c>
      <c r="AK200" s="596"/>
      <c r="AL200" s="590" t="e">
        <f ca="1">OFFSET('360SpcLdsCSV'!$B$5,$B200,AL$51)</f>
        <v>#N/A</v>
      </c>
      <c r="AM200" s="663" t="e">
        <f t="shared" ca="1" si="168"/>
        <v>#N/A</v>
      </c>
      <c r="AN200" s="663" t="e">
        <f t="shared" ca="1" si="169"/>
        <v>#N/A</v>
      </c>
      <c r="AO200" s="663" t="e">
        <f t="shared" ca="1" si="196"/>
        <v>#N/A</v>
      </c>
      <c r="AP200" s="663" t="e">
        <f t="shared" ca="1" si="170"/>
        <v>#N/A</v>
      </c>
      <c r="AQ200" s="663" t="e">
        <f t="shared" ca="1" si="171"/>
        <v>#N/A</v>
      </c>
      <c r="AR200" s="663" t="e">
        <f t="shared" ca="1" si="172"/>
        <v>#N/A</v>
      </c>
      <c r="AS200" s="663" t="e">
        <f t="shared" ca="1" si="173"/>
        <v>#N/A</v>
      </c>
      <c r="AT200" s="663" t="e">
        <f t="shared" ca="1" si="174"/>
        <v>#N/A</v>
      </c>
      <c r="AU200" s="663" t="e">
        <f t="shared" ca="1" si="175"/>
        <v>#N/A</v>
      </c>
      <c r="AV200" s="663" t="e">
        <f t="shared" ca="1" si="176"/>
        <v>#N/A</v>
      </c>
      <c r="AW200" s="663" t="e">
        <f t="shared" ca="1" si="177"/>
        <v>#N/A</v>
      </c>
      <c r="AX200" s="663" t="e">
        <f t="shared" ca="1" si="178"/>
        <v>#N/A</v>
      </c>
      <c r="AY200" s="663" t="e">
        <f t="shared" ca="1" si="179"/>
        <v>#N/A</v>
      </c>
      <c r="AZ200" s="663" t="e">
        <f t="shared" ca="1" si="180"/>
        <v>#N/A</v>
      </c>
      <c r="BA200" s="663" t="e">
        <f t="shared" ca="1" si="181"/>
        <v>#N/A</v>
      </c>
      <c r="BB200" s="663" t="e">
        <f t="shared" ca="1" si="182"/>
        <v>#N/A</v>
      </c>
      <c r="BC200" s="663" t="e">
        <f t="shared" ca="1" si="183"/>
        <v>#N/A</v>
      </c>
      <c r="BD200" s="663" t="e">
        <f t="shared" ca="1" si="184"/>
        <v>#N/A</v>
      </c>
      <c r="BE200" s="663" t="e">
        <f t="shared" ca="1" si="185"/>
        <v>#N/A</v>
      </c>
      <c r="BF200" s="663" t="e">
        <f t="shared" ca="1" si="186"/>
        <v>#N/A</v>
      </c>
      <c r="BG200" s="663" t="e">
        <f t="shared" ca="1" si="187"/>
        <v>#N/A</v>
      </c>
      <c r="BH200" s="663" t="e">
        <f t="shared" ca="1" si="188"/>
        <v>#N/A</v>
      </c>
      <c r="BI200" s="663" t="e">
        <f t="shared" ca="1" si="189"/>
        <v>#N/A</v>
      </c>
      <c r="BJ200" s="663" t="e">
        <f t="shared" ca="1" si="190"/>
        <v>#N/A</v>
      </c>
      <c r="BK200" s="663" t="e">
        <f t="shared" ca="1" si="191"/>
        <v>#N/A</v>
      </c>
      <c r="BL200" s="1918"/>
      <c r="BM200" s="1532"/>
      <c r="BN200" s="1919"/>
      <c r="BO200" s="603"/>
      <c r="BP200" s="602"/>
      <c r="BQ200" s="602"/>
      <c r="BR200" s="602"/>
      <c r="BS200" s="604"/>
      <c r="BT200" s="605"/>
      <c r="BU200" s="602"/>
      <c r="BV200" s="602"/>
      <c r="BW200" s="606"/>
      <c r="BX200" s="607"/>
      <c r="BY200" s="608"/>
      <c r="BZ200" s="608"/>
      <c r="CA200"/>
      <c r="CB200" s="600"/>
    </row>
    <row r="201" spans="2:80" ht="12" customHeight="1" x14ac:dyDescent="0.35">
      <c r="B201" s="590" t="e">
        <f>MATCH(C201,'360SpcLdsCSV'!$C$6:$C$500,0)</f>
        <v>#N/A</v>
      </c>
      <c r="C201" s="590">
        <f>'360SpcLdsCSV'!C150</f>
        <v>0</v>
      </c>
      <c r="D201" s="590" t="str">
        <f t="shared" si="192"/>
        <v>0</v>
      </c>
      <c r="E201" s="590" t="e">
        <f t="shared" si="193"/>
        <v>#VALUE!</v>
      </c>
      <c r="F201" s="590" t="e">
        <f t="shared" si="194"/>
        <v>#VALUE!</v>
      </c>
      <c r="G201" s="590" t="str">
        <f t="shared" si="195"/>
        <v>0</v>
      </c>
      <c r="H201" s="590" t="e">
        <f ca="1">OFFSET('360SpcLdsCSV'!$B$5,$B201,H$51)</f>
        <v>#N/A</v>
      </c>
      <c r="I201" s="590" t="e">
        <f ca="1">OFFSET('360SpcLdsCSV'!$B$5,$B201,I$51)</f>
        <v>#N/A</v>
      </c>
      <c r="J201" s="590" t="e">
        <f ca="1">OFFSET('360SpcLdsCSV'!$B$5,$B201,J$51)</f>
        <v>#N/A</v>
      </c>
      <c r="K201" s="590" t="e">
        <f ca="1">OFFSET('360SpcLdsCSV'!$B$5,$B201,K$51)</f>
        <v>#N/A</v>
      </c>
      <c r="L201" s="590" t="e">
        <f ca="1">OFFSET('360SpcLdsCSV'!$B$5,$B201,L$51)</f>
        <v>#N/A</v>
      </c>
      <c r="M201" s="592" t="e">
        <f ca="1">OFFSET('360SpcLdsCSV'!$B$5,$B201,M$51)</f>
        <v>#N/A</v>
      </c>
      <c r="N201" s="592" t="e">
        <f ca="1">OFFSET('360SpcLdsCSV'!$B$5,$B201,N$51)</f>
        <v>#N/A</v>
      </c>
      <c r="O201" s="592" t="e">
        <f ca="1">OFFSET('360SpcLdsCSV'!$B$5,$B201,O$51)</f>
        <v>#N/A</v>
      </c>
      <c r="P201" s="592" t="e">
        <f ca="1">OFFSET('360SpcLdsCSV'!$B$5,$B201,P$51)</f>
        <v>#N/A</v>
      </c>
      <c r="Q201" s="592" t="e">
        <f ca="1">OFFSET('360SpcLdsCSV'!$B$5,$B201,Q$51)</f>
        <v>#N/A</v>
      </c>
      <c r="R201" s="592" t="e">
        <f ca="1">OFFSET('360SpcLdsCSV'!$B$5,$B201,R$51)</f>
        <v>#N/A</v>
      </c>
      <c r="S201" s="592" t="e">
        <f ca="1">OFFSET('360SpcLdsCSV'!$B$5,$B201,S$51)</f>
        <v>#N/A</v>
      </c>
      <c r="T201" s="592" t="e">
        <f ca="1">OFFSET('360SpcLdsCSV'!$B$5,$B201,T$51)</f>
        <v>#N/A</v>
      </c>
      <c r="U201" s="592" t="e">
        <f ca="1">OFFSET('360SpcLdsCSV'!$B$5,$B201,U$51)</f>
        <v>#N/A</v>
      </c>
      <c r="V201" s="592" t="e">
        <f ca="1">OFFSET('360SpcLdsCSV'!$B$5,$B201,V$51)</f>
        <v>#N/A</v>
      </c>
      <c r="W201" s="592" t="e">
        <f ca="1">OFFSET('360SpcLdsCSV'!$B$5,$B201,W$51)</f>
        <v>#N/A</v>
      </c>
      <c r="X201" s="592" t="e">
        <f ca="1">OFFSET('360SpcLdsCSV'!$B$5,$B201,X$51)</f>
        <v>#N/A</v>
      </c>
      <c r="Y201" s="592" t="e">
        <f ca="1">OFFSET('360SpcLdsCSV'!$B$5,$B201,Y$51)</f>
        <v>#N/A</v>
      </c>
      <c r="Z201" s="592" t="e">
        <f ca="1">OFFSET('360SpcLdsCSV'!$B$5,$B201,Z$51)</f>
        <v>#N/A</v>
      </c>
      <c r="AA201" s="592" t="e">
        <f ca="1">OFFSET('360SpcLdsCSV'!$B$5,$B201,AA$51)</f>
        <v>#N/A</v>
      </c>
      <c r="AB201" s="592" t="e">
        <f ca="1">OFFSET('360SpcLdsCSV'!$B$5,$B201,AB$51)</f>
        <v>#N/A</v>
      </c>
      <c r="AC201" s="592" t="e">
        <f ca="1">OFFSET('360SpcLdsCSV'!$B$5,$B201,AC$51)</f>
        <v>#N/A</v>
      </c>
      <c r="AD201" s="592" t="e">
        <f ca="1">OFFSET('360SpcLdsCSV'!$B$5,$B201,AD$51)</f>
        <v>#N/A</v>
      </c>
      <c r="AE201" s="592" t="e">
        <f ca="1">OFFSET('360SpcLdsCSV'!$B$5,$B201,AE$51)</f>
        <v>#N/A</v>
      </c>
      <c r="AF201" s="592" t="e">
        <f ca="1">OFFSET('360SpcLdsCSV'!$B$5,$B201,AF$51)</f>
        <v>#N/A</v>
      </c>
      <c r="AG201" s="592" t="e">
        <f ca="1">OFFSET('360SpcLdsCSV'!$B$5,$B201,AG$51)</f>
        <v>#N/A</v>
      </c>
      <c r="AH201" s="592" t="e">
        <f ca="1">OFFSET('360SpcLdsCSV'!$B$5,$B201,AH$51)</f>
        <v>#N/A</v>
      </c>
      <c r="AI201" s="592" t="e">
        <f ca="1">OFFSET('360SpcLdsCSV'!$B$5,$B201,AI$51)</f>
        <v>#N/A</v>
      </c>
      <c r="AJ201" s="592" t="e" cm="1">
        <f t="array" ref="AJ201">_xlfn.IFS($F201="Resi",1,$F201="Racc",0,$F201="Coml",0,$F201="Prkg",0)</f>
        <v>#VALUE!</v>
      </c>
      <c r="AK201" s="596"/>
      <c r="AL201" s="590" t="e">
        <f ca="1">OFFSET('360SpcLdsCSV'!$B$5,$B201,AL$51)</f>
        <v>#N/A</v>
      </c>
      <c r="AM201" s="663" t="e">
        <f t="shared" ca="1" si="168"/>
        <v>#N/A</v>
      </c>
      <c r="AN201" s="663" t="e">
        <f t="shared" ca="1" si="169"/>
        <v>#N/A</v>
      </c>
      <c r="AO201" s="663" t="e">
        <f t="shared" ca="1" si="196"/>
        <v>#N/A</v>
      </c>
      <c r="AP201" s="663" t="e">
        <f t="shared" ca="1" si="170"/>
        <v>#N/A</v>
      </c>
      <c r="AQ201" s="663" t="e">
        <f t="shared" ca="1" si="171"/>
        <v>#N/A</v>
      </c>
      <c r="AR201" s="663" t="e">
        <f t="shared" ca="1" si="172"/>
        <v>#N/A</v>
      </c>
      <c r="AS201" s="663" t="e">
        <f t="shared" ca="1" si="173"/>
        <v>#N/A</v>
      </c>
      <c r="AT201" s="663" t="e">
        <f t="shared" ca="1" si="174"/>
        <v>#N/A</v>
      </c>
      <c r="AU201" s="663" t="e">
        <f t="shared" ca="1" si="175"/>
        <v>#N/A</v>
      </c>
      <c r="AV201" s="663" t="e">
        <f t="shared" ca="1" si="176"/>
        <v>#N/A</v>
      </c>
      <c r="AW201" s="663" t="e">
        <f t="shared" ca="1" si="177"/>
        <v>#N/A</v>
      </c>
      <c r="AX201" s="663" t="e">
        <f t="shared" ca="1" si="178"/>
        <v>#N/A</v>
      </c>
      <c r="AY201" s="663" t="e">
        <f t="shared" ca="1" si="179"/>
        <v>#N/A</v>
      </c>
      <c r="AZ201" s="663" t="e">
        <f t="shared" ca="1" si="180"/>
        <v>#N/A</v>
      </c>
      <c r="BA201" s="663" t="e">
        <f t="shared" ca="1" si="181"/>
        <v>#N/A</v>
      </c>
      <c r="BB201" s="663" t="e">
        <f t="shared" ca="1" si="182"/>
        <v>#N/A</v>
      </c>
      <c r="BC201" s="663" t="e">
        <f t="shared" ca="1" si="183"/>
        <v>#N/A</v>
      </c>
      <c r="BD201" s="663" t="e">
        <f t="shared" ca="1" si="184"/>
        <v>#N/A</v>
      </c>
      <c r="BE201" s="663" t="e">
        <f t="shared" ca="1" si="185"/>
        <v>#N/A</v>
      </c>
      <c r="BF201" s="663" t="e">
        <f t="shared" ca="1" si="186"/>
        <v>#N/A</v>
      </c>
      <c r="BG201" s="663" t="e">
        <f t="shared" ca="1" si="187"/>
        <v>#N/A</v>
      </c>
      <c r="BH201" s="663" t="e">
        <f t="shared" ca="1" si="188"/>
        <v>#N/A</v>
      </c>
      <c r="BI201" s="663" t="e">
        <f t="shared" ca="1" si="189"/>
        <v>#N/A</v>
      </c>
      <c r="BJ201" s="663" t="e">
        <f t="shared" ca="1" si="190"/>
        <v>#N/A</v>
      </c>
      <c r="BK201" s="663" t="e">
        <f t="shared" ca="1" si="191"/>
        <v>#N/A</v>
      </c>
      <c r="BL201" s="1918"/>
      <c r="BM201" s="1532"/>
      <c r="BN201" s="1919"/>
      <c r="BO201" s="603"/>
      <c r="BP201" s="602"/>
      <c r="BQ201" s="602"/>
      <c r="BR201" s="602"/>
      <c r="BS201" s="604"/>
      <c r="BT201" s="605"/>
      <c r="BU201" s="602"/>
      <c r="BV201" s="602"/>
      <c r="BW201" s="606"/>
      <c r="BX201" s="607"/>
      <c r="BY201" s="608"/>
      <c r="BZ201" s="608"/>
      <c r="CA201"/>
      <c r="CB201" s="600"/>
    </row>
    <row r="202" spans="2:80" ht="12" customHeight="1" x14ac:dyDescent="0.35">
      <c r="B202" s="590" t="e">
        <f>MATCH(C202,'360SpcLdsCSV'!$C$6:$C$500,0)</f>
        <v>#N/A</v>
      </c>
      <c r="C202" s="590">
        <f>'360SpcLdsCSV'!C151</f>
        <v>0</v>
      </c>
      <c r="D202" s="590" t="str">
        <f t="shared" si="192"/>
        <v>0</v>
      </c>
      <c r="E202" s="590" t="e">
        <f t="shared" si="193"/>
        <v>#VALUE!</v>
      </c>
      <c r="F202" s="590" t="e">
        <f t="shared" si="194"/>
        <v>#VALUE!</v>
      </c>
      <c r="G202" s="590" t="str">
        <f t="shared" si="195"/>
        <v>0</v>
      </c>
      <c r="H202" s="590" t="e">
        <f ca="1">OFFSET('360SpcLdsCSV'!$B$5,$B202,H$51)</f>
        <v>#N/A</v>
      </c>
      <c r="I202" s="590" t="e">
        <f ca="1">OFFSET('360SpcLdsCSV'!$B$5,$B202,I$51)</f>
        <v>#N/A</v>
      </c>
      <c r="J202" s="590" t="e">
        <f ca="1">OFFSET('360SpcLdsCSV'!$B$5,$B202,J$51)</f>
        <v>#N/A</v>
      </c>
      <c r="K202" s="590" t="e">
        <f ca="1">OFFSET('360SpcLdsCSV'!$B$5,$B202,K$51)</f>
        <v>#N/A</v>
      </c>
      <c r="L202" s="590" t="e">
        <f ca="1">OFFSET('360SpcLdsCSV'!$B$5,$B202,L$51)</f>
        <v>#N/A</v>
      </c>
      <c r="M202" s="592" t="e">
        <f ca="1">OFFSET('360SpcLdsCSV'!$B$5,$B202,M$51)</f>
        <v>#N/A</v>
      </c>
      <c r="N202" s="592" t="e">
        <f ca="1">OFFSET('360SpcLdsCSV'!$B$5,$B202,N$51)</f>
        <v>#N/A</v>
      </c>
      <c r="O202" s="592" t="e">
        <f ca="1">OFFSET('360SpcLdsCSV'!$B$5,$B202,O$51)</f>
        <v>#N/A</v>
      </c>
      <c r="P202" s="592" t="e">
        <f ca="1">OFFSET('360SpcLdsCSV'!$B$5,$B202,P$51)</f>
        <v>#N/A</v>
      </c>
      <c r="Q202" s="592" t="e">
        <f ca="1">OFFSET('360SpcLdsCSV'!$B$5,$B202,Q$51)</f>
        <v>#N/A</v>
      </c>
      <c r="R202" s="592" t="e">
        <f ca="1">OFFSET('360SpcLdsCSV'!$B$5,$B202,R$51)</f>
        <v>#N/A</v>
      </c>
      <c r="S202" s="592" t="e">
        <f ca="1">OFFSET('360SpcLdsCSV'!$B$5,$B202,S$51)</f>
        <v>#N/A</v>
      </c>
      <c r="T202" s="592" t="e">
        <f ca="1">OFFSET('360SpcLdsCSV'!$B$5,$B202,T$51)</f>
        <v>#N/A</v>
      </c>
      <c r="U202" s="592" t="e">
        <f ca="1">OFFSET('360SpcLdsCSV'!$B$5,$B202,U$51)</f>
        <v>#N/A</v>
      </c>
      <c r="V202" s="592" t="e">
        <f ca="1">OFFSET('360SpcLdsCSV'!$B$5,$B202,V$51)</f>
        <v>#N/A</v>
      </c>
      <c r="W202" s="592" t="e">
        <f ca="1">OFFSET('360SpcLdsCSV'!$B$5,$B202,W$51)</f>
        <v>#N/A</v>
      </c>
      <c r="X202" s="592" t="e">
        <f ca="1">OFFSET('360SpcLdsCSV'!$B$5,$B202,X$51)</f>
        <v>#N/A</v>
      </c>
      <c r="Y202" s="592" t="e">
        <f ca="1">OFFSET('360SpcLdsCSV'!$B$5,$B202,Y$51)</f>
        <v>#N/A</v>
      </c>
      <c r="Z202" s="592" t="e">
        <f ca="1">OFFSET('360SpcLdsCSV'!$B$5,$B202,Z$51)</f>
        <v>#N/A</v>
      </c>
      <c r="AA202" s="592" t="e">
        <f ca="1">OFFSET('360SpcLdsCSV'!$B$5,$B202,AA$51)</f>
        <v>#N/A</v>
      </c>
      <c r="AB202" s="592" t="e">
        <f ca="1">OFFSET('360SpcLdsCSV'!$B$5,$B202,AB$51)</f>
        <v>#N/A</v>
      </c>
      <c r="AC202" s="592" t="e">
        <f ca="1">OFFSET('360SpcLdsCSV'!$B$5,$B202,AC$51)</f>
        <v>#N/A</v>
      </c>
      <c r="AD202" s="592" t="e">
        <f ca="1">OFFSET('360SpcLdsCSV'!$B$5,$B202,AD$51)</f>
        <v>#N/A</v>
      </c>
      <c r="AE202" s="592" t="e">
        <f ca="1">OFFSET('360SpcLdsCSV'!$B$5,$B202,AE$51)</f>
        <v>#N/A</v>
      </c>
      <c r="AF202" s="592" t="e">
        <f ca="1">OFFSET('360SpcLdsCSV'!$B$5,$B202,AF$51)</f>
        <v>#N/A</v>
      </c>
      <c r="AG202" s="592" t="e">
        <f ca="1">OFFSET('360SpcLdsCSV'!$B$5,$B202,AG$51)</f>
        <v>#N/A</v>
      </c>
      <c r="AH202" s="592" t="e">
        <f ca="1">OFFSET('360SpcLdsCSV'!$B$5,$B202,AH$51)</f>
        <v>#N/A</v>
      </c>
      <c r="AI202" s="592" t="e">
        <f ca="1">OFFSET('360SpcLdsCSV'!$B$5,$B202,AI$51)</f>
        <v>#N/A</v>
      </c>
      <c r="AJ202" s="592" t="e" cm="1">
        <f t="array" ref="AJ202">_xlfn.IFS($F202="Resi",1,$F202="Racc",0,$F202="Coml",0,$F202="Prkg",0)</f>
        <v>#VALUE!</v>
      </c>
      <c r="AK202" s="596"/>
      <c r="AL202" s="590" t="e">
        <f ca="1">OFFSET('360SpcLdsCSV'!$B$5,$B202,AL$51)</f>
        <v>#N/A</v>
      </c>
      <c r="AM202" s="663" t="e">
        <f t="shared" ca="1" si="168"/>
        <v>#N/A</v>
      </c>
      <c r="AN202" s="663" t="e">
        <f t="shared" ca="1" si="169"/>
        <v>#N/A</v>
      </c>
      <c r="AO202" s="663" t="e">
        <f t="shared" ca="1" si="196"/>
        <v>#N/A</v>
      </c>
      <c r="AP202" s="663" t="e">
        <f t="shared" ca="1" si="170"/>
        <v>#N/A</v>
      </c>
      <c r="AQ202" s="663" t="e">
        <f t="shared" ca="1" si="171"/>
        <v>#N/A</v>
      </c>
      <c r="AR202" s="663" t="e">
        <f t="shared" ca="1" si="172"/>
        <v>#N/A</v>
      </c>
      <c r="AS202" s="663" t="e">
        <f t="shared" ca="1" si="173"/>
        <v>#N/A</v>
      </c>
      <c r="AT202" s="663" t="e">
        <f t="shared" ca="1" si="174"/>
        <v>#N/A</v>
      </c>
      <c r="AU202" s="663" t="e">
        <f t="shared" ca="1" si="175"/>
        <v>#N/A</v>
      </c>
      <c r="AV202" s="663" t="e">
        <f t="shared" ca="1" si="176"/>
        <v>#N/A</v>
      </c>
      <c r="AW202" s="663" t="e">
        <f t="shared" ca="1" si="177"/>
        <v>#N/A</v>
      </c>
      <c r="AX202" s="663" t="e">
        <f t="shared" ca="1" si="178"/>
        <v>#N/A</v>
      </c>
      <c r="AY202" s="663" t="e">
        <f t="shared" ca="1" si="179"/>
        <v>#N/A</v>
      </c>
      <c r="AZ202" s="663" t="e">
        <f t="shared" ca="1" si="180"/>
        <v>#N/A</v>
      </c>
      <c r="BA202" s="663" t="e">
        <f t="shared" ca="1" si="181"/>
        <v>#N/A</v>
      </c>
      <c r="BB202" s="663" t="e">
        <f t="shared" ca="1" si="182"/>
        <v>#N/A</v>
      </c>
      <c r="BC202" s="663" t="e">
        <f t="shared" ca="1" si="183"/>
        <v>#N/A</v>
      </c>
      <c r="BD202" s="663" t="e">
        <f t="shared" ca="1" si="184"/>
        <v>#N/A</v>
      </c>
      <c r="BE202" s="663" t="e">
        <f t="shared" ca="1" si="185"/>
        <v>#N/A</v>
      </c>
      <c r="BF202" s="663" t="e">
        <f t="shared" ca="1" si="186"/>
        <v>#N/A</v>
      </c>
      <c r="BG202" s="663" t="e">
        <f t="shared" ca="1" si="187"/>
        <v>#N/A</v>
      </c>
      <c r="BH202" s="663" t="e">
        <f t="shared" ca="1" si="188"/>
        <v>#N/A</v>
      </c>
      <c r="BI202" s="663" t="e">
        <f t="shared" ca="1" si="189"/>
        <v>#N/A</v>
      </c>
      <c r="BJ202" s="663" t="e">
        <f t="shared" ca="1" si="190"/>
        <v>#N/A</v>
      </c>
      <c r="BK202" s="663" t="e">
        <f t="shared" ca="1" si="191"/>
        <v>#N/A</v>
      </c>
      <c r="BL202" s="1918"/>
      <c r="BM202" s="1532"/>
      <c r="BN202" s="1919"/>
      <c r="BO202" s="603"/>
      <c r="BP202" s="602"/>
      <c r="BQ202" s="602"/>
      <c r="BR202" s="602"/>
      <c r="BS202" s="604"/>
      <c r="BT202" s="605"/>
      <c r="BU202" s="602"/>
      <c r="BV202" s="602"/>
      <c r="BW202" s="606"/>
      <c r="BX202" s="607"/>
      <c r="BY202" s="608"/>
      <c r="BZ202" s="608"/>
      <c r="CA202"/>
      <c r="CB202" s="600"/>
    </row>
    <row r="203" spans="2:80" ht="12" customHeight="1" x14ac:dyDescent="0.35">
      <c r="B203" s="590" t="e">
        <f>MATCH(C203,'360SpcLdsCSV'!$C$6:$C$500,0)</f>
        <v>#N/A</v>
      </c>
      <c r="C203" s="590">
        <f>'360SpcLdsCSV'!C152</f>
        <v>0</v>
      </c>
      <c r="D203" s="590" t="str">
        <f t="shared" si="192"/>
        <v>0</v>
      </c>
      <c r="E203" s="590" t="e">
        <f t="shared" si="193"/>
        <v>#VALUE!</v>
      </c>
      <c r="F203" s="590" t="e">
        <f t="shared" si="194"/>
        <v>#VALUE!</v>
      </c>
      <c r="G203" s="590" t="str">
        <f t="shared" si="195"/>
        <v>0</v>
      </c>
      <c r="H203" s="590" t="e">
        <f ca="1">OFFSET('360SpcLdsCSV'!$B$5,$B203,H$51)</f>
        <v>#N/A</v>
      </c>
      <c r="I203" s="590" t="e">
        <f ca="1">OFFSET('360SpcLdsCSV'!$B$5,$B203,I$51)</f>
        <v>#N/A</v>
      </c>
      <c r="J203" s="590" t="e">
        <f ca="1">OFFSET('360SpcLdsCSV'!$B$5,$B203,J$51)</f>
        <v>#N/A</v>
      </c>
      <c r="K203" s="590" t="e">
        <f ca="1">OFFSET('360SpcLdsCSV'!$B$5,$B203,K$51)</f>
        <v>#N/A</v>
      </c>
      <c r="L203" s="590" t="e">
        <f ca="1">OFFSET('360SpcLdsCSV'!$B$5,$B203,L$51)</f>
        <v>#N/A</v>
      </c>
      <c r="M203" s="592" t="e">
        <f ca="1">OFFSET('360SpcLdsCSV'!$B$5,$B203,M$51)</f>
        <v>#N/A</v>
      </c>
      <c r="N203" s="592" t="e">
        <f ca="1">OFFSET('360SpcLdsCSV'!$B$5,$B203,N$51)</f>
        <v>#N/A</v>
      </c>
      <c r="O203" s="592" t="e">
        <f ca="1">OFFSET('360SpcLdsCSV'!$B$5,$B203,O$51)</f>
        <v>#N/A</v>
      </c>
      <c r="P203" s="592" t="e">
        <f ca="1">OFFSET('360SpcLdsCSV'!$B$5,$B203,P$51)</f>
        <v>#N/A</v>
      </c>
      <c r="Q203" s="592" t="e">
        <f ca="1">OFFSET('360SpcLdsCSV'!$B$5,$B203,Q$51)</f>
        <v>#N/A</v>
      </c>
      <c r="R203" s="592" t="e">
        <f ca="1">OFFSET('360SpcLdsCSV'!$B$5,$B203,R$51)</f>
        <v>#N/A</v>
      </c>
      <c r="S203" s="592" t="e">
        <f ca="1">OFFSET('360SpcLdsCSV'!$B$5,$B203,S$51)</f>
        <v>#N/A</v>
      </c>
      <c r="T203" s="592" t="e">
        <f ca="1">OFFSET('360SpcLdsCSV'!$B$5,$B203,T$51)</f>
        <v>#N/A</v>
      </c>
      <c r="U203" s="592" t="e">
        <f ca="1">OFFSET('360SpcLdsCSV'!$B$5,$B203,U$51)</f>
        <v>#N/A</v>
      </c>
      <c r="V203" s="592" t="e">
        <f ca="1">OFFSET('360SpcLdsCSV'!$B$5,$B203,V$51)</f>
        <v>#N/A</v>
      </c>
      <c r="W203" s="592" t="e">
        <f ca="1">OFFSET('360SpcLdsCSV'!$B$5,$B203,W$51)</f>
        <v>#N/A</v>
      </c>
      <c r="X203" s="592" t="e">
        <f ca="1">OFFSET('360SpcLdsCSV'!$B$5,$B203,X$51)</f>
        <v>#N/A</v>
      </c>
      <c r="Y203" s="592" t="e">
        <f ca="1">OFFSET('360SpcLdsCSV'!$B$5,$B203,Y$51)</f>
        <v>#N/A</v>
      </c>
      <c r="Z203" s="592" t="e">
        <f ca="1">OFFSET('360SpcLdsCSV'!$B$5,$B203,Z$51)</f>
        <v>#N/A</v>
      </c>
      <c r="AA203" s="592" t="e">
        <f ca="1">OFFSET('360SpcLdsCSV'!$B$5,$B203,AA$51)</f>
        <v>#N/A</v>
      </c>
      <c r="AB203" s="592" t="e">
        <f ca="1">OFFSET('360SpcLdsCSV'!$B$5,$B203,AB$51)</f>
        <v>#N/A</v>
      </c>
      <c r="AC203" s="592" t="e">
        <f ca="1">OFFSET('360SpcLdsCSV'!$B$5,$B203,AC$51)</f>
        <v>#N/A</v>
      </c>
      <c r="AD203" s="592" t="e">
        <f ca="1">OFFSET('360SpcLdsCSV'!$B$5,$B203,AD$51)</f>
        <v>#N/A</v>
      </c>
      <c r="AE203" s="592" t="e">
        <f ca="1">OFFSET('360SpcLdsCSV'!$B$5,$B203,AE$51)</f>
        <v>#N/A</v>
      </c>
      <c r="AF203" s="592" t="e">
        <f ca="1">OFFSET('360SpcLdsCSV'!$B$5,$B203,AF$51)</f>
        <v>#N/A</v>
      </c>
      <c r="AG203" s="592" t="e">
        <f ca="1">OFFSET('360SpcLdsCSV'!$B$5,$B203,AG$51)</f>
        <v>#N/A</v>
      </c>
      <c r="AH203" s="592" t="e">
        <f ca="1">OFFSET('360SpcLdsCSV'!$B$5,$B203,AH$51)</f>
        <v>#N/A</v>
      </c>
      <c r="AI203" s="592" t="e">
        <f ca="1">OFFSET('360SpcLdsCSV'!$B$5,$B203,AI$51)</f>
        <v>#N/A</v>
      </c>
      <c r="AJ203" s="592" t="e" cm="1">
        <f t="array" ref="AJ203">_xlfn.IFS($F203="Resi",1,$F203="Racc",0,$F203="Coml",0,$F203="Prkg",0)</f>
        <v>#VALUE!</v>
      </c>
      <c r="AK203" s="596"/>
      <c r="AL203" s="590" t="e">
        <f ca="1">OFFSET('360SpcLdsCSV'!$B$5,$B203,AL$51)</f>
        <v>#N/A</v>
      </c>
      <c r="AM203" s="663" t="e">
        <f t="shared" ca="1" si="168"/>
        <v>#N/A</v>
      </c>
      <c r="AN203" s="663" t="e">
        <f t="shared" ca="1" si="169"/>
        <v>#N/A</v>
      </c>
      <c r="AO203" s="663" t="e">
        <f t="shared" ca="1" si="196"/>
        <v>#N/A</v>
      </c>
      <c r="AP203" s="663" t="e">
        <f t="shared" ca="1" si="170"/>
        <v>#N/A</v>
      </c>
      <c r="AQ203" s="663" t="e">
        <f t="shared" ca="1" si="171"/>
        <v>#N/A</v>
      </c>
      <c r="AR203" s="663" t="e">
        <f t="shared" ca="1" si="172"/>
        <v>#N/A</v>
      </c>
      <c r="AS203" s="663" t="e">
        <f t="shared" ca="1" si="173"/>
        <v>#N/A</v>
      </c>
      <c r="AT203" s="663" t="e">
        <f t="shared" ca="1" si="174"/>
        <v>#N/A</v>
      </c>
      <c r="AU203" s="663" t="e">
        <f t="shared" ca="1" si="175"/>
        <v>#N/A</v>
      </c>
      <c r="AV203" s="663" t="e">
        <f t="shared" ca="1" si="176"/>
        <v>#N/A</v>
      </c>
      <c r="AW203" s="663" t="e">
        <f t="shared" ca="1" si="177"/>
        <v>#N/A</v>
      </c>
      <c r="AX203" s="663" t="e">
        <f t="shared" ca="1" si="178"/>
        <v>#N/A</v>
      </c>
      <c r="AY203" s="663" t="e">
        <f t="shared" ca="1" si="179"/>
        <v>#N/A</v>
      </c>
      <c r="AZ203" s="663" t="e">
        <f t="shared" ca="1" si="180"/>
        <v>#N/A</v>
      </c>
      <c r="BA203" s="663" t="e">
        <f t="shared" ca="1" si="181"/>
        <v>#N/A</v>
      </c>
      <c r="BB203" s="663" t="e">
        <f t="shared" ca="1" si="182"/>
        <v>#N/A</v>
      </c>
      <c r="BC203" s="663" t="e">
        <f t="shared" ca="1" si="183"/>
        <v>#N/A</v>
      </c>
      <c r="BD203" s="663" t="e">
        <f t="shared" ca="1" si="184"/>
        <v>#N/A</v>
      </c>
      <c r="BE203" s="663" t="e">
        <f t="shared" ca="1" si="185"/>
        <v>#N/A</v>
      </c>
      <c r="BF203" s="663" t="e">
        <f t="shared" ca="1" si="186"/>
        <v>#N/A</v>
      </c>
      <c r="BG203" s="663" t="e">
        <f t="shared" ca="1" si="187"/>
        <v>#N/A</v>
      </c>
      <c r="BH203" s="663" t="e">
        <f t="shared" ca="1" si="188"/>
        <v>#N/A</v>
      </c>
      <c r="BI203" s="663" t="e">
        <f t="shared" ca="1" si="189"/>
        <v>#N/A</v>
      </c>
      <c r="BJ203" s="663" t="e">
        <f t="shared" ca="1" si="190"/>
        <v>#N/A</v>
      </c>
      <c r="BK203" s="663" t="e">
        <f t="shared" ca="1" si="191"/>
        <v>#N/A</v>
      </c>
      <c r="BL203" s="1918"/>
      <c r="BM203" s="1532"/>
      <c r="BN203" s="1919"/>
      <c r="BO203" s="603"/>
      <c r="BP203" s="602"/>
      <c r="BQ203" s="602"/>
      <c r="BR203" s="602"/>
      <c r="BS203" s="604"/>
      <c r="BT203" s="605"/>
      <c r="BU203" s="602"/>
      <c r="BV203" s="602"/>
      <c r="BW203" s="606"/>
      <c r="BX203" s="607"/>
      <c r="BY203" s="608"/>
      <c r="BZ203" s="608"/>
      <c r="CA203"/>
      <c r="CB203" s="600"/>
    </row>
    <row r="204" spans="2:80" ht="12" customHeight="1" x14ac:dyDescent="0.35">
      <c r="B204" s="590" t="e">
        <f>MATCH(C204,'360SpcLdsCSV'!$C$6:$C$500,0)</f>
        <v>#N/A</v>
      </c>
      <c r="C204" s="590">
        <f>'360SpcLdsCSV'!C153</f>
        <v>0</v>
      </c>
      <c r="D204" s="590" t="str">
        <f t="shared" si="192"/>
        <v>0</v>
      </c>
      <c r="E204" s="590" t="e">
        <f t="shared" si="193"/>
        <v>#VALUE!</v>
      </c>
      <c r="F204" s="590" t="e">
        <f t="shared" si="194"/>
        <v>#VALUE!</v>
      </c>
      <c r="G204" s="590" t="str">
        <f t="shared" si="195"/>
        <v>0</v>
      </c>
      <c r="H204" s="590" t="e">
        <f ca="1">OFFSET('360SpcLdsCSV'!$B$5,$B204,H$51)</f>
        <v>#N/A</v>
      </c>
      <c r="I204" s="590" t="e">
        <f ca="1">OFFSET('360SpcLdsCSV'!$B$5,$B204,I$51)</f>
        <v>#N/A</v>
      </c>
      <c r="J204" s="590" t="e">
        <f ca="1">OFFSET('360SpcLdsCSV'!$B$5,$B204,J$51)</f>
        <v>#N/A</v>
      </c>
      <c r="K204" s="590" t="e">
        <f ca="1">OFFSET('360SpcLdsCSV'!$B$5,$B204,K$51)</f>
        <v>#N/A</v>
      </c>
      <c r="L204" s="590" t="e">
        <f ca="1">OFFSET('360SpcLdsCSV'!$B$5,$B204,L$51)</f>
        <v>#N/A</v>
      </c>
      <c r="M204" s="592" t="e">
        <f ca="1">OFFSET('360SpcLdsCSV'!$B$5,$B204,M$51)</f>
        <v>#N/A</v>
      </c>
      <c r="N204" s="592" t="e">
        <f ca="1">OFFSET('360SpcLdsCSV'!$B$5,$B204,N$51)</f>
        <v>#N/A</v>
      </c>
      <c r="O204" s="592" t="e">
        <f ca="1">OFFSET('360SpcLdsCSV'!$B$5,$B204,O$51)</f>
        <v>#N/A</v>
      </c>
      <c r="P204" s="592" t="e">
        <f ca="1">OFFSET('360SpcLdsCSV'!$B$5,$B204,P$51)</f>
        <v>#N/A</v>
      </c>
      <c r="Q204" s="592" t="e">
        <f ca="1">OFFSET('360SpcLdsCSV'!$B$5,$B204,Q$51)</f>
        <v>#N/A</v>
      </c>
      <c r="R204" s="592" t="e">
        <f ca="1">OFFSET('360SpcLdsCSV'!$B$5,$B204,R$51)</f>
        <v>#N/A</v>
      </c>
      <c r="S204" s="592" t="e">
        <f ca="1">OFFSET('360SpcLdsCSV'!$B$5,$B204,S$51)</f>
        <v>#N/A</v>
      </c>
      <c r="T204" s="592" t="e">
        <f ca="1">OFFSET('360SpcLdsCSV'!$B$5,$B204,T$51)</f>
        <v>#N/A</v>
      </c>
      <c r="U204" s="592" t="e">
        <f ca="1">OFFSET('360SpcLdsCSV'!$B$5,$B204,U$51)</f>
        <v>#N/A</v>
      </c>
      <c r="V204" s="592" t="e">
        <f ca="1">OFFSET('360SpcLdsCSV'!$B$5,$B204,V$51)</f>
        <v>#N/A</v>
      </c>
      <c r="W204" s="592" t="e">
        <f ca="1">OFFSET('360SpcLdsCSV'!$B$5,$B204,W$51)</f>
        <v>#N/A</v>
      </c>
      <c r="X204" s="592" t="e">
        <f ca="1">OFFSET('360SpcLdsCSV'!$B$5,$B204,X$51)</f>
        <v>#N/A</v>
      </c>
      <c r="Y204" s="592" t="e">
        <f ca="1">OFFSET('360SpcLdsCSV'!$B$5,$B204,Y$51)</f>
        <v>#N/A</v>
      </c>
      <c r="Z204" s="592" t="e">
        <f ca="1">OFFSET('360SpcLdsCSV'!$B$5,$B204,Z$51)</f>
        <v>#N/A</v>
      </c>
      <c r="AA204" s="592" t="e">
        <f ca="1">OFFSET('360SpcLdsCSV'!$B$5,$B204,AA$51)</f>
        <v>#N/A</v>
      </c>
      <c r="AB204" s="592" t="e">
        <f ca="1">OFFSET('360SpcLdsCSV'!$B$5,$B204,AB$51)</f>
        <v>#N/A</v>
      </c>
      <c r="AC204" s="592" t="e">
        <f ca="1">OFFSET('360SpcLdsCSV'!$B$5,$B204,AC$51)</f>
        <v>#N/A</v>
      </c>
      <c r="AD204" s="592" t="e">
        <f ca="1">OFFSET('360SpcLdsCSV'!$B$5,$B204,AD$51)</f>
        <v>#N/A</v>
      </c>
      <c r="AE204" s="592" t="e">
        <f ca="1">OFFSET('360SpcLdsCSV'!$B$5,$B204,AE$51)</f>
        <v>#N/A</v>
      </c>
      <c r="AF204" s="592" t="e">
        <f ca="1">OFFSET('360SpcLdsCSV'!$B$5,$B204,AF$51)</f>
        <v>#N/A</v>
      </c>
      <c r="AG204" s="592" t="e">
        <f ca="1">OFFSET('360SpcLdsCSV'!$B$5,$B204,AG$51)</f>
        <v>#N/A</v>
      </c>
      <c r="AH204" s="592" t="e">
        <f ca="1">OFFSET('360SpcLdsCSV'!$B$5,$B204,AH$51)</f>
        <v>#N/A</v>
      </c>
      <c r="AI204" s="592" t="e">
        <f ca="1">OFFSET('360SpcLdsCSV'!$B$5,$B204,AI$51)</f>
        <v>#N/A</v>
      </c>
      <c r="AJ204" s="592" t="e" cm="1">
        <f t="array" ref="AJ204">_xlfn.IFS($F204="Resi",1,$F204="Racc",0,$F204="Coml",0,$F204="Prkg",0)</f>
        <v>#VALUE!</v>
      </c>
      <c r="AK204" s="596"/>
      <c r="AL204" s="590" t="e">
        <f ca="1">OFFSET('360SpcLdsCSV'!$B$5,$B204,AL$51)</f>
        <v>#N/A</v>
      </c>
      <c r="AM204" s="663" t="e">
        <f t="shared" ca="1" si="168"/>
        <v>#N/A</v>
      </c>
      <c r="AN204" s="663" t="e">
        <f t="shared" ca="1" si="169"/>
        <v>#N/A</v>
      </c>
      <c r="AO204" s="663" t="e">
        <f t="shared" ca="1" si="196"/>
        <v>#N/A</v>
      </c>
      <c r="AP204" s="663" t="e">
        <f t="shared" ca="1" si="170"/>
        <v>#N/A</v>
      </c>
      <c r="AQ204" s="663" t="e">
        <f t="shared" ca="1" si="171"/>
        <v>#N/A</v>
      </c>
      <c r="AR204" s="663" t="e">
        <f t="shared" ca="1" si="172"/>
        <v>#N/A</v>
      </c>
      <c r="AS204" s="663" t="e">
        <f t="shared" ca="1" si="173"/>
        <v>#N/A</v>
      </c>
      <c r="AT204" s="663" t="e">
        <f t="shared" ca="1" si="174"/>
        <v>#N/A</v>
      </c>
      <c r="AU204" s="663" t="e">
        <f t="shared" ca="1" si="175"/>
        <v>#N/A</v>
      </c>
      <c r="AV204" s="663" t="e">
        <f t="shared" ca="1" si="176"/>
        <v>#N/A</v>
      </c>
      <c r="AW204" s="663" t="e">
        <f t="shared" ca="1" si="177"/>
        <v>#N/A</v>
      </c>
      <c r="AX204" s="663" t="e">
        <f t="shared" ca="1" si="178"/>
        <v>#N/A</v>
      </c>
      <c r="AY204" s="663" t="e">
        <f t="shared" ca="1" si="179"/>
        <v>#N/A</v>
      </c>
      <c r="AZ204" s="663" t="e">
        <f t="shared" ca="1" si="180"/>
        <v>#N/A</v>
      </c>
      <c r="BA204" s="663" t="e">
        <f t="shared" ca="1" si="181"/>
        <v>#N/A</v>
      </c>
      <c r="BB204" s="663" t="e">
        <f t="shared" ca="1" si="182"/>
        <v>#N/A</v>
      </c>
      <c r="BC204" s="663" t="e">
        <f t="shared" ca="1" si="183"/>
        <v>#N/A</v>
      </c>
      <c r="BD204" s="663" t="e">
        <f t="shared" ca="1" si="184"/>
        <v>#N/A</v>
      </c>
      <c r="BE204" s="663" t="e">
        <f t="shared" ca="1" si="185"/>
        <v>#N/A</v>
      </c>
      <c r="BF204" s="663" t="e">
        <f t="shared" ca="1" si="186"/>
        <v>#N/A</v>
      </c>
      <c r="BG204" s="663" t="e">
        <f t="shared" ca="1" si="187"/>
        <v>#N/A</v>
      </c>
      <c r="BH204" s="663" t="e">
        <f t="shared" ca="1" si="188"/>
        <v>#N/A</v>
      </c>
      <c r="BI204" s="663" t="e">
        <f t="shared" ca="1" si="189"/>
        <v>#N/A</v>
      </c>
      <c r="BJ204" s="663" t="e">
        <f t="shared" ca="1" si="190"/>
        <v>#N/A</v>
      </c>
      <c r="BK204" s="663" t="e">
        <f t="shared" ca="1" si="191"/>
        <v>#N/A</v>
      </c>
      <c r="BL204" s="1918"/>
      <c r="BM204" s="1532"/>
      <c r="BN204" s="1919"/>
      <c r="BO204" s="603"/>
      <c r="BP204" s="602"/>
      <c r="BQ204" s="602"/>
      <c r="BR204" s="602"/>
      <c r="BS204" s="604"/>
      <c r="BT204" s="605"/>
      <c r="BU204" s="602"/>
      <c r="BV204" s="602"/>
      <c r="BW204" s="606"/>
      <c r="BX204" s="607"/>
      <c r="BY204" s="608"/>
      <c r="BZ204" s="608"/>
      <c r="CA204"/>
      <c r="CB204" s="600"/>
    </row>
    <row r="205" spans="2:80" ht="12" customHeight="1" x14ac:dyDescent="0.35">
      <c r="B205" s="590" t="e">
        <f>MATCH(C205,'360SpcLdsCSV'!$C$6:$C$500,0)</f>
        <v>#N/A</v>
      </c>
      <c r="C205" s="590">
        <f>'360SpcLdsCSV'!C154</f>
        <v>0</v>
      </c>
      <c r="D205" s="590" t="str">
        <f t="shared" si="192"/>
        <v>0</v>
      </c>
      <c r="E205" s="590" t="e">
        <f t="shared" si="193"/>
        <v>#VALUE!</v>
      </c>
      <c r="F205" s="590" t="e">
        <f t="shared" si="194"/>
        <v>#VALUE!</v>
      </c>
      <c r="G205" s="590" t="str">
        <f t="shared" si="195"/>
        <v>0</v>
      </c>
      <c r="H205" s="590" t="e">
        <f ca="1">OFFSET('360SpcLdsCSV'!$B$5,$B205,H$51)</f>
        <v>#N/A</v>
      </c>
      <c r="I205" s="590" t="e">
        <f ca="1">OFFSET('360SpcLdsCSV'!$B$5,$B205,I$51)</f>
        <v>#N/A</v>
      </c>
      <c r="J205" s="590" t="e">
        <f ca="1">OFFSET('360SpcLdsCSV'!$B$5,$B205,J$51)</f>
        <v>#N/A</v>
      </c>
      <c r="K205" s="590" t="e">
        <f ca="1">OFFSET('360SpcLdsCSV'!$B$5,$B205,K$51)</f>
        <v>#N/A</v>
      </c>
      <c r="L205" s="590" t="e">
        <f ca="1">OFFSET('360SpcLdsCSV'!$B$5,$B205,L$51)</f>
        <v>#N/A</v>
      </c>
      <c r="M205" s="592" t="e">
        <f ca="1">OFFSET('360SpcLdsCSV'!$B$5,$B205,M$51)</f>
        <v>#N/A</v>
      </c>
      <c r="N205" s="592" t="e">
        <f ca="1">OFFSET('360SpcLdsCSV'!$B$5,$B205,N$51)</f>
        <v>#N/A</v>
      </c>
      <c r="O205" s="592" t="e">
        <f ca="1">OFFSET('360SpcLdsCSV'!$B$5,$B205,O$51)</f>
        <v>#N/A</v>
      </c>
      <c r="P205" s="592" t="e">
        <f ca="1">OFFSET('360SpcLdsCSV'!$B$5,$B205,P$51)</f>
        <v>#N/A</v>
      </c>
      <c r="Q205" s="592" t="e">
        <f ca="1">OFFSET('360SpcLdsCSV'!$B$5,$B205,Q$51)</f>
        <v>#N/A</v>
      </c>
      <c r="R205" s="592" t="e">
        <f ca="1">OFFSET('360SpcLdsCSV'!$B$5,$B205,R$51)</f>
        <v>#N/A</v>
      </c>
      <c r="S205" s="592" t="e">
        <f ca="1">OFFSET('360SpcLdsCSV'!$B$5,$B205,S$51)</f>
        <v>#N/A</v>
      </c>
      <c r="T205" s="592" t="e">
        <f ca="1">OFFSET('360SpcLdsCSV'!$B$5,$B205,T$51)</f>
        <v>#N/A</v>
      </c>
      <c r="U205" s="592" t="e">
        <f ca="1">OFFSET('360SpcLdsCSV'!$B$5,$B205,U$51)</f>
        <v>#N/A</v>
      </c>
      <c r="V205" s="592" t="e">
        <f ca="1">OFFSET('360SpcLdsCSV'!$B$5,$B205,V$51)</f>
        <v>#N/A</v>
      </c>
      <c r="W205" s="592" t="e">
        <f ca="1">OFFSET('360SpcLdsCSV'!$B$5,$B205,W$51)</f>
        <v>#N/A</v>
      </c>
      <c r="X205" s="592" t="e">
        <f ca="1">OFFSET('360SpcLdsCSV'!$B$5,$B205,X$51)</f>
        <v>#N/A</v>
      </c>
      <c r="Y205" s="592" t="e">
        <f ca="1">OFFSET('360SpcLdsCSV'!$B$5,$B205,Y$51)</f>
        <v>#N/A</v>
      </c>
      <c r="Z205" s="592" t="e">
        <f ca="1">OFFSET('360SpcLdsCSV'!$B$5,$B205,Z$51)</f>
        <v>#N/A</v>
      </c>
      <c r="AA205" s="592" t="e">
        <f ca="1">OFFSET('360SpcLdsCSV'!$B$5,$B205,AA$51)</f>
        <v>#N/A</v>
      </c>
      <c r="AB205" s="592" t="e">
        <f ca="1">OFFSET('360SpcLdsCSV'!$B$5,$B205,AB$51)</f>
        <v>#N/A</v>
      </c>
      <c r="AC205" s="592" t="e">
        <f ca="1">OFFSET('360SpcLdsCSV'!$B$5,$B205,AC$51)</f>
        <v>#N/A</v>
      </c>
      <c r="AD205" s="592" t="e">
        <f ca="1">OFFSET('360SpcLdsCSV'!$B$5,$B205,AD$51)</f>
        <v>#N/A</v>
      </c>
      <c r="AE205" s="592" t="e">
        <f ca="1">OFFSET('360SpcLdsCSV'!$B$5,$B205,AE$51)</f>
        <v>#N/A</v>
      </c>
      <c r="AF205" s="592" t="e">
        <f ca="1">OFFSET('360SpcLdsCSV'!$B$5,$B205,AF$51)</f>
        <v>#N/A</v>
      </c>
      <c r="AG205" s="592" t="e">
        <f ca="1">OFFSET('360SpcLdsCSV'!$B$5,$B205,AG$51)</f>
        <v>#N/A</v>
      </c>
      <c r="AH205" s="592" t="e">
        <f ca="1">OFFSET('360SpcLdsCSV'!$B$5,$B205,AH$51)</f>
        <v>#N/A</v>
      </c>
      <c r="AI205" s="592" t="e">
        <f ca="1">OFFSET('360SpcLdsCSV'!$B$5,$B205,AI$51)</f>
        <v>#N/A</v>
      </c>
      <c r="AJ205" s="592" t="e" cm="1">
        <f t="array" ref="AJ205">_xlfn.IFS($F205="Resi",1,$F205="Racc",0,$F205="Coml",0,$F205="Prkg",0)</f>
        <v>#VALUE!</v>
      </c>
      <c r="AK205" s="596"/>
      <c r="AL205" s="590" t="e">
        <f ca="1">OFFSET('360SpcLdsCSV'!$B$5,$B205,AL$51)</f>
        <v>#N/A</v>
      </c>
      <c r="AM205" s="663" t="e">
        <f t="shared" ca="1" si="168"/>
        <v>#N/A</v>
      </c>
      <c r="AN205" s="663" t="e">
        <f t="shared" ca="1" si="169"/>
        <v>#N/A</v>
      </c>
      <c r="AO205" s="663" t="e">
        <f t="shared" ca="1" si="196"/>
        <v>#N/A</v>
      </c>
      <c r="AP205" s="663" t="e">
        <f t="shared" ca="1" si="170"/>
        <v>#N/A</v>
      </c>
      <c r="AQ205" s="663" t="e">
        <f t="shared" ca="1" si="171"/>
        <v>#N/A</v>
      </c>
      <c r="AR205" s="663" t="e">
        <f t="shared" ca="1" si="172"/>
        <v>#N/A</v>
      </c>
      <c r="AS205" s="663" t="e">
        <f t="shared" ca="1" si="173"/>
        <v>#N/A</v>
      </c>
      <c r="AT205" s="663" t="e">
        <f t="shared" ca="1" si="174"/>
        <v>#N/A</v>
      </c>
      <c r="AU205" s="663" t="e">
        <f t="shared" ca="1" si="175"/>
        <v>#N/A</v>
      </c>
      <c r="AV205" s="663" t="e">
        <f t="shared" ca="1" si="176"/>
        <v>#N/A</v>
      </c>
      <c r="AW205" s="663" t="e">
        <f t="shared" ca="1" si="177"/>
        <v>#N/A</v>
      </c>
      <c r="AX205" s="663" t="e">
        <f t="shared" ca="1" si="178"/>
        <v>#N/A</v>
      </c>
      <c r="AY205" s="663" t="e">
        <f t="shared" ca="1" si="179"/>
        <v>#N/A</v>
      </c>
      <c r="AZ205" s="663" t="e">
        <f t="shared" ca="1" si="180"/>
        <v>#N/A</v>
      </c>
      <c r="BA205" s="663" t="e">
        <f t="shared" ca="1" si="181"/>
        <v>#N/A</v>
      </c>
      <c r="BB205" s="663" t="e">
        <f t="shared" ca="1" si="182"/>
        <v>#N/A</v>
      </c>
      <c r="BC205" s="663" t="e">
        <f t="shared" ca="1" si="183"/>
        <v>#N/A</v>
      </c>
      <c r="BD205" s="663" t="e">
        <f t="shared" ca="1" si="184"/>
        <v>#N/A</v>
      </c>
      <c r="BE205" s="663" t="e">
        <f t="shared" ca="1" si="185"/>
        <v>#N/A</v>
      </c>
      <c r="BF205" s="663" t="e">
        <f t="shared" ca="1" si="186"/>
        <v>#N/A</v>
      </c>
      <c r="BG205" s="663" t="e">
        <f t="shared" ca="1" si="187"/>
        <v>#N/A</v>
      </c>
      <c r="BH205" s="663" t="e">
        <f t="shared" ca="1" si="188"/>
        <v>#N/A</v>
      </c>
      <c r="BI205" s="663" t="e">
        <f t="shared" ca="1" si="189"/>
        <v>#N/A</v>
      </c>
      <c r="BJ205" s="663" t="e">
        <f t="shared" ca="1" si="190"/>
        <v>#N/A</v>
      </c>
      <c r="BK205" s="663" t="e">
        <f t="shared" ca="1" si="191"/>
        <v>#N/A</v>
      </c>
      <c r="BL205" s="1918"/>
      <c r="BM205" s="1532"/>
      <c r="BN205" s="1919"/>
      <c r="BO205" s="603"/>
      <c r="BP205" s="602"/>
      <c r="BQ205" s="602"/>
      <c r="BR205" s="602"/>
      <c r="BS205" s="604"/>
      <c r="BT205" s="605"/>
      <c r="BU205" s="602"/>
      <c r="BV205" s="602"/>
      <c r="BW205" s="606"/>
      <c r="BX205" s="607"/>
      <c r="BY205" s="608"/>
      <c r="BZ205" s="608"/>
      <c r="CA205"/>
      <c r="CB205" s="600"/>
    </row>
    <row r="206" spans="2:80" ht="12" customHeight="1" x14ac:dyDescent="0.35">
      <c r="B206" s="590" t="e">
        <f>MATCH(C206,'360SpcLdsCSV'!$C$6:$C$500,0)</f>
        <v>#N/A</v>
      </c>
      <c r="C206" s="590">
        <f>'360SpcLdsCSV'!C155</f>
        <v>0</v>
      </c>
      <c r="D206" s="590" t="str">
        <f t="shared" si="192"/>
        <v>0</v>
      </c>
      <c r="E206" s="590" t="e">
        <f t="shared" si="193"/>
        <v>#VALUE!</v>
      </c>
      <c r="F206" s="590" t="e">
        <f t="shared" si="194"/>
        <v>#VALUE!</v>
      </c>
      <c r="G206" s="590" t="str">
        <f t="shared" si="195"/>
        <v>0</v>
      </c>
      <c r="H206" s="590" t="e">
        <f ca="1">OFFSET('360SpcLdsCSV'!$B$5,$B206,H$51)</f>
        <v>#N/A</v>
      </c>
      <c r="I206" s="590" t="e">
        <f ca="1">OFFSET('360SpcLdsCSV'!$B$5,$B206,I$51)</f>
        <v>#N/A</v>
      </c>
      <c r="J206" s="590" t="e">
        <f ca="1">OFFSET('360SpcLdsCSV'!$B$5,$B206,J$51)</f>
        <v>#N/A</v>
      </c>
      <c r="K206" s="590" t="e">
        <f ca="1">OFFSET('360SpcLdsCSV'!$B$5,$B206,K$51)</f>
        <v>#N/A</v>
      </c>
      <c r="L206" s="590" t="e">
        <f ca="1">OFFSET('360SpcLdsCSV'!$B$5,$B206,L$51)</f>
        <v>#N/A</v>
      </c>
      <c r="M206" s="592" t="e">
        <f ca="1">OFFSET('360SpcLdsCSV'!$B$5,$B206,M$51)</f>
        <v>#N/A</v>
      </c>
      <c r="N206" s="592" t="e">
        <f ca="1">OFFSET('360SpcLdsCSV'!$B$5,$B206,N$51)</f>
        <v>#N/A</v>
      </c>
      <c r="O206" s="592" t="e">
        <f ca="1">OFFSET('360SpcLdsCSV'!$B$5,$B206,O$51)</f>
        <v>#N/A</v>
      </c>
      <c r="P206" s="592" t="e">
        <f ca="1">OFFSET('360SpcLdsCSV'!$B$5,$B206,P$51)</f>
        <v>#N/A</v>
      </c>
      <c r="Q206" s="592" t="e">
        <f ca="1">OFFSET('360SpcLdsCSV'!$B$5,$B206,Q$51)</f>
        <v>#N/A</v>
      </c>
      <c r="R206" s="592" t="e">
        <f ca="1">OFFSET('360SpcLdsCSV'!$B$5,$B206,R$51)</f>
        <v>#N/A</v>
      </c>
      <c r="S206" s="592" t="e">
        <f ca="1">OFFSET('360SpcLdsCSV'!$B$5,$B206,S$51)</f>
        <v>#N/A</v>
      </c>
      <c r="T206" s="592" t="e">
        <f ca="1">OFFSET('360SpcLdsCSV'!$B$5,$B206,T$51)</f>
        <v>#N/A</v>
      </c>
      <c r="U206" s="592" t="e">
        <f ca="1">OFFSET('360SpcLdsCSV'!$B$5,$B206,U$51)</f>
        <v>#N/A</v>
      </c>
      <c r="V206" s="592" t="e">
        <f ca="1">OFFSET('360SpcLdsCSV'!$B$5,$B206,V$51)</f>
        <v>#N/A</v>
      </c>
      <c r="W206" s="592" t="e">
        <f ca="1">OFFSET('360SpcLdsCSV'!$B$5,$B206,W$51)</f>
        <v>#N/A</v>
      </c>
      <c r="X206" s="592" t="e">
        <f ca="1">OFFSET('360SpcLdsCSV'!$B$5,$B206,X$51)</f>
        <v>#N/A</v>
      </c>
      <c r="Y206" s="592" t="e">
        <f ca="1">OFFSET('360SpcLdsCSV'!$B$5,$B206,Y$51)</f>
        <v>#N/A</v>
      </c>
      <c r="Z206" s="592" t="e">
        <f ca="1">OFFSET('360SpcLdsCSV'!$B$5,$B206,Z$51)</f>
        <v>#N/A</v>
      </c>
      <c r="AA206" s="592" t="e">
        <f ca="1">OFFSET('360SpcLdsCSV'!$B$5,$B206,AA$51)</f>
        <v>#N/A</v>
      </c>
      <c r="AB206" s="592" t="e">
        <f ca="1">OFFSET('360SpcLdsCSV'!$B$5,$B206,AB$51)</f>
        <v>#N/A</v>
      </c>
      <c r="AC206" s="592" t="e">
        <f ca="1">OFFSET('360SpcLdsCSV'!$B$5,$B206,AC$51)</f>
        <v>#N/A</v>
      </c>
      <c r="AD206" s="592" t="e">
        <f ca="1">OFFSET('360SpcLdsCSV'!$B$5,$B206,AD$51)</f>
        <v>#N/A</v>
      </c>
      <c r="AE206" s="592" t="e">
        <f ca="1">OFFSET('360SpcLdsCSV'!$B$5,$B206,AE$51)</f>
        <v>#N/A</v>
      </c>
      <c r="AF206" s="592" t="e">
        <f ca="1">OFFSET('360SpcLdsCSV'!$B$5,$B206,AF$51)</f>
        <v>#N/A</v>
      </c>
      <c r="AG206" s="592" t="e">
        <f ca="1">OFFSET('360SpcLdsCSV'!$B$5,$B206,AG$51)</f>
        <v>#N/A</v>
      </c>
      <c r="AH206" s="592" t="e">
        <f ca="1">OFFSET('360SpcLdsCSV'!$B$5,$B206,AH$51)</f>
        <v>#N/A</v>
      </c>
      <c r="AI206" s="592" t="e">
        <f ca="1">OFFSET('360SpcLdsCSV'!$B$5,$B206,AI$51)</f>
        <v>#N/A</v>
      </c>
      <c r="AJ206" s="592" t="e" cm="1">
        <f t="array" ref="AJ206">_xlfn.IFS($F206="Resi",1,$F206="Racc",0,$F206="Coml",0,$F206="Prkg",0)</f>
        <v>#VALUE!</v>
      </c>
      <c r="AK206" s="596"/>
      <c r="AL206" s="590" t="e">
        <f ca="1">OFFSET('360SpcLdsCSV'!$B$5,$B206,AL$51)</f>
        <v>#N/A</v>
      </c>
      <c r="AM206" s="663" t="e">
        <f t="shared" ca="1" si="168"/>
        <v>#N/A</v>
      </c>
      <c r="AN206" s="663" t="e">
        <f t="shared" ca="1" si="169"/>
        <v>#N/A</v>
      </c>
      <c r="AO206" s="663" t="e">
        <f t="shared" ca="1" si="196"/>
        <v>#N/A</v>
      </c>
      <c r="AP206" s="663" t="e">
        <f t="shared" ca="1" si="170"/>
        <v>#N/A</v>
      </c>
      <c r="AQ206" s="663" t="e">
        <f t="shared" ca="1" si="171"/>
        <v>#N/A</v>
      </c>
      <c r="AR206" s="663" t="e">
        <f t="shared" ca="1" si="172"/>
        <v>#N/A</v>
      </c>
      <c r="AS206" s="663" t="e">
        <f t="shared" ca="1" si="173"/>
        <v>#N/A</v>
      </c>
      <c r="AT206" s="663" t="e">
        <f t="shared" ca="1" si="174"/>
        <v>#N/A</v>
      </c>
      <c r="AU206" s="663" t="e">
        <f t="shared" ca="1" si="175"/>
        <v>#N/A</v>
      </c>
      <c r="AV206" s="663" t="e">
        <f t="shared" ca="1" si="176"/>
        <v>#N/A</v>
      </c>
      <c r="AW206" s="663" t="e">
        <f t="shared" ca="1" si="177"/>
        <v>#N/A</v>
      </c>
      <c r="AX206" s="663" t="e">
        <f t="shared" ca="1" si="178"/>
        <v>#N/A</v>
      </c>
      <c r="AY206" s="663" t="e">
        <f t="shared" ca="1" si="179"/>
        <v>#N/A</v>
      </c>
      <c r="AZ206" s="663" t="e">
        <f t="shared" ca="1" si="180"/>
        <v>#N/A</v>
      </c>
      <c r="BA206" s="663" t="e">
        <f t="shared" ca="1" si="181"/>
        <v>#N/A</v>
      </c>
      <c r="BB206" s="663" t="e">
        <f t="shared" ca="1" si="182"/>
        <v>#N/A</v>
      </c>
      <c r="BC206" s="663" t="e">
        <f t="shared" ca="1" si="183"/>
        <v>#N/A</v>
      </c>
      <c r="BD206" s="663" t="e">
        <f t="shared" ca="1" si="184"/>
        <v>#N/A</v>
      </c>
      <c r="BE206" s="663" t="e">
        <f t="shared" ca="1" si="185"/>
        <v>#N/A</v>
      </c>
      <c r="BF206" s="663" t="e">
        <f t="shared" ca="1" si="186"/>
        <v>#N/A</v>
      </c>
      <c r="BG206" s="663" t="e">
        <f t="shared" ca="1" si="187"/>
        <v>#N/A</v>
      </c>
      <c r="BH206" s="663" t="e">
        <f t="shared" ca="1" si="188"/>
        <v>#N/A</v>
      </c>
      <c r="BI206" s="663" t="e">
        <f t="shared" ca="1" si="189"/>
        <v>#N/A</v>
      </c>
      <c r="BJ206" s="663" t="e">
        <f t="shared" ca="1" si="190"/>
        <v>#N/A</v>
      </c>
      <c r="BK206" s="663" t="e">
        <f t="shared" ca="1" si="191"/>
        <v>#N/A</v>
      </c>
      <c r="BL206" s="1918"/>
      <c r="BM206" s="1532"/>
      <c r="BN206" s="1919"/>
      <c r="BO206" s="603"/>
      <c r="BP206" s="602"/>
      <c r="BQ206" s="602"/>
      <c r="BR206" s="602"/>
      <c r="BS206" s="604"/>
      <c r="BT206" s="605"/>
      <c r="BU206" s="602"/>
      <c r="BV206" s="602"/>
      <c r="BW206" s="606"/>
      <c r="BX206" s="607"/>
      <c r="BY206" s="608"/>
      <c r="BZ206" s="608"/>
      <c r="CA206"/>
      <c r="CB206" s="600"/>
    </row>
    <row r="207" spans="2:80" ht="12" customHeight="1" x14ac:dyDescent="0.35">
      <c r="B207" s="590" t="e">
        <f>MATCH(C207,'360SpcLdsCSV'!$C$6:$C$500,0)</f>
        <v>#N/A</v>
      </c>
      <c r="C207" s="590">
        <f>'360SpcLdsCSV'!C156</f>
        <v>0</v>
      </c>
      <c r="D207" s="590" t="str">
        <f t="shared" si="192"/>
        <v>0</v>
      </c>
      <c r="E207" s="590" t="e">
        <f t="shared" si="193"/>
        <v>#VALUE!</v>
      </c>
      <c r="F207" s="590" t="e">
        <f t="shared" si="194"/>
        <v>#VALUE!</v>
      </c>
      <c r="G207" s="590" t="str">
        <f t="shared" si="195"/>
        <v>0</v>
      </c>
      <c r="H207" s="590" t="e">
        <f ca="1">OFFSET('360SpcLdsCSV'!$B$5,$B207,H$51)</f>
        <v>#N/A</v>
      </c>
      <c r="I207" s="590" t="e">
        <f ca="1">OFFSET('360SpcLdsCSV'!$B$5,$B207,I$51)</f>
        <v>#N/A</v>
      </c>
      <c r="J207" s="590" t="e">
        <f ca="1">OFFSET('360SpcLdsCSV'!$B$5,$B207,J$51)</f>
        <v>#N/A</v>
      </c>
      <c r="K207" s="590" t="e">
        <f ca="1">OFFSET('360SpcLdsCSV'!$B$5,$B207,K$51)</f>
        <v>#N/A</v>
      </c>
      <c r="L207" s="590" t="e">
        <f ca="1">OFFSET('360SpcLdsCSV'!$B$5,$B207,L$51)</f>
        <v>#N/A</v>
      </c>
      <c r="M207" s="592" t="e">
        <f ca="1">OFFSET('360SpcLdsCSV'!$B$5,$B207,M$51)</f>
        <v>#N/A</v>
      </c>
      <c r="N207" s="592" t="e">
        <f ca="1">OFFSET('360SpcLdsCSV'!$B$5,$B207,N$51)</f>
        <v>#N/A</v>
      </c>
      <c r="O207" s="592" t="e">
        <f ca="1">OFFSET('360SpcLdsCSV'!$B$5,$B207,O$51)</f>
        <v>#N/A</v>
      </c>
      <c r="P207" s="592" t="e">
        <f ca="1">OFFSET('360SpcLdsCSV'!$B$5,$B207,P$51)</f>
        <v>#N/A</v>
      </c>
      <c r="Q207" s="592" t="e">
        <f ca="1">OFFSET('360SpcLdsCSV'!$B$5,$B207,Q$51)</f>
        <v>#N/A</v>
      </c>
      <c r="R207" s="592" t="e">
        <f ca="1">OFFSET('360SpcLdsCSV'!$B$5,$B207,R$51)</f>
        <v>#N/A</v>
      </c>
      <c r="S207" s="592" t="e">
        <f ca="1">OFFSET('360SpcLdsCSV'!$B$5,$B207,S$51)</f>
        <v>#N/A</v>
      </c>
      <c r="T207" s="592" t="e">
        <f ca="1">OFFSET('360SpcLdsCSV'!$B$5,$B207,T$51)</f>
        <v>#N/A</v>
      </c>
      <c r="U207" s="592" t="e">
        <f ca="1">OFFSET('360SpcLdsCSV'!$B$5,$B207,U$51)</f>
        <v>#N/A</v>
      </c>
      <c r="V207" s="592" t="e">
        <f ca="1">OFFSET('360SpcLdsCSV'!$B$5,$B207,V$51)</f>
        <v>#N/A</v>
      </c>
      <c r="W207" s="592" t="e">
        <f ca="1">OFFSET('360SpcLdsCSV'!$B$5,$B207,W$51)</f>
        <v>#N/A</v>
      </c>
      <c r="X207" s="592" t="e">
        <f ca="1">OFFSET('360SpcLdsCSV'!$B$5,$B207,X$51)</f>
        <v>#N/A</v>
      </c>
      <c r="Y207" s="592" t="e">
        <f ca="1">OFFSET('360SpcLdsCSV'!$B$5,$B207,Y$51)</f>
        <v>#N/A</v>
      </c>
      <c r="Z207" s="592" t="e">
        <f ca="1">OFFSET('360SpcLdsCSV'!$B$5,$B207,Z$51)</f>
        <v>#N/A</v>
      </c>
      <c r="AA207" s="592" t="e">
        <f ca="1">OFFSET('360SpcLdsCSV'!$B$5,$B207,AA$51)</f>
        <v>#N/A</v>
      </c>
      <c r="AB207" s="592" t="e">
        <f ca="1">OFFSET('360SpcLdsCSV'!$B$5,$B207,AB$51)</f>
        <v>#N/A</v>
      </c>
      <c r="AC207" s="592" t="e">
        <f ca="1">OFFSET('360SpcLdsCSV'!$B$5,$B207,AC$51)</f>
        <v>#N/A</v>
      </c>
      <c r="AD207" s="592" t="e">
        <f ca="1">OFFSET('360SpcLdsCSV'!$B$5,$B207,AD$51)</f>
        <v>#N/A</v>
      </c>
      <c r="AE207" s="592" t="e">
        <f ca="1">OFFSET('360SpcLdsCSV'!$B$5,$B207,AE$51)</f>
        <v>#N/A</v>
      </c>
      <c r="AF207" s="592" t="e">
        <f ca="1">OFFSET('360SpcLdsCSV'!$B$5,$B207,AF$51)</f>
        <v>#N/A</v>
      </c>
      <c r="AG207" s="592" t="e">
        <f ca="1">OFFSET('360SpcLdsCSV'!$B$5,$B207,AG$51)</f>
        <v>#N/A</v>
      </c>
      <c r="AH207" s="592" t="e">
        <f ca="1">OFFSET('360SpcLdsCSV'!$B$5,$B207,AH$51)</f>
        <v>#N/A</v>
      </c>
      <c r="AI207" s="592" t="e">
        <f ca="1">OFFSET('360SpcLdsCSV'!$B$5,$B207,AI$51)</f>
        <v>#N/A</v>
      </c>
      <c r="AJ207" s="592" t="e" cm="1">
        <f t="array" ref="AJ207">_xlfn.IFS($F207="Resi",1,$F207="Racc",0,$F207="Coml",0,$F207="Prkg",0)</f>
        <v>#VALUE!</v>
      </c>
      <c r="AK207" s="596"/>
      <c r="AL207" s="590" t="e">
        <f ca="1">OFFSET('360SpcLdsCSV'!$B$5,$B207,AL$51)</f>
        <v>#N/A</v>
      </c>
      <c r="AM207" s="663" t="e">
        <f t="shared" ca="1" si="168"/>
        <v>#N/A</v>
      </c>
      <c r="AN207" s="663" t="e">
        <f t="shared" ca="1" si="169"/>
        <v>#N/A</v>
      </c>
      <c r="AO207" s="663" t="e">
        <f t="shared" ca="1" si="196"/>
        <v>#N/A</v>
      </c>
      <c r="AP207" s="663" t="e">
        <f t="shared" ca="1" si="170"/>
        <v>#N/A</v>
      </c>
      <c r="AQ207" s="663" t="e">
        <f t="shared" ca="1" si="171"/>
        <v>#N/A</v>
      </c>
      <c r="AR207" s="663" t="e">
        <f t="shared" ca="1" si="172"/>
        <v>#N/A</v>
      </c>
      <c r="AS207" s="663" t="e">
        <f t="shared" ca="1" si="173"/>
        <v>#N/A</v>
      </c>
      <c r="AT207" s="663" t="e">
        <f t="shared" ca="1" si="174"/>
        <v>#N/A</v>
      </c>
      <c r="AU207" s="663" t="e">
        <f t="shared" ca="1" si="175"/>
        <v>#N/A</v>
      </c>
      <c r="AV207" s="663" t="e">
        <f t="shared" ca="1" si="176"/>
        <v>#N/A</v>
      </c>
      <c r="AW207" s="663" t="e">
        <f t="shared" ca="1" si="177"/>
        <v>#N/A</v>
      </c>
      <c r="AX207" s="663" t="e">
        <f t="shared" ca="1" si="178"/>
        <v>#N/A</v>
      </c>
      <c r="AY207" s="663" t="e">
        <f t="shared" ca="1" si="179"/>
        <v>#N/A</v>
      </c>
      <c r="AZ207" s="663" t="e">
        <f t="shared" ca="1" si="180"/>
        <v>#N/A</v>
      </c>
      <c r="BA207" s="663" t="e">
        <f t="shared" ca="1" si="181"/>
        <v>#N/A</v>
      </c>
      <c r="BB207" s="663" t="e">
        <f t="shared" ca="1" si="182"/>
        <v>#N/A</v>
      </c>
      <c r="BC207" s="663" t="e">
        <f t="shared" ca="1" si="183"/>
        <v>#N/A</v>
      </c>
      <c r="BD207" s="663" t="e">
        <f t="shared" ca="1" si="184"/>
        <v>#N/A</v>
      </c>
      <c r="BE207" s="663" t="e">
        <f t="shared" ca="1" si="185"/>
        <v>#N/A</v>
      </c>
      <c r="BF207" s="663" t="e">
        <f t="shared" ca="1" si="186"/>
        <v>#N/A</v>
      </c>
      <c r="BG207" s="663" t="e">
        <f t="shared" ca="1" si="187"/>
        <v>#N/A</v>
      </c>
      <c r="BH207" s="663" t="e">
        <f t="shared" ca="1" si="188"/>
        <v>#N/A</v>
      </c>
      <c r="BI207" s="663" t="e">
        <f t="shared" ca="1" si="189"/>
        <v>#N/A</v>
      </c>
      <c r="BJ207" s="663" t="e">
        <f t="shared" ca="1" si="190"/>
        <v>#N/A</v>
      </c>
      <c r="BK207" s="663" t="e">
        <f t="shared" ca="1" si="191"/>
        <v>#N/A</v>
      </c>
      <c r="BL207" s="1918"/>
      <c r="BM207" s="1532"/>
      <c r="BN207" s="1919"/>
      <c r="BO207" s="603"/>
      <c r="BP207" s="602"/>
      <c r="BQ207" s="602"/>
      <c r="BR207" s="602"/>
      <c r="BS207" s="604"/>
      <c r="BT207" s="605"/>
      <c r="BU207" s="602"/>
      <c r="BV207" s="602"/>
      <c r="BW207" s="606"/>
      <c r="BX207" s="607"/>
      <c r="BY207" s="608"/>
      <c r="BZ207" s="608"/>
      <c r="CA207"/>
      <c r="CB207" s="600"/>
    </row>
    <row r="208" spans="2:80" ht="12" customHeight="1" x14ac:dyDescent="0.35">
      <c r="B208" s="590" t="e">
        <f>MATCH(C208,'360SpcLdsCSV'!$C$6:$C$500,0)</f>
        <v>#N/A</v>
      </c>
      <c r="C208" s="590">
        <f>'360SpcLdsCSV'!C157</f>
        <v>0</v>
      </c>
      <c r="D208" s="590" t="str">
        <f t="shared" si="192"/>
        <v>0</v>
      </c>
      <c r="E208" s="590" t="e">
        <f t="shared" si="193"/>
        <v>#VALUE!</v>
      </c>
      <c r="F208" s="590" t="e">
        <f t="shared" si="194"/>
        <v>#VALUE!</v>
      </c>
      <c r="G208" s="590" t="str">
        <f t="shared" si="195"/>
        <v>0</v>
      </c>
      <c r="H208" s="590" t="e">
        <f ca="1">OFFSET('360SpcLdsCSV'!$B$5,$B208,H$51)</f>
        <v>#N/A</v>
      </c>
      <c r="I208" s="590" t="e">
        <f ca="1">OFFSET('360SpcLdsCSV'!$B$5,$B208,I$51)</f>
        <v>#N/A</v>
      </c>
      <c r="J208" s="590" t="e">
        <f ca="1">OFFSET('360SpcLdsCSV'!$B$5,$B208,J$51)</f>
        <v>#N/A</v>
      </c>
      <c r="K208" s="590" t="e">
        <f ca="1">OFFSET('360SpcLdsCSV'!$B$5,$B208,K$51)</f>
        <v>#N/A</v>
      </c>
      <c r="L208" s="590" t="e">
        <f ca="1">OFFSET('360SpcLdsCSV'!$B$5,$B208,L$51)</f>
        <v>#N/A</v>
      </c>
      <c r="M208" s="592" t="e">
        <f ca="1">OFFSET('360SpcLdsCSV'!$B$5,$B208,M$51)</f>
        <v>#N/A</v>
      </c>
      <c r="N208" s="592" t="e">
        <f ca="1">OFFSET('360SpcLdsCSV'!$B$5,$B208,N$51)</f>
        <v>#N/A</v>
      </c>
      <c r="O208" s="592" t="e">
        <f ca="1">OFFSET('360SpcLdsCSV'!$B$5,$B208,O$51)</f>
        <v>#N/A</v>
      </c>
      <c r="P208" s="592" t="e">
        <f ca="1">OFFSET('360SpcLdsCSV'!$B$5,$B208,P$51)</f>
        <v>#N/A</v>
      </c>
      <c r="Q208" s="592" t="e">
        <f ca="1">OFFSET('360SpcLdsCSV'!$B$5,$B208,Q$51)</f>
        <v>#N/A</v>
      </c>
      <c r="R208" s="592" t="e">
        <f ca="1">OFFSET('360SpcLdsCSV'!$B$5,$B208,R$51)</f>
        <v>#N/A</v>
      </c>
      <c r="S208" s="592" t="e">
        <f ca="1">OFFSET('360SpcLdsCSV'!$B$5,$B208,S$51)</f>
        <v>#N/A</v>
      </c>
      <c r="T208" s="592" t="e">
        <f ca="1">OFFSET('360SpcLdsCSV'!$B$5,$B208,T$51)</f>
        <v>#N/A</v>
      </c>
      <c r="U208" s="592" t="e">
        <f ca="1">OFFSET('360SpcLdsCSV'!$B$5,$B208,U$51)</f>
        <v>#N/A</v>
      </c>
      <c r="V208" s="592" t="e">
        <f ca="1">OFFSET('360SpcLdsCSV'!$B$5,$B208,V$51)</f>
        <v>#N/A</v>
      </c>
      <c r="W208" s="592" t="e">
        <f ca="1">OFFSET('360SpcLdsCSV'!$B$5,$B208,W$51)</f>
        <v>#N/A</v>
      </c>
      <c r="X208" s="592" t="e">
        <f ca="1">OFFSET('360SpcLdsCSV'!$B$5,$B208,X$51)</f>
        <v>#N/A</v>
      </c>
      <c r="Y208" s="592" t="e">
        <f ca="1">OFFSET('360SpcLdsCSV'!$B$5,$B208,Y$51)</f>
        <v>#N/A</v>
      </c>
      <c r="Z208" s="592" t="e">
        <f ca="1">OFFSET('360SpcLdsCSV'!$B$5,$B208,Z$51)</f>
        <v>#N/A</v>
      </c>
      <c r="AA208" s="592" t="e">
        <f ca="1">OFFSET('360SpcLdsCSV'!$B$5,$B208,AA$51)</f>
        <v>#N/A</v>
      </c>
      <c r="AB208" s="592" t="e">
        <f ca="1">OFFSET('360SpcLdsCSV'!$B$5,$B208,AB$51)</f>
        <v>#N/A</v>
      </c>
      <c r="AC208" s="592" t="e">
        <f ca="1">OFFSET('360SpcLdsCSV'!$B$5,$B208,AC$51)</f>
        <v>#N/A</v>
      </c>
      <c r="AD208" s="592" t="e">
        <f ca="1">OFFSET('360SpcLdsCSV'!$B$5,$B208,AD$51)</f>
        <v>#N/A</v>
      </c>
      <c r="AE208" s="592" t="e">
        <f ca="1">OFFSET('360SpcLdsCSV'!$B$5,$B208,AE$51)</f>
        <v>#N/A</v>
      </c>
      <c r="AF208" s="592" t="e">
        <f ca="1">OFFSET('360SpcLdsCSV'!$B$5,$B208,AF$51)</f>
        <v>#N/A</v>
      </c>
      <c r="AG208" s="592" t="e">
        <f ca="1">OFFSET('360SpcLdsCSV'!$B$5,$B208,AG$51)</f>
        <v>#N/A</v>
      </c>
      <c r="AH208" s="592" t="e">
        <f ca="1">OFFSET('360SpcLdsCSV'!$B$5,$B208,AH$51)</f>
        <v>#N/A</v>
      </c>
      <c r="AI208" s="592" t="e">
        <f ca="1">OFFSET('360SpcLdsCSV'!$B$5,$B208,AI$51)</f>
        <v>#N/A</v>
      </c>
      <c r="AJ208" s="592" t="e" cm="1">
        <f t="array" ref="AJ208">_xlfn.IFS($F208="Resi",1,$F208="Racc",0,$F208="Coml",0,$F208="Prkg",0)</f>
        <v>#VALUE!</v>
      </c>
      <c r="AK208" s="596"/>
      <c r="AL208" s="590" t="e">
        <f ca="1">OFFSET('360SpcLdsCSV'!$B$5,$B208,AL$51)</f>
        <v>#N/A</v>
      </c>
      <c r="AM208" s="663" t="e">
        <f t="shared" ca="1" si="168"/>
        <v>#N/A</v>
      </c>
      <c r="AN208" s="663" t="e">
        <f t="shared" ca="1" si="169"/>
        <v>#N/A</v>
      </c>
      <c r="AO208" s="663" t="e">
        <f t="shared" ca="1" si="196"/>
        <v>#N/A</v>
      </c>
      <c r="AP208" s="663" t="e">
        <f t="shared" ca="1" si="170"/>
        <v>#N/A</v>
      </c>
      <c r="AQ208" s="663" t="e">
        <f t="shared" ca="1" si="171"/>
        <v>#N/A</v>
      </c>
      <c r="AR208" s="663" t="e">
        <f t="shared" ca="1" si="172"/>
        <v>#N/A</v>
      </c>
      <c r="AS208" s="663" t="e">
        <f t="shared" ca="1" si="173"/>
        <v>#N/A</v>
      </c>
      <c r="AT208" s="663" t="e">
        <f t="shared" ca="1" si="174"/>
        <v>#N/A</v>
      </c>
      <c r="AU208" s="663" t="e">
        <f t="shared" ca="1" si="175"/>
        <v>#N/A</v>
      </c>
      <c r="AV208" s="663" t="e">
        <f t="shared" ca="1" si="176"/>
        <v>#N/A</v>
      </c>
      <c r="AW208" s="663" t="e">
        <f t="shared" ca="1" si="177"/>
        <v>#N/A</v>
      </c>
      <c r="AX208" s="663" t="e">
        <f t="shared" ca="1" si="178"/>
        <v>#N/A</v>
      </c>
      <c r="AY208" s="663" t="e">
        <f t="shared" ca="1" si="179"/>
        <v>#N/A</v>
      </c>
      <c r="AZ208" s="663" t="e">
        <f t="shared" ca="1" si="180"/>
        <v>#N/A</v>
      </c>
      <c r="BA208" s="663" t="e">
        <f t="shared" ca="1" si="181"/>
        <v>#N/A</v>
      </c>
      <c r="BB208" s="663" t="e">
        <f t="shared" ca="1" si="182"/>
        <v>#N/A</v>
      </c>
      <c r="BC208" s="663" t="e">
        <f t="shared" ca="1" si="183"/>
        <v>#N/A</v>
      </c>
      <c r="BD208" s="663" t="e">
        <f t="shared" ca="1" si="184"/>
        <v>#N/A</v>
      </c>
      <c r="BE208" s="663" t="e">
        <f t="shared" ca="1" si="185"/>
        <v>#N/A</v>
      </c>
      <c r="BF208" s="663" t="e">
        <f t="shared" ca="1" si="186"/>
        <v>#N/A</v>
      </c>
      <c r="BG208" s="663" t="e">
        <f t="shared" ca="1" si="187"/>
        <v>#N/A</v>
      </c>
      <c r="BH208" s="663" t="e">
        <f t="shared" ca="1" si="188"/>
        <v>#N/A</v>
      </c>
      <c r="BI208" s="663" t="e">
        <f t="shared" ca="1" si="189"/>
        <v>#N/A</v>
      </c>
      <c r="BJ208" s="663" t="e">
        <f t="shared" ca="1" si="190"/>
        <v>#N/A</v>
      </c>
      <c r="BK208" s="663" t="e">
        <f t="shared" ca="1" si="191"/>
        <v>#N/A</v>
      </c>
      <c r="BL208" s="1918"/>
      <c r="BM208" s="1532"/>
      <c r="BN208" s="1919"/>
      <c r="BO208" s="603"/>
      <c r="BP208" s="602"/>
      <c r="BQ208" s="602"/>
      <c r="BR208" s="602"/>
      <c r="BS208" s="604"/>
      <c r="BT208" s="605"/>
      <c r="BU208" s="602"/>
      <c r="BV208" s="602"/>
      <c r="BW208" s="606"/>
      <c r="BX208" s="607"/>
      <c r="BY208" s="608"/>
      <c r="BZ208" s="608"/>
      <c r="CA208"/>
      <c r="CB208" s="600"/>
    </row>
    <row r="209" spans="2:80" ht="12" customHeight="1" x14ac:dyDescent="0.35">
      <c r="B209" s="590" t="e">
        <f>MATCH(C209,'360SpcLdsCSV'!$C$6:$C$500,0)</f>
        <v>#N/A</v>
      </c>
      <c r="C209" s="590">
        <f>'360SpcLdsCSV'!C158</f>
        <v>0</v>
      </c>
      <c r="D209" s="590" t="str">
        <f t="shared" si="192"/>
        <v>0</v>
      </c>
      <c r="E209" s="590" t="e">
        <f t="shared" si="193"/>
        <v>#VALUE!</v>
      </c>
      <c r="F209" s="590" t="e">
        <f t="shared" si="194"/>
        <v>#VALUE!</v>
      </c>
      <c r="G209" s="590" t="str">
        <f t="shared" si="195"/>
        <v>0</v>
      </c>
      <c r="H209" s="590" t="e">
        <f ca="1">OFFSET('360SpcLdsCSV'!$B$5,$B209,H$51)</f>
        <v>#N/A</v>
      </c>
      <c r="I209" s="590" t="e">
        <f ca="1">OFFSET('360SpcLdsCSV'!$B$5,$B209,I$51)</f>
        <v>#N/A</v>
      </c>
      <c r="J209" s="590" t="e">
        <f ca="1">OFFSET('360SpcLdsCSV'!$B$5,$B209,J$51)</f>
        <v>#N/A</v>
      </c>
      <c r="K209" s="590" t="e">
        <f ca="1">OFFSET('360SpcLdsCSV'!$B$5,$B209,K$51)</f>
        <v>#N/A</v>
      </c>
      <c r="L209" s="590" t="e">
        <f ca="1">OFFSET('360SpcLdsCSV'!$B$5,$B209,L$51)</f>
        <v>#N/A</v>
      </c>
      <c r="M209" s="592" t="e">
        <f ca="1">OFFSET('360SpcLdsCSV'!$B$5,$B209,M$51)</f>
        <v>#N/A</v>
      </c>
      <c r="N209" s="592" t="e">
        <f ca="1">OFFSET('360SpcLdsCSV'!$B$5,$B209,N$51)</f>
        <v>#N/A</v>
      </c>
      <c r="O209" s="592" t="e">
        <f ca="1">OFFSET('360SpcLdsCSV'!$B$5,$B209,O$51)</f>
        <v>#N/A</v>
      </c>
      <c r="P209" s="592" t="e">
        <f ca="1">OFFSET('360SpcLdsCSV'!$B$5,$B209,P$51)</f>
        <v>#N/A</v>
      </c>
      <c r="Q209" s="592" t="e">
        <f ca="1">OFFSET('360SpcLdsCSV'!$B$5,$B209,Q$51)</f>
        <v>#N/A</v>
      </c>
      <c r="R209" s="592" t="e">
        <f ca="1">OFFSET('360SpcLdsCSV'!$B$5,$B209,R$51)</f>
        <v>#N/A</v>
      </c>
      <c r="S209" s="592" t="e">
        <f ca="1">OFFSET('360SpcLdsCSV'!$B$5,$B209,S$51)</f>
        <v>#N/A</v>
      </c>
      <c r="T209" s="592" t="e">
        <f ca="1">OFFSET('360SpcLdsCSV'!$B$5,$B209,T$51)</f>
        <v>#N/A</v>
      </c>
      <c r="U209" s="592" t="e">
        <f ca="1">OFFSET('360SpcLdsCSV'!$B$5,$B209,U$51)</f>
        <v>#N/A</v>
      </c>
      <c r="V209" s="592" t="e">
        <f ca="1">OFFSET('360SpcLdsCSV'!$B$5,$B209,V$51)</f>
        <v>#N/A</v>
      </c>
      <c r="W209" s="592" t="e">
        <f ca="1">OFFSET('360SpcLdsCSV'!$B$5,$B209,W$51)</f>
        <v>#N/A</v>
      </c>
      <c r="X209" s="592" t="e">
        <f ca="1">OFFSET('360SpcLdsCSV'!$B$5,$B209,X$51)</f>
        <v>#N/A</v>
      </c>
      <c r="Y209" s="592" t="e">
        <f ca="1">OFFSET('360SpcLdsCSV'!$B$5,$B209,Y$51)</f>
        <v>#N/A</v>
      </c>
      <c r="Z209" s="592" t="e">
        <f ca="1">OFFSET('360SpcLdsCSV'!$B$5,$B209,Z$51)</f>
        <v>#N/A</v>
      </c>
      <c r="AA209" s="592" t="e">
        <f ca="1">OFFSET('360SpcLdsCSV'!$B$5,$B209,AA$51)</f>
        <v>#N/A</v>
      </c>
      <c r="AB209" s="592" t="e">
        <f ca="1">OFFSET('360SpcLdsCSV'!$B$5,$B209,AB$51)</f>
        <v>#N/A</v>
      </c>
      <c r="AC209" s="592" t="e">
        <f ca="1">OFFSET('360SpcLdsCSV'!$B$5,$B209,AC$51)</f>
        <v>#N/A</v>
      </c>
      <c r="AD209" s="592" t="e">
        <f ca="1">OFFSET('360SpcLdsCSV'!$B$5,$B209,AD$51)</f>
        <v>#N/A</v>
      </c>
      <c r="AE209" s="592" t="e">
        <f ca="1">OFFSET('360SpcLdsCSV'!$B$5,$B209,AE$51)</f>
        <v>#N/A</v>
      </c>
      <c r="AF209" s="592" t="e">
        <f ca="1">OFFSET('360SpcLdsCSV'!$B$5,$B209,AF$51)</f>
        <v>#N/A</v>
      </c>
      <c r="AG209" s="592" t="e">
        <f ca="1">OFFSET('360SpcLdsCSV'!$B$5,$B209,AG$51)</f>
        <v>#N/A</v>
      </c>
      <c r="AH209" s="592" t="e">
        <f ca="1">OFFSET('360SpcLdsCSV'!$B$5,$B209,AH$51)</f>
        <v>#N/A</v>
      </c>
      <c r="AI209" s="592" t="e">
        <f ca="1">OFFSET('360SpcLdsCSV'!$B$5,$B209,AI$51)</f>
        <v>#N/A</v>
      </c>
      <c r="AJ209" s="592" t="e" cm="1">
        <f t="array" ref="AJ209">_xlfn.IFS($F209="Resi",1,$F209="Racc",0,$F209="Coml",0,$F209="Prkg",0)</f>
        <v>#VALUE!</v>
      </c>
      <c r="AK209" s="596"/>
      <c r="AL209" s="590" t="e">
        <f ca="1">OFFSET('360SpcLdsCSV'!$B$5,$B209,AL$51)</f>
        <v>#N/A</v>
      </c>
      <c r="AM209" s="663" t="e">
        <f t="shared" ca="1" si="168"/>
        <v>#N/A</v>
      </c>
      <c r="AN209" s="663" t="e">
        <f t="shared" ca="1" si="169"/>
        <v>#N/A</v>
      </c>
      <c r="AO209" s="663" t="e">
        <f t="shared" ca="1" si="196"/>
        <v>#N/A</v>
      </c>
      <c r="AP209" s="663" t="e">
        <f t="shared" ca="1" si="170"/>
        <v>#N/A</v>
      </c>
      <c r="AQ209" s="663" t="e">
        <f t="shared" ca="1" si="171"/>
        <v>#N/A</v>
      </c>
      <c r="AR209" s="663" t="e">
        <f t="shared" ca="1" si="172"/>
        <v>#N/A</v>
      </c>
      <c r="AS209" s="663" t="e">
        <f t="shared" ca="1" si="173"/>
        <v>#N/A</v>
      </c>
      <c r="AT209" s="663" t="e">
        <f t="shared" ca="1" si="174"/>
        <v>#N/A</v>
      </c>
      <c r="AU209" s="663" t="e">
        <f t="shared" ca="1" si="175"/>
        <v>#N/A</v>
      </c>
      <c r="AV209" s="663" t="e">
        <f t="shared" ca="1" si="176"/>
        <v>#N/A</v>
      </c>
      <c r="AW209" s="663" t="e">
        <f t="shared" ca="1" si="177"/>
        <v>#N/A</v>
      </c>
      <c r="AX209" s="663" t="e">
        <f t="shared" ca="1" si="178"/>
        <v>#N/A</v>
      </c>
      <c r="AY209" s="663" t="e">
        <f t="shared" ca="1" si="179"/>
        <v>#N/A</v>
      </c>
      <c r="AZ209" s="663" t="e">
        <f t="shared" ca="1" si="180"/>
        <v>#N/A</v>
      </c>
      <c r="BA209" s="663" t="e">
        <f t="shared" ca="1" si="181"/>
        <v>#N/A</v>
      </c>
      <c r="BB209" s="663" t="e">
        <f t="shared" ca="1" si="182"/>
        <v>#N/A</v>
      </c>
      <c r="BC209" s="663" t="e">
        <f t="shared" ca="1" si="183"/>
        <v>#N/A</v>
      </c>
      <c r="BD209" s="663" t="e">
        <f t="shared" ca="1" si="184"/>
        <v>#N/A</v>
      </c>
      <c r="BE209" s="663" t="e">
        <f t="shared" ca="1" si="185"/>
        <v>#N/A</v>
      </c>
      <c r="BF209" s="663" t="e">
        <f t="shared" ca="1" si="186"/>
        <v>#N/A</v>
      </c>
      <c r="BG209" s="663" t="e">
        <f t="shared" ca="1" si="187"/>
        <v>#N/A</v>
      </c>
      <c r="BH209" s="663" t="e">
        <f t="shared" ca="1" si="188"/>
        <v>#N/A</v>
      </c>
      <c r="BI209" s="663" t="e">
        <f t="shared" ca="1" si="189"/>
        <v>#N/A</v>
      </c>
      <c r="BJ209" s="663" t="e">
        <f t="shared" ca="1" si="190"/>
        <v>#N/A</v>
      </c>
      <c r="BK209" s="663" t="e">
        <f t="shared" ca="1" si="191"/>
        <v>#N/A</v>
      </c>
      <c r="BL209" s="1918"/>
      <c r="BM209" s="1532"/>
      <c r="BN209" s="1919"/>
      <c r="BO209" s="603"/>
      <c r="BP209" s="602"/>
      <c r="BQ209" s="602"/>
      <c r="BR209" s="602"/>
      <c r="BS209" s="604"/>
      <c r="BT209" s="605"/>
      <c r="BU209" s="602"/>
      <c r="BV209" s="602"/>
      <c r="BW209" s="606"/>
      <c r="BX209" s="607"/>
      <c r="BY209" s="608"/>
      <c r="BZ209" s="608"/>
      <c r="CA209"/>
      <c r="CB209" s="600"/>
    </row>
    <row r="210" spans="2:80" ht="12" customHeight="1" x14ac:dyDescent="0.35">
      <c r="B210" s="590" t="e">
        <f>MATCH(C210,'360SpcLdsCSV'!$C$6:$C$500,0)</f>
        <v>#N/A</v>
      </c>
      <c r="C210" s="590">
        <f>'360SpcLdsCSV'!C159</f>
        <v>0</v>
      </c>
      <c r="D210" s="590" t="str">
        <f t="shared" si="192"/>
        <v>0</v>
      </c>
      <c r="E210" s="590" t="e">
        <f t="shared" si="193"/>
        <v>#VALUE!</v>
      </c>
      <c r="F210" s="590" t="e">
        <f t="shared" si="194"/>
        <v>#VALUE!</v>
      </c>
      <c r="G210" s="590" t="str">
        <f t="shared" si="195"/>
        <v>0</v>
      </c>
      <c r="H210" s="590" t="e">
        <f ca="1">OFFSET('360SpcLdsCSV'!$B$5,$B210,H$51)</f>
        <v>#N/A</v>
      </c>
      <c r="I210" s="590" t="e">
        <f ca="1">OFFSET('360SpcLdsCSV'!$B$5,$B210,I$51)</f>
        <v>#N/A</v>
      </c>
      <c r="J210" s="590" t="e">
        <f ca="1">OFFSET('360SpcLdsCSV'!$B$5,$B210,J$51)</f>
        <v>#N/A</v>
      </c>
      <c r="K210" s="590" t="e">
        <f ca="1">OFFSET('360SpcLdsCSV'!$B$5,$B210,K$51)</f>
        <v>#N/A</v>
      </c>
      <c r="L210" s="590" t="e">
        <f ca="1">OFFSET('360SpcLdsCSV'!$B$5,$B210,L$51)</f>
        <v>#N/A</v>
      </c>
      <c r="M210" s="592" t="e">
        <f ca="1">OFFSET('360SpcLdsCSV'!$B$5,$B210,M$51)</f>
        <v>#N/A</v>
      </c>
      <c r="N210" s="592" t="e">
        <f ca="1">OFFSET('360SpcLdsCSV'!$B$5,$B210,N$51)</f>
        <v>#N/A</v>
      </c>
      <c r="O210" s="592" t="e">
        <f ca="1">OFFSET('360SpcLdsCSV'!$B$5,$B210,O$51)</f>
        <v>#N/A</v>
      </c>
      <c r="P210" s="592" t="e">
        <f ca="1">OFFSET('360SpcLdsCSV'!$B$5,$B210,P$51)</f>
        <v>#N/A</v>
      </c>
      <c r="Q210" s="592" t="e">
        <f ca="1">OFFSET('360SpcLdsCSV'!$B$5,$B210,Q$51)</f>
        <v>#N/A</v>
      </c>
      <c r="R210" s="592" t="e">
        <f ca="1">OFFSET('360SpcLdsCSV'!$B$5,$B210,R$51)</f>
        <v>#N/A</v>
      </c>
      <c r="S210" s="592" t="e">
        <f ca="1">OFFSET('360SpcLdsCSV'!$B$5,$B210,S$51)</f>
        <v>#N/A</v>
      </c>
      <c r="T210" s="592" t="e">
        <f ca="1">OFFSET('360SpcLdsCSV'!$B$5,$B210,T$51)</f>
        <v>#N/A</v>
      </c>
      <c r="U210" s="592" t="e">
        <f ca="1">OFFSET('360SpcLdsCSV'!$B$5,$B210,U$51)</f>
        <v>#N/A</v>
      </c>
      <c r="V210" s="592" t="e">
        <f ca="1">OFFSET('360SpcLdsCSV'!$B$5,$B210,V$51)</f>
        <v>#N/A</v>
      </c>
      <c r="W210" s="592" t="e">
        <f ca="1">OFFSET('360SpcLdsCSV'!$B$5,$B210,W$51)</f>
        <v>#N/A</v>
      </c>
      <c r="X210" s="592" t="e">
        <f ca="1">OFFSET('360SpcLdsCSV'!$B$5,$B210,X$51)</f>
        <v>#N/A</v>
      </c>
      <c r="Y210" s="592" t="e">
        <f ca="1">OFFSET('360SpcLdsCSV'!$B$5,$B210,Y$51)</f>
        <v>#N/A</v>
      </c>
      <c r="Z210" s="592" t="e">
        <f ca="1">OFFSET('360SpcLdsCSV'!$B$5,$B210,Z$51)</f>
        <v>#N/A</v>
      </c>
      <c r="AA210" s="592" t="e">
        <f ca="1">OFFSET('360SpcLdsCSV'!$B$5,$B210,AA$51)</f>
        <v>#N/A</v>
      </c>
      <c r="AB210" s="592" t="e">
        <f ca="1">OFFSET('360SpcLdsCSV'!$B$5,$B210,AB$51)</f>
        <v>#N/A</v>
      </c>
      <c r="AC210" s="592" t="e">
        <f ca="1">OFFSET('360SpcLdsCSV'!$B$5,$B210,AC$51)</f>
        <v>#N/A</v>
      </c>
      <c r="AD210" s="592" t="e">
        <f ca="1">OFFSET('360SpcLdsCSV'!$B$5,$B210,AD$51)</f>
        <v>#N/A</v>
      </c>
      <c r="AE210" s="592" t="e">
        <f ca="1">OFFSET('360SpcLdsCSV'!$B$5,$B210,AE$51)</f>
        <v>#N/A</v>
      </c>
      <c r="AF210" s="592" t="e">
        <f ca="1">OFFSET('360SpcLdsCSV'!$B$5,$B210,AF$51)</f>
        <v>#N/A</v>
      </c>
      <c r="AG210" s="592" t="e">
        <f ca="1">OFFSET('360SpcLdsCSV'!$B$5,$B210,AG$51)</f>
        <v>#N/A</v>
      </c>
      <c r="AH210" s="592" t="e">
        <f ca="1">OFFSET('360SpcLdsCSV'!$B$5,$B210,AH$51)</f>
        <v>#N/A</v>
      </c>
      <c r="AI210" s="592" t="e">
        <f ca="1">OFFSET('360SpcLdsCSV'!$B$5,$B210,AI$51)</f>
        <v>#N/A</v>
      </c>
      <c r="AJ210" s="592" t="e" cm="1">
        <f t="array" ref="AJ210">_xlfn.IFS($F210="Resi",1,$F210="Racc",0,$F210="Coml",0,$F210="Prkg",0)</f>
        <v>#VALUE!</v>
      </c>
      <c r="AK210" s="596"/>
      <c r="AL210" s="590" t="e">
        <f ca="1">OFFSET('360SpcLdsCSV'!$B$5,$B210,AL$51)</f>
        <v>#N/A</v>
      </c>
      <c r="AM210" s="663" t="e">
        <f t="shared" ca="1" si="168"/>
        <v>#N/A</v>
      </c>
      <c r="AN210" s="663" t="e">
        <f t="shared" ca="1" si="169"/>
        <v>#N/A</v>
      </c>
      <c r="AO210" s="663" t="e">
        <f t="shared" ca="1" si="196"/>
        <v>#N/A</v>
      </c>
      <c r="AP210" s="663" t="e">
        <f t="shared" ca="1" si="170"/>
        <v>#N/A</v>
      </c>
      <c r="AQ210" s="663" t="e">
        <f t="shared" ca="1" si="171"/>
        <v>#N/A</v>
      </c>
      <c r="AR210" s="663" t="e">
        <f t="shared" ca="1" si="172"/>
        <v>#N/A</v>
      </c>
      <c r="AS210" s="663" t="e">
        <f t="shared" ca="1" si="173"/>
        <v>#N/A</v>
      </c>
      <c r="AT210" s="663" t="e">
        <f t="shared" ca="1" si="174"/>
        <v>#N/A</v>
      </c>
      <c r="AU210" s="663" t="e">
        <f t="shared" ca="1" si="175"/>
        <v>#N/A</v>
      </c>
      <c r="AV210" s="663" t="e">
        <f t="shared" ca="1" si="176"/>
        <v>#N/A</v>
      </c>
      <c r="AW210" s="663" t="e">
        <f t="shared" ca="1" si="177"/>
        <v>#N/A</v>
      </c>
      <c r="AX210" s="663" t="e">
        <f t="shared" ca="1" si="178"/>
        <v>#N/A</v>
      </c>
      <c r="AY210" s="663" t="e">
        <f t="shared" ca="1" si="179"/>
        <v>#N/A</v>
      </c>
      <c r="AZ210" s="663" t="e">
        <f t="shared" ca="1" si="180"/>
        <v>#N/A</v>
      </c>
      <c r="BA210" s="663" t="e">
        <f t="shared" ca="1" si="181"/>
        <v>#N/A</v>
      </c>
      <c r="BB210" s="663" t="e">
        <f t="shared" ca="1" si="182"/>
        <v>#N/A</v>
      </c>
      <c r="BC210" s="663" t="e">
        <f t="shared" ca="1" si="183"/>
        <v>#N/A</v>
      </c>
      <c r="BD210" s="663" t="e">
        <f t="shared" ca="1" si="184"/>
        <v>#N/A</v>
      </c>
      <c r="BE210" s="663" t="e">
        <f t="shared" ca="1" si="185"/>
        <v>#N/A</v>
      </c>
      <c r="BF210" s="663" t="e">
        <f t="shared" ca="1" si="186"/>
        <v>#N/A</v>
      </c>
      <c r="BG210" s="663" t="e">
        <f t="shared" ca="1" si="187"/>
        <v>#N/A</v>
      </c>
      <c r="BH210" s="663" t="e">
        <f t="shared" ca="1" si="188"/>
        <v>#N/A</v>
      </c>
      <c r="BI210" s="663" t="e">
        <f t="shared" ca="1" si="189"/>
        <v>#N/A</v>
      </c>
      <c r="BJ210" s="663" t="e">
        <f t="shared" ca="1" si="190"/>
        <v>#N/A</v>
      </c>
      <c r="BK210" s="663" t="e">
        <f t="shared" ca="1" si="191"/>
        <v>#N/A</v>
      </c>
      <c r="BL210" s="1918"/>
      <c r="BM210" s="1532"/>
      <c r="BN210" s="1919"/>
      <c r="BO210" s="603"/>
      <c r="BP210" s="602"/>
      <c r="BQ210" s="602"/>
      <c r="BR210" s="602"/>
      <c r="BS210" s="604"/>
      <c r="BT210" s="605"/>
      <c r="BU210" s="602"/>
      <c r="BV210" s="602"/>
      <c r="BW210" s="606"/>
      <c r="BX210" s="607"/>
      <c r="BY210" s="608"/>
      <c r="BZ210" s="608"/>
      <c r="CA210" s="608"/>
      <c r="CB210" s="600"/>
    </row>
    <row r="211" spans="2:80" ht="12" customHeight="1" x14ac:dyDescent="0.35">
      <c r="B211" s="590" t="e">
        <f>MATCH(C211,'360SpcLdsCSV'!$C$6:$C$500,0)</f>
        <v>#N/A</v>
      </c>
      <c r="C211" s="590">
        <f>'360SpcLdsCSV'!C160</f>
        <v>0</v>
      </c>
      <c r="D211" s="590" t="str">
        <f t="shared" si="192"/>
        <v>0</v>
      </c>
      <c r="E211" s="590" t="e">
        <f t="shared" si="193"/>
        <v>#VALUE!</v>
      </c>
      <c r="F211" s="590" t="e">
        <f t="shared" si="194"/>
        <v>#VALUE!</v>
      </c>
      <c r="G211" s="590" t="str">
        <f t="shared" si="195"/>
        <v>0</v>
      </c>
      <c r="H211" s="590" t="e">
        <f ca="1">OFFSET('360SpcLdsCSV'!$B$5,$B211,H$51)</f>
        <v>#N/A</v>
      </c>
      <c r="I211" s="590" t="e">
        <f ca="1">OFFSET('360SpcLdsCSV'!$B$5,$B211,I$51)</f>
        <v>#N/A</v>
      </c>
      <c r="J211" s="590" t="e">
        <f ca="1">OFFSET('360SpcLdsCSV'!$B$5,$B211,J$51)</f>
        <v>#N/A</v>
      </c>
      <c r="K211" s="590" t="e">
        <f ca="1">OFFSET('360SpcLdsCSV'!$B$5,$B211,K$51)</f>
        <v>#N/A</v>
      </c>
      <c r="L211" s="590" t="e">
        <f ca="1">OFFSET('360SpcLdsCSV'!$B$5,$B211,L$51)</f>
        <v>#N/A</v>
      </c>
      <c r="M211" s="592" t="e">
        <f ca="1">OFFSET('360SpcLdsCSV'!$B$5,$B211,M$51)</f>
        <v>#N/A</v>
      </c>
      <c r="N211" s="592" t="e">
        <f ca="1">OFFSET('360SpcLdsCSV'!$B$5,$B211,N$51)</f>
        <v>#N/A</v>
      </c>
      <c r="O211" s="592" t="e">
        <f ca="1">OFFSET('360SpcLdsCSV'!$B$5,$B211,O$51)</f>
        <v>#N/A</v>
      </c>
      <c r="P211" s="592" t="e">
        <f ca="1">OFFSET('360SpcLdsCSV'!$B$5,$B211,P$51)</f>
        <v>#N/A</v>
      </c>
      <c r="Q211" s="592" t="e">
        <f ca="1">OFFSET('360SpcLdsCSV'!$B$5,$B211,Q$51)</f>
        <v>#N/A</v>
      </c>
      <c r="R211" s="592" t="e">
        <f ca="1">OFFSET('360SpcLdsCSV'!$B$5,$B211,R$51)</f>
        <v>#N/A</v>
      </c>
      <c r="S211" s="592" t="e">
        <f ca="1">OFFSET('360SpcLdsCSV'!$B$5,$B211,S$51)</f>
        <v>#N/A</v>
      </c>
      <c r="T211" s="592" t="e">
        <f ca="1">OFFSET('360SpcLdsCSV'!$B$5,$B211,T$51)</f>
        <v>#N/A</v>
      </c>
      <c r="U211" s="592" t="e">
        <f ca="1">OFFSET('360SpcLdsCSV'!$B$5,$B211,U$51)</f>
        <v>#N/A</v>
      </c>
      <c r="V211" s="592" t="e">
        <f ca="1">OFFSET('360SpcLdsCSV'!$B$5,$B211,V$51)</f>
        <v>#N/A</v>
      </c>
      <c r="W211" s="592" t="e">
        <f ca="1">OFFSET('360SpcLdsCSV'!$B$5,$B211,W$51)</f>
        <v>#N/A</v>
      </c>
      <c r="X211" s="592" t="e">
        <f ca="1">OFFSET('360SpcLdsCSV'!$B$5,$B211,X$51)</f>
        <v>#N/A</v>
      </c>
      <c r="Y211" s="592" t="e">
        <f ca="1">OFFSET('360SpcLdsCSV'!$B$5,$B211,Y$51)</f>
        <v>#N/A</v>
      </c>
      <c r="Z211" s="592" t="e">
        <f ca="1">OFFSET('360SpcLdsCSV'!$B$5,$B211,Z$51)</f>
        <v>#N/A</v>
      </c>
      <c r="AA211" s="592" t="e">
        <f ca="1">OFFSET('360SpcLdsCSV'!$B$5,$B211,AA$51)</f>
        <v>#N/A</v>
      </c>
      <c r="AB211" s="592" t="e">
        <f ca="1">OFFSET('360SpcLdsCSV'!$B$5,$B211,AB$51)</f>
        <v>#N/A</v>
      </c>
      <c r="AC211" s="592" t="e">
        <f ca="1">OFFSET('360SpcLdsCSV'!$B$5,$B211,AC$51)</f>
        <v>#N/A</v>
      </c>
      <c r="AD211" s="592" t="e">
        <f ca="1">OFFSET('360SpcLdsCSV'!$B$5,$B211,AD$51)</f>
        <v>#N/A</v>
      </c>
      <c r="AE211" s="592" t="e">
        <f ca="1">OFFSET('360SpcLdsCSV'!$B$5,$B211,AE$51)</f>
        <v>#N/A</v>
      </c>
      <c r="AF211" s="592" t="e">
        <f ca="1">OFFSET('360SpcLdsCSV'!$B$5,$B211,AF$51)</f>
        <v>#N/A</v>
      </c>
      <c r="AG211" s="592" t="e">
        <f ca="1">OFFSET('360SpcLdsCSV'!$B$5,$B211,AG$51)</f>
        <v>#N/A</v>
      </c>
      <c r="AH211" s="592" t="e">
        <f ca="1">OFFSET('360SpcLdsCSV'!$B$5,$B211,AH$51)</f>
        <v>#N/A</v>
      </c>
      <c r="AI211" s="592" t="e">
        <f ca="1">OFFSET('360SpcLdsCSV'!$B$5,$B211,AI$51)</f>
        <v>#N/A</v>
      </c>
      <c r="AJ211" s="592" t="e" cm="1">
        <f t="array" ref="AJ211">_xlfn.IFS($F211="Resi",1,$F211="Racc",0,$F211="Coml",0,$F211="Prkg",0)</f>
        <v>#VALUE!</v>
      </c>
      <c r="AK211" s="596"/>
      <c r="AL211" s="590" t="e">
        <f ca="1">OFFSET('360SpcLdsCSV'!$B$5,$B211,AL$51)</f>
        <v>#N/A</v>
      </c>
      <c r="AM211" s="663" t="e">
        <f t="shared" ca="1" si="168"/>
        <v>#N/A</v>
      </c>
      <c r="AN211" s="663" t="e">
        <f t="shared" ca="1" si="169"/>
        <v>#N/A</v>
      </c>
      <c r="AO211" s="663" t="e">
        <f t="shared" ca="1" si="196"/>
        <v>#N/A</v>
      </c>
      <c r="AP211" s="663" t="e">
        <f t="shared" ca="1" si="170"/>
        <v>#N/A</v>
      </c>
      <c r="AQ211" s="663" t="e">
        <f t="shared" ca="1" si="171"/>
        <v>#N/A</v>
      </c>
      <c r="AR211" s="663" t="e">
        <f t="shared" ca="1" si="172"/>
        <v>#N/A</v>
      </c>
      <c r="AS211" s="663" t="e">
        <f t="shared" ca="1" si="173"/>
        <v>#N/A</v>
      </c>
      <c r="AT211" s="663" t="e">
        <f t="shared" ca="1" si="174"/>
        <v>#N/A</v>
      </c>
      <c r="AU211" s="663" t="e">
        <f t="shared" ca="1" si="175"/>
        <v>#N/A</v>
      </c>
      <c r="AV211" s="663" t="e">
        <f t="shared" ca="1" si="176"/>
        <v>#N/A</v>
      </c>
      <c r="AW211" s="663" t="e">
        <f t="shared" ca="1" si="177"/>
        <v>#N/A</v>
      </c>
      <c r="AX211" s="663" t="e">
        <f t="shared" ca="1" si="178"/>
        <v>#N/A</v>
      </c>
      <c r="AY211" s="663" t="e">
        <f t="shared" ca="1" si="179"/>
        <v>#N/A</v>
      </c>
      <c r="AZ211" s="663" t="e">
        <f t="shared" ca="1" si="180"/>
        <v>#N/A</v>
      </c>
      <c r="BA211" s="663" t="e">
        <f t="shared" ca="1" si="181"/>
        <v>#N/A</v>
      </c>
      <c r="BB211" s="663" t="e">
        <f t="shared" ca="1" si="182"/>
        <v>#N/A</v>
      </c>
      <c r="BC211" s="663" t="e">
        <f t="shared" ca="1" si="183"/>
        <v>#N/A</v>
      </c>
      <c r="BD211" s="663" t="e">
        <f t="shared" ca="1" si="184"/>
        <v>#N/A</v>
      </c>
      <c r="BE211" s="663" t="e">
        <f t="shared" ca="1" si="185"/>
        <v>#N/A</v>
      </c>
      <c r="BF211" s="663" t="e">
        <f t="shared" ca="1" si="186"/>
        <v>#N/A</v>
      </c>
      <c r="BG211" s="663" t="e">
        <f t="shared" ca="1" si="187"/>
        <v>#N/A</v>
      </c>
      <c r="BH211" s="663" t="e">
        <f t="shared" ca="1" si="188"/>
        <v>#N/A</v>
      </c>
      <c r="BI211" s="663" t="e">
        <f t="shared" ca="1" si="189"/>
        <v>#N/A</v>
      </c>
      <c r="BJ211" s="663" t="e">
        <f t="shared" ca="1" si="190"/>
        <v>#N/A</v>
      </c>
      <c r="BK211" s="663" t="e">
        <f t="shared" ca="1" si="191"/>
        <v>#N/A</v>
      </c>
      <c r="BL211" s="1918"/>
      <c r="BM211" s="1532"/>
      <c r="BN211" s="1919"/>
      <c r="BO211" s="603"/>
      <c r="BP211" s="602"/>
      <c r="BQ211" s="602"/>
      <c r="BR211" s="602"/>
      <c r="BS211" s="604"/>
      <c r="BT211" s="605"/>
      <c r="BU211" s="602"/>
      <c r="BV211" s="602"/>
      <c r="BW211" s="606"/>
      <c r="BX211" s="607"/>
      <c r="BY211" s="608"/>
      <c r="BZ211" s="608"/>
      <c r="CA211" s="608"/>
      <c r="CB211" s="600"/>
    </row>
    <row r="212" spans="2:80" ht="12" customHeight="1" x14ac:dyDescent="0.35">
      <c r="B212" s="590" t="e">
        <f>MATCH(C212,'360SpcLdsCSV'!$C$6:$C$500,0)</f>
        <v>#N/A</v>
      </c>
      <c r="C212" s="590">
        <f>'360SpcLdsCSV'!C161</f>
        <v>0</v>
      </c>
      <c r="D212" s="590" t="str">
        <f t="shared" si="192"/>
        <v>0</v>
      </c>
      <c r="E212" s="590" t="e">
        <f t="shared" si="193"/>
        <v>#VALUE!</v>
      </c>
      <c r="F212" s="590" t="e">
        <f t="shared" si="194"/>
        <v>#VALUE!</v>
      </c>
      <c r="G212" s="590" t="str">
        <f t="shared" si="195"/>
        <v>0</v>
      </c>
      <c r="H212" s="590" t="e">
        <f ca="1">OFFSET('360SpcLdsCSV'!$B$5,$B212,H$51)</f>
        <v>#N/A</v>
      </c>
      <c r="I212" s="590" t="e">
        <f ca="1">OFFSET('360SpcLdsCSV'!$B$5,$B212,I$51)</f>
        <v>#N/A</v>
      </c>
      <c r="J212" s="590" t="e">
        <f ca="1">OFFSET('360SpcLdsCSV'!$B$5,$B212,J$51)</f>
        <v>#N/A</v>
      </c>
      <c r="K212" s="590" t="e">
        <f ca="1">OFFSET('360SpcLdsCSV'!$B$5,$B212,K$51)</f>
        <v>#N/A</v>
      </c>
      <c r="L212" s="590" t="e">
        <f ca="1">OFFSET('360SpcLdsCSV'!$B$5,$B212,L$51)</f>
        <v>#N/A</v>
      </c>
      <c r="M212" s="592" t="e">
        <f ca="1">OFFSET('360SpcLdsCSV'!$B$5,$B212,M$51)</f>
        <v>#N/A</v>
      </c>
      <c r="N212" s="592" t="e">
        <f ca="1">OFFSET('360SpcLdsCSV'!$B$5,$B212,N$51)</f>
        <v>#N/A</v>
      </c>
      <c r="O212" s="592" t="e">
        <f ca="1">OFFSET('360SpcLdsCSV'!$B$5,$B212,O$51)</f>
        <v>#N/A</v>
      </c>
      <c r="P212" s="592" t="e">
        <f ca="1">OFFSET('360SpcLdsCSV'!$B$5,$B212,P$51)</f>
        <v>#N/A</v>
      </c>
      <c r="Q212" s="592" t="e">
        <f ca="1">OFFSET('360SpcLdsCSV'!$B$5,$B212,Q$51)</f>
        <v>#N/A</v>
      </c>
      <c r="R212" s="592" t="e">
        <f ca="1">OFFSET('360SpcLdsCSV'!$B$5,$B212,R$51)</f>
        <v>#N/A</v>
      </c>
      <c r="S212" s="592" t="e">
        <f ca="1">OFFSET('360SpcLdsCSV'!$B$5,$B212,S$51)</f>
        <v>#N/A</v>
      </c>
      <c r="T212" s="592" t="e">
        <f ca="1">OFFSET('360SpcLdsCSV'!$B$5,$B212,T$51)</f>
        <v>#N/A</v>
      </c>
      <c r="U212" s="592" t="e">
        <f ca="1">OFFSET('360SpcLdsCSV'!$B$5,$B212,U$51)</f>
        <v>#N/A</v>
      </c>
      <c r="V212" s="592" t="e">
        <f ca="1">OFFSET('360SpcLdsCSV'!$B$5,$B212,V$51)</f>
        <v>#N/A</v>
      </c>
      <c r="W212" s="592" t="e">
        <f ca="1">OFFSET('360SpcLdsCSV'!$B$5,$B212,W$51)</f>
        <v>#N/A</v>
      </c>
      <c r="X212" s="592" t="e">
        <f ca="1">OFFSET('360SpcLdsCSV'!$B$5,$B212,X$51)</f>
        <v>#N/A</v>
      </c>
      <c r="Y212" s="592" t="e">
        <f ca="1">OFFSET('360SpcLdsCSV'!$B$5,$B212,Y$51)</f>
        <v>#N/A</v>
      </c>
      <c r="Z212" s="592" t="e">
        <f ca="1">OFFSET('360SpcLdsCSV'!$B$5,$B212,Z$51)</f>
        <v>#N/A</v>
      </c>
      <c r="AA212" s="592" t="e">
        <f ca="1">OFFSET('360SpcLdsCSV'!$B$5,$B212,AA$51)</f>
        <v>#N/A</v>
      </c>
      <c r="AB212" s="592" t="e">
        <f ca="1">OFFSET('360SpcLdsCSV'!$B$5,$B212,AB$51)</f>
        <v>#N/A</v>
      </c>
      <c r="AC212" s="592" t="e">
        <f ca="1">OFFSET('360SpcLdsCSV'!$B$5,$B212,AC$51)</f>
        <v>#N/A</v>
      </c>
      <c r="AD212" s="592" t="e">
        <f ca="1">OFFSET('360SpcLdsCSV'!$B$5,$B212,AD$51)</f>
        <v>#N/A</v>
      </c>
      <c r="AE212" s="592" t="e">
        <f ca="1">OFFSET('360SpcLdsCSV'!$B$5,$B212,AE$51)</f>
        <v>#N/A</v>
      </c>
      <c r="AF212" s="592" t="e">
        <f ca="1">OFFSET('360SpcLdsCSV'!$B$5,$B212,AF$51)</f>
        <v>#N/A</v>
      </c>
      <c r="AG212" s="592" t="e">
        <f ca="1">OFFSET('360SpcLdsCSV'!$B$5,$B212,AG$51)</f>
        <v>#N/A</v>
      </c>
      <c r="AH212" s="592" t="e">
        <f ca="1">OFFSET('360SpcLdsCSV'!$B$5,$B212,AH$51)</f>
        <v>#N/A</v>
      </c>
      <c r="AI212" s="592" t="e">
        <f ca="1">OFFSET('360SpcLdsCSV'!$B$5,$B212,AI$51)</f>
        <v>#N/A</v>
      </c>
      <c r="AJ212" s="592" t="e" cm="1">
        <f t="array" ref="AJ212">_xlfn.IFS($F212="Resi",1,$F212="Racc",0,$F212="Coml",0,$F212="Prkg",0)</f>
        <v>#VALUE!</v>
      </c>
      <c r="AK212" s="596"/>
      <c r="AL212" s="590" t="e">
        <f ca="1">OFFSET('360SpcLdsCSV'!$B$5,$B212,AL$51)</f>
        <v>#N/A</v>
      </c>
      <c r="AM212" s="663" t="e">
        <f t="shared" ca="1" si="168"/>
        <v>#N/A</v>
      </c>
      <c r="AN212" s="663" t="e">
        <f t="shared" ca="1" si="169"/>
        <v>#N/A</v>
      </c>
      <c r="AO212" s="663" t="e">
        <f t="shared" ca="1" si="196"/>
        <v>#N/A</v>
      </c>
      <c r="AP212" s="663" t="e">
        <f t="shared" ca="1" si="170"/>
        <v>#N/A</v>
      </c>
      <c r="AQ212" s="663" t="e">
        <f t="shared" ca="1" si="171"/>
        <v>#N/A</v>
      </c>
      <c r="AR212" s="663" t="e">
        <f t="shared" ca="1" si="172"/>
        <v>#N/A</v>
      </c>
      <c r="AS212" s="663" t="e">
        <f t="shared" ca="1" si="173"/>
        <v>#N/A</v>
      </c>
      <c r="AT212" s="663" t="e">
        <f t="shared" ca="1" si="174"/>
        <v>#N/A</v>
      </c>
      <c r="AU212" s="663" t="e">
        <f t="shared" ca="1" si="175"/>
        <v>#N/A</v>
      </c>
      <c r="AV212" s="663" t="e">
        <f t="shared" ca="1" si="176"/>
        <v>#N/A</v>
      </c>
      <c r="AW212" s="663" t="e">
        <f t="shared" ca="1" si="177"/>
        <v>#N/A</v>
      </c>
      <c r="AX212" s="663" t="e">
        <f t="shared" ca="1" si="178"/>
        <v>#N/A</v>
      </c>
      <c r="AY212" s="663" t="e">
        <f t="shared" ca="1" si="179"/>
        <v>#N/A</v>
      </c>
      <c r="AZ212" s="663" t="e">
        <f t="shared" ca="1" si="180"/>
        <v>#N/A</v>
      </c>
      <c r="BA212" s="663" t="e">
        <f t="shared" ca="1" si="181"/>
        <v>#N/A</v>
      </c>
      <c r="BB212" s="663" t="e">
        <f t="shared" ca="1" si="182"/>
        <v>#N/A</v>
      </c>
      <c r="BC212" s="663" t="e">
        <f t="shared" ca="1" si="183"/>
        <v>#N/A</v>
      </c>
      <c r="BD212" s="663" t="e">
        <f t="shared" ca="1" si="184"/>
        <v>#N/A</v>
      </c>
      <c r="BE212" s="663" t="e">
        <f t="shared" ca="1" si="185"/>
        <v>#N/A</v>
      </c>
      <c r="BF212" s="663" t="e">
        <f t="shared" ca="1" si="186"/>
        <v>#N/A</v>
      </c>
      <c r="BG212" s="663" t="e">
        <f t="shared" ca="1" si="187"/>
        <v>#N/A</v>
      </c>
      <c r="BH212" s="663" t="e">
        <f t="shared" ca="1" si="188"/>
        <v>#N/A</v>
      </c>
      <c r="BI212" s="663" t="e">
        <f t="shared" ca="1" si="189"/>
        <v>#N/A</v>
      </c>
      <c r="BJ212" s="663" t="e">
        <f t="shared" ca="1" si="190"/>
        <v>#N/A</v>
      </c>
      <c r="BK212" s="663" t="e">
        <f t="shared" ca="1" si="191"/>
        <v>#N/A</v>
      </c>
      <c r="BL212" s="1918"/>
      <c r="BM212" s="1532"/>
      <c r="BN212" s="1919"/>
      <c r="BO212" s="603"/>
      <c r="BP212" s="602"/>
      <c r="BQ212" s="602"/>
      <c r="BR212" s="602"/>
      <c r="BS212" s="604"/>
      <c r="BT212" s="605"/>
      <c r="BU212" s="602"/>
      <c r="BV212" s="602"/>
      <c r="BW212" s="606"/>
      <c r="BX212" s="607"/>
      <c r="BY212" s="608"/>
      <c r="BZ212" s="608"/>
      <c r="CA212" s="608"/>
      <c r="CB212" s="600"/>
    </row>
    <row r="213" spans="2:80" ht="12" customHeight="1" x14ac:dyDescent="0.35">
      <c r="B213" s="590" t="e">
        <f>MATCH(C213,'360SpcLdsCSV'!$C$6:$C$500,0)</f>
        <v>#N/A</v>
      </c>
      <c r="C213" s="590">
        <f>'360SpcLdsCSV'!C162</f>
        <v>0</v>
      </c>
      <c r="D213" s="590" t="str">
        <f t="shared" si="192"/>
        <v>0</v>
      </c>
      <c r="E213" s="590" t="e">
        <f t="shared" si="193"/>
        <v>#VALUE!</v>
      </c>
      <c r="F213" s="590" t="e">
        <f t="shared" si="194"/>
        <v>#VALUE!</v>
      </c>
      <c r="G213" s="590" t="str">
        <f t="shared" si="195"/>
        <v>0</v>
      </c>
      <c r="H213" s="590" t="e">
        <f ca="1">OFFSET('360SpcLdsCSV'!$B$5,$B213,H$51)</f>
        <v>#N/A</v>
      </c>
      <c r="I213" s="590" t="e">
        <f ca="1">OFFSET('360SpcLdsCSV'!$B$5,$B213,I$51)</f>
        <v>#N/A</v>
      </c>
      <c r="J213" s="590" t="e">
        <f ca="1">OFFSET('360SpcLdsCSV'!$B$5,$B213,J$51)</f>
        <v>#N/A</v>
      </c>
      <c r="K213" s="590" t="e">
        <f ca="1">OFFSET('360SpcLdsCSV'!$B$5,$B213,K$51)</f>
        <v>#N/A</v>
      </c>
      <c r="L213" s="590" t="e">
        <f ca="1">OFFSET('360SpcLdsCSV'!$B$5,$B213,L$51)</f>
        <v>#N/A</v>
      </c>
      <c r="M213" s="592" t="e">
        <f ca="1">OFFSET('360SpcLdsCSV'!$B$5,$B213,M$51)</f>
        <v>#N/A</v>
      </c>
      <c r="N213" s="592" t="e">
        <f ca="1">OFFSET('360SpcLdsCSV'!$B$5,$B213,N$51)</f>
        <v>#N/A</v>
      </c>
      <c r="O213" s="592" t="e">
        <f ca="1">OFFSET('360SpcLdsCSV'!$B$5,$B213,O$51)</f>
        <v>#N/A</v>
      </c>
      <c r="P213" s="592" t="e">
        <f ca="1">OFFSET('360SpcLdsCSV'!$B$5,$B213,P$51)</f>
        <v>#N/A</v>
      </c>
      <c r="Q213" s="592" t="e">
        <f ca="1">OFFSET('360SpcLdsCSV'!$B$5,$B213,Q$51)</f>
        <v>#N/A</v>
      </c>
      <c r="R213" s="592" t="e">
        <f ca="1">OFFSET('360SpcLdsCSV'!$B$5,$B213,R$51)</f>
        <v>#N/A</v>
      </c>
      <c r="S213" s="592" t="e">
        <f ca="1">OFFSET('360SpcLdsCSV'!$B$5,$B213,S$51)</f>
        <v>#N/A</v>
      </c>
      <c r="T213" s="592" t="e">
        <f ca="1">OFFSET('360SpcLdsCSV'!$B$5,$B213,T$51)</f>
        <v>#N/A</v>
      </c>
      <c r="U213" s="592" t="e">
        <f ca="1">OFFSET('360SpcLdsCSV'!$B$5,$B213,U$51)</f>
        <v>#N/A</v>
      </c>
      <c r="V213" s="592" t="e">
        <f ca="1">OFFSET('360SpcLdsCSV'!$B$5,$B213,V$51)</f>
        <v>#N/A</v>
      </c>
      <c r="W213" s="592" t="e">
        <f ca="1">OFFSET('360SpcLdsCSV'!$B$5,$B213,W$51)</f>
        <v>#N/A</v>
      </c>
      <c r="X213" s="592" t="e">
        <f ca="1">OFFSET('360SpcLdsCSV'!$B$5,$B213,X$51)</f>
        <v>#N/A</v>
      </c>
      <c r="Y213" s="592" t="e">
        <f ca="1">OFFSET('360SpcLdsCSV'!$B$5,$B213,Y$51)</f>
        <v>#N/A</v>
      </c>
      <c r="Z213" s="592" t="e">
        <f ca="1">OFFSET('360SpcLdsCSV'!$B$5,$B213,Z$51)</f>
        <v>#N/A</v>
      </c>
      <c r="AA213" s="592" t="e">
        <f ca="1">OFFSET('360SpcLdsCSV'!$B$5,$B213,AA$51)</f>
        <v>#N/A</v>
      </c>
      <c r="AB213" s="592" t="e">
        <f ca="1">OFFSET('360SpcLdsCSV'!$B$5,$B213,AB$51)</f>
        <v>#N/A</v>
      </c>
      <c r="AC213" s="592" t="e">
        <f ca="1">OFFSET('360SpcLdsCSV'!$B$5,$B213,AC$51)</f>
        <v>#N/A</v>
      </c>
      <c r="AD213" s="592" t="e">
        <f ca="1">OFFSET('360SpcLdsCSV'!$B$5,$B213,AD$51)</f>
        <v>#N/A</v>
      </c>
      <c r="AE213" s="592" t="e">
        <f ca="1">OFFSET('360SpcLdsCSV'!$B$5,$B213,AE$51)</f>
        <v>#N/A</v>
      </c>
      <c r="AF213" s="592" t="e">
        <f ca="1">OFFSET('360SpcLdsCSV'!$B$5,$B213,AF$51)</f>
        <v>#N/A</v>
      </c>
      <c r="AG213" s="592" t="e">
        <f ca="1">OFFSET('360SpcLdsCSV'!$B$5,$B213,AG$51)</f>
        <v>#N/A</v>
      </c>
      <c r="AH213" s="592" t="e">
        <f ca="1">OFFSET('360SpcLdsCSV'!$B$5,$B213,AH$51)</f>
        <v>#N/A</v>
      </c>
      <c r="AI213" s="592" t="e">
        <f ca="1">OFFSET('360SpcLdsCSV'!$B$5,$B213,AI$51)</f>
        <v>#N/A</v>
      </c>
      <c r="AJ213" s="592" t="e" cm="1">
        <f t="array" ref="AJ213">_xlfn.IFS($F213="Resi",1,$F213="Racc",0,$F213="Coml",0,$F213="Prkg",0)</f>
        <v>#VALUE!</v>
      </c>
      <c r="AK213" s="596"/>
      <c r="AL213" s="590" t="e">
        <f ca="1">OFFSET('360SpcLdsCSV'!$B$5,$B213,AL$51)</f>
        <v>#N/A</v>
      </c>
      <c r="AM213" s="663" t="e">
        <f t="shared" ca="1" si="168"/>
        <v>#N/A</v>
      </c>
      <c r="AN213" s="663" t="e">
        <f t="shared" ca="1" si="169"/>
        <v>#N/A</v>
      </c>
      <c r="AO213" s="663" t="e">
        <f t="shared" ca="1" si="196"/>
        <v>#N/A</v>
      </c>
      <c r="AP213" s="663" t="e">
        <f t="shared" ca="1" si="170"/>
        <v>#N/A</v>
      </c>
      <c r="AQ213" s="663" t="e">
        <f t="shared" ca="1" si="171"/>
        <v>#N/A</v>
      </c>
      <c r="AR213" s="663" t="e">
        <f t="shared" ca="1" si="172"/>
        <v>#N/A</v>
      </c>
      <c r="AS213" s="663" t="e">
        <f t="shared" ca="1" si="173"/>
        <v>#N/A</v>
      </c>
      <c r="AT213" s="663" t="e">
        <f t="shared" ca="1" si="174"/>
        <v>#N/A</v>
      </c>
      <c r="AU213" s="663" t="e">
        <f t="shared" ca="1" si="175"/>
        <v>#N/A</v>
      </c>
      <c r="AV213" s="663" t="e">
        <f t="shared" ca="1" si="176"/>
        <v>#N/A</v>
      </c>
      <c r="AW213" s="663" t="e">
        <f t="shared" ca="1" si="177"/>
        <v>#N/A</v>
      </c>
      <c r="AX213" s="663" t="e">
        <f t="shared" ca="1" si="178"/>
        <v>#N/A</v>
      </c>
      <c r="AY213" s="663" t="e">
        <f t="shared" ca="1" si="179"/>
        <v>#N/A</v>
      </c>
      <c r="AZ213" s="663" t="e">
        <f t="shared" ca="1" si="180"/>
        <v>#N/A</v>
      </c>
      <c r="BA213" s="663" t="e">
        <f t="shared" ca="1" si="181"/>
        <v>#N/A</v>
      </c>
      <c r="BB213" s="663" t="e">
        <f t="shared" ca="1" si="182"/>
        <v>#N/A</v>
      </c>
      <c r="BC213" s="663" t="e">
        <f t="shared" ca="1" si="183"/>
        <v>#N/A</v>
      </c>
      <c r="BD213" s="663" t="e">
        <f t="shared" ca="1" si="184"/>
        <v>#N/A</v>
      </c>
      <c r="BE213" s="663" t="e">
        <f t="shared" ca="1" si="185"/>
        <v>#N/A</v>
      </c>
      <c r="BF213" s="663" t="e">
        <f t="shared" ca="1" si="186"/>
        <v>#N/A</v>
      </c>
      <c r="BG213" s="663" t="e">
        <f t="shared" ca="1" si="187"/>
        <v>#N/A</v>
      </c>
      <c r="BH213" s="663" t="e">
        <f t="shared" ca="1" si="188"/>
        <v>#N/A</v>
      </c>
      <c r="BI213" s="663" t="e">
        <f t="shared" ca="1" si="189"/>
        <v>#N/A</v>
      </c>
      <c r="BJ213" s="663" t="e">
        <f t="shared" ca="1" si="190"/>
        <v>#N/A</v>
      </c>
      <c r="BK213" s="663" t="e">
        <f t="shared" ca="1" si="191"/>
        <v>#N/A</v>
      </c>
      <c r="BL213" s="1918"/>
      <c r="BM213" s="1532"/>
      <c r="BN213" s="1919"/>
      <c r="BO213" s="603"/>
      <c r="BP213" s="602"/>
      <c r="BQ213" s="602"/>
      <c r="BR213" s="602"/>
      <c r="BS213" s="604"/>
      <c r="BT213" s="605"/>
      <c r="BU213" s="602"/>
      <c r="BV213" s="602"/>
      <c r="BW213" s="606"/>
      <c r="BX213" s="607"/>
      <c r="BY213" s="608"/>
      <c r="BZ213" s="608"/>
      <c r="CA213" s="608"/>
      <c r="CB213" s="600"/>
    </row>
    <row r="214" spans="2:80" ht="12" customHeight="1" x14ac:dyDescent="0.35">
      <c r="B214" s="590" t="e">
        <f>MATCH(C214,'360SpcLdsCSV'!$C$6:$C$500,0)</f>
        <v>#N/A</v>
      </c>
      <c r="C214" s="590">
        <f>'360SpcLdsCSV'!C163</f>
        <v>0</v>
      </c>
      <c r="D214" s="590" t="str">
        <f t="shared" ref="D214:D266" si="197">LEFT(C214,3)</f>
        <v>0</v>
      </c>
      <c r="E214" s="590" t="e">
        <f t="shared" si="193"/>
        <v>#VALUE!</v>
      </c>
      <c r="F214" s="590" t="e">
        <f t="shared" si="194"/>
        <v>#VALUE!</v>
      </c>
      <c r="G214" s="590" t="str">
        <f t="shared" ref="G214:G266" si="198">RIGHT(C214,4)</f>
        <v>0</v>
      </c>
      <c r="H214" s="590" t="e">
        <f ca="1">OFFSET('360SpcLdsCSV'!$B$5,$B214,H$51)</f>
        <v>#N/A</v>
      </c>
      <c r="I214" s="590" t="e">
        <f ca="1">OFFSET('360SpcLdsCSV'!$B$5,$B214,I$51)</f>
        <v>#N/A</v>
      </c>
      <c r="J214" s="590" t="e">
        <f ca="1">OFFSET('360SpcLdsCSV'!$B$5,$B214,J$51)</f>
        <v>#N/A</v>
      </c>
      <c r="K214" s="590" t="e">
        <f ca="1">OFFSET('360SpcLdsCSV'!$B$5,$B214,K$51)</f>
        <v>#N/A</v>
      </c>
      <c r="L214" s="590" t="e">
        <f ca="1">OFFSET('360SpcLdsCSV'!$B$5,$B214,L$51)</f>
        <v>#N/A</v>
      </c>
      <c r="M214" s="592" t="e">
        <f ca="1">OFFSET('360SpcLdsCSV'!$B$5,$B214,M$51)</f>
        <v>#N/A</v>
      </c>
      <c r="N214" s="592" t="e">
        <f ca="1">OFFSET('360SpcLdsCSV'!$B$5,$B214,N$51)</f>
        <v>#N/A</v>
      </c>
      <c r="O214" s="592" t="e">
        <f ca="1">OFFSET('360SpcLdsCSV'!$B$5,$B214,O$51)</f>
        <v>#N/A</v>
      </c>
      <c r="P214" s="592" t="e">
        <f ca="1">OFFSET('360SpcLdsCSV'!$B$5,$B214,P$51)</f>
        <v>#N/A</v>
      </c>
      <c r="Q214" s="592" t="e">
        <f ca="1">OFFSET('360SpcLdsCSV'!$B$5,$B214,Q$51)</f>
        <v>#N/A</v>
      </c>
      <c r="R214" s="592" t="e">
        <f ca="1">OFFSET('360SpcLdsCSV'!$B$5,$B214,R$51)</f>
        <v>#N/A</v>
      </c>
      <c r="S214" s="592" t="e">
        <f ca="1">OFFSET('360SpcLdsCSV'!$B$5,$B214,S$51)</f>
        <v>#N/A</v>
      </c>
      <c r="T214" s="592" t="e">
        <f ca="1">OFFSET('360SpcLdsCSV'!$B$5,$B214,T$51)</f>
        <v>#N/A</v>
      </c>
      <c r="U214" s="592" t="e">
        <f ca="1">OFFSET('360SpcLdsCSV'!$B$5,$B214,U$51)</f>
        <v>#N/A</v>
      </c>
      <c r="V214" s="592" t="e">
        <f ca="1">OFFSET('360SpcLdsCSV'!$B$5,$B214,V$51)</f>
        <v>#N/A</v>
      </c>
      <c r="W214" s="592" t="e">
        <f ca="1">OFFSET('360SpcLdsCSV'!$B$5,$B214,W$51)</f>
        <v>#N/A</v>
      </c>
      <c r="X214" s="592" t="e">
        <f ca="1">OFFSET('360SpcLdsCSV'!$B$5,$B214,X$51)</f>
        <v>#N/A</v>
      </c>
      <c r="Y214" s="592" t="e">
        <f ca="1">OFFSET('360SpcLdsCSV'!$B$5,$B214,Y$51)</f>
        <v>#N/A</v>
      </c>
      <c r="Z214" s="592" t="e">
        <f ca="1">OFFSET('360SpcLdsCSV'!$B$5,$B214,Z$51)</f>
        <v>#N/A</v>
      </c>
      <c r="AA214" s="592" t="e">
        <f ca="1">OFFSET('360SpcLdsCSV'!$B$5,$B214,AA$51)</f>
        <v>#N/A</v>
      </c>
      <c r="AB214" s="592" t="e">
        <f ca="1">OFFSET('360SpcLdsCSV'!$B$5,$B214,AB$51)</f>
        <v>#N/A</v>
      </c>
      <c r="AC214" s="592" t="e">
        <f ca="1">OFFSET('360SpcLdsCSV'!$B$5,$B214,AC$51)</f>
        <v>#N/A</v>
      </c>
      <c r="AD214" s="592" t="e">
        <f ca="1">OFFSET('360SpcLdsCSV'!$B$5,$B214,AD$51)</f>
        <v>#N/A</v>
      </c>
      <c r="AE214" s="592" t="e">
        <f ca="1">OFFSET('360SpcLdsCSV'!$B$5,$B214,AE$51)</f>
        <v>#N/A</v>
      </c>
      <c r="AF214" s="592" t="e">
        <f ca="1">OFFSET('360SpcLdsCSV'!$B$5,$B214,AF$51)</f>
        <v>#N/A</v>
      </c>
      <c r="AG214" s="592" t="e">
        <f ca="1">OFFSET('360SpcLdsCSV'!$B$5,$B214,AG$51)</f>
        <v>#N/A</v>
      </c>
      <c r="AH214" s="592" t="e">
        <f ca="1">OFFSET('360SpcLdsCSV'!$B$5,$B214,AH$51)</f>
        <v>#N/A</v>
      </c>
      <c r="AI214" s="592" t="e">
        <f ca="1">OFFSET('360SpcLdsCSV'!$B$5,$B214,AI$51)</f>
        <v>#N/A</v>
      </c>
      <c r="AJ214" s="592" t="e" cm="1">
        <f t="array" ref="AJ214">_xlfn.IFS($F214="Resi",1,$F214="Racc",0,$F214="Coml",0,$F214="Prkg",0)</f>
        <v>#VALUE!</v>
      </c>
      <c r="AK214" s="596"/>
      <c r="AL214" s="590" t="e">
        <f ca="1">OFFSET('360SpcLdsCSV'!$B$5,$B214,AL$51)</f>
        <v>#N/A</v>
      </c>
      <c r="AM214" s="663" t="e">
        <f t="shared" ca="1" si="168"/>
        <v>#N/A</v>
      </c>
      <c r="AN214" s="663" t="e">
        <f t="shared" ca="1" si="169"/>
        <v>#N/A</v>
      </c>
      <c r="AO214" s="663" t="e">
        <f t="shared" ca="1" si="196"/>
        <v>#N/A</v>
      </c>
      <c r="AP214" s="663" t="e">
        <f t="shared" ca="1" si="170"/>
        <v>#N/A</v>
      </c>
      <c r="AQ214" s="663" t="e">
        <f t="shared" ca="1" si="171"/>
        <v>#N/A</v>
      </c>
      <c r="AR214" s="663" t="e">
        <f t="shared" ca="1" si="172"/>
        <v>#N/A</v>
      </c>
      <c r="AS214" s="663" t="e">
        <f t="shared" ca="1" si="173"/>
        <v>#N/A</v>
      </c>
      <c r="AT214" s="663" t="e">
        <f t="shared" ca="1" si="174"/>
        <v>#N/A</v>
      </c>
      <c r="AU214" s="663" t="e">
        <f t="shared" ca="1" si="175"/>
        <v>#N/A</v>
      </c>
      <c r="AV214" s="663" t="e">
        <f t="shared" ca="1" si="176"/>
        <v>#N/A</v>
      </c>
      <c r="AW214" s="663" t="e">
        <f t="shared" ca="1" si="177"/>
        <v>#N/A</v>
      </c>
      <c r="AX214" s="663" t="e">
        <f t="shared" ca="1" si="178"/>
        <v>#N/A</v>
      </c>
      <c r="AY214" s="663" t="e">
        <f t="shared" ca="1" si="179"/>
        <v>#N/A</v>
      </c>
      <c r="AZ214" s="663" t="e">
        <f t="shared" ca="1" si="180"/>
        <v>#N/A</v>
      </c>
      <c r="BA214" s="663" t="e">
        <f t="shared" ca="1" si="181"/>
        <v>#N/A</v>
      </c>
      <c r="BB214" s="663" t="e">
        <f t="shared" ca="1" si="182"/>
        <v>#N/A</v>
      </c>
      <c r="BC214" s="663" t="e">
        <f t="shared" ca="1" si="183"/>
        <v>#N/A</v>
      </c>
      <c r="BD214" s="663" t="e">
        <f t="shared" ca="1" si="184"/>
        <v>#N/A</v>
      </c>
      <c r="BE214" s="663" t="e">
        <f t="shared" ca="1" si="185"/>
        <v>#N/A</v>
      </c>
      <c r="BF214" s="663" t="e">
        <f t="shared" ca="1" si="186"/>
        <v>#N/A</v>
      </c>
      <c r="BG214" s="663" t="e">
        <f t="shared" ca="1" si="187"/>
        <v>#N/A</v>
      </c>
      <c r="BH214" s="663" t="e">
        <f t="shared" ca="1" si="188"/>
        <v>#N/A</v>
      </c>
      <c r="BI214" s="663" t="e">
        <f t="shared" ca="1" si="189"/>
        <v>#N/A</v>
      </c>
      <c r="BJ214" s="663" t="e">
        <f t="shared" ca="1" si="190"/>
        <v>#N/A</v>
      </c>
      <c r="BK214" s="663" t="e">
        <f t="shared" ca="1" si="191"/>
        <v>#N/A</v>
      </c>
      <c r="BL214" s="1918"/>
      <c r="BM214" s="1532"/>
      <c r="BN214" s="1919"/>
      <c r="BO214" s="603"/>
      <c r="BP214" s="602"/>
      <c r="BQ214" s="602"/>
      <c r="BR214" s="602"/>
      <c r="BS214" s="604"/>
      <c r="BT214" s="605"/>
      <c r="BU214" s="602"/>
      <c r="BV214" s="602"/>
      <c r="BW214" s="606"/>
      <c r="BX214" s="607"/>
      <c r="BY214" s="608"/>
      <c r="BZ214" s="608"/>
      <c r="CA214" s="608"/>
      <c r="CB214" s="600"/>
    </row>
    <row r="215" spans="2:80" ht="12" customHeight="1" x14ac:dyDescent="0.35">
      <c r="B215" s="590" t="e">
        <f>MATCH(C215,'360SpcLdsCSV'!$C$6:$C$500,0)</f>
        <v>#N/A</v>
      </c>
      <c r="C215" s="590">
        <f>'360SpcLdsCSV'!C164</f>
        <v>0</v>
      </c>
      <c r="D215" s="590" t="str">
        <f t="shared" si="197"/>
        <v>0</v>
      </c>
      <c r="E215" s="590" t="e">
        <f t="shared" si="193"/>
        <v>#VALUE!</v>
      </c>
      <c r="F215" s="590" t="e">
        <f t="shared" si="194"/>
        <v>#VALUE!</v>
      </c>
      <c r="G215" s="590" t="str">
        <f t="shared" si="198"/>
        <v>0</v>
      </c>
      <c r="H215" s="590" t="e">
        <f ca="1">OFFSET('360SpcLdsCSV'!$B$5,$B215,H$51)</f>
        <v>#N/A</v>
      </c>
      <c r="I215" s="590" t="e">
        <f ca="1">OFFSET('360SpcLdsCSV'!$B$5,$B215,I$51)</f>
        <v>#N/A</v>
      </c>
      <c r="J215" s="590" t="e">
        <f ca="1">OFFSET('360SpcLdsCSV'!$B$5,$B215,J$51)</f>
        <v>#N/A</v>
      </c>
      <c r="K215" s="590" t="e">
        <f ca="1">OFFSET('360SpcLdsCSV'!$B$5,$B215,K$51)</f>
        <v>#N/A</v>
      </c>
      <c r="L215" s="590" t="e">
        <f ca="1">OFFSET('360SpcLdsCSV'!$B$5,$B215,L$51)</f>
        <v>#N/A</v>
      </c>
      <c r="M215" s="592" t="e">
        <f ca="1">OFFSET('360SpcLdsCSV'!$B$5,$B215,M$51)</f>
        <v>#N/A</v>
      </c>
      <c r="N215" s="592" t="e">
        <f ca="1">OFFSET('360SpcLdsCSV'!$B$5,$B215,N$51)</f>
        <v>#N/A</v>
      </c>
      <c r="O215" s="592" t="e">
        <f ca="1">OFFSET('360SpcLdsCSV'!$B$5,$B215,O$51)</f>
        <v>#N/A</v>
      </c>
      <c r="P215" s="592" t="e">
        <f ca="1">OFFSET('360SpcLdsCSV'!$B$5,$B215,P$51)</f>
        <v>#N/A</v>
      </c>
      <c r="Q215" s="592" t="e">
        <f ca="1">OFFSET('360SpcLdsCSV'!$B$5,$B215,Q$51)</f>
        <v>#N/A</v>
      </c>
      <c r="R215" s="592" t="e">
        <f ca="1">OFFSET('360SpcLdsCSV'!$B$5,$B215,R$51)</f>
        <v>#N/A</v>
      </c>
      <c r="S215" s="592" t="e">
        <f ca="1">OFFSET('360SpcLdsCSV'!$B$5,$B215,S$51)</f>
        <v>#N/A</v>
      </c>
      <c r="T215" s="592" t="e">
        <f ca="1">OFFSET('360SpcLdsCSV'!$B$5,$B215,T$51)</f>
        <v>#N/A</v>
      </c>
      <c r="U215" s="592" t="e">
        <f ca="1">OFFSET('360SpcLdsCSV'!$B$5,$B215,U$51)</f>
        <v>#N/A</v>
      </c>
      <c r="V215" s="592" t="e">
        <f ca="1">OFFSET('360SpcLdsCSV'!$B$5,$B215,V$51)</f>
        <v>#N/A</v>
      </c>
      <c r="W215" s="592" t="e">
        <f ca="1">OFFSET('360SpcLdsCSV'!$B$5,$B215,W$51)</f>
        <v>#N/A</v>
      </c>
      <c r="X215" s="592" t="e">
        <f ca="1">OFFSET('360SpcLdsCSV'!$B$5,$B215,X$51)</f>
        <v>#N/A</v>
      </c>
      <c r="Y215" s="592" t="e">
        <f ca="1">OFFSET('360SpcLdsCSV'!$B$5,$B215,Y$51)</f>
        <v>#N/A</v>
      </c>
      <c r="Z215" s="592" t="e">
        <f ca="1">OFFSET('360SpcLdsCSV'!$B$5,$B215,Z$51)</f>
        <v>#N/A</v>
      </c>
      <c r="AA215" s="592" t="e">
        <f ca="1">OFFSET('360SpcLdsCSV'!$B$5,$B215,AA$51)</f>
        <v>#N/A</v>
      </c>
      <c r="AB215" s="592" t="e">
        <f ca="1">OFFSET('360SpcLdsCSV'!$B$5,$B215,AB$51)</f>
        <v>#N/A</v>
      </c>
      <c r="AC215" s="592" t="e">
        <f ca="1">OFFSET('360SpcLdsCSV'!$B$5,$B215,AC$51)</f>
        <v>#N/A</v>
      </c>
      <c r="AD215" s="592" t="e">
        <f ca="1">OFFSET('360SpcLdsCSV'!$B$5,$B215,AD$51)</f>
        <v>#N/A</v>
      </c>
      <c r="AE215" s="592" t="e">
        <f ca="1">OFFSET('360SpcLdsCSV'!$B$5,$B215,AE$51)</f>
        <v>#N/A</v>
      </c>
      <c r="AF215" s="592" t="e">
        <f ca="1">OFFSET('360SpcLdsCSV'!$B$5,$B215,AF$51)</f>
        <v>#N/A</v>
      </c>
      <c r="AG215" s="592" t="e">
        <f ca="1">OFFSET('360SpcLdsCSV'!$B$5,$B215,AG$51)</f>
        <v>#N/A</v>
      </c>
      <c r="AH215" s="592" t="e">
        <f ca="1">OFFSET('360SpcLdsCSV'!$B$5,$B215,AH$51)</f>
        <v>#N/A</v>
      </c>
      <c r="AI215" s="592" t="e">
        <f ca="1">OFFSET('360SpcLdsCSV'!$B$5,$B215,AI$51)</f>
        <v>#N/A</v>
      </c>
      <c r="AJ215" s="592" t="e" cm="1">
        <f t="array" ref="AJ215">_xlfn.IFS($F215="Resi",1,$F215="Racc",0,$F215="Coml",0,$F215="Prkg",0)</f>
        <v>#VALUE!</v>
      </c>
      <c r="AK215" s="596"/>
      <c r="AL215" s="590" t="e">
        <f ca="1">OFFSET('360SpcLdsCSV'!$B$5,$B215,AL$51)</f>
        <v>#N/A</v>
      </c>
      <c r="AM215" s="663" t="e">
        <f t="shared" ca="1" si="168"/>
        <v>#N/A</v>
      </c>
      <c r="AN215" s="663" t="e">
        <f t="shared" ca="1" si="169"/>
        <v>#N/A</v>
      </c>
      <c r="AO215" s="663" t="e">
        <f t="shared" ca="1" si="196"/>
        <v>#N/A</v>
      </c>
      <c r="AP215" s="663" t="e">
        <f t="shared" ca="1" si="170"/>
        <v>#N/A</v>
      </c>
      <c r="AQ215" s="663" t="e">
        <f t="shared" ca="1" si="171"/>
        <v>#N/A</v>
      </c>
      <c r="AR215" s="663" t="e">
        <f t="shared" ca="1" si="172"/>
        <v>#N/A</v>
      </c>
      <c r="AS215" s="663" t="e">
        <f t="shared" ca="1" si="173"/>
        <v>#N/A</v>
      </c>
      <c r="AT215" s="663" t="e">
        <f t="shared" ca="1" si="174"/>
        <v>#N/A</v>
      </c>
      <c r="AU215" s="663" t="e">
        <f t="shared" ca="1" si="175"/>
        <v>#N/A</v>
      </c>
      <c r="AV215" s="663" t="e">
        <f t="shared" ca="1" si="176"/>
        <v>#N/A</v>
      </c>
      <c r="AW215" s="663" t="e">
        <f t="shared" ca="1" si="177"/>
        <v>#N/A</v>
      </c>
      <c r="AX215" s="663" t="e">
        <f t="shared" ca="1" si="178"/>
        <v>#N/A</v>
      </c>
      <c r="AY215" s="663" t="e">
        <f t="shared" ca="1" si="179"/>
        <v>#N/A</v>
      </c>
      <c r="AZ215" s="663" t="e">
        <f t="shared" ca="1" si="180"/>
        <v>#N/A</v>
      </c>
      <c r="BA215" s="663" t="e">
        <f t="shared" ca="1" si="181"/>
        <v>#N/A</v>
      </c>
      <c r="BB215" s="663" t="e">
        <f t="shared" ca="1" si="182"/>
        <v>#N/A</v>
      </c>
      <c r="BC215" s="663" t="e">
        <f t="shared" ca="1" si="183"/>
        <v>#N/A</v>
      </c>
      <c r="BD215" s="663" t="e">
        <f t="shared" ca="1" si="184"/>
        <v>#N/A</v>
      </c>
      <c r="BE215" s="663" t="e">
        <f t="shared" ca="1" si="185"/>
        <v>#N/A</v>
      </c>
      <c r="BF215" s="663" t="e">
        <f t="shared" ca="1" si="186"/>
        <v>#N/A</v>
      </c>
      <c r="BG215" s="663" t="e">
        <f t="shared" ca="1" si="187"/>
        <v>#N/A</v>
      </c>
      <c r="BH215" s="663" t="e">
        <f t="shared" ca="1" si="188"/>
        <v>#N/A</v>
      </c>
      <c r="BI215" s="663" t="e">
        <f t="shared" ca="1" si="189"/>
        <v>#N/A</v>
      </c>
      <c r="BJ215" s="663" t="e">
        <f t="shared" ca="1" si="190"/>
        <v>#N/A</v>
      </c>
      <c r="BK215" s="663" t="e">
        <f t="shared" ca="1" si="191"/>
        <v>#N/A</v>
      </c>
      <c r="BL215" s="1918"/>
      <c r="BM215" s="1532"/>
      <c r="BN215" s="1919"/>
      <c r="BO215" s="603"/>
      <c r="BP215" s="602"/>
      <c r="BQ215" s="602"/>
      <c r="BR215" s="602"/>
      <c r="BS215" s="604"/>
      <c r="BT215" s="605"/>
      <c r="BU215" s="602"/>
      <c r="BV215" s="602"/>
      <c r="BW215" s="606"/>
      <c r="BX215" s="607"/>
      <c r="BY215" s="608"/>
      <c r="BZ215" s="608"/>
      <c r="CA215" s="608"/>
      <c r="CB215" s="600"/>
    </row>
    <row r="216" spans="2:80" ht="12" customHeight="1" x14ac:dyDescent="0.35">
      <c r="B216" s="590" t="e">
        <f>MATCH(C216,'360SpcLdsCSV'!$C$6:$C$500,0)</f>
        <v>#N/A</v>
      </c>
      <c r="C216" s="590">
        <f>'360SpcLdsCSV'!C165</f>
        <v>0</v>
      </c>
      <c r="D216" s="590" t="str">
        <f t="shared" si="197"/>
        <v>0</v>
      </c>
      <c r="E216" s="590" t="e">
        <f t="shared" si="193"/>
        <v>#VALUE!</v>
      </c>
      <c r="F216" s="590" t="e">
        <f t="shared" si="194"/>
        <v>#VALUE!</v>
      </c>
      <c r="G216" s="590" t="str">
        <f t="shared" si="198"/>
        <v>0</v>
      </c>
      <c r="H216" s="590" t="e">
        <f ca="1">OFFSET('360SpcLdsCSV'!$B$5,$B216,H$51)</f>
        <v>#N/A</v>
      </c>
      <c r="I216" s="590" t="e">
        <f ca="1">OFFSET('360SpcLdsCSV'!$B$5,$B216,I$51)</f>
        <v>#N/A</v>
      </c>
      <c r="J216" s="590" t="e">
        <f ca="1">OFFSET('360SpcLdsCSV'!$B$5,$B216,J$51)</f>
        <v>#N/A</v>
      </c>
      <c r="K216" s="590" t="e">
        <f ca="1">OFFSET('360SpcLdsCSV'!$B$5,$B216,K$51)</f>
        <v>#N/A</v>
      </c>
      <c r="L216" s="590" t="e">
        <f ca="1">OFFSET('360SpcLdsCSV'!$B$5,$B216,L$51)</f>
        <v>#N/A</v>
      </c>
      <c r="M216" s="592" t="e">
        <f ca="1">OFFSET('360SpcLdsCSV'!$B$5,$B216,M$51)</f>
        <v>#N/A</v>
      </c>
      <c r="N216" s="592" t="e">
        <f ca="1">OFFSET('360SpcLdsCSV'!$B$5,$B216,N$51)</f>
        <v>#N/A</v>
      </c>
      <c r="O216" s="592" t="e">
        <f ca="1">OFFSET('360SpcLdsCSV'!$B$5,$B216,O$51)</f>
        <v>#N/A</v>
      </c>
      <c r="P216" s="592" t="e">
        <f ca="1">OFFSET('360SpcLdsCSV'!$B$5,$B216,P$51)</f>
        <v>#N/A</v>
      </c>
      <c r="Q216" s="592" t="e">
        <f ca="1">OFFSET('360SpcLdsCSV'!$B$5,$B216,Q$51)</f>
        <v>#N/A</v>
      </c>
      <c r="R216" s="592" t="e">
        <f ca="1">OFFSET('360SpcLdsCSV'!$B$5,$B216,R$51)</f>
        <v>#N/A</v>
      </c>
      <c r="S216" s="592" t="e">
        <f ca="1">OFFSET('360SpcLdsCSV'!$B$5,$B216,S$51)</f>
        <v>#N/A</v>
      </c>
      <c r="T216" s="592" t="e">
        <f ca="1">OFFSET('360SpcLdsCSV'!$B$5,$B216,T$51)</f>
        <v>#N/A</v>
      </c>
      <c r="U216" s="592" t="e">
        <f ca="1">OFFSET('360SpcLdsCSV'!$B$5,$B216,U$51)</f>
        <v>#N/A</v>
      </c>
      <c r="V216" s="592" t="e">
        <f ca="1">OFFSET('360SpcLdsCSV'!$B$5,$B216,V$51)</f>
        <v>#N/A</v>
      </c>
      <c r="W216" s="592" t="e">
        <f ca="1">OFFSET('360SpcLdsCSV'!$B$5,$B216,W$51)</f>
        <v>#N/A</v>
      </c>
      <c r="X216" s="592" t="e">
        <f ca="1">OFFSET('360SpcLdsCSV'!$B$5,$B216,X$51)</f>
        <v>#N/A</v>
      </c>
      <c r="Y216" s="592" t="e">
        <f ca="1">OFFSET('360SpcLdsCSV'!$B$5,$B216,Y$51)</f>
        <v>#N/A</v>
      </c>
      <c r="Z216" s="592" t="e">
        <f ca="1">OFFSET('360SpcLdsCSV'!$B$5,$B216,Z$51)</f>
        <v>#N/A</v>
      </c>
      <c r="AA216" s="592" t="e">
        <f ca="1">OFFSET('360SpcLdsCSV'!$B$5,$B216,AA$51)</f>
        <v>#N/A</v>
      </c>
      <c r="AB216" s="592" t="e">
        <f ca="1">OFFSET('360SpcLdsCSV'!$B$5,$B216,AB$51)</f>
        <v>#N/A</v>
      </c>
      <c r="AC216" s="592" t="e">
        <f ca="1">OFFSET('360SpcLdsCSV'!$B$5,$B216,AC$51)</f>
        <v>#N/A</v>
      </c>
      <c r="AD216" s="592" t="e">
        <f ca="1">OFFSET('360SpcLdsCSV'!$B$5,$B216,AD$51)</f>
        <v>#N/A</v>
      </c>
      <c r="AE216" s="592" t="e">
        <f ca="1">OFFSET('360SpcLdsCSV'!$B$5,$B216,AE$51)</f>
        <v>#N/A</v>
      </c>
      <c r="AF216" s="592" t="e">
        <f ca="1">OFFSET('360SpcLdsCSV'!$B$5,$B216,AF$51)</f>
        <v>#N/A</v>
      </c>
      <c r="AG216" s="592" t="e">
        <f ca="1">OFFSET('360SpcLdsCSV'!$B$5,$B216,AG$51)</f>
        <v>#N/A</v>
      </c>
      <c r="AH216" s="592" t="e">
        <f ca="1">OFFSET('360SpcLdsCSV'!$B$5,$B216,AH$51)</f>
        <v>#N/A</v>
      </c>
      <c r="AI216" s="592" t="e">
        <f ca="1">OFFSET('360SpcLdsCSV'!$B$5,$B216,AI$51)</f>
        <v>#N/A</v>
      </c>
      <c r="AJ216" s="592" t="e" cm="1">
        <f t="array" ref="AJ216">_xlfn.IFS($F216="Resi",1,$F216="Racc",0,$F216="Coml",0,$F216="Prkg",0)</f>
        <v>#VALUE!</v>
      </c>
      <c r="AK216" s="596"/>
      <c r="AL216" s="590" t="e">
        <f ca="1">OFFSET('360SpcLdsCSV'!$B$5,$B216,AL$51)</f>
        <v>#N/A</v>
      </c>
      <c r="AM216" s="663" t="e">
        <f t="shared" ca="1" si="168"/>
        <v>#N/A</v>
      </c>
      <c r="AN216" s="663" t="e">
        <f t="shared" ca="1" si="169"/>
        <v>#N/A</v>
      </c>
      <c r="AO216" s="663" t="e">
        <f t="shared" ca="1" si="196"/>
        <v>#N/A</v>
      </c>
      <c r="AP216" s="663" t="e">
        <f t="shared" ca="1" si="170"/>
        <v>#N/A</v>
      </c>
      <c r="AQ216" s="663" t="e">
        <f t="shared" ca="1" si="171"/>
        <v>#N/A</v>
      </c>
      <c r="AR216" s="663" t="e">
        <f t="shared" ca="1" si="172"/>
        <v>#N/A</v>
      </c>
      <c r="AS216" s="663" t="e">
        <f t="shared" ca="1" si="173"/>
        <v>#N/A</v>
      </c>
      <c r="AT216" s="663" t="e">
        <f t="shared" ca="1" si="174"/>
        <v>#N/A</v>
      </c>
      <c r="AU216" s="663" t="e">
        <f t="shared" ca="1" si="175"/>
        <v>#N/A</v>
      </c>
      <c r="AV216" s="663" t="e">
        <f t="shared" ca="1" si="176"/>
        <v>#N/A</v>
      </c>
      <c r="AW216" s="663" t="e">
        <f t="shared" ca="1" si="177"/>
        <v>#N/A</v>
      </c>
      <c r="AX216" s="663" t="e">
        <f t="shared" ca="1" si="178"/>
        <v>#N/A</v>
      </c>
      <c r="AY216" s="663" t="e">
        <f t="shared" ca="1" si="179"/>
        <v>#N/A</v>
      </c>
      <c r="AZ216" s="663" t="e">
        <f t="shared" ca="1" si="180"/>
        <v>#N/A</v>
      </c>
      <c r="BA216" s="663" t="e">
        <f t="shared" ca="1" si="181"/>
        <v>#N/A</v>
      </c>
      <c r="BB216" s="663" t="e">
        <f t="shared" ca="1" si="182"/>
        <v>#N/A</v>
      </c>
      <c r="BC216" s="663" t="e">
        <f t="shared" ca="1" si="183"/>
        <v>#N/A</v>
      </c>
      <c r="BD216" s="663" t="e">
        <f t="shared" ca="1" si="184"/>
        <v>#N/A</v>
      </c>
      <c r="BE216" s="663" t="e">
        <f t="shared" ca="1" si="185"/>
        <v>#N/A</v>
      </c>
      <c r="BF216" s="663" t="e">
        <f t="shared" ca="1" si="186"/>
        <v>#N/A</v>
      </c>
      <c r="BG216" s="663" t="e">
        <f t="shared" ca="1" si="187"/>
        <v>#N/A</v>
      </c>
      <c r="BH216" s="663" t="e">
        <f t="shared" ca="1" si="188"/>
        <v>#N/A</v>
      </c>
      <c r="BI216" s="663" t="e">
        <f t="shared" ca="1" si="189"/>
        <v>#N/A</v>
      </c>
      <c r="BJ216" s="663" t="e">
        <f t="shared" ca="1" si="190"/>
        <v>#N/A</v>
      </c>
      <c r="BK216" s="663" t="e">
        <f t="shared" ca="1" si="191"/>
        <v>#N/A</v>
      </c>
      <c r="BL216" s="1918"/>
      <c r="BM216" s="1532"/>
      <c r="BN216" s="1919"/>
      <c r="BO216" s="603"/>
      <c r="BP216" s="602"/>
      <c r="BQ216" s="602"/>
      <c r="BR216" s="602"/>
      <c r="BS216" s="604"/>
      <c r="BT216" s="605"/>
      <c r="BU216" s="602"/>
      <c r="BV216" s="602"/>
      <c r="BW216" s="606"/>
      <c r="BX216" s="607"/>
      <c r="BY216" s="608"/>
      <c r="BZ216" s="608"/>
      <c r="CA216" s="608"/>
      <c r="CB216" s="600"/>
    </row>
    <row r="217" spans="2:80" ht="12" customHeight="1" x14ac:dyDescent="0.35">
      <c r="B217" s="590" t="e">
        <f>MATCH(C217,'360SpcLdsCSV'!$C$6:$C$500,0)</f>
        <v>#N/A</v>
      </c>
      <c r="C217" s="590">
        <f>'360SpcLdsCSV'!C166</f>
        <v>0</v>
      </c>
      <c r="D217" s="590" t="str">
        <f t="shared" si="197"/>
        <v>0</v>
      </c>
      <c r="E217" s="590" t="e">
        <f t="shared" si="193"/>
        <v>#VALUE!</v>
      </c>
      <c r="F217" s="590" t="e">
        <f t="shared" si="194"/>
        <v>#VALUE!</v>
      </c>
      <c r="G217" s="590" t="str">
        <f t="shared" si="198"/>
        <v>0</v>
      </c>
      <c r="H217" s="590" t="e">
        <f ca="1">OFFSET('360SpcLdsCSV'!$B$5,$B217,H$51)</f>
        <v>#N/A</v>
      </c>
      <c r="I217" s="590" t="e">
        <f ca="1">OFFSET('360SpcLdsCSV'!$B$5,$B217,I$51)</f>
        <v>#N/A</v>
      </c>
      <c r="J217" s="590" t="e">
        <f ca="1">OFFSET('360SpcLdsCSV'!$B$5,$B217,J$51)</f>
        <v>#N/A</v>
      </c>
      <c r="K217" s="590" t="e">
        <f ca="1">OFFSET('360SpcLdsCSV'!$B$5,$B217,K$51)</f>
        <v>#N/A</v>
      </c>
      <c r="L217" s="590" t="e">
        <f ca="1">OFFSET('360SpcLdsCSV'!$B$5,$B217,L$51)</f>
        <v>#N/A</v>
      </c>
      <c r="M217" s="592" t="e">
        <f ca="1">OFFSET('360SpcLdsCSV'!$B$5,$B217,M$51)</f>
        <v>#N/A</v>
      </c>
      <c r="N217" s="592" t="e">
        <f ca="1">OFFSET('360SpcLdsCSV'!$B$5,$B217,N$51)</f>
        <v>#N/A</v>
      </c>
      <c r="O217" s="592" t="e">
        <f ca="1">OFFSET('360SpcLdsCSV'!$B$5,$B217,O$51)</f>
        <v>#N/A</v>
      </c>
      <c r="P217" s="592" t="e">
        <f ca="1">OFFSET('360SpcLdsCSV'!$B$5,$B217,P$51)</f>
        <v>#N/A</v>
      </c>
      <c r="Q217" s="592" t="e">
        <f ca="1">OFFSET('360SpcLdsCSV'!$B$5,$B217,Q$51)</f>
        <v>#N/A</v>
      </c>
      <c r="R217" s="592" t="e">
        <f ca="1">OFFSET('360SpcLdsCSV'!$B$5,$B217,R$51)</f>
        <v>#N/A</v>
      </c>
      <c r="S217" s="592" t="e">
        <f ca="1">OFFSET('360SpcLdsCSV'!$B$5,$B217,S$51)</f>
        <v>#N/A</v>
      </c>
      <c r="T217" s="592" t="e">
        <f ca="1">OFFSET('360SpcLdsCSV'!$B$5,$B217,T$51)</f>
        <v>#N/A</v>
      </c>
      <c r="U217" s="592" t="e">
        <f ca="1">OFFSET('360SpcLdsCSV'!$B$5,$B217,U$51)</f>
        <v>#N/A</v>
      </c>
      <c r="V217" s="592" t="e">
        <f ca="1">OFFSET('360SpcLdsCSV'!$B$5,$B217,V$51)</f>
        <v>#N/A</v>
      </c>
      <c r="W217" s="592" t="e">
        <f ca="1">OFFSET('360SpcLdsCSV'!$B$5,$B217,W$51)</f>
        <v>#N/A</v>
      </c>
      <c r="X217" s="592" t="e">
        <f ca="1">OFFSET('360SpcLdsCSV'!$B$5,$B217,X$51)</f>
        <v>#N/A</v>
      </c>
      <c r="Y217" s="592" t="e">
        <f ca="1">OFFSET('360SpcLdsCSV'!$B$5,$B217,Y$51)</f>
        <v>#N/A</v>
      </c>
      <c r="Z217" s="592" t="e">
        <f ca="1">OFFSET('360SpcLdsCSV'!$B$5,$B217,Z$51)</f>
        <v>#N/A</v>
      </c>
      <c r="AA217" s="592" t="e">
        <f ca="1">OFFSET('360SpcLdsCSV'!$B$5,$B217,AA$51)</f>
        <v>#N/A</v>
      </c>
      <c r="AB217" s="592" t="e">
        <f ca="1">OFFSET('360SpcLdsCSV'!$B$5,$B217,AB$51)</f>
        <v>#N/A</v>
      </c>
      <c r="AC217" s="592" t="e">
        <f ca="1">OFFSET('360SpcLdsCSV'!$B$5,$B217,AC$51)</f>
        <v>#N/A</v>
      </c>
      <c r="AD217" s="592" t="e">
        <f ca="1">OFFSET('360SpcLdsCSV'!$B$5,$B217,AD$51)</f>
        <v>#N/A</v>
      </c>
      <c r="AE217" s="592" t="e">
        <f ca="1">OFFSET('360SpcLdsCSV'!$B$5,$B217,AE$51)</f>
        <v>#N/A</v>
      </c>
      <c r="AF217" s="592" t="e">
        <f ca="1">OFFSET('360SpcLdsCSV'!$B$5,$B217,AF$51)</f>
        <v>#N/A</v>
      </c>
      <c r="AG217" s="592" t="e">
        <f ca="1">OFFSET('360SpcLdsCSV'!$B$5,$B217,AG$51)</f>
        <v>#N/A</v>
      </c>
      <c r="AH217" s="592" t="e">
        <f ca="1">OFFSET('360SpcLdsCSV'!$B$5,$B217,AH$51)</f>
        <v>#N/A</v>
      </c>
      <c r="AI217" s="592" t="e">
        <f ca="1">OFFSET('360SpcLdsCSV'!$B$5,$B217,AI$51)</f>
        <v>#N/A</v>
      </c>
      <c r="AJ217" s="592" t="e" cm="1">
        <f t="array" ref="AJ217">_xlfn.IFS($F217="Resi",1,$F217="Racc",0,$F217="Coml",0,$F217="Prkg",0)</f>
        <v>#VALUE!</v>
      </c>
      <c r="AK217" s="596"/>
      <c r="AL217" s="590" t="e">
        <f ca="1">OFFSET('360SpcLdsCSV'!$B$5,$B217,AL$51)</f>
        <v>#N/A</v>
      </c>
      <c r="AM217" s="663" t="e">
        <f t="shared" ca="1" si="168"/>
        <v>#N/A</v>
      </c>
      <c r="AN217" s="663" t="e">
        <f t="shared" ca="1" si="169"/>
        <v>#N/A</v>
      </c>
      <c r="AO217" s="663" t="e">
        <f t="shared" ca="1" si="196"/>
        <v>#N/A</v>
      </c>
      <c r="AP217" s="663" t="e">
        <f t="shared" ca="1" si="170"/>
        <v>#N/A</v>
      </c>
      <c r="AQ217" s="663" t="e">
        <f t="shared" ca="1" si="171"/>
        <v>#N/A</v>
      </c>
      <c r="AR217" s="663" t="e">
        <f t="shared" ca="1" si="172"/>
        <v>#N/A</v>
      </c>
      <c r="AS217" s="663" t="e">
        <f t="shared" ca="1" si="173"/>
        <v>#N/A</v>
      </c>
      <c r="AT217" s="663" t="e">
        <f t="shared" ca="1" si="174"/>
        <v>#N/A</v>
      </c>
      <c r="AU217" s="663" t="e">
        <f t="shared" ca="1" si="175"/>
        <v>#N/A</v>
      </c>
      <c r="AV217" s="663" t="e">
        <f t="shared" ca="1" si="176"/>
        <v>#N/A</v>
      </c>
      <c r="AW217" s="663" t="e">
        <f t="shared" ca="1" si="177"/>
        <v>#N/A</v>
      </c>
      <c r="AX217" s="663" t="e">
        <f t="shared" ca="1" si="178"/>
        <v>#N/A</v>
      </c>
      <c r="AY217" s="663" t="e">
        <f t="shared" ca="1" si="179"/>
        <v>#N/A</v>
      </c>
      <c r="AZ217" s="663" t="e">
        <f t="shared" ca="1" si="180"/>
        <v>#N/A</v>
      </c>
      <c r="BA217" s="663" t="e">
        <f t="shared" ca="1" si="181"/>
        <v>#N/A</v>
      </c>
      <c r="BB217" s="663" t="e">
        <f t="shared" ca="1" si="182"/>
        <v>#N/A</v>
      </c>
      <c r="BC217" s="663" t="e">
        <f t="shared" ca="1" si="183"/>
        <v>#N/A</v>
      </c>
      <c r="BD217" s="663" t="e">
        <f t="shared" ca="1" si="184"/>
        <v>#N/A</v>
      </c>
      <c r="BE217" s="663" t="e">
        <f t="shared" ca="1" si="185"/>
        <v>#N/A</v>
      </c>
      <c r="BF217" s="663" t="e">
        <f t="shared" ca="1" si="186"/>
        <v>#N/A</v>
      </c>
      <c r="BG217" s="663" t="e">
        <f t="shared" ca="1" si="187"/>
        <v>#N/A</v>
      </c>
      <c r="BH217" s="663" t="e">
        <f t="shared" ca="1" si="188"/>
        <v>#N/A</v>
      </c>
      <c r="BI217" s="663" t="e">
        <f t="shared" ca="1" si="189"/>
        <v>#N/A</v>
      </c>
      <c r="BJ217" s="663" t="e">
        <f t="shared" ca="1" si="190"/>
        <v>#N/A</v>
      </c>
      <c r="BK217" s="663" t="e">
        <f t="shared" ca="1" si="191"/>
        <v>#N/A</v>
      </c>
      <c r="BL217" s="1918"/>
      <c r="BM217" s="1532"/>
      <c r="BN217" s="1919"/>
      <c r="BO217" s="603"/>
      <c r="BP217" s="602"/>
      <c r="BQ217" s="602"/>
      <c r="BR217" s="602"/>
      <c r="BS217" s="604"/>
      <c r="BT217" s="605"/>
      <c r="BU217" s="602"/>
      <c r="BV217" s="602"/>
      <c r="BW217" s="606"/>
      <c r="BX217" s="607"/>
      <c r="BY217" s="608"/>
      <c r="BZ217" s="608"/>
      <c r="CA217" s="608"/>
      <c r="CB217" s="600"/>
    </row>
    <row r="218" spans="2:80" ht="12" customHeight="1" x14ac:dyDescent="0.35">
      <c r="B218" s="590" t="e">
        <f>MATCH(C218,'360SpcLdsCSV'!$C$6:$C$500,0)</f>
        <v>#N/A</v>
      </c>
      <c r="C218" s="590">
        <f>'360SpcLdsCSV'!C167</f>
        <v>0</v>
      </c>
      <c r="D218" s="590" t="str">
        <f t="shared" si="197"/>
        <v>0</v>
      </c>
      <c r="E218" s="590" t="e">
        <f t="shared" si="193"/>
        <v>#VALUE!</v>
      </c>
      <c r="F218" s="590" t="e">
        <f t="shared" si="194"/>
        <v>#VALUE!</v>
      </c>
      <c r="G218" s="590" t="str">
        <f t="shared" si="198"/>
        <v>0</v>
      </c>
      <c r="H218" s="590" t="e">
        <f ca="1">OFFSET('360SpcLdsCSV'!$B$5,$B218,H$51)</f>
        <v>#N/A</v>
      </c>
      <c r="I218" s="590" t="e">
        <f ca="1">OFFSET('360SpcLdsCSV'!$B$5,$B218,I$51)</f>
        <v>#N/A</v>
      </c>
      <c r="J218" s="590" t="e">
        <f ca="1">OFFSET('360SpcLdsCSV'!$B$5,$B218,J$51)</f>
        <v>#N/A</v>
      </c>
      <c r="K218" s="590" t="e">
        <f ca="1">OFFSET('360SpcLdsCSV'!$B$5,$B218,K$51)</f>
        <v>#N/A</v>
      </c>
      <c r="L218" s="590" t="e">
        <f ca="1">OFFSET('360SpcLdsCSV'!$B$5,$B218,L$51)</f>
        <v>#N/A</v>
      </c>
      <c r="M218" s="592" t="e">
        <f ca="1">OFFSET('360SpcLdsCSV'!$B$5,$B218,M$51)</f>
        <v>#N/A</v>
      </c>
      <c r="N218" s="592" t="e">
        <f ca="1">OFFSET('360SpcLdsCSV'!$B$5,$B218,N$51)</f>
        <v>#N/A</v>
      </c>
      <c r="O218" s="592" t="e">
        <f ca="1">OFFSET('360SpcLdsCSV'!$B$5,$B218,O$51)</f>
        <v>#N/A</v>
      </c>
      <c r="P218" s="592" t="e">
        <f ca="1">OFFSET('360SpcLdsCSV'!$B$5,$B218,P$51)</f>
        <v>#N/A</v>
      </c>
      <c r="Q218" s="592" t="e">
        <f ca="1">OFFSET('360SpcLdsCSV'!$B$5,$B218,Q$51)</f>
        <v>#N/A</v>
      </c>
      <c r="R218" s="592" t="e">
        <f ca="1">OFFSET('360SpcLdsCSV'!$B$5,$B218,R$51)</f>
        <v>#N/A</v>
      </c>
      <c r="S218" s="592" t="e">
        <f ca="1">OFFSET('360SpcLdsCSV'!$B$5,$B218,S$51)</f>
        <v>#N/A</v>
      </c>
      <c r="T218" s="592" t="e">
        <f ca="1">OFFSET('360SpcLdsCSV'!$B$5,$B218,T$51)</f>
        <v>#N/A</v>
      </c>
      <c r="U218" s="592" t="e">
        <f ca="1">OFFSET('360SpcLdsCSV'!$B$5,$B218,U$51)</f>
        <v>#N/A</v>
      </c>
      <c r="V218" s="592" t="e">
        <f ca="1">OFFSET('360SpcLdsCSV'!$B$5,$B218,V$51)</f>
        <v>#N/A</v>
      </c>
      <c r="W218" s="592" t="e">
        <f ca="1">OFFSET('360SpcLdsCSV'!$B$5,$B218,W$51)</f>
        <v>#N/A</v>
      </c>
      <c r="X218" s="592" t="e">
        <f ca="1">OFFSET('360SpcLdsCSV'!$B$5,$B218,X$51)</f>
        <v>#N/A</v>
      </c>
      <c r="Y218" s="592" t="e">
        <f ca="1">OFFSET('360SpcLdsCSV'!$B$5,$B218,Y$51)</f>
        <v>#N/A</v>
      </c>
      <c r="Z218" s="592" t="e">
        <f ca="1">OFFSET('360SpcLdsCSV'!$B$5,$B218,Z$51)</f>
        <v>#N/A</v>
      </c>
      <c r="AA218" s="592" t="e">
        <f ca="1">OFFSET('360SpcLdsCSV'!$B$5,$B218,AA$51)</f>
        <v>#N/A</v>
      </c>
      <c r="AB218" s="592" t="e">
        <f ca="1">OFFSET('360SpcLdsCSV'!$B$5,$B218,AB$51)</f>
        <v>#N/A</v>
      </c>
      <c r="AC218" s="592" t="e">
        <f ca="1">OFFSET('360SpcLdsCSV'!$B$5,$B218,AC$51)</f>
        <v>#N/A</v>
      </c>
      <c r="AD218" s="592" t="e">
        <f ca="1">OFFSET('360SpcLdsCSV'!$B$5,$B218,AD$51)</f>
        <v>#N/A</v>
      </c>
      <c r="AE218" s="592" t="e">
        <f ca="1">OFFSET('360SpcLdsCSV'!$B$5,$B218,AE$51)</f>
        <v>#N/A</v>
      </c>
      <c r="AF218" s="592" t="e">
        <f ca="1">OFFSET('360SpcLdsCSV'!$B$5,$B218,AF$51)</f>
        <v>#N/A</v>
      </c>
      <c r="AG218" s="592" t="e">
        <f ca="1">OFFSET('360SpcLdsCSV'!$B$5,$B218,AG$51)</f>
        <v>#N/A</v>
      </c>
      <c r="AH218" s="592" t="e">
        <f ca="1">OFFSET('360SpcLdsCSV'!$B$5,$B218,AH$51)</f>
        <v>#N/A</v>
      </c>
      <c r="AI218" s="592" t="e">
        <f ca="1">OFFSET('360SpcLdsCSV'!$B$5,$B218,AI$51)</f>
        <v>#N/A</v>
      </c>
      <c r="AJ218" s="592" t="e" cm="1">
        <f t="array" ref="AJ218">_xlfn.IFS($F218="Resi",1,$F218="Racc",0,$F218="Coml",0,$F218="Prkg",0)</f>
        <v>#VALUE!</v>
      </c>
      <c r="AK218" s="596"/>
      <c r="AL218" s="590" t="e">
        <f ca="1">OFFSET('360SpcLdsCSV'!$B$5,$B218,AL$51)</f>
        <v>#N/A</v>
      </c>
      <c r="AM218" s="663" t="e">
        <f t="shared" ca="1" si="168"/>
        <v>#N/A</v>
      </c>
      <c r="AN218" s="663" t="e">
        <f t="shared" ca="1" si="169"/>
        <v>#N/A</v>
      </c>
      <c r="AO218" s="663" t="e">
        <f t="shared" ca="1" si="196"/>
        <v>#N/A</v>
      </c>
      <c r="AP218" s="663" t="e">
        <f t="shared" ca="1" si="170"/>
        <v>#N/A</v>
      </c>
      <c r="AQ218" s="663" t="e">
        <f t="shared" ca="1" si="171"/>
        <v>#N/A</v>
      </c>
      <c r="AR218" s="663" t="e">
        <f t="shared" ca="1" si="172"/>
        <v>#N/A</v>
      </c>
      <c r="AS218" s="663" t="e">
        <f t="shared" ca="1" si="173"/>
        <v>#N/A</v>
      </c>
      <c r="AT218" s="663" t="e">
        <f t="shared" ca="1" si="174"/>
        <v>#N/A</v>
      </c>
      <c r="AU218" s="663" t="e">
        <f t="shared" ca="1" si="175"/>
        <v>#N/A</v>
      </c>
      <c r="AV218" s="663" t="e">
        <f t="shared" ca="1" si="176"/>
        <v>#N/A</v>
      </c>
      <c r="AW218" s="663" t="e">
        <f t="shared" ca="1" si="177"/>
        <v>#N/A</v>
      </c>
      <c r="AX218" s="663" t="e">
        <f t="shared" ca="1" si="178"/>
        <v>#N/A</v>
      </c>
      <c r="AY218" s="663" t="e">
        <f t="shared" ca="1" si="179"/>
        <v>#N/A</v>
      </c>
      <c r="AZ218" s="663" t="e">
        <f t="shared" ca="1" si="180"/>
        <v>#N/A</v>
      </c>
      <c r="BA218" s="663" t="e">
        <f t="shared" ca="1" si="181"/>
        <v>#N/A</v>
      </c>
      <c r="BB218" s="663" t="e">
        <f t="shared" ca="1" si="182"/>
        <v>#N/A</v>
      </c>
      <c r="BC218" s="663" t="e">
        <f t="shared" ca="1" si="183"/>
        <v>#N/A</v>
      </c>
      <c r="BD218" s="663" t="e">
        <f t="shared" ca="1" si="184"/>
        <v>#N/A</v>
      </c>
      <c r="BE218" s="663" t="e">
        <f t="shared" ca="1" si="185"/>
        <v>#N/A</v>
      </c>
      <c r="BF218" s="663" t="e">
        <f t="shared" ca="1" si="186"/>
        <v>#N/A</v>
      </c>
      <c r="BG218" s="663" t="e">
        <f t="shared" ca="1" si="187"/>
        <v>#N/A</v>
      </c>
      <c r="BH218" s="663" t="e">
        <f t="shared" ca="1" si="188"/>
        <v>#N/A</v>
      </c>
      <c r="BI218" s="663" t="e">
        <f t="shared" ca="1" si="189"/>
        <v>#N/A</v>
      </c>
      <c r="BJ218" s="663" t="e">
        <f t="shared" ca="1" si="190"/>
        <v>#N/A</v>
      </c>
      <c r="BK218" s="663" t="e">
        <f t="shared" ca="1" si="191"/>
        <v>#N/A</v>
      </c>
      <c r="BL218" s="1918"/>
      <c r="BM218" s="1532"/>
      <c r="BN218" s="1919"/>
      <c r="BO218" s="603"/>
      <c r="BP218" s="602"/>
      <c r="BQ218" s="602"/>
      <c r="BR218" s="602"/>
      <c r="BS218" s="604"/>
      <c r="BT218" s="605"/>
      <c r="BU218" s="602"/>
      <c r="BV218" s="602"/>
      <c r="BW218" s="606"/>
      <c r="BX218" s="607"/>
      <c r="BY218" s="608"/>
      <c r="BZ218" s="608"/>
      <c r="CA218" s="608"/>
      <c r="CB218" s="600"/>
    </row>
    <row r="219" spans="2:80" ht="12" customHeight="1" x14ac:dyDescent="0.35">
      <c r="B219" s="590" t="e">
        <f>MATCH(C219,'360SpcLdsCSV'!$C$6:$C$500,0)</f>
        <v>#N/A</v>
      </c>
      <c r="C219" s="590">
        <f>'360SpcLdsCSV'!C168</f>
        <v>0</v>
      </c>
      <c r="D219" s="590" t="str">
        <f t="shared" si="197"/>
        <v>0</v>
      </c>
      <c r="E219" s="590" t="e">
        <f t="shared" si="193"/>
        <v>#VALUE!</v>
      </c>
      <c r="F219" s="590" t="e">
        <f t="shared" si="194"/>
        <v>#VALUE!</v>
      </c>
      <c r="G219" s="590" t="str">
        <f t="shared" si="198"/>
        <v>0</v>
      </c>
      <c r="H219" s="590" t="e">
        <f ca="1">OFFSET('360SpcLdsCSV'!$B$5,$B219,H$51)</f>
        <v>#N/A</v>
      </c>
      <c r="I219" s="590" t="e">
        <f ca="1">OFFSET('360SpcLdsCSV'!$B$5,$B219,I$51)</f>
        <v>#N/A</v>
      </c>
      <c r="J219" s="590" t="e">
        <f ca="1">OFFSET('360SpcLdsCSV'!$B$5,$B219,J$51)</f>
        <v>#N/A</v>
      </c>
      <c r="K219" s="590" t="e">
        <f ca="1">OFFSET('360SpcLdsCSV'!$B$5,$B219,K$51)</f>
        <v>#N/A</v>
      </c>
      <c r="L219" s="590" t="e">
        <f ca="1">OFFSET('360SpcLdsCSV'!$B$5,$B219,L$51)</f>
        <v>#N/A</v>
      </c>
      <c r="M219" s="592" t="e">
        <f ca="1">OFFSET('360SpcLdsCSV'!$B$5,$B219,M$51)</f>
        <v>#N/A</v>
      </c>
      <c r="N219" s="592" t="e">
        <f ca="1">OFFSET('360SpcLdsCSV'!$B$5,$B219,N$51)</f>
        <v>#N/A</v>
      </c>
      <c r="O219" s="592" t="e">
        <f ca="1">OFFSET('360SpcLdsCSV'!$B$5,$B219,O$51)</f>
        <v>#N/A</v>
      </c>
      <c r="P219" s="592" t="e">
        <f ca="1">OFFSET('360SpcLdsCSV'!$B$5,$B219,P$51)</f>
        <v>#N/A</v>
      </c>
      <c r="Q219" s="592" t="e">
        <f ca="1">OFFSET('360SpcLdsCSV'!$B$5,$B219,Q$51)</f>
        <v>#N/A</v>
      </c>
      <c r="R219" s="592" t="e">
        <f ca="1">OFFSET('360SpcLdsCSV'!$B$5,$B219,R$51)</f>
        <v>#N/A</v>
      </c>
      <c r="S219" s="592" t="e">
        <f ca="1">OFFSET('360SpcLdsCSV'!$B$5,$B219,S$51)</f>
        <v>#N/A</v>
      </c>
      <c r="T219" s="592" t="e">
        <f ca="1">OFFSET('360SpcLdsCSV'!$B$5,$B219,T$51)</f>
        <v>#N/A</v>
      </c>
      <c r="U219" s="592" t="e">
        <f ca="1">OFFSET('360SpcLdsCSV'!$B$5,$B219,U$51)</f>
        <v>#N/A</v>
      </c>
      <c r="V219" s="592" t="e">
        <f ca="1">OFFSET('360SpcLdsCSV'!$B$5,$B219,V$51)</f>
        <v>#N/A</v>
      </c>
      <c r="W219" s="592" t="e">
        <f ca="1">OFFSET('360SpcLdsCSV'!$B$5,$B219,W$51)</f>
        <v>#N/A</v>
      </c>
      <c r="X219" s="592" t="e">
        <f ca="1">OFFSET('360SpcLdsCSV'!$B$5,$B219,X$51)</f>
        <v>#N/A</v>
      </c>
      <c r="Y219" s="592" t="e">
        <f ca="1">OFFSET('360SpcLdsCSV'!$B$5,$B219,Y$51)</f>
        <v>#N/A</v>
      </c>
      <c r="Z219" s="592" t="e">
        <f ca="1">OFFSET('360SpcLdsCSV'!$B$5,$B219,Z$51)</f>
        <v>#N/A</v>
      </c>
      <c r="AA219" s="592" t="e">
        <f ca="1">OFFSET('360SpcLdsCSV'!$B$5,$B219,AA$51)</f>
        <v>#N/A</v>
      </c>
      <c r="AB219" s="592" t="e">
        <f ca="1">OFFSET('360SpcLdsCSV'!$B$5,$B219,AB$51)</f>
        <v>#N/A</v>
      </c>
      <c r="AC219" s="592" t="e">
        <f ca="1">OFFSET('360SpcLdsCSV'!$B$5,$B219,AC$51)</f>
        <v>#N/A</v>
      </c>
      <c r="AD219" s="592" t="e">
        <f ca="1">OFFSET('360SpcLdsCSV'!$B$5,$B219,AD$51)</f>
        <v>#N/A</v>
      </c>
      <c r="AE219" s="592" t="e">
        <f ca="1">OFFSET('360SpcLdsCSV'!$B$5,$B219,AE$51)</f>
        <v>#N/A</v>
      </c>
      <c r="AF219" s="592" t="e">
        <f ca="1">OFFSET('360SpcLdsCSV'!$B$5,$B219,AF$51)</f>
        <v>#N/A</v>
      </c>
      <c r="AG219" s="592" t="e">
        <f ca="1">OFFSET('360SpcLdsCSV'!$B$5,$B219,AG$51)</f>
        <v>#N/A</v>
      </c>
      <c r="AH219" s="592" t="e">
        <f ca="1">OFFSET('360SpcLdsCSV'!$B$5,$B219,AH$51)</f>
        <v>#N/A</v>
      </c>
      <c r="AI219" s="592" t="e">
        <f ca="1">OFFSET('360SpcLdsCSV'!$B$5,$B219,AI$51)</f>
        <v>#N/A</v>
      </c>
      <c r="AJ219" s="592" t="e" cm="1">
        <f t="array" ref="AJ219">_xlfn.IFS($F219="Resi",1,$F219="Racc",0,$F219="Coml",0,$F219="Prkg",0)</f>
        <v>#VALUE!</v>
      </c>
      <c r="AK219" s="596"/>
      <c r="AL219" s="590" t="e">
        <f ca="1">OFFSET('360SpcLdsCSV'!$B$5,$B219,AL$51)</f>
        <v>#N/A</v>
      </c>
      <c r="AM219" s="663" t="e">
        <f t="shared" ca="1" si="168"/>
        <v>#N/A</v>
      </c>
      <c r="AN219" s="663" t="e">
        <f t="shared" ca="1" si="169"/>
        <v>#N/A</v>
      </c>
      <c r="AO219" s="663" t="e">
        <f t="shared" ca="1" si="196"/>
        <v>#N/A</v>
      </c>
      <c r="AP219" s="663" t="e">
        <f t="shared" ca="1" si="170"/>
        <v>#N/A</v>
      </c>
      <c r="AQ219" s="663" t="e">
        <f t="shared" ca="1" si="171"/>
        <v>#N/A</v>
      </c>
      <c r="AR219" s="663" t="e">
        <f t="shared" ca="1" si="172"/>
        <v>#N/A</v>
      </c>
      <c r="AS219" s="663" t="e">
        <f t="shared" ca="1" si="173"/>
        <v>#N/A</v>
      </c>
      <c r="AT219" s="663" t="e">
        <f t="shared" ca="1" si="174"/>
        <v>#N/A</v>
      </c>
      <c r="AU219" s="663" t="e">
        <f t="shared" ca="1" si="175"/>
        <v>#N/A</v>
      </c>
      <c r="AV219" s="663" t="e">
        <f t="shared" ca="1" si="176"/>
        <v>#N/A</v>
      </c>
      <c r="AW219" s="663" t="e">
        <f t="shared" ca="1" si="177"/>
        <v>#N/A</v>
      </c>
      <c r="AX219" s="663" t="e">
        <f t="shared" ca="1" si="178"/>
        <v>#N/A</v>
      </c>
      <c r="AY219" s="663" t="e">
        <f t="shared" ca="1" si="179"/>
        <v>#N/A</v>
      </c>
      <c r="AZ219" s="663" t="e">
        <f t="shared" ca="1" si="180"/>
        <v>#N/A</v>
      </c>
      <c r="BA219" s="663" t="e">
        <f t="shared" ca="1" si="181"/>
        <v>#N/A</v>
      </c>
      <c r="BB219" s="663" t="e">
        <f t="shared" ca="1" si="182"/>
        <v>#N/A</v>
      </c>
      <c r="BC219" s="663" t="e">
        <f t="shared" ca="1" si="183"/>
        <v>#N/A</v>
      </c>
      <c r="BD219" s="663" t="e">
        <f t="shared" ca="1" si="184"/>
        <v>#N/A</v>
      </c>
      <c r="BE219" s="663" t="e">
        <f t="shared" ca="1" si="185"/>
        <v>#N/A</v>
      </c>
      <c r="BF219" s="663" t="e">
        <f t="shared" ca="1" si="186"/>
        <v>#N/A</v>
      </c>
      <c r="BG219" s="663" t="e">
        <f t="shared" ca="1" si="187"/>
        <v>#N/A</v>
      </c>
      <c r="BH219" s="663" t="e">
        <f t="shared" ca="1" si="188"/>
        <v>#N/A</v>
      </c>
      <c r="BI219" s="663" t="e">
        <f t="shared" ca="1" si="189"/>
        <v>#N/A</v>
      </c>
      <c r="BJ219" s="663" t="e">
        <f t="shared" ca="1" si="190"/>
        <v>#N/A</v>
      </c>
      <c r="BK219" s="663" t="e">
        <f t="shared" ca="1" si="191"/>
        <v>#N/A</v>
      </c>
      <c r="BL219" s="1918"/>
      <c r="BM219" s="1532"/>
      <c r="BN219" s="1919"/>
      <c r="BO219" s="603"/>
      <c r="BP219" s="602"/>
      <c r="BQ219" s="602"/>
      <c r="BR219" s="602"/>
      <c r="BS219" s="604"/>
      <c r="BT219" s="605"/>
      <c r="BU219" s="602"/>
      <c r="BV219" s="602"/>
      <c r="BW219" s="606"/>
      <c r="BX219" s="607"/>
      <c r="BY219" s="608"/>
      <c r="BZ219" s="608"/>
      <c r="CA219" s="608"/>
      <c r="CB219" s="600"/>
    </row>
    <row r="220" spans="2:80" ht="12" customHeight="1" x14ac:dyDescent="0.35">
      <c r="B220" s="590" t="e">
        <f>MATCH(C220,'360SpcLdsCSV'!$C$6:$C$500,0)</f>
        <v>#N/A</v>
      </c>
      <c r="C220" s="590">
        <f>'360SpcLdsCSV'!C169</f>
        <v>0</v>
      </c>
      <c r="D220" s="590" t="str">
        <f t="shared" si="197"/>
        <v>0</v>
      </c>
      <c r="E220" s="590" t="e">
        <f t="shared" si="193"/>
        <v>#VALUE!</v>
      </c>
      <c r="F220" s="590" t="e">
        <f t="shared" si="194"/>
        <v>#VALUE!</v>
      </c>
      <c r="G220" s="590" t="str">
        <f t="shared" si="198"/>
        <v>0</v>
      </c>
      <c r="H220" s="590" t="e">
        <f ca="1">OFFSET('360SpcLdsCSV'!$B$5,$B220,H$51)</f>
        <v>#N/A</v>
      </c>
      <c r="I220" s="590" t="e">
        <f ca="1">OFFSET('360SpcLdsCSV'!$B$5,$B220,I$51)</f>
        <v>#N/A</v>
      </c>
      <c r="J220" s="590" t="e">
        <f ca="1">OFFSET('360SpcLdsCSV'!$B$5,$B220,J$51)</f>
        <v>#N/A</v>
      </c>
      <c r="K220" s="590" t="e">
        <f ca="1">OFFSET('360SpcLdsCSV'!$B$5,$B220,K$51)</f>
        <v>#N/A</v>
      </c>
      <c r="L220" s="590" t="e">
        <f ca="1">OFFSET('360SpcLdsCSV'!$B$5,$B220,L$51)</f>
        <v>#N/A</v>
      </c>
      <c r="M220" s="592" t="e">
        <f ca="1">OFFSET('360SpcLdsCSV'!$B$5,$B220,M$51)</f>
        <v>#N/A</v>
      </c>
      <c r="N220" s="592" t="e">
        <f ca="1">OFFSET('360SpcLdsCSV'!$B$5,$B220,N$51)</f>
        <v>#N/A</v>
      </c>
      <c r="O220" s="592" t="e">
        <f ca="1">OFFSET('360SpcLdsCSV'!$B$5,$B220,O$51)</f>
        <v>#N/A</v>
      </c>
      <c r="P220" s="592" t="e">
        <f ca="1">OFFSET('360SpcLdsCSV'!$B$5,$B220,P$51)</f>
        <v>#N/A</v>
      </c>
      <c r="Q220" s="592" t="e">
        <f ca="1">OFFSET('360SpcLdsCSV'!$B$5,$B220,Q$51)</f>
        <v>#N/A</v>
      </c>
      <c r="R220" s="592" t="e">
        <f ca="1">OFFSET('360SpcLdsCSV'!$B$5,$B220,R$51)</f>
        <v>#N/A</v>
      </c>
      <c r="S220" s="592" t="e">
        <f ca="1">OFFSET('360SpcLdsCSV'!$B$5,$B220,S$51)</f>
        <v>#N/A</v>
      </c>
      <c r="T220" s="592" t="e">
        <f ca="1">OFFSET('360SpcLdsCSV'!$B$5,$B220,T$51)</f>
        <v>#N/A</v>
      </c>
      <c r="U220" s="592" t="e">
        <f ca="1">OFFSET('360SpcLdsCSV'!$B$5,$B220,U$51)</f>
        <v>#N/A</v>
      </c>
      <c r="V220" s="592" t="e">
        <f ca="1">OFFSET('360SpcLdsCSV'!$B$5,$B220,V$51)</f>
        <v>#N/A</v>
      </c>
      <c r="W220" s="592" t="e">
        <f ca="1">OFFSET('360SpcLdsCSV'!$B$5,$B220,W$51)</f>
        <v>#N/A</v>
      </c>
      <c r="X220" s="592" t="e">
        <f ca="1">OFFSET('360SpcLdsCSV'!$B$5,$B220,X$51)</f>
        <v>#N/A</v>
      </c>
      <c r="Y220" s="592" t="e">
        <f ca="1">OFFSET('360SpcLdsCSV'!$B$5,$B220,Y$51)</f>
        <v>#N/A</v>
      </c>
      <c r="Z220" s="592" t="e">
        <f ca="1">OFFSET('360SpcLdsCSV'!$B$5,$B220,Z$51)</f>
        <v>#N/A</v>
      </c>
      <c r="AA220" s="592" t="e">
        <f ca="1">OFFSET('360SpcLdsCSV'!$B$5,$B220,AA$51)</f>
        <v>#N/A</v>
      </c>
      <c r="AB220" s="592" t="e">
        <f ca="1">OFFSET('360SpcLdsCSV'!$B$5,$B220,AB$51)</f>
        <v>#N/A</v>
      </c>
      <c r="AC220" s="592" t="e">
        <f ca="1">OFFSET('360SpcLdsCSV'!$B$5,$B220,AC$51)</f>
        <v>#N/A</v>
      </c>
      <c r="AD220" s="592" t="e">
        <f ca="1">OFFSET('360SpcLdsCSV'!$B$5,$B220,AD$51)</f>
        <v>#N/A</v>
      </c>
      <c r="AE220" s="592" t="e">
        <f ca="1">OFFSET('360SpcLdsCSV'!$B$5,$B220,AE$51)</f>
        <v>#N/A</v>
      </c>
      <c r="AF220" s="592" t="e">
        <f ca="1">OFFSET('360SpcLdsCSV'!$B$5,$B220,AF$51)</f>
        <v>#N/A</v>
      </c>
      <c r="AG220" s="592" t="e">
        <f ca="1">OFFSET('360SpcLdsCSV'!$B$5,$B220,AG$51)</f>
        <v>#N/A</v>
      </c>
      <c r="AH220" s="592" t="e">
        <f ca="1">OFFSET('360SpcLdsCSV'!$B$5,$B220,AH$51)</f>
        <v>#N/A</v>
      </c>
      <c r="AI220" s="592" t="e">
        <f ca="1">OFFSET('360SpcLdsCSV'!$B$5,$B220,AI$51)</f>
        <v>#N/A</v>
      </c>
      <c r="AJ220" s="592" t="e" cm="1">
        <f t="array" ref="AJ220">_xlfn.IFS($F220="Resi",1,$F220="Racc",0,$F220="Coml",0,$F220="Prkg",0)</f>
        <v>#VALUE!</v>
      </c>
      <c r="AK220" s="596"/>
      <c r="AL220" s="590" t="e">
        <f ca="1">OFFSET('360SpcLdsCSV'!$B$5,$B220,AL$51)</f>
        <v>#N/A</v>
      </c>
      <c r="AM220" s="663" t="e">
        <f t="shared" ca="1" si="168"/>
        <v>#N/A</v>
      </c>
      <c r="AN220" s="663" t="e">
        <f t="shared" ca="1" si="169"/>
        <v>#N/A</v>
      </c>
      <c r="AO220" s="663" t="e">
        <f t="shared" ca="1" si="196"/>
        <v>#N/A</v>
      </c>
      <c r="AP220" s="663" t="e">
        <f t="shared" ca="1" si="170"/>
        <v>#N/A</v>
      </c>
      <c r="AQ220" s="663" t="e">
        <f t="shared" ca="1" si="171"/>
        <v>#N/A</v>
      </c>
      <c r="AR220" s="663" t="e">
        <f t="shared" ca="1" si="172"/>
        <v>#N/A</v>
      </c>
      <c r="AS220" s="663" t="e">
        <f t="shared" ca="1" si="173"/>
        <v>#N/A</v>
      </c>
      <c r="AT220" s="663" t="e">
        <f t="shared" ca="1" si="174"/>
        <v>#N/A</v>
      </c>
      <c r="AU220" s="663" t="e">
        <f t="shared" ca="1" si="175"/>
        <v>#N/A</v>
      </c>
      <c r="AV220" s="663" t="e">
        <f t="shared" ca="1" si="176"/>
        <v>#N/A</v>
      </c>
      <c r="AW220" s="663" t="e">
        <f t="shared" ca="1" si="177"/>
        <v>#N/A</v>
      </c>
      <c r="AX220" s="663" t="e">
        <f t="shared" ca="1" si="178"/>
        <v>#N/A</v>
      </c>
      <c r="AY220" s="663" t="e">
        <f t="shared" ca="1" si="179"/>
        <v>#N/A</v>
      </c>
      <c r="AZ220" s="663" t="e">
        <f t="shared" ca="1" si="180"/>
        <v>#N/A</v>
      </c>
      <c r="BA220" s="663" t="e">
        <f t="shared" ca="1" si="181"/>
        <v>#N/A</v>
      </c>
      <c r="BB220" s="663" t="e">
        <f t="shared" ca="1" si="182"/>
        <v>#N/A</v>
      </c>
      <c r="BC220" s="663" t="e">
        <f t="shared" ca="1" si="183"/>
        <v>#N/A</v>
      </c>
      <c r="BD220" s="663" t="e">
        <f t="shared" ca="1" si="184"/>
        <v>#N/A</v>
      </c>
      <c r="BE220" s="663" t="e">
        <f t="shared" ca="1" si="185"/>
        <v>#N/A</v>
      </c>
      <c r="BF220" s="663" t="e">
        <f t="shared" ca="1" si="186"/>
        <v>#N/A</v>
      </c>
      <c r="BG220" s="663" t="e">
        <f t="shared" ca="1" si="187"/>
        <v>#N/A</v>
      </c>
      <c r="BH220" s="663" t="e">
        <f t="shared" ca="1" si="188"/>
        <v>#N/A</v>
      </c>
      <c r="BI220" s="663" t="e">
        <f t="shared" ca="1" si="189"/>
        <v>#N/A</v>
      </c>
      <c r="BJ220" s="663" t="e">
        <f t="shared" ca="1" si="190"/>
        <v>#N/A</v>
      </c>
      <c r="BK220" s="663" t="e">
        <f t="shared" ca="1" si="191"/>
        <v>#N/A</v>
      </c>
      <c r="BL220" s="1918"/>
      <c r="BM220" s="1532"/>
      <c r="BN220" s="1919"/>
      <c r="BO220" s="603"/>
      <c r="BP220" s="602"/>
      <c r="BQ220" s="602"/>
      <c r="BR220" s="602"/>
      <c r="BS220" s="604"/>
      <c r="BT220" s="605"/>
      <c r="BU220" s="602"/>
      <c r="BV220" s="602"/>
      <c r="BW220" s="606"/>
      <c r="BX220" s="607"/>
      <c r="BY220" s="608"/>
      <c r="BZ220" s="608"/>
      <c r="CA220" s="608"/>
      <c r="CB220" s="600"/>
    </row>
    <row r="221" spans="2:80" ht="12" customHeight="1" x14ac:dyDescent="0.35">
      <c r="B221" s="590" t="e">
        <f>MATCH(C221,'360SpcLdsCSV'!$C$6:$C$500,0)</f>
        <v>#N/A</v>
      </c>
      <c r="C221" s="590">
        <f>'360SpcLdsCSV'!C170</f>
        <v>0</v>
      </c>
      <c r="D221" s="590" t="str">
        <f t="shared" si="197"/>
        <v>0</v>
      </c>
      <c r="E221" s="590" t="e">
        <f t="shared" si="193"/>
        <v>#VALUE!</v>
      </c>
      <c r="F221" s="590" t="e">
        <f t="shared" si="194"/>
        <v>#VALUE!</v>
      </c>
      <c r="G221" s="590" t="str">
        <f t="shared" si="198"/>
        <v>0</v>
      </c>
      <c r="H221" s="590" t="e">
        <f ca="1">OFFSET('360SpcLdsCSV'!$B$5,$B221,H$51)</f>
        <v>#N/A</v>
      </c>
      <c r="I221" s="590" t="e">
        <f ca="1">OFFSET('360SpcLdsCSV'!$B$5,$B221,I$51)</f>
        <v>#N/A</v>
      </c>
      <c r="J221" s="590" t="e">
        <f ca="1">OFFSET('360SpcLdsCSV'!$B$5,$B221,J$51)</f>
        <v>#N/A</v>
      </c>
      <c r="K221" s="590" t="e">
        <f ca="1">OFFSET('360SpcLdsCSV'!$B$5,$B221,K$51)</f>
        <v>#N/A</v>
      </c>
      <c r="L221" s="590" t="e">
        <f ca="1">OFFSET('360SpcLdsCSV'!$B$5,$B221,L$51)</f>
        <v>#N/A</v>
      </c>
      <c r="M221" s="592" t="e">
        <f ca="1">OFFSET('360SpcLdsCSV'!$B$5,$B221,M$51)</f>
        <v>#N/A</v>
      </c>
      <c r="N221" s="592" t="e">
        <f ca="1">OFFSET('360SpcLdsCSV'!$B$5,$B221,N$51)</f>
        <v>#N/A</v>
      </c>
      <c r="O221" s="592" t="e">
        <f ca="1">OFFSET('360SpcLdsCSV'!$B$5,$B221,O$51)</f>
        <v>#N/A</v>
      </c>
      <c r="P221" s="592" t="e">
        <f ca="1">OFFSET('360SpcLdsCSV'!$B$5,$B221,P$51)</f>
        <v>#N/A</v>
      </c>
      <c r="Q221" s="592" t="e">
        <f ca="1">OFFSET('360SpcLdsCSV'!$B$5,$B221,Q$51)</f>
        <v>#N/A</v>
      </c>
      <c r="R221" s="592" t="e">
        <f ca="1">OFFSET('360SpcLdsCSV'!$B$5,$B221,R$51)</f>
        <v>#N/A</v>
      </c>
      <c r="S221" s="592" t="e">
        <f ca="1">OFFSET('360SpcLdsCSV'!$B$5,$B221,S$51)</f>
        <v>#N/A</v>
      </c>
      <c r="T221" s="592" t="e">
        <f ca="1">OFFSET('360SpcLdsCSV'!$B$5,$B221,T$51)</f>
        <v>#N/A</v>
      </c>
      <c r="U221" s="592" t="e">
        <f ca="1">OFFSET('360SpcLdsCSV'!$B$5,$B221,U$51)</f>
        <v>#N/A</v>
      </c>
      <c r="V221" s="592" t="e">
        <f ca="1">OFFSET('360SpcLdsCSV'!$B$5,$B221,V$51)</f>
        <v>#N/A</v>
      </c>
      <c r="W221" s="592" t="e">
        <f ca="1">OFFSET('360SpcLdsCSV'!$B$5,$B221,W$51)</f>
        <v>#N/A</v>
      </c>
      <c r="X221" s="592" t="e">
        <f ca="1">OFFSET('360SpcLdsCSV'!$B$5,$B221,X$51)</f>
        <v>#N/A</v>
      </c>
      <c r="Y221" s="592" t="e">
        <f ca="1">OFFSET('360SpcLdsCSV'!$B$5,$B221,Y$51)</f>
        <v>#N/A</v>
      </c>
      <c r="Z221" s="592" t="e">
        <f ca="1">OFFSET('360SpcLdsCSV'!$B$5,$B221,Z$51)</f>
        <v>#N/A</v>
      </c>
      <c r="AA221" s="592" t="e">
        <f ca="1">OFFSET('360SpcLdsCSV'!$B$5,$B221,AA$51)</f>
        <v>#N/A</v>
      </c>
      <c r="AB221" s="592" t="e">
        <f ca="1">OFFSET('360SpcLdsCSV'!$B$5,$B221,AB$51)</f>
        <v>#N/A</v>
      </c>
      <c r="AC221" s="592" t="e">
        <f ca="1">OFFSET('360SpcLdsCSV'!$B$5,$B221,AC$51)</f>
        <v>#N/A</v>
      </c>
      <c r="AD221" s="592" t="e">
        <f ca="1">OFFSET('360SpcLdsCSV'!$B$5,$B221,AD$51)</f>
        <v>#N/A</v>
      </c>
      <c r="AE221" s="592" t="e">
        <f ca="1">OFFSET('360SpcLdsCSV'!$B$5,$B221,AE$51)</f>
        <v>#N/A</v>
      </c>
      <c r="AF221" s="592" t="e">
        <f ca="1">OFFSET('360SpcLdsCSV'!$B$5,$B221,AF$51)</f>
        <v>#N/A</v>
      </c>
      <c r="AG221" s="592" t="e">
        <f ca="1">OFFSET('360SpcLdsCSV'!$B$5,$B221,AG$51)</f>
        <v>#N/A</v>
      </c>
      <c r="AH221" s="592" t="e">
        <f ca="1">OFFSET('360SpcLdsCSV'!$B$5,$B221,AH$51)</f>
        <v>#N/A</v>
      </c>
      <c r="AI221" s="592" t="e">
        <f ca="1">OFFSET('360SpcLdsCSV'!$B$5,$B221,AI$51)</f>
        <v>#N/A</v>
      </c>
      <c r="AJ221" s="592" t="e" cm="1">
        <f t="array" ref="AJ221">_xlfn.IFS($F221="Resi",1,$F221="Racc",0,$F221="Coml",0,$F221="Prkg",0)</f>
        <v>#VALUE!</v>
      </c>
      <c r="AK221" s="596"/>
      <c r="AL221" s="590" t="e">
        <f ca="1">OFFSET('360SpcLdsCSV'!$B$5,$B221,AL$51)</f>
        <v>#N/A</v>
      </c>
      <c r="AM221" s="663" t="e">
        <f t="shared" ca="1" si="168"/>
        <v>#N/A</v>
      </c>
      <c r="AN221" s="663" t="e">
        <f t="shared" ca="1" si="169"/>
        <v>#N/A</v>
      </c>
      <c r="AO221" s="663" t="e">
        <f t="shared" ca="1" si="196"/>
        <v>#N/A</v>
      </c>
      <c r="AP221" s="663" t="e">
        <f t="shared" ca="1" si="170"/>
        <v>#N/A</v>
      </c>
      <c r="AQ221" s="663" t="e">
        <f t="shared" ca="1" si="171"/>
        <v>#N/A</v>
      </c>
      <c r="AR221" s="663" t="e">
        <f t="shared" ca="1" si="172"/>
        <v>#N/A</v>
      </c>
      <c r="AS221" s="663" t="e">
        <f t="shared" ca="1" si="173"/>
        <v>#N/A</v>
      </c>
      <c r="AT221" s="663" t="e">
        <f t="shared" ca="1" si="174"/>
        <v>#N/A</v>
      </c>
      <c r="AU221" s="663" t="e">
        <f t="shared" ca="1" si="175"/>
        <v>#N/A</v>
      </c>
      <c r="AV221" s="663" t="e">
        <f t="shared" ca="1" si="176"/>
        <v>#N/A</v>
      </c>
      <c r="AW221" s="663" t="e">
        <f t="shared" ca="1" si="177"/>
        <v>#N/A</v>
      </c>
      <c r="AX221" s="663" t="e">
        <f t="shared" ca="1" si="178"/>
        <v>#N/A</v>
      </c>
      <c r="AY221" s="663" t="e">
        <f t="shared" ca="1" si="179"/>
        <v>#N/A</v>
      </c>
      <c r="AZ221" s="663" t="e">
        <f t="shared" ca="1" si="180"/>
        <v>#N/A</v>
      </c>
      <c r="BA221" s="663" t="e">
        <f t="shared" ca="1" si="181"/>
        <v>#N/A</v>
      </c>
      <c r="BB221" s="663" t="e">
        <f t="shared" ca="1" si="182"/>
        <v>#N/A</v>
      </c>
      <c r="BC221" s="663" t="e">
        <f t="shared" ca="1" si="183"/>
        <v>#N/A</v>
      </c>
      <c r="BD221" s="663" t="e">
        <f t="shared" ca="1" si="184"/>
        <v>#N/A</v>
      </c>
      <c r="BE221" s="663" t="e">
        <f t="shared" ca="1" si="185"/>
        <v>#N/A</v>
      </c>
      <c r="BF221" s="663" t="e">
        <f t="shared" ca="1" si="186"/>
        <v>#N/A</v>
      </c>
      <c r="BG221" s="663" t="e">
        <f t="shared" ca="1" si="187"/>
        <v>#N/A</v>
      </c>
      <c r="BH221" s="663" t="e">
        <f t="shared" ca="1" si="188"/>
        <v>#N/A</v>
      </c>
      <c r="BI221" s="663" t="e">
        <f t="shared" ca="1" si="189"/>
        <v>#N/A</v>
      </c>
      <c r="BJ221" s="663" t="e">
        <f t="shared" ca="1" si="190"/>
        <v>#N/A</v>
      </c>
      <c r="BK221" s="663" t="e">
        <f t="shared" ca="1" si="191"/>
        <v>#N/A</v>
      </c>
      <c r="BL221" s="1918"/>
      <c r="BM221" s="1532"/>
      <c r="BN221" s="1919"/>
      <c r="BO221" s="603"/>
      <c r="BP221" s="602"/>
      <c r="BQ221" s="602"/>
      <c r="BR221" s="602"/>
      <c r="BS221" s="604"/>
      <c r="BT221" s="605"/>
      <c r="BU221" s="602"/>
      <c r="BV221" s="602"/>
      <c r="BW221" s="606"/>
      <c r="BX221" s="607"/>
      <c r="BY221" s="608"/>
      <c r="BZ221" s="608"/>
      <c r="CA221" s="608"/>
      <c r="CB221" s="600"/>
    </row>
    <row r="222" spans="2:80" ht="12" customHeight="1" x14ac:dyDescent="0.35">
      <c r="B222" s="590" t="e">
        <f>MATCH(C222,'360SpcLdsCSV'!$C$6:$C$500,0)</f>
        <v>#N/A</v>
      </c>
      <c r="C222" s="590">
        <f>'360SpcLdsCSV'!C171</f>
        <v>0</v>
      </c>
      <c r="D222" s="590" t="str">
        <f t="shared" si="197"/>
        <v>0</v>
      </c>
      <c r="E222" s="590" t="e">
        <f t="shared" si="193"/>
        <v>#VALUE!</v>
      </c>
      <c r="F222" s="590" t="e">
        <f t="shared" si="194"/>
        <v>#VALUE!</v>
      </c>
      <c r="G222" s="590" t="str">
        <f t="shared" si="198"/>
        <v>0</v>
      </c>
      <c r="H222" s="590" t="e">
        <f ca="1">OFFSET('360SpcLdsCSV'!$B$5,$B222,H$51)</f>
        <v>#N/A</v>
      </c>
      <c r="I222" s="590" t="e">
        <f ca="1">OFFSET('360SpcLdsCSV'!$B$5,$B222,I$51)</f>
        <v>#N/A</v>
      </c>
      <c r="J222" s="590" t="e">
        <f ca="1">OFFSET('360SpcLdsCSV'!$B$5,$B222,J$51)</f>
        <v>#N/A</v>
      </c>
      <c r="K222" s="590" t="e">
        <f ca="1">OFFSET('360SpcLdsCSV'!$B$5,$B222,K$51)</f>
        <v>#N/A</v>
      </c>
      <c r="L222" s="590" t="e">
        <f ca="1">OFFSET('360SpcLdsCSV'!$B$5,$B222,L$51)</f>
        <v>#N/A</v>
      </c>
      <c r="M222" s="592" t="e">
        <f ca="1">OFFSET('360SpcLdsCSV'!$B$5,$B222,M$51)</f>
        <v>#N/A</v>
      </c>
      <c r="N222" s="592" t="e">
        <f ca="1">OFFSET('360SpcLdsCSV'!$B$5,$B222,N$51)</f>
        <v>#N/A</v>
      </c>
      <c r="O222" s="592" t="e">
        <f ca="1">OFFSET('360SpcLdsCSV'!$B$5,$B222,O$51)</f>
        <v>#N/A</v>
      </c>
      <c r="P222" s="592" t="e">
        <f ca="1">OFFSET('360SpcLdsCSV'!$B$5,$B222,P$51)</f>
        <v>#N/A</v>
      </c>
      <c r="Q222" s="592" t="e">
        <f ca="1">OFFSET('360SpcLdsCSV'!$B$5,$B222,Q$51)</f>
        <v>#N/A</v>
      </c>
      <c r="R222" s="592" t="e">
        <f ca="1">OFFSET('360SpcLdsCSV'!$B$5,$B222,R$51)</f>
        <v>#N/A</v>
      </c>
      <c r="S222" s="592" t="e">
        <f ca="1">OFFSET('360SpcLdsCSV'!$B$5,$B222,S$51)</f>
        <v>#N/A</v>
      </c>
      <c r="T222" s="592" t="e">
        <f ca="1">OFFSET('360SpcLdsCSV'!$B$5,$B222,T$51)</f>
        <v>#N/A</v>
      </c>
      <c r="U222" s="592" t="e">
        <f ca="1">OFFSET('360SpcLdsCSV'!$B$5,$B222,U$51)</f>
        <v>#N/A</v>
      </c>
      <c r="V222" s="592" t="e">
        <f ca="1">OFFSET('360SpcLdsCSV'!$B$5,$B222,V$51)</f>
        <v>#N/A</v>
      </c>
      <c r="W222" s="592" t="e">
        <f ca="1">OFFSET('360SpcLdsCSV'!$B$5,$B222,W$51)</f>
        <v>#N/A</v>
      </c>
      <c r="X222" s="592" t="e">
        <f ca="1">OFFSET('360SpcLdsCSV'!$B$5,$B222,X$51)</f>
        <v>#N/A</v>
      </c>
      <c r="Y222" s="592" t="e">
        <f ca="1">OFFSET('360SpcLdsCSV'!$B$5,$B222,Y$51)</f>
        <v>#N/A</v>
      </c>
      <c r="Z222" s="592" t="e">
        <f ca="1">OFFSET('360SpcLdsCSV'!$B$5,$B222,Z$51)</f>
        <v>#N/A</v>
      </c>
      <c r="AA222" s="592" t="e">
        <f ca="1">OFFSET('360SpcLdsCSV'!$B$5,$B222,AA$51)</f>
        <v>#N/A</v>
      </c>
      <c r="AB222" s="592" t="e">
        <f ca="1">OFFSET('360SpcLdsCSV'!$B$5,$B222,AB$51)</f>
        <v>#N/A</v>
      </c>
      <c r="AC222" s="592" t="e">
        <f ca="1">OFFSET('360SpcLdsCSV'!$B$5,$B222,AC$51)</f>
        <v>#N/A</v>
      </c>
      <c r="AD222" s="592" t="e">
        <f ca="1">OFFSET('360SpcLdsCSV'!$B$5,$B222,AD$51)</f>
        <v>#N/A</v>
      </c>
      <c r="AE222" s="592" t="e">
        <f ca="1">OFFSET('360SpcLdsCSV'!$B$5,$B222,AE$51)</f>
        <v>#N/A</v>
      </c>
      <c r="AF222" s="592" t="e">
        <f ca="1">OFFSET('360SpcLdsCSV'!$B$5,$B222,AF$51)</f>
        <v>#N/A</v>
      </c>
      <c r="AG222" s="592" t="e">
        <f ca="1">OFFSET('360SpcLdsCSV'!$B$5,$B222,AG$51)</f>
        <v>#N/A</v>
      </c>
      <c r="AH222" s="592" t="e">
        <f ca="1">OFFSET('360SpcLdsCSV'!$B$5,$B222,AH$51)</f>
        <v>#N/A</v>
      </c>
      <c r="AI222" s="592" t="e">
        <f ca="1">OFFSET('360SpcLdsCSV'!$B$5,$B222,AI$51)</f>
        <v>#N/A</v>
      </c>
      <c r="AJ222" s="592" t="e" cm="1">
        <f t="array" ref="AJ222">_xlfn.IFS($F222="Resi",1,$F222="Racc",0,$F222="Coml",0,$F222="Prkg",0)</f>
        <v>#VALUE!</v>
      </c>
      <c r="AK222" s="596"/>
      <c r="AL222" s="590" t="e">
        <f ca="1">OFFSET('360SpcLdsCSV'!$B$5,$B222,AL$51)</f>
        <v>#N/A</v>
      </c>
      <c r="AM222" s="663" t="e">
        <f t="shared" ca="1" si="168"/>
        <v>#N/A</v>
      </c>
      <c r="AN222" s="663" t="e">
        <f t="shared" ca="1" si="169"/>
        <v>#N/A</v>
      </c>
      <c r="AO222" s="663" t="e">
        <f t="shared" ca="1" si="196"/>
        <v>#N/A</v>
      </c>
      <c r="AP222" s="663" t="e">
        <f t="shared" ca="1" si="170"/>
        <v>#N/A</v>
      </c>
      <c r="AQ222" s="663" t="e">
        <f t="shared" ca="1" si="171"/>
        <v>#N/A</v>
      </c>
      <c r="AR222" s="663" t="e">
        <f t="shared" ca="1" si="172"/>
        <v>#N/A</v>
      </c>
      <c r="AS222" s="663" t="e">
        <f t="shared" ca="1" si="173"/>
        <v>#N/A</v>
      </c>
      <c r="AT222" s="663" t="e">
        <f t="shared" ca="1" si="174"/>
        <v>#N/A</v>
      </c>
      <c r="AU222" s="663" t="e">
        <f t="shared" ca="1" si="175"/>
        <v>#N/A</v>
      </c>
      <c r="AV222" s="663" t="e">
        <f t="shared" ca="1" si="176"/>
        <v>#N/A</v>
      </c>
      <c r="AW222" s="663" t="e">
        <f t="shared" ca="1" si="177"/>
        <v>#N/A</v>
      </c>
      <c r="AX222" s="663" t="e">
        <f t="shared" ca="1" si="178"/>
        <v>#N/A</v>
      </c>
      <c r="AY222" s="663" t="e">
        <f t="shared" ca="1" si="179"/>
        <v>#N/A</v>
      </c>
      <c r="AZ222" s="663" t="e">
        <f t="shared" ca="1" si="180"/>
        <v>#N/A</v>
      </c>
      <c r="BA222" s="663" t="e">
        <f t="shared" ca="1" si="181"/>
        <v>#N/A</v>
      </c>
      <c r="BB222" s="663" t="e">
        <f t="shared" ca="1" si="182"/>
        <v>#N/A</v>
      </c>
      <c r="BC222" s="663" t="e">
        <f t="shared" ca="1" si="183"/>
        <v>#N/A</v>
      </c>
      <c r="BD222" s="663" t="e">
        <f t="shared" ca="1" si="184"/>
        <v>#N/A</v>
      </c>
      <c r="BE222" s="663" t="e">
        <f t="shared" ca="1" si="185"/>
        <v>#N/A</v>
      </c>
      <c r="BF222" s="663" t="e">
        <f t="shared" ca="1" si="186"/>
        <v>#N/A</v>
      </c>
      <c r="BG222" s="663" t="e">
        <f t="shared" ca="1" si="187"/>
        <v>#N/A</v>
      </c>
      <c r="BH222" s="663" t="e">
        <f t="shared" ca="1" si="188"/>
        <v>#N/A</v>
      </c>
      <c r="BI222" s="663" t="e">
        <f t="shared" ca="1" si="189"/>
        <v>#N/A</v>
      </c>
      <c r="BJ222" s="663" t="e">
        <f t="shared" ca="1" si="190"/>
        <v>#N/A</v>
      </c>
      <c r="BK222" s="663" t="e">
        <f t="shared" ca="1" si="191"/>
        <v>#N/A</v>
      </c>
      <c r="BL222" s="1918"/>
      <c r="BM222" s="1532"/>
      <c r="BN222" s="1919"/>
      <c r="BO222" s="603"/>
      <c r="BP222" s="602"/>
      <c r="BQ222" s="602"/>
      <c r="BR222" s="602"/>
      <c r="BS222" s="604"/>
      <c r="BT222" s="605"/>
      <c r="BU222" s="602"/>
      <c r="BV222" s="602"/>
      <c r="BW222" s="606"/>
      <c r="BX222" s="607"/>
      <c r="BY222" s="608"/>
      <c r="BZ222" s="608"/>
      <c r="CA222" s="608"/>
      <c r="CB222" s="600"/>
    </row>
    <row r="223" spans="2:80" ht="12" customHeight="1" x14ac:dyDescent="0.35">
      <c r="B223" s="590" t="e">
        <f>MATCH(C223,'360SpcLdsCSV'!$C$6:$C$500,0)</f>
        <v>#N/A</v>
      </c>
      <c r="C223" s="590">
        <f>'360SpcLdsCSV'!C172</f>
        <v>0</v>
      </c>
      <c r="D223" s="590" t="str">
        <f t="shared" si="197"/>
        <v>0</v>
      </c>
      <c r="E223" s="590" t="e">
        <f t="shared" si="193"/>
        <v>#VALUE!</v>
      </c>
      <c r="F223" s="590" t="e">
        <f t="shared" si="194"/>
        <v>#VALUE!</v>
      </c>
      <c r="G223" s="590" t="str">
        <f t="shared" si="198"/>
        <v>0</v>
      </c>
      <c r="H223" s="590" t="e">
        <f ca="1">OFFSET('360SpcLdsCSV'!$B$5,$B223,H$51)</f>
        <v>#N/A</v>
      </c>
      <c r="I223" s="590" t="e">
        <f ca="1">OFFSET('360SpcLdsCSV'!$B$5,$B223,I$51)</f>
        <v>#N/A</v>
      </c>
      <c r="J223" s="590" t="e">
        <f ca="1">OFFSET('360SpcLdsCSV'!$B$5,$B223,J$51)</f>
        <v>#N/A</v>
      </c>
      <c r="K223" s="590" t="e">
        <f ca="1">OFFSET('360SpcLdsCSV'!$B$5,$B223,K$51)</f>
        <v>#N/A</v>
      </c>
      <c r="L223" s="590" t="e">
        <f ca="1">OFFSET('360SpcLdsCSV'!$B$5,$B223,L$51)</f>
        <v>#N/A</v>
      </c>
      <c r="M223" s="592" t="e">
        <f ca="1">OFFSET('360SpcLdsCSV'!$B$5,$B223,M$51)</f>
        <v>#N/A</v>
      </c>
      <c r="N223" s="592" t="e">
        <f ca="1">OFFSET('360SpcLdsCSV'!$B$5,$B223,N$51)</f>
        <v>#N/A</v>
      </c>
      <c r="O223" s="592" t="e">
        <f ca="1">OFFSET('360SpcLdsCSV'!$B$5,$B223,O$51)</f>
        <v>#N/A</v>
      </c>
      <c r="P223" s="592" t="e">
        <f ca="1">OFFSET('360SpcLdsCSV'!$B$5,$B223,P$51)</f>
        <v>#N/A</v>
      </c>
      <c r="Q223" s="592" t="e">
        <f ca="1">OFFSET('360SpcLdsCSV'!$B$5,$B223,Q$51)</f>
        <v>#N/A</v>
      </c>
      <c r="R223" s="592" t="e">
        <f ca="1">OFFSET('360SpcLdsCSV'!$B$5,$B223,R$51)</f>
        <v>#N/A</v>
      </c>
      <c r="S223" s="592" t="e">
        <f ca="1">OFFSET('360SpcLdsCSV'!$B$5,$B223,S$51)</f>
        <v>#N/A</v>
      </c>
      <c r="T223" s="592" t="e">
        <f ca="1">OFFSET('360SpcLdsCSV'!$B$5,$B223,T$51)</f>
        <v>#N/A</v>
      </c>
      <c r="U223" s="592" t="e">
        <f ca="1">OFFSET('360SpcLdsCSV'!$B$5,$B223,U$51)</f>
        <v>#N/A</v>
      </c>
      <c r="V223" s="592" t="e">
        <f ca="1">OFFSET('360SpcLdsCSV'!$B$5,$B223,V$51)</f>
        <v>#N/A</v>
      </c>
      <c r="W223" s="592" t="e">
        <f ca="1">OFFSET('360SpcLdsCSV'!$B$5,$B223,W$51)</f>
        <v>#N/A</v>
      </c>
      <c r="X223" s="592" t="e">
        <f ca="1">OFFSET('360SpcLdsCSV'!$B$5,$B223,X$51)</f>
        <v>#N/A</v>
      </c>
      <c r="Y223" s="592" t="e">
        <f ca="1">OFFSET('360SpcLdsCSV'!$B$5,$B223,Y$51)</f>
        <v>#N/A</v>
      </c>
      <c r="Z223" s="592" t="e">
        <f ca="1">OFFSET('360SpcLdsCSV'!$B$5,$B223,Z$51)</f>
        <v>#N/A</v>
      </c>
      <c r="AA223" s="592" t="e">
        <f ca="1">OFFSET('360SpcLdsCSV'!$B$5,$B223,AA$51)</f>
        <v>#N/A</v>
      </c>
      <c r="AB223" s="592" t="e">
        <f ca="1">OFFSET('360SpcLdsCSV'!$B$5,$B223,AB$51)</f>
        <v>#N/A</v>
      </c>
      <c r="AC223" s="592" t="e">
        <f ca="1">OFFSET('360SpcLdsCSV'!$B$5,$B223,AC$51)</f>
        <v>#N/A</v>
      </c>
      <c r="AD223" s="592" t="e">
        <f ca="1">OFFSET('360SpcLdsCSV'!$B$5,$B223,AD$51)</f>
        <v>#N/A</v>
      </c>
      <c r="AE223" s="592" t="e">
        <f ca="1">OFFSET('360SpcLdsCSV'!$B$5,$B223,AE$51)</f>
        <v>#N/A</v>
      </c>
      <c r="AF223" s="592" t="e">
        <f ca="1">OFFSET('360SpcLdsCSV'!$B$5,$B223,AF$51)</f>
        <v>#N/A</v>
      </c>
      <c r="AG223" s="592" t="e">
        <f ca="1">OFFSET('360SpcLdsCSV'!$B$5,$B223,AG$51)</f>
        <v>#N/A</v>
      </c>
      <c r="AH223" s="592" t="e">
        <f ca="1">OFFSET('360SpcLdsCSV'!$B$5,$B223,AH$51)</f>
        <v>#N/A</v>
      </c>
      <c r="AI223" s="592" t="e">
        <f ca="1">OFFSET('360SpcLdsCSV'!$B$5,$B223,AI$51)</f>
        <v>#N/A</v>
      </c>
      <c r="AJ223" s="592" t="e" cm="1">
        <f t="array" ref="AJ223">_xlfn.IFS($F223="Resi",1,$F223="Racc",0,$F223="Coml",0,$F223="Prkg",0)</f>
        <v>#VALUE!</v>
      </c>
      <c r="AK223" s="596"/>
      <c r="AL223" s="590" t="e">
        <f ca="1">OFFSET('360SpcLdsCSV'!$B$5,$B223,AL$51)</f>
        <v>#N/A</v>
      </c>
      <c r="AM223" s="663" t="e">
        <f t="shared" ca="1" si="168"/>
        <v>#N/A</v>
      </c>
      <c r="AN223" s="663" t="e">
        <f t="shared" ca="1" si="169"/>
        <v>#N/A</v>
      </c>
      <c r="AO223" s="663" t="e">
        <f t="shared" ca="1" si="196"/>
        <v>#N/A</v>
      </c>
      <c r="AP223" s="663" t="e">
        <f t="shared" ca="1" si="170"/>
        <v>#N/A</v>
      </c>
      <c r="AQ223" s="663" t="e">
        <f t="shared" ca="1" si="171"/>
        <v>#N/A</v>
      </c>
      <c r="AR223" s="663" t="e">
        <f t="shared" ca="1" si="172"/>
        <v>#N/A</v>
      </c>
      <c r="AS223" s="663" t="e">
        <f t="shared" ca="1" si="173"/>
        <v>#N/A</v>
      </c>
      <c r="AT223" s="663" t="e">
        <f t="shared" ca="1" si="174"/>
        <v>#N/A</v>
      </c>
      <c r="AU223" s="663" t="e">
        <f t="shared" ca="1" si="175"/>
        <v>#N/A</v>
      </c>
      <c r="AV223" s="663" t="e">
        <f t="shared" ca="1" si="176"/>
        <v>#N/A</v>
      </c>
      <c r="AW223" s="663" t="e">
        <f t="shared" ca="1" si="177"/>
        <v>#N/A</v>
      </c>
      <c r="AX223" s="663" t="e">
        <f t="shared" ca="1" si="178"/>
        <v>#N/A</v>
      </c>
      <c r="AY223" s="663" t="e">
        <f t="shared" ca="1" si="179"/>
        <v>#N/A</v>
      </c>
      <c r="AZ223" s="663" t="e">
        <f t="shared" ca="1" si="180"/>
        <v>#N/A</v>
      </c>
      <c r="BA223" s="663" t="e">
        <f t="shared" ca="1" si="181"/>
        <v>#N/A</v>
      </c>
      <c r="BB223" s="663" t="e">
        <f t="shared" ca="1" si="182"/>
        <v>#N/A</v>
      </c>
      <c r="BC223" s="663" t="e">
        <f t="shared" ca="1" si="183"/>
        <v>#N/A</v>
      </c>
      <c r="BD223" s="663" t="e">
        <f t="shared" ca="1" si="184"/>
        <v>#N/A</v>
      </c>
      <c r="BE223" s="663" t="e">
        <f t="shared" ca="1" si="185"/>
        <v>#N/A</v>
      </c>
      <c r="BF223" s="663" t="e">
        <f t="shared" ca="1" si="186"/>
        <v>#N/A</v>
      </c>
      <c r="BG223" s="663" t="e">
        <f t="shared" ca="1" si="187"/>
        <v>#N/A</v>
      </c>
      <c r="BH223" s="663" t="e">
        <f t="shared" ca="1" si="188"/>
        <v>#N/A</v>
      </c>
      <c r="BI223" s="663" t="e">
        <f t="shared" ca="1" si="189"/>
        <v>#N/A</v>
      </c>
      <c r="BJ223" s="663" t="e">
        <f t="shared" ca="1" si="190"/>
        <v>#N/A</v>
      </c>
      <c r="BK223" s="663" t="e">
        <f t="shared" ca="1" si="191"/>
        <v>#N/A</v>
      </c>
      <c r="BL223" s="1918"/>
      <c r="BM223" s="1532"/>
      <c r="BN223" s="1919"/>
      <c r="BO223" s="603"/>
      <c r="BP223" s="602"/>
      <c r="BQ223" s="602"/>
      <c r="BR223" s="602"/>
      <c r="BS223" s="604"/>
      <c r="BT223" s="605"/>
      <c r="BU223" s="602"/>
      <c r="BV223" s="602"/>
      <c r="BW223" s="606"/>
      <c r="BX223" s="607"/>
      <c r="BY223" s="608"/>
      <c r="BZ223" s="608"/>
      <c r="CA223" s="608"/>
      <c r="CB223" s="600"/>
    </row>
    <row r="224" spans="2:80" ht="12" customHeight="1" x14ac:dyDescent="0.35">
      <c r="B224" s="590" t="e">
        <f>MATCH(C224,'360SpcLdsCSV'!$C$6:$C$500,0)</f>
        <v>#N/A</v>
      </c>
      <c r="C224" s="590">
        <f>'360SpcLdsCSV'!C173</f>
        <v>0</v>
      </c>
      <c r="D224" s="590" t="str">
        <f t="shared" si="197"/>
        <v>0</v>
      </c>
      <c r="E224" s="590" t="e">
        <f t="shared" si="193"/>
        <v>#VALUE!</v>
      </c>
      <c r="F224" s="590" t="e">
        <f t="shared" si="194"/>
        <v>#VALUE!</v>
      </c>
      <c r="G224" s="590" t="str">
        <f t="shared" si="198"/>
        <v>0</v>
      </c>
      <c r="H224" s="590" t="e">
        <f ca="1">OFFSET('360SpcLdsCSV'!$B$5,$B224,H$51)</f>
        <v>#N/A</v>
      </c>
      <c r="I224" s="590" t="e">
        <f ca="1">OFFSET('360SpcLdsCSV'!$B$5,$B224,I$51)</f>
        <v>#N/A</v>
      </c>
      <c r="J224" s="590" t="e">
        <f ca="1">OFFSET('360SpcLdsCSV'!$B$5,$B224,J$51)</f>
        <v>#N/A</v>
      </c>
      <c r="K224" s="590" t="e">
        <f ca="1">OFFSET('360SpcLdsCSV'!$B$5,$B224,K$51)</f>
        <v>#N/A</v>
      </c>
      <c r="L224" s="590" t="e">
        <f ca="1">OFFSET('360SpcLdsCSV'!$B$5,$B224,L$51)</f>
        <v>#N/A</v>
      </c>
      <c r="M224" s="592" t="e">
        <f ca="1">OFFSET('360SpcLdsCSV'!$B$5,$B224,M$51)</f>
        <v>#N/A</v>
      </c>
      <c r="N224" s="592" t="e">
        <f ca="1">OFFSET('360SpcLdsCSV'!$B$5,$B224,N$51)</f>
        <v>#N/A</v>
      </c>
      <c r="O224" s="592" t="e">
        <f ca="1">OFFSET('360SpcLdsCSV'!$B$5,$B224,O$51)</f>
        <v>#N/A</v>
      </c>
      <c r="P224" s="592" t="e">
        <f ca="1">OFFSET('360SpcLdsCSV'!$B$5,$B224,P$51)</f>
        <v>#N/A</v>
      </c>
      <c r="Q224" s="592" t="e">
        <f ca="1">OFFSET('360SpcLdsCSV'!$B$5,$B224,Q$51)</f>
        <v>#N/A</v>
      </c>
      <c r="R224" s="592" t="e">
        <f ca="1">OFFSET('360SpcLdsCSV'!$B$5,$B224,R$51)</f>
        <v>#N/A</v>
      </c>
      <c r="S224" s="592" t="e">
        <f ca="1">OFFSET('360SpcLdsCSV'!$B$5,$B224,S$51)</f>
        <v>#N/A</v>
      </c>
      <c r="T224" s="592" t="e">
        <f ca="1">OFFSET('360SpcLdsCSV'!$B$5,$B224,T$51)</f>
        <v>#N/A</v>
      </c>
      <c r="U224" s="592" t="e">
        <f ca="1">OFFSET('360SpcLdsCSV'!$B$5,$B224,U$51)</f>
        <v>#N/A</v>
      </c>
      <c r="V224" s="592" t="e">
        <f ca="1">OFFSET('360SpcLdsCSV'!$B$5,$B224,V$51)</f>
        <v>#N/A</v>
      </c>
      <c r="W224" s="592" t="e">
        <f ca="1">OFFSET('360SpcLdsCSV'!$B$5,$B224,W$51)</f>
        <v>#N/A</v>
      </c>
      <c r="X224" s="592" t="e">
        <f ca="1">OFFSET('360SpcLdsCSV'!$B$5,$B224,X$51)</f>
        <v>#N/A</v>
      </c>
      <c r="Y224" s="592" t="e">
        <f ca="1">OFFSET('360SpcLdsCSV'!$B$5,$B224,Y$51)</f>
        <v>#N/A</v>
      </c>
      <c r="Z224" s="592" t="e">
        <f ca="1">OFFSET('360SpcLdsCSV'!$B$5,$B224,Z$51)</f>
        <v>#N/A</v>
      </c>
      <c r="AA224" s="592" t="e">
        <f ca="1">OFFSET('360SpcLdsCSV'!$B$5,$B224,AA$51)</f>
        <v>#N/A</v>
      </c>
      <c r="AB224" s="592" t="e">
        <f ca="1">OFFSET('360SpcLdsCSV'!$B$5,$B224,AB$51)</f>
        <v>#N/A</v>
      </c>
      <c r="AC224" s="592" t="e">
        <f ca="1">OFFSET('360SpcLdsCSV'!$B$5,$B224,AC$51)</f>
        <v>#N/A</v>
      </c>
      <c r="AD224" s="592" t="e">
        <f ca="1">OFFSET('360SpcLdsCSV'!$B$5,$B224,AD$51)</f>
        <v>#N/A</v>
      </c>
      <c r="AE224" s="592" t="e">
        <f ca="1">OFFSET('360SpcLdsCSV'!$B$5,$B224,AE$51)</f>
        <v>#N/A</v>
      </c>
      <c r="AF224" s="592" t="e">
        <f ca="1">OFFSET('360SpcLdsCSV'!$B$5,$B224,AF$51)</f>
        <v>#N/A</v>
      </c>
      <c r="AG224" s="592" t="e">
        <f ca="1">OFFSET('360SpcLdsCSV'!$B$5,$B224,AG$51)</f>
        <v>#N/A</v>
      </c>
      <c r="AH224" s="592" t="e">
        <f ca="1">OFFSET('360SpcLdsCSV'!$B$5,$B224,AH$51)</f>
        <v>#N/A</v>
      </c>
      <c r="AI224" s="592" t="e">
        <f ca="1">OFFSET('360SpcLdsCSV'!$B$5,$B224,AI$51)</f>
        <v>#N/A</v>
      </c>
      <c r="AJ224" s="592" t="e" cm="1">
        <f t="array" ref="AJ224">_xlfn.IFS($F224="Resi",1,$F224="Racc",0,$F224="Coml",0,$F224="Prkg",0)</f>
        <v>#VALUE!</v>
      </c>
      <c r="AK224" s="596"/>
      <c r="AL224" s="590" t="e">
        <f ca="1">OFFSET('360SpcLdsCSV'!$B$5,$B224,AL$51)</f>
        <v>#N/A</v>
      </c>
      <c r="AM224" s="663" t="e">
        <f t="shared" ca="1" si="168"/>
        <v>#N/A</v>
      </c>
      <c r="AN224" s="663" t="e">
        <f t="shared" ca="1" si="169"/>
        <v>#N/A</v>
      </c>
      <c r="AO224" s="663" t="e">
        <f t="shared" ca="1" si="196"/>
        <v>#N/A</v>
      </c>
      <c r="AP224" s="663" t="e">
        <f t="shared" ca="1" si="170"/>
        <v>#N/A</v>
      </c>
      <c r="AQ224" s="663" t="e">
        <f t="shared" ca="1" si="171"/>
        <v>#N/A</v>
      </c>
      <c r="AR224" s="663" t="e">
        <f t="shared" ca="1" si="172"/>
        <v>#N/A</v>
      </c>
      <c r="AS224" s="663" t="e">
        <f t="shared" ca="1" si="173"/>
        <v>#N/A</v>
      </c>
      <c r="AT224" s="663" t="e">
        <f t="shared" ca="1" si="174"/>
        <v>#N/A</v>
      </c>
      <c r="AU224" s="663" t="e">
        <f t="shared" ca="1" si="175"/>
        <v>#N/A</v>
      </c>
      <c r="AV224" s="663" t="e">
        <f t="shared" ca="1" si="176"/>
        <v>#N/A</v>
      </c>
      <c r="AW224" s="663" t="e">
        <f t="shared" ca="1" si="177"/>
        <v>#N/A</v>
      </c>
      <c r="AX224" s="663" t="e">
        <f t="shared" ca="1" si="178"/>
        <v>#N/A</v>
      </c>
      <c r="AY224" s="663" t="e">
        <f t="shared" ca="1" si="179"/>
        <v>#N/A</v>
      </c>
      <c r="AZ224" s="663" t="e">
        <f t="shared" ca="1" si="180"/>
        <v>#N/A</v>
      </c>
      <c r="BA224" s="663" t="e">
        <f t="shared" ca="1" si="181"/>
        <v>#N/A</v>
      </c>
      <c r="BB224" s="663" t="e">
        <f t="shared" ca="1" si="182"/>
        <v>#N/A</v>
      </c>
      <c r="BC224" s="663" t="e">
        <f t="shared" ca="1" si="183"/>
        <v>#N/A</v>
      </c>
      <c r="BD224" s="663" t="e">
        <f t="shared" ca="1" si="184"/>
        <v>#N/A</v>
      </c>
      <c r="BE224" s="663" t="e">
        <f t="shared" ca="1" si="185"/>
        <v>#N/A</v>
      </c>
      <c r="BF224" s="663" t="e">
        <f t="shared" ca="1" si="186"/>
        <v>#N/A</v>
      </c>
      <c r="BG224" s="663" t="e">
        <f t="shared" ca="1" si="187"/>
        <v>#N/A</v>
      </c>
      <c r="BH224" s="663" t="e">
        <f t="shared" ca="1" si="188"/>
        <v>#N/A</v>
      </c>
      <c r="BI224" s="663" t="e">
        <f t="shared" ca="1" si="189"/>
        <v>#N/A</v>
      </c>
      <c r="BJ224" s="663" t="e">
        <f t="shared" ca="1" si="190"/>
        <v>#N/A</v>
      </c>
      <c r="BK224" s="663" t="e">
        <f t="shared" ca="1" si="191"/>
        <v>#N/A</v>
      </c>
      <c r="BL224" s="1918"/>
      <c r="BM224" s="1532"/>
      <c r="BN224" s="1919"/>
      <c r="BO224" s="603"/>
      <c r="BP224" s="602"/>
      <c r="BQ224" s="602"/>
      <c r="BR224" s="602"/>
      <c r="BS224" s="604"/>
      <c r="BT224" s="605"/>
      <c r="BU224" s="602"/>
      <c r="BV224" s="602"/>
      <c r="BW224" s="606"/>
      <c r="BX224" s="607"/>
      <c r="BY224" s="608"/>
      <c r="BZ224" s="608"/>
      <c r="CA224" s="608"/>
      <c r="CB224" s="600"/>
    </row>
    <row r="225" spans="2:80" ht="12" customHeight="1" x14ac:dyDescent="0.35">
      <c r="B225" s="590" t="e">
        <f>MATCH(C225,'360SpcLdsCSV'!$C$6:$C$500,0)</f>
        <v>#N/A</v>
      </c>
      <c r="C225" s="590">
        <f>'360SpcLdsCSV'!C174</f>
        <v>0</v>
      </c>
      <c r="D225" s="590" t="str">
        <f t="shared" si="197"/>
        <v>0</v>
      </c>
      <c r="E225" s="590" t="e">
        <f t="shared" si="193"/>
        <v>#VALUE!</v>
      </c>
      <c r="F225" s="590" t="e">
        <f t="shared" si="194"/>
        <v>#VALUE!</v>
      </c>
      <c r="G225" s="590" t="str">
        <f t="shared" si="198"/>
        <v>0</v>
      </c>
      <c r="H225" s="590" t="e">
        <f ca="1">OFFSET('360SpcLdsCSV'!$B$5,$B225,H$51)</f>
        <v>#N/A</v>
      </c>
      <c r="I225" s="590" t="e">
        <f ca="1">OFFSET('360SpcLdsCSV'!$B$5,$B225,I$51)</f>
        <v>#N/A</v>
      </c>
      <c r="J225" s="590" t="e">
        <f ca="1">OFFSET('360SpcLdsCSV'!$B$5,$B225,J$51)</f>
        <v>#N/A</v>
      </c>
      <c r="K225" s="590" t="e">
        <f ca="1">OFFSET('360SpcLdsCSV'!$B$5,$B225,K$51)</f>
        <v>#N/A</v>
      </c>
      <c r="L225" s="590" t="e">
        <f ca="1">OFFSET('360SpcLdsCSV'!$B$5,$B225,L$51)</f>
        <v>#N/A</v>
      </c>
      <c r="M225" s="592" t="e">
        <f ca="1">OFFSET('360SpcLdsCSV'!$B$5,$B225,M$51)</f>
        <v>#N/A</v>
      </c>
      <c r="N225" s="592" t="e">
        <f ca="1">OFFSET('360SpcLdsCSV'!$B$5,$B225,N$51)</f>
        <v>#N/A</v>
      </c>
      <c r="O225" s="592" t="e">
        <f ca="1">OFFSET('360SpcLdsCSV'!$B$5,$B225,O$51)</f>
        <v>#N/A</v>
      </c>
      <c r="P225" s="592" t="e">
        <f ca="1">OFFSET('360SpcLdsCSV'!$B$5,$B225,P$51)</f>
        <v>#N/A</v>
      </c>
      <c r="Q225" s="592" t="e">
        <f ca="1">OFFSET('360SpcLdsCSV'!$B$5,$B225,Q$51)</f>
        <v>#N/A</v>
      </c>
      <c r="R225" s="592" t="e">
        <f ca="1">OFFSET('360SpcLdsCSV'!$B$5,$B225,R$51)</f>
        <v>#N/A</v>
      </c>
      <c r="S225" s="592" t="e">
        <f ca="1">OFFSET('360SpcLdsCSV'!$B$5,$B225,S$51)</f>
        <v>#N/A</v>
      </c>
      <c r="T225" s="592" t="e">
        <f ca="1">OFFSET('360SpcLdsCSV'!$B$5,$B225,T$51)</f>
        <v>#N/A</v>
      </c>
      <c r="U225" s="592" t="e">
        <f ca="1">OFFSET('360SpcLdsCSV'!$B$5,$B225,U$51)</f>
        <v>#N/A</v>
      </c>
      <c r="V225" s="592" t="e">
        <f ca="1">OFFSET('360SpcLdsCSV'!$B$5,$B225,V$51)</f>
        <v>#N/A</v>
      </c>
      <c r="W225" s="592" t="e">
        <f ca="1">OFFSET('360SpcLdsCSV'!$B$5,$B225,W$51)</f>
        <v>#N/A</v>
      </c>
      <c r="X225" s="592" t="e">
        <f ca="1">OFFSET('360SpcLdsCSV'!$B$5,$B225,X$51)</f>
        <v>#N/A</v>
      </c>
      <c r="Y225" s="592" t="e">
        <f ca="1">OFFSET('360SpcLdsCSV'!$B$5,$B225,Y$51)</f>
        <v>#N/A</v>
      </c>
      <c r="Z225" s="592" t="e">
        <f ca="1">OFFSET('360SpcLdsCSV'!$B$5,$B225,Z$51)</f>
        <v>#N/A</v>
      </c>
      <c r="AA225" s="592" t="e">
        <f ca="1">OFFSET('360SpcLdsCSV'!$B$5,$B225,AA$51)</f>
        <v>#N/A</v>
      </c>
      <c r="AB225" s="592" t="e">
        <f ca="1">OFFSET('360SpcLdsCSV'!$B$5,$B225,AB$51)</f>
        <v>#N/A</v>
      </c>
      <c r="AC225" s="592" t="e">
        <f ca="1">OFFSET('360SpcLdsCSV'!$B$5,$B225,AC$51)</f>
        <v>#N/A</v>
      </c>
      <c r="AD225" s="592" t="e">
        <f ca="1">OFFSET('360SpcLdsCSV'!$B$5,$B225,AD$51)</f>
        <v>#N/A</v>
      </c>
      <c r="AE225" s="592" t="e">
        <f ca="1">OFFSET('360SpcLdsCSV'!$B$5,$B225,AE$51)</f>
        <v>#N/A</v>
      </c>
      <c r="AF225" s="592" t="e">
        <f ca="1">OFFSET('360SpcLdsCSV'!$B$5,$B225,AF$51)</f>
        <v>#N/A</v>
      </c>
      <c r="AG225" s="592" t="e">
        <f ca="1">OFFSET('360SpcLdsCSV'!$B$5,$B225,AG$51)</f>
        <v>#N/A</v>
      </c>
      <c r="AH225" s="592" t="e">
        <f ca="1">OFFSET('360SpcLdsCSV'!$B$5,$B225,AH$51)</f>
        <v>#N/A</v>
      </c>
      <c r="AI225" s="592" t="e">
        <f ca="1">OFFSET('360SpcLdsCSV'!$B$5,$B225,AI$51)</f>
        <v>#N/A</v>
      </c>
      <c r="AJ225" s="592" t="e" cm="1">
        <f t="array" ref="AJ225">_xlfn.IFS($F225="Resi",1,$F225="Racc",0,$F225="Coml",0,$F225="Prkg",0)</f>
        <v>#VALUE!</v>
      </c>
      <c r="AK225" s="596"/>
      <c r="AL225" s="590" t="e">
        <f ca="1">OFFSET('360SpcLdsCSV'!$B$5,$B225,AL$51)</f>
        <v>#N/A</v>
      </c>
      <c r="AM225" s="663" t="e">
        <f t="shared" ca="1" si="168"/>
        <v>#N/A</v>
      </c>
      <c r="AN225" s="663" t="e">
        <f t="shared" ca="1" si="169"/>
        <v>#N/A</v>
      </c>
      <c r="AO225" s="663" t="e">
        <f t="shared" ca="1" si="196"/>
        <v>#N/A</v>
      </c>
      <c r="AP225" s="663" t="e">
        <f t="shared" ca="1" si="170"/>
        <v>#N/A</v>
      </c>
      <c r="AQ225" s="663" t="e">
        <f t="shared" ca="1" si="171"/>
        <v>#N/A</v>
      </c>
      <c r="AR225" s="663" t="e">
        <f t="shared" ca="1" si="172"/>
        <v>#N/A</v>
      </c>
      <c r="AS225" s="663" t="e">
        <f t="shared" ca="1" si="173"/>
        <v>#N/A</v>
      </c>
      <c r="AT225" s="663" t="e">
        <f t="shared" ca="1" si="174"/>
        <v>#N/A</v>
      </c>
      <c r="AU225" s="663" t="e">
        <f t="shared" ca="1" si="175"/>
        <v>#N/A</v>
      </c>
      <c r="AV225" s="663" t="e">
        <f t="shared" ca="1" si="176"/>
        <v>#N/A</v>
      </c>
      <c r="AW225" s="663" t="e">
        <f t="shared" ca="1" si="177"/>
        <v>#N/A</v>
      </c>
      <c r="AX225" s="663" t="e">
        <f t="shared" ca="1" si="178"/>
        <v>#N/A</v>
      </c>
      <c r="AY225" s="663" t="e">
        <f t="shared" ca="1" si="179"/>
        <v>#N/A</v>
      </c>
      <c r="AZ225" s="663" t="e">
        <f t="shared" ca="1" si="180"/>
        <v>#N/A</v>
      </c>
      <c r="BA225" s="663" t="e">
        <f t="shared" ca="1" si="181"/>
        <v>#N/A</v>
      </c>
      <c r="BB225" s="663" t="e">
        <f t="shared" ca="1" si="182"/>
        <v>#N/A</v>
      </c>
      <c r="BC225" s="663" t="e">
        <f t="shared" ca="1" si="183"/>
        <v>#N/A</v>
      </c>
      <c r="BD225" s="663" t="e">
        <f t="shared" ca="1" si="184"/>
        <v>#N/A</v>
      </c>
      <c r="BE225" s="663" t="e">
        <f t="shared" ca="1" si="185"/>
        <v>#N/A</v>
      </c>
      <c r="BF225" s="663" t="e">
        <f t="shared" ca="1" si="186"/>
        <v>#N/A</v>
      </c>
      <c r="BG225" s="663" t="e">
        <f t="shared" ca="1" si="187"/>
        <v>#N/A</v>
      </c>
      <c r="BH225" s="663" t="e">
        <f t="shared" ca="1" si="188"/>
        <v>#N/A</v>
      </c>
      <c r="BI225" s="663" t="e">
        <f t="shared" ca="1" si="189"/>
        <v>#N/A</v>
      </c>
      <c r="BJ225" s="663" t="e">
        <f t="shared" ca="1" si="190"/>
        <v>#N/A</v>
      </c>
      <c r="BK225" s="663" t="e">
        <f t="shared" ca="1" si="191"/>
        <v>#N/A</v>
      </c>
      <c r="BL225" s="1918"/>
      <c r="BM225" s="1532"/>
      <c r="BN225" s="1919"/>
      <c r="BO225" s="603"/>
      <c r="BP225" s="602"/>
      <c r="BQ225" s="602"/>
      <c r="BR225" s="602"/>
      <c r="BS225" s="604"/>
      <c r="BT225" s="605"/>
      <c r="BU225" s="602"/>
      <c r="BV225" s="602"/>
      <c r="BW225" s="606"/>
      <c r="BX225" s="607"/>
      <c r="BY225" s="608"/>
      <c r="BZ225" s="608"/>
      <c r="CA225" s="608"/>
      <c r="CB225" s="600"/>
    </row>
    <row r="226" spans="2:80" ht="12" customHeight="1" x14ac:dyDescent="0.35">
      <c r="B226" s="590" t="e">
        <f>MATCH(C226,'360SpcLdsCSV'!$C$6:$C$500,0)</f>
        <v>#N/A</v>
      </c>
      <c r="C226" s="590">
        <f>'360SpcLdsCSV'!C175</f>
        <v>0</v>
      </c>
      <c r="D226" s="590" t="str">
        <f t="shared" si="197"/>
        <v>0</v>
      </c>
      <c r="E226" s="590" t="e">
        <f t="shared" si="193"/>
        <v>#VALUE!</v>
      </c>
      <c r="F226" s="590" t="e">
        <f t="shared" si="194"/>
        <v>#VALUE!</v>
      </c>
      <c r="G226" s="590" t="str">
        <f t="shared" si="198"/>
        <v>0</v>
      </c>
      <c r="H226" s="590" t="e">
        <f ca="1">OFFSET('360SpcLdsCSV'!$B$5,$B226,H$51)</f>
        <v>#N/A</v>
      </c>
      <c r="I226" s="590" t="e">
        <f ca="1">OFFSET('360SpcLdsCSV'!$B$5,$B226,I$51)</f>
        <v>#N/A</v>
      </c>
      <c r="J226" s="590" t="e">
        <f ca="1">OFFSET('360SpcLdsCSV'!$B$5,$B226,J$51)</f>
        <v>#N/A</v>
      </c>
      <c r="K226" s="590" t="e">
        <f ca="1">OFFSET('360SpcLdsCSV'!$B$5,$B226,K$51)</f>
        <v>#N/A</v>
      </c>
      <c r="L226" s="590" t="e">
        <f ca="1">OFFSET('360SpcLdsCSV'!$B$5,$B226,L$51)</f>
        <v>#N/A</v>
      </c>
      <c r="M226" s="592" t="e">
        <f ca="1">OFFSET('360SpcLdsCSV'!$B$5,$B226,M$51)</f>
        <v>#N/A</v>
      </c>
      <c r="N226" s="592" t="e">
        <f ca="1">OFFSET('360SpcLdsCSV'!$B$5,$B226,N$51)</f>
        <v>#N/A</v>
      </c>
      <c r="O226" s="592" t="e">
        <f ca="1">OFFSET('360SpcLdsCSV'!$B$5,$B226,O$51)</f>
        <v>#N/A</v>
      </c>
      <c r="P226" s="592" t="e">
        <f ca="1">OFFSET('360SpcLdsCSV'!$B$5,$B226,P$51)</f>
        <v>#N/A</v>
      </c>
      <c r="Q226" s="592" t="e">
        <f ca="1">OFFSET('360SpcLdsCSV'!$B$5,$B226,Q$51)</f>
        <v>#N/A</v>
      </c>
      <c r="R226" s="592" t="e">
        <f ca="1">OFFSET('360SpcLdsCSV'!$B$5,$B226,R$51)</f>
        <v>#N/A</v>
      </c>
      <c r="S226" s="592" t="e">
        <f ca="1">OFFSET('360SpcLdsCSV'!$B$5,$B226,S$51)</f>
        <v>#N/A</v>
      </c>
      <c r="T226" s="592" t="e">
        <f ca="1">OFFSET('360SpcLdsCSV'!$B$5,$B226,T$51)</f>
        <v>#N/A</v>
      </c>
      <c r="U226" s="592" t="e">
        <f ca="1">OFFSET('360SpcLdsCSV'!$B$5,$B226,U$51)</f>
        <v>#N/A</v>
      </c>
      <c r="V226" s="592" t="e">
        <f ca="1">OFFSET('360SpcLdsCSV'!$B$5,$B226,V$51)</f>
        <v>#N/A</v>
      </c>
      <c r="W226" s="592" t="e">
        <f ca="1">OFFSET('360SpcLdsCSV'!$B$5,$B226,W$51)</f>
        <v>#N/A</v>
      </c>
      <c r="X226" s="592" t="e">
        <f ca="1">OFFSET('360SpcLdsCSV'!$B$5,$B226,X$51)</f>
        <v>#N/A</v>
      </c>
      <c r="Y226" s="592" t="e">
        <f ca="1">OFFSET('360SpcLdsCSV'!$B$5,$B226,Y$51)</f>
        <v>#N/A</v>
      </c>
      <c r="Z226" s="592" t="e">
        <f ca="1">OFFSET('360SpcLdsCSV'!$B$5,$B226,Z$51)</f>
        <v>#N/A</v>
      </c>
      <c r="AA226" s="592" t="e">
        <f ca="1">OFFSET('360SpcLdsCSV'!$B$5,$B226,AA$51)</f>
        <v>#N/A</v>
      </c>
      <c r="AB226" s="592" t="e">
        <f ca="1">OFFSET('360SpcLdsCSV'!$B$5,$B226,AB$51)</f>
        <v>#N/A</v>
      </c>
      <c r="AC226" s="592" t="e">
        <f ca="1">OFFSET('360SpcLdsCSV'!$B$5,$B226,AC$51)</f>
        <v>#N/A</v>
      </c>
      <c r="AD226" s="592" t="e">
        <f ca="1">OFFSET('360SpcLdsCSV'!$B$5,$B226,AD$51)</f>
        <v>#N/A</v>
      </c>
      <c r="AE226" s="592" t="e">
        <f ca="1">OFFSET('360SpcLdsCSV'!$B$5,$B226,AE$51)</f>
        <v>#N/A</v>
      </c>
      <c r="AF226" s="592" t="e">
        <f ca="1">OFFSET('360SpcLdsCSV'!$B$5,$B226,AF$51)</f>
        <v>#N/A</v>
      </c>
      <c r="AG226" s="592" t="e">
        <f ca="1">OFFSET('360SpcLdsCSV'!$B$5,$B226,AG$51)</f>
        <v>#N/A</v>
      </c>
      <c r="AH226" s="592" t="e">
        <f ca="1">OFFSET('360SpcLdsCSV'!$B$5,$B226,AH$51)</f>
        <v>#N/A</v>
      </c>
      <c r="AI226" s="592" t="e">
        <f ca="1">OFFSET('360SpcLdsCSV'!$B$5,$B226,AI$51)</f>
        <v>#N/A</v>
      </c>
      <c r="AJ226" s="592" t="e" cm="1">
        <f t="array" ref="AJ226">_xlfn.IFS($F226="Resi",1,$F226="Racc",0,$F226="Coml",0,$F226="Prkg",0)</f>
        <v>#VALUE!</v>
      </c>
      <c r="AK226" s="596"/>
      <c r="AL226" s="590" t="e">
        <f ca="1">OFFSET('360SpcLdsCSV'!$B$5,$B226,AL$51)</f>
        <v>#N/A</v>
      </c>
      <c r="AM226" s="663" t="e">
        <f t="shared" ca="1" si="168"/>
        <v>#N/A</v>
      </c>
      <c r="AN226" s="663" t="e">
        <f t="shared" ca="1" si="169"/>
        <v>#N/A</v>
      </c>
      <c r="AO226" s="663" t="e">
        <f t="shared" ca="1" si="196"/>
        <v>#N/A</v>
      </c>
      <c r="AP226" s="663" t="e">
        <f t="shared" ca="1" si="170"/>
        <v>#N/A</v>
      </c>
      <c r="AQ226" s="663" t="e">
        <f t="shared" ca="1" si="171"/>
        <v>#N/A</v>
      </c>
      <c r="AR226" s="663" t="e">
        <f t="shared" ca="1" si="172"/>
        <v>#N/A</v>
      </c>
      <c r="AS226" s="663" t="e">
        <f t="shared" ca="1" si="173"/>
        <v>#N/A</v>
      </c>
      <c r="AT226" s="663" t="e">
        <f t="shared" ca="1" si="174"/>
        <v>#N/A</v>
      </c>
      <c r="AU226" s="663" t="e">
        <f t="shared" ca="1" si="175"/>
        <v>#N/A</v>
      </c>
      <c r="AV226" s="663" t="e">
        <f t="shared" ca="1" si="176"/>
        <v>#N/A</v>
      </c>
      <c r="AW226" s="663" t="e">
        <f t="shared" ca="1" si="177"/>
        <v>#N/A</v>
      </c>
      <c r="AX226" s="663" t="e">
        <f t="shared" ca="1" si="178"/>
        <v>#N/A</v>
      </c>
      <c r="AY226" s="663" t="e">
        <f t="shared" ca="1" si="179"/>
        <v>#N/A</v>
      </c>
      <c r="AZ226" s="663" t="e">
        <f t="shared" ca="1" si="180"/>
        <v>#N/A</v>
      </c>
      <c r="BA226" s="663" t="e">
        <f t="shared" ca="1" si="181"/>
        <v>#N/A</v>
      </c>
      <c r="BB226" s="663" t="e">
        <f t="shared" ca="1" si="182"/>
        <v>#N/A</v>
      </c>
      <c r="BC226" s="663" t="e">
        <f t="shared" ca="1" si="183"/>
        <v>#N/A</v>
      </c>
      <c r="BD226" s="663" t="e">
        <f t="shared" ca="1" si="184"/>
        <v>#N/A</v>
      </c>
      <c r="BE226" s="663" t="e">
        <f t="shared" ca="1" si="185"/>
        <v>#N/A</v>
      </c>
      <c r="BF226" s="663" t="e">
        <f t="shared" ca="1" si="186"/>
        <v>#N/A</v>
      </c>
      <c r="BG226" s="663" t="e">
        <f t="shared" ca="1" si="187"/>
        <v>#N/A</v>
      </c>
      <c r="BH226" s="663" t="e">
        <f t="shared" ca="1" si="188"/>
        <v>#N/A</v>
      </c>
      <c r="BI226" s="663" t="e">
        <f t="shared" ca="1" si="189"/>
        <v>#N/A</v>
      </c>
      <c r="BJ226" s="663" t="e">
        <f t="shared" ca="1" si="190"/>
        <v>#N/A</v>
      </c>
      <c r="BK226" s="663" t="e">
        <f t="shared" ca="1" si="191"/>
        <v>#N/A</v>
      </c>
      <c r="BL226" s="1918"/>
      <c r="BM226" s="1532"/>
      <c r="BN226" s="1919"/>
      <c r="BO226" s="603"/>
      <c r="BP226" s="602"/>
      <c r="BQ226" s="602"/>
      <c r="BR226" s="602"/>
      <c r="BS226" s="604"/>
      <c r="BT226" s="605"/>
      <c r="BU226" s="602"/>
      <c r="BV226" s="602"/>
      <c r="BW226" s="606"/>
      <c r="BX226" s="607"/>
      <c r="BY226" s="608"/>
      <c r="BZ226" s="608"/>
      <c r="CA226" s="608"/>
      <c r="CB226" s="600"/>
    </row>
    <row r="227" spans="2:80" ht="12" customHeight="1" x14ac:dyDescent="0.35">
      <c r="B227" s="590" t="e">
        <f>MATCH(C227,'360SpcLdsCSV'!$C$6:$C$500,0)</f>
        <v>#N/A</v>
      </c>
      <c r="C227" s="590">
        <f>'360SpcLdsCSV'!C176</f>
        <v>0</v>
      </c>
      <c r="D227" s="590" t="str">
        <f t="shared" si="197"/>
        <v>0</v>
      </c>
      <c r="E227" s="590" t="e">
        <f t="shared" si="193"/>
        <v>#VALUE!</v>
      </c>
      <c r="F227" s="590" t="e">
        <f t="shared" si="194"/>
        <v>#VALUE!</v>
      </c>
      <c r="G227" s="590" t="str">
        <f t="shared" si="198"/>
        <v>0</v>
      </c>
      <c r="H227" s="590" t="e">
        <f ca="1">OFFSET('360SpcLdsCSV'!$B$5,$B227,H$51)</f>
        <v>#N/A</v>
      </c>
      <c r="I227" s="590" t="e">
        <f ca="1">OFFSET('360SpcLdsCSV'!$B$5,$B227,I$51)</f>
        <v>#N/A</v>
      </c>
      <c r="J227" s="590" t="e">
        <f ca="1">OFFSET('360SpcLdsCSV'!$B$5,$B227,J$51)</f>
        <v>#N/A</v>
      </c>
      <c r="K227" s="590" t="e">
        <f ca="1">OFFSET('360SpcLdsCSV'!$B$5,$B227,K$51)</f>
        <v>#N/A</v>
      </c>
      <c r="L227" s="590" t="e">
        <f ca="1">OFFSET('360SpcLdsCSV'!$B$5,$B227,L$51)</f>
        <v>#N/A</v>
      </c>
      <c r="M227" s="592" t="e">
        <f ca="1">OFFSET('360SpcLdsCSV'!$B$5,$B227,M$51)</f>
        <v>#N/A</v>
      </c>
      <c r="N227" s="592" t="e">
        <f ca="1">OFFSET('360SpcLdsCSV'!$B$5,$B227,N$51)</f>
        <v>#N/A</v>
      </c>
      <c r="O227" s="592" t="e">
        <f ca="1">OFFSET('360SpcLdsCSV'!$B$5,$B227,O$51)</f>
        <v>#N/A</v>
      </c>
      <c r="P227" s="592" t="e">
        <f ca="1">OFFSET('360SpcLdsCSV'!$B$5,$B227,P$51)</f>
        <v>#N/A</v>
      </c>
      <c r="Q227" s="592" t="e">
        <f ca="1">OFFSET('360SpcLdsCSV'!$B$5,$B227,Q$51)</f>
        <v>#N/A</v>
      </c>
      <c r="R227" s="592" t="e">
        <f ca="1">OFFSET('360SpcLdsCSV'!$B$5,$B227,R$51)</f>
        <v>#N/A</v>
      </c>
      <c r="S227" s="592" t="e">
        <f ca="1">OFFSET('360SpcLdsCSV'!$B$5,$B227,S$51)</f>
        <v>#N/A</v>
      </c>
      <c r="T227" s="592" t="e">
        <f ca="1">OFFSET('360SpcLdsCSV'!$B$5,$B227,T$51)</f>
        <v>#N/A</v>
      </c>
      <c r="U227" s="592" t="e">
        <f ca="1">OFFSET('360SpcLdsCSV'!$B$5,$B227,U$51)</f>
        <v>#N/A</v>
      </c>
      <c r="V227" s="592" t="e">
        <f ca="1">OFFSET('360SpcLdsCSV'!$B$5,$B227,V$51)</f>
        <v>#N/A</v>
      </c>
      <c r="W227" s="592" t="e">
        <f ca="1">OFFSET('360SpcLdsCSV'!$B$5,$B227,W$51)</f>
        <v>#N/A</v>
      </c>
      <c r="X227" s="592" t="e">
        <f ca="1">OFFSET('360SpcLdsCSV'!$B$5,$B227,X$51)</f>
        <v>#N/A</v>
      </c>
      <c r="Y227" s="592" t="e">
        <f ca="1">OFFSET('360SpcLdsCSV'!$B$5,$B227,Y$51)</f>
        <v>#N/A</v>
      </c>
      <c r="Z227" s="592" t="e">
        <f ca="1">OFFSET('360SpcLdsCSV'!$B$5,$B227,Z$51)</f>
        <v>#N/A</v>
      </c>
      <c r="AA227" s="592" t="e">
        <f ca="1">OFFSET('360SpcLdsCSV'!$B$5,$B227,AA$51)</f>
        <v>#N/A</v>
      </c>
      <c r="AB227" s="592" t="e">
        <f ca="1">OFFSET('360SpcLdsCSV'!$B$5,$B227,AB$51)</f>
        <v>#N/A</v>
      </c>
      <c r="AC227" s="592" t="e">
        <f ca="1">OFFSET('360SpcLdsCSV'!$B$5,$B227,AC$51)</f>
        <v>#N/A</v>
      </c>
      <c r="AD227" s="592" t="e">
        <f ca="1">OFFSET('360SpcLdsCSV'!$B$5,$B227,AD$51)</f>
        <v>#N/A</v>
      </c>
      <c r="AE227" s="592" t="e">
        <f ca="1">OFFSET('360SpcLdsCSV'!$B$5,$B227,AE$51)</f>
        <v>#N/A</v>
      </c>
      <c r="AF227" s="592" t="e">
        <f ca="1">OFFSET('360SpcLdsCSV'!$B$5,$B227,AF$51)</f>
        <v>#N/A</v>
      </c>
      <c r="AG227" s="592" t="e">
        <f ca="1">OFFSET('360SpcLdsCSV'!$B$5,$B227,AG$51)</f>
        <v>#N/A</v>
      </c>
      <c r="AH227" s="592" t="e">
        <f ca="1">OFFSET('360SpcLdsCSV'!$B$5,$B227,AH$51)</f>
        <v>#N/A</v>
      </c>
      <c r="AI227" s="592" t="e">
        <f ca="1">OFFSET('360SpcLdsCSV'!$B$5,$B227,AI$51)</f>
        <v>#N/A</v>
      </c>
      <c r="AJ227" s="592" t="e" cm="1">
        <f t="array" ref="AJ227">_xlfn.IFS($F227="Resi",1,$F227="Racc",0,$F227="Coml",0,$F227="Prkg",0)</f>
        <v>#VALUE!</v>
      </c>
      <c r="AK227" s="596"/>
      <c r="AL227" s="590" t="e">
        <f ca="1">OFFSET('360SpcLdsCSV'!$B$5,$B227,AL$51)</f>
        <v>#N/A</v>
      </c>
      <c r="AM227" s="663" t="e">
        <f t="shared" ca="1" si="168"/>
        <v>#N/A</v>
      </c>
      <c r="AN227" s="663" t="e">
        <f t="shared" ca="1" si="169"/>
        <v>#N/A</v>
      </c>
      <c r="AO227" s="663" t="e">
        <f t="shared" ca="1" si="196"/>
        <v>#N/A</v>
      </c>
      <c r="AP227" s="663" t="e">
        <f t="shared" ca="1" si="170"/>
        <v>#N/A</v>
      </c>
      <c r="AQ227" s="663" t="e">
        <f t="shared" ca="1" si="171"/>
        <v>#N/A</v>
      </c>
      <c r="AR227" s="663" t="e">
        <f t="shared" ca="1" si="172"/>
        <v>#N/A</v>
      </c>
      <c r="AS227" s="663" t="e">
        <f t="shared" ca="1" si="173"/>
        <v>#N/A</v>
      </c>
      <c r="AT227" s="663" t="e">
        <f t="shared" ca="1" si="174"/>
        <v>#N/A</v>
      </c>
      <c r="AU227" s="663" t="e">
        <f t="shared" ca="1" si="175"/>
        <v>#N/A</v>
      </c>
      <c r="AV227" s="663" t="e">
        <f t="shared" ca="1" si="176"/>
        <v>#N/A</v>
      </c>
      <c r="AW227" s="663" t="e">
        <f t="shared" ca="1" si="177"/>
        <v>#N/A</v>
      </c>
      <c r="AX227" s="663" t="e">
        <f t="shared" ca="1" si="178"/>
        <v>#N/A</v>
      </c>
      <c r="AY227" s="663" t="e">
        <f t="shared" ca="1" si="179"/>
        <v>#N/A</v>
      </c>
      <c r="AZ227" s="663" t="e">
        <f t="shared" ca="1" si="180"/>
        <v>#N/A</v>
      </c>
      <c r="BA227" s="663" t="e">
        <f t="shared" ca="1" si="181"/>
        <v>#N/A</v>
      </c>
      <c r="BB227" s="663" t="e">
        <f t="shared" ca="1" si="182"/>
        <v>#N/A</v>
      </c>
      <c r="BC227" s="663" t="e">
        <f t="shared" ca="1" si="183"/>
        <v>#N/A</v>
      </c>
      <c r="BD227" s="663" t="e">
        <f t="shared" ca="1" si="184"/>
        <v>#N/A</v>
      </c>
      <c r="BE227" s="663" t="e">
        <f t="shared" ca="1" si="185"/>
        <v>#N/A</v>
      </c>
      <c r="BF227" s="663" t="e">
        <f t="shared" ca="1" si="186"/>
        <v>#N/A</v>
      </c>
      <c r="BG227" s="663" t="e">
        <f t="shared" ca="1" si="187"/>
        <v>#N/A</v>
      </c>
      <c r="BH227" s="663" t="e">
        <f t="shared" ca="1" si="188"/>
        <v>#N/A</v>
      </c>
      <c r="BI227" s="663" t="e">
        <f t="shared" ca="1" si="189"/>
        <v>#N/A</v>
      </c>
      <c r="BJ227" s="663" t="e">
        <f t="shared" ca="1" si="190"/>
        <v>#N/A</v>
      </c>
      <c r="BK227" s="663" t="e">
        <f t="shared" ca="1" si="191"/>
        <v>#N/A</v>
      </c>
      <c r="BL227" s="1918"/>
      <c r="BM227" s="1532"/>
      <c r="BN227" s="1919"/>
      <c r="BO227" s="603"/>
      <c r="BP227" s="602"/>
      <c r="BQ227" s="602"/>
      <c r="BR227" s="602"/>
      <c r="BS227" s="604"/>
      <c r="BT227" s="605"/>
      <c r="BU227" s="602"/>
      <c r="BV227" s="602"/>
      <c r="BW227" s="606"/>
      <c r="BX227" s="607"/>
      <c r="BY227" s="608"/>
      <c r="BZ227" s="608"/>
      <c r="CA227" s="608"/>
      <c r="CB227" s="600"/>
    </row>
    <row r="228" spans="2:80" ht="12" customHeight="1" x14ac:dyDescent="0.35">
      <c r="B228" s="590" t="e">
        <f>MATCH(C228,'360SpcLdsCSV'!$C$6:$C$500,0)</f>
        <v>#N/A</v>
      </c>
      <c r="C228" s="590">
        <f>'360SpcLdsCSV'!C177</f>
        <v>0</v>
      </c>
      <c r="D228" s="590" t="str">
        <f t="shared" si="197"/>
        <v>0</v>
      </c>
      <c r="E228" s="590" t="e">
        <f t="shared" si="193"/>
        <v>#VALUE!</v>
      </c>
      <c r="F228" s="590" t="e">
        <f t="shared" si="194"/>
        <v>#VALUE!</v>
      </c>
      <c r="G228" s="590" t="str">
        <f t="shared" si="198"/>
        <v>0</v>
      </c>
      <c r="H228" s="590" t="e">
        <f ca="1">OFFSET('360SpcLdsCSV'!$B$5,$B228,H$51)</f>
        <v>#N/A</v>
      </c>
      <c r="I228" s="590" t="e">
        <f ca="1">OFFSET('360SpcLdsCSV'!$B$5,$B228,I$51)</f>
        <v>#N/A</v>
      </c>
      <c r="J228" s="590" t="e">
        <f ca="1">OFFSET('360SpcLdsCSV'!$B$5,$B228,J$51)</f>
        <v>#N/A</v>
      </c>
      <c r="K228" s="590" t="e">
        <f ca="1">OFFSET('360SpcLdsCSV'!$B$5,$B228,K$51)</f>
        <v>#N/A</v>
      </c>
      <c r="L228" s="590" t="e">
        <f ca="1">OFFSET('360SpcLdsCSV'!$B$5,$B228,L$51)</f>
        <v>#N/A</v>
      </c>
      <c r="M228" s="592" t="e">
        <f ca="1">OFFSET('360SpcLdsCSV'!$B$5,$B228,M$51)</f>
        <v>#N/A</v>
      </c>
      <c r="N228" s="592" t="e">
        <f ca="1">OFFSET('360SpcLdsCSV'!$B$5,$B228,N$51)</f>
        <v>#N/A</v>
      </c>
      <c r="O228" s="592" t="e">
        <f ca="1">OFFSET('360SpcLdsCSV'!$B$5,$B228,O$51)</f>
        <v>#N/A</v>
      </c>
      <c r="P228" s="592" t="e">
        <f ca="1">OFFSET('360SpcLdsCSV'!$B$5,$B228,P$51)</f>
        <v>#N/A</v>
      </c>
      <c r="Q228" s="592" t="e">
        <f ca="1">OFFSET('360SpcLdsCSV'!$B$5,$B228,Q$51)</f>
        <v>#N/A</v>
      </c>
      <c r="R228" s="592" t="e">
        <f ca="1">OFFSET('360SpcLdsCSV'!$B$5,$B228,R$51)</f>
        <v>#N/A</v>
      </c>
      <c r="S228" s="592" t="e">
        <f ca="1">OFFSET('360SpcLdsCSV'!$B$5,$B228,S$51)</f>
        <v>#N/A</v>
      </c>
      <c r="T228" s="592" t="e">
        <f ca="1">OFFSET('360SpcLdsCSV'!$B$5,$B228,T$51)</f>
        <v>#N/A</v>
      </c>
      <c r="U228" s="592" t="e">
        <f ca="1">OFFSET('360SpcLdsCSV'!$B$5,$B228,U$51)</f>
        <v>#N/A</v>
      </c>
      <c r="V228" s="592" t="e">
        <f ca="1">OFFSET('360SpcLdsCSV'!$B$5,$B228,V$51)</f>
        <v>#N/A</v>
      </c>
      <c r="W228" s="592" t="e">
        <f ca="1">OFFSET('360SpcLdsCSV'!$B$5,$B228,W$51)</f>
        <v>#N/A</v>
      </c>
      <c r="X228" s="592" t="e">
        <f ca="1">OFFSET('360SpcLdsCSV'!$B$5,$B228,X$51)</f>
        <v>#N/A</v>
      </c>
      <c r="Y228" s="592" t="e">
        <f ca="1">OFFSET('360SpcLdsCSV'!$B$5,$B228,Y$51)</f>
        <v>#N/A</v>
      </c>
      <c r="Z228" s="592" t="e">
        <f ca="1">OFFSET('360SpcLdsCSV'!$B$5,$B228,Z$51)</f>
        <v>#N/A</v>
      </c>
      <c r="AA228" s="592" t="e">
        <f ca="1">OFFSET('360SpcLdsCSV'!$B$5,$B228,AA$51)</f>
        <v>#N/A</v>
      </c>
      <c r="AB228" s="592" t="e">
        <f ca="1">OFFSET('360SpcLdsCSV'!$B$5,$B228,AB$51)</f>
        <v>#N/A</v>
      </c>
      <c r="AC228" s="592" t="e">
        <f ca="1">OFFSET('360SpcLdsCSV'!$B$5,$B228,AC$51)</f>
        <v>#N/A</v>
      </c>
      <c r="AD228" s="592" t="e">
        <f ca="1">OFFSET('360SpcLdsCSV'!$B$5,$B228,AD$51)</f>
        <v>#N/A</v>
      </c>
      <c r="AE228" s="592" t="e">
        <f ca="1">OFFSET('360SpcLdsCSV'!$B$5,$B228,AE$51)</f>
        <v>#N/A</v>
      </c>
      <c r="AF228" s="592" t="e">
        <f ca="1">OFFSET('360SpcLdsCSV'!$B$5,$B228,AF$51)</f>
        <v>#N/A</v>
      </c>
      <c r="AG228" s="592" t="e">
        <f ca="1">OFFSET('360SpcLdsCSV'!$B$5,$B228,AG$51)</f>
        <v>#N/A</v>
      </c>
      <c r="AH228" s="592" t="e">
        <f ca="1">OFFSET('360SpcLdsCSV'!$B$5,$B228,AH$51)</f>
        <v>#N/A</v>
      </c>
      <c r="AI228" s="592" t="e">
        <f ca="1">OFFSET('360SpcLdsCSV'!$B$5,$B228,AI$51)</f>
        <v>#N/A</v>
      </c>
      <c r="AJ228" s="592" t="e" cm="1">
        <f t="array" ref="AJ228">_xlfn.IFS($F228="Resi",1,$F228="Racc",0,$F228="Coml",0,$F228="Prkg",0)</f>
        <v>#VALUE!</v>
      </c>
      <c r="AK228" s="596"/>
      <c r="AL228" s="590" t="e">
        <f ca="1">OFFSET('360SpcLdsCSV'!$B$5,$B228,AL$51)</f>
        <v>#N/A</v>
      </c>
      <c r="AM228" s="663" t="e">
        <f t="shared" ca="1" si="168"/>
        <v>#N/A</v>
      </c>
      <c r="AN228" s="663" t="e">
        <f t="shared" ca="1" si="169"/>
        <v>#N/A</v>
      </c>
      <c r="AO228" s="663" t="e">
        <f t="shared" ca="1" si="196"/>
        <v>#N/A</v>
      </c>
      <c r="AP228" s="663" t="e">
        <f t="shared" ca="1" si="170"/>
        <v>#N/A</v>
      </c>
      <c r="AQ228" s="663" t="e">
        <f t="shared" ca="1" si="171"/>
        <v>#N/A</v>
      </c>
      <c r="AR228" s="663" t="e">
        <f t="shared" ca="1" si="172"/>
        <v>#N/A</v>
      </c>
      <c r="AS228" s="663" t="e">
        <f t="shared" ca="1" si="173"/>
        <v>#N/A</v>
      </c>
      <c r="AT228" s="663" t="e">
        <f t="shared" ca="1" si="174"/>
        <v>#N/A</v>
      </c>
      <c r="AU228" s="663" t="e">
        <f t="shared" ca="1" si="175"/>
        <v>#N/A</v>
      </c>
      <c r="AV228" s="663" t="e">
        <f t="shared" ca="1" si="176"/>
        <v>#N/A</v>
      </c>
      <c r="AW228" s="663" t="e">
        <f t="shared" ca="1" si="177"/>
        <v>#N/A</v>
      </c>
      <c r="AX228" s="663" t="e">
        <f t="shared" ca="1" si="178"/>
        <v>#N/A</v>
      </c>
      <c r="AY228" s="663" t="e">
        <f t="shared" ca="1" si="179"/>
        <v>#N/A</v>
      </c>
      <c r="AZ228" s="663" t="e">
        <f t="shared" ca="1" si="180"/>
        <v>#N/A</v>
      </c>
      <c r="BA228" s="663" t="e">
        <f t="shared" ca="1" si="181"/>
        <v>#N/A</v>
      </c>
      <c r="BB228" s="663" t="e">
        <f t="shared" ca="1" si="182"/>
        <v>#N/A</v>
      </c>
      <c r="BC228" s="663" t="e">
        <f t="shared" ca="1" si="183"/>
        <v>#N/A</v>
      </c>
      <c r="BD228" s="663" t="e">
        <f t="shared" ca="1" si="184"/>
        <v>#N/A</v>
      </c>
      <c r="BE228" s="663" t="e">
        <f t="shared" ca="1" si="185"/>
        <v>#N/A</v>
      </c>
      <c r="BF228" s="663" t="e">
        <f t="shared" ca="1" si="186"/>
        <v>#N/A</v>
      </c>
      <c r="BG228" s="663" t="e">
        <f t="shared" ca="1" si="187"/>
        <v>#N/A</v>
      </c>
      <c r="BH228" s="663" t="e">
        <f t="shared" ca="1" si="188"/>
        <v>#N/A</v>
      </c>
      <c r="BI228" s="663" t="e">
        <f t="shared" ca="1" si="189"/>
        <v>#N/A</v>
      </c>
      <c r="BJ228" s="663" t="e">
        <f t="shared" ca="1" si="190"/>
        <v>#N/A</v>
      </c>
      <c r="BK228" s="663" t="e">
        <f t="shared" ca="1" si="191"/>
        <v>#N/A</v>
      </c>
      <c r="BL228" s="1918"/>
      <c r="BM228" s="1532"/>
      <c r="BN228" s="1919"/>
      <c r="BO228" s="603"/>
      <c r="BP228" s="602"/>
      <c r="BQ228" s="602"/>
      <c r="BR228" s="602"/>
      <c r="BS228" s="604"/>
      <c r="BT228" s="605"/>
      <c r="BU228" s="602"/>
      <c r="BV228" s="602"/>
      <c r="BW228" s="606"/>
      <c r="BX228" s="607"/>
      <c r="BY228" s="608"/>
      <c r="BZ228" s="608"/>
      <c r="CA228" s="608"/>
      <c r="CB228" s="600"/>
    </row>
    <row r="229" spans="2:80" ht="12" customHeight="1" x14ac:dyDescent="0.35">
      <c r="B229" s="590" t="e">
        <f>MATCH(C229,'360SpcLdsCSV'!$C$6:$C$500,0)</f>
        <v>#N/A</v>
      </c>
      <c r="C229" s="590">
        <f>'360SpcLdsCSV'!C178</f>
        <v>0</v>
      </c>
      <c r="D229" s="590" t="str">
        <f t="shared" si="197"/>
        <v>0</v>
      </c>
      <c r="E229" s="590" t="e">
        <f t="shared" si="193"/>
        <v>#VALUE!</v>
      </c>
      <c r="F229" s="590" t="e">
        <f t="shared" si="194"/>
        <v>#VALUE!</v>
      </c>
      <c r="G229" s="590" t="str">
        <f t="shared" si="198"/>
        <v>0</v>
      </c>
      <c r="H229" s="590" t="e">
        <f ca="1">OFFSET('360SpcLdsCSV'!$B$5,$B229,H$51)</f>
        <v>#N/A</v>
      </c>
      <c r="I229" s="590" t="e">
        <f ca="1">OFFSET('360SpcLdsCSV'!$B$5,$B229,I$51)</f>
        <v>#N/A</v>
      </c>
      <c r="J229" s="590" t="e">
        <f ca="1">OFFSET('360SpcLdsCSV'!$B$5,$B229,J$51)</f>
        <v>#N/A</v>
      </c>
      <c r="K229" s="590" t="e">
        <f ca="1">OFFSET('360SpcLdsCSV'!$B$5,$B229,K$51)</f>
        <v>#N/A</v>
      </c>
      <c r="L229" s="590" t="e">
        <f ca="1">OFFSET('360SpcLdsCSV'!$B$5,$B229,L$51)</f>
        <v>#N/A</v>
      </c>
      <c r="M229" s="592" t="e">
        <f ca="1">OFFSET('360SpcLdsCSV'!$B$5,$B229,M$51)</f>
        <v>#N/A</v>
      </c>
      <c r="N229" s="592" t="e">
        <f ca="1">OFFSET('360SpcLdsCSV'!$B$5,$B229,N$51)</f>
        <v>#N/A</v>
      </c>
      <c r="O229" s="592" t="e">
        <f ca="1">OFFSET('360SpcLdsCSV'!$B$5,$B229,O$51)</f>
        <v>#N/A</v>
      </c>
      <c r="P229" s="592" t="e">
        <f ca="1">OFFSET('360SpcLdsCSV'!$B$5,$B229,P$51)</f>
        <v>#N/A</v>
      </c>
      <c r="Q229" s="592" t="e">
        <f ca="1">OFFSET('360SpcLdsCSV'!$B$5,$B229,Q$51)</f>
        <v>#N/A</v>
      </c>
      <c r="R229" s="592" t="e">
        <f ca="1">OFFSET('360SpcLdsCSV'!$B$5,$B229,R$51)</f>
        <v>#N/A</v>
      </c>
      <c r="S229" s="592" t="e">
        <f ca="1">OFFSET('360SpcLdsCSV'!$B$5,$B229,S$51)</f>
        <v>#N/A</v>
      </c>
      <c r="T229" s="592" t="e">
        <f ca="1">OFFSET('360SpcLdsCSV'!$B$5,$B229,T$51)</f>
        <v>#N/A</v>
      </c>
      <c r="U229" s="592" t="e">
        <f ca="1">OFFSET('360SpcLdsCSV'!$B$5,$B229,U$51)</f>
        <v>#N/A</v>
      </c>
      <c r="V229" s="592" t="e">
        <f ca="1">OFFSET('360SpcLdsCSV'!$B$5,$B229,V$51)</f>
        <v>#N/A</v>
      </c>
      <c r="W229" s="592" t="e">
        <f ca="1">OFFSET('360SpcLdsCSV'!$B$5,$B229,W$51)</f>
        <v>#N/A</v>
      </c>
      <c r="X229" s="592" t="e">
        <f ca="1">OFFSET('360SpcLdsCSV'!$B$5,$B229,X$51)</f>
        <v>#N/A</v>
      </c>
      <c r="Y229" s="592" t="e">
        <f ca="1">OFFSET('360SpcLdsCSV'!$B$5,$B229,Y$51)</f>
        <v>#N/A</v>
      </c>
      <c r="Z229" s="592" t="e">
        <f ca="1">OFFSET('360SpcLdsCSV'!$B$5,$B229,Z$51)</f>
        <v>#N/A</v>
      </c>
      <c r="AA229" s="592" t="e">
        <f ca="1">OFFSET('360SpcLdsCSV'!$B$5,$B229,AA$51)</f>
        <v>#N/A</v>
      </c>
      <c r="AB229" s="592" t="e">
        <f ca="1">OFFSET('360SpcLdsCSV'!$B$5,$B229,AB$51)</f>
        <v>#N/A</v>
      </c>
      <c r="AC229" s="592" t="e">
        <f ca="1">OFFSET('360SpcLdsCSV'!$B$5,$B229,AC$51)</f>
        <v>#N/A</v>
      </c>
      <c r="AD229" s="592" t="e">
        <f ca="1">OFFSET('360SpcLdsCSV'!$B$5,$B229,AD$51)</f>
        <v>#N/A</v>
      </c>
      <c r="AE229" s="592" t="e">
        <f ca="1">OFFSET('360SpcLdsCSV'!$B$5,$B229,AE$51)</f>
        <v>#N/A</v>
      </c>
      <c r="AF229" s="592" t="e">
        <f ca="1">OFFSET('360SpcLdsCSV'!$B$5,$B229,AF$51)</f>
        <v>#N/A</v>
      </c>
      <c r="AG229" s="592" t="e">
        <f ca="1">OFFSET('360SpcLdsCSV'!$B$5,$B229,AG$51)</f>
        <v>#N/A</v>
      </c>
      <c r="AH229" s="592" t="e">
        <f ca="1">OFFSET('360SpcLdsCSV'!$B$5,$B229,AH$51)</f>
        <v>#N/A</v>
      </c>
      <c r="AI229" s="592" t="e">
        <f ca="1">OFFSET('360SpcLdsCSV'!$B$5,$B229,AI$51)</f>
        <v>#N/A</v>
      </c>
      <c r="AJ229" s="592" t="e" cm="1">
        <f t="array" ref="AJ229">_xlfn.IFS($F229="Resi",1,$F229="Racc",0,$F229="Coml",0,$F229="Prkg",0)</f>
        <v>#VALUE!</v>
      </c>
      <c r="AK229" s="596"/>
      <c r="AL229" s="590" t="e">
        <f ca="1">OFFSET('360SpcLdsCSV'!$B$5,$B229,AL$51)</f>
        <v>#N/A</v>
      </c>
      <c r="AM229" s="663" t="e">
        <f t="shared" ca="1" si="168"/>
        <v>#N/A</v>
      </c>
      <c r="AN229" s="663" t="e">
        <f t="shared" ca="1" si="169"/>
        <v>#N/A</v>
      </c>
      <c r="AO229" s="663" t="e">
        <f t="shared" ca="1" si="196"/>
        <v>#N/A</v>
      </c>
      <c r="AP229" s="663" t="e">
        <f t="shared" ca="1" si="170"/>
        <v>#N/A</v>
      </c>
      <c r="AQ229" s="663" t="e">
        <f t="shared" ca="1" si="171"/>
        <v>#N/A</v>
      </c>
      <c r="AR229" s="663" t="e">
        <f t="shared" ca="1" si="172"/>
        <v>#N/A</v>
      </c>
      <c r="AS229" s="663" t="e">
        <f t="shared" ca="1" si="173"/>
        <v>#N/A</v>
      </c>
      <c r="AT229" s="663" t="e">
        <f t="shared" ca="1" si="174"/>
        <v>#N/A</v>
      </c>
      <c r="AU229" s="663" t="e">
        <f t="shared" ca="1" si="175"/>
        <v>#N/A</v>
      </c>
      <c r="AV229" s="663" t="e">
        <f t="shared" ca="1" si="176"/>
        <v>#N/A</v>
      </c>
      <c r="AW229" s="663" t="e">
        <f t="shared" ca="1" si="177"/>
        <v>#N/A</v>
      </c>
      <c r="AX229" s="663" t="e">
        <f t="shared" ca="1" si="178"/>
        <v>#N/A</v>
      </c>
      <c r="AY229" s="663" t="e">
        <f t="shared" ca="1" si="179"/>
        <v>#N/A</v>
      </c>
      <c r="AZ229" s="663" t="e">
        <f t="shared" ca="1" si="180"/>
        <v>#N/A</v>
      </c>
      <c r="BA229" s="663" t="e">
        <f t="shared" ca="1" si="181"/>
        <v>#N/A</v>
      </c>
      <c r="BB229" s="663" t="e">
        <f t="shared" ca="1" si="182"/>
        <v>#N/A</v>
      </c>
      <c r="BC229" s="663" t="e">
        <f t="shared" ca="1" si="183"/>
        <v>#N/A</v>
      </c>
      <c r="BD229" s="663" t="e">
        <f t="shared" ca="1" si="184"/>
        <v>#N/A</v>
      </c>
      <c r="BE229" s="663" t="e">
        <f t="shared" ca="1" si="185"/>
        <v>#N/A</v>
      </c>
      <c r="BF229" s="663" t="e">
        <f t="shared" ca="1" si="186"/>
        <v>#N/A</v>
      </c>
      <c r="BG229" s="663" t="e">
        <f t="shared" ca="1" si="187"/>
        <v>#N/A</v>
      </c>
      <c r="BH229" s="663" t="e">
        <f t="shared" ca="1" si="188"/>
        <v>#N/A</v>
      </c>
      <c r="BI229" s="663" t="e">
        <f t="shared" ca="1" si="189"/>
        <v>#N/A</v>
      </c>
      <c r="BJ229" s="663" t="e">
        <f t="shared" ca="1" si="190"/>
        <v>#N/A</v>
      </c>
      <c r="BK229" s="663" t="e">
        <f t="shared" ca="1" si="191"/>
        <v>#N/A</v>
      </c>
      <c r="BL229" s="1918"/>
      <c r="BM229" s="1532"/>
      <c r="BN229" s="1919"/>
      <c r="BO229" s="603"/>
      <c r="BP229" s="602"/>
      <c r="BQ229" s="602"/>
      <c r="BR229" s="602"/>
      <c r="BS229" s="604"/>
      <c r="BT229" s="605"/>
      <c r="BU229" s="602"/>
      <c r="BV229" s="602"/>
      <c r="BW229" s="606"/>
      <c r="BX229" s="607"/>
      <c r="BY229" s="608"/>
      <c r="BZ229" s="608"/>
      <c r="CA229" s="608"/>
      <c r="CB229" s="600"/>
    </row>
    <row r="230" spans="2:80" ht="12" customHeight="1" x14ac:dyDescent="0.35">
      <c r="B230" s="590" t="e">
        <f>MATCH(C230,'360SpcLdsCSV'!$C$6:$C$500,0)</f>
        <v>#N/A</v>
      </c>
      <c r="C230" s="590">
        <f>'360SpcLdsCSV'!C179</f>
        <v>0</v>
      </c>
      <c r="D230" s="590" t="str">
        <f t="shared" si="197"/>
        <v>0</v>
      </c>
      <c r="E230" s="590" t="e">
        <f t="shared" si="193"/>
        <v>#VALUE!</v>
      </c>
      <c r="F230" s="590" t="e">
        <f t="shared" si="194"/>
        <v>#VALUE!</v>
      </c>
      <c r="G230" s="590" t="str">
        <f t="shared" si="198"/>
        <v>0</v>
      </c>
      <c r="H230" s="590" t="e">
        <f ca="1">OFFSET('360SpcLdsCSV'!$B$5,$B230,H$51)</f>
        <v>#N/A</v>
      </c>
      <c r="I230" s="590" t="e">
        <f ca="1">OFFSET('360SpcLdsCSV'!$B$5,$B230,I$51)</f>
        <v>#N/A</v>
      </c>
      <c r="J230" s="590" t="e">
        <f ca="1">OFFSET('360SpcLdsCSV'!$B$5,$B230,J$51)</f>
        <v>#N/A</v>
      </c>
      <c r="K230" s="590" t="e">
        <f ca="1">OFFSET('360SpcLdsCSV'!$B$5,$B230,K$51)</f>
        <v>#N/A</v>
      </c>
      <c r="L230" s="590" t="e">
        <f ca="1">OFFSET('360SpcLdsCSV'!$B$5,$B230,L$51)</f>
        <v>#N/A</v>
      </c>
      <c r="M230" s="592" t="e">
        <f ca="1">OFFSET('360SpcLdsCSV'!$B$5,$B230,M$51)</f>
        <v>#N/A</v>
      </c>
      <c r="N230" s="592" t="e">
        <f ca="1">OFFSET('360SpcLdsCSV'!$B$5,$B230,N$51)</f>
        <v>#N/A</v>
      </c>
      <c r="O230" s="592" t="e">
        <f ca="1">OFFSET('360SpcLdsCSV'!$B$5,$B230,O$51)</f>
        <v>#N/A</v>
      </c>
      <c r="P230" s="592" t="e">
        <f ca="1">OFFSET('360SpcLdsCSV'!$B$5,$B230,P$51)</f>
        <v>#N/A</v>
      </c>
      <c r="Q230" s="592" t="e">
        <f ca="1">OFFSET('360SpcLdsCSV'!$B$5,$B230,Q$51)</f>
        <v>#N/A</v>
      </c>
      <c r="R230" s="592" t="e">
        <f ca="1">OFFSET('360SpcLdsCSV'!$B$5,$B230,R$51)</f>
        <v>#N/A</v>
      </c>
      <c r="S230" s="592" t="e">
        <f ca="1">OFFSET('360SpcLdsCSV'!$B$5,$B230,S$51)</f>
        <v>#N/A</v>
      </c>
      <c r="T230" s="592" t="e">
        <f ca="1">OFFSET('360SpcLdsCSV'!$B$5,$B230,T$51)</f>
        <v>#N/A</v>
      </c>
      <c r="U230" s="592" t="e">
        <f ca="1">OFFSET('360SpcLdsCSV'!$B$5,$B230,U$51)</f>
        <v>#N/A</v>
      </c>
      <c r="V230" s="592" t="e">
        <f ca="1">OFFSET('360SpcLdsCSV'!$B$5,$B230,V$51)</f>
        <v>#N/A</v>
      </c>
      <c r="W230" s="592" t="e">
        <f ca="1">OFFSET('360SpcLdsCSV'!$B$5,$B230,W$51)</f>
        <v>#N/A</v>
      </c>
      <c r="X230" s="592" t="e">
        <f ca="1">OFFSET('360SpcLdsCSV'!$B$5,$B230,X$51)</f>
        <v>#N/A</v>
      </c>
      <c r="Y230" s="592" t="e">
        <f ca="1">OFFSET('360SpcLdsCSV'!$B$5,$B230,Y$51)</f>
        <v>#N/A</v>
      </c>
      <c r="Z230" s="592" t="e">
        <f ca="1">OFFSET('360SpcLdsCSV'!$B$5,$B230,Z$51)</f>
        <v>#N/A</v>
      </c>
      <c r="AA230" s="592" t="e">
        <f ca="1">OFFSET('360SpcLdsCSV'!$B$5,$B230,AA$51)</f>
        <v>#N/A</v>
      </c>
      <c r="AB230" s="592" t="e">
        <f ca="1">OFFSET('360SpcLdsCSV'!$B$5,$B230,AB$51)</f>
        <v>#N/A</v>
      </c>
      <c r="AC230" s="592" t="e">
        <f ca="1">OFFSET('360SpcLdsCSV'!$B$5,$B230,AC$51)</f>
        <v>#N/A</v>
      </c>
      <c r="AD230" s="592" t="e">
        <f ca="1">OFFSET('360SpcLdsCSV'!$B$5,$B230,AD$51)</f>
        <v>#N/A</v>
      </c>
      <c r="AE230" s="592" t="e">
        <f ca="1">OFFSET('360SpcLdsCSV'!$B$5,$B230,AE$51)</f>
        <v>#N/A</v>
      </c>
      <c r="AF230" s="592" t="e">
        <f ca="1">OFFSET('360SpcLdsCSV'!$B$5,$B230,AF$51)</f>
        <v>#N/A</v>
      </c>
      <c r="AG230" s="592" t="e">
        <f ca="1">OFFSET('360SpcLdsCSV'!$B$5,$B230,AG$51)</f>
        <v>#N/A</v>
      </c>
      <c r="AH230" s="592" t="e">
        <f ca="1">OFFSET('360SpcLdsCSV'!$B$5,$B230,AH$51)</f>
        <v>#N/A</v>
      </c>
      <c r="AI230" s="592" t="e">
        <f ca="1">OFFSET('360SpcLdsCSV'!$B$5,$B230,AI$51)</f>
        <v>#N/A</v>
      </c>
      <c r="AJ230" s="592" t="e" cm="1">
        <f t="array" ref="AJ230">_xlfn.IFS($F230="Resi",1,$F230="Racc",0,$F230="Coml",0,$F230="Prkg",0)</f>
        <v>#VALUE!</v>
      </c>
      <c r="AK230" s="596"/>
      <c r="AL230" s="590" t="e">
        <f ca="1">OFFSET('360SpcLdsCSV'!$B$5,$B230,AL$51)</f>
        <v>#N/A</v>
      </c>
      <c r="AM230" s="663" t="e">
        <f t="shared" ca="1" si="168"/>
        <v>#N/A</v>
      </c>
      <c r="AN230" s="663" t="e">
        <f t="shared" ca="1" si="169"/>
        <v>#N/A</v>
      </c>
      <c r="AO230" s="663" t="e">
        <f t="shared" ca="1" si="196"/>
        <v>#N/A</v>
      </c>
      <c r="AP230" s="663" t="e">
        <f t="shared" ca="1" si="170"/>
        <v>#N/A</v>
      </c>
      <c r="AQ230" s="663" t="e">
        <f t="shared" ca="1" si="171"/>
        <v>#N/A</v>
      </c>
      <c r="AR230" s="663" t="e">
        <f t="shared" ca="1" si="172"/>
        <v>#N/A</v>
      </c>
      <c r="AS230" s="663" t="e">
        <f t="shared" ca="1" si="173"/>
        <v>#N/A</v>
      </c>
      <c r="AT230" s="663" t="e">
        <f t="shared" ca="1" si="174"/>
        <v>#N/A</v>
      </c>
      <c r="AU230" s="663" t="e">
        <f t="shared" ca="1" si="175"/>
        <v>#N/A</v>
      </c>
      <c r="AV230" s="663" t="e">
        <f t="shared" ca="1" si="176"/>
        <v>#N/A</v>
      </c>
      <c r="AW230" s="663" t="e">
        <f t="shared" ca="1" si="177"/>
        <v>#N/A</v>
      </c>
      <c r="AX230" s="663" t="e">
        <f t="shared" ca="1" si="178"/>
        <v>#N/A</v>
      </c>
      <c r="AY230" s="663" t="e">
        <f t="shared" ca="1" si="179"/>
        <v>#N/A</v>
      </c>
      <c r="AZ230" s="663" t="e">
        <f t="shared" ca="1" si="180"/>
        <v>#N/A</v>
      </c>
      <c r="BA230" s="663" t="e">
        <f t="shared" ca="1" si="181"/>
        <v>#N/A</v>
      </c>
      <c r="BB230" s="663" t="e">
        <f t="shared" ca="1" si="182"/>
        <v>#N/A</v>
      </c>
      <c r="BC230" s="663" t="e">
        <f t="shared" ca="1" si="183"/>
        <v>#N/A</v>
      </c>
      <c r="BD230" s="663" t="e">
        <f t="shared" ca="1" si="184"/>
        <v>#N/A</v>
      </c>
      <c r="BE230" s="663" t="e">
        <f t="shared" ca="1" si="185"/>
        <v>#N/A</v>
      </c>
      <c r="BF230" s="663" t="e">
        <f t="shared" ca="1" si="186"/>
        <v>#N/A</v>
      </c>
      <c r="BG230" s="663" t="e">
        <f t="shared" ca="1" si="187"/>
        <v>#N/A</v>
      </c>
      <c r="BH230" s="663" t="e">
        <f t="shared" ca="1" si="188"/>
        <v>#N/A</v>
      </c>
      <c r="BI230" s="663" t="e">
        <f t="shared" ca="1" si="189"/>
        <v>#N/A</v>
      </c>
      <c r="BJ230" s="663" t="e">
        <f t="shared" ca="1" si="190"/>
        <v>#N/A</v>
      </c>
      <c r="BK230" s="663" t="e">
        <f t="shared" ca="1" si="191"/>
        <v>#N/A</v>
      </c>
      <c r="BL230" s="1918"/>
      <c r="BM230" s="1532"/>
      <c r="BN230" s="1919"/>
      <c r="BO230" s="603"/>
      <c r="BP230" s="602"/>
      <c r="BQ230" s="602"/>
      <c r="BR230" s="602"/>
      <c r="BS230" s="604"/>
      <c r="BT230" s="605"/>
      <c r="BU230" s="602"/>
      <c r="BV230" s="602"/>
      <c r="BW230" s="606"/>
      <c r="BX230" s="607"/>
      <c r="BY230" s="608"/>
      <c r="BZ230" s="608"/>
      <c r="CA230" s="608"/>
      <c r="CB230" s="600"/>
    </row>
    <row r="231" spans="2:80" ht="12" customHeight="1" x14ac:dyDescent="0.35">
      <c r="B231" s="590" t="e">
        <f>MATCH(C231,'360SpcLdsCSV'!$C$6:$C$500,0)</f>
        <v>#N/A</v>
      </c>
      <c r="C231" s="590">
        <f>'360SpcLdsCSV'!C180</f>
        <v>0</v>
      </c>
      <c r="D231" s="590" t="str">
        <f t="shared" si="197"/>
        <v>0</v>
      </c>
      <c r="E231" s="590" t="e">
        <f t="shared" si="193"/>
        <v>#VALUE!</v>
      </c>
      <c r="F231" s="590" t="e">
        <f t="shared" si="194"/>
        <v>#VALUE!</v>
      </c>
      <c r="G231" s="590" t="str">
        <f t="shared" si="198"/>
        <v>0</v>
      </c>
      <c r="H231" s="590" t="e">
        <f ca="1">OFFSET('360SpcLdsCSV'!$B$5,$B231,H$51)</f>
        <v>#N/A</v>
      </c>
      <c r="I231" s="590" t="e">
        <f ca="1">OFFSET('360SpcLdsCSV'!$B$5,$B231,I$51)</f>
        <v>#N/A</v>
      </c>
      <c r="J231" s="590" t="e">
        <f ca="1">OFFSET('360SpcLdsCSV'!$B$5,$B231,J$51)</f>
        <v>#N/A</v>
      </c>
      <c r="K231" s="590" t="e">
        <f ca="1">OFFSET('360SpcLdsCSV'!$B$5,$B231,K$51)</f>
        <v>#N/A</v>
      </c>
      <c r="L231" s="590" t="e">
        <f ca="1">OFFSET('360SpcLdsCSV'!$B$5,$B231,L$51)</f>
        <v>#N/A</v>
      </c>
      <c r="M231" s="592" t="e">
        <f ca="1">OFFSET('360SpcLdsCSV'!$B$5,$B231,M$51)</f>
        <v>#N/A</v>
      </c>
      <c r="N231" s="592" t="e">
        <f ca="1">OFFSET('360SpcLdsCSV'!$B$5,$B231,N$51)</f>
        <v>#N/A</v>
      </c>
      <c r="O231" s="592" t="e">
        <f ca="1">OFFSET('360SpcLdsCSV'!$B$5,$B231,O$51)</f>
        <v>#N/A</v>
      </c>
      <c r="P231" s="592" t="e">
        <f ca="1">OFFSET('360SpcLdsCSV'!$B$5,$B231,P$51)</f>
        <v>#N/A</v>
      </c>
      <c r="Q231" s="592" t="e">
        <f ca="1">OFFSET('360SpcLdsCSV'!$B$5,$B231,Q$51)</f>
        <v>#N/A</v>
      </c>
      <c r="R231" s="592" t="e">
        <f ca="1">OFFSET('360SpcLdsCSV'!$B$5,$B231,R$51)</f>
        <v>#N/A</v>
      </c>
      <c r="S231" s="592" t="e">
        <f ca="1">OFFSET('360SpcLdsCSV'!$B$5,$B231,S$51)</f>
        <v>#N/A</v>
      </c>
      <c r="T231" s="592" t="e">
        <f ca="1">OFFSET('360SpcLdsCSV'!$B$5,$B231,T$51)</f>
        <v>#N/A</v>
      </c>
      <c r="U231" s="592" t="e">
        <f ca="1">OFFSET('360SpcLdsCSV'!$B$5,$B231,U$51)</f>
        <v>#N/A</v>
      </c>
      <c r="V231" s="592" t="e">
        <f ca="1">OFFSET('360SpcLdsCSV'!$B$5,$B231,V$51)</f>
        <v>#N/A</v>
      </c>
      <c r="W231" s="592" t="e">
        <f ca="1">OFFSET('360SpcLdsCSV'!$B$5,$B231,W$51)</f>
        <v>#N/A</v>
      </c>
      <c r="X231" s="592" t="e">
        <f ca="1">OFFSET('360SpcLdsCSV'!$B$5,$B231,X$51)</f>
        <v>#N/A</v>
      </c>
      <c r="Y231" s="592" t="e">
        <f ca="1">OFFSET('360SpcLdsCSV'!$B$5,$B231,Y$51)</f>
        <v>#N/A</v>
      </c>
      <c r="Z231" s="592" t="e">
        <f ca="1">OFFSET('360SpcLdsCSV'!$B$5,$B231,Z$51)</f>
        <v>#N/A</v>
      </c>
      <c r="AA231" s="592" t="e">
        <f ca="1">OFFSET('360SpcLdsCSV'!$B$5,$B231,AA$51)</f>
        <v>#N/A</v>
      </c>
      <c r="AB231" s="592" t="e">
        <f ca="1">OFFSET('360SpcLdsCSV'!$B$5,$B231,AB$51)</f>
        <v>#N/A</v>
      </c>
      <c r="AC231" s="592" t="e">
        <f ca="1">OFFSET('360SpcLdsCSV'!$B$5,$B231,AC$51)</f>
        <v>#N/A</v>
      </c>
      <c r="AD231" s="592" t="e">
        <f ca="1">OFFSET('360SpcLdsCSV'!$B$5,$B231,AD$51)</f>
        <v>#N/A</v>
      </c>
      <c r="AE231" s="592" t="e">
        <f ca="1">OFFSET('360SpcLdsCSV'!$B$5,$B231,AE$51)</f>
        <v>#N/A</v>
      </c>
      <c r="AF231" s="592" t="e">
        <f ca="1">OFFSET('360SpcLdsCSV'!$B$5,$B231,AF$51)</f>
        <v>#N/A</v>
      </c>
      <c r="AG231" s="592" t="e">
        <f ca="1">OFFSET('360SpcLdsCSV'!$B$5,$B231,AG$51)</f>
        <v>#N/A</v>
      </c>
      <c r="AH231" s="592" t="e">
        <f ca="1">OFFSET('360SpcLdsCSV'!$B$5,$B231,AH$51)</f>
        <v>#N/A</v>
      </c>
      <c r="AI231" s="592" t="e">
        <f ca="1">OFFSET('360SpcLdsCSV'!$B$5,$B231,AI$51)</f>
        <v>#N/A</v>
      </c>
      <c r="AJ231" s="592" t="e" cm="1">
        <f t="array" ref="AJ231">_xlfn.IFS($F231="Resi",1,$F231="Racc",0,$F231="Coml",0,$F231="Prkg",0)</f>
        <v>#VALUE!</v>
      </c>
      <c r="AK231" s="596"/>
      <c r="AL231" s="590" t="e">
        <f ca="1">OFFSET('360SpcLdsCSV'!$B$5,$B231,AL$51)</f>
        <v>#N/A</v>
      </c>
      <c r="AM231" s="663" t="e">
        <f t="shared" ca="1" si="168"/>
        <v>#N/A</v>
      </c>
      <c r="AN231" s="663" t="e">
        <f t="shared" ca="1" si="169"/>
        <v>#N/A</v>
      </c>
      <c r="AO231" s="663" t="e">
        <f t="shared" ca="1" si="196"/>
        <v>#N/A</v>
      </c>
      <c r="AP231" s="663" t="e">
        <f t="shared" ca="1" si="170"/>
        <v>#N/A</v>
      </c>
      <c r="AQ231" s="663" t="e">
        <f t="shared" ca="1" si="171"/>
        <v>#N/A</v>
      </c>
      <c r="AR231" s="663" t="e">
        <f t="shared" ca="1" si="172"/>
        <v>#N/A</v>
      </c>
      <c r="AS231" s="663" t="e">
        <f t="shared" ca="1" si="173"/>
        <v>#N/A</v>
      </c>
      <c r="AT231" s="663" t="e">
        <f t="shared" ca="1" si="174"/>
        <v>#N/A</v>
      </c>
      <c r="AU231" s="663" t="e">
        <f t="shared" ca="1" si="175"/>
        <v>#N/A</v>
      </c>
      <c r="AV231" s="663" t="e">
        <f t="shared" ca="1" si="176"/>
        <v>#N/A</v>
      </c>
      <c r="AW231" s="663" t="e">
        <f t="shared" ca="1" si="177"/>
        <v>#N/A</v>
      </c>
      <c r="AX231" s="663" t="e">
        <f t="shared" ca="1" si="178"/>
        <v>#N/A</v>
      </c>
      <c r="AY231" s="663" t="e">
        <f t="shared" ca="1" si="179"/>
        <v>#N/A</v>
      </c>
      <c r="AZ231" s="663" t="e">
        <f t="shared" ca="1" si="180"/>
        <v>#N/A</v>
      </c>
      <c r="BA231" s="663" t="e">
        <f t="shared" ca="1" si="181"/>
        <v>#N/A</v>
      </c>
      <c r="BB231" s="663" t="e">
        <f t="shared" ca="1" si="182"/>
        <v>#N/A</v>
      </c>
      <c r="BC231" s="663" t="e">
        <f t="shared" ca="1" si="183"/>
        <v>#N/A</v>
      </c>
      <c r="BD231" s="663" t="e">
        <f t="shared" ca="1" si="184"/>
        <v>#N/A</v>
      </c>
      <c r="BE231" s="663" t="e">
        <f t="shared" ca="1" si="185"/>
        <v>#N/A</v>
      </c>
      <c r="BF231" s="663" t="e">
        <f t="shared" ca="1" si="186"/>
        <v>#N/A</v>
      </c>
      <c r="BG231" s="663" t="e">
        <f t="shared" ca="1" si="187"/>
        <v>#N/A</v>
      </c>
      <c r="BH231" s="663" t="e">
        <f t="shared" ca="1" si="188"/>
        <v>#N/A</v>
      </c>
      <c r="BI231" s="663" t="e">
        <f t="shared" ca="1" si="189"/>
        <v>#N/A</v>
      </c>
      <c r="BJ231" s="663" t="e">
        <f t="shared" ca="1" si="190"/>
        <v>#N/A</v>
      </c>
      <c r="BK231" s="663" t="e">
        <f t="shared" ca="1" si="191"/>
        <v>#N/A</v>
      </c>
      <c r="BL231" s="1918"/>
      <c r="BM231" s="1532"/>
      <c r="BN231" s="1919"/>
      <c r="BO231" s="603"/>
      <c r="BP231" s="602"/>
      <c r="BQ231" s="602"/>
      <c r="BR231" s="602"/>
      <c r="BS231" s="604"/>
      <c r="BT231" s="605"/>
      <c r="BU231" s="602"/>
      <c r="BV231" s="602"/>
      <c r="BW231" s="606"/>
      <c r="BX231" s="607"/>
      <c r="BY231" s="608"/>
      <c r="BZ231" s="608"/>
      <c r="CA231" s="608"/>
      <c r="CB231" s="600"/>
    </row>
    <row r="232" spans="2:80" ht="12" customHeight="1" x14ac:dyDescent="0.35">
      <c r="B232" s="590" t="e">
        <f>MATCH(C232,'360SpcLdsCSV'!$C$6:$C$500,0)</f>
        <v>#N/A</v>
      </c>
      <c r="C232" s="590">
        <f>'360SpcLdsCSV'!C181</f>
        <v>0</v>
      </c>
      <c r="D232" s="590" t="str">
        <f t="shared" si="197"/>
        <v>0</v>
      </c>
      <c r="E232" s="590" t="e">
        <f t="shared" si="193"/>
        <v>#VALUE!</v>
      </c>
      <c r="F232" s="590" t="e">
        <f t="shared" si="194"/>
        <v>#VALUE!</v>
      </c>
      <c r="G232" s="590" t="str">
        <f t="shared" si="198"/>
        <v>0</v>
      </c>
      <c r="H232" s="590" t="e">
        <f ca="1">OFFSET('360SpcLdsCSV'!$B$5,$B232,H$51)</f>
        <v>#N/A</v>
      </c>
      <c r="I232" s="590" t="e">
        <f ca="1">OFFSET('360SpcLdsCSV'!$B$5,$B232,I$51)</f>
        <v>#N/A</v>
      </c>
      <c r="J232" s="590" t="e">
        <f ca="1">OFFSET('360SpcLdsCSV'!$B$5,$B232,J$51)</f>
        <v>#N/A</v>
      </c>
      <c r="K232" s="590" t="e">
        <f ca="1">OFFSET('360SpcLdsCSV'!$B$5,$B232,K$51)</f>
        <v>#N/A</v>
      </c>
      <c r="L232" s="590" t="e">
        <f ca="1">OFFSET('360SpcLdsCSV'!$B$5,$B232,L$51)</f>
        <v>#N/A</v>
      </c>
      <c r="M232" s="592" t="e">
        <f ca="1">OFFSET('360SpcLdsCSV'!$B$5,$B232,M$51)</f>
        <v>#N/A</v>
      </c>
      <c r="N232" s="592" t="e">
        <f ca="1">OFFSET('360SpcLdsCSV'!$B$5,$B232,N$51)</f>
        <v>#N/A</v>
      </c>
      <c r="O232" s="592" t="e">
        <f ca="1">OFFSET('360SpcLdsCSV'!$B$5,$B232,O$51)</f>
        <v>#N/A</v>
      </c>
      <c r="P232" s="592" t="e">
        <f ca="1">OFFSET('360SpcLdsCSV'!$B$5,$B232,P$51)</f>
        <v>#N/A</v>
      </c>
      <c r="Q232" s="592" t="e">
        <f ca="1">OFFSET('360SpcLdsCSV'!$B$5,$B232,Q$51)</f>
        <v>#N/A</v>
      </c>
      <c r="R232" s="592" t="e">
        <f ca="1">OFFSET('360SpcLdsCSV'!$B$5,$B232,R$51)</f>
        <v>#N/A</v>
      </c>
      <c r="S232" s="592" t="e">
        <f ca="1">OFFSET('360SpcLdsCSV'!$B$5,$B232,S$51)</f>
        <v>#N/A</v>
      </c>
      <c r="T232" s="592" t="e">
        <f ca="1">OFFSET('360SpcLdsCSV'!$B$5,$B232,T$51)</f>
        <v>#N/A</v>
      </c>
      <c r="U232" s="592" t="e">
        <f ca="1">OFFSET('360SpcLdsCSV'!$B$5,$B232,U$51)</f>
        <v>#N/A</v>
      </c>
      <c r="V232" s="592" t="e">
        <f ca="1">OFFSET('360SpcLdsCSV'!$B$5,$B232,V$51)</f>
        <v>#N/A</v>
      </c>
      <c r="W232" s="592" t="e">
        <f ca="1">OFFSET('360SpcLdsCSV'!$B$5,$B232,W$51)</f>
        <v>#N/A</v>
      </c>
      <c r="X232" s="592" t="e">
        <f ca="1">OFFSET('360SpcLdsCSV'!$B$5,$B232,X$51)</f>
        <v>#N/A</v>
      </c>
      <c r="Y232" s="592" t="e">
        <f ca="1">OFFSET('360SpcLdsCSV'!$B$5,$B232,Y$51)</f>
        <v>#N/A</v>
      </c>
      <c r="Z232" s="592" t="e">
        <f ca="1">OFFSET('360SpcLdsCSV'!$B$5,$B232,Z$51)</f>
        <v>#N/A</v>
      </c>
      <c r="AA232" s="592" t="e">
        <f ca="1">OFFSET('360SpcLdsCSV'!$B$5,$B232,AA$51)</f>
        <v>#N/A</v>
      </c>
      <c r="AB232" s="592" t="e">
        <f ca="1">OFFSET('360SpcLdsCSV'!$B$5,$B232,AB$51)</f>
        <v>#N/A</v>
      </c>
      <c r="AC232" s="592" t="e">
        <f ca="1">OFFSET('360SpcLdsCSV'!$B$5,$B232,AC$51)</f>
        <v>#N/A</v>
      </c>
      <c r="AD232" s="592" t="e">
        <f ca="1">OFFSET('360SpcLdsCSV'!$B$5,$B232,AD$51)</f>
        <v>#N/A</v>
      </c>
      <c r="AE232" s="592" t="e">
        <f ca="1">OFFSET('360SpcLdsCSV'!$B$5,$B232,AE$51)</f>
        <v>#N/A</v>
      </c>
      <c r="AF232" s="592" t="e">
        <f ca="1">OFFSET('360SpcLdsCSV'!$B$5,$B232,AF$51)</f>
        <v>#N/A</v>
      </c>
      <c r="AG232" s="592" t="e">
        <f ca="1">OFFSET('360SpcLdsCSV'!$B$5,$B232,AG$51)</f>
        <v>#N/A</v>
      </c>
      <c r="AH232" s="592" t="e">
        <f ca="1">OFFSET('360SpcLdsCSV'!$B$5,$B232,AH$51)</f>
        <v>#N/A</v>
      </c>
      <c r="AI232" s="592" t="e">
        <f ca="1">OFFSET('360SpcLdsCSV'!$B$5,$B232,AI$51)</f>
        <v>#N/A</v>
      </c>
      <c r="AJ232" s="592" t="e" cm="1">
        <f t="array" ref="AJ232">_xlfn.IFS($F232="Resi",1,$F232="Racc",0,$F232="Coml",0,$F232="Prkg",0)</f>
        <v>#VALUE!</v>
      </c>
      <c r="AK232" s="596"/>
      <c r="AL232" s="590" t="e">
        <f ca="1">OFFSET('360SpcLdsCSV'!$B$5,$B232,AL$51)</f>
        <v>#N/A</v>
      </c>
      <c r="AM232" s="663" t="e">
        <f t="shared" ca="1" si="168"/>
        <v>#N/A</v>
      </c>
      <c r="AN232" s="663" t="e">
        <f t="shared" ca="1" si="169"/>
        <v>#N/A</v>
      </c>
      <c r="AO232" s="663" t="e">
        <f t="shared" ca="1" si="196"/>
        <v>#N/A</v>
      </c>
      <c r="AP232" s="663" t="e">
        <f t="shared" ca="1" si="170"/>
        <v>#N/A</v>
      </c>
      <c r="AQ232" s="663" t="e">
        <f t="shared" ca="1" si="171"/>
        <v>#N/A</v>
      </c>
      <c r="AR232" s="663" t="e">
        <f t="shared" ca="1" si="172"/>
        <v>#N/A</v>
      </c>
      <c r="AS232" s="663" t="e">
        <f t="shared" ca="1" si="173"/>
        <v>#N/A</v>
      </c>
      <c r="AT232" s="663" t="e">
        <f t="shared" ca="1" si="174"/>
        <v>#N/A</v>
      </c>
      <c r="AU232" s="663" t="e">
        <f t="shared" ca="1" si="175"/>
        <v>#N/A</v>
      </c>
      <c r="AV232" s="663" t="e">
        <f t="shared" ca="1" si="176"/>
        <v>#N/A</v>
      </c>
      <c r="AW232" s="663" t="e">
        <f t="shared" ca="1" si="177"/>
        <v>#N/A</v>
      </c>
      <c r="AX232" s="663" t="e">
        <f t="shared" ca="1" si="178"/>
        <v>#N/A</v>
      </c>
      <c r="AY232" s="663" t="e">
        <f t="shared" ca="1" si="179"/>
        <v>#N/A</v>
      </c>
      <c r="AZ232" s="663" t="e">
        <f t="shared" ca="1" si="180"/>
        <v>#N/A</v>
      </c>
      <c r="BA232" s="663" t="e">
        <f t="shared" ca="1" si="181"/>
        <v>#N/A</v>
      </c>
      <c r="BB232" s="663" t="e">
        <f t="shared" ca="1" si="182"/>
        <v>#N/A</v>
      </c>
      <c r="BC232" s="663" t="e">
        <f t="shared" ca="1" si="183"/>
        <v>#N/A</v>
      </c>
      <c r="BD232" s="663" t="e">
        <f t="shared" ca="1" si="184"/>
        <v>#N/A</v>
      </c>
      <c r="BE232" s="663" t="e">
        <f t="shared" ca="1" si="185"/>
        <v>#N/A</v>
      </c>
      <c r="BF232" s="663" t="e">
        <f t="shared" ca="1" si="186"/>
        <v>#N/A</v>
      </c>
      <c r="BG232" s="663" t="e">
        <f t="shared" ca="1" si="187"/>
        <v>#N/A</v>
      </c>
      <c r="BH232" s="663" t="e">
        <f t="shared" ca="1" si="188"/>
        <v>#N/A</v>
      </c>
      <c r="BI232" s="663" t="e">
        <f t="shared" ca="1" si="189"/>
        <v>#N/A</v>
      </c>
      <c r="BJ232" s="663" t="e">
        <f t="shared" ca="1" si="190"/>
        <v>#N/A</v>
      </c>
      <c r="BK232" s="663" t="e">
        <f t="shared" ca="1" si="191"/>
        <v>#N/A</v>
      </c>
      <c r="BL232" s="1918"/>
      <c r="BM232" s="1532"/>
      <c r="BN232" s="1919"/>
      <c r="BO232" s="603"/>
      <c r="BP232" s="602"/>
      <c r="BQ232" s="602"/>
      <c r="BR232" s="602"/>
      <c r="BS232" s="604"/>
      <c r="BT232" s="605"/>
      <c r="BU232" s="602"/>
      <c r="BV232" s="602"/>
      <c r="BW232" s="606"/>
      <c r="BX232" s="607"/>
      <c r="BY232" s="608"/>
      <c r="BZ232" s="608"/>
      <c r="CA232" s="608"/>
      <c r="CB232" s="600"/>
    </row>
    <row r="233" spans="2:80" ht="12" customHeight="1" x14ac:dyDescent="0.35">
      <c r="B233" s="590" t="e">
        <f>MATCH(C233,'360SpcLdsCSV'!$C$6:$C$500,0)</f>
        <v>#N/A</v>
      </c>
      <c r="C233" s="590">
        <f>'360SpcLdsCSV'!C182</f>
        <v>0</v>
      </c>
      <c r="D233" s="590" t="str">
        <f t="shared" si="197"/>
        <v>0</v>
      </c>
      <c r="E233" s="590" t="e">
        <f t="shared" si="193"/>
        <v>#VALUE!</v>
      </c>
      <c r="F233" s="590" t="e">
        <f t="shared" si="194"/>
        <v>#VALUE!</v>
      </c>
      <c r="G233" s="590" t="str">
        <f t="shared" si="198"/>
        <v>0</v>
      </c>
      <c r="H233" s="590" t="e">
        <f ca="1">OFFSET('360SpcLdsCSV'!$B$5,$B233,H$51)</f>
        <v>#N/A</v>
      </c>
      <c r="I233" s="590" t="e">
        <f ca="1">OFFSET('360SpcLdsCSV'!$B$5,$B233,I$51)</f>
        <v>#N/A</v>
      </c>
      <c r="J233" s="590" t="e">
        <f ca="1">OFFSET('360SpcLdsCSV'!$B$5,$B233,J$51)</f>
        <v>#N/A</v>
      </c>
      <c r="K233" s="590" t="e">
        <f ca="1">OFFSET('360SpcLdsCSV'!$B$5,$B233,K$51)</f>
        <v>#N/A</v>
      </c>
      <c r="L233" s="590" t="e">
        <f ca="1">OFFSET('360SpcLdsCSV'!$B$5,$B233,L$51)</f>
        <v>#N/A</v>
      </c>
      <c r="M233" s="592" t="e">
        <f ca="1">OFFSET('360SpcLdsCSV'!$B$5,$B233,M$51)</f>
        <v>#N/A</v>
      </c>
      <c r="N233" s="592" t="e">
        <f ca="1">OFFSET('360SpcLdsCSV'!$B$5,$B233,N$51)</f>
        <v>#N/A</v>
      </c>
      <c r="O233" s="592" t="e">
        <f ca="1">OFFSET('360SpcLdsCSV'!$B$5,$B233,O$51)</f>
        <v>#N/A</v>
      </c>
      <c r="P233" s="592" t="e">
        <f ca="1">OFFSET('360SpcLdsCSV'!$B$5,$B233,P$51)</f>
        <v>#N/A</v>
      </c>
      <c r="Q233" s="592" t="e">
        <f ca="1">OFFSET('360SpcLdsCSV'!$B$5,$B233,Q$51)</f>
        <v>#N/A</v>
      </c>
      <c r="R233" s="592" t="e">
        <f ca="1">OFFSET('360SpcLdsCSV'!$B$5,$B233,R$51)</f>
        <v>#N/A</v>
      </c>
      <c r="S233" s="592" t="e">
        <f ca="1">OFFSET('360SpcLdsCSV'!$B$5,$B233,S$51)</f>
        <v>#N/A</v>
      </c>
      <c r="T233" s="592" t="e">
        <f ca="1">OFFSET('360SpcLdsCSV'!$B$5,$B233,T$51)</f>
        <v>#N/A</v>
      </c>
      <c r="U233" s="592" t="e">
        <f ca="1">OFFSET('360SpcLdsCSV'!$B$5,$B233,U$51)</f>
        <v>#N/A</v>
      </c>
      <c r="V233" s="592" t="e">
        <f ca="1">OFFSET('360SpcLdsCSV'!$B$5,$B233,V$51)</f>
        <v>#N/A</v>
      </c>
      <c r="W233" s="592" t="e">
        <f ca="1">OFFSET('360SpcLdsCSV'!$B$5,$B233,W$51)</f>
        <v>#N/A</v>
      </c>
      <c r="X233" s="592" t="e">
        <f ca="1">OFFSET('360SpcLdsCSV'!$B$5,$B233,X$51)</f>
        <v>#N/A</v>
      </c>
      <c r="Y233" s="592" t="e">
        <f ca="1">OFFSET('360SpcLdsCSV'!$B$5,$B233,Y$51)</f>
        <v>#N/A</v>
      </c>
      <c r="Z233" s="592" t="e">
        <f ca="1">OFFSET('360SpcLdsCSV'!$B$5,$B233,Z$51)</f>
        <v>#N/A</v>
      </c>
      <c r="AA233" s="592" t="e">
        <f ca="1">OFFSET('360SpcLdsCSV'!$B$5,$B233,AA$51)</f>
        <v>#N/A</v>
      </c>
      <c r="AB233" s="592" t="e">
        <f ca="1">OFFSET('360SpcLdsCSV'!$B$5,$B233,AB$51)</f>
        <v>#N/A</v>
      </c>
      <c r="AC233" s="592" t="e">
        <f ca="1">OFFSET('360SpcLdsCSV'!$B$5,$B233,AC$51)</f>
        <v>#N/A</v>
      </c>
      <c r="AD233" s="592" t="e">
        <f ca="1">OFFSET('360SpcLdsCSV'!$B$5,$B233,AD$51)</f>
        <v>#N/A</v>
      </c>
      <c r="AE233" s="592" t="e">
        <f ca="1">OFFSET('360SpcLdsCSV'!$B$5,$B233,AE$51)</f>
        <v>#N/A</v>
      </c>
      <c r="AF233" s="592" t="e">
        <f ca="1">OFFSET('360SpcLdsCSV'!$B$5,$B233,AF$51)</f>
        <v>#N/A</v>
      </c>
      <c r="AG233" s="592" t="e">
        <f ca="1">OFFSET('360SpcLdsCSV'!$B$5,$B233,AG$51)</f>
        <v>#N/A</v>
      </c>
      <c r="AH233" s="592" t="e">
        <f ca="1">OFFSET('360SpcLdsCSV'!$B$5,$B233,AH$51)</f>
        <v>#N/A</v>
      </c>
      <c r="AI233" s="592" t="e">
        <f ca="1">OFFSET('360SpcLdsCSV'!$B$5,$B233,AI$51)</f>
        <v>#N/A</v>
      </c>
      <c r="AJ233" s="592" t="e" cm="1">
        <f t="array" ref="AJ233">_xlfn.IFS($F233="Resi",1,$F233="Racc",0,$F233="Coml",0,$F233="Prkg",0)</f>
        <v>#VALUE!</v>
      </c>
      <c r="AK233" s="596"/>
      <c r="AL233" s="590" t="e">
        <f ca="1">OFFSET('360SpcLdsCSV'!$B$5,$B233,AL$51)</f>
        <v>#N/A</v>
      </c>
      <c r="AM233" s="663" t="e">
        <f t="shared" ca="1" si="168"/>
        <v>#N/A</v>
      </c>
      <c r="AN233" s="663" t="e">
        <f t="shared" ca="1" si="169"/>
        <v>#N/A</v>
      </c>
      <c r="AO233" s="663" t="e">
        <f t="shared" ca="1" si="196"/>
        <v>#N/A</v>
      </c>
      <c r="AP233" s="663" t="e">
        <f t="shared" ca="1" si="170"/>
        <v>#N/A</v>
      </c>
      <c r="AQ233" s="663" t="e">
        <f t="shared" ca="1" si="171"/>
        <v>#N/A</v>
      </c>
      <c r="AR233" s="663" t="e">
        <f t="shared" ca="1" si="172"/>
        <v>#N/A</v>
      </c>
      <c r="AS233" s="663" t="e">
        <f t="shared" ca="1" si="173"/>
        <v>#N/A</v>
      </c>
      <c r="AT233" s="663" t="e">
        <f t="shared" ca="1" si="174"/>
        <v>#N/A</v>
      </c>
      <c r="AU233" s="663" t="e">
        <f t="shared" ca="1" si="175"/>
        <v>#N/A</v>
      </c>
      <c r="AV233" s="663" t="e">
        <f t="shared" ca="1" si="176"/>
        <v>#N/A</v>
      </c>
      <c r="AW233" s="663" t="e">
        <f t="shared" ca="1" si="177"/>
        <v>#N/A</v>
      </c>
      <c r="AX233" s="663" t="e">
        <f t="shared" ca="1" si="178"/>
        <v>#N/A</v>
      </c>
      <c r="AY233" s="663" t="e">
        <f t="shared" ca="1" si="179"/>
        <v>#N/A</v>
      </c>
      <c r="AZ233" s="663" t="e">
        <f t="shared" ca="1" si="180"/>
        <v>#N/A</v>
      </c>
      <c r="BA233" s="663" t="e">
        <f t="shared" ca="1" si="181"/>
        <v>#N/A</v>
      </c>
      <c r="BB233" s="663" t="e">
        <f t="shared" ca="1" si="182"/>
        <v>#N/A</v>
      </c>
      <c r="BC233" s="663" t="e">
        <f t="shared" ca="1" si="183"/>
        <v>#N/A</v>
      </c>
      <c r="BD233" s="663" t="e">
        <f t="shared" ca="1" si="184"/>
        <v>#N/A</v>
      </c>
      <c r="BE233" s="663" t="e">
        <f t="shared" ca="1" si="185"/>
        <v>#N/A</v>
      </c>
      <c r="BF233" s="663" t="e">
        <f t="shared" ca="1" si="186"/>
        <v>#N/A</v>
      </c>
      <c r="BG233" s="663" t="e">
        <f t="shared" ca="1" si="187"/>
        <v>#N/A</v>
      </c>
      <c r="BH233" s="663" t="e">
        <f t="shared" ca="1" si="188"/>
        <v>#N/A</v>
      </c>
      <c r="BI233" s="663" t="e">
        <f t="shared" ca="1" si="189"/>
        <v>#N/A</v>
      </c>
      <c r="BJ233" s="663" t="e">
        <f t="shared" ca="1" si="190"/>
        <v>#N/A</v>
      </c>
      <c r="BK233" s="663" t="e">
        <f t="shared" ca="1" si="191"/>
        <v>#N/A</v>
      </c>
      <c r="BL233" s="1918"/>
      <c r="BM233" s="1532"/>
      <c r="BN233" s="1919"/>
      <c r="BO233" s="603"/>
      <c r="BP233" s="602"/>
      <c r="BQ233" s="602"/>
      <c r="BR233" s="602"/>
      <c r="BS233" s="604"/>
      <c r="BT233" s="605"/>
      <c r="BU233" s="602"/>
      <c r="BV233" s="602"/>
      <c r="BW233" s="606"/>
      <c r="BX233" s="607"/>
      <c r="BY233" s="608"/>
      <c r="BZ233" s="608"/>
      <c r="CA233" s="608"/>
      <c r="CB233" s="600"/>
    </row>
    <row r="234" spans="2:80" ht="12" customHeight="1" x14ac:dyDescent="0.35">
      <c r="B234" s="590" t="e">
        <f>MATCH(C234,'360SpcLdsCSV'!$C$6:$C$500,0)</f>
        <v>#N/A</v>
      </c>
      <c r="C234" s="590">
        <f>'360SpcLdsCSV'!C183</f>
        <v>0</v>
      </c>
      <c r="D234" s="590" t="str">
        <f t="shared" si="197"/>
        <v>0</v>
      </c>
      <c r="E234" s="590" t="e">
        <f t="shared" si="193"/>
        <v>#VALUE!</v>
      </c>
      <c r="F234" s="590" t="e">
        <f t="shared" si="194"/>
        <v>#VALUE!</v>
      </c>
      <c r="G234" s="590" t="str">
        <f t="shared" si="198"/>
        <v>0</v>
      </c>
      <c r="H234" s="590" t="e">
        <f ca="1">OFFSET('360SpcLdsCSV'!$B$5,$B234,H$51)</f>
        <v>#N/A</v>
      </c>
      <c r="I234" s="590" t="e">
        <f ca="1">OFFSET('360SpcLdsCSV'!$B$5,$B234,I$51)</f>
        <v>#N/A</v>
      </c>
      <c r="J234" s="590" t="e">
        <f ca="1">OFFSET('360SpcLdsCSV'!$B$5,$B234,J$51)</f>
        <v>#N/A</v>
      </c>
      <c r="K234" s="590" t="e">
        <f ca="1">OFFSET('360SpcLdsCSV'!$B$5,$B234,K$51)</f>
        <v>#N/A</v>
      </c>
      <c r="L234" s="590" t="e">
        <f ca="1">OFFSET('360SpcLdsCSV'!$B$5,$B234,L$51)</f>
        <v>#N/A</v>
      </c>
      <c r="M234" s="592" t="e">
        <f ca="1">OFFSET('360SpcLdsCSV'!$B$5,$B234,M$51)</f>
        <v>#N/A</v>
      </c>
      <c r="N234" s="592" t="e">
        <f ca="1">OFFSET('360SpcLdsCSV'!$B$5,$B234,N$51)</f>
        <v>#N/A</v>
      </c>
      <c r="O234" s="592" t="e">
        <f ca="1">OFFSET('360SpcLdsCSV'!$B$5,$B234,O$51)</f>
        <v>#N/A</v>
      </c>
      <c r="P234" s="592" t="e">
        <f ca="1">OFFSET('360SpcLdsCSV'!$B$5,$B234,P$51)</f>
        <v>#N/A</v>
      </c>
      <c r="Q234" s="592" t="e">
        <f ca="1">OFFSET('360SpcLdsCSV'!$B$5,$B234,Q$51)</f>
        <v>#N/A</v>
      </c>
      <c r="R234" s="592" t="e">
        <f ca="1">OFFSET('360SpcLdsCSV'!$B$5,$B234,R$51)</f>
        <v>#N/A</v>
      </c>
      <c r="S234" s="592" t="e">
        <f ca="1">OFFSET('360SpcLdsCSV'!$B$5,$B234,S$51)</f>
        <v>#N/A</v>
      </c>
      <c r="T234" s="592" t="e">
        <f ca="1">OFFSET('360SpcLdsCSV'!$B$5,$B234,T$51)</f>
        <v>#N/A</v>
      </c>
      <c r="U234" s="592" t="e">
        <f ca="1">OFFSET('360SpcLdsCSV'!$B$5,$B234,U$51)</f>
        <v>#N/A</v>
      </c>
      <c r="V234" s="592" t="e">
        <f ca="1">OFFSET('360SpcLdsCSV'!$B$5,$B234,V$51)</f>
        <v>#N/A</v>
      </c>
      <c r="W234" s="592" t="e">
        <f ca="1">OFFSET('360SpcLdsCSV'!$B$5,$B234,W$51)</f>
        <v>#N/A</v>
      </c>
      <c r="X234" s="592" t="e">
        <f ca="1">OFFSET('360SpcLdsCSV'!$B$5,$B234,X$51)</f>
        <v>#N/A</v>
      </c>
      <c r="Y234" s="592" t="e">
        <f ca="1">OFFSET('360SpcLdsCSV'!$B$5,$B234,Y$51)</f>
        <v>#N/A</v>
      </c>
      <c r="Z234" s="592" t="e">
        <f ca="1">OFFSET('360SpcLdsCSV'!$B$5,$B234,Z$51)</f>
        <v>#N/A</v>
      </c>
      <c r="AA234" s="592" t="e">
        <f ca="1">OFFSET('360SpcLdsCSV'!$B$5,$B234,AA$51)</f>
        <v>#N/A</v>
      </c>
      <c r="AB234" s="592" t="e">
        <f ca="1">OFFSET('360SpcLdsCSV'!$B$5,$B234,AB$51)</f>
        <v>#N/A</v>
      </c>
      <c r="AC234" s="592" t="e">
        <f ca="1">OFFSET('360SpcLdsCSV'!$B$5,$B234,AC$51)</f>
        <v>#N/A</v>
      </c>
      <c r="AD234" s="592" t="e">
        <f ca="1">OFFSET('360SpcLdsCSV'!$B$5,$B234,AD$51)</f>
        <v>#N/A</v>
      </c>
      <c r="AE234" s="592" t="e">
        <f ca="1">OFFSET('360SpcLdsCSV'!$B$5,$B234,AE$51)</f>
        <v>#N/A</v>
      </c>
      <c r="AF234" s="592" t="e">
        <f ca="1">OFFSET('360SpcLdsCSV'!$B$5,$B234,AF$51)</f>
        <v>#N/A</v>
      </c>
      <c r="AG234" s="592" t="e">
        <f ca="1">OFFSET('360SpcLdsCSV'!$B$5,$B234,AG$51)</f>
        <v>#N/A</v>
      </c>
      <c r="AH234" s="592" t="e">
        <f ca="1">OFFSET('360SpcLdsCSV'!$B$5,$B234,AH$51)</f>
        <v>#N/A</v>
      </c>
      <c r="AI234" s="592" t="e">
        <f ca="1">OFFSET('360SpcLdsCSV'!$B$5,$B234,AI$51)</f>
        <v>#N/A</v>
      </c>
      <c r="AJ234" s="592" t="e" cm="1">
        <f t="array" ref="AJ234">_xlfn.IFS($F234="Resi",1,$F234="Racc",0,$F234="Coml",0,$F234="Prkg",0)</f>
        <v>#VALUE!</v>
      </c>
      <c r="AK234" s="596"/>
      <c r="AL234" s="590" t="e">
        <f ca="1">OFFSET('360SpcLdsCSV'!$B$5,$B234,AL$51)</f>
        <v>#N/A</v>
      </c>
      <c r="AM234" s="663" t="e">
        <f t="shared" ca="1" si="168"/>
        <v>#N/A</v>
      </c>
      <c r="AN234" s="663" t="e">
        <f t="shared" ca="1" si="169"/>
        <v>#N/A</v>
      </c>
      <c r="AO234" s="663" t="e">
        <f t="shared" ca="1" si="196"/>
        <v>#N/A</v>
      </c>
      <c r="AP234" s="663" t="e">
        <f t="shared" ca="1" si="170"/>
        <v>#N/A</v>
      </c>
      <c r="AQ234" s="663" t="e">
        <f t="shared" ca="1" si="171"/>
        <v>#N/A</v>
      </c>
      <c r="AR234" s="663" t="e">
        <f t="shared" ca="1" si="172"/>
        <v>#N/A</v>
      </c>
      <c r="AS234" s="663" t="e">
        <f t="shared" ca="1" si="173"/>
        <v>#N/A</v>
      </c>
      <c r="AT234" s="663" t="e">
        <f t="shared" ca="1" si="174"/>
        <v>#N/A</v>
      </c>
      <c r="AU234" s="663" t="e">
        <f t="shared" ca="1" si="175"/>
        <v>#N/A</v>
      </c>
      <c r="AV234" s="663" t="e">
        <f t="shared" ca="1" si="176"/>
        <v>#N/A</v>
      </c>
      <c r="AW234" s="663" t="e">
        <f t="shared" ca="1" si="177"/>
        <v>#N/A</v>
      </c>
      <c r="AX234" s="663" t="e">
        <f t="shared" ca="1" si="178"/>
        <v>#N/A</v>
      </c>
      <c r="AY234" s="663" t="e">
        <f t="shared" ca="1" si="179"/>
        <v>#N/A</v>
      </c>
      <c r="AZ234" s="663" t="e">
        <f t="shared" ca="1" si="180"/>
        <v>#N/A</v>
      </c>
      <c r="BA234" s="663" t="e">
        <f t="shared" ca="1" si="181"/>
        <v>#N/A</v>
      </c>
      <c r="BB234" s="663" t="e">
        <f t="shared" ca="1" si="182"/>
        <v>#N/A</v>
      </c>
      <c r="BC234" s="663" t="e">
        <f t="shared" ca="1" si="183"/>
        <v>#N/A</v>
      </c>
      <c r="BD234" s="663" t="e">
        <f t="shared" ca="1" si="184"/>
        <v>#N/A</v>
      </c>
      <c r="BE234" s="663" t="e">
        <f t="shared" ca="1" si="185"/>
        <v>#N/A</v>
      </c>
      <c r="BF234" s="663" t="e">
        <f t="shared" ca="1" si="186"/>
        <v>#N/A</v>
      </c>
      <c r="BG234" s="663" t="e">
        <f t="shared" ca="1" si="187"/>
        <v>#N/A</v>
      </c>
      <c r="BH234" s="663" t="e">
        <f t="shared" ca="1" si="188"/>
        <v>#N/A</v>
      </c>
      <c r="BI234" s="663" t="e">
        <f t="shared" ca="1" si="189"/>
        <v>#N/A</v>
      </c>
      <c r="BJ234" s="663" t="e">
        <f t="shared" ca="1" si="190"/>
        <v>#N/A</v>
      </c>
      <c r="BK234" s="663" t="e">
        <f t="shared" ca="1" si="191"/>
        <v>#N/A</v>
      </c>
      <c r="BL234" s="1918"/>
      <c r="BM234" s="1532"/>
      <c r="BN234" s="1919"/>
      <c r="BO234" s="603"/>
      <c r="BP234" s="602"/>
      <c r="BQ234" s="602"/>
      <c r="BR234" s="602"/>
      <c r="BS234" s="604"/>
      <c r="BT234" s="605"/>
      <c r="BU234" s="602"/>
      <c r="BV234" s="602"/>
      <c r="BW234" s="606"/>
      <c r="BX234" s="607"/>
      <c r="BY234" s="608"/>
      <c r="BZ234" s="608"/>
      <c r="CA234" s="608"/>
      <c r="CB234" s="600"/>
    </row>
    <row r="235" spans="2:80" ht="12" customHeight="1" x14ac:dyDescent="0.35">
      <c r="B235" s="590" t="e">
        <f>MATCH(C235,'360SpcLdsCSV'!$C$6:$C$500,0)</f>
        <v>#N/A</v>
      </c>
      <c r="C235" s="590">
        <f>'360SpcLdsCSV'!C184</f>
        <v>0</v>
      </c>
      <c r="D235" s="590" t="str">
        <f t="shared" si="197"/>
        <v>0</v>
      </c>
      <c r="E235" s="590" t="e">
        <f t="shared" si="193"/>
        <v>#VALUE!</v>
      </c>
      <c r="F235" s="590" t="e">
        <f t="shared" si="194"/>
        <v>#VALUE!</v>
      </c>
      <c r="G235" s="590" t="str">
        <f t="shared" si="198"/>
        <v>0</v>
      </c>
      <c r="H235" s="590" t="e">
        <f ca="1">OFFSET('360SpcLdsCSV'!$B$5,$B235,H$51)</f>
        <v>#N/A</v>
      </c>
      <c r="I235" s="590" t="e">
        <f ca="1">OFFSET('360SpcLdsCSV'!$B$5,$B235,I$51)</f>
        <v>#N/A</v>
      </c>
      <c r="J235" s="590" t="e">
        <f ca="1">OFFSET('360SpcLdsCSV'!$B$5,$B235,J$51)</f>
        <v>#N/A</v>
      </c>
      <c r="K235" s="590" t="e">
        <f ca="1">OFFSET('360SpcLdsCSV'!$B$5,$B235,K$51)</f>
        <v>#N/A</v>
      </c>
      <c r="L235" s="590" t="e">
        <f ca="1">OFFSET('360SpcLdsCSV'!$B$5,$B235,L$51)</f>
        <v>#N/A</v>
      </c>
      <c r="M235" s="592" t="e">
        <f ca="1">OFFSET('360SpcLdsCSV'!$B$5,$B235,M$51)</f>
        <v>#N/A</v>
      </c>
      <c r="N235" s="592" t="e">
        <f ca="1">OFFSET('360SpcLdsCSV'!$B$5,$B235,N$51)</f>
        <v>#N/A</v>
      </c>
      <c r="O235" s="592" t="e">
        <f ca="1">OFFSET('360SpcLdsCSV'!$B$5,$B235,O$51)</f>
        <v>#N/A</v>
      </c>
      <c r="P235" s="592" t="e">
        <f ca="1">OFFSET('360SpcLdsCSV'!$B$5,$B235,P$51)</f>
        <v>#N/A</v>
      </c>
      <c r="Q235" s="592" t="e">
        <f ca="1">OFFSET('360SpcLdsCSV'!$B$5,$B235,Q$51)</f>
        <v>#N/A</v>
      </c>
      <c r="R235" s="592" t="e">
        <f ca="1">OFFSET('360SpcLdsCSV'!$B$5,$B235,R$51)</f>
        <v>#N/A</v>
      </c>
      <c r="S235" s="592" t="e">
        <f ca="1">OFFSET('360SpcLdsCSV'!$B$5,$B235,S$51)</f>
        <v>#N/A</v>
      </c>
      <c r="T235" s="592" t="e">
        <f ca="1">OFFSET('360SpcLdsCSV'!$B$5,$B235,T$51)</f>
        <v>#N/A</v>
      </c>
      <c r="U235" s="592" t="e">
        <f ca="1">OFFSET('360SpcLdsCSV'!$B$5,$B235,U$51)</f>
        <v>#N/A</v>
      </c>
      <c r="V235" s="592" t="e">
        <f ca="1">OFFSET('360SpcLdsCSV'!$B$5,$B235,V$51)</f>
        <v>#N/A</v>
      </c>
      <c r="W235" s="592" t="e">
        <f ca="1">OFFSET('360SpcLdsCSV'!$B$5,$B235,W$51)</f>
        <v>#N/A</v>
      </c>
      <c r="X235" s="592" t="e">
        <f ca="1">OFFSET('360SpcLdsCSV'!$B$5,$B235,X$51)</f>
        <v>#N/A</v>
      </c>
      <c r="Y235" s="592" t="e">
        <f ca="1">OFFSET('360SpcLdsCSV'!$B$5,$B235,Y$51)</f>
        <v>#N/A</v>
      </c>
      <c r="Z235" s="592" t="e">
        <f ca="1">OFFSET('360SpcLdsCSV'!$B$5,$B235,Z$51)</f>
        <v>#N/A</v>
      </c>
      <c r="AA235" s="592" t="e">
        <f ca="1">OFFSET('360SpcLdsCSV'!$B$5,$B235,AA$51)</f>
        <v>#N/A</v>
      </c>
      <c r="AB235" s="592" t="e">
        <f ca="1">OFFSET('360SpcLdsCSV'!$B$5,$B235,AB$51)</f>
        <v>#N/A</v>
      </c>
      <c r="AC235" s="592" t="e">
        <f ca="1">OFFSET('360SpcLdsCSV'!$B$5,$B235,AC$51)</f>
        <v>#N/A</v>
      </c>
      <c r="AD235" s="592" t="e">
        <f ca="1">OFFSET('360SpcLdsCSV'!$B$5,$B235,AD$51)</f>
        <v>#N/A</v>
      </c>
      <c r="AE235" s="592" t="e">
        <f ca="1">OFFSET('360SpcLdsCSV'!$B$5,$B235,AE$51)</f>
        <v>#N/A</v>
      </c>
      <c r="AF235" s="592" t="e">
        <f ca="1">OFFSET('360SpcLdsCSV'!$B$5,$B235,AF$51)</f>
        <v>#N/A</v>
      </c>
      <c r="AG235" s="592" t="e">
        <f ca="1">OFFSET('360SpcLdsCSV'!$B$5,$B235,AG$51)</f>
        <v>#N/A</v>
      </c>
      <c r="AH235" s="592" t="e">
        <f ca="1">OFFSET('360SpcLdsCSV'!$B$5,$B235,AH$51)</f>
        <v>#N/A</v>
      </c>
      <c r="AI235" s="592" t="e">
        <f ca="1">OFFSET('360SpcLdsCSV'!$B$5,$B235,AI$51)</f>
        <v>#N/A</v>
      </c>
      <c r="AJ235" s="592" t="e" cm="1">
        <f t="array" ref="AJ235">_xlfn.IFS($F235="Resi",1,$F235="Racc",0,$F235="Coml",0,$F235="Prkg",0)</f>
        <v>#VALUE!</v>
      </c>
      <c r="AK235" s="596"/>
      <c r="AL235" s="590" t="e">
        <f ca="1">OFFSET('360SpcLdsCSV'!$B$5,$B235,AL$51)</f>
        <v>#N/A</v>
      </c>
      <c r="AM235" s="663" t="e">
        <f t="shared" ca="1" si="168"/>
        <v>#N/A</v>
      </c>
      <c r="AN235" s="663" t="e">
        <f t="shared" ca="1" si="169"/>
        <v>#N/A</v>
      </c>
      <c r="AO235" s="663" t="e">
        <f t="shared" ca="1" si="196"/>
        <v>#N/A</v>
      </c>
      <c r="AP235" s="663" t="e">
        <f t="shared" ca="1" si="170"/>
        <v>#N/A</v>
      </c>
      <c r="AQ235" s="663" t="e">
        <f t="shared" ca="1" si="171"/>
        <v>#N/A</v>
      </c>
      <c r="AR235" s="663" t="e">
        <f t="shared" ca="1" si="172"/>
        <v>#N/A</v>
      </c>
      <c r="AS235" s="663" t="e">
        <f t="shared" ca="1" si="173"/>
        <v>#N/A</v>
      </c>
      <c r="AT235" s="663" t="e">
        <f t="shared" ca="1" si="174"/>
        <v>#N/A</v>
      </c>
      <c r="AU235" s="663" t="e">
        <f t="shared" ca="1" si="175"/>
        <v>#N/A</v>
      </c>
      <c r="AV235" s="663" t="e">
        <f t="shared" ca="1" si="176"/>
        <v>#N/A</v>
      </c>
      <c r="AW235" s="663" t="e">
        <f t="shared" ca="1" si="177"/>
        <v>#N/A</v>
      </c>
      <c r="AX235" s="663" t="e">
        <f t="shared" ca="1" si="178"/>
        <v>#N/A</v>
      </c>
      <c r="AY235" s="663" t="e">
        <f t="shared" ca="1" si="179"/>
        <v>#N/A</v>
      </c>
      <c r="AZ235" s="663" t="e">
        <f t="shared" ca="1" si="180"/>
        <v>#N/A</v>
      </c>
      <c r="BA235" s="663" t="e">
        <f t="shared" ca="1" si="181"/>
        <v>#N/A</v>
      </c>
      <c r="BB235" s="663" t="e">
        <f t="shared" ca="1" si="182"/>
        <v>#N/A</v>
      </c>
      <c r="BC235" s="663" t="e">
        <f t="shared" ca="1" si="183"/>
        <v>#N/A</v>
      </c>
      <c r="BD235" s="663" t="e">
        <f t="shared" ca="1" si="184"/>
        <v>#N/A</v>
      </c>
      <c r="BE235" s="663" t="e">
        <f t="shared" ca="1" si="185"/>
        <v>#N/A</v>
      </c>
      <c r="BF235" s="663" t="e">
        <f t="shared" ca="1" si="186"/>
        <v>#N/A</v>
      </c>
      <c r="BG235" s="663" t="e">
        <f t="shared" ca="1" si="187"/>
        <v>#N/A</v>
      </c>
      <c r="BH235" s="663" t="e">
        <f t="shared" ca="1" si="188"/>
        <v>#N/A</v>
      </c>
      <c r="BI235" s="663" t="e">
        <f t="shared" ca="1" si="189"/>
        <v>#N/A</v>
      </c>
      <c r="BJ235" s="663" t="e">
        <f t="shared" ca="1" si="190"/>
        <v>#N/A</v>
      </c>
      <c r="BK235" s="663" t="e">
        <f t="shared" ca="1" si="191"/>
        <v>#N/A</v>
      </c>
      <c r="BL235" s="1918"/>
      <c r="BM235" s="1532"/>
      <c r="BN235" s="1919"/>
      <c r="BO235" s="603"/>
      <c r="BP235" s="602"/>
      <c r="BQ235" s="602"/>
      <c r="BR235" s="602"/>
      <c r="BS235" s="604"/>
      <c r="BT235" s="605"/>
      <c r="BU235" s="602"/>
      <c r="BV235" s="602"/>
      <c r="BW235" s="606"/>
      <c r="BX235" s="607"/>
      <c r="BY235" s="608"/>
      <c r="BZ235" s="608"/>
      <c r="CA235" s="608"/>
      <c r="CB235" s="600"/>
    </row>
    <row r="236" spans="2:80" ht="12" customHeight="1" x14ac:dyDescent="0.35">
      <c r="B236" s="590" t="e">
        <f>MATCH(C236,'360SpcLdsCSV'!$C$6:$C$500,0)</f>
        <v>#N/A</v>
      </c>
      <c r="C236" s="590">
        <f>'360SpcLdsCSV'!C185</f>
        <v>0</v>
      </c>
      <c r="D236" s="590" t="str">
        <f t="shared" si="197"/>
        <v>0</v>
      </c>
      <c r="E236" s="590" t="e">
        <f t="shared" si="193"/>
        <v>#VALUE!</v>
      </c>
      <c r="F236" s="590" t="e">
        <f t="shared" si="194"/>
        <v>#VALUE!</v>
      </c>
      <c r="G236" s="590" t="str">
        <f t="shared" si="198"/>
        <v>0</v>
      </c>
      <c r="H236" s="590" t="e">
        <f ca="1">OFFSET('360SpcLdsCSV'!$B$5,$B236,H$51)</f>
        <v>#N/A</v>
      </c>
      <c r="I236" s="590" t="e">
        <f ca="1">OFFSET('360SpcLdsCSV'!$B$5,$B236,I$51)</f>
        <v>#N/A</v>
      </c>
      <c r="J236" s="590" t="e">
        <f ca="1">OFFSET('360SpcLdsCSV'!$B$5,$B236,J$51)</f>
        <v>#N/A</v>
      </c>
      <c r="K236" s="590" t="e">
        <f ca="1">OFFSET('360SpcLdsCSV'!$B$5,$B236,K$51)</f>
        <v>#N/A</v>
      </c>
      <c r="L236" s="590" t="e">
        <f ca="1">OFFSET('360SpcLdsCSV'!$B$5,$B236,L$51)</f>
        <v>#N/A</v>
      </c>
      <c r="M236" s="592" t="e">
        <f ca="1">OFFSET('360SpcLdsCSV'!$B$5,$B236,M$51)</f>
        <v>#N/A</v>
      </c>
      <c r="N236" s="592" t="e">
        <f ca="1">OFFSET('360SpcLdsCSV'!$B$5,$B236,N$51)</f>
        <v>#N/A</v>
      </c>
      <c r="O236" s="592" t="e">
        <f ca="1">OFFSET('360SpcLdsCSV'!$B$5,$B236,O$51)</f>
        <v>#N/A</v>
      </c>
      <c r="P236" s="592" t="e">
        <f ca="1">OFFSET('360SpcLdsCSV'!$B$5,$B236,P$51)</f>
        <v>#N/A</v>
      </c>
      <c r="Q236" s="592" t="e">
        <f ca="1">OFFSET('360SpcLdsCSV'!$B$5,$B236,Q$51)</f>
        <v>#N/A</v>
      </c>
      <c r="R236" s="592" t="e">
        <f ca="1">OFFSET('360SpcLdsCSV'!$B$5,$B236,R$51)</f>
        <v>#N/A</v>
      </c>
      <c r="S236" s="592" t="e">
        <f ca="1">OFFSET('360SpcLdsCSV'!$B$5,$B236,S$51)</f>
        <v>#N/A</v>
      </c>
      <c r="T236" s="592" t="e">
        <f ca="1">OFFSET('360SpcLdsCSV'!$B$5,$B236,T$51)</f>
        <v>#N/A</v>
      </c>
      <c r="U236" s="592" t="e">
        <f ca="1">OFFSET('360SpcLdsCSV'!$B$5,$B236,U$51)</f>
        <v>#N/A</v>
      </c>
      <c r="V236" s="592" t="e">
        <f ca="1">OFFSET('360SpcLdsCSV'!$B$5,$B236,V$51)</f>
        <v>#N/A</v>
      </c>
      <c r="W236" s="592" t="e">
        <f ca="1">OFFSET('360SpcLdsCSV'!$B$5,$B236,W$51)</f>
        <v>#N/A</v>
      </c>
      <c r="X236" s="592" t="e">
        <f ca="1">OFFSET('360SpcLdsCSV'!$B$5,$B236,X$51)</f>
        <v>#N/A</v>
      </c>
      <c r="Y236" s="592" t="e">
        <f ca="1">OFFSET('360SpcLdsCSV'!$B$5,$B236,Y$51)</f>
        <v>#N/A</v>
      </c>
      <c r="Z236" s="592" t="e">
        <f ca="1">OFFSET('360SpcLdsCSV'!$B$5,$B236,Z$51)</f>
        <v>#N/A</v>
      </c>
      <c r="AA236" s="592" t="e">
        <f ca="1">OFFSET('360SpcLdsCSV'!$B$5,$B236,AA$51)</f>
        <v>#N/A</v>
      </c>
      <c r="AB236" s="592" t="e">
        <f ca="1">OFFSET('360SpcLdsCSV'!$B$5,$B236,AB$51)</f>
        <v>#N/A</v>
      </c>
      <c r="AC236" s="592" t="e">
        <f ca="1">OFFSET('360SpcLdsCSV'!$B$5,$B236,AC$51)</f>
        <v>#N/A</v>
      </c>
      <c r="AD236" s="592" t="e">
        <f ca="1">OFFSET('360SpcLdsCSV'!$B$5,$B236,AD$51)</f>
        <v>#N/A</v>
      </c>
      <c r="AE236" s="592" t="e">
        <f ca="1">OFFSET('360SpcLdsCSV'!$B$5,$B236,AE$51)</f>
        <v>#N/A</v>
      </c>
      <c r="AF236" s="592" t="e">
        <f ca="1">OFFSET('360SpcLdsCSV'!$B$5,$B236,AF$51)</f>
        <v>#N/A</v>
      </c>
      <c r="AG236" s="592" t="e">
        <f ca="1">OFFSET('360SpcLdsCSV'!$B$5,$B236,AG$51)</f>
        <v>#N/A</v>
      </c>
      <c r="AH236" s="592" t="e">
        <f ca="1">OFFSET('360SpcLdsCSV'!$B$5,$B236,AH$51)</f>
        <v>#N/A</v>
      </c>
      <c r="AI236" s="592" t="e">
        <f ca="1">OFFSET('360SpcLdsCSV'!$B$5,$B236,AI$51)</f>
        <v>#N/A</v>
      </c>
      <c r="AJ236" s="592" t="e" cm="1">
        <f t="array" ref="AJ236">_xlfn.IFS($F236="Resi",1,$F236="Racc",0,$F236="Coml",0,$F236="Prkg",0)</f>
        <v>#VALUE!</v>
      </c>
      <c r="AK236" s="596"/>
      <c r="AL236" s="590" t="e">
        <f ca="1">OFFSET('360SpcLdsCSV'!$B$5,$B236,AL$51)</f>
        <v>#N/A</v>
      </c>
      <c r="AM236" s="663" t="e">
        <f t="shared" ca="1" si="168"/>
        <v>#N/A</v>
      </c>
      <c r="AN236" s="663" t="e">
        <f t="shared" ca="1" si="169"/>
        <v>#N/A</v>
      </c>
      <c r="AO236" s="663" t="e">
        <f t="shared" ca="1" si="196"/>
        <v>#N/A</v>
      </c>
      <c r="AP236" s="663" t="e">
        <f t="shared" ca="1" si="170"/>
        <v>#N/A</v>
      </c>
      <c r="AQ236" s="663" t="e">
        <f t="shared" ca="1" si="171"/>
        <v>#N/A</v>
      </c>
      <c r="AR236" s="663" t="e">
        <f t="shared" ca="1" si="172"/>
        <v>#N/A</v>
      </c>
      <c r="AS236" s="663" t="e">
        <f t="shared" ca="1" si="173"/>
        <v>#N/A</v>
      </c>
      <c r="AT236" s="663" t="e">
        <f t="shared" ca="1" si="174"/>
        <v>#N/A</v>
      </c>
      <c r="AU236" s="663" t="e">
        <f t="shared" ca="1" si="175"/>
        <v>#N/A</v>
      </c>
      <c r="AV236" s="663" t="e">
        <f t="shared" ca="1" si="176"/>
        <v>#N/A</v>
      </c>
      <c r="AW236" s="663" t="e">
        <f t="shared" ca="1" si="177"/>
        <v>#N/A</v>
      </c>
      <c r="AX236" s="663" t="e">
        <f t="shared" ca="1" si="178"/>
        <v>#N/A</v>
      </c>
      <c r="AY236" s="663" t="e">
        <f t="shared" ca="1" si="179"/>
        <v>#N/A</v>
      </c>
      <c r="AZ236" s="663" t="e">
        <f t="shared" ca="1" si="180"/>
        <v>#N/A</v>
      </c>
      <c r="BA236" s="663" t="e">
        <f t="shared" ca="1" si="181"/>
        <v>#N/A</v>
      </c>
      <c r="BB236" s="663" t="e">
        <f t="shared" ca="1" si="182"/>
        <v>#N/A</v>
      </c>
      <c r="BC236" s="663" t="e">
        <f t="shared" ca="1" si="183"/>
        <v>#N/A</v>
      </c>
      <c r="BD236" s="663" t="e">
        <f t="shared" ca="1" si="184"/>
        <v>#N/A</v>
      </c>
      <c r="BE236" s="663" t="e">
        <f t="shared" ca="1" si="185"/>
        <v>#N/A</v>
      </c>
      <c r="BF236" s="663" t="e">
        <f t="shared" ca="1" si="186"/>
        <v>#N/A</v>
      </c>
      <c r="BG236" s="663" t="e">
        <f t="shared" ca="1" si="187"/>
        <v>#N/A</v>
      </c>
      <c r="BH236" s="663" t="e">
        <f t="shared" ca="1" si="188"/>
        <v>#N/A</v>
      </c>
      <c r="BI236" s="663" t="e">
        <f t="shared" ca="1" si="189"/>
        <v>#N/A</v>
      </c>
      <c r="BJ236" s="663" t="e">
        <f t="shared" ca="1" si="190"/>
        <v>#N/A</v>
      </c>
      <c r="BK236" s="663" t="e">
        <f t="shared" ca="1" si="191"/>
        <v>#N/A</v>
      </c>
      <c r="BL236" s="1918"/>
      <c r="BM236" s="1532"/>
      <c r="BN236" s="1919"/>
      <c r="BO236" s="603"/>
      <c r="BP236" s="602"/>
      <c r="BQ236" s="602"/>
      <c r="BR236" s="602"/>
      <c r="BS236" s="604"/>
      <c r="BT236" s="605"/>
      <c r="BU236" s="602"/>
      <c r="BV236" s="602"/>
      <c r="BW236" s="606"/>
      <c r="BX236" s="607"/>
      <c r="BY236" s="608"/>
      <c r="BZ236" s="608"/>
      <c r="CA236" s="608"/>
      <c r="CB236" s="600"/>
    </row>
    <row r="237" spans="2:80" ht="12" customHeight="1" x14ac:dyDescent="0.35">
      <c r="B237" s="590" t="e">
        <f>MATCH(C237,'360SpcLdsCSV'!$C$6:$C$500,0)</f>
        <v>#N/A</v>
      </c>
      <c r="C237" s="590">
        <f>'360SpcLdsCSV'!C186</f>
        <v>0</v>
      </c>
      <c r="D237" s="590" t="str">
        <f t="shared" si="197"/>
        <v>0</v>
      </c>
      <c r="E237" s="590" t="e">
        <f t="shared" si="193"/>
        <v>#VALUE!</v>
      </c>
      <c r="F237" s="590" t="e">
        <f t="shared" si="194"/>
        <v>#VALUE!</v>
      </c>
      <c r="G237" s="590" t="str">
        <f t="shared" si="198"/>
        <v>0</v>
      </c>
      <c r="H237" s="590" t="e">
        <f ca="1">OFFSET('360SpcLdsCSV'!$B$5,$B237,H$51)</f>
        <v>#N/A</v>
      </c>
      <c r="I237" s="590" t="e">
        <f ca="1">OFFSET('360SpcLdsCSV'!$B$5,$B237,I$51)</f>
        <v>#N/A</v>
      </c>
      <c r="J237" s="590" t="e">
        <f ca="1">OFFSET('360SpcLdsCSV'!$B$5,$B237,J$51)</f>
        <v>#N/A</v>
      </c>
      <c r="K237" s="590" t="e">
        <f ca="1">OFFSET('360SpcLdsCSV'!$B$5,$B237,K$51)</f>
        <v>#N/A</v>
      </c>
      <c r="L237" s="590" t="e">
        <f ca="1">OFFSET('360SpcLdsCSV'!$B$5,$B237,L$51)</f>
        <v>#N/A</v>
      </c>
      <c r="M237" s="592" t="e">
        <f ca="1">OFFSET('360SpcLdsCSV'!$B$5,$B237,M$51)</f>
        <v>#N/A</v>
      </c>
      <c r="N237" s="592" t="e">
        <f ca="1">OFFSET('360SpcLdsCSV'!$B$5,$B237,N$51)</f>
        <v>#N/A</v>
      </c>
      <c r="O237" s="592" t="e">
        <f ca="1">OFFSET('360SpcLdsCSV'!$B$5,$B237,O$51)</f>
        <v>#N/A</v>
      </c>
      <c r="P237" s="592" t="e">
        <f ca="1">OFFSET('360SpcLdsCSV'!$B$5,$B237,P$51)</f>
        <v>#N/A</v>
      </c>
      <c r="Q237" s="592" t="e">
        <f ca="1">OFFSET('360SpcLdsCSV'!$B$5,$B237,Q$51)</f>
        <v>#N/A</v>
      </c>
      <c r="R237" s="592" t="e">
        <f ca="1">OFFSET('360SpcLdsCSV'!$B$5,$B237,R$51)</f>
        <v>#N/A</v>
      </c>
      <c r="S237" s="592" t="e">
        <f ca="1">OFFSET('360SpcLdsCSV'!$B$5,$B237,S$51)</f>
        <v>#N/A</v>
      </c>
      <c r="T237" s="592" t="e">
        <f ca="1">OFFSET('360SpcLdsCSV'!$B$5,$B237,T$51)</f>
        <v>#N/A</v>
      </c>
      <c r="U237" s="592" t="e">
        <f ca="1">OFFSET('360SpcLdsCSV'!$B$5,$B237,U$51)</f>
        <v>#N/A</v>
      </c>
      <c r="V237" s="592" t="e">
        <f ca="1">OFFSET('360SpcLdsCSV'!$B$5,$B237,V$51)</f>
        <v>#N/A</v>
      </c>
      <c r="W237" s="592" t="e">
        <f ca="1">OFFSET('360SpcLdsCSV'!$B$5,$B237,W$51)</f>
        <v>#N/A</v>
      </c>
      <c r="X237" s="592" t="e">
        <f ca="1">OFFSET('360SpcLdsCSV'!$B$5,$B237,X$51)</f>
        <v>#N/A</v>
      </c>
      <c r="Y237" s="592" t="e">
        <f ca="1">OFFSET('360SpcLdsCSV'!$B$5,$B237,Y$51)</f>
        <v>#N/A</v>
      </c>
      <c r="Z237" s="592" t="e">
        <f ca="1">OFFSET('360SpcLdsCSV'!$B$5,$B237,Z$51)</f>
        <v>#N/A</v>
      </c>
      <c r="AA237" s="592" t="e">
        <f ca="1">OFFSET('360SpcLdsCSV'!$B$5,$B237,AA$51)</f>
        <v>#N/A</v>
      </c>
      <c r="AB237" s="592" t="e">
        <f ca="1">OFFSET('360SpcLdsCSV'!$B$5,$B237,AB$51)</f>
        <v>#N/A</v>
      </c>
      <c r="AC237" s="592" t="e">
        <f ca="1">OFFSET('360SpcLdsCSV'!$B$5,$B237,AC$51)</f>
        <v>#N/A</v>
      </c>
      <c r="AD237" s="592" t="e">
        <f ca="1">OFFSET('360SpcLdsCSV'!$B$5,$B237,AD$51)</f>
        <v>#N/A</v>
      </c>
      <c r="AE237" s="592" t="e">
        <f ca="1">OFFSET('360SpcLdsCSV'!$B$5,$B237,AE$51)</f>
        <v>#N/A</v>
      </c>
      <c r="AF237" s="592" t="e">
        <f ca="1">OFFSET('360SpcLdsCSV'!$B$5,$B237,AF$51)</f>
        <v>#N/A</v>
      </c>
      <c r="AG237" s="592" t="e">
        <f ca="1">OFFSET('360SpcLdsCSV'!$B$5,$B237,AG$51)</f>
        <v>#N/A</v>
      </c>
      <c r="AH237" s="592" t="e">
        <f ca="1">OFFSET('360SpcLdsCSV'!$B$5,$B237,AH$51)</f>
        <v>#N/A</v>
      </c>
      <c r="AI237" s="592" t="e">
        <f ca="1">OFFSET('360SpcLdsCSV'!$B$5,$B237,AI$51)</f>
        <v>#N/A</v>
      </c>
      <c r="AJ237" s="592" t="e" cm="1">
        <f t="array" ref="AJ237">_xlfn.IFS($F237="Resi",1,$F237="Racc",0,$F237="Coml",0,$F237="Prkg",0)</f>
        <v>#VALUE!</v>
      </c>
      <c r="AK237" s="596"/>
      <c r="AL237" s="590" t="e">
        <f ca="1">OFFSET('360SpcLdsCSV'!$B$5,$B237,AL$51)</f>
        <v>#N/A</v>
      </c>
      <c r="AM237" s="663" t="e">
        <f t="shared" ca="1" si="168"/>
        <v>#N/A</v>
      </c>
      <c r="AN237" s="663" t="e">
        <f t="shared" ca="1" si="169"/>
        <v>#N/A</v>
      </c>
      <c r="AO237" s="663" t="e">
        <f t="shared" ca="1" si="196"/>
        <v>#N/A</v>
      </c>
      <c r="AP237" s="663" t="e">
        <f t="shared" ca="1" si="170"/>
        <v>#N/A</v>
      </c>
      <c r="AQ237" s="663" t="e">
        <f t="shared" ca="1" si="171"/>
        <v>#N/A</v>
      </c>
      <c r="AR237" s="663" t="e">
        <f t="shared" ca="1" si="172"/>
        <v>#N/A</v>
      </c>
      <c r="AS237" s="663" t="e">
        <f t="shared" ca="1" si="173"/>
        <v>#N/A</v>
      </c>
      <c r="AT237" s="663" t="e">
        <f t="shared" ca="1" si="174"/>
        <v>#N/A</v>
      </c>
      <c r="AU237" s="663" t="e">
        <f t="shared" ca="1" si="175"/>
        <v>#N/A</v>
      </c>
      <c r="AV237" s="663" t="e">
        <f t="shared" ca="1" si="176"/>
        <v>#N/A</v>
      </c>
      <c r="AW237" s="663" t="e">
        <f t="shared" ca="1" si="177"/>
        <v>#N/A</v>
      </c>
      <c r="AX237" s="663" t="e">
        <f t="shared" ca="1" si="178"/>
        <v>#N/A</v>
      </c>
      <c r="AY237" s="663" t="e">
        <f t="shared" ca="1" si="179"/>
        <v>#N/A</v>
      </c>
      <c r="AZ237" s="663" t="e">
        <f t="shared" ca="1" si="180"/>
        <v>#N/A</v>
      </c>
      <c r="BA237" s="663" t="e">
        <f t="shared" ca="1" si="181"/>
        <v>#N/A</v>
      </c>
      <c r="BB237" s="663" t="e">
        <f t="shared" ca="1" si="182"/>
        <v>#N/A</v>
      </c>
      <c r="BC237" s="663" t="e">
        <f t="shared" ca="1" si="183"/>
        <v>#N/A</v>
      </c>
      <c r="BD237" s="663" t="e">
        <f t="shared" ca="1" si="184"/>
        <v>#N/A</v>
      </c>
      <c r="BE237" s="663" t="e">
        <f t="shared" ca="1" si="185"/>
        <v>#N/A</v>
      </c>
      <c r="BF237" s="663" t="e">
        <f t="shared" ca="1" si="186"/>
        <v>#N/A</v>
      </c>
      <c r="BG237" s="663" t="e">
        <f t="shared" ca="1" si="187"/>
        <v>#N/A</v>
      </c>
      <c r="BH237" s="663" t="e">
        <f t="shared" ca="1" si="188"/>
        <v>#N/A</v>
      </c>
      <c r="BI237" s="663" t="e">
        <f t="shared" ca="1" si="189"/>
        <v>#N/A</v>
      </c>
      <c r="BJ237" s="663" t="e">
        <f t="shared" ca="1" si="190"/>
        <v>#N/A</v>
      </c>
      <c r="BK237" s="663" t="e">
        <f t="shared" ca="1" si="191"/>
        <v>#N/A</v>
      </c>
      <c r="BL237" s="1918"/>
      <c r="BM237" s="1532"/>
      <c r="BN237" s="1919"/>
      <c r="BO237" s="603"/>
      <c r="BP237" s="602"/>
      <c r="BQ237" s="602"/>
      <c r="BR237" s="602"/>
      <c r="BS237" s="604"/>
      <c r="BT237" s="605"/>
      <c r="BU237" s="602"/>
      <c r="BV237" s="602"/>
      <c r="BW237" s="606"/>
      <c r="BX237" s="607"/>
      <c r="BY237" s="608"/>
      <c r="BZ237" s="608"/>
      <c r="CA237" s="608"/>
      <c r="CB237" s="600"/>
    </row>
    <row r="238" spans="2:80" ht="12" customHeight="1" x14ac:dyDescent="0.35">
      <c r="B238" s="590" t="e">
        <f>MATCH(C238,'360SpcLdsCSV'!$C$6:$C$500,0)</f>
        <v>#N/A</v>
      </c>
      <c r="C238" s="590">
        <f>'360SpcLdsCSV'!C187</f>
        <v>0</v>
      </c>
      <c r="D238" s="590" t="str">
        <f t="shared" si="197"/>
        <v>0</v>
      </c>
      <c r="E238" s="590" t="e">
        <f t="shared" si="193"/>
        <v>#VALUE!</v>
      </c>
      <c r="F238" s="590" t="e">
        <f t="shared" si="194"/>
        <v>#VALUE!</v>
      </c>
      <c r="G238" s="590" t="str">
        <f t="shared" si="198"/>
        <v>0</v>
      </c>
      <c r="H238" s="590" t="e">
        <f ca="1">OFFSET('360SpcLdsCSV'!$B$5,$B238,H$51)</f>
        <v>#N/A</v>
      </c>
      <c r="I238" s="590" t="e">
        <f ca="1">OFFSET('360SpcLdsCSV'!$B$5,$B238,I$51)</f>
        <v>#N/A</v>
      </c>
      <c r="J238" s="590" t="e">
        <f ca="1">OFFSET('360SpcLdsCSV'!$B$5,$B238,J$51)</f>
        <v>#N/A</v>
      </c>
      <c r="K238" s="590" t="e">
        <f ca="1">OFFSET('360SpcLdsCSV'!$B$5,$B238,K$51)</f>
        <v>#N/A</v>
      </c>
      <c r="L238" s="590" t="e">
        <f ca="1">OFFSET('360SpcLdsCSV'!$B$5,$B238,L$51)</f>
        <v>#N/A</v>
      </c>
      <c r="M238" s="592" t="e">
        <f ca="1">OFFSET('360SpcLdsCSV'!$B$5,$B238,M$51)</f>
        <v>#N/A</v>
      </c>
      <c r="N238" s="592" t="e">
        <f ca="1">OFFSET('360SpcLdsCSV'!$B$5,$B238,N$51)</f>
        <v>#N/A</v>
      </c>
      <c r="O238" s="592" t="e">
        <f ca="1">OFFSET('360SpcLdsCSV'!$B$5,$B238,O$51)</f>
        <v>#N/A</v>
      </c>
      <c r="P238" s="592" t="e">
        <f ca="1">OFFSET('360SpcLdsCSV'!$B$5,$B238,P$51)</f>
        <v>#N/A</v>
      </c>
      <c r="Q238" s="592" t="e">
        <f ca="1">OFFSET('360SpcLdsCSV'!$B$5,$B238,Q$51)</f>
        <v>#N/A</v>
      </c>
      <c r="R238" s="592" t="e">
        <f ca="1">OFFSET('360SpcLdsCSV'!$B$5,$B238,R$51)</f>
        <v>#N/A</v>
      </c>
      <c r="S238" s="592" t="e">
        <f ca="1">OFFSET('360SpcLdsCSV'!$B$5,$B238,S$51)</f>
        <v>#N/A</v>
      </c>
      <c r="T238" s="592" t="e">
        <f ca="1">OFFSET('360SpcLdsCSV'!$B$5,$B238,T$51)</f>
        <v>#N/A</v>
      </c>
      <c r="U238" s="592" t="e">
        <f ca="1">OFFSET('360SpcLdsCSV'!$B$5,$B238,U$51)</f>
        <v>#N/A</v>
      </c>
      <c r="V238" s="592" t="e">
        <f ca="1">OFFSET('360SpcLdsCSV'!$B$5,$B238,V$51)</f>
        <v>#N/A</v>
      </c>
      <c r="W238" s="592" t="e">
        <f ca="1">OFFSET('360SpcLdsCSV'!$B$5,$B238,W$51)</f>
        <v>#N/A</v>
      </c>
      <c r="X238" s="592" t="e">
        <f ca="1">OFFSET('360SpcLdsCSV'!$B$5,$B238,X$51)</f>
        <v>#N/A</v>
      </c>
      <c r="Y238" s="592" t="e">
        <f ca="1">OFFSET('360SpcLdsCSV'!$B$5,$B238,Y$51)</f>
        <v>#N/A</v>
      </c>
      <c r="Z238" s="592" t="e">
        <f ca="1">OFFSET('360SpcLdsCSV'!$B$5,$B238,Z$51)</f>
        <v>#N/A</v>
      </c>
      <c r="AA238" s="592" t="e">
        <f ca="1">OFFSET('360SpcLdsCSV'!$B$5,$B238,AA$51)</f>
        <v>#N/A</v>
      </c>
      <c r="AB238" s="592" t="e">
        <f ca="1">OFFSET('360SpcLdsCSV'!$B$5,$B238,AB$51)</f>
        <v>#N/A</v>
      </c>
      <c r="AC238" s="592" t="e">
        <f ca="1">OFFSET('360SpcLdsCSV'!$B$5,$B238,AC$51)</f>
        <v>#N/A</v>
      </c>
      <c r="AD238" s="592" t="e">
        <f ca="1">OFFSET('360SpcLdsCSV'!$B$5,$B238,AD$51)</f>
        <v>#N/A</v>
      </c>
      <c r="AE238" s="592" t="e">
        <f ca="1">OFFSET('360SpcLdsCSV'!$B$5,$B238,AE$51)</f>
        <v>#N/A</v>
      </c>
      <c r="AF238" s="592" t="e">
        <f ca="1">OFFSET('360SpcLdsCSV'!$B$5,$B238,AF$51)</f>
        <v>#N/A</v>
      </c>
      <c r="AG238" s="592" t="e">
        <f ca="1">OFFSET('360SpcLdsCSV'!$B$5,$B238,AG$51)</f>
        <v>#N/A</v>
      </c>
      <c r="AH238" s="592" t="e">
        <f ca="1">OFFSET('360SpcLdsCSV'!$B$5,$B238,AH$51)</f>
        <v>#N/A</v>
      </c>
      <c r="AI238" s="592" t="e">
        <f ca="1">OFFSET('360SpcLdsCSV'!$B$5,$B238,AI$51)</f>
        <v>#N/A</v>
      </c>
      <c r="AJ238" s="592" t="e" cm="1">
        <f t="array" ref="AJ238">_xlfn.IFS($F238="Resi",1,$F238="Racc",0,$F238="Coml",0,$F238="Prkg",0)</f>
        <v>#VALUE!</v>
      </c>
      <c r="AK238" s="596"/>
      <c r="AL238" s="590" t="e">
        <f ca="1">OFFSET('360SpcLdsCSV'!$B$5,$B238,AL$51)</f>
        <v>#N/A</v>
      </c>
      <c r="AM238" s="663" t="e">
        <f t="shared" ca="1" si="168"/>
        <v>#N/A</v>
      </c>
      <c r="AN238" s="663" t="e">
        <f t="shared" ca="1" si="169"/>
        <v>#N/A</v>
      </c>
      <c r="AO238" s="663" t="e">
        <f t="shared" ca="1" si="196"/>
        <v>#N/A</v>
      </c>
      <c r="AP238" s="663" t="e">
        <f t="shared" ca="1" si="170"/>
        <v>#N/A</v>
      </c>
      <c r="AQ238" s="663" t="e">
        <f t="shared" ca="1" si="171"/>
        <v>#N/A</v>
      </c>
      <c r="AR238" s="663" t="e">
        <f t="shared" ca="1" si="172"/>
        <v>#N/A</v>
      </c>
      <c r="AS238" s="663" t="e">
        <f t="shared" ca="1" si="173"/>
        <v>#N/A</v>
      </c>
      <c r="AT238" s="663" t="e">
        <f t="shared" ca="1" si="174"/>
        <v>#N/A</v>
      </c>
      <c r="AU238" s="663" t="e">
        <f t="shared" ca="1" si="175"/>
        <v>#N/A</v>
      </c>
      <c r="AV238" s="663" t="e">
        <f t="shared" ca="1" si="176"/>
        <v>#N/A</v>
      </c>
      <c r="AW238" s="663" t="e">
        <f t="shared" ca="1" si="177"/>
        <v>#N/A</v>
      </c>
      <c r="AX238" s="663" t="e">
        <f t="shared" ca="1" si="178"/>
        <v>#N/A</v>
      </c>
      <c r="AY238" s="663" t="e">
        <f t="shared" ca="1" si="179"/>
        <v>#N/A</v>
      </c>
      <c r="AZ238" s="663" t="e">
        <f t="shared" ca="1" si="180"/>
        <v>#N/A</v>
      </c>
      <c r="BA238" s="663" t="e">
        <f t="shared" ca="1" si="181"/>
        <v>#N/A</v>
      </c>
      <c r="BB238" s="663" t="e">
        <f t="shared" ca="1" si="182"/>
        <v>#N/A</v>
      </c>
      <c r="BC238" s="663" t="e">
        <f t="shared" ca="1" si="183"/>
        <v>#N/A</v>
      </c>
      <c r="BD238" s="663" t="e">
        <f t="shared" ca="1" si="184"/>
        <v>#N/A</v>
      </c>
      <c r="BE238" s="663" t="e">
        <f t="shared" ca="1" si="185"/>
        <v>#N/A</v>
      </c>
      <c r="BF238" s="663" t="e">
        <f t="shared" ca="1" si="186"/>
        <v>#N/A</v>
      </c>
      <c r="BG238" s="663" t="e">
        <f t="shared" ca="1" si="187"/>
        <v>#N/A</v>
      </c>
      <c r="BH238" s="663" t="e">
        <f t="shared" ca="1" si="188"/>
        <v>#N/A</v>
      </c>
      <c r="BI238" s="663" t="e">
        <f t="shared" ca="1" si="189"/>
        <v>#N/A</v>
      </c>
      <c r="BJ238" s="663" t="e">
        <f t="shared" ca="1" si="190"/>
        <v>#N/A</v>
      </c>
      <c r="BK238" s="663" t="e">
        <f t="shared" ca="1" si="191"/>
        <v>#N/A</v>
      </c>
      <c r="BL238" s="1918"/>
      <c r="BM238" s="1532"/>
      <c r="BN238" s="1919"/>
      <c r="BO238" s="603"/>
      <c r="BP238" s="602"/>
      <c r="BQ238" s="602"/>
      <c r="BR238" s="602"/>
      <c r="BS238" s="604"/>
      <c r="BT238" s="605"/>
      <c r="BU238" s="602"/>
      <c r="BV238" s="602"/>
      <c r="BW238" s="606"/>
      <c r="BX238" s="607"/>
      <c r="BY238" s="608"/>
      <c r="BZ238" s="608"/>
      <c r="CA238" s="608"/>
      <c r="CB238" s="600"/>
    </row>
    <row r="239" spans="2:80" ht="12" customHeight="1" x14ac:dyDescent="0.35">
      <c r="B239" s="590" t="e">
        <f>MATCH(C239,'360SpcLdsCSV'!$C$6:$C$500,0)</f>
        <v>#N/A</v>
      </c>
      <c r="C239" s="590">
        <f>'360SpcLdsCSV'!C188</f>
        <v>0</v>
      </c>
      <c r="D239" s="590" t="str">
        <f t="shared" si="197"/>
        <v>0</v>
      </c>
      <c r="E239" s="590" t="e">
        <f t="shared" si="193"/>
        <v>#VALUE!</v>
      </c>
      <c r="F239" s="590" t="e">
        <f t="shared" si="194"/>
        <v>#VALUE!</v>
      </c>
      <c r="G239" s="590" t="str">
        <f t="shared" si="198"/>
        <v>0</v>
      </c>
      <c r="H239" s="590" t="e">
        <f ca="1">OFFSET('360SpcLdsCSV'!$B$5,$B239,H$51)</f>
        <v>#N/A</v>
      </c>
      <c r="I239" s="590" t="e">
        <f ca="1">OFFSET('360SpcLdsCSV'!$B$5,$B239,I$51)</f>
        <v>#N/A</v>
      </c>
      <c r="J239" s="590" t="e">
        <f ca="1">OFFSET('360SpcLdsCSV'!$B$5,$B239,J$51)</f>
        <v>#N/A</v>
      </c>
      <c r="K239" s="590" t="e">
        <f ca="1">OFFSET('360SpcLdsCSV'!$B$5,$B239,K$51)</f>
        <v>#N/A</v>
      </c>
      <c r="L239" s="590" t="e">
        <f ca="1">OFFSET('360SpcLdsCSV'!$B$5,$B239,L$51)</f>
        <v>#N/A</v>
      </c>
      <c r="M239" s="592" t="e">
        <f ca="1">OFFSET('360SpcLdsCSV'!$B$5,$B239,M$51)</f>
        <v>#N/A</v>
      </c>
      <c r="N239" s="592" t="e">
        <f ca="1">OFFSET('360SpcLdsCSV'!$B$5,$B239,N$51)</f>
        <v>#N/A</v>
      </c>
      <c r="O239" s="592" t="e">
        <f ca="1">OFFSET('360SpcLdsCSV'!$B$5,$B239,O$51)</f>
        <v>#N/A</v>
      </c>
      <c r="P239" s="592" t="e">
        <f ca="1">OFFSET('360SpcLdsCSV'!$B$5,$B239,P$51)</f>
        <v>#N/A</v>
      </c>
      <c r="Q239" s="592" t="e">
        <f ca="1">OFFSET('360SpcLdsCSV'!$B$5,$B239,Q$51)</f>
        <v>#N/A</v>
      </c>
      <c r="R239" s="592" t="e">
        <f ca="1">OFFSET('360SpcLdsCSV'!$B$5,$B239,R$51)</f>
        <v>#N/A</v>
      </c>
      <c r="S239" s="592" t="e">
        <f ca="1">OFFSET('360SpcLdsCSV'!$B$5,$B239,S$51)</f>
        <v>#N/A</v>
      </c>
      <c r="T239" s="592" t="e">
        <f ca="1">OFFSET('360SpcLdsCSV'!$B$5,$B239,T$51)</f>
        <v>#N/A</v>
      </c>
      <c r="U239" s="592" t="e">
        <f ca="1">OFFSET('360SpcLdsCSV'!$B$5,$B239,U$51)</f>
        <v>#N/A</v>
      </c>
      <c r="V239" s="592" t="e">
        <f ca="1">OFFSET('360SpcLdsCSV'!$B$5,$B239,V$51)</f>
        <v>#N/A</v>
      </c>
      <c r="W239" s="592" t="e">
        <f ca="1">OFFSET('360SpcLdsCSV'!$B$5,$B239,W$51)</f>
        <v>#N/A</v>
      </c>
      <c r="X239" s="592" t="e">
        <f ca="1">OFFSET('360SpcLdsCSV'!$B$5,$B239,X$51)</f>
        <v>#N/A</v>
      </c>
      <c r="Y239" s="592" t="e">
        <f ca="1">OFFSET('360SpcLdsCSV'!$B$5,$B239,Y$51)</f>
        <v>#N/A</v>
      </c>
      <c r="Z239" s="592" t="e">
        <f ca="1">OFFSET('360SpcLdsCSV'!$B$5,$B239,Z$51)</f>
        <v>#N/A</v>
      </c>
      <c r="AA239" s="592" t="e">
        <f ca="1">OFFSET('360SpcLdsCSV'!$B$5,$B239,AA$51)</f>
        <v>#N/A</v>
      </c>
      <c r="AB239" s="592" t="e">
        <f ca="1">OFFSET('360SpcLdsCSV'!$B$5,$B239,AB$51)</f>
        <v>#N/A</v>
      </c>
      <c r="AC239" s="592" t="e">
        <f ca="1">OFFSET('360SpcLdsCSV'!$B$5,$B239,AC$51)</f>
        <v>#N/A</v>
      </c>
      <c r="AD239" s="592" t="e">
        <f ca="1">OFFSET('360SpcLdsCSV'!$B$5,$B239,AD$51)</f>
        <v>#N/A</v>
      </c>
      <c r="AE239" s="592" t="e">
        <f ca="1">OFFSET('360SpcLdsCSV'!$B$5,$B239,AE$51)</f>
        <v>#N/A</v>
      </c>
      <c r="AF239" s="592" t="e">
        <f ca="1">OFFSET('360SpcLdsCSV'!$B$5,$B239,AF$51)</f>
        <v>#N/A</v>
      </c>
      <c r="AG239" s="592" t="e">
        <f ca="1">OFFSET('360SpcLdsCSV'!$B$5,$B239,AG$51)</f>
        <v>#N/A</v>
      </c>
      <c r="AH239" s="592" t="e">
        <f ca="1">OFFSET('360SpcLdsCSV'!$B$5,$B239,AH$51)</f>
        <v>#N/A</v>
      </c>
      <c r="AI239" s="592" t="e">
        <f ca="1">OFFSET('360SpcLdsCSV'!$B$5,$B239,AI$51)</f>
        <v>#N/A</v>
      </c>
      <c r="AJ239" s="592" t="e" cm="1">
        <f t="array" ref="AJ239">_xlfn.IFS($F239="Resi",1,$F239="Racc",0,$F239="Coml",0,$F239="Prkg",0)</f>
        <v>#VALUE!</v>
      </c>
      <c r="AK239" s="596"/>
      <c r="AL239" s="590" t="e">
        <f ca="1">OFFSET('360SpcLdsCSV'!$B$5,$B239,AL$51)</f>
        <v>#N/A</v>
      </c>
      <c r="AM239" s="663" t="e">
        <f t="shared" ca="1" si="168"/>
        <v>#N/A</v>
      </c>
      <c r="AN239" s="663" t="e">
        <f t="shared" ca="1" si="169"/>
        <v>#N/A</v>
      </c>
      <c r="AO239" s="663" t="e">
        <f t="shared" ca="1" si="196"/>
        <v>#N/A</v>
      </c>
      <c r="AP239" s="663" t="e">
        <f t="shared" ca="1" si="170"/>
        <v>#N/A</v>
      </c>
      <c r="AQ239" s="663" t="e">
        <f t="shared" ca="1" si="171"/>
        <v>#N/A</v>
      </c>
      <c r="AR239" s="663" t="e">
        <f t="shared" ca="1" si="172"/>
        <v>#N/A</v>
      </c>
      <c r="AS239" s="663" t="e">
        <f t="shared" ca="1" si="173"/>
        <v>#N/A</v>
      </c>
      <c r="AT239" s="663" t="e">
        <f t="shared" ca="1" si="174"/>
        <v>#N/A</v>
      </c>
      <c r="AU239" s="663" t="e">
        <f t="shared" ca="1" si="175"/>
        <v>#N/A</v>
      </c>
      <c r="AV239" s="663" t="e">
        <f t="shared" ca="1" si="176"/>
        <v>#N/A</v>
      </c>
      <c r="AW239" s="663" t="e">
        <f t="shared" ca="1" si="177"/>
        <v>#N/A</v>
      </c>
      <c r="AX239" s="663" t="e">
        <f t="shared" ca="1" si="178"/>
        <v>#N/A</v>
      </c>
      <c r="AY239" s="663" t="e">
        <f t="shared" ca="1" si="179"/>
        <v>#N/A</v>
      </c>
      <c r="AZ239" s="663" t="e">
        <f t="shared" ca="1" si="180"/>
        <v>#N/A</v>
      </c>
      <c r="BA239" s="663" t="e">
        <f t="shared" ca="1" si="181"/>
        <v>#N/A</v>
      </c>
      <c r="BB239" s="663" t="e">
        <f t="shared" ca="1" si="182"/>
        <v>#N/A</v>
      </c>
      <c r="BC239" s="663" t="e">
        <f t="shared" ca="1" si="183"/>
        <v>#N/A</v>
      </c>
      <c r="BD239" s="663" t="e">
        <f t="shared" ca="1" si="184"/>
        <v>#N/A</v>
      </c>
      <c r="BE239" s="663" t="e">
        <f t="shared" ca="1" si="185"/>
        <v>#N/A</v>
      </c>
      <c r="BF239" s="663" t="e">
        <f t="shared" ca="1" si="186"/>
        <v>#N/A</v>
      </c>
      <c r="BG239" s="663" t="e">
        <f t="shared" ca="1" si="187"/>
        <v>#N/A</v>
      </c>
      <c r="BH239" s="663" t="e">
        <f t="shared" ca="1" si="188"/>
        <v>#N/A</v>
      </c>
      <c r="BI239" s="663" t="e">
        <f t="shared" ca="1" si="189"/>
        <v>#N/A</v>
      </c>
      <c r="BJ239" s="663" t="e">
        <f t="shared" ca="1" si="190"/>
        <v>#N/A</v>
      </c>
      <c r="BK239" s="663" t="e">
        <f t="shared" ca="1" si="191"/>
        <v>#N/A</v>
      </c>
      <c r="BL239" s="1918"/>
      <c r="BM239" s="1532"/>
      <c r="BN239" s="1919"/>
      <c r="BO239" s="603"/>
      <c r="BP239" s="602"/>
      <c r="BQ239" s="602"/>
      <c r="BR239" s="602"/>
      <c r="BS239" s="604"/>
      <c r="BT239" s="605"/>
      <c r="BU239" s="602"/>
      <c r="BV239" s="602"/>
      <c r="BW239" s="606"/>
      <c r="BX239" s="607"/>
      <c r="BY239" s="608"/>
      <c r="BZ239" s="608"/>
      <c r="CA239" s="608"/>
      <c r="CB239" s="600"/>
    </row>
    <row r="240" spans="2:80" ht="12" customHeight="1" x14ac:dyDescent="0.35">
      <c r="B240" s="590" t="e">
        <f>MATCH(C240,'360SpcLdsCSV'!$C$6:$C$500,0)</f>
        <v>#N/A</v>
      </c>
      <c r="C240" s="590">
        <f>'360SpcLdsCSV'!C189</f>
        <v>0</v>
      </c>
      <c r="D240" s="590" t="str">
        <f t="shared" si="197"/>
        <v>0</v>
      </c>
      <c r="E240" s="590" t="e">
        <f t="shared" si="193"/>
        <v>#VALUE!</v>
      </c>
      <c r="F240" s="590" t="e">
        <f t="shared" si="194"/>
        <v>#VALUE!</v>
      </c>
      <c r="G240" s="590" t="str">
        <f t="shared" si="198"/>
        <v>0</v>
      </c>
      <c r="H240" s="590" t="e">
        <f ca="1">OFFSET('360SpcLdsCSV'!$B$5,$B240,H$51)</f>
        <v>#N/A</v>
      </c>
      <c r="I240" s="590" t="e">
        <f ca="1">OFFSET('360SpcLdsCSV'!$B$5,$B240,I$51)</f>
        <v>#N/A</v>
      </c>
      <c r="J240" s="590" t="e">
        <f ca="1">OFFSET('360SpcLdsCSV'!$B$5,$B240,J$51)</f>
        <v>#N/A</v>
      </c>
      <c r="K240" s="590" t="e">
        <f ca="1">OFFSET('360SpcLdsCSV'!$B$5,$B240,K$51)</f>
        <v>#N/A</v>
      </c>
      <c r="L240" s="590" t="e">
        <f ca="1">OFFSET('360SpcLdsCSV'!$B$5,$B240,L$51)</f>
        <v>#N/A</v>
      </c>
      <c r="M240" s="592" t="e">
        <f ca="1">OFFSET('360SpcLdsCSV'!$B$5,$B240,M$51)</f>
        <v>#N/A</v>
      </c>
      <c r="N240" s="592" t="e">
        <f ca="1">OFFSET('360SpcLdsCSV'!$B$5,$B240,N$51)</f>
        <v>#N/A</v>
      </c>
      <c r="O240" s="592" t="e">
        <f ca="1">OFFSET('360SpcLdsCSV'!$B$5,$B240,O$51)</f>
        <v>#N/A</v>
      </c>
      <c r="P240" s="592" t="e">
        <f ca="1">OFFSET('360SpcLdsCSV'!$B$5,$B240,P$51)</f>
        <v>#N/A</v>
      </c>
      <c r="Q240" s="592" t="e">
        <f ca="1">OFFSET('360SpcLdsCSV'!$B$5,$B240,Q$51)</f>
        <v>#N/A</v>
      </c>
      <c r="R240" s="592" t="e">
        <f ca="1">OFFSET('360SpcLdsCSV'!$B$5,$B240,R$51)</f>
        <v>#N/A</v>
      </c>
      <c r="S240" s="592" t="e">
        <f ca="1">OFFSET('360SpcLdsCSV'!$B$5,$B240,S$51)</f>
        <v>#N/A</v>
      </c>
      <c r="T240" s="592" t="e">
        <f ca="1">OFFSET('360SpcLdsCSV'!$B$5,$B240,T$51)</f>
        <v>#N/A</v>
      </c>
      <c r="U240" s="592" t="e">
        <f ca="1">OFFSET('360SpcLdsCSV'!$B$5,$B240,U$51)</f>
        <v>#N/A</v>
      </c>
      <c r="V240" s="592" t="e">
        <f ca="1">OFFSET('360SpcLdsCSV'!$B$5,$B240,V$51)</f>
        <v>#N/A</v>
      </c>
      <c r="W240" s="592" t="e">
        <f ca="1">OFFSET('360SpcLdsCSV'!$B$5,$B240,W$51)</f>
        <v>#N/A</v>
      </c>
      <c r="X240" s="592" t="e">
        <f ca="1">OFFSET('360SpcLdsCSV'!$B$5,$B240,X$51)</f>
        <v>#N/A</v>
      </c>
      <c r="Y240" s="592" t="e">
        <f ca="1">OFFSET('360SpcLdsCSV'!$B$5,$B240,Y$51)</f>
        <v>#N/A</v>
      </c>
      <c r="Z240" s="592" t="e">
        <f ca="1">OFFSET('360SpcLdsCSV'!$B$5,$B240,Z$51)</f>
        <v>#N/A</v>
      </c>
      <c r="AA240" s="592" t="e">
        <f ca="1">OFFSET('360SpcLdsCSV'!$B$5,$B240,AA$51)</f>
        <v>#N/A</v>
      </c>
      <c r="AB240" s="592" t="e">
        <f ca="1">OFFSET('360SpcLdsCSV'!$B$5,$B240,AB$51)</f>
        <v>#N/A</v>
      </c>
      <c r="AC240" s="592" t="e">
        <f ca="1">OFFSET('360SpcLdsCSV'!$B$5,$B240,AC$51)</f>
        <v>#N/A</v>
      </c>
      <c r="AD240" s="592" t="e">
        <f ca="1">OFFSET('360SpcLdsCSV'!$B$5,$B240,AD$51)</f>
        <v>#N/A</v>
      </c>
      <c r="AE240" s="592" t="e">
        <f ca="1">OFFSET('360SpcLdsCSV'!$B$5,$B240,AE$51)</f>
        <v>#N/A</v>
      </c>
      <c r="AF240" s="592" t="e">
        <f ca="1">OFFSET('360SpcLdsCSV'!$B$5,$B240,AF$51)</f>
        <v>#N/A</v>
      </c>
      <c r="AG240" s="592" t="e">
        <f ca="1">OFFSET('360SpcLdsCSV'!$B$5,$B240,AG$51)</f>
        <v>#N/A</v>
      </c>
      <c r="AH240" s="592" t="e">
        <f ca="1">OFFSET('360SpcLdsCSV'!$B$5,$B240,AH$51)</f>
        <v>#N/A</v>
      </c>
      <c r="AI240" s="592" t="e">
        <f ca="1">OFFSET('360SpcLdsCSV'!$B$5,$B240,AI$51)</f>
        <v>#N/A</v>
      </c>
      <c r="AJ240" s="592" t="e" cm="1">
        <f t="array" ref="AJ240">_xlfn.IFS($F240="Resi",1,$F240="Racc",0,$F240="Coml",0,$F240="Prkg",0)</f>
        <v>#VALUE!</v>
      </c>
      <c r="AK240" s="596"/>
      <c r="AL240" s="590" t="e">
        <f ca="1">OFFSET('360SpcLdsCSV'!$B$5,$B240,AL$51)</f>
        <v>#N/A</v>
      </c>
      <c r="AM240" s="663" t="e">
        <f t="shared" ca="1" si="168"/>
        <v>#N/A</v>
      </c>
      <c r="AN240" s="663" t="e">
        <f t="shared" ca="1" si="169"/>
        <v>#N/A</v>
      </c>
      <c r="AO240" s="663" t="e">
        <f t="shared" ca="1" si="196"/>
        <v>#N/A</v>
      </c>
      <c r="AP240" s="663" t="e">
        <f t="shared" ca="1" si="170"/>
        <v>#N/A</v>
      </c>
      <c r="AQ240" s="663" t="e">
        <f t="shared" ca="1" si="171"/>
        <v>#N/A</v>
      </c>
      <c r="AR240" s="663" t="e">
        <f t="shared" ca="1" si="172"/>
        <v>#N/A</v>
      </c>
      <c r="AS240" s="663" t="e">
        <f t="shared" ca="1" si="173"/>
        <v>#N/A</v>
      </c>
      <c r="AT240" s="663" t="e">
        <f t="shared" ca="1" si="174"/>
        <v>#N/A</v>
      </c>
      <c r="AU240" s="663" t="e">
        <f t="shared" ca="1" si="175"/>
        <v>#N/A</v>
      </c>
      <c r="AV240" s="663" t="e">
        <f t="shared" ca="1" si="176"/>
        <v>#N/A</v>
      </c>
      <c r="AW240" s="663" t="e">
        <f t="shared" ca="1" si="177"/>
        <v>#N/A</v>
      </c>
      <c r="AX240" s="663" t="e">
        <f t="shared" ca="1" si="178"/>
        <v>#N/A</v>
      </c>
      <c r="AY240" s="663" t="e">
        <f t="shared" ca="1" si="179"/>
        <v>#N/A</v>
      </c>
      <c r="AZ240" s="663" t="e">
        <f t="shared" ca="1" si="180"/>
        <v>#N/A</v>
      </c>
      <c r="BA240" s="663" t="e">
        <f t="shared" ca="1" si="181"/>
        <v>#N/A</v>
      </c>
      <c r="BB240" s="663" t="e">
        <f t="shared" ca="1" si="182"/>
        <v>#N/A</v>
      </c>
      <c r="BC240" s="663" t="e">
        <f t="shared" ca="1" si="183"/>
        <v>#N/A</v>
      </c>
      <c r="BD240" s="663" t="e">
        <f t="shared" ca="1" si="184"/>
        <v>#N/A</v>
      </c>
      <c r="BE240" s="663" t="e">
        <f t="shared" ca="1" si="185"/>
        <v>#N/A</v>
      </c>
      <c r="BF240" s="663" t="e">
        <f t="shared" ca="1" si="186"/>
        <v>#N/A</v>
      </c>
      <c r="BG240" s="663" t="e">
        <f t="shared" ca="1" si="187"/>
        <v>#N/A</v>
      </c>
      <c r="BH240" s="663" t="e">
        <f t="shared" ca="1" si="188"/>
        <v>#N/A</v>
      </c>
      <c r="BI240" s="663" t="e">
        <f t="shared" ca="1" si="189"/>
        <v>#N/A</v>
      </c>
      <c r="BJ240" s="663" t="e">
        <f t="shared" ca="1" si="190"/>
        <v>#N/A</v>
      </c>
      <c r="BK240" s="663" t="e">
        <f t="shared" ca="1" si="191"/>
        <v>#N/A</v>
      </c>
      <c r="BL240" s="1918"/>
      <c r="BM240" s="1532"/>
      <c r="BN240" s="1919"/>
      <c r="BO240" s="603"/>
      <c r="BP240" s="602"/>
      <c r="BQ240" s="602"/>
      <c r="BR240" s="602"/>
      <c r="BS240" s="604"/>
      <c r="BT240" s="605"/>
      <c r="BU240" s="602"/>
      <c r="BV240" s="602"/>
      <c r="BW240" s="606"/>
      <c r="BX240" s="607"/>
      <c r="BY240" s="608"/>
      <c r="BZ240" s="608"/>
      <c r="CA240" s="608"/>
      <c r="CB240" s="600"/>
    </row>
    <row r="241" spans="2:80" ht="12" customHeight="1" x14ac:dyDescent="0.35">
      <c r="B241" s="590" t="e">
        <f>MATCH(C241,'360SpcLdsCSV'!$C$6:$C$500,0)</f>
        <v>#N/A</v>
      </c>
      <c r="C241" s="590">
        <f>'360SpcLdsCSV'!C190</f>
        <v>0</v>
      </c>
      <c r="D241" s="590" t="str">
        <f t="shared" si="197"/>
        <v>0</v>
      </c>
      <c r="E241" s="590" t="e">
        <f t="shared" si="193"/>
        <v>#VALUE!</v>
      </c>
      <c r="F241" s="590" t="e">
        <f t="shared" si="194"/>
        <v>#VALUE!</v>
      </c>
      <c r="G241" s="590" t="str">
        <f t="shared" si="198"/>
        <v>0</v>
      </c>
      <c r="H241" s="590" t="e">
        <f ca="1">OFFSET('360SpcLdsCSV'!$B$5,$B241,H$51)</f>
        <v>#N/A</v>
      </c>
      <c r="I241" s="590" t="e">
        <f ca="1">OFFSET('360SpcLdsCSV'!$B$5,$B241,I$51)</f>
        <v>#N/A</v>
      </c>
      <c r="J241" s="590" t="e">
        <f ca="1">OFFSET('360SpcLdsCSV'!$B$5,$B241,J$51)</f>
        <v>#N/A</v>
      </c>
      <c r="K241" s="590" t="e">
        <f ca="1">OFFSET('360SpcLdsCSV'!$B$5,$B241,K$51)</f>
        <v>#N/A</v>
      </c>
      <c r="L241" s="590" t="e">
        <f ca="1">OFFSET('360SpcLdsCSV'!$B$5,$B241,L$51)</f>
        <v>#N/A</v>
      </c>
      <c r="M241" s="592" t="e">
        <f ca="1">OFFSET('360SpcLdsCSV'!$B$5,$B241,M$51)</f>
        <v>#N/A</v>
      </c>
      <c r="N241" s="592" t="e">
        <f ca="1">OFFSET('360SpcLdsCSV'!$B$5,$B241,N$51)</f>
        <v>#N/A</v>
      </c>
      <c r="O241" s="592" t="e">
        <f ca="1">OFFSET('360SpcLdsCSV'!$B$5,$B241,O$51)</f>
        <v>#N/A</v>
      </c>
      <c r="P241" s="592" t="e">
        <f ca="1">OFFSET('360SpcLdsCSV'!$B$5,$B241,P$51)</f>
        <v>#N/A</v>
      </c>
      <c r="Q241" s="592" t="e">
        <f ca="1">OFFSET('360SpcLdsCSV'!$B$5,$B241,Q$51)</f>
        <v>#N/A</v>
      </c>
      <c r="R241" s="592" t="e">
        <f ca="1">OFFSET('360SpcLdsCSV'!$B$5,$B241,R$51)</f>
        <v>#N/A</v>
      </c>
      <c r="S241" s="592" t="e">
        <f ca="1">OFFSET('360SpcLdsCSV'!$B$5,$B241,S$51)</f>
        <v>#N/A</v>
      </c>
      <c r="T241" s="592" t="e">
        <f ca="1">OFFSET('360SpcLdsCSV'!$B$5,$B241,T$51)</f>
        <v>#N/A</v>
      </c>
      <c r="U241" s="592" t="e">
        <f ca="1">OFFSET('360SpcLdsCSV'!$B$5,$B241,U$51)</f>
        <v>#N/A</v>
      </c>
      <c r="V241" s="592" t="e">
        <f ca="1">OFFSET('360SpcLdsCSV'!$B$5,$B241,V$51)</f>
        <v>#N/A</v>
      </c>
      <c r="W241" s="592" t="e">
        <f ca="1">OFFSET('360SpcLdsCSV'!$B$5,$B241,W$51)</f>
        <v>#N/A</v>
      </c>
      <c r="X241" s="592" t="e">
        <f ca="1">OFFSET('360SpcLdsCSV'!$B$5,$B241,X$51)</f>
        <v>#N/A</v>
      </c>
      <c r="Y241" s="592" t="e">
        <f ca="1">OFFSET('360SpcLdsCSV'!$B$5,$B241,Y$51)</f>
        <v>#N/A</v>
      </c>
      <c r="Z241" s="592" t="e">
        <f ca="1">OFFSET('360SpcLdsCSV'!$B$5,$B241,Z$51)</f>
        <v>#N/A</v>
      </c>
      <c r="AA241" s="592" t="e">
        <f ca="1">OFFSET('360SpcLdsCSV'!$B$5,$B241,AA$51)</f>
        <v>#N/A</v>
      </c>
      <c r="AB241" s="592" t="e">
        <f ca="1">OFFSET('360SpcLdsCSV'!$B$5,$B241,AB$51)</f>
        <v>#N/A</v>
      </c>
      <c r="AC241" s="592" t="e">
        <f ca="1">OFFSET('360SpcLdsCSV'!$B$5,$B241,AC$51)</f>
        <v>#N/A</v>
      </c>
      <c r="AD241" s="592" t="e">
        <f ca="1">OFFSET('360SpcLdsCSV'!$B$5,$B241,AD$51)</f>
        <v>#N/A</v>
      </c>
      <c r="AE241" s="592" t="e">
        <f ca="1">OFFSET('360SpcLdsCSV'!$B$5,$B241,AE$51)</f>
        <v>#N/A</v>
      </c>
      <c r="AF241" s="592" t="e">
        <f ca="1">OFFSET('360SpcLdsCSV'!$B$5,$B241,AF$51)</f>
        <v>#N/A</v>
      </c>
      <c r="AG241" s="592" t="e">
        <f ca="1">OFFSET('360SpcLdsCSV'!$B$5,$B241,AG$51)</f>
        <v>#N/A</v>
      </c>
      <c r="AH241" s="592" t="e">
        <f ca="1">OFFSET('360SpcLdsCSV'!$B$5,$B241,AH$51)</f>
        <v>#N/A</v>
      </c>
      <c r="AI241" s="592" t="e">
        <f ca="1">OFFSET('360SpcLdsCSV'!$B$5,$B241,AI$51)</f>
        <v>#N/A</v>
      </c>
      <c r="AJ241" s="592" t="e" cm="1">
        <f t="array" ref="AJ241">_xlfn.IFS($F241="Resi",1,$F241="Racc",0,$F241="Coml",0,$F241="Prkg",0)</f>
        <v>#VALUE!</v>
      </c>
      <c r="AK241" s="596"/>
      <c r="AL241" s="590" t="e">
        <f ca="1">OFFSET('360SpcLdsCSV'!$B$5,$B241,AL$51)</f>
        <v>#N/A</v>
      </c>
      <c r="AM241" s="663" t="e">
        <f t="shared" ca="1" si="168"/>
        <v>#N/A</v>
      </c>
      <c r="AN241" s="663" t="e">
        <f t="shared" ca="1" si="169"/>
        <v>#N/A</v>
      </c>
      <c r="AO241" s="663" t="e">
        <f t="shared" ca="1" si="196"/>
        <v>#N/A</v>
      </c>
      <c r="AP241" s="663" t="e">
        <f t="shared" ca="1" si="170"/>
        <v>#N/A</v>
      </c>
      <c r="AQ241" s="663" t="e">
        <f t="shared" ca="1" si="171"/>
        <v>#N/A</v>
      </c>
      <c r="AR241" s="663" t="e">
        <f t="shared" ca="1" si="172"/>
        <v>#N/A</v>
      </c>
      <c r="AS241" s="663" t="e">
        <f t="shared" ca="1" si="173"/>
        <v>#N/A</v>
      </c>
      <c r="AT241" s="663" t="e">
        <f t="shared" ca="1" si="174"/>
        <v>#N/A</v>
      </c>
      <c r="AU241" s="663" t="e">
        <f t="shared" ca="1" si="175"/>
        <v>#N/A</v>
      </c>
      <c r="AV241" s="663" t="e">
        <f t="shared" ca="1" si="176"/>
        <v>#N/A</v>
      </c>
      <c r="AW241" s="663" t="e">
        <f t="shared" ca="1" si="177"/>
        <v>#N/A</v>
      </c>
      <c r="AX241" s="663" t="e">
        <f t="shared" ca="1" si="178"/>
        <v>#N/A</v>
      </c>
      <c r="AY241" s="663" t="e">
        <f t="shared" ca="1" si="179"/>
        <v>#N/A</v>
      </c>
      <c r="AZ241" s="663" t="e">
        <f t="shared" ca="1" si="180"/>
        <v>#N/A</v>
      </c>
      <c r="BA241" s="663" t="e">
        <f t="shared" ca="1" si="181"/>
        <v>#N/A</v>
      </c>
      <c r="BB241" s="663" t="e">
        <f t="shared" ca="1" si="182"/>
        <v>#N/A</v>
      </c>
      <c r="BC241" s="663" t="e">
        <f t="shared" ca="1" si="183"/>
        <v>#N/A</v>
      </c>
      <c r="BD241" s="663" t="e">
        <f t="shared" ca="1" si="184"/>
        <v>#N/A</v>
      </c>
      <c r="BE241" s="663" t="e">
        <f t="shared" ca="1" si="185"/>
        <v>#N/A</v>
      </c>
      <c r="BF241" s="663" t="e">
        <f t="shared" ca="1" si="186"/>
        <v>#N/A</v>
      </c>
      <c r="BG241" s="663" t="e">
        <f t="shared" ca="1" si="187"/>
        <v>#N/A</v>
      </c>
      <c r="BH241" s="663" t="e">
        <f t="shared" ca="1" si="188"/>
        <v>#N/A</v>
      </c>
      <c r="BI241" s="663" t="e">
        <f t="shared" ca="1" si="189"/>
        <v>#N/A</v>
      </c>
      <c r="BJ241" s="663" t="e">
        <f t="shared" ca="1" si="190"/>
        <v>#N/A</v>
      </c>
      <c r="BK241" s="663" t="e">
        <f t="shared" ca="1" si="191"/>
        <v>#N/A</v>
      </c>
      <c r="BL241" s="1918"/>
      <c r="BM241" s="1532"/>
      <c r="BN241" s="1919"/>
      <c r="BO241" s="603"/>
      <c r="BP241" s="602"/>
      <c r="BQ241" s="602"/>
      <c r="BR241" s="602"/>
      <c r="BS241" s="604"/>
      <c r="BT241" s="605"/>
      <c r="BU241" s="602"/>
      <c r="BV241" s="602"/>
      <c r="BW241" s="606"/>
      <c r="BX241" s="607"/>
      <c r="BY241" s="608"/>
      <c r="BZ241" s="608"/>
      <c r="CA241" s="608"/>
      <c r="CB241" s="600"/>
    </row>
    <row r="242" spans="2:80" ht="12" customHeight="1" x14ac:dyDescent="0.35">
      <c r="B242" s="590" t="e">
        <f>MATCH(C242,'360SpcLdsCSV'!$C$6:$C$500,0)</f>
        <v>#N/A</v>
      </c>
      <c r="C242" s="590">
        <f>'360SpcLdsCSV'!C191</f>
        <v>0</v>
      </c>
      <c r="D242" s="590" t="str">
        <f t="shared" si="197"/>
        <v>0</v>
      </c>
      <c r="E242" s="590" t="e">
        <f t="shared" si="193"/>
        <v>#VALUE!</v>
      </c>
      <c r="F242" s="590" t="e">
        <f t="shared" si="194"/>
        <v>#VALUE!</v>
      </c>
      <c r="G242" s="590" t="str">
        <f t="shared" si="198"/>
        <v>0</v>
      </c>
      <c r="H242" s="590" t="e">
        <f ca="1">OFFSET('360SpcLdsCSV'!$B$5,$B242,H$51)</f>
        <v>#N/A</v>
      </c>
      <c r="I242" s="590" t="e">
        <f ca="1">OFFSET('360SpcLdsCSV'!$B$5,$B242,I$51)</f>
        <v>#N/A</v>
      </c>
      <c r="J242" s="590" t="e">
        <f ca="1">OFFSET('360SpcLdsCSV'!$B$5,$B242,J$51)</f>
        <v>#N/A</v>
      </c>
      <c r="K242" s="590" t="e">
        <f ca="1">OFFSET('360SpcLdsCSV'!$B$5,$B242,K$51)</f>
        <v>#N/A</v>
      </c>
      <c r="L242" s="590" t="e">
        <f ca="1">OFFSET('360SpcLdsCSV'!$B$5,$B242,L$51)</f>
        <v>#N/A</v>
      </c>
      <c r="M242" s="592" t="e">
        <f ca="1">OFFSET('360SpcLdsCSV'!$B$5,$B242,M$51)</f>
        <v>#N/A</v>
      </c>
      <c r="N242" s="592" t="e">
        <f ca="1">OFFSET('360SpcLdsCSV'!$B$5,$B242,N$51)</f>
        <v>#N/A</v>
      </c>
      <c r="O242" s="592" t="e">
        <f ca="1">OFFSET('360SpcLdsCSV'!$B$5,$B242,O$51)</f>
        <v>#N/A</v>
      </c>
      <c r="P242" s="592" t="e">
        <f ca="1">OFFSET('360SpcLdsCSV'!$B$5,$B242,P$51)</f>
        <v>#N/A</v>
      </c>
      <c r="Q242" s="592" t="e">
        <f ca="1">OFFSET('360SpcLdsCSV'!$B$5,$B242,Q$51)</f>
        <v>#N/A</v>
      </c>
      <c r="R242" s="592" t="e">
        <f ca="1">OFFSET('360SpcLdsCSV'!$B$5,$B242,R$51)</f>
        <v>#N/A</v>
      </c>
      <c r="S242" s="592" t="e">
        <f ca="1">OFFSET('360SpcLdsCSV'!$B$5,$B242,S$51)</f>
        <v>#N/A</v>
      </c>
      <c r="T242" s="592" t="e">
        <f ca="1">OFFSET('360SpcLdsCSV'!$B$5,$B242,T$51)</f>
        <v>#N/A</v>
      </c>
      <c r="U242" s="592" t="e">
        <f ca="1">OFFSET('360SpcLdsCSV'!$B$5,$B242,U$51)</f>
        <v>#N/A</v>
      </c>
      <c r="V242" s="592" t="e">
        <f ca="1">OFFSET('360SpcLdsCSV'!$B$5,$B242,V$51)</f>
        <v>#N/A</v>
      </c>
      <c r="W242" s="592" t="e">
        <f ca="1">OFFSET('360SpcLdsCSV'!$B$5,$B242,W$51)</f>
        <v>#N/A</v>
      </c>
      <c r="X242" s="592" t="e">
        <f ca="1">OFFSET('360SpcLdsCSV'!$B$5,$B242,X$51)</f>
        <v>#N/A</v>
      </c>
      <c r="Y242" s="592" t="e">
        <f ca="1">OFFSET('360SpcLdsCSV'!$B$5,$B242,Y$51)</f>
        <v>#N/A</v>
      </c>
      <c r="Z242" s="592" t="e">
        <f ca="1">OFFSET('360SpcLdsCSV'!$B$5,$B242,Z$51)</f>
        <v>#N/A</v>
      </c>
      <c r="AA242" s="592" t="e">
        <f ca="1">OFFSET('360SpcLdsCSV'!$B$5,$B242,AA$51)</f>
        <v>#N/A</v>
      </c>
      <c r="AB242" s="592" t="e">
        <f ca="1">OFFSET('360SpcLdsCSV'!$B$5,$B242,AB$51)</f>
        <v>#N/A</v>
      </c>
      <c r="AC242" s="592" t="e">
        <f ca="1">OFFSET('360SpcLdsCSV'!$B$5,$B242,AC$51)</f>
        <v>#N/A</v>
      </c>
      <c r="AD242" s="592" t="e">
        <f ca="1">OFFSET('360SpcLdsCSV'!$B$5,$B242,AD$51)</f>
        <v>#N/A</v>
      </c>
      <c r="AE242" s="592" t="e">
        <f ca="1">OFFSET('360SpcLdsCSV'!$B$5,$B242,AE$51)</f>
        <v>#N/A</v>
      </c>
      <c r="AF242" s="592" t="e">
        <f ca="1">OFFSET('360SpcLdsCSV'!$B$5,$B242,AF$51)</f>
        <v>#N/A</v>
      </c>
      <c r="AG242" s="592" t="e">
        <f ca="1">OFFSET('360SpcLdsCSV'!$B$5,$B242,AG$51)</f>
        <v>#N/A</v>
      </c>
      <c r="AH242" s="592" t="e">
        <f ca="1">OFFSET('360SpcLdsCSV'!$B$5,$B242,AH$51)</f>
        <v>#N/A</v>
      </c>
      <c r="AI242" s="592" t="e">
        <f ca="1">OFFSET('360SpcLdsCSV'!$B$5,$B242,AI$51)</f>
        <v>#N/A</v>
      </c>
      <c r="AJ242" s="592" t="e" cm="1">
        <f t="array" ref="AJ242">_xlfn.IFS($F242="Resi",1,$F242="Racc",0,$F242="Coml",0,$F242="Prkg",0)</f>
        <v>#VALUE!</v>
      </c>
      <c r="AK242" s="596"/>
      <c r="AL242" s="590" t="e">
        <f ca="1">OFFSET('360SpcLdsCSV'!$B$5,$B242,AL$51)</f>
        <v>#N/A</v>
      </c>
      <c r="AM242" s="663" t="e">
        <f t="shared" ca="1" si="168"/>
        <v>#N/A</v>
      </c>
      <c r="AN242" s="663" t="e">
        <f t="shared" ca="1" si="169"/>
        <v>#N/A</v>
      </c>
      <c r="AO242" s="663" t="e">
        <f t="shared" ca="1" si="196"/>
        <v>#N/A</v>
      </c>
      <c r="AP242" s="663" t="e">
        <f t="shared" ca="1" si="170"/>
        <v>#N/A</v>
      </c>
      <c r="AQ242" s="663" t="e">
        <f t="shared" ca="1" si="171"/>
        <v>#N/A</v>
      </c>
      <c r="AR242" s="663" t="e">
        <f t="shared" ca="1" si="172"/>
        <v>#N/A</v>
      </c>
      <c r="AS242" s="663" t="e">
        <f t="shared" ca="1" si="173"/>
        <v>#N/A</v>
      </c>
      <c r="AT242" s="663" t="e">
        <f t="shared" ca="1" si="174"/>
        <v>#N/A</v>
      </c>
      <c r="AU242" s="663" t="e">
        <f t="shared" ca="1" si="175"/>
        <v>#N/A</v>
      </c>
      <c r="AV242" s="663" t="e">
        <f t="shared" ca="1" si="176"/>
        <v>#N/A</v>
      </c>
      <c r="AW242" s="663" t="e">
        <f t="shared" ca="1" si="177"/>
        <v>#N/A</v>
      </c>
      <c r="AX242" s="663" t="e">
        <f t="shared" ca="1" si="178"/>
        <v>#N/A</v>
      </c>
      <c r="AY242" s="663" t="e">
        <f t="shared" ca="1" si="179"/>
        <v>#N/A</v>
      </c>
      <c r="AZ242" s="663" t="e">
        <f t="shared" ca="1" si="180"/>
        <v>#N/A</v>
      </c>
      <c r="BA242" s="663" t="e">
        <f t="shared" ca="1" si="181"/>
        <v>#N/A</v>
      </c>
      <c r="BB242" s="663" t="e">
        <f t="shared" ca="1" si="182"/>
        <v>#N/A</v>
      </c>
      <c r="BC242" s="663" t="e">
        <f t="shared" ca="1" si="183"/>
        <v>#N/A</v>
      </c>
      <c r="BD242" s="663" t="e">
        <f t="shared" ca="1" si="184"/>
        <v>#N/A</v>
      </c>
      <c r="BE242" s="663" t="e">
        <f t="shared" ca="1" si="185"/>
        <v>#N/A</v>
      </c>
      <c r="BF242" s="663" t="e">
        <f t="shared" ca="1" si="186"/>
        <v>#N/A</v>
      </c>
      <c r="BG242" s="663" t="e">
        <f t="shared" ca="1" si="187"/>
        <v>#N/A</v>
      </c>
      <c r="BH242" s="663" t="e">
        <f t="shared" ca="1" si="188"/>
        <v>#N/A</v>
      </c>
      <c r="BI242" s="663" t="e">
        <f t="shared" ca="1" si="189"/>
        <v>#N/A</v>
      </c>
      <c r="BJ242" s="663" t="e">
        <f t="shared" ca="1" si="190"/>
        <v>#N/A</v>
      </c>
      <c r="BK242" s="663" t="e">
        <f t="shared" ca="1" si="191"/>
        <v>#N/A</v>
      </c>
      <c r="BL242" s="1918"/>
      <c r="BM242" s="1532"/>
      <c r="BN242" s="1919"/>
      <c r="BO242" s="603"/>
      <c r="BP242" s="602"/>
      <c r="BQ242" s="602"/>
      <c r="BR242" s="602"/>
      <c r="BS242" s="604"/>
      <c r="BT242" s="605"/>
      <c r="BU242" s="602"/>
      <c r="BV242" s="602"/>
      <c r="BW242" s="606"/>
      <c r="BX242" s="607"/>
      <c r="BY242" s="608"/>
      <c r="BZ242" s="608"/>
      <c r="CA242" s="608"/>
      <c r="CB242" s="600"/>
    </row>
    <row r="243" spans="2:80" ht="12" customHeight="1" x14ac:dyDescent="0.35">
      <c r="B243" s="590" t="e">
        <f>MATCH(C243,'360SpcLdsCSV'!$C$6:$C$500,0)</f>
        <v>#N/A</v>
      </c>
      <c r="C243" s="590">
        <f>'360SpcLdsCSV'!C192</f>
        <v>0</v>
      </c>
      <c r="D243" s="590" t="str">
        <f t="shared" si="197"/>
        <v>0</v>
      </c>
      <c r="E243" s="590" t="e">
        <f t="shared" si="193"/>
        <v>#VALUE!</v>
      </c>
      <c r="F243" s="590" t="e">
        <f t="shared" si="194"/>
        <v>#VALUE!</v>
      </c>
      <c r="G243" s="590" t="str">
        <f t="shared" si="198"/>
        <v>0</v>
      </c>
      <c r="H243" s="590" t="e">
        <f ca="1">OFFSET('360SpcLdsCSV'!$B$5,$B243,H$51)</f>
        <v>#N/A</v>
      </c>
      <c r="I243" s="590" t="e">
        <f ca="1">OFFSET('360SpcLdsCSV'!$B$5,$B243,I$51)</f>
        <v>#N/A</v>
      </c>
      <c r="J243" s="590" t="e">
        <f ca="1">OFFSET('360SpcLdsCSV'!$B$5,$B243,J$51)</f>
        <v>#N/A</v>
      </c>
      <c r="K243" s="590" t="e">
        <f ca="1">OFFSET('360SpcLdsCSV'!$B$5,$B243,K$51)</f>
        <v>#N/A</v>
      </c>
      <c r="L243" s="590" t="e">
        <f ca="1">OFFSET('360SpcLdsCSV'!$B$5,$B243,L$51)</f>
        <v>#N/A</v>
      </c>
      <c r="M243" s="592" t="e">
        <f ca="1">OFFSET('360SpcLdsCSV'!$B$5,$B243,M$51)</f>
        <v>#N/A</v>
      </c>
      <c r="N243" s="592" t="e">
        <f ca="1">OFFSET('360SpcLdsCSV'!$B$5,$B243,N$51)</f>
        <v>#N/A</v>
      </c>
      <c r="O243" s="592" t="e">
        <f ca="1">OFFSET('360SpcLdsCSV'!$B$5,$B243,O$51)</f>
        <v>#N/A</v>
      </c>
      <c r="P243" s="592" t="e">
        <f ca="1">OFFSET('360SpcLdsCSV'!$B$5,$B243,P$51)</f>
        <v>#N/A</v>
      </c>
      <c r="Q243" s="592" t="e">
        <f ca="1">OFFSET('360SpcLdsCSV'!$B$5,$B243,Q$51)</f>
        <v>#N/A</v>
      </c>
      <c r="R243" s="592" t="e">
        <f ca="1">OFFSET('360SpcLdsCSV'!$B$5,$B243,R$51)</f>
        <v>#N/A</v>
      </c>
      <c r="S243" s="592" t="e">
        <f ca="1">OFFSET('360SpcLdsCSV'!$B$5,$B243,S$51)</f>
        <v>#N/A</v>
      </c>
      <c r="T243" s="592" t="e">
        <f ca="1">OFFSET('360SpcLdsCSV'!$B$5,$B243,T$51)</f>
        <v>#N/A</v>
      </c>
      <c r="U243" s="592" t="e">
        <f ca="1">OFFSET('360SpcLdsCSV'!$B$5,$B243,U$51)</f>
        <v>#N/A</v>
      </c>
      <c r="V243" s="592" t="e">
        <f ca="1">OFFSET('360SpcLdsCSV'!$B$5,$B243,V$51)</f>
        <v>#N/A</v>
      </c>
      <c r="W243" s="592" t="e">
        <f ca="1">OFFSET('360SpcLdsCSV'!$B$5,$B243,W$51)</f>
        <v>#N/A</v>
      </c>
      <c r="X243" s="592" t="e">
        <f ca="1">OFFSET('360SpcLdsCSV'!$B$5,$B243,X$51)</f>
        <v>#N/A</v>
      </c>
      <c r="Y243" s="592" t="e">
        <f ca="1">OFFSET('360SpcLdsCSV'!$B$5,$B243,Y$51)</f>
        <v>#N/A</v>
      </c>
      <c r="Z243" s="592" t="e">
        <f ca="1">OFFSET('360SpcLdsCSV'!$B$5,$B243,Z$51)</f>
        <v>#N/A</v>
      </c>
      <c r="AA243" s="592" t="e">
        <f ca="1">OFFSET('360SpcLdsCSV'!$B$5,$B243,AA$51)</f>
        <v>#N/A</v>
      </c>
      <c r="AB243" s="592" t="e">
        <f ca="1">OFFSET('360SpcLdsCSV'!$B$5,$B243,AB$51)</f>
        <v>#N/A</v>
      </c>
      <c r="AC243" s="592" t="e">
        <f ca="1">OFFSET('360SpcLdsCSV'!$B$5,$B243,AC$51)</f>
        <v>#N/A</v>
      </c>
      <c r="AD243" s="592" t="e">
        <f ca="1">OFFSET('360SpcLdsCSV'!$B$5,$B243,AD$51)</f>
        <v>#N/A</v>
      </c>
      <c r="AE243" s="592" t="e">
        <f ca="1">OFFSET('360SpcLdsCSV'!$B$5,$B243,AE$51)</f>
        <v>#N/A</v>
      </c>
      <c r="AF243" s="592" t="e">
        <f ca="1">OFFSET('360SpcLdsCSV'!$B$5,$B243,AF$51)</f>
        <v>#N/A</v>
      </c>
      <c r="AG243" s="592" t="e">
        <f ca="1">OFFSET('360SpcLdsCSV'!$B$5,$B243,AG$51)</f>
        <v>#N/A</v>
      </c>
      <c r="AH243" s="592" t="e">
        <f ca="1">OFFSET('360SpcLdsCSV'!$B$5,$B243,AH$51)</f>
        <v>#N/A</v>
      </c>
      <c r="AI243" s="592" t="e">
        <f ca="1">OFFSET('360SpcLdsCSV'!$B$5,$B243,AI$51)</f>
        <v>#N/A</v>
      </c>
      <c r="AJ243" s="592" t="e" cm="1">
        <f t="array" ref="AJ243">_xlfn.IFS($F243="Resi",1,$F243="Racc",0,$F243="Coml",0,$F243="Prkg",0)</f>
        <v>#VALUE!</v>
      </c>
      <c r="AK243" s="596"/>
      <c r="AL243" s="590" t="e">
        <f ca="1">OFFSET('360SpcLdsCSV'!$B$5,$B243,AL$51)</f>
        <v>#N/A</v>
      </c>
      <c r="AM243" s="663" t="e">
        <f t="shared" ca="1" si="168"/>
        <v>#N/A</v>
      </c>
      <c r="AN243" s="663" t="e">
        <f t="shared" ca="1" si="169"/>
        <v>#N/A</v>
      </c>
      <c r="AO243" s="663" t="e">
        <f t="shared" ca="1" si="196"/>
        <v>#N/A</v>
      </c>
      <c r="AP243" s="663" t="e">
        <f t="shared" ca="1" si="170"/>
        <v>#N/A</v>
      </c>
      <c r="AQ243" s="663" t="e">
        <f t="shared" ca="1" si="171"/>
        <v>#N/A</v>
      </c>
      <c r="AR243" s="663" t="e">
        <f t="shared" ca="1" si="172"/>
        <v>#N/A</v>
      </c>
      <c r="AS243" s="663" t="e">
        <f t="shared" ca="1" si="173"/>
        <v>#N/A</v>
      </c>
      <c r="AT243" s="663" t="e">
        <f t="shared" ca="1" si="174"/>
        <v>#N/A</v>
      </c>
      <c r="AU243" s="663" t="e">
        <f t="shared" ca="1" si="175"/>
        <v>#N/A</v>
      </c>
      <c r="AV243" s="663" t="e">
        <f t="shared" ca="1" si="176"/>
        <v>#N/A</v>
      </c>
      <c r="AW243" s="663" t="e">
        <f t="shared" ca="1" si="177"/>
        <v>#N/A</v>
      </c>
      <c r="AX243" s="663" t="e">
        <f t="shared" ca="1" si="178"/>
        <v>#N/A</v>
      </c>
      <c r="AY243" s="663" t="e">
        <f t="shared" ca="1" si="179"/>
        <v>#N/A</v>
      </c>
      <c r="AZ243" s="663" t="e">
        <f t="shared" ca="1" si="180"/>
        <v>#N/A</v>
      </c>
      <c r="BA243" s="663" t="e">
        <f t="shared" ca="1" si="181"/>
        <v>#N/A</v>
      </c>
      <c r="BB243" s="663" t="e">
        <f t="shared" ca="1" si="182"/>
        <v>#N/A</v>
      </c>
      <c r="BC243" s="663" t="e">
        <f t="shared" ca="1" si="183"/>
        <v>#N/A</v>
      </c>
      <c r="BD243" s="663" t="e">
        <f t="shared" ca="1" si="184"/>
        <v>#N/A</v>
      </c>
      <c r="BE243" s="663" t="e">
        <f t="shared" ca="1" si="185"/>
        <v>#N/A</v>
      </c>
      <c r="BF243" s="663" t="e">
        <f t="shared" ca="1" si="186"/>
        <v>#N/A</v>
      </c>
      <c r="BG243" s="663" t="e">
        <f t="shared" ca="1" si="187"/>
        <v>#N/A</v>
      </c>
      <c r="BH243" s="663" t="e">
        <f t="shared" ca="1" si="188"/>
        <v>#N/A</v>
      </c>
      <c r="BI243" s="663" t="e">
        <f t="shared" ca="1" si="189"/>
        <v>#N/A</v>
      </c>
      <c r="BJ243" s="663" t="e">
        <f t="shared" ca="1" si="190"/>
        <v>#N/A</v>
      </c>
      <c r="BK243" s="663" t="e">
        <f t="shared" ca="1" si="191"/>
        <v>#N/A</v>
      </c>
      <c r="BL243" s="1918"/>
      <c r="BM243" s="1532"/>
      <c r="BN243" s="1919"/>
      <c r="BO243" s="603"/>
      <c r="BP243" s="602"/>
      <c r="BQ243" s="602"/>
      <c r="BR243" s="602"/>
      <c r="BS243" s="604"/>
      <c r="BT243" s="605"/>
      <c r="BU243" s="602"/>
      <c r="BV243" s="602"/>
      <c r="BW243" s="606"/>
      <c r="BX243" s="607"/>
      <c r="BY243" s="608"/>
      <c r="BZ243" s="608"/>
      <c r="CA243" s="608"/>
      <c r="CB243" s="600"/>
    </row>
    <row r="244" spans="2:80" ht="12" customHeight="1" x14ac:dyDescent="0.35">
      <c r="B244" s="590" t="e">
        <f>MATCH(C244,'360SpcLdsCSV'!$C$6:$C$500,0)</f>
        <v>#N/A</v>
      </c>
      <c r="C244" s="590">
        <f>'360SpcLdsCSV'!C193</f>
        <v>0</v>
      </c>
      <c r="D244" s="590" t="str">
        <f t="shared" si="197"/>
        <v>0</v>
      </c>
      <c r="E244" s="590" t="e">
        <f t="shared" si="193"/>
        <v>#VALUE!</v>
      </c>
      <c r="F244" s="590" t="e">
        <f t="shared" si="194"/>
        <v>#VALUE!</v>
      </c>
      <c r="G244" s="590" t="str">
        <f t="shared" si="198"/>
        <v>0</v>
      </c>
      <c r="H244" s="590" t="e">
        <f ca="1">OFFSET('360SpcLdsCSV'!$B$5,$B244,H$51)</f>
        <v>#N/A</v>
      </c>
      <c r="I244" s="590" t="e">
        <f ca="1">OFFSET('360SpcLdsCSV'!$B$5,$B244,I$51)</f>
        <v>#N/A</v>
      </c>
      <c r="J244" s="590" t="e">
        <f ca="1">OFFSET('360SpcLdsCSV'!$B$5,$B244,J$51)</f>
        <v>#N/A</v>
      </c>
      <c r="K244" s="590" t="e">
        <f ca="1">OFFSET('360SpcLdsCSV'!$B$5,$B244,K$51)</f>
        <v>#N/A</v>
      </c>
      <c r="L244" s="590" t="e">
        <f ca="1">OFFSET('360SpcLdsCSV'!$B$5,$B244,L$51)</f>
        <v>#N/A</v>
      </c>
      <c r="M244" s="592" t="e">
        <f ca="1">OFFSET('360SpcLdsCSV'!$B$5,$B244,M$51)</f>
        <v>#N/A</v>
      </c>
      <c r="N244" s="592" t="e">
        <f ca="1">OFFSET('360SpcLdsCSV'!$B$5,$B244,N$51)</f>
        <v>#N/A</v>
      </c>
      <c r="O244" s="592" t="e">
        <f ca="1">OFFSET('360SpcLdsCSV'!$B$5,$B244,O$51)</f>
        <v>#N/A</v>
      </c>
      <c r="P244" s="592" t="e">
        <f ca="1">OFFSET('360SpcLdsCSV'!$B$5,$B244,P$51)</f>
        <v>#N/A</v>
      </c>
      <c r="Q244" s="592" t="e">
        <f ca="1">OFFSET('360SpcLdsCSV'!$B$5,$B244,Q$51)</f>
        <v>#N/A</v>
      </c>
      <c r="R244" s="592" t="e">
        <f ca="1">OFFSET('360SpcLdsCSV'!$B$5,$B244,R$51)</f>
        <v>#N/A</v>
      </c>
      <c r="S244" s="592" t="e">
        <f ca="1">OFFSET('360SpcLdsCSV'!$B$5,$B244,S$51)</f>
        <v>#N/A</v>
      </c>
      <c r="T244" s="592" t="e">
        <f ca="1">OFFSET('360SpcLdsCSV'!$B$5,$B244,T$51)</f>
        <v>#N/A</v>
      </c>
      <c r="U244" s="592" t="e">
        <f ca="1">OFFSET('360SpcLdsCSV'!$B$5,$B244,U$51)</f>
        <v>#N/A</v>
      </c>
      <c r="V244" s="592" t="e">
        <f ca="1">OFFSET('360SpcLdsCSV'!$B$5,$B244,V$51)</f>
        <v>#N/A</v>
      </c>
      <c r="W244" s="592" t="e">
        <f ca="1">OFFSET('360SpcLdsCSV'!$B$5,$B244,W$51)</f>
        <v>#N/A</v>
      </c>
      <c r="X244" s="592" t="e">
        <f ca="1">OFFSET('360SpcLdsCSV'!$B$5,$B244,X$51)</f>
        <v>#N/A</v>
      </c>
      <c r="Y244" s="592" t="e">
        <f ca="1">OFFSET('360SpcLdsCSV'!$B$5,$B244,Y$51)</f>
        <v>#N/A</v>
      </c>
      <c r="Z244" s="592" t="e">
        <f ca="1">OFFSET('360SpcLdsCSV'!$B$5,$B244,Z$51)</f>
        <v>#N/A</v>
      </c>
      <c r="AA244" s="592" t="e">
        <f ca="1">OFFSET('360SpcLdsCSV'!$B$5,$B244,AA$51)</f>
        <v>#N/A</v>
      </c>
      <c r="AB244" s="592" t="e">
        <f ca="1">OFFSET('360SpcLdsCSV'!$B$5,$B244,AB$51)</f>
        <v>#N/A</v>
      </c>
      <c r="AC244" s="592" t="e">
        <f ca="1">OFFSET('360SpcLdsCSV'!$B$5,$B244,AC$51)</f>
        <v>#N/A</v>
      </c>
      <c r="AD244" s="592" t="e">
        <f ca="1">OFFSET('360SpcLdsCSV'!$B$5,$B244,AD$51)</f>
        <v>#N/A</v>
      </c>
      <c r="AE244" s="592" t="e">
        <f ca="1">OFFSET('360SpcLdsCSV'!$B$5,$B244,AE$51)</f>
        <v>#N/A</v>
      </c>
      <c r="AF244" s="592" t="e">
        <f ca="1">OFFSET('360SpcLdsCSV'!$B$5,$B244,AF$51)</f>
        <v>#N/A</v>
      </c>
      <c r="AG244" s="592" t="e">
        <f ca="1">OFFSET('360SpcLdsCSV'!$B$5,$B244,AG$51)</f>
        <v>#N/A</v>
      </c>
      <c r="AH244" s="592" t="e">
        <f ca="1">OFFSET('360SpcLdsCSV'!$B$5,$B244,AH$51)</f>
        <v>#N/A</v>
      </c>
      <c r="AI244" s="592" t="e">
        <f ca="1">OFFSET('360SpcLdsCSV'!$B$5,$B244,AI$51)</f>
        <v>#N/A</v>
      </c>
      <c r="AJ244" s="592" t="e" cm="1">
        <f t="array" ref="AJ244">_xlfn.IFS($F244="Resi",1,$F244="Racc",0,$F244="Coml",0,$F244="Prkg",0)</f>
        <v>#VALUE!</v>
      </c>
      <c r="AK244" s="596"/>
      <c r="AL244" s="590" t="e">
        <f ca="1">OFFSET('360SpcLdsCSV'!$B$5,$B244,AL$51)</f>
        <v>#N/A</v>
      </c>
      <c r="AM244" s="663" t="e">
        <f t="shared" ca="1" si="168"/>
        <v>#N/A</v>
      </c>
      <c r="AN244" s="663" t="e">
        <f t="shared" ca="1" si="169"/>
        <v>#N/A</v>
      </c>
      <c r="AO244" s="663" t="e">
        <f t="shared" ca="1" si="196"/>
        <v>#N/A</v>
      </c>
      <c r="AP244" s="663" t="e">
        <f t="shared" ca="1" si="170"/>
        <v>#N/A</v>
      </c>
      <c r="AQ244" s="663" t="e">
        <f t="shared" ca="1" si="171"/>
        <v>#N/A</v>
      </c>
      <c r="AR244" s="663" t="e">
        <f t="shared" ca="1" si="172"/>
        <v>#N/A</v>
      </c>
      <c r="AS244" s="663" t="e">
        <f t="shared" ca="1" si="173"/>
        <v>#N/A</v>
      </c>
      <c r="AT244" s="663" t="e">
        <f t="shared" ca="1" si="174"/>
        <v>#N/A</v>
      </c>
      <c r="AU244" s="663" t="e">
        <f t="shared" ca="1" si="175"/>
        <v>#N/A</v>
      </c>
      <c r="AV244" s="663" t="e">
        <f t="shared" ca="1" si="176"/>
        <v>#N/A</v>
      </c>
      <c r="AW244" s="663" t="e">
        <f t="shared" ca="1" si="177"/>
        <v>#N/A</v>
      </c>
      <c r="AX244" s="663" t="e">
        <f t="shared" ca="1" si="178"/>
        <v>#N/A</v>
      </c>
      <c r="AY244" s="663" t="e">
        <f t="shared" ca="1" si="179"/>
        <v>#N/A</v>
      </c>
      <c r="AZ244" s="663" t="e">
        <f t="shared" ca="1" si="180"/>
        <v>#N/A</v>
      </c>
      <c r="BA244" s="663" t="e">
        <f t="shared" ca="1" si="181"/>
        <v>#N/A</v>
      </c>
      <c r="BB244" s="663" t="e">
        <f t="shared" ca="1" si="182"/>
        <v>#N/A</v>
      </c>
      <c r="BC244" s="663" t="e">
        <f t="shared" ca="1" si="183"/>
        <v>#N/A</v>
      </c>
      <c r="BD244" s="663" t="e">
        <f t="shared" ca="1" si="184"/>
        <v>#N/A</v>
      </c>
      <c r="BE244" s="663" t="e">
        <f t="shared" ca="1" si="185"/>
        <v>#N/A</v>
      </c>
      <c r="BF244" s="663" t="e">
        <f t="shared" ca="1" si="186"/>
        <v>#N/A</v>
      </c>
      <c r="BG244" s="663" t="e">
        <f t="shared" ca="1" si="187"/>
        <v>#N/A</v>
      </c>
      <c r="BH244" s="663" t="e">
        <f t="shared" ca="1" si="188"/>
        <v>#N/A</v>
      </c>
      <c r="BI244" s="663" t="e">
        <f t="shared" ca="1" si="189"/>
        <v>#N/A</v>
      </c>
      <c r="BJ244" s="663" t="e">
        <f t="shared" ca="1" si="190"/>
        <v>#N/A</v>
      </c>
      <c r="BK244" s="663" t="e">
        <f t="shared" ca="1" si="191"/>
        <v>#N/A</v>
      </c>
      <c r="BL244" s="1918"/>
      <c r="BM244" s="1532"/>
      <c r="BN244" s="1919"/>
      <c r="BO244" s="603"/>
      <c r="BP244" s="602"/>
      <c r="BQ244" s="602"/>
      <c r="BR244" s="602"/>
      <c r="BS244" s="604"/>
      <c r="BT244" s="605"/>
      <c r="BU244" s="602"/>
      <c r="BV244" s="602"/>
      <c r="BW244" s="606"/>
      <c r="BX244" s="607"/>
      <c r="BY244" s="608"/>
      <c r="BZ244" s="608"/>
      <c r="CA244" s="608"/>
      <c r="CB244" s="600"/>
    </row>
    <row r="245" spans="2:80" ht="12" customHeight="1" x14ac:dyDescent="0.35">
      <c r="B245" s="590" t="e">
        <f>MATCH(C245,'360SpcLdsCSV'!$C$6:$C$500,0)</f>
        <v>#N/A</v>
      </c>
      <c r="C245" s="590">
        <f>'360SpcLdsCSV'!C194</f>
        <v>0</v>
      </c>
      <c r="D245" s="590" t="str">
        <f t="shared" si="197"/>
        <v>0</v>
      </c>
      <c r="E245" s="590" t="e">
        <f t="shared" si="193"/>
        <v>#VALUE!</v>
      </c>
      <c r="F245" s="590" t="e">
        <f t="shared" si="194"/>
        <v>#VALUE!</v>
      </c>
      <c r="G245" s="590" t="str">
        <f t="shared" si="198"/>
        <v>0</v>
      </c>
      <c r="H245" s="590" t="e">
        <f ca="1">OFFSET('360SpcLdsCSV'!$B$5,$B245,H$51)</f>
        <v>#N/A</v>
      </c>
      <c r="I245" s="590" t="e">
        <f ca="1">OFFSET('360SpcLdsCSV'!$B$5,$B245,I$51)</f>
        <v>#N/A</v>
      </c>
      <c r="J245" s="590" t="e">
        <f ca="1">OFFSET('360SpcLdsCSV'!$B$5,$B245,J$51)</f>
        <v>#N/A</v>
      </c>
      <c r="K245" s="590" t="e">
        <f ca="1">OFFSET('360SpcLdsCSV'!$B$5,$B245,K$51)</f>
        <v>#N/A</v>
      </c>
      <c r="L245" s="590" t="e">
        <f ca="1">OFFSET('360SpcLdsCSV'!$B$5,$B245,L$51)</f>
        <v>#N/A</v>
      </c>
      <c r="M245" s="592" t="e">
        <f ca="1">OFFSET('360SpcLdsCSV'!$B$5,$B245,M$51)</f>
        <v>#N/A</v>
      </c>
      <c r="N245" s="592" t="e">
        <f ca="1">OFFSET('360SpcLdsCSV'!$B$5,$B245,N$51)</f>
        <v>#N/A</v>
      </c>
      <c r="O245" s="592" t="e">
        <f ca="1">OFFSET('360SpcLdsCSV'!$B$5,$B245,O$51)</f>
        <v>#N/A</v>
      </c>
      <c r="P245" s="592" t="e">
        <f ca="1">OFFSET('360SpcLdsCSV'!$B$5,$B245,P$51)</f>
        <v>#N/A</v>
      </c>
      <c r="Q245" s="592" t="e">
        <f ca="1">OFFSET('360SpcLdsCSV'!$B$5,$B245,Q$51)</f>
        <v>#N/A</v>
      </c>
      <c r="R245" s="592" t="e">
        <f ca="1">OFFSET('360SpcLdsCSV'!$B$5,$B245,R$51)</f>
        <v>#N/A</v>
      </c>
      <c r="S245" s="592" t="e">
        <f ca="1">OFFSET('360SpcLdsCSV'!$B$5,$B245,S$51)</f>
        <v>#N/A</v>
      </c>
      <c r="T245" s="592" t="e">
        <f ca="1">OFFSET('360SpcLdsCSV'!$B$5,$B245,T$51)</f>
        <v>#N/A</v>
      </c>
      <c r="U245" s="592" t="e">
        <f ca="1">OFFSET('360SpcLdsCSV'!$B$5,$B245,U$51)</f>
        <v>#N/A</v>
      </c>
      <c r="V245" s="592" t="e">
        <f ca="1">OFFSET('360SpcLdsCSV'!$B$5,$B245,V$51)</f>
        <v>#N/A</v>
      </c>
      <c r="W245" s="592" t="e">
        <f ca="1">OFFSET('360SpcLdsCSV'!$B$5,$B245,W$51)</f>
        <v>#N/A</v>
      </c>
      <c r="X245" s="592" t="e">
        <f ca="1">OFFSET('360SpcLdsCSV'!$B$5,$B245,X$51)</f>
        <v>#N/A</v>
      </c>
      <c r="Y245" s="592" t="e">
        <f ca="1">OFFSET('360SpcLdsCSV'!$B$5,$B245,Y$51)</f>
        <v>#N/A</v>
      </c>
      <c r="Z245" s="592" t="e">
        <f ca="1">OFFSET('360SpcLdsCSV'!$B$5,$B245,Z$51)</f>
        <v>#N/A</v>
      </c>
      <c r="AA245" s="592" t="e">
        <f ca="1">OFFSET('360SpcLdsCSV'!$B$5,$B245,AA$51)</f>
        <v>#N/A</v>
      </c>
      <c r="AB245" s="592" t="e">
        <f ca="1">OFFSET('360SpcLdsCSV'!$B$5,$B245,AB$51)</f>
        <v>#N/A</v>
      </c>
      <c r="AC245" s="592" t="e">
        <f ca="1">OFFSET('360SpcLdsCSV'!$B$5,$B245,AC$51)</f>
        <v>#N/A</v>
      </c>
      <c r="AD245" s="592" t="e">
        <f ca="1">OFFSET('360SpcLdsCSV'!$B$5,$B245,AD$51)</f>
        <v>#N/A</v>
      </c>
      <c r="AE245" s="592" t="e">
        <f ca="1">OFFSET('360SpcLdsCSV'!$B$5,$B245,AE$51)</f>
        <v>#N/A</v>
      </c>
      <c r="AF245" s="592" t="e">
        <f ca="1">OFFSET('360SpcLdsCSV'!$B$5,$B245,AF$51)</f>
        <v>#N/A</v>
      </c>
      <c r="AG245" s="592" t="e">
        <f ca="1">OFFSET('360SpcLdsCSV'!$B$5,$B245,AG$51)</f>
        <v>#N/A</v>
      </c>
      <c r="AH245" s="592" t="e">
        <f ca="1">OFFSET('360SpcLdsCSV'!$B$5,$B245,AH$51)</f>
        <v>#N/A</v>
      </c>
      <c r="AI245" s="592" t="e">
        <f ca="1">OFFSET('360SpcLdsCSV'!$B$5,$B245,AI$51)</f>
        <v>#N/A</v>
      </c>
      <c r="AJ245" s="592" t="e" cm="1">
        <f t="array" ref="AJ245">_xlfn.IFS($F245="Resi",1,$F245="Racc",0,$F245="Coml",0,$F245="Prkg",0)</f>
        <v>#VALUE!</v>
      </c>
      <c r="AK245" s="596"/>
      <c r="AL245" s="590" t="e">
        <f ca="1">OFFSET('360SpcLdsCSV'!$B$5,$B245,AL$51)</f>
        <v>#N/A</v>
      </c>
      <c r="AM245" s="663" t="e">
        <f t="shared" ca="1" si="168"/>
        <v>#N/A</v>
      </c>
      <c r="AN245" s="663" t="e">
        <f t="shared" ca="1" si="169"/>
        <v>#N/A</v>
      </c>
      <c r="AO245" s="663" t="e">
        <f t="shared" ca="1" si="196"/>
        <v>#N/A</v>
      </c>
      <c r="AP245" s="663" t="e">
        <f t="shared" ca="1" si="170"/>
        <v>#N/A</v>
      </c>
      <c r="AQ245" s="663" t="e">
        <f t="shared" ca="1" si="171"/>
        <v>#N/A</v>
      </c>
      <c r="AR245" s="663" t="e">
        <f t="shared" ca="1" si="172"/>
        <v>#N/A</v>
      </c>
      <c r="AS245" s="663" t="e">
        <f t="shared" ca="1" si="173"/>
        <v>#N/A</v>
      </c>
      <c r="AT245" s="663" t="e">
        <f t="shared" ca="1" si="174"/>
        <v>#N/A</v>
      </c>
      <c r="AU245" s="663" t="e">
        <f t="shared" ca="1" si="175"/>
        <v>#N/A</v>
      </c>
      <c r="AV245" s="663" t="e">
        <f t="shared" ca="1" si="176"/>
        <v>#N/A</v>
      </c>
      <c r="AW245" s="663" t="e">
        <f t="shared" ca="1" si="177"/>
        <v>#N/A</v>
      </c>
      <c r="AX245" s="663" t="e">
        <f t="shared" ca="1" si="178"/>
        <v>#N/A</v>
      </c>
      <c r="AY245" s="663" t="e">
        <f t="shared" ca="1" si="179"/>
        <v>#N/A</v>
      </c>
      <c r="AZ245" s="663" t="e">
        <f t="shared" ca="1" si="180"/>
        <v>#N/A</v>
      </c>
      <c r="BA245" s="663" t="e">
        <f t="shared" ca="1" si="181"/>
        <v>#N/A</v>
      </c>
      <c r="BB245" s="663" t="e">
        <f t="shared" ca="1" si="182"/>
        <v>#N/A</v>
      </c>
      <c r="BC245" s="663" t="e">
        <f t="shared" ca="1" si="183"/>
        <v>#N/A</v>
      </c>
      <c r="BD245" s="663" t="e">
        <f t="shared" ca="1" si="184"/>
        <v>#N/A</v>
      </c>
      <c r="BE245" s="663" t="e">
        <f t="shared" ca="1" si="185"/>
        <v>#N/A</v>
      </c>
      <c r="BF245" s="663" t="e">
        <f t="shared" ca="1" si="186"/>
        <v>#N/A</v>
      </c>
      <c r="BG245" s="663" t="e">
        <f t="shared" ca="1" si="187"/>
        <v>#N/A</v>
      </c>
      <c r="BH245" s="663" t="e">
        <f t="shared" ca="1" si="188"/>
        <v>#N/A</v>
      </c>
      <c r="BI245" s="663" t="e">
        <f t="shared" ca="1" si="189"/>
        <v>#N/A</v>
      </c>
      <c r="BJ245" s="663" t="e">
        <f t="shared" ca="1" si="190"/>
        <v>#N/A</v>
      </c>
      <c r="BK245" s="663" t="e">
        <f t="shared" ca="1" si="191"/>
        <v>#N/A</v>
      </c>
      <c r="BL245" s="1918"/>
      <c r="BM245" s="1532"/>
      <c r="BN245" s="1919"/>
      <c r="BO245" s="603"/>
      <c r="BP245" s="602"/>
      <c r="BQ245" s="602"/>
      <c r="BR245" s="602"/>
      <c r="BS245" s="604"/>
      <c r="BT245" s="605"/>
      <c r="BU245" s="602"/>
      <c r="BV245" s="602"/>
      <c r="BW245" s="606"/>
      <c r="BX245" s="607"/>
      <c r="BY245" s="608"/>
      <c r="BZ245" s="608"/>
      <c r="CA245" s="608"/>
      <c r="CB245" s="600"/>
    </row>
    <row r="246" spans="2:80" ht="12" customHeight="1" x14ac:dyDescent="0.35">
      <c r="B246" s="590" t="e">
        <f>MATCH(C246,'360SpcLdsCSV'!$C$6:$C$500,0)</f>
        <v>#N/A</v>
      </c>
      <c r="C246" s="590">
        <f>'360SpcLdsCSV'!C195</f>
        <v>0</v>
      </c>
      <c r="D246" s="590" t="str">
        <f t="shared" si="197"/>
        <v>0</v>
      </c>
      <c r="E246" s="590" t="e">
        <f t="shared" si="193"/>
        <v>#VALUE!</v>
      </c>
      <c r="F246" s="590" t="e">
        <f t="shared" si="194"/>
        <v>#VALUE!</v>
      </c>
      <c r="G246" s="590" t="str">
        <f t="shared" si="198"/>
        <v>0</v>
      </c>
      <c r="H246" s="590" t="e">
        <f ca="1">OFFSET('360SpcLdsCSV'!$B$5,$B246,H$51)</f>
        <v>#N/A</v>
      </c>
      <c r="I246" s="590" t="e">
        <f ca="1">OFFSET('360SpcLdsCSV'!$B$5,$B246,I$51)</f>
        <v>#N/A</v>
      </c>
      <c r="J246" s="590" t="e">
        <f ca="1">OFFSET('360SpcLdsCSV'!$B$5,$B246,J$51)</f>
        <v>#N/A</v>
      </c>
      <c r="K246" s="590" t="e">
        <f ca="1">OFFSET('360SpcLdsCSV'!$B$5,$B246,K$51)</f>
        <v>#N/A</v>
      </c>
      <c r="L246" s="590" t="e">
        <f ca="1">OFFSET('360SpcLdsCSV'!$B$5,$B246,L$51)</f>
        <v>#N/A</v>
      </c>
      <c r="M246" s="592" t="e">
        <f ca="1">OFFSET('360SpcLdsCSV'!$B$5,$B246,M$51)</f>
        <v>#N/A</v>
      </c>
      <c r="N246" s="592" t="e">
        <f ca="1">OFFSET('360SpcLdsCSV'!$B$5,$B246,N$51)</f>
        <v>#N/A</v>
      </c>
      <c r="O246" s="592" t="e">
        <f ca="1">OFFSET('360SpcLdsCSV'!$B$5,$B246,O$51)</f>
        <v>#N/A</v>
      </c>
      <c r="P246" s="592" t="e">
        <f ca="1">OFFSET('360SpcLdsCSV'!$B$5,$B246,P$51)</f>
        <v>#N/A</v>
      </c>
      <c r="Q246" s="592" t="e">
        <f ca="1">OFFSET('360SpcLdsCSV'!$B$5,$B246,Q$51)</f>
        <v>#N/A</v>
      </c>
      <c r="R246" s="592" t="e">
        <f ca="1">OFFSET('360SpcLdsCSV'!$B$5,$B246,R$51)</f>
        <v>#N/A</v>
      </c>
      <c r="S246" s="592" t="e">
        <f ca="1">OFFSET('360SpcLdsCSV'!$B$5,$B246,S$51)</f>
        <v>#N/A</v>
      </c>
      <c r="T246" s="592" t="e">
        <f ca="1">OFFSET('360SpcLdsCSV'!$B$5,$B246,T$51)</f>
        <v>#N/A</v>
      </c>
      <c r="U246" s="592" t="e">
        <f ca="1">OFFSET('360SpcLdsCSV'!$B$5,$B246,U$51)</f>
        <v>#N/A</v>
      </c>
      <c r="V246" s="592" t="e">
        <f ca="1">OFFSET('360SpcLdsCSV'!$B$5,$B246,V$51)</f>
        <v>#N/A</v>
      </c>
      <c r="W246" s="592" t="e">
        <f ca="1">OFFSET('360SpcLdsCSV'!$B$5,$B246,W$51)</f>
        <v>#N/A</v>
      </c>
      <c r="X246" s="592" t="e">
        <f ca="1">OFFSET('360SpcLdsCSV'!$B$5,$B246,X$51)</f>
        <v>#N/A</v>
      </c>
      <c r="Y246" s="592" t="e">
        <f ca="1">OFFSET('360SpcLdsCSV'!$B$5,$B246,Y$51)</f>
        <v>#N/A</v>
      </c>
      <c r="Z246" s="592" t="e">
        <f ca="1">OFFSET('360SpcLdsCSV'!$B$5,$B246,Z$51)</f>
        <v>#N/A</v>
      </c>
      <c r="AA246" s="592" t="e">
        <f ca="1">OFFSET('360SpcLdsCSV'!$B$5,$B246,AA$51)</f>
        <v>#N/A</v>
      </c>
      <c r="AB246" s="592" t="e">
        <f ca="1">OFFSET('360SpcLdsCSV'!$B$5,$B246,AB$51)</f>
        <v>#N/A</v>
      </c>
      <c r="AC246" s="592" t="e">
        <f ca="1">OFFSET('360SpcLdsCSV'!$B$5,$B246,AC$51)</f>
        <v>#N/A</v>
      </c>
      <c r="AD246" s="592" t="e">
        <f ca="1">OFFSET('360SpcLdsCSV'!$B$5,$B246,AD$51)</f>
        <v>#N/A</v>
      </c>
      <c r="AE246" s="592" t="e">
        <f ca="1">OFFSET('360SpcLdsCSV'!$B$5,$B246,AE$51)</f>
        <v>#N/A</v>
      </c>
      <c r="AF246" s="592" t="e">
        <f ca="1">OFFSET('360SpcLdsCSV'!$B$5,$B246,AF$51)</f>
        <v>#N/A</v>
      </c>
      <c r="AG246" s="592" t="e">
        <f ca="1">OFFSET('360SpcLdsCSV'!$B$5,$B246,AG$51)</f>
        <v>#N/A</v>
      </c>
      <c r="AH246" s="592" t="e">
        <f ca="1">OFFSET('360SpcLdsCSV'!$B$5,$B246,AH$51)</f>
        <v>#N/A</v>
      </c>
      <c r="AI246" s="592" t="e">
        <f ca="1">OFFSET('360SpcLdsCSV'!$B$5,$B246,AI$51)</f>
        <v>#N/A</v>
      </c>
      <c r="AJ246" s="592" t="e" cm="1">
        <f t="array" ref="AJ246">_xlfn.IFS($F246="Resi",1,$F246="Racc",0,$F246="Coml",0,$F246="Prkg",0)</f>
        <v>#VALUE!</v>
      </c>
      <c r="AK246" s="596"/>
      <c r="AL246" s="590" t="e">
        <f ca="1">OFFSET('360SpcLdsCSV'!$B$5,$B246,AL$51)</f>
        <v>#N/A</v>
      </c>
      <c r="AM246" s="663" t="e">
        <f t="shared" ca="1" si="168"/>
        <v>#N/A</v>
      </c>
      <c r="AN246" s="663" t="e">
        <f t="shared" ca="1" si="169"/>
        <v>#N/A</v>
      </c>
      <c r="AO246" s="663" t="e">
        <f t="shared" ca="1" si="196"/>
        <v>#N/A</v>
      </c>
      <c r="AP246" s="663" t="e">
        <f t="shared" ca="1" si="170"/>
        <v>#N/A</v>
      </c>
      <c r="AQ246" s="663" t="e">
        <f t="shared" ca="1" si="171"/>
        <v>#N/A</v>
      </c>
      <c r="AR246" s="663" t="e">
        <f t="shared" ca="1" si="172"/>
        <v>#N/A</v>
      </c>
      <c r="AS246" s="663" t="e">
        <f t="shared" ca="1" si="173"/>
        <v>#N/A</v>
      </c>
      <c r="AT246" s="663" t="e">
        <f t="shared" ca="1" si="174"/>
        <v>#N/A</v>
      </c>
      <c r="AU246" s="663" t="e">
        <f t="shared" ca="1" si="175"/>
        <v>#N/A</v>
      </c>
      <c r="AV246" s="663" t="e">
        <f t="shared" ca="1" si="176"/>
        <v>#N/A</v>
      </c>
      <c r="AW246" s="663" t="e">
        <f t="shared" ca="1" si="177"/>
        <v>#N/A</v>
      </c>
      <c r="AX246" s="663" t="e">
        <f t="shared" ca="1" si="178"/>
        <v>#N/A</v>
      </c>
      <c r="AY246" s="663" t="e">
        <f t="shared" ca="1" si="179"/>
        <v>#N/A</v>
      </c>
      <c r="AZ246" s="663" t="e">
        <f t="shared" ca="1" si="180"/>
        <v>#N/A</v>
      </c>
      <c r="BA246" s="663" t="e">
        <f t="shared" ca="1" si="181"/>
        <v>#N/A</v>
      </c>
      <c r="BB246" s="663" t="e">
        <f t="shared" ca="1" si="182"/>
        <v>#N/A</v>
      </c>
      <c r="BC246" s="663" t="e">
        <f t="shared" ca="1" si="183"/>
        <v>#N/A</v>
      </c>
      <c r="BD246" s="663" t="e">
        <f t="shared" ca="1" si="184"/>
        <v>#N/A</v>
      </c>
      <c r="BE246" s="663" t="e">
        <f t="shared" ca="1" si="185"/>
        <v>#N/A</v>
      </c>
      <c r="BF246" s="663" t="e">
        <f t="shared" ca="1" si="186"/>
        <v>#N/A</v>
      </c>
      <c r="BG246" s="663" t="e">
        <f t="shared" ca="1" si="187"/>
        <v>#N/A</v>
      </c>
      <c r="BH246" s="663" t="e">
        <f t="shared" ca="1" si="188"/>
        <v>#N/A</v>
      </c>
      <c r="BI246" s="663" t="e">
        <f t="shared" ca="1" si="189"/>
        <v>#N/A</v>
      </c>
      <c r="BJ246" s="663" t="e">
        <f t="shared" ca="1" si="190"/>
        <v>#N/A</v>
      </c>
      <c r="BK246" s="663" t="e">
        <f t="shared" ca="1" si="191"/>
        <v>#N/A</v>
      </c>
      <c r="BL246" s="1918"/>
      <c r="BM246" s="1532"/>
      <c r="BN246" s="1919"/>
      <c r="BO246" s="603"/>
      <c r="BP246" s="602"/>
      <c r="BQ246" s="602"/>
      <c r="BR246" s="602"/>
      <c r="BS246" s="604"/>
      <c r="BT246" s="605"/>
      <c r="BU246" s="602"/>
      <c r="BV246" s="602"/>
      <c r="BW246" s="606"/>
      <c r="BX246" s="607"/>
      <c r="BY246" s="608"/>
      <c r="BZ246" s="608"/>
      <c r="CA246" s="608"/>
      <c r="CB246" s="600"/>
    </row>
    <row r="247" spans="2:80" ht="12" customHeight="1" x14ac:dyDescent="0.35">
      <c r="B247" s="590" t="e">
        <f>MATCH(C247,'360SpcLdsCSV'!$C$6:$C$500,0)</f>
        <v>#N/A</v>
      </c>
      <c r="C247" s="590">
        <f>'360SpcLdsCSV'!C196</f>
        <v>0</v>
      </c>
      <c r="D247" s="590" t="str">
        <f t="shared" si="197"/>
        <v>0</v>
      </c>
      <c r="E247" s="590" t="e">
        <f t="shared" si="193"/>
        <v>#VALUE!</v>
      </c>
      <c r="F247" s="590" t="e">
        <f t="shared" si="194"/>
        <v>#VALUE!</v>
      </c>
      <c r="G247" s="590" t="str">
        <f t="shared" si="198"/>
        <v>0</v>
      </c>
      <c r="H247" s="590" t="e">
        <f ca="1">OFFSET('360SpcLdsCSV'!$B$5,$B247,H$51)</f>
        <v>#N/A</v>
      </c>
      <c r="I247" s="590" t="e">
        <f ca="1">OFFSET('360SpcLdsCSV'!$B$5,$B247,I$51)</f>
        <v>#N/A</v>
      </c>
      <c r="J247" s="590" t="e">
        <f ca="1">OFFSET('360SpcLdsCSV'!$B$5,$B247,J$51)</f>
        <v>#N/A</v>
      </c>
      <c r="K247" s="590" t="e">
        <f ca="1">OFFSET('360SpcLdsCSV'!$B$5,$B247,K$51)</f>
        <v>#N/A</v>
      </c>
      <c r="L247" s="590" t="e">
        <f ca="1">OFFSET('360SpcLdsCSV'!$B$5,$B247,L$51)</f>
        <v>#N/A</v>
      </c>
      <c r="M247" s="592" t="e">
        <f ca="1">OFFSET('360SpcLdsCSV'!$B$5,$B247,M$51)</f>
        <v>#N/A</v>
      </c>
      <c r="N247" s="592" t="e">
        <f ca="1">OFFSET('360SpcLdsCSV'!$B$5,$B247,N$51)</f>
        <v>#N/A</v>
      </c>
      <c r="O247" s="592" t="e">
        <f ca="1">OFFSET('360SpcLdsCSV'!$B$5,$B247,O$51)</f>
        <v>#N/A</v>
      </c>
      <c r="P247" s="592" t="e">
        <f ca="1">OFFSET('360SpcLdsCSV'!$B$5,$B247,P$51)</f>
        <v>#N/A</v>
      </c>
      <c r="Q247" s="592" t="e">
        <f ca="1">OFFSET('360SpcLdsCSV'!$B$5,$B247,Q$51)</f>
        <v>#N/A</v>
      </c>
      <c r="R247" s="592" t="e">
        <f ca="1">OFFSET('360SpcLdsCSV'!$B$5,$B247,R$51)</f>
        <v>#N/A</v>
      </c>
      <c r="S247" s="592" t="e">
        <f ca="1">OFFSET('360SpcLdsCSV'!$B$5,$B247,S$51)</f>
        <v>#N/A</v>
      </c>
      <c r="T247" s="592" t="e">
        <f ca="1">OFFSET('360SpcLdsCSV'!$B$5,$B247,T$51)</f>
        <v>#N/A</v>
      </c>
      <c r="U247" s="592" t="e">
        <f ca="1">OFFSET('360SpcLdsCSV'!$B$5,$B247,U$51)</f>
        <v>#N/A</v>
      </c>
      <c r="V247" s="592" t="e">
        <f ca="1">OFFSET('360SpcLdsCSV'!$B$5,$B247,V$51)</f>
        <v>#N/A</v>
      </c>
      <c r="W247" s="592" t="e">
        <f ca="1">OFFSET('360SpcLdsCSV'!$B$5,$B247,W$51)</f>
        <v>#N/A</v>
      </c>
      <c r="X247" s="592" t="e">
        <f ca="1">OFFSET('360SpcLdsCSV'!$B$5,$B247,X$51)</f>
        <v>#N/A</v>
      </c>
      <c r="Y247" s="592" t="e">
        <f ca="1">OFFSET('360SpcLdsCSV'!$B$5,$B247,Y$51)</f>
        <v>#N/A</v>
      </c>
      <c r="Z247" s="592" t="e">
        <f ca="1">OFFSET('360SpcLdsCSV'!$B$5,$B247,Z$51)</f>
        <v>#N/A</v>
      </c>
      <c r="AA247" s="592" t="e">
        <f ca="1">OFFSET('360SpcLdsCSV'!$B$5,$B247,AA$51)</f>
        <v>#N/A</v>
      </c>
      <c r="AB247" s="592" t="e">
        <f ca="1">OFFSET('360SpcLdsCSV'!$B$5,$B247,AB$51)</f>
        <v>#N/A</v>
      </c>
      <c r="AC247" s="592" t="e">
        <f ca="1">OFFSET('360SpcLdsCSV'!$B$5,$B247,AC$51)</f>
        <v>#N/A</v>
      </c>
      <c r="AD247" s="592" t="e">
        <f ca="1">OFFSET('360SpcLdsCSV'!$B$5,$B247,AD$51)</f>
        <v>#N/A</v>
      </c>
      <c r="AE247" s="592" t="e">
        <f ca="1">OFFSET('360SpcLdsCSV'!$B$5,$B247,AE$51)</f>
        <v>#N/A</v>
      </c>
      <c r="AF247" s="592" t="e">
        <f ca="1">OFFSET('360SpcLdsCSV'!$B$5,$B247,AF$51)</f>
        <v>#N/A</v>
      </c>
      <c r="AG247" s="592" t="e">
        <f ca="1">OFFSET('360SpcLdsCSV'!$B$5,$B247,AG$51)</f>
        <v>#N/A</v>
      </c>
      <c r="AH247" s="592" t="e">
        <f ca="1">OFFSET('360SpcLdsCSV'!$B$5,$B247,AH$51)</f>
        <v>#N/A</v>
      </c>
      <c r="AI247" s="592" t="e">
        <f ca="1">OFFSET('360SpcLdsCSV'!$B$5,$B247,AI$51)</f>
        <v>#N/A</v>
      </c>
      <c r="AJ247" s="592" t="e" cm="1">
        <f t="array" ref="AJ247">_xlfn.IFS($F247="Resi",1,$F247="Racc",0,$F247="Coml",0,$F247="Prkg",0)</f>
        <v>#VALUE!</v>
      </c>
      <c r="AK247" s="596"/>
      <c r="AL247" s="590" t="e">
        <f ca="1">OFFSET('360SpcLdsCSV'!$B$5,$B247,AL$51)</f>
        <v>#N/A</v>
      </c>
      <c r="AM247" s="663" t="e">
        <f t="shared" ca="1" si="168"/>
        <v>#N/A</v>
      </c>
      <c r="AN247" s="663" t="e">
        <f t="shared" ca="1" si="169"/>
        <v>#N/A</v>
      </c>
      <c r="AO247" s="663" t="e">
        <f t="shared" ca="1" si="196"/>
        <v>#N/A</v>
      </c>
      <c r="AP247" s="663" t="e">
        <f t="shared" ca="1" si="170"/>
        <v>#N/A</v>
      </c>
      <c r="AQ247" s="663" t="e">
        <f t="shared" ca="1" si="171"/>
        <v>#N/A</v>
      </c>
      <c r="AR247" s="663" t="e">
        <f t="shared" ca="1" si="172"/>
        <v>#N/A</v>
      </c>
      <c r="AS247" s="663" t="e">
        <f t="shared" ca="1" si="173"/>
        <v>#N/A</v>
      </c>
      <c r="AT247" s="663" t="e">
        <f t="shared" ca="1" si="174"/>
        <v>#N/A</v>
      </c>
      <c r="AU247" s="663" t="e">
        <f t="shared" ca="1" si="175"/>
        <v>#N/A</v>
      </c>
      <c r="AV247" s="663" t="e">
        <f t="shared" ca="1" si="176"/>
        <v>#N/A</v>
      </c>
      <c r="AW247" s="663" t="e">
        <f t="shared" ca="1" si="177"/>
        <v>#N/A</v>
      </c>
      <c r="AX247" s="663" t="e">
        <f t="shared" ca="1" si="178"/>
        <v>#N/A</v>
      </c>
      <c r="AY247" s="663" t="e">
        <f t="shared" ca="1" si="179"/>
        <v>#N/A</v>
      </c>
      <c r="AZ247" s="663" t="e">
        <f t="shared" ca="1" si="180"/>
        <v>#N/A</v>
      </c>
      <c r="BA247" s="663" t="e">
        <f t="shared" ca="1" si="181"/>
        <v>#N/A</v>
      </c>
      <c r="BB247" s="663" t="e">
        <f t="shared" ca="1" si="182"/>
        <v>#N/A</v>
      </c>
      <c r="BC247" s="663" t="e">
        <f t="shared" ca="1" si="183"/>
        <v>#N/A</v>
      </c>
      <c r="BD247" s="663" t="e">
        <f t="shared" ca="1" si="184"/>
        <v>#N/A</v>
      </c>
      <c r="BE247" s="663" t="e">
        <f t="shared" ca="1" si="185"/>
        <v>#N/A</v>
      </c>
      <c r="BF247" s="663" t="e">
        <f t="shared" ca="1" si="186"/>
        <v>#N/A</v>
      </c>
      <c r="BG247" s="663" t="e">
        <f t="shared" ca="1" si="187"/>
        <v>#N/A</v>
      </c>
      <c r="BH247" s="663" t="e">
        <f t="shared" ca="1" si="188"/>
        <v>#N/A</v>
      </c>
      <c r="BI247" s="663" t="e">
        <f t="shared" ca="1" si="189"/>
        <v>#N/A</v>
      </c>
      <c r="BJ247" s="663" t="e">
        <f t="shared" ca="1" si="190"/>
        <v>#N/A</v>
      </c>
      <c r="BK247" s="663" t="e">
        <f t="shared" ca="1" si="191"/>
        <v>#N/A</v>
      </c>
      <c r="BL247" s="1918"/>
      <c r="BM247" s="1532"/>
      <c r="BN247" s="1919"/>
      <c r="BO247" s="603"/>
      <c r="BP247" s="602"/>
      <c r="BQ247" s="602"/>
      <c r="BR247" s="602"/>
      <c r="BS247" s="604"/>
      <c r="BT247" s="605"/>
      <c r="BU247" s="602"/>
      <c r="BV247" s="602"/>
      <c r="BW247" s="606"/>
      <c r="BX247" s="607"/>
      <c r="BY247" s="608"/>
      <c r="BZ247" s="608"/>
      <c r="CA247" s="608"/>
      <c r="CB247" s="600"/>
    </row>
    <row r="248" spans="2:80" ht="12" customHeight="1" x14ac:dyDescent="0.35">
      <c r="B248" s="590" t="e">
        <f>MATCH(C248,'360SpcLdsCSV'!$C$6:$C$500,0)</f>
        <v>#N/A</v>
      </c>
      <c r="C248" s="590">
        <f>'360SpcLdsCSV'!C197</f>
        <v>0</v>
      </c>
      <c r="D248" s="590" t="str">
        <f t="shared" si="197"/>
        <v>0</v>
      </c>
      <c r="E248" s="590" t="e">
        <f t="shared" si="193"/>
        <v>#VALUE!</v>
      </c>
      <c r="F248" s="590" t="e">
        <f t="shared" si="194"/>
        <v>#VALUE!</v>
      </c>
      <c r="G248" s="590" t="str">
        <f t="shared" si="198"/>
        <v>0</v>
      </c>
      <c r="H248" s="590" t="e">
        <f ca="1">OFFSET('360SpcLdsCSV'!$B$5,$B248,H$51)</f>
        <v>#N/A</v>
      </c>
      <c r="I248" s="590" t="e">
        <f ca="1">OFFSET('360SpcLdsCSV'!$B$5,$B248,I$51)</f>
        <v>#N/A</v>
      </c>
      <c r="J248" s="590" t="e">
        <f ca="1">OFFSET('360SpcLdsCSV'!$B$5,$B248,J$51)</f>
        <v>#N/A</v>
      </c>
      <c r="K248" s="590" t="e">
        <f ca="1">OFFSET('360SpcLdsCSV'!$B$5,$B248,K$51)</f>
        <v>#N/A</v>
      </c>
      <c r="L248" s="590" t="e">
        <f ca="1">OFFSET('360SpcLdsCSV'!$B$5,$B248,L$51)</f>
        <v>#N/A</v>
      </c>
      <c r="M248" s="592" t="e">
        <f ca="1">OFFSET('360SpcLdsCSV'!$B$5,$B248,M$51)</f>
        <v>#N/A</v>
      </c>
      <c r="N248" s="592" t="e">
        <f ca="1">OFFSET('360SpcLdsCSV'!$B$5,$B248,N$51)</f>
        <v>#N/A</v>
      </c>
      <c r="O248" s="592" t="e">
        <f ca="1">OFFSET('360SpcLdsCSV'!$B$5,$B248,O$51)</f>
        <v>#N/A</v>
      </c>
      <c r="P248" s="592" t="e">
        <f ca="1">OFFSET('360SpcLdsCSV'!$B$5,$B248,P$51)</f>
        <v>#N/A</v>
      </c>
      <c r="Q248" s="592" t="e">
        <f ca="1">OFFSET('360SpcLdsCSV'!$B$5,$B248,Q$51)</f>
        <v>#N/A</v>
      </c>
      <c r="R248" s="592" t="e">
        <f ca="1">OFFSET('360SpcLdsCSV'!$B$5,$B248,R$51)</f>
        <v>#N/A</v>
      </c>
      <c r="S248" s="592" t="e">
        <f ca="1">OFFSET('360SpcLdsCSV'!$B$5,$B248,S$51)</f>
        <v>#N/A</v>
      </c>
      <c r="T248" s="592" t="e">
        <f ca="1">OFFSET('360SpcLdsCSV'!$B$5,$B248,T$51)</f>
        <v>#N/A</v>
      </c>
      <c r="U248" s="592" t="e">
        <f ca="1">OFFSET('360SpcLdsCSV'!$B$5,$B248,U$51)</f>
        <v>#N/A</v>
      </c>
      <c r="V248" s="592" t="e">
        <f ca="1">OFFSET('360SpcLdsCSV'!$B$5,$B248,V$51)</f>
        <v>#N/A</v>
      </c>
      <c r="W248" s="592" t="e">
        <f ca="1">OFFSET('360SpcLdsCSV'!$B$5,$B248,W$51)</f>
        <v>#N/A</v>
      </c>
      <c r="X248" s="592" t="e">
        <f ca="1">OFFSET('360SpcLdsCSV'!$B$5,$B248,X$51)</f>
        <v>#N/A</v>
      </c>
      <c r="Y248" s="592" t="e">
        <f ca="1">OFFSET('360SpcLdsCSV'!$B$5,$B248,Y$51)</f>
        <v>#N/A</v>
      </c>
      <c r="Z248" s="592" t="e">
        <f ca="1">OFFSET('360SpcLdsCSV'!$B$5,$B248,Z$51)</f>
        <v>#N/A</v>
      </c>
      <c r="AA248" s="592" t="e">
        <f ca="1">OFFSET('360SpcLdsCSV'!$B$5,$B248,AA$51)</f>
        <v>#N/A</v>
      </c>
      <c r="AB248" s="592" t="e">
        <f ca="1">OFFSET('360SpcLdsCSV'!$B$5,$B248,AB$51)</f>
        <v>#N/A</v>
      </c>
      <c r="AC248" s="592" t="e">
        <f ca="1">OFFSET('360SpcLdsCSV'!$B$5,$B248,AC$51)</f>
        <v>#N/A</v>
      </c>
      <c r="AD248" s="592" t="e">
        <f ca="1">OFFSET('360SpcLdsCSV'!$B$5,$B248,AD$51)</f>
        <v>#N/A</v>
      </c>
      <c r="AE248" s="592" t="e">
        <f ca="1">OFFSET('360SpcLdsCSV'!$B$5,$B248,AE$51)</f>
        <v>#N/A</v>
      </c>
      <c r="AF248" s="592" t="e">
        <f ca="1">OFFSET('360SpcLdsCSV'!$B$5,$B248,AF$51)</f>
        <v>#N/A</v>
      </c>
      <c r="AG248" s="592" t="e">
        <f ca="1">OFFSET('360SpcLdsCSV'!$B$5,$B248,AG$51)</f>
        <v>#N/A</v>
      </c>
      <c r="AH248" s="592" t="e">
        <f ca="1">OFFSET('360SpcLdsCSV'!$B$5,$B248,AH$51)</f>
        <v>#N/A</v>
      </c>
      <c r="AI248" s="592" t="e">
        <f ca="1">OFFSET('360SpcLdsCSV'!$B$5,$B248,AI$51)</f>
        <v>#N/A</v>
      </c>
      <c r="AJ248" s="592" t="e" cm="1">
        <f t="array" ref="AJ248">_xlfn.IFS($F248="Resi",1,$F248="Racc",0,$F248="Coml",0,$F248="Prkg",0)</f>
        <v>#VALUE!</v>
      </c>
      <c r="AK248" s="596"/>
      <c r="AL248" s="590" t="e">
        <f ca="1">OFFSET('360SpcLdsCSV'!$B$5,$B248,AL$51)</f>
        <v>#N/A</v>
      </c>
      <c r="AM248" s="663" t="e">
        <f t="shared" ca="1" si="168"/>
        <v>#N/A</v>
      </c>
      <c r="AN248" s="663" t="e">
        <f t="shared" ca="1" si="169"/>
        <v>#N/A</v>
      </c>
      <c r="AO248" s="663" t="e">
        <f t="shared" ca="1" si="196"/>
        <v>#N/A</v>
      </c>
      <c r="AP248" s="663" t="e">
        <f t="shared" ca="1" si="170"/>
        <v>#N/A</v>
      </c>
      <c r="AQ248" s="663" t="e">
        <f t="shared" ca="1" si="171"/>
        <v>#N/A</v>
      </c>
      <c r="AR248" s="663" t="e">
        <f t="shared" ca="1" si="172"/>
        <v>#N/A</v>
      </c>
      <c r="AS248" s="663" t="e">
        <f t="shared" ca="1" si="173"/>
        <v>#N/A</v>
      </c>
      <c r="AT248" s="663" t="e">
        <f t="shared" ca="1" si="174"/>
        <v>#N/A</v>
      </c>
      <c r="AU248" s="663" t="e">
        <f t="shared" ca="1" si="175"/>
        <v>#N/A</v>
      </c>
      <c r="AV248" s="663" t="e">
        <f t="shared" ca="1" si="176"/>
        <v>#N/A</v>
      </c>
      <c r="AW248" s="663" t="e">
        <f t="shared" ca="1" si="177"/>
        <v>#N/A</v>
      </c>
      <c r="AX248" s="663" t="e">
        <f t="shared" ca="1" si="178"/>
        <v>#N/A</v>
      </c>
      <c r="AY248" s="663" t="e">
        <f t="shared" ca="1" si="179"/>
        <v>#N/A</v>
      </c>
      <c r="AZ248" s="663" t="e">
        <f t="shared" ca="1" si="180"/>
        <v>#N/A</v>
      </c>
      <c r="BA248" s="663" t="e">
        <f t="shared" ca="1" si="181"/>
        <v>#N/A</v>
      </c>
      <c r="BB248" s="663" t="e">
        <f t="shared" ca="1" si="182"/>
        <v>#N/A</v>
      </c>
      <c r="BC248" s="663" t="e">
        <f t="shared" ca="1" si="183"/>
        <v>#N/A</v>
      </c>
      <c r="BD248" s="663" t="e">
        <f t="shared" ca="1" si="184"/>
        <v>#N/A</v>
      </c>
      <c r="BE248" s="663" t="e">
        <f t="shared" ca="1" si="185"/>
        <v>#N/A</v>
      </c>
      <c r="BF248" s="663" t="e">
        <f t="shared" ca="1" si="186"/>
        <v>#N/A</v>
      </c>
      <c r="BG248" s="663" t="e">
        <f t="shared" ca="1" si="187"/>
        <v>#N/A</v>
      </c>
      <c r="BH248" s="663" t="e">
        <f t="shared" ca="1" si="188"/>
        <v>#N/A</v>
      </c>
      <c r="BI248" s="663" t="e">
        <f t="shared" ca="1" si="189"/>
        <v>#N/A</v>
      </c>
      <c r="BJ248" s="663" t="e">
        <f t="shared" ca="1" si="190"/>
        <v>#N/A</v>
      </c>
      <c r="BK248" s="663" t="e">
        <f t="shared" ca="1" si="191"/>
        <v>#N/A</v>
      </c>
      <c r="BL248" s="1918"/>
      <c r="BM248" s="1532"/>
      <c r="BN248" s="1919"/>
      <c r="BO248" s="603"/>
      <c r="BP248" s="602"/>
      <c r="BQ248" s="602"/>
      <c r="BR248" s="602"/>
      <c r="BS248" s="604"/>
      <c r="BT248" s="605"/>
      <c r="BU248" s="602"/>
      <c r="BV248" s="602"/>
      <c r="BW248" s="606"/>
      <c r="BX248" s="607"/>
      <c r="BY248" s="608"/>
      <c r="BZ248" s="608"/>
      <c r="CA248" s="608"/>
      <c r="CB248" s="600"/>
    </row>
    <row r="249" spans="2:80" ht="12" customHeight="1" x14ac:dyDescent="0.35">
      <c r="B249" s="590" t="e">
        <f>MATCH(C249,'360SpcLdsCSV'!$C$6:$C$500,0)</f>
        <v>#N/A</v>
      </c>
      <c r="C249" s="590">
        <f>'360SpcLdsCSV'!C198</f>
        <v>0</v>
      </c>
      <c r="D249" s="590" t="str">
        <f t="shared" si="197"/>
        <v>0</v>
      </c>
      <c r="E249" s="590" t="e">
        <f t="shared" si="193"/>
        <v>#VALUE!</v>
      </c>
      <c r="F249" s="590" t="e">
        <f t="shared" si="194"/>
        <v>#VALUE!</v>
      </c>
      <c r="G249" s="590" t="str">
        <f t="shared" si="198"/>
        <v>0</v>
      </c>
      <c r="H249" s="590" t="e">
        <f ca="1">OFFSET('360SpcLdsCSV'!$B$5,$B249,H$51)</f>
        <v>#N/A</v>
      </c>
      <c r="I249" s="590" t="e">
        <f ca="1">OFFSET('360SpcLdsCSV'!$B$5,$B249,I$51)</f>
        <v>#N/A</v>
      </c>
      <c r="J249" s="590" t="e">
        <f ca="1">OFFSET('360SpcLdsCSV'!$B$5,$B249,J$51)</f>
        <v>#N/A</v>
      </c>
      <c r="K249" s="590" t="e">
        <f ca="1">OFFSET('360SpcLdsCSV'!$B$5,$B249,K$51)</f>
        <v>#N/A</v>
      </c>
      <c r="L249" s="590" t="e">
        <f ca="1">OFFSET('360SpcLdsCSV'!$B$5,$B249,L$51)</f>
        <v>#N/A</v>
      </c>
      <c r="M249" s="592" t="e">
        <f ca="1">OFFSET('360SpcLdsCSV'!$B$5,$B249,M$51)</f>
        <v>#N/A</v>
      </c>
      <c r="N249" s="592" t="e">
        <f ca="1">OFFSET('360SpcLdsCSV'!$B$5,$B249,N$51)</f>
        <v>#N/A</v>
      </c>
      <c r="O249" s="592" t="e">
        <f ca="1">OFFSET('360SpcLdsCSV'!$B$5,$B249,O$51)</f>
        <v>#N/A</v>
      </c>
      <c r="P249" s="592" t="e">
        <f ca="1">OFFSET('360SpcLdsCSV'!$B$5,$B249,P$51)</f>
        <v>#N/A</v>
      </c>
      <c r="Q249" s="592" t="e">
        <f ca="1">OFFSET('360SpcLdsCSV'!$B$5,$B249,Q$51)</f>
        <v>#N/A</v>
      </c>
      <c r="R249" s="592" t="e">
        <f ca="1">OFFSET('360SpcLdsCSV'!$B$5,$B249,R$51)</f>
        <v>#N/A</v>
      </c>
      <c r="S249" s="592" t="e">
        <f ca="1">OFFSET('360SpcLdsCSV'!$B$5,$B249,S$51)</f>
        <v>#N/A</v>
      </c>
      <c r="T249" s="592" t="e">
        <f ca="1">OFFSET('360SpcLdsCSV'!$B$5,$B249,T$51)</f>
        <v>#N/A</v>
      </c>
      <c r="U249" s="592" t="e">
        <f ca="1">OFFSET('360SpcLdsCSV'!$B$5,$B249,U$51)</f>
        <v>#N/A</v>
      </c>
      <c r="V249" s="592" t="e">
        <f ca="1">OFFSET('360SpcLdsCSV'!$B$5,$B249,V$51)</f>
        <v>#N/A</v>
      </c>
      <c r="W249" s="592" t="e">
        <f ca="1">OFFSET('360SpcLdsCSV'!$B$5,$B249,W$51)</f>
        <v>#N/A</v>
      </c>
      <c r="X249" s="592" t="e">
        <f ca="1">OFFSET('360SpcLdsCSV'!$B$5,$B249,X$51)</f>
        <v>#N/A</v>
      </c>
      <c r="Y249" s="592" t="e">
        <f ca="1">OFFSET('360SpcLdsCSV'!$B$5,$B249,Y$51)</f>
        <v>#N/A</v>
      </c>
      <c r="Z249" s="592" t="e">
        <f ca="1">OFFSET('360SpcLdsCSV'!$B$5,$B249,Z$51)</f>
        <v>#N/A</v>
      </c>
      <c r="AA249" s="592" t="e">
        <f ca="1">OFFSET('360SpcLdsCSV'!$B$5,$B249,AA$51)</f>
        <v>#N/A</v>
      </c>
      <c r="AB249" s="592" t="e">
        <f ca="1">OFFSET('360SpcLdsCSV'!$B$5,$B249,AB$51)</f>
        <v>#N/A</v>
      </c>
      <c r="AC249" s="592" t="e">
        <f ca="1">OFFSET('360SpcLdsCSV'!$B$5,$B249,AC$51)</f>
        <v>#N/A</v>
      </c>
      <c r="AD249" s="592" t="e">
        <f ca="1">OFFSET('360SpcLdsCSV'!$B$5,$B249,AD$51)</f>
        <v>#N/A</v>
      </c>
      <c r="AE249" s="592" t="e">
        <f ca="1">OFFSET('360SpcLdsCSV'!$B$5,$B249,AE$51)</f>
        <v>#N/A</v>
      </c>
      <c r="AF249" s="592" t="e">
        <f ca="1">OFFSET('360SpcLdsCSV'!$B$5,$B249,AF$51)</f>
        <v>#N/A</v>
      </c>
      <c r="AG249" s="592" t="e">
        <f ca="1">OFFSET('360SpcLdsCSV'!$B$5,$B249,AG$51)</f>
        <v>#N/A</v>
      </c>
      <c r="AH249" s="592" t="e">
        <f ca="1">OFFSET('360SpcLdsCSV'!$B$5,$B249,AH$51)</f>
        <v>#N/A</v>
      </c>
      <c r="AI249" s="592" t="e">
        <f ca="1">OFFSET('360SpcLdsCSV'!$B$5,$B249,AI$51)</f>
        <v>#N/A</v>
      </c>
      <c r="AJ249" s="592" t="e" cm="1">
        <f t="array" ref="AJ249">_xlfn.IFS($F249="Resi",1,$F249="Racc",0,$F249="Coml",0,$F249="Prkg",0)</f>
        <v>#VALUE!</v>
      </c>
      <c r="AK249" s="596"/>
      <c r="AL249" s="590" t="e">
        <f ca="1">OFFSET('360SpcLdsCSV'!$B$5,$B249,AL$51)</f>
        <v>#N/A</v>
      </c>
      <c r="AM249" s="663" t="e">
        <f t="shared" ref="AM249:AM266" ca="1" si="199">IF(I249="Unconditioned",0,1)</f>
        <v>#N/A</v>
      </c>
      <c r="AN249" s="663" t="e">
        <f t="shared" ref="AN249:AN266" ca="1" si="200">IF(K249="Residential",1,0)</f>
        <v>#N/A</v>
      </c>
      <c r="AO249" s="663" t="e">
        <f t="shared" ca="1" si="196"/>
        <v>#N/A</v>
      </c>
      <c r="AP249" s="663" t="e">
        <f t="shared" ref="AP249:AP266" ca="1" si="201">N249*$AL249</f>
        <v>#N/A</v>
      </c>
      <c r="AQ249" s="663" t="e">
        <f t="shared" ref="AQ249:AQ266" ca="1" si="202">O249*$AL249</f>
        <v>#N/A</v>
      </c>
      <c r="AR249" s="663" t="e">
        <f t="shared" ref="AR249:AR266" ca="1" si="203">P249*$AL249</f>
        <v>#N/A</v>
      </c>
      <c r="AS249" s="663" t="e">
        <f t="shared" ref="AS249:AS266" ca="1" si="204">Q249*$AL249</f>
        <v>#N/A</v>
      </c>
      <c r="AT249" s="663" t="e">
        <f t="shared" ref="AT249:AT266" ca="1" si="205">R249*$AL249</f>
        <v>#N/A</v>
      </c>
      <c r="AU249" s="663" t="e">
        <f t="shared" ref="AU249:AU266" ca="1" si="206">S249*$AL249</f>
        <v>#N/A</v>
      </c>
      <c r="AV249" s="663" t="e">
        <f t="shared" ref="AV249:AV266" ca="1" si="207">T249*$AL249</f>
        <v>#N/A</v>
      </c>
      <c r="AW249" s="663" t="e">
        <f t="shared" ref="AW249:AW312" ca="1" si="208">U249*$AL249</f>
        <v>#N/A</v>
      </c>
      <c r="AX249" s="663" t="e">
        <f t="shared" ref="AX249:AX312" ca="1" si="209">V249*$AL249</f>
        <v>#N/A</v>
      </c>
      <c r="AY249" s="663" t="e">
        <f t="shared" ref="AY249:AY312" ca="1" si="210">W249*$AL249</f>
        <v>#N/A</v>
      </c>
      <c r="AZ249" s="663" t="e">
        <f t="shared" ref="AZ249:AZ312" ca="1" si="211">X249*$AL249</f>
        <v>#N/A</v>
      </c>
      <c r="BA249" s="663" t="e">
        <f t="shared" ref="BA249:BA312" ca="1" si="212">Y249*$AL249</f>
        <v>#N/A</v>
      </c>
      <c r="BB249" s="663" t="e">
        <f t="shared" ref="BB249:BB312" ca="1" si="213">Z249*$AL249</f>
        <v>#N/A</v>
      </c>
      <c r="BC249" s="663" t="e">
        <f t="shared" ref="BC249:BC312" ca="1" si="214">AA249*$AL249</f>
        <v>#N/A</v>
      </c>
      <c r="BD249" s="663" t="e">
        <f t="shared" ref="BD249:BD312" ca="1" si="215">AB249*$AL249</f>
        <v>#N/A</v>
      </c>
      <c r="BE249" s="663" t="e">
        <f t="shared" ref="BE249:BE312" ca="1" si="216">AC249*$AL249</f>
        <v>#N/A</v>
      </c>
      <c r="BF249" s="663" t="e">
        <f t="shared" ref="BF249:BF312" ca="1" si="217">AD249*$AL249</f>
        <v>#N/A</v>
      </c>
      <c r="BG249" s="663" t="e">
        <f t="shared" ref="BG249:BG312" ca="1" si="218">AE249*$AL249</f>
        <v>#N/A</v>
      </c>
      <c r="BH249" s="663" t="e">
        <f t="shared" ref="BH249:BH312" ca="1" si="219">AF249*$AL249</f>
        <v>#N/A</v>
      </c>
      <c r="BI249" s="663" t="e">
        <f t="shared" ref="BI249:BI312" ca="1" si="220">AG249*$AL249</f>
        <v>#N/A</v>
      </c>
      <c r="BJ249" s="663" t="e">
        <f t="shared" ref="BJ249:BJ312" ca="1" si="221">AH249*$AL249</f>
        <v>#N/A</v>
      </c>
      <c r="BK249" s="663" t="e">
        <f t="shared" ref="BK249:BK312" ca="1" si="222">AI249*$AL249</f>
        <v>#N/A</v>
      </c>
      <c r="BL249" s="1918"/>
      <c r="BM249" s="1532"/>
      <c r="BN249" s="1919"/>
      <c r="BO249" s="603"/>
      <c r="BP249" s="602"/>
      <c r="BQ249" s="602"/>
      <c r="BR249" s="602"/>
      <c r="BS249" s="604"/>
      <c r="BT249" s="605"/>
      <c r="BU249" s="602"/>
      <c r="BV249" s="602"/>
      <c r="BW249" s="606"/>
      <c r="BX249" s="607"/>
      <c r="BY249" s="608"/>
      <c r="BZ249" s="608"/>
      <c r="CA249" s="608"/>
      <c r="CB249" s="600"/>
    </row>
    <row r="250" spans="2:80" ht="12" customHeight="1" x14ac:dyDescent="0.35">
      <c r="B250" s="590" t="e">
        <f>MATCH(C250,'360SpcLdsCSV'!$C$6:$C$500,0)</f>
        <v>#N/A</v>
      </c>
      <c r="C250" s="590">
        <f>'360SpcLdsCSV'!C199</f>
        <v>0</v>
      </c>
      <c r="D250" s="590" t="str">
        <f t="shared" si="197"/>
        <v>0</v>
      </c>
      <c r="E250" s="590" t="e">
        <f t="shared" ref="E250:E266" si="223">MID(C250,FIND("_",C250,1)+1,4)</f>
        <v>#VALUE!</v>
      </c>
      <c r="F250" s="590" t="e">
        <f t="shared" ref="F250:F266" si="224">MID(C250,FIND("_",C250,1)+5,4)</f>
        <v>#VALUE!</v>
      </c>
      <c r="G250" s="590" t="str">
        <f t="shared" si="198"/>
        <v>0</v>
      </c>
      <c r="H250" s="590" t="e">
        <f ca="1">OFFSET('360SpcLdsCSV'!$B$5,$B250,H$51)</f>
        <v>#N/A</v>
      </c>
      <c r="I250" s="590" t="e">
        <f ca="1">OFFSET('360SpcLdsCSV'!$B$5,$B250,I$51)</f>
        <v>#N/A</v>
      </c>
      <c r="J250" s="590" t="e">
        <f ca="1">OFFSET('360SpcLdsCSV'!$B$5,$B250,J$51)</f>
        <v>#N/A</v>
      </c>
      <c r="K250" s="590" t="e">
        <f ca="1">OFFSET('360SpcLdsCSV'!$B$5,$B250,K$51)</f>
        <v>#N/A</v>
      </c>
      <c r="L250" s="590" t="e">
        <f ca="1">OFFSET('360SpcLdsCSV'!$B$5,$B250,L$51)</f>
        <v>#N/A</v>
      </c>
      <c r="M250" s="592" t="e">
        <f ca="1">OFFSET('360SpcLdsCSV'!$B$5,$B250,M$51)</f>
        <v>#N/A</v>
      </c>
      <c r="N250" s="592" t="e">
        <f ca="1">OFFSET('360SpcLdsCSV'!$B$5,$B250,N$51)</f>
        <v>#N/A</v>
      </c>
      <c r="O250" s="592" t="e">
        <f ca="1">OFFSET('360SpcLdsCSV'!$B$5,$B250,O$51)</f>
        <v>#N/A</v>
      </c>
      <c r="P250" s="592" t="e">
        <f ca="1">OFFSET('360SpcLdsCSV'!$B$5,$B250,P$51)</f>
        <v>#N/A</v>
      </c>
      <c r="Q250" s="592" t="e">
        <f ca="1">OFFSET('360SpcLdsCSV'!$B$5,$B250,Q$51)</f>
        <v>#N/A</v>
      </c>
      <c r="R250" s="592" t="e">
        <f ca="1">OFFSET('360SpcLdsCSV'!$B$5,$B250,R$51)</f>
        <v>#N/A</v>
      </c>
      <c r="S250" s="592" t="e">
        <f ca="1">OFFSET('360SpcLdsCSV'!$B$5,$B250,S$51)</f>
        <v>#N/A</v>
      </c>
      <c r="T250" s="592" t="e">
        <f ca="1">OFFSET('360SpcLdsCSV'!$B$5,$B250,T$51)</f>
        <v>#N/A</v>
      </c>
      <c r="U250" s="592" t="e">
        <f ca="1">OFFSET('360SpcLdsCSV'!$B$5,$B250,U$51)</f>
        <v>#N/A</v>
      </c>
      <c r="V250" s="592" t="e">
        <f ca="1">OFFSET('360SpcLdsCSV'!$B$5,$B250,V$51)</f>
        <v>#N/A</v>
      </c>
      <c r="W250" s="592" t="e">
        <f ca="1">OFFSET('360SpcLdsCSV'!$B$5,$B250,W$51)</f>
        <v>#N/A</v>
      </c>
      <c r="X250" s="592" t="e">
        <f ca="1">OFFSET('360SpcLdsCSV'!$B$5,$B250,X$51)</f>
        <v>#N/A</v>
      </c>
      <c r="Y250" s="592" t="e">
        <f ca="1">OFFSET('360SpcLdsCSV'!$B$5,$B250,Y$51)</f>
        <v>#N/A</v>
      </c>
      <c r="Z250" s="592" t="e">
        <f ca="1">OFFSET('360SpcLdsCSV'!$B$5,$B250,Z$51)</f>
        <v>#N/A</v>
      </c>
      <c r="AA250" s="592" t="e">
        <f ca="1">OFFSET('360SpcLdsCSV'!$B$5,$B250,AA$51)</f>
        <v>#N/A</v>
      </c>
      <c r="AB250" s="592" t="e">
        <f ca="1">OFFSET('360SpcLdsCSV'!$B$5,$B250,AB$51)</f>
        <v>#N/A</v>
      </c>
      <c r="AC250" s="592" t="e">
        <f ca="1">OFFSET('360SpcLdsCSV'!$B$5,$B250,AC$51)</f>
        <v>#N/A</v>
      </c>
      <c r="AD250" s="592" t="e">
        <f ca="1">OFFSET('360SpcLdsCSV'!$B$5,$B250,AD$51)</f>
        <v>#N/A</v>
      </c>
      <c r="AE250" s="592" t="e">
        <f ca="1">OFFSET('360SpcLdsCSV'!$B$5,$B250,AE$51)</f>
        <v>#N/A</v>
      </c>
      <c r="AF250" s="592" t="e">
        <f ca="1">OFFSET('360SpcLdsCSV'!$B$5,$B250,AF$51)</f>
        <v>#N/A</v>
      </c>
      <c r="AG250" s="592" t="e">
        <f ca="1">OFFSET('360SpcLdsCSV'!$B$5,$B250,AG$51)</f>
        <v>#N/A</v>
      </c>
      <c r="AH250" s="592" t="e">
        <f ca="1">OFFSET('360SpcLdsCSV'!$B$5,$B250,AH$51)</f>
        <v>#N/A</v>
      </c>
      <c r="AI250" s="592" t="e">
        <f ca="1">OFFSET('360SpcLdsCSV'!$B$5,$B250,AI$51)</f>
        <v>#N/A</v>
      </c>
      <c r="AJ250" s="592" t="e" cm="1">
        <f t="array" ref="AJ250">_xlfn.IFS($F250="Resi",1,$F250="Racc",0,$F250="Coml",0,$F250="Prkg",0)</f>
        <v>#VALUE!</v>
      </c>
      <c r="AK250" s="596"/>
      <c r="AL250" s="590" t="e">
        <f ca="1">OFFSET('360SpcLdsCSV'!$B$5,$B250,AL$51)</f>
        <v>#N/A</v>
      </c>
      <c r="AM250" s="663" t="e">
        <f t="shared" ca="1" si="199"/>
        <v>#N/A</v>
      </c>
      <c r="AN250" s="663" t="e">
        <f t="shared" ca="1" si="200"/>
        <v>#N/A</v>
      </c>
      <c r="AO250" s="663" t="e">
        <f t="shared" ref="AO250:AO266" ca="1" si="225">M250*$AL250</f>
        <v>#N/A</v>
      </c>
      <c r="AP250" s="663" t="e">
        <f t="shared" ca="1" si="201"/>
        <v>#N/A</v>
      </c>
      <c r="AQ250" s="663" t="e">
        <f t="shared" ca="1" si="202"/>
        <v>#N/A</v>
      </c>
      <c r="AR250" s="663" t="e">
        <f t="shared" ca="1" si="203"/>
        <v>#N/A</v>
      </c>
      <c r="AS250" s="663" t="e">
        <f t="shared" ca="1" si="204"/>
        <v>#N/A</v>
      </c>
      <c r="AT250" s="663" t="e">
        <f t="shared" ca="1" si="205"/>
        <v>#N/A</v>
      </c>
      <c r="AU250" s="663" t="e">
        <f t="shared" ca="1" si="206"/>
        <v>#N/A</v>
      </c>
      <c r="AV250" s="663" t="e">
        <f t="shared" ca="1" si="207"/>
        <v>#N/A</v>
      </c>
      <c r="AW250" s="663" t="e">
        <f t="shared" ca="1" si="208"/>
        <v>#N/A</v>
      </c>
      <c r="AX250" s="663" t="e">
        <f t="shared" ca="1" si="209"/>
        <v>#N/A</v>
      </c>
      <c r="AY250" s="663" t="e">
        <f t="shared" ca="1" si="210"/>
        <v>#N/A</v>
      </c>
      <c r="AZ250" s="663" t="e">
        <f t="shared" ca="1" si="211"/>
        <v>#N/A</v>
      </c>
      <c r="BA250" s="663" t="e">
        <f t="shared" ca="1" si="212"/>
        <v>#N/A</v>
      </c>
      <c r="BB250" s="663" t="e">
        <f t="shared" ca="1" si="213"/>
        <v>#N/A</v>
      </c>
      <c r="BC250" s="663" t="e">
        <f t="shared" ca="1" si="214"/>
        <v>#N/A</v>
      </c>
      <c r="BD250" s="663" t="e">
        <f t="shared" ca="1" si="215"/>
        <v>#N/A</v>
      </c>
      <c r="BE250" s="663" t="e">
        <f t="shared" ca="1" si="216"/>
        <v>#N/A</v>
      </c>
      <c r="BF250" s="663" t="e">
        <f t="shared" ca="1" si="217"/>
        <v>#N/A</v>
      </c>
      <c r="BG250" s="663" t="e">
        <f t="shared" ca="1" si="218"/>
        <v>#N/A</v>
      </c>
      <c r="BH250" s="663" t="e">
        <f t="shared" ca="1" si="219"/>
        <v>#N/A</v>
      </c>
      <c r="BI250" s="663" t="e">
        <f t="shared" ca="1" si="220"/>
        <v>#N/A</v>
      </c>
      <c r="BJ250" s="663" t="e">
        <f t="shared" ca="1" si="221"/>
        <v>#N/A</v>
      </c>
      <c r="BK250" s="663" t="e">
        <f t="shared" ca="1" si="222"/>
        <v>#N/A</v>
      </c>
      <c r="BL250" s="1918"/>
      <c r="BM250" s="1532"/>
      <c r="BN250" s="1919"/>
      <c r="BO250" s="603"/>
      <c r="BP250" s="602"/>
      <c r="BQ250" s="602"/>
      <c r="BR250" s="602"/>
      <c r="BS250" s="604"/>
      <c r="BT250" s="605"/>
      <c r="BU250" s="602"/>
      <c r="BV250" s="602"/>
      <c r="BW250" s="606"/>
      <c r="BX250" s="607"/>
      <c r="BY250" s="608"/>
      <c r="BZ250" s="608"/>
      <c r="CA250" s="608"/>
      <c r="CB250" s="600"/>
    </row>
    <row r="251" spans="2:80" ht="12" customHeight="1" x14ac:dyDescent="0.35">
      <c r="B251" s="590" t="e">
        <f>MATCH(C251,'360SpcLdsCSV'!$C$6:$C$500,0)</f>
        <v>#N/A</v>
      </c>
      <c r="C251" s="590">
        <f>'360SpcLdsCSV'!C200</f>
        <v>0</v>
      </c>
      <c r="D251" s="590" t="str">
        <f t="shared" si="197"/>
        <v>0</v>
      </c>
      <c r="E251" s="590" t="e">
        <f t="shared" si="223"/>
        <v>#VALUE!</v>
      </c>
      <c r="F251" s="590" t="e">
        <f t="shared" si="224"/>
        <v>#VALUE!</v>
      </c>
      <c r="G251" s="590" t="str">
        <f t="shared" si="198"/>
        <v>0</v>
      </c>
      <c r="H251" s="590" t="e">
        <f ca="1">OFFSET('360SpcLdsCSV'!$B$5,$B251,H$51)</f>
        <v>#N/A</v>
      </c>
      <c r="I251" s="590" t="e">
        <f ca="1">OFFSET('360SpcLdsCSV'!$B$5,$B251,I$51)</f>
        <v>#N/A</v>
      </c>
      <c r="J251" s="590" t="e">
        <f ca="1">OFFSET('360SpcLdsCSV'!$B$5,$B251,J$51)</f>
        <v>#N/A</v>
      </c>
      <c r="K251" s="590" t="e">
        <f ca="1">OFFSET('360SpcLdsCSV'!$B$5,$B251,K$51)</f>
        <v>#N/A</v>
      </c>
      <c r="L251" s="590" t="e">
        <f ca="1">OFFSET('360SpcLdsCSV'!$B$5,$B251,L$51)</f>
        <v>#N/A</v>
      </c>
      <c r="M251" s="592" t="e">
        <f ca="1">OFFSET('360SpcLdsCSV'!$B$5,$B251,M$51)</f>
        <v>#N/A</v>
      </c>
      <c r="N251" s="592" t="e">
        <f ca="1">OFFSET('360SpcLdsCSV'!$B$5,$B251,N$51)</f>
        <v>#N/A</v>
      </c>
      <c r="O251" s="592" t="e">
        <f ca="1">OFFSET('360SpcLdsCSV'!$B$5,$B251,O$51)</f>
        <v>#N/A</v>
      </c>
      <c r="P251" s="592" t="e">
        <f ca="1">OFFSET('360SpcLdsCSV'!$B$5,$B251,P$51)</f>
        <v>#N/A</v>
      </c>
      <c r="Q251" s="592" t="e">
        <f ca="1">OFFSET('360SpcLdsCSV'!$B$5,$B251,Q$51)</f>
        <v>#N/A</v>
      </c>
      <c r="R251" s="592" t="e">
        <f ca="1">OFFSET('360SpcLdsCSV'!$B$5,$B251,R$51)</f>
        <v>#N/A</v>
      </c>
      <c r="S251" s="592" t="e">
        <f ca="1">OFFSET('360SpcLdsCSV'!$B$5,$B251,S$51)</f>
        <v>#N/A</v>
      </c>
      <c r="T251" s="592" t="e">
        <f ca="1">OFFSET('360SpcLdsCSV'!$B$5,$B251,T$51)</f>
        <v>#N/A</v>
      </c>
      <c r="U251" s="592" t="e">
        <f ca="1">OFFSET('360SpcLdsCSV'!$B$5,$B251,U$51)</f>
        <v>#N/A</v>
      </c>
      <c r="V251" s="592" t="e">
        <f ca="1">OFFSET('360SpcLdsCSV'!$B$5,$B251,V$51)</f>
        <v>#N/A</v>
      </c>
      <c r="W251" s="592" t="e">
        <f ca="1">OFFSET('360SpcLdsCSV'!$B$5,$B251,W$51)</f>
        <v>#N/A</v>
      </c>
      <c r="X251" s="592" t="e">
        <f ca="1">OFFSET('360SpcLdsCSV'!$B$5,$B251,X$51)</f>
        <v>#N/A</v>
      </c>
      <c r="Y251" s="592" t="e">
        <f ca="1">OFFSET('360SpcLdsCSV'!$B$5,$B251,Y$51)</f>
        <v>#N/A</v>
      </c>
      <c r="Z251" s="592" t="e">
        <f ca="1">OFFSET('360SpcLdsCSV'!$B$5,$B251,Z$51)</f>
        <v>#N/A</v>
      </c>
      <c r="AA251" s="592" t="e">
        <f ca="1">OFFSET('360SpcLdsCSV'!$B$5,$B251,AA$51)</f>
        <v>#N/A</v>
      </c>
      <c r="AB251" s="592" t="e">
        <f ca="1">OFFSET('360SpcLdsCSV'!$B$5,$B251,AB$51)</f>
        <v>#N/A</v>
      </c>
      <c r="AC251" s="592" t="e">
        <f ca="1">OFFSET('360SpcLdsCSV'!$B$5,$B251,AC$51)</f>
        <v>#N/A</v>
      </c>
      <c r="AD251" s="592" t="e">
        <f ca="1">OFFSET('360SpcLdsCSV'!$B$5,$B251,AD$51)</f>
        <v>#N/A</v>
      </c>
      <c r="AE251" s="592" t="e">
        <f ca="1">OFFSET('360SpcLdsCSV'!$B$5,$B251,AE$51)</f>
        <v>#N/A</v>
      </c>
      <c r="AF251" s="592" t="e">
        <f ca="1">OFFSET('360SpcLdsCSV'!$B$5,$B251,AF$51)</f>
        <v>#N/A</v>
      </c>
      <c r="AG251" s="592" t="e">
        <f ca="1">OFFSET('360SpcLdsCSV'!$B$5,$B251,AG$51)</f>
        <v>#N/A</v>
      </c>
      <c r="AH251" s="592" t="e">
        <f ca="1">OFFSET('360SpcLdsCSV'!$B$5,$B251,AH$51)</f>
        <v>#N/A</v>
      </c>
      <c r="AI251" s="592" t="e">
        <f ca="1">OFFSET('360SpcLdsCSV'!$B$5,$B251,AI$51)</f>
        <v>#N/A</v>
      </c>
      <c r="AJ251" s="592" t="e" cm="1">
        <f t="array" ref="AJ251">_xlfn.IFS($F251="Resi",1,$F251="Racc",0,$F251="Coml",0,$F251="Prkg",0)</f>
        <v>#VALUE!</v>
      </c>
      <c r="AK251" s="596"/>
      <c r="AL251" s="590" t="e">
        <f ca="1">OFFSET('360SpcLdsCSV'!$B$5,$B251,AL$51)</f>
        <v>#N/A</v>
      </c>
      <c r="AM251" s="663" t="e">
        <f t="shared" ca="1" si="199"/>
        <v>#N/A</v>
      </c>
      <c r="AN251" s="663" t="e">
        <f t="shared" ca="1" si="200"/>
        <v>#N/A</v>
      </c>
      <c r="AO251" s="663" t="e">
        <f t="shared" ca="1" si="225"/>
        <v>#N/A</v>
      </c>
      <c r="AP251" s="663" t="e">
        <f t="shared" ca="1" si="201"/>
        <v>#N/A</v>
      </c>
      <c r="AQ251" s="663" t="e">
        <f t="shared" ca="1" si="202"/>
        <v>#N/A</v>
      </c>
      <c r="AR251" s="663" t="e">
        <f t="shared" ca="1" si="203"/>
        <v>#N/A</v>
      </c>
      <c r="AS251" s="663" t="e">
        <f t="shared" ca="1" si="204"/>
        <v>#N/A</v>
      </c>
      <c r="AT251" s="663" t="e">
        <f t="shared" ca="1" si="205"/>
        <v>#N/A</v>
      </c>
      <c r="AU251" s="663" t="e">
        <f t="shared" ca="1" si="206"/>
        <v>#N/A</v>
      </c>
      <c r="AV251" s="663" t="e">
        <f t="shared" ca="1" si="207"/>
        <v>#N/A</v>
      </c>
      <c r="AW251" s="663" t="e">
        <f t="shared" ca="1" si="208"/>
        <v>#N/A</v>
      </c>
      <c r="AX251" s="663" t="e">
        <f t="shared" ca="1" si="209"/>
        <v>#N/A</v>
      </c>
      <c r="AY251" s="663" t="e">
        <f t="shared" ca="1" si="210"/>
        <v>#N/A</v>
      </c>
      <c r="AZ251" s="663" t="e">
        <f t="shared" ca="1" si="211"/>
        <v>#N/A</v>
      </c>
      <c r="BA251" s="663" t="e">
        <f t="shared" ca="1" si="212"/>
        <v>#N/A</v>
      </c>
      <c r="BB251" s="663" t="e">
        <f t="shared" ca="1" si="213"/>
        <v>#N/A</v>
      </c>
      <c r="BC251" s="663" t="e">
        <f t="shared" ca="1" si="214"/>
        <v>#N/A</v>
      </c>
      <c r="BD251" s="663" t="e">
        <f t="shared" ca="1" si="215"/>
        <v>#N/A</v>
      </c>
      <c r="BE251" s="663" t="e">
        <f t="shared" ca="1" si="216"/>
        <v>#N/A</v>
      </c>
      <c r="BF251" s="663" t="e">
        <f t="shared" ca="1" si="217"/>
        <v>#N/A</v>
      </c>
      <c r="BG251" s="663" t="e">
        <f t="shared" ca="1" si="218"/>
        <v>#N/A</v>
      </c>
      <c r="BH251" s="663" t="e">
        <f t="shared" ca="1" si="219"/>
        <v>#N/A</v>
      </c>
      <c r="BI251" s="663" t="e">
        <f t="shared" ca="1" si="220"/>
        <v>#N/A</v>
      </c>
      <c r="BJ251" s="663" t="e">
        <f t="shared" ca="1" si="221"/>
        <v>#N/A</v>
      </c>
      <c r="BK251" s="663" t="e">
        <f t="shared" ca="1" si="222"/>
        <v>#N/A</v>
      </c>
      <c r="BL251" s="1918"/>
      <c r="BM251" s="1532"/>
      <c r="BN251" s="1919"/>
      <c r="BO251" s="603"/>
      <c r="BP251" s="602"/>
      <c r="BQ251" s="602"/>
      <c r="BR251" s="602"/>
      <c r="BS251" s="604"/>
      <c r="BT251" s="605"/>
      <c r="BU251" s="602"/>
      <c r="BV251" s="602"/>
      <c r="BW251" s="606"/>
      <c r="BX251" s="607"/>
      <c r="BY251" s="608"/>
      <c r="BZ251" s="608"/>
      <c r="CA251" s="608"/>
      <c r="CB251" s="600"/>
    </row>
    <row r="252" spans="2:80" ht="12" customHeight="1" x14ac:dyDescent="0.35">
      <c r="B252" s="590" t="e">
        <f>MATCH(C252,'360SpcLdsCSV'!$C$6:$C$500,0)</f>
        <v>#N/A</v>
      </c>
      <c r="C252" s="590">
        <f>'360SpcLdsCSV'!C201</f>
        <v>0</v>
      </c>
      <c r="D252" s="590" t="str">
        <f t="shared" si="197"/>
        <v>0</v>
      </c>
      <c r="E252" s="590" t="e">
        <f t="shared" si="223"/>
        <v>#VALUE!</v>
      </c>
      <c r="F252" s="590" t="e">
        <f t="shared" si="224"/>
        <v>#VALUE!</v>
      </c>
      <c r="G252" s="590" t="str">
        <f t="shared" si="198"/>
        <v>0</v>
      </c>
      <c r="H252" s="590" t="e">
        <f ca="1">OFFSET('360SpcLdsCSV'!$B$5,$B252,H$51)</f>
        <v>#N/A</v>
      </c>
      <c r="I252" s="590" t="e">
        <f ca="1">OFFSET('360SpcLdsCSV'!$B$5,$B252,I$51)</f>
        <v>#N/A</v>
      </c>
      <c r="J252" s="590" t="e">
        <f ca="1">OFFSET('360SpcLdsCSV'!$B$5,$B252,J$51)</f>
        <v>#N/A</v>
      </c>
      <c r="K252" s="590" t="e">
        <f ca="1">OFFSET('360SpcLdsCSV'!$B$5,$B252,K$51)</f>
        <v>#N/A</v>
      </c>
      <c r="L252" s="590" t="e">
        <f ca="1">OFFSET('360SpcLdsCSV'!$B$5,$B252,L$51)</f>
        <v>#N/A</v>
      </c>
      <c r="M252" s="592" t="e">
        <f ca="1">OFFSET('360SpcLdsCSV'!$B$5,$B252,M$51)</f>
        <v>#N/A</v>
      </c>
      <c r="N252" s="592" t="e">
        <f ca="1">OFFSET('360SpcLdsCSV'!$B$5,$B252,N$51)</f>
        <v>#N/A</v>
      </c>
      <c r="O252" s="592" t="e">
        <f ca="1">OFFSET('360SpcLdsCSV'!$B$5,$B252,O$51)</f>
        <v>#N/A</v>
      </c>
      <c r="P252" s="592" t="e">
        <f ca="1">OFFSET('360SpcLdsCSV'!$B$5,$B252,P$51)</f>
        <v>#N/A</v>
      </c>
      <c r="Q252" s="592" t="e">
        <f ca="1">OFFSET('360SpcLdsCSV'!$B$5,$B252,Q$51)</f>
        <v>#N/A</v>
      </c>
      <c r="R252" s="592" t="e">
        <f ca="1">OFFSET('360SpcLdsCSV'!$B$5,$B252,R$51)</f>
        <v>#N/A</v>
      </c>
      <c r="S252" s="592" t="e">
        <f ca="1">OFFSET('360SpcLdsCSV'!$B$5,$B252,S$51)</f>
        <v>#N/A</v>
      </c>
      <c r="T252" s="592" t="e">
        <f ca="1">OFFSET('360SpcLdsCSV'!$B$5,$B252,T$51)</f>
        <v>#N/A</v>
      </c>
      <c r="U252" s="592" t="e">
        <f ca="1">OFFSET('360SpcLdsCSV'!$B$5,$B252,U$51)</f>
        <v>#N/A</v>
      </c>
      <c r="V252" s="592" t="e">
        <f ca="1">OFFSET('360SpcLdsCSV'!$B$5,$B252,V$51)</f>
        <v>#N/A</v>
      </c>
      <c r="W252" s="592" t="e">
        <f ca="1">OFFSET('360SpcLdsCSV'!$B$5,$B252,W$51)</f>
        <v>#N/A</v>
      </c>
      <c r="X252" s="592" t="e">
        <f ca="1">OFFSET('360SpcLdsCSV'!$B$5,$B252,X$51)</f>
        <v>#N/A</v>
      </c>
      <c r="Y252" s="592" t="e">
        <f ca="1">OFFSET('360SpcLdsCSV'!$B$5,$B252,Y$51)</f>
        <v>#N/A</v>
      </c>
      <c r="Z252" s="592" t="e">
        <f ca="1">OFFSET('360SpcLdsCSV'!$B$5,$B252,Z$51)</f>
        <v>#N/A</v>
      </c>
      <c r="AA252" s="592" t="e">
        <f ca="1">OFFSET('360SpcLdsCSV'!$B$5,$B252,AA$51)</f>
        <v>#N/A</v>
      </c>
      <c r="AB252" s="592" t="e">
        <f ca="1">OFFSET('360SpcLdsCSV'!$B$5,$B252,AB$51)</f>
        <v>#N/A</v>
      </c>
      <c r="AC252" s="592" t="e">
        <f ca="1">OFFSET('360SpcLdsCSV'!$B$5,$B252,AC$51)</f>
        <v>#N/A</v>
      </c>
      <c r="AD252" s="592" t="e">
        <f ca="1">OFFSET('360SpcLdsCSV'!$B$5,$B252,AD$51)</f>
        <v>#N/A</v>
      </c>
      <c r="AE252" s="592" t="e">
        <f ca="1">OFFSET('360SpcLdsCSV'!$B$5,$B252,AE$51)</f>
        <v>#N/A</v>
      </c>
      <c r="AF252" s="592" t="e">
        <f ca="1">OFFSET('360SpcLdsCSV'!$B$5,$B252,AF$51)</f>
        <v>#N/A</v>
      </c>
      <c r="AG252" s="592" t="e">
        <f ca="1">OFFSET('360SpcLdsCSV'!$B$5,$B252,AG$51)</f>
        <v>#N/A</v>
      </c>
      <c r="AH252" s="592" t="e">
        <f ca="1">OFFSET('360SpcLdsCSV'!$B$5,$B252,AH$51)</f>
        <v>#N/A</v>
      </c>
      <c r="AI252" s="592" t="e">
        <f ca="1">OFFSET('360SpcLdsCSV'!$B$5,$B252,AI$51)</f>
        <v>#N/A</v>
      </c>
      <c r="AJ252" s="592" t="e" cm="1">
        <f t="array" ref="AJ252">_xlfn.IFS($F252="Resi",1,$F252="Racc",0,$F252="Coml",0,$F252="Prkg",0)</f>
        <v>#VALUE!</v>
      </c>
      <c r="AK252" s="596"/>
      <c r="AL252" s="590" t="e">
        <f ca="1">OFFSET('360SpcLdsCSV'!$B$5,$B252,AL$51)</f>
        <v>#N/A</v>
      </c>
      <c r="AM252" s="663" t="e">
        <f t="shared" ca="1" si="199"/>
        <v>#N/A</v>
      </c>
      <c r="AN252" s="663" t="e">
        <f t="shared" ca="1" si="200"/>
        <v>#N/A</v>
      </c>
      <c r="AO252" s="663" t="e">
        <f t="shared" ca="1" si="225"/>
        <v>#N/A</v>
      </c>
      <c r="AP252" s="663" t="e">
        <f t="shared" ca="1" si="201"/>
        <v>#N/A</v>
      </c>
      <c r="AQ252" s="663" t="e">
        <f t="shared" ca="1" si="202"/>
        <v>#N/A</v>
      </c>
      <c r="AR252" s="663" t="e">
        <f t="shared" ca="1" si="203"/>
        <v>#N/A</v>
      </c>
      <c r="AS252" s="663" t="e">
        <f t="shared" ca="1" si="204"/>
        <v>#N/A</v>
      </c>
      <c r="AT252" s="663" t="e">
        <f t="shared" ca="1" si="205"/>
        <v>#N/A</v>
      </c>
      <c r="AU252" s="663" t="e">
        <f t="shared" ca="1" si="206"/>
        <v>#N/A</v>
      </c>
      <c r="AV252" s="663" t="e">
        <f t="shared" ca="1" si="207"/>
        <v>#N/A</v>
      </c>
      <c r="AW252" s="663" t="e">
        <f t="shared" ca="1" si="208"/>
        <v>#N/A</v>
      </c>
      <c r="AX252" s="663" t="e">
        <f t="shared" ca="1" si="209"/>
        <v>#N/A</v>
      </c>
      <c r="AY252" s="663" t="e">
        <f t="shared" ca="1" si="210"/>
        <v>#N/A</v>
      </c>
      <c r="AZ252" s="663" t="e">
        <f t="shared" ca="1" si="211"/>
        <v>#N/A</v>
      </c>
      <c r="BA252" s="663" t="e">
        <f t="shared" ca="1" si="212"/>
        <v>#N/A</v>
      </c>
      <c r="BB252" s="663" t="e">
        <f t="shared" ca="1" si="213"/>
        <v>#N/A</v>
      </c>
      <c r="BC252" s="663" t="e">
        <f t="shared" ca="1" si="214"/>
        <v>#N/A</v>
      </c>
      <c r="BD252" s="663" t="e">
        <f t="shared" ca="1" si="215"/>
        <v>#N/A</v>
      </c>
      <c r="BE252" s="663" t="e">
        <f t="shared" ca="1" si="216"/>
        <v>#N/A</v>
      </c>
      <c r="BF252" s="663" t="e">
        <f t="shared" ca="1" si="217"/>
        <v>#N/A</v>
      </c>
      <c r="BG252" s="663" t="e">
        <f t="shared" ca="1" si="218"/>
        <v>#N/A</v>
      </c>
      <c r="BH252" s="663" t="e">
        <f t="shared" ca="1" si="219"/>
        <v>#N/A</v>
      </c>
      <c r="BI252" s="663" t="e">
        <f t="shared" ca="1" si="220"/>
        <v>#N/A</v>
      </c>
      <c r="BJ252" s="663" t="e">
        <f t="shared" ca="1" si="221"/>
        <v>#N/A</v>
      </c>
      <c r="BK252" s="663" t="e">
        <f t="shared" ca="1" si="222"/>
        <v>#N/A</v>
      </c>
      <c r="BL252" s="1918"/>
      <c r="BM252" s="1532"/>
      <c r="BN252" s="1919"/>
      <c r="BO252" s="603"/>
      <c r="BP252" s="602"/>
      <c r="BQ252" s="602"/>
      <c r="BR252" s="602"/>
      <c r="BS252" s="604"/>
      <c r="BT252" s="605"/>
      <c r="BU252" s="602"/>
      <c r="BV252" s="602"/>
      <c r="BW252" s="606"/>
      <c r="BX252" s="607"/>
      <c r="BY252" s="608"/>
      <c r="BZ252" s="608"/>
      <c r="CA252" s="608"/>
      <c r="CB252" s="600"/>
    </row>
    <row r="253" spans="2:80" ht="12" customHeight="1" x14ac:dyDescent="0.35">
      <c r="B253" s="590" t="e">
        <f>MATCH(C253,'360SpcLdsCSV'!$C$6:$C$500,0)</f>
        <v>#N/A</v>
      </c>
      <c r="C253" s="590">
        <f>'360SpcLdsCSV'!C202</f>
        <v>0</v>
      </c>
      <c r="D253" s="590" t="str">
        <f t="shared" si="197"/>
        <v>0</v>
      </c>
      <c r="E253" s="590" t="e">
        <f t="shared" si="223"/>
        <v>#VALUE!</v>
      </c>
      <c r="F253" s="590" t="e">
        <f t="shared" si="224"/>
        <v>#VALUE!</v>
      </c>
      <c r="G253" s="590" t="str">
        <f t="shared" si="198"/>
        <v>0</v>
      </c>
      <c r="H253" s="590" t="e">
        <f ca="1">OFFSET('360SpcLdsCSV'!$B$5,$B253,H$51)</f>
        <v>#N/A</v>
      </c>
      <c r="I253" s="590" t="e">
        <f ca="1">OFFSET('360SpcLdsCSV'!$B$5,$B253,I$51)</f>
        <v>#N/A</v>
      </c>
      <c r="J253" s="590" t="e">
        <f ca="1">OFFSET('360SpcLdsCSV'!$B$5,$B253,J$51)</f>
        <v>#N/A</v>
      </c>
      <c r="K253" s="590" t="e">
        <f ca="1">OFFSET('360SpcLdsCSV'!$B$5,$B253,K$51)</f>
        <v>#N/A</v>
      </c>
      <c r="L253" s="590" t="e">
        <f ca="1">OFFSET('360SpcLdsCSV'!$B$5,$B253,L$51)</f>
        <v>#N/A</v>
      </c>
      <c r="M253" s="592" t="e">
        <f ca="1">OFFSET('360SpcLdsCSV'!$B$5,$B253,M$51)</f>
        <v>#N/A</v>
      </c>
      <c r="N253" s="592" t="e">
        <f ca="1">OFFSET('360SpcLdsCSV'!$B$5,$B253,N$51)</f>
        <v>#N/A</v>
      </c>
      <c r="O253" s="592" t="e">
        <f ca="1">OFFSET('360SpcLdsCSV'!$B$5,$B253,O$51)</f>
        <v>#N/A</v>
      </c>
      <c r="P253" s="592" t="e">
        <f ca="1">OFFSET('360SpcLdsCSV'!$B$5,$B253,P$51)</f>
        <v>#N/A</v>
      </c>
      <c r="Q253" s="592" t="e">
        <f ca="1">OFFSET('360SpcLdsCSV'!$B$5,$B253,Q$51)</f>
        <v>#N/A</v>
      </c>
      <c r="R253" s="592" t="e">
        <f ca="1">OFFSET('360SpcLdsCSV'!$B$5,$B253,R$51)</f>
        <v>#N/A</v>
      </c>
      <c r="S253" s="592" t="e">
        <f ca="1">OFFSET('360SpcLdsCSV'!$B$5,$B253,S$51)</f>
        <v>#N/A</v>
      </c>
      <c r="T253" s="592" t="e">
        <f ca="1">OFFSET('360SpcLdsCSV'!$B$5,$B253,T$51)</f>
        <v>#N/A</v>
      </c>
      <c r="U253" s="592" t="e">
        <f ca="1">OFFSET('360SpcLdsCSV'!$B$5,$B253,U$51)</f>
        <v>#N/A</v>
      </c>
      <c r="V253" s="592" t="e">
        <f ca="1">OFFSET('360SpcLdsCSV'!$B$5,$B253,V$51)</f>
        <v>#N/A</v>
      </c>
      <c r="W253" s="592" t="e">
        <f ca="1">OFFSET('360SpcLdsCSV'!$B$5,$B253,W$51)</f>
        <v>#N/A</v>
      </c>
      <c r="X253" s="592" t="e">
        <f ca="1">OFFSET('360SpcLdsCSV'!$B$5,$B253,X$51)</f>
        <v>#N/A</v>
      </c>
      <c r="Y253" s="592" t="e">
        <f ca="1">OFFSET('360SpcLdsCSV'!$B$5,$B253,Y$51)</f>
        <v>#N/A</v>
      </c>
      <c r="Z253" s="592" t="e">
        <f ca="1">OFFSET('360SpcLdsCSV'!$B$5,$B253,Z$51)</f>
        <v>#N/A</v>
      </c>
      <c r="AA253" s="592" t="e">
        <f ca="1">OFFSET('360SpcLdsCSV'!$B$5,$B253,AA$51)</f>
        <v>#N/A</v>
      </c>
      <c r="AB253" s="592" t="e">
        <f ca="1">OFFSET('360SpcLdsCSV'!$B$5,$B253,AB$51)</f>
        <v>#N/A</v>
      </c>
      <c r="AC253" s="592" t="e">
        <f ca="1">OFFSET('360SpcLdsCSV'!$B$5,$B253,AC$51)</f>
        <v>#N/A</v>
      </c>
      <c r="AD253" s="592" t="e">
        <f ca="1">OFFSET('360SpcLdsCSV'!$B$5,$B253,AD$51)</f>
        <v>#N/A</v>
      </c>
      <c r="AE253" s="592" t="e">
        <f ca="1">OFFSET('360SpcLdsCSV'!$B$5,$B253,AE$51)</f>
        <v>#N/A</v>
      </c>
      <c r="AF253" s="592" t="e">
        <f ca="1">OFFSET('360SpcLdsCSV'!$B$5,$B253,AF$51)</f>
        <v>#N/A</v>
      </c>
      <c r="AG253" s="592" t="e">
        <f ca="1">OFFSET('360SpcLdsCSV'!$B$5,$B253,AG$51)</f>
        <v>#N/A</v>
      </c>
      <c r="AH253" s="592" t="e">
        <f ca="1">OFFSET('360SpcLdsCSV'!$B$5,$B253,AH$51)</f>
        <v>#N/A</v>
      </c>
      <c r="AI253" s="592" t="e">
        <f ca="1">OFFSET('360SpcLdsCSV'!$B$5,$B253,AI$51)</f>
        <v>#N/A</v>
      </c>
      <c r="AJ253" s="592" t="e" cm="1">
        <f t="array" ref="AJ253">_xlfn.IFS($F253="Resi",1,$F253="Racc",0,$F253="Coml",0,$F253="Prkg",0)</f>
        <v>#VALUE!</v>
      </c>
      <c r="AK253" s="596"/>
      <c r="AL253" s="590" t="e">
        <f ca="1">OFFSET('360SpcLdsCSV'!$B$5,$B253,AL$51)</f>
        <v>#N/A</v>
      </c>
      <c r="AM253" s="663" t="e">
        <f t="shared" ca="1" si="199"/>
        <v>#N/A</v>
      </c>
      <c r="AN253" s="663" t="e">
        <f t="shared" ca="1" si="200"/>
        <v>#N/A</v>
      </c>
      <c r="AO253" s="663" t="e">
        <f t="shared" ca="1" si="225"/>
        <v>#N/A</v>
      </c>
      <c r="AP253" s="663" t="e">
        <f t="shared" ca="1" si="201"/>
        <v>#N/A</v>
      </c>
      <c r="AQ253" s="663" t="e">
        <f t="shared" ca="1" si="202"/>
        <v>#N/A</v>
      </c>
      <c r="AR253" s="663" t="e">
        <f t="shared" ca="1" si="203"/>
        <v>#N/A</v>
      </c>
      <c r="AS253" s="663" t="e">
        <f t="shared" ca="1" si="204"/>
        <v>#N/A</v>
      </c>
      <c r="AT253" s="663" t="e">
        <f t="shared" ca="1" si="205"/>
        <v>#N/A</v>
      </c>
      <c r="AU253" s="663" t="e">
        <f t="shared" ca="1" si="206"/>
        <v>#N/A</v>
      </c>
      <c r="AV253" s="663" t="e">
        <f t="shared" ca="1" si="207"/>
        <v>#N/A</v>
      </c>
      <c r="AW253" s="663" t="e">
        <f t="shared" ca="1" si="208"/>
        <v>#N/A</v>
      </c>
      <c r="AX253" s="663" t="e">
        <f t="shared" ca="1" si="209"/>
        <v>#N/A</v>
      </c>
      <c r="AY253" s="663" t="e">
        <f t="shared" ca="1" si="210"/>
        <v>#N/A</v>
      </c>
      <c r="AZ253" s="663" t="e">
        <f t="shared" ca="1" si="211"/>
        <v>#N/A</v>
      </c>
      <c r="BA253" s="663" t="e">
        <f t="shared" ca="1" si="212"/>
        <v>#N/A</v>
      </c>
      <c r="BB253" s="663" t="e">
        <f t="shared" ca="1" si="213"/>
        <v>#N/A</v>
      </c>
      <c r="BC253" s="663" t="e">
        <f t="shared" ca="1" si="214"/>
        <v>#N/A</v>
      </c>
      <c r="BD253" s="663" t="e">
        <f t="shared" ca="1" si="215"/>
        <v>#N/A</v>
      </c>
      <c r="BE253" s="663" t="e">
        <f t="shared" ca="1" si="216"/>
        <v>#N/A</v>
      </c>
      <c r="BF253" s="663" t="e">
        <f t="shared" ca="1" si="217"/>
        <v>#N/A</v>
      </c>
      <c r="BG253" s="663" t="e">
        <f t="shared" ca="1" si="218"/>
        <v>#N/A</v>
      </c>
      <c r="BH253" s="663" t="e">
        <f t="shared" ca="1" si="219"/>
        <v>#N/A</v>
      </c>
      <c r="BI253" s="663" t="e">
        <f t="shared" ca="1" si="220"/>
        <v>#N/A</v>
      </c>
      <c r="BJ253" s="663" t="e">
        <f t="shared" ca="1" si="221"/>
        <v>#N/A</v>
      </c>
      <c r="BK253" s="663" t="e">
        <f t="shared" ca="1" si="222"/>
        <v>#N/A</v>
      </c>
      <c r="BL253" s="1918"/>
      <c r="BM253" s="1532"/>
      <c r="BN253" s="1919"/>
      <c r="BO253" s="603"/>
      <c r="BP253" s="602"/>
      <c r="BQ253" s="602"/>
      <c r="BR253" s="602"/>
      <c r="BS253" s="604"/>
      <c r="BT253" s="605"/>
      <c r="BU253" s="602"/>
      <c r="BV253" s="602"/>
      <c r="BW253" s="606"/>
      <c r="BX253" s="607"/>
      <c r="BY253" s="608"/>
      <c r="BZ253" s="608"/>
      <c r="CA253" s="608"/>
      <c r="CB253" s="600"/>
    </row>
    <row r="254" spans="2:80" ht="12" customHeight="1" x14ac:dyDescent="0.35">
      <c r="B254" s="590" t="e">
        <f>MATCH(C254,'360SpcLdsCSV'!$C$6:$C$500,0)</f>
        <v>#N/A</v>
      </c>
      <c r="C254" s="590">
        <f>'360SpcLdsCSV'!C203</f>
        <v>0</v>
      </c>
      <c r="D254" s="590" t="str">
        <f t="shared" si="197"/>
        <v>0</v>
      </c>
      <c r="E254" s="590" t="e">
        <f t="shared" si="223"/>
        <v>#VALUE!</v>
      </c>
      <c r="F254" s="590" t="e">
        <f t="shared" si="224"/>
        <v>#VALUE!</v>
      </c>
      <c r="G254" s="590" t="str">
        <f t="shared" si="198"/>
        <v>0</v>
      </c>
      <c r="H254" s="590" t="e">
        <f ca="1">OFFSET('360SpcLdsCSV'!$B$5,$B254,H$51)</f>
        <v>#N/A</v>
      </c>
      <c r="I254" s="590" t="e">
        <f ca="1">OFFSET('360SpcLdsCSV'!$B$5,$B254,I$51)</f>
        <v>#N/A</v>
      </c>
      <c r="J254" s="590" t="e">
        <f ca="1">OFFSET('360SpcLdsCSV'!$B$5,$B254,J$51)</f>
        <v>#N/A</v>
      </c>
      <c r="K254" s="590" t="e">
        <f ca="1">OFFSET('360SpcLdsCSV'!$B$5,$B254,K$51)</f>
        <v>#N/A</v>
      </c>
      <c r="L254" s="590" t="e">
        <f ca="1">OFFSET('360SpcLdsCSV'!$B$5,$B254,L$51)</f>
        <v>#N/A</v>
      </c>
      <c r="M254" s="592" t="e">
        <f ca="1">OFFSET('360SpcLdsCSV'!$B$5,$B254,M$51)</f>
        <v>#N/A</v>
      </c>
      <c r="N254" s="592" t="e">
        <f ca="1">OFFSET('360SpcLdsCSV'!$B$5,$B254,N$51)</f>
        <v>#N/A</v>
      </c>
      <c r="O254" s="592" t="e">
        <f ca="1">OFFSET('360SpcLdsCSV'!$B$5,$B254,O$51)</f>
        <v>#N/A</v>
      </c>
      <c r="P254" s="592" t="e">
        <f ca="1">OFFSET('360SpcLdsCSV'!$B$5,$B254,P$51)</f>
        <v>#N/A</v>
      </c>
      <c r="Q254" s="592" t="e">
        <f ca="1">OFFSET('360SpcLdsCSV'!$B$5,$B254,Q$51)</f>
        <v>#N/A</v>
      </c>
      <c r="R254" s="592" t="e">
        <f ca="1">OFFSET('360SpcLdsCSV'!$B$5,$B254,R$51)</f>
        <v>#N/A</v>
      </c>
      <c r="S254" s="592" t="e">
        <f ca="1">OFFSET('360SpcLdsCSV'!$B$5,$B254,S$51)</f>
        <v>#N/A</v>
      </c>
      <c r="T254" s="592" t="e">
        <f ca="1">OFFSET('360SpcLdsCSV'!$B$5,$B254,T$51)</f>
        <v>#N/A</v>
      </c>
      <c r="U254" s="592" t="e">
        <f ca="1">OFFSET('360SpcLdsCSV'!$B$5,$B254,U$51)</f>
        <v>#N/A</v>
      </c>
      <c r="V254" s="592" t="e">
        <f ca="1">OFFSET('360SpcLdsCSV'!$B$5,$B254,V$51)</f>
        <v>#N/A</v>
      </c>
      <c r="W254" s="592" t="e">
        <f ca="1">OFFSET('360SpcLdsCSV'!$B$5,$B254,W$51)</f>
        <v>#N/A</v>
      </c>
      <c r="X254" s="592" t="e">
        <f ca="1">OFFSET('360SpcLdsCSV'!$B$5,$B254,X$51)</f>
        <v>#N/A</v>
      </c>
      <c r="Y254" s="592" t="e">
        <f ca="1">OFFSET('360SpcLdsCSV'!$B$5,$B254,Y$51)</f>
        <v>#N/A</v>
      </c>
      <c r="Z254" s="592" t="e">
        <f ca="1">OFFSET('360SpcLdsCSV'!$B$5,$B254,Z$51)</f>
        <v>#N/A</v>
      </c>
      <c r="AA254" s="592" t="e">
        <f ca="1">OFFSET('360SpcLdsCSV'!$B$5,$B254,AA$51)</f>
        <v>#N/A</v>
      </c>
      <c r="AB254" s="592" t="e">
        <f ca="1">OFFSET('360SpcLdsCSV'!$B$5,$B254,AB$51)</f>
        <v>#N/A</v>
      </c>
      <c r="AC254" s="592" t="e">
        <f ca="1">OFFSET('360SpcLdsCSV'!$B$5,$B254,AC$51)</f>
        <v>#N/A</v>
      </c>
      <c r="AD254" s="592" t="e">
        <f ca="1">OFFSET('360SpcLdsCSV'!$B$5,$B254,AD$51)</f>
        <v>#N/A</v>
      </c>
      <c r="AE254" s="592" t="e">
        <f ca="1">OFFSET('360SpcLdsCSV'!$B$5,$B254,AE$51)</f>
        <v>#N/A</v>
      </c>
      <c r="AF254" s="592" t="e">
        <f ca="1">OFFSET('360SpcLdsCSV'!$B$5,$B254,AF$51)</f>
        <v>#N/A</v>
      </c>
      <c r="AG254" s="592" t="e">
        <f ca="1">OFFSET('360SpcLdsCSV'!$B$5,$B254,AG$51)</f>
        <v>#N/A</v>
      </c>
      <c r="AH254" s="592" t="e">
        <f ca="1">OFFSET('360SpcLdsCSV'!$B$5,$B254,AH$51)</f>
        <v>#N/A</v>
      </c>
      <c r="AI254" s="592" t="e">
        <f ca="1">OFFSET('360SpcLdsCSV'!$B$5,$B254,AI$51)</f>
        <v>#N/A</v>
      </c>
      <c r="AJ254" s="592" t="e" cm="1">
        <f t="array" ref="AJ254">_xlfn.IFS($F254="Resi",1,$F254="Racc",0,$F254="Coml",0,$F254="Prkg",0)</f>
        <v>#VALUE!</v>
      </c>
      <c r="AK254" s="596"/>
      <c r="AL254" s="590" t="e">
        <f ca="1">OFFSET('360SpcLdsCSV'!$B$5,$B254,AL$51)</f>
        <v>#N/A</v>
      </c>
      <c r="AM254" s="663" t="e">
        <f t="shared" ca="1" si="199"/>
        <v>#N/A</v>
      </c>
      <c r="AN254" s="663" t="e">
        <f t="shared" ca="1" si="200"/>
        <v>#N/A</v>
      </c>
      <c r="AO254" s="663" t="e">
        <f t="shared" ca="1" si="225"/>
        <v>#N/A</v>
      </c>
      <c r="AP254" s="663" t="e">
        <f t="shared" ca="1" si="201"/>
        <v>#N/A</v>
      </c>
      <c r="AQ254" s="663" t="e">
        <f t="shared" ca="1" si="202"/>
        <v>#N/A</v>
      </c>
      <c r="AR254" s="663" t="e">
        <f t="shared" ca="1" si="203"/>
        <v>#N/A</v>
      </c>
      <c r="AS254" s="663" t="e">
        <f t="shared" ca="1" si="204"/>
        <v>#N/A</v>
      </c>
      <c r="AT254" s="663" t="e">
        <f t="shared" ca="1" si="205"/>
        <v>#N/A</v>
      </c>
      <c r="AU254" s="663" t="e">
        <f t="shared" ca="1" si="206"/>
        <v>#N/A</v>
      </c>
      <c r="AV254" s="663" t="e">
        <f t="shared" ca="1" si="207"/>
        <v>#N/A</v>
      </c>
      <c r="AW254" s="663" t="e">
        <f t="shared" ca="1" si="208"/>
        <v>#N/A</v>
      </c>
      <c r="AX254" s="663" t="e">
        <f t="shared" ca="1" si="209"/>
        <v>#N/A</v>
      </c>
      <c r="AY254" s="663" t="e">
        <f t="shared" ca="1" si="210"/>
        <v>#N/A</v>
      </c>
      <c r="AZ254" s="663" t="e">
        <f t="shared" ca="1" si="211"/>
        <v>#N/A</v>
      </c>
      <c r="BA254" s="663" t="e">
        <f t="shared" ca="1" si="212"/>
        <v>#N/A</v>
      </c>
      <c r="BB254" s="663" t="e">
        <f t="shared" ca="1" si="213"/>
        <v>#N/A</v>
      </c>
      <c r="BC254" s="663" t="e">
        <f t="shared" ca="1" si="214"/>
        <v>#N/A</v>
      </c>
      <c r="BD254" s="663" t="e">
        <f t="shared" ca="1" si="215"/>
        <v>#N/A</v>
      </c>
      <c r="BE254" s="663" t="e">
        <f t="shared" ca="1" si="216"/>
        <v>#N/A</v>
      </c>
      <c r="BF254" s="663" t="e">
        <f t="shared" ca="1" si="217"/>
        <v>#N/A</v>
      </c>
      <c r="BG254" s="663" t="e">
        <f t="shared" ca="1" si="218"/>
        <v>#N/A</v>
      </c>
      <c r="BH254" s="663" t="e">
        <f t="shared" ca="1" si="219"/>
        <v>#N/A</v>
      </c>
      <c r="BI254" s="663" t="e">
        <f t="shared" ca="1" si="220"/>
        <v>#N/A</v>
      </c>
      <c r="BJ254" s="663" t="e">
        <f t="shared" ca="1" si="221"/>
        <v>#N/A</v>
      </c>
      <c r="BK254" s="663" t="e">
        <f t="shared" ca="1" si="222"/>
        <v>#N/A</v>
      </c>
      <c r="BL254" s="1918"/>
      <c r="BM254" s="1532"/>
      <c r="BN254" s="1919"/>
      <c r="BO254" s="603"/>
      <c r="BP254" s="602"/>
      <c r="BQ254" s="602"/>
      <c r="BR254" s="602"/>
      <c r="BS254" s="604"/>
      <c r="BT254" s="605"/>
      <c r="BU254" s="602"/>
      <c r="BV254" s="602"/>
      <c r="BW254" s="606"/>
      <c r="BX254" s="607"/>
      <c r="BY254" s="608"/>
      <c r="BZ254" s="608"/>
      <c r="CA254" s="608"/>
      <c r="CB254" s="600"/>
    </row>
    <row r="255" spans="2:80" ht="12" customHeight="1" x14ac:dyDescent="0.35">
      <c r="B255" s="590" t="e">
        <f>MATCH(C255,'360SpcLdsCSV'!$C$6:$C$500,0)</f>
        <v>#N/A</v>
      </c>
      <c r="C255" s="590">
        <f>'360SpcLdsCSV'!C204</f>
        <v>0</v>
      </c>
      <c r="D255" s="590" t="str">
        <f t="shared" si="197"/>
        <v>0</v>
      </c>
      <c r="E255" s="590" t="e">
        <f t="shared" si="223"/>
        <v>#VALUE!</v>
      </c>
      <c r="F255" s="590" t="e">
        <f t="shared" si="224"/>
        <v>#VALUE!</v>
      </c>
      <c r="G255" s="590" t="str">
        <f t="shared" si="198"/>
        <v>0</v>
      </c>
      <c r="H255" s="590" t="e">
        <f ca="1">OFFSET('360SpcLdsCSV'!$B$5,$B255,H$51)</f>
        <v>#N/A</v>
      </c>
      <c r="I255" s="590" t="e">
        <f ca="1">OFFSET('360SpcLdsCSV'!$B$5,$B255,I$51)</f>
        <v>#N/A</v>
      </c>
      <c r="J255" s="590" t="e">
        <f ca="1">OFFSET('360SpcLdsCSV'!$B$5,$B255,J$51)</f>
        <v>#N/A</v>
      </c>
      <c r="K255" s="590" t="e">
        <f ca="1">OFFSET('360SpcLdsCSV'!$B$5,$B255,K$51)</f>
        <v>#N/A</v>
      </c>
      <c r="L255" s="590" t="e">
        <f ca="1">OFFSET('360SpcLdsCSV'!$B$5,$B255,L$51)</f>
        <v>#N/A</v>
      </c>
      <c r="M255" s="592" t="e">
        <f ca="1">OFFSET('360SpcLdsCSV'!$B$5,$B255,M$51)</f>
        <v>#N/A</v>
      </c>
      <c r="N255" s="592" t="e">
        <f ca="1">OFFSET('360SpcLdsCSV'!$B$5,$B255,N$51)</f>
        <v>#N/A</v>
      </c>
      <c r="O255" s="592" t="e">
        <f ca="1">OFFSET('360SpcLdsCSV'!$B$5,$B255,O$51)</f>
        <v>#N/A</v>
      </c>
      <c r="P255" s="592" t="e">
        <f ca="1">OFFSET('360SpcLdsCSV'!$B$5,$B255,P$51)</f>
        <v>#N/A</v>
      </c>
      <c r="Q255" s="592" t="e">
        <f ca="1">OFFSET('360SpcLdsCSV'!$B$5,$B255,Q$51)</f>
        <v>#N/A</v>
      </c>
      <c r="R255" s="592" t="e">
        <f ca="1">OFFSET('360SpcLdsCSV'!$B$5,$B255,R$51)</f>
        <v>#N/A</v>
      </c>
      <c r="S255" s="592" t="e">
        <f ca="1">OFFSET('360SpcLdsCSV'!$B$5,$B255,S$51)</f>
        <v>#N/A</v>
      </c>
      <c r="T255" s="592" t="e">
        <f ca="1">OFFSET('360SpcLdsCSV'!$B$5,$B255,T$51)</f>
        <v>#N/A</v>
      </c>
      <c r="U255" s="592" t="e">
        <f ca="1">OFFSET('360SpcLdsCSV'!$B$5,$B255,U$51)</f>
        <v>#N/A</v>
      </c>
      <c r="V255" s="592" t="e">
        <f ca="1">OFFSET('360SpcLdsCSV'!$B$5,$B255,V$51)</f>
        <v>#N/A</v>
      </c>
      <c r="W255" s="592" t="e">
        <f ca="1">OFFSET('360SpcLdsCSV'!$B$5,$B255,W$51)</f>
        <v>#N/A</v>
      </c>
      <c r="X255" s="592" t="e">
        <f ca="1">OFFSET('360SpcLdsCSV'!$B$5,$B255,X$51)</f>
        <v>#N/A</v>
      </c>
      <c r="Y255" s="592" t="e">
        <f ca="1">OFFSET('360SpcLdsCSV'!$B$5,$B255,Y$51)</f>
        <v>#N/A</v>
      </c>
      <c r="Z255" s="592" t="e">
        <f ca="1">OFFSET('360SpcLdsCSV'!$B$5,$B255,Z$51)</f>
        <v>#N/A</v>
      </c>
      <c r="AA255" s="592" t="e">
        <f ca="1">OFFSET('360SpcLdsCSV'!$B$5,$B255,AA$51)</f>
        <v>#N/A</v>
      </c>
      <c r="AB255" s="592" t="e">
        <f ca="1">OFFSET('360SpcLdsCSV'!$B$5,$B255,AB$51)</f>
        <v>#N/A</v>
      </c>
      <c r="AC255" s="592" t="e">
        <f ca="1">OFFSET('360SpcLdsCSV'!$B$5,$B255,AC$51)</f>
        <v>#N/A</v>
      </c>
      <c r="AD255" s="592" t="e">
        <f ca="1">OFFSET('360SpcLdsCSV'!$B$5,$B255,AD$51)</f>
        <v>#N/A</v>
      </c>
      <c r="AE255" s="592" t="e">
        <f ca="1">OFFSET('360SpcLdsCSV'!$B$5,$B255,AE$51)</f>
        <v>#N/A</v>
      </c>
      <c r="AF255" s="592" t="e">
        <f ca="1">OFFSET('360SpcLdsCSV'!$B$5,$B255,AF$51)</f>
        <v>#N/A</v>
      </c>
      <c r="AG255" s="592" t="e">
        <f ca="1">OFFSET('360SpcLdsCSV'!$B$5,$B255,AG$51)</f>
        <v>#N/A</v>
      </c>
      <c r="AH255" s="592" t="e">
        <f ca="1">OFFSET('360SpcLdsCSV'!$B$5,$B255,AH$51)</f>
        <v>#N/A</v>
      </c>
      <c r="AI255" s="592" t="e">
        <f ca="1">OFFSET('360SpcLdsCSV'!$B$5,$B255,AI$51)</f>
        <v>#N/A</v>
      </c>
      <c r="AJ255" s="592" t="e" cm="1">
        <f t="array" ref="AJ255">_xlfn.IFS($F255="Resi",1,$F255="Racc",0,$F255="Coml",0,$F255="Prkg",0)</f>
        <v>#VALUE!</v>
      </c>
      <c r="AK255" s="596"/>
      <c r="AL255" s="590" t="e">
        <f ca="1">OFFSET('360SpcLdsCSV'!$B$5,$B255,AL$51)</f>
        <v>#N/A</v>
      </c>
      <c r="AM255" s="663" t="e">
        <f t="shared" ca="1" si="199"/>
        <v>#N/A</v>
      </c>
      <c r="AN255" s="663" t="e">
        <f t="shared" ca="1" si="200"/>
        <v>#N/A</v>
      </c>
      <c r="AO255" s="663" t="e">
        <f t="shared" ca="1" si="225"/>
        <v>#N/A</v>
      </c>
      <c r="AP255" s="663" t="e">
        <f t="shared" ca="1" si="201"/>
        <v>#N/A</v>
      </c>
      <c r="AQ255" s="663" t="e">
        <f t="shared" ca="1" si="202"/>
        <v>#N/A</v>
      </c>
      <c r="AR255" s="663" t="e">
        <f t="shared" ca="1" si="203"/>
        <v>#N/A</v>
      </c>
      <c r="AS255" s="663" t="e">
        <f t="shared" ca="1" si="204"/>
        <v>#N/A</v>
      </c>
      <c r="AT255" s="663" t="e">
        <f t="shared" ca="1" si="205"/>
        <v>#N/A</v>
      </c>
      <c r="AU255" s="663" t="e">
        <f t="shared" ca="1" si="206"/>
        <v>#N/A</v>
      </c>
      <c r="AV255" s="663" t="e">
        <f t="shared" ca="1" si="207"/>
        <v>#N/A</v>
      </c>
      <c r="AW255" s="663" t="e">
        <f t="shared" ca="1" si="208"/>
        <v>#N/A</v>
      </c>
      <c r="AX255" s="663" t="e">
        <f t="shared" ca="1" si="209"/>
        <v>#N/A</v>
      </c>
      <c r="AY255" s="663" t="e">
        <f t="shared" ca="1" si="210"/>
        <v>#N/A</v>
      </c>
      <c r="AZ255" s="663" t="e">
        <f t="shared" ca="1" si="211"/>
        <v>#N/A</v>
      </c>
      <c r="BA255" s="663" t="e">
        <f t="shared" ca="1" si="212"/>
        <v>#N/A</v>
      </c>
      <c r="BB255" s="663" t="e">
        <f t="shared" ca="1" si="213"/>
        <v>#N/A</v>
      </c>
      <c r="BC255" s="663" t="e">
        <f t="shared" ca="1" si="214"/>
        <v>#N/A</v>
      </c>
      <c r="BD255" s="663" t="e">
        <f t="shared" ca="1" si="215"/>
        <v>#N/A</v>
      </c>
      <c r="BE255" s="663" t="e">
        <f t="shared" ca="1" si="216"/>
        <v>#N/A</v>
      </c>
      <c r="BF255" s="663" t="e">
        <f t="shared" ca="1" si="217"/>
        <v>#N/A</v>
      </c>
      <c r="BG255" s="663" t="e">
        <f t="shared" ca="1" si="218"/>
        <v>#N/A</v>
      </c>
      <c r="BH255" s="663" t="e">
        <f t="shared" ca="1" si="219"/>
        <v>#N/A</v>
      </c>
      <c r="BI255" s="663" t="e">
        <f t="shared" ca="1" si="220"/>
        <v>#N/A</v>
      </c>
      <c r="BJ255" s="663" t="e">
        <f t="shared" ca="1" si="221"/>
        <v>#N/A</v>
      </c>
      <c r="BK255" s="663" t="e">
        <f t="shared" ca="1" si="222"/>
        <v>#N/A</v>
      </c>
      <c r="BL255" s="1918"/>
      <c r="BM255" s="1532"/>
      <c r="BN255" s="1919"/>
      <c r="BO255" s="603"/>
      <c r="BP255" s="602"/>
      <c r="BQ255" s="602"/>
      <c r="BR255" s="602"/>
      <c r="BS255" s="604"/>
      <c r="BT255" s="605"/>
      <c r="BU255" s="602"/>
      <c r="BV255" s="602"/>
      <c r="BW255" s="606"/>
      <c r="BX255" s="607"/>
      <c r="BY255" s="608"/>
      <c r="BZ255" s="608"/>
      <c r="CA255" s="608"/>
      <c r="CB255" s="600"/>
    </row>
    <row r="256" spans="2:80" ht="12" customHeight="1" x14ac:dyDescent="0.35">
      <c r="B256" s="590" t="e">
        <f>MATCH(C256,'360SpcLdsCSV'!$C$6:$C$500,0)</f>
        <v>#N/A</v>
      </c>
      <c r="C256" s="590">
        <f>'360SpcLdsCSV'!C205</f>
        <v>0</v>
      </c>
      <c r="D256" s="590" t="str">
        <f t="shared" si="197"/>
        <v>0</v>
      </c>
      <c r="E256" s="590" t="e">
        <f t="shared" si="223"/>
        <v>#VALUE!</v>
      </c>
      <c r="F256" s="590" t="e">
        <f t="shared" si="224"/>
        <v>#VALUE!</v>
      </c>
      <c r="G256" s="590" t="str">
        <f t="shared" si="198"/>
        <v>0</v>
      </c>
      <c r="H256" s="590" t="e">
        <f ca="1">OFFSET('360SpcLdsCSV'!$B$5,$B256,H$51)</f>
        <v>#N/A</v>
      </c>
      <c r="I256" s="590" t="e">
        <f ca="1">OFFSET('360SpcLdsCSV'!$B$5,$B256,I$51)</f>
        <v>#N/A</v>
      </c>
      <c r="J256" s="590" t="e">
        <f ca="1">OFFSET('360SpcLdsCSV'!$B$5,$B256,J$51)</f>
        <v>#N/A</v>
      </c>
      <c r="K256" s="590" t="e">
        <f ca="1">OFFSET('360SpcLdsCSV'!$B$5,$B256,K$51)</f>
        <v>#N/A</v>
      </c>
      <c r="L256" s="590" t="e">
        <f ca="1">OFFSET('360SpcLdsCSV'!$B$5,$B256,L$51)</f>
        <v>#N/A</v>
      </c>
      <c r="M256" s="592" t="e">
        <f ca="1">OFFSET('360SpcLdsCSV'!$B$5,$B256,M$51)</f>
        <v>#N/A</v>
      </c>
      <c r="N256" s="592" t="e">
        <f ca="1">OFFSET('360SpcLdsCSV'!$B$5,$B256,N$51)</f>
        <v>#N/A</v>
      </c>
      <c r="O256" s="592" t="e">
        <f ca="1">OFFSET('360SpcLdsCSV'!$B$5,$B256,O$51)</f>
        <v>#N/A</v>
      </c>
      <c r="P256" s="592" t="e">
        <f ca="1">OFFSET('360SpcLdsCSV'!$B$5,$B256,P$51)</f>
        <v>#N/A</v>
      </c>
      <c r="Q256" s="592" t="e">
        <f ca="1">OFFSET('360SpcLdsCSV'!$B$5,$B256,Q$51)</f>
        <v>#N/A</v>
      </c>
      <c r="R256" s="592" t="e">
        <f ca="1">OFFSET('360SpcLdsCSV'!$B$5,$B256,R$51)</f>
        <v>#N/A</v>
      </c>
      <c r="S256" s="592" t="e">
        <f ca="1">OFFSET('360SpcLdsCSV'!$B$5,$B256,S$51)</f>
        <v>#N/A</v>
      </c>
      <c r="T256" s="592" t="e">
        <f ca="1">OFFSET('360SpcLdsCSV'!$B$5,$B256,T$51)</f>
        <v>#N/A</v>
      </c>
      <c r="U256" s="592" t="e">
        <f ca="1">OFFSET('360SpcLdsCSV'!$B$5,$B256,U$51)</f>
        <v>#N/A</v>
      </c>
      <c r="V256" s="592" t="e">
        <f ca="1">OFFSET('360SpcLdsCSV'!$B$5,$B256,V$51)</f>
        <v>#N/A</v>
      </c>
      <c r="W256" s="592" t="e">
        <f ca="1">OFFSET('360SpcLdsCSV'!$B$5,$B256,W$51)</f>
        <v>#N/A</v>
      </c>
      <c r="X256" s="592" t="e">
        <f ca="1">OFFSET('360SpcLdsCSV'!$B$5,$B256,X$51)</f>
        <v>#N/A</v>
      </c>
      <c r="Y256" s="592" t="e">
        <f ca="1">OFFSET('360SpcLdsCSV'!$B$5,$B256,Y$51)</f>
        <v>#N/A</v>
      </c>
      <c r="Z256" s="592" t="e">
        <f ca="1">OFFSET('360SpcLdsCSV'!$B$5,$B256,Z$51)</f>
        <v>#N/A</v>
      </c>
      <c r="AA256" s="592" t="e">
        <f ca="1">OFFSET('360SpcLdsCSV'!$B$5,$B256,AA$51)</f>
        <v>#N/A</v>
      </c>
      <c r="AB256" s="592" t="e">
        <f ca="1">OFFSET('360SpcLdsCSV'!$B$5,$B256,AB$51)</f>
        <v>#N/A</v>
      </c>
      <c r="AC256" s="592" t="e">
        <f ca="1">OFFSET('360SpcLdsCSV'!$B$5,$B256,AC$51)</f>
        <v>#N/A</v>
      </c>
      <c r="AD256" s="592" t="e">
        <f ca="1">OFFSET('360SpcLdsCSV'!$B$5,$B256,AD$51)</f>
        <v>#N/A</v>
      </c>
      <c r="AE256" s="592" t="e">
        <f ca="1">OFFSET('360SpcLdsCSV'!$B$5,$B256,AE$51)</f>
        <v>#N/A</v>
      </c>
      <c r="AF256" s="592" t="e">
        <f ca="1">OFFSET('360SpcLdsCSV'!$B$5,$B256,AF$51)</f>
        <v>#N/A</v>
      </c>
      <c r="AG256" s="592" t="e">
        <f ca="1">OFFSET('360SpcLdsCSV'!$B$5,$B256,AG$51)</f>
        <v>#N/A</v>
      </c>
      <c r="AH256" s="592" t="e">
        <f ca="1">OFFSET('360SpcLdsCSV'!$B$5,$B256,AH$51)</f>
        <v>#N/A</v>
      </c>
      <c r="AI256" s="592" t="e">
        <f ca="1">OFFSET('360SpcLdsCSV'!$B$5,$B256,AI$51)</f>
        <v>#N/A</v>
      </c>
      <c r="AJ256" s="592" t="e" cm="1">
        <f t="array" ref="AJ256">_xlfn.IFS($F256="Resi",1,$F256="Racc",0,$F256="Coml",0,$F256="Prkg",0)</f>
        <v>#VALUE!</v>
      </c>
      <c r="AK256" s="596"/>
      <c r="AL256" s="590" t="e">
        <f ca="1">OFFSET('360SpcLdsCSV'!$B$5,$B256,AL$51)</f>
        <v>#N/A</v>
      </c>
      <c r="AM256" s="663" t="e">
        <f t="shared" ca="1" si="199"/>
        <v>#N/A</v>
      </c>
      <c r="AN256" s="663" t="e">
        <f t="shared" ca="1" si="200"/>
        <v>#N/A</v>
      </c>
      <c r="AO256" s="663" t="e">
        <f t="shared" ca="1" si="225"/>
        <v>#N/A</v>
      </c>
      <c r="AP256" s="663" t="e">
        <f t="shared" ca="1" si="201"/>
        <v>#N/A</v>
      </c>
      <c r="AQ256" s="663" t="e">
        <f t="shared" ca="1" si="202"/>
        <v>#N/A</v>
      </c>
      <c r="AR256" s="663" t="e">
        <f t="shared" ca="1" si="203"/>
        <v>#N/A</v>
      </c>
      <c r="AS256" s="663" t="e">
        <f t="shared" ca="1" si="204"/>
        <v>#N/A</v>
      </c>
      <c r="AT256" s="663" t="e">
        <f t="shared" ca="1" si="205"/>
        <v>#N/A</v>
      </c>
      <c r="AU256" s="663" t="e">
        <f t="shared" ca="1" si="206"/>
        <v>#N/A</v>
      </c>
      <c r="AV256" s="663" t="e">
        <f t="shared" ca="1" si="207"/>
        <v>#N/A</v>
      </c>
      <c r="AW256" s="663" t="e">
        <f t="shared" ca="1" si="208"/>
        <v>#N/A</v>
      </c>
      <c r="AX256" s="663" t="e">
        <f t="shared" ca="1" si="209"/>
        <v>#N/A</v>
      </c>
      <c r="AY256" s="663" t="e">
        <f t="shared" ca="1" si="210"/>
        <v>#N/A</v>
      </c>
      <c r="AZ256" s="663" t="e">
        <f t="shared" ca="1" si="211"/>
        <v>#N/A</v>
      </c>
      <c r="BA256" s="663" t="e">
        <f t="shared" ca="1" si="212"/>
        <v>#N/A</v>
      </c>
      <c r="BB256" s="663" t="e">
        <f t="shared" ca="1" si="213"/>
        <v>#N/A</v>
      </c>
      <c r="BC256" s="663" t="e">
        <f t="shared" ca="1" si="214"/>
        <v>#N/A</v>
      </c>
      <c r="BD256" s="663" t="e">
        <f t="shared" ca="1" si="215"/>
        <v>#N/A</v>
      </c>
      <c r="BE256" s="663" t="e">
        <f t="shared" ca="1" si="216"/>
        <v>#N/A</v>
      </c>
      <c r="BF256" s="663" t="e">
        <f t="shared" ca="1" si="217"/>
        <v>#N/A</v>
      </c>
      <c r="BG256" s="663" t="e">
        <f t="shared" ca="1" si="218"/>
        <v>#N/A</v>
      </c>
      <c r="BH256" s="663" t="e">
        <f t="shared" ca="1" si="219"/>
        <v>#N/A</v>
      </c>
      <c r="BI256" s="663" t="e">
        <f t="shared" ca="1" si="220"/>
        <v>#N/A</v>
      </c>
      <c r="BJ256" s="663" t="e">
        <f t="shared" ca="1" si="221"/>
        <v>#N/A</v>
      </c>
      <c r="BK256" s="663" t="e">
        <f t="shared" ca="1" si="222"/>
        <v>#N/A</v>
      </c>
      <c r="BL256" s="1918"/>
      <c r="BM256" s="1532"/>
      <c r="BN256" s="1919"/>
      <c r="BO256" s="603"/>
      <c r="BP256" s="602"/>
      <c r="BQ256" s="602"/>
      <c r="BR256" s="602"/>
      <c r="BS256" s="604"/>
      <c r="BT256" s="605"/>
      <c r="BU256" s="602"/>
      <c r="BV256" s="602"/>
      <c r="BW256" s="606"/>
      <c r="BX256" s="607"/>
      <c r="BY256" s="608"/>
      <c r="BZ256" s="608"/>
      <c r="CA256" s="608"/>
      <c r="CB256" s="600"/>
    </row>
    <row r="257" spans="2:80" ht="12" customHeight="1" x14ac:dyDescent="0.35">
      <c r="B257" s="590" t="e">
        <f>MATCH(C257,'360SpcLdsCSV'!$C$6:$C$500,0)</f>
        <v>#N/A</v>
      </c>
      <c r="C257" s="590">
        <f>'360SpcLdsCSV'!C206</f>
        <v>0</v>
      </c>
      <c r="D257" s="590" t="str">
        <f t="shared" si="197"/>
        <v>0</v>
      </c>
      <c r="E257" s="590" t="e">
        <f t="shared" si="223"/>
        <v>#VALUE!</v>
      </c>
      <c r="F257" s="590" t="e">
        <f t="shared" si="224"/>
        <v>#VALUE!</v>
      </c>
      <c r="G257" s="590" t="str">
        <f t="shared" si="198"/>
        <v>0</v>
      </c>
      <c r="H257" s="590" t="e">
        <f ca="1">OFFSET('360SpcLdsCSV'!$B$5,$B257,H$51)</f>
        <v>#N/A</v>
      </c>
      <c r="I257" s="590" t="e">
        <f ca="1">OFFSET('360SpcLdsCSV'!$B$5,$B257,I$51)</f>
        <v>#N/A</v>
      </c>
      <c r="J257" s="590" t="e">
        <f ca="1">OFFSET('360SpcLdsCSV'!$B$5,$B257,J$51)</f>
        <v>#N/A</v>
      </c>
      <c r="K257" s="590" t="e">
        <f ca="1">OFFSET('360SpcLdsCSV'!$B$5,$B257,K$51)</f>
        <v>#N/A</v>
      </c>
      <c r="L257" s="590" t="e">
        <f ca="1">OFFSET('360SpcLdsCSV'!$B$5,$B257,L$51)</f>
        <v>#N/A</v>
      </c>
      <c r="M257" s="592" t="e">
        <f ca="1">OFFSET('360SpcLdsCSV'!$B$5,$B257,M$51)</f>
        <v>#N/A</v>
      </c>
      <c r="N257" s="592" t="e">
        <f ca="1">OFFSET('360SpcLdsCSV'!$B$5,$B257,N$51)</f>
        <v>#N/A</v>
      </c>
      <c r="O257" s="592" t="e">
        <f ca="1">OFFSET('360SpcLdsCSV'!$B$5,$B257,O$51)</f>
        <v>#N/A</v>
      </c>
      <c r="P257" s="592" t="e">
        <f ca="1">OFFSET('360SpcLdsCSV'!$B$5,$B257,P$51)</f>
        <v>#N/A</v>
      </c>
      <c r="Q257" s="592" t="e">
        <f ca="1">OFFSET('360SpcLdsCSV'!$B$5,$B257,Q$51)</f>
        <v>#N/A</v>
      </c>
      <c r="R257" s="592" t="e">
        <f ca="1">OFFSET('360SpcLdsCSV'!$B$5,$B257,R$51)</f>
        <v>#N/A</v>
      </c>
      <c r="S257" s="592" t="e">
        <f ca="1">OFFSET('360SpcLdsCSV'!$B$5,$B257,S$51)</f>
        <v>#N/A</v>
      </c>
      <c r="T257" s="592" t="e">
        <f ca="1">OFFSET('360SpcLdsCSV'!$B$5,$B257,T$51)</f>
        <v>#N/A</v>
      </c>
      <c r="U257" s="592" t="e">
        <f ca="1">OFFSET('360SpcLdsCSV'!$B$5,$B257,U$51)</f>
        <v>#N/A</v>
      </c>
      <c r="V257" s="592" t="e">
        <f ca="1">OFFSET('360SpcLdsCSV'!$B$5,$B257,V$51)</f>
        <v>#N/A</v>
      </c>
      <c r="W257" s="592" t="e">
        <f ca="1">OFFSET('360SpcLdsCSV'!$B$5,$B257,W$51)</f>
        <v>#N/A</v>
      </c>
      <c r="X257" s="592" t="e">
        <f ca="1">OFFSET('360SpcLdsCSV'!$B$5,$B257,X$51)</f>
        <v>#N/A</v>
      </c>
      <c r="Y257" s="592" t="e">
        <f ca="1">OFFSET('360SpcLdsCSV'!$B$5,$B257,Y$51)</f>
        <v>#N/A</v>
      </c>
      <c r="Z257" s="592" t="e">
        <f ca="1">OFFSET('360SpcLdsCSV'!$B$5,$B257,Z$51)</f>
        <v>#N/A</v>
      </c>
      <c r="AA257" s="592" t="e">
        <f ca="1">OFFSET('360SpcLdsCSV'!$B$5,$B257,AA$51)</f>
        <v>#N/A</v>
      </c>
      <c r="AB257" s="592" t="e">
        <f ca="1">OFFSET('360SpcLdsCSV'!$B$5,$B257,AB$51)</f>
        <v>#N/A</v>
      </c>
      <c r="AC257" s="592" t="e">
        <f ca="1">OFFSET('360SpcLdsCSV'!$B$5,$B257,AC$51)</f>
        <v>#N/A</v>
      </c>
      <c r="AD257" s="592" t="e">
        <f ca="1">OFFSET('360SpcLdsCSV'!$B$5,$B257,AD$51)</f>
        <v>#N/A</v>
      </c>
      <c r="AE257" s="592" t="e">
        <f ca="1">OFFSET('360SpcLdsCSV'!$B$5,$B257,AE$51)</f>
        <v>#N/A</v>
      </c>
      <c r="AF257" s="592" t="e">
        <f ca="1">OFFSET('360SpcLdsCSV'!$B$5,$B257,AF$51)</f>
        <v>#N/A</v>
      </c>
      <c r="AG257" s="592" t="e">
        <f ca="1">OFFSET('360SpcLdsCSV'!$B$5,$B257,AG$51)</f>
        <v>#N/A</v>
      </c>
      <c r="AH257" s="592" t="e">
        <f ca="1">OFFSET('360SpcLdsCSV'!$B$5,$B257,AH$51)</f>
        <v>#N/A</v>
      </c>
      <c r="AI257" s="592" t="e">
        <f ca="1">OFFSET('360SpcLdsCSV'!$B$5,$B257,AI$51)</f>
        <v>#N/A</v>
      </c>
      <c r="AJ257" s="592" t="e" cm="1">
        <f t="array" ref="AJ257">_xlfn.IFS($F257="Resi",1,$F257="Racc",0,$F257="Coml",0,$F257="Prkg",0)</f>
        <v>#VALUE!</v>
      </c>
      <c r="AK257" s="596"/>
      <c r="AL257" s="590" t="e">
        <f ca="1">OFFSET('360SpcLdsCSV'!$B$5,$B257,AL$51)</f>
        <v>#N/A</v>
      </c>
      <c r="AM257" s="663" t="e">
        <f t="shared" ca="1" si="199"/>
        <v>#N/A</v>
      </c>
      <c r="AN257" s="663" t="e">
        <f t="shared" ca="1" si="200"/>
        <v>#N/A</v>
      </c>
      <c r="AO257" s="663" t="e">
        <f t="shared" ca="1" si="225"/>
        <v>#N/A</v>
      </c>
      <c r="AP257" s="663" t="e">
        <f t="shared" ca="1" si="201"/>
        <v>#N/A</v>
      </c>
      <c r="AQ257" s="663" t="e">
        <f t="shared" ca="1" si="202"/>
        <v>#N/A</v>
      </c>
      <c r="AR257" s="663" t="e">
        <f t="shared" ca="1" si="203"/>
        <v>#N/A</v>
      </c>
      <c r="AS257" s="663" t="e">
        <f t="shared" ca="1" si="204"/>
        <v>#N/A</v>
      </c>
      <c r="AT257" s="663" t="e">
        <f t="shared" ca="1" si="205"/>
        <v>#N/A</v>
      </c>
      <c r="AU257" s="663" t="e">
        <f t="shared" ca="1" si="206"/>
        <v>#N/A</v>
      </c>
      <c r="AV257" s="663" t="e">
        <f t="shared" ca="1" si="207"/>
        <v>#N/A</v>
      </c>
      <c r="AW257" s="663" t="e">
        <f t="shared" ca="1" si="208"/>
        <v>#N/A</v>
      </c>
      <c r="AX257" s="663" t="e">
        <f t="shared" ca="1" si="209"/>
        <v>#N/A</v>
      </c>
      <c r="AY257" s="663" t="e">
        <f t="shared" ca="1" si="210"/>
        <v>#N/A</v>
      </c>
      <c r="AZ257" s="663" t="e">
        <f t="shared" ca="1" si="211"/>
        <v>#N/A</v>
      </c>
      <c r="BA257" s="663" t="e">
        <f t="shared" ca="1" si="212"/>
        <v>#N/A</v>
      </c>
      <c r="BB257" s="663" t="e">
        <f t="shared" ca="1" si="213"/>
        <v>#N/A</v>
      </c>
      <c r="BC257" s="663" t="e">
        <f t="shared" ca="1" si="214"/>
        <v>#N/A</v>
      </c>
      <c r="BD257" s="663" t="e">
        <f t="shared" ca="1" si="215"/>
        <v>#N/A</v>
      </c>
      <c r="BE257" s="663" t="e">
        <f t="shared" ca="1" si="216"/>
        <v>#N/A</v>
      </c>
      <c r="BF257" s="663" t="e">
        <f t="shared" ca="1" si="217"/>
        <v>#N/A</v>
      </c>
      <c r="BG257" s="663" t="e">
        <f t="shared" ca="1" si="218"/>
        <v>#N/A</v>
      </c>
      <c r="BH257" s="663" t="e">
        <f t="shared" ca="1" si="219"/>
        <v>#N/A</v>
      </c>
      <c r="BI257" s="663" t="e">
        <f t="shared" ca="1" si="220"/>
        <v>#N/A</v>
      </c>
      <c r="BJ257" s="663" t="e">
        <f t="shared" ca="1" si="221"/>
        <v>#N/A</v>
      </c>
      <c r="BK257" s="663" t="e">
        <f t="shared" ca="1" si="222"/>
        <v>#N/A</v>
      </c>
      <c r="BL257" s="1918"/>
      <c r="BM257" s="1532"/>
      <c r="BN257" s="1919"/>
      <c r="BO257" s="603"/>
      <c r="BP257" s="602"/>
      <c r="BQ257" s="602"/>
      <c r="BR257" s="602"/>
      <c r="BS257" s="604"/>
      <c r="BT257" s="605"/>
      <c r="BU257" s="602"/>
      <c r="BV257" s="602"/>
      <c r="BW257" s="606"/>
      <c r="BX257" s="607"/>
      <c r="BY257" s="608"/>
      <c r="BZ257" s="608"/>
      <c r="CA257" s="608"/>
      <c r="CB257" s="600"/>
    </row>
    <row r="258" spans="2:80" ht="12" customHeight="1" x14ac:dyDescent="0.35">
      <c r="B258" s="590" t="e">
        <f>MATCH(C258,'360SpcLdsCSV'!$C$6:$C$500,0)</f>
        <v>#N/A</v>
      </c>
      <c r="C258" s="590">
        <f>'360SpcLdsCSV'!C207</f>
        <v>0</v>
      </c>
      <c r="D258" s="590" t="str">
        <f t="shared" si="197"/>
        <v>0</v>
      </c>
      <c r="E258" s="590" t="e">
        <f t="shared" si="223"/>
        <v>#VALUE!</v>
      </c>
      <c r="F258" s="590" t="e">
        <f t="shared" si="224"/>
        <v>#VALUE!</v>
      </c>
      <c r="G258" s="590" t="str">
        <f t="shared" si="198"/>
        <v>0</v>
      </c>
      <c r="H258" s="590" t="e">
        <f ca="1">OFFSET('360SpcLdsCSV'!$B$5,$B258,H$51)</f>
        <v>#N/A</v>
      </c>
      <c r="I258" s="590" t="e">
        <f ca="1">OFFSET('360SpcLdsCSV'!$B$5,$B258,I$51)</f>
        <v>#N/A</v>
      </c>
      <c r="J258" s="590" t="e">
        <f ca="1">OFFSET('360SpcLdsCSV'!$B$5,$B258,J$51)</f>
        <v>#N/A</v>
      </c>
      <c r="K258" s="590" t="e">
        <f ca="1">OFFSET('360SpcLdsCSV'!$B$5,$B258,K$51)</f>
        <v>#N/A</v>
      </c>
      <c r="L258" s="590" t="e">
        <f ca="1">OFFSET('360SpcLdsCSV'!$B$5,$B258,L$51)</f>
        <v>#N/A</v>
      </c>
      <c r="M258" s="592" t="e">
        <f ca="1">OFFSET('360SpcLdsCSV'!$B$5,$B258,M$51)</f>
        <v>#N/A</v>
      </c>
      <c r="N258" s="592" t="e">
        <f ca="1">OFFSET('360SpcLdsCSV'!$B$5,$B258,N$51)</f>
        <v>#N/A</v>
      </c>
      <c r="O258" s="592" t="e">
        <f ca="1">OFFSET('360SpcLdsCSV'!$B$5,$B258,O$51)</f>
        <v>#N/A</v>
      </c>
      <c r="P258" s="592" t="e">
        <f ca="1">OFFSET('360SpcLdsCSV'!$B$5,$B258,P$51)</f>
        <v>#N/A</v>
      </c>
      <c r="Q258" s="592" t="e">
        <f ca="1">OFFSET('360SpcLdsCSV'!$B$5,$B258,Q$51)</f>
        <v>#N/A</v>
      </c>
      <c r="R258" s="592" t="e">
        <f ca="1">OFFSET('360SpcLdsCSV'!$B$5,$B258,R$51)</f>
        <v>#N/A</v>
      </c>
      <c r="S258" s="592" t="e">
        <f ca="1">OFFSET('360SpcLdsCSV'!$B$5,$B258,S$51)</f>
        <v>#N/A</v>
      </c>
      <c r="T258" s="592" t="e">
        <f ca="1">OFFSET('360SpcLdsCSV'!$B$5,$B258,T$51)</f>
        <v>#N/A</v>
      </c>
      <c r="U258" s="592" t="e">
        <f ca="1">OFFSET('360SpcLdsCSV'!$B$5,$B258,U$51)</f>
        <v>#N/A</v>
      </c>
      <c r="V258" s="592" t="e">
        <f ca="1">OFFSET('360SpcLdsCSV'!$B$5,$B258,V$51)</f>
        <v>#N/A</v>
      </c>
      <c r="W258" s="592" t="e">
        <f ca="1">OFFSET('360SpcLdsCSV'!$B$5,$B258,W$51)</f>
        <v>#N/A</v>
      </c>
      <c r="X258" s="592" t="e">
        <f ca="1">OFFSET('360SpcLdsCSV'!$B$5,$B258,X$51)</f>
        <v>#N/A</v>
      </c>
      <c r="Y258" s="592" t="e">
        <f ca="1">OFFSET('360SpcLdsCSV'!$B$5,$B258,Y$51)</f>
        <v>#N/A</v>
      </c>
      <c r="Z258" s="592" t="e">
        <f ca="1">OFFSET('360SpcLdsCSV'!$B$5,$B258,Z$51)</f>
        <v>#N/A</v>
      </c>
      <c r="AA258" s="592" t="e">
        <f ca="1">OFFSET('360SpcLdsCSV'!$B$5,$B258,AA$51)</f>
        <v>#N/A</v>
      </c>
      <c r="AB258" s="592" t="e">
        <f ca="1">OFFSET('360SpcLdsCSV'!$B$5,$B258,AB$51)</f>
        <v>#N/A</v>
      </c>
      <c r="AC258" s="592" t="e">
        <f ca="1">OFFSET('360SpcLdsCSV'!$B$5,$B258,AC$51)</f>
        <v>#N/A</v>
      </c>
      <c r="AD258" s="592" t="e">
        <f ca="1">OFFSET('360SpcLdsCSV'!$B$5,$B258,AD$51)</f>
        <v>#N/A</v>
      </c>
      <c r="AE258" s="592" t="e">
        <f ca="1">OFFSET('360SpcLdsCSV'!$B$5,$B258,AE$51)</f>
        <v>#N/A</v>
      </c>
      <c r="AF258" s="592" t="e">
        <f ca="1">OFFSET('360SpcLdsCSV'!$B$5,$B258,AF$51)</f>
        <v>#N/A</v>
      </c>
      <c r="AG258" s="592" t="e">
        <f ca="1">OFFSET('360SpcLdsCSV'!$B$5,$B258,AG$51)</f>
        <v>#N/A</v>
      </c>
      <c r="AH258" s="592" t="e">
        <f ca="1">OFFSET('360SpcLdsCSV'!$B$5,$B258,AH$51)</f>
        <v>#N/A</v>
      </c>
      <c r="AI258" s="592" t="e">
        <f ca="1">OFFSET('360SpcLdsCSV'!$B$5,$B258,AI$51)</f>
        <v>#N/A</v>
      </c>
      <c r="AJ258" s="592" t="e" cm="1">
        <f t="array" ref="AJ258">_xlfn.IFS($F258="Resi",1,$F258="Racc",0,$F258="Coml",0,$F258="Prkg",0)</f>
        <v>#VALUE!</v>
      </c>
      <c r="AK258" s="596"/>
      <c r="AL258" s="590" t="e">
        <f ca="1">OFFSET('360SpcLdsCSV'!$B$5,$B258,AL$51)</f>
        <v>#N/A</v>
      </c>
      <c r="AM258" s="663" t="e">
        <f t="shared" ca="1" si="199"/>
        <v>#N/A</v>
      </c>
      <c r="AN258" s="663" t="e">
        <f t="shared" ca="1" si="200"/>
        <v>#N/A</v>
      </c>
      <c r="AO258" s="663" t="e">
        <f t="shared" ca="1" si="225"/>
        <v>#N/A</v>
      </c>
      <c r="AP258" s="663" t="e">
        <f t="shared" ca="1" si="201"/>
        <v>#N/A</v>
      </c>
      <c r="AQ258" s="663" t="e">
        <f t="shared" ca="1" si="202"/>
        <v>#N/A</v>
      </c>
      <c r="AR258" s="663" t="e">
        <f t="shared" ca="1" si="203"/>
        <v>#N/A</v>
      </c>
      <c r="AS258" s="663" t="e">
        <f t="shared" ca="1" si="204"/>
        <v>#N/A</v>
      </c>
      <c r="AT258" s="663" t="e">
        <f t="shared" ca="1" si="205"/>
        <v>#N/A</v>
      </c>
      <c r="AU258" s="663" t="e">
        <f t="shared" ca="1" si="206"/>
        <v>#N/A</v>
      </c>
      <c r="AV258" s="663" t="e">
        <f t="shared" ca="1" si="207"/>
        <v>#N/A</v>
      </c>
      <c r="AW258" s="663" t="e">
        <f t="shared" ca="1" si="208"/>
        <v>#N/A</v>
      </c>
      <c r="AX258" s="663" t="e">
        <f t="shared" ca="1" si="209"/>
        <v>#N/A</v>
      </c>
      <c r="AY258" s="663" t="e">
        <f t="shared" ca="1" si="210"/>
        <v>#N/A</v>
      </c>
      <c r="AZ258" s="663" t="e">
        <f t="shared" ca="1" si="211"/>
        <v>#N/A</v>
      </c>
      <c r="BA258" s="663" t="e">
        <f t="shared" ca="1" si="212"/>
        <v>#N/A</v>
      </c>
      <c r="BB258" s="663" t="e">
        <f t="shared" ca="1" si="213"/>
        <v>#N/A</v>
      </c>
      <c r="BC258" s="663" t="e">
        <f t="shared" ca="1" si="214"/>
        <v>#N/A</v>
      </c>
      <c r="BD258" s="663" t="e">
        <f t="shared" ca="1" si="215"/>
        <v>#N/A</v>
      </c>
      <c r="BE258" s="663" t="e">
        <f t="shared" ca="1" si="216"/>
        <v>#N/A</v>
      </c>
      <c r="BF258" s="663" t="e">
        <f t="shared" ca="1" si="217"/>
        <v>#N/A</v>
      </c>
      <c r="BG258" s="663" t="e">
        <f t="shared" ca="1" si="218"/>
        <v>#N/A</v>
      </c>
      <c r="BH258" s="663" t="e">
        <f t="shared" ca="1" si="219"/>
        <v>#N/A</v>
      </c>
      <c r="BI258" s="663" t="e">
        <f t="shared" ca="1" si="220"/>
        <v>#N/A</v>
      </c>
      <c r="BJ258" s="663" t="e">
        <f t="shared" ca="1" si="221"/>
        <v>#N/A</v>
      </c>
      <c r="BK258" s="663" t="e">
        <f t="shared" ca="1" si="222"/>
        <v>#N/A</v>
      </c>
      <c r="BL258" s="1918"/>
      <c r="BM258" s="1532"/>
      <c r="BN258" s="1919"/>
      <c r="BO258" s="603"/>
      <c r="BP258" s="602"/>
      <c r="BQ258" s="602"/>
      <c r="BR258" s="602"/>
      <c r="BS258" s="604"/>
      <c r="BT258" s="605"/>
      <c r="BU258" s="602"/>
      <c r="BV258" s="602"/>
      <c r="BW258" s="606"/>
      <c r="BX258" s="607"/>
      <c r="BY258" s="608"/>
      <c r="BZ258" s="608"/>
      <c r="CA258" s="608"/>
      <c r="CB258" s="600"/>
    </row>
    <row r="259" spans="2:80" ht="12" customHeight="1" x14ac:dyDescent="0.35">
      <c r="B259" s="590" t="e">
        <f>MATCH(C259,'360SpcLdsCSV'!$C$6:$C$500,0)</f>
        <v>#N/A</v>
      </c>
      <c r="C259" s="590">
        <f>'360SpcLdsCSV'!C208</f>
        <v>0</v>
      </c>
      <c r="D259" s="590" t="str">
        <f t="shared" si="197"/>
        <v>0</v>
      </c>
      <c r="E259" s="590" t="e">
        <f t="shared" si="223"/>
        <v>#VALUE!</v>
      </c>
      <c r="F259" s="590" t="e">
        <f t="shared" si="224"/>
        <v>#VALUE!</v>
      </c>
      <c r="G259" s="590" t="str">
        <f t="shared" si="198"/>
        <v>0</v>
      </c>
      <c r="H259" s="590" t="e">
        <f ca="1">OFFSET('360SpcLdsCSV'!$B$5,$B259,H$51)</f>
        <v>#N/A</v>
      </c>
      <c r="I259" s="590" t="e">
        <f ca="1">OFFSET('360SpcLdsCSV'!$B$5,$B259,I$51)</f>
        <v>#N/A</v>
      </c>
      <c r="J259" s="590" t="e">
        <f ca="1">OFFSET('360SpcLdsCSV'!$B$5,$B259,J$51)</f>
        <v>#N/A</v>
      </c>
      <c r="K259" s="590" t="e">
        <f ca="1">OFFSET('360SpcLdsCSV'!$B$5,$B259,K$51)</f>
        <v>#N/A</v>
      </c>
      <c r="L259" s="590" t="e">
        <f ca="1">OFFSET('360SpcLdsCSV'!$B$5,$B259,L$51)</f>
        <v>#N/A</v>
      </c>
      <c r="M259" s="592" t="e">
        <f ca="1">OFFSET('360SpcLdsCSV'!$B$5,$B259,M$51)</f>
        <v>#N/A</v>
      </c>
      <c r="N259" s="592" t="e">
        <f ca="1">OFFSET('360SpcLdsCSV'!$B$5,$B259,N$51)</f>
        <v>#N/A</v>
      </c>
      <c r="O259" s="592" t="e">
        <f ca="1">OFFSET('360SpcLdsCSV'!$B$5,$B259,O$51)</f>
        <v>#N/A</v>
      </c>
      <c r="P259" s="592" t="e">
        <f ca="1">OFFSET('360SpcLdsCSV'!$B$5,$B259,P$51)</f>
        <v>#N/A</v>
      </c>
      <c r="Q259" s="592" t="e">
        <f ca="1">OFFSET('360SpcLdsCSV'!$B$5,$B259,Q$51)</f>
        <v>#N/A</v>
      </c>
      <c r="R259" s="592" t="e">
        <f ca="1">OFFSET('360SpcLdsCSV'!$B$5,$B259,R$51)</f>
        <v>#N/A</v>
      </c>
      <c r="S259" s="592" t="e">
        <f ca="1">OFFSET('360SpcLdsCSV'!$B$5,$B259,S$51)</f>
        <v>#N/A</v>
      </c>
      <c r="T259" s="592" t="e">
        <f ca="1">OFFSET('360SpcLdsCSV'!$B$5,$B259,T$51)</f>
        <v>#N/A</v>
      </c>
      <c r="U259" s="592" t="e">
        <f ca="1">OFFSET('360SpcLdsCSV'!$B$5,$B259,U$51)</f>
        <v>#N/A</v>
      </c>
      <c r="V259" s="592" t="e">
        <f ca="1">OFFSET('360SpcLdsCSV'!$B$5,$B259,V$51)</f>
        <v>#N/A</v>
      </c>
      <c r="W259" s="592" t="e">
        <f ca="1">OFFSET('360SpcLdsCSV'!$B$5,$B259,W$51)</f>
        <v>#N/A</v>
      </c>
      <c r="X259" s="592" t="e">
        <f ca="1">OFFSET('360SpcLdsCSV'!$B$5,$B259,X$51)</f>
        <v>#N/A</v>
      </c>
      <c r="Y259" s="592" t="e">
        <f ca="1">OFFSET('360SpcLdsCSV'!$B$5,$B259,Y$51)</f>
        <v>#N/A</v>
      </c>
      <c r="Z259" s="592" t="e">
        <f ca="1">OFFSET('360SpcLdsCSV'!$B$5,$B259,Z$51)</f>
        <v>#N/A</v>
      </c>
      <c r="AA259" s="592" t="e">
        <f ca="1">OFFSET('360SpcLdsCSV'!$B$5,$B259,AA$51)</f>
        <v>#N/A</v>
      </c>
      <c r="AB259" s="592" t="e">
        <f ca="1">OFFSET('360SpcLdsCSV'!$B$5,$B259,AB$51)</f>
        <v>#N/A</v>
      </c>
      <c r="AC259" s="592" t="e">
        <f ca="1">OFFSET('360SpcLdsCSV'!$B$5,$B259,AC$51)</f>
        <v>#N/A</v>
      </c>
      <c r="AD259" s="592" t="e">
        <f ca="1">OFFSET('360SpcLdsCSV'!$B$5,$B259,AD$51)</f>
        <v>#N/A</v>
      </c>
      <c r="AE259" s="592" t="e">
        <f ca="1">OFFSET('360SpcLdsCSV'!$B$5,$B259,AE$51)</f>
        <v>#N/A</v>
      </c>
      <c r="AF259" s="592" t="e">
        <f ca="1">OFFSET('360SpcLdsCSV'!$B$5,$B259,AF$51)</f>
        <v>#N/A</v>
      </c>
      <c r="AG259" s="592" t="e">
        <f ca="1">OFFSET('360SpcLdsCSV'!$B$5,$B259,AG$51)</f>
        <v>#N/A</v>
      </c>
      <c r="AH259" s="592" t="e">
        <f ca="1">OFFSET('360SpcLdsCSV'!$B$5,$B259,AH$51)</f>
        <v>#N/A</v>
      </c>
      <c r="AI259" s="592" t="e">
        <f ca="1">OFFSET('360SpcLdsCSV'!$B$5,$B259,AI$51)</f>
        <v>#N/A</v>
      </c>
      <c r="AJ259" s="592" t="e" cm="1">
        <f t="array" ref="AJ259">_xlfn.IFS($F259="Resi",1,$F259="Racc",0,$F259="Coml",0,$F259="Prkg",0)</f>
        <v>#VALUE!</v>
      </c>
      <c r="AK259" s="596"/>
      <c r="AL259" s="590" t="e">
        <f ca="1">OFFSET('360SpcLdsCSV'!$B$5,$B259,AL$51)</f>
        <v>#N/A</v>
      </c>
      <c r="AM259" s="663" t="e">
        <f t="shared" ca="1" si="199"/>
        <v>#N/A</v>
      </c>
      <c r="AN259" s="663" t="e">
        <f t="shared" ca="1" si="200"/>
        <v>#N/A</v>
      </c>
      <c r="AO259" s="663" t="e">
        <f t="shared" ca="1" si="225"/>
        <v>#N/A</v>
      </c>
      <c r="AP259" s="663" t="e">
        <f t="shared" ca="1" si="201"/>
        <v>#N/A</v>
      </c>
      <c r="AQ259" s="663" t="e">
        <f t="shared" ca="1" si="202"/>
        <v>#N/A</v>
      </c>
      <c r="AR259" s="663" t="e">
        <f t="shared" ca="1" si="203"/>
        <v>#N/A</v>
      </c>
      <c r="AS259" s="663" t="e">
        <f t="shared" ca="1" si="204"/>
        <v>#N/A</v>
      </c>
      <c r="AT259" s="663" t="e">
        <f t="shared" ca="1" si="205"/>
        <v>#N/A</v>
      </c>
      <c r="AU259" s="663" t="e">
        <f t="shared" ca="1" si="206"/>
        <v>#N/A</v>
      </c>
      <c r="AV259" s="663" t="e">
        <f t="shared" ca="1" si="207"/>
        <v>#N/A</v>
      </c>
      <c r="AW259" s="663" t="e">
        <f t="shared" ca="1" si="208"/>
        <v>#N/A</v>
      </c>
      <c r="AX259" s="663" t="e">
        <f t="shared" ca="1" si="209"/>
        <v>#N/A</v>
      </c>
      <c r="AY259" s="663" t="e">
        <f t="shared" ca="1" si="210"/>
        <v>#N/A</v>
      </c>
      <c r="AZ259" s="663" t="e">
        <f t="shared" ca="1" si="211"/>
        <v>#N/A</v>
      </c>
      <c r="BA259" s="663" t="e">
        <f t="shared" ca="1" si="212"/>
        <v>#N/A</v>
      </c>
      <c r="BB259" s="663" t="e">
        <f t="shared" ca="1" si="213"/>
        <v>#N/A</v>
      </c>
      <c r="BC259" s="663" t="e">
        <f t="shared" ca="1" si="214"/>
        <v>#N/A</v>
      </c>
      <c r="BD259" s="663" t="e">
        <f t="shared" ca="1" si="215"/>
        <v>#N/A</v>
      </c>
      <c r="BE259" s="663" t="e">
        <f t="shared" ca="1" si="216"/>
        <v>#N/A</v>
      </c>
      <c r="BF259" s="663" t="e">
        <f t="shared" ca="1" si="217"/>
        <v>#N/A</v>
      </c>
      <c r="BG259" s="663" t="e">
        <f t="shared" ca="1" si="218"/>
        <v>#N/A</v>
      </c>
      <c r="BH259" s="663" t="e">
        <f t="shared" ca="1" si="219"/>
        <v>#N/A</v>
      </c>
      <c r="BI259" s="663" t="e">
        <f t="shared" ca="1" si="220"/>
        <v>#N/A</v>
      </c>
      <c r="BJ259" s="663" t="e">
        <f t="shared" ca="1" si="221"/>
        <v>#N/A</v>
      </c>
      <c r="BK259" s="663" t="e">
        <f t="shared" ca="1" si="222"/>
        <v>#N/A</v>
      </c>
      <c r="BL259" s="1918"/>
      <c r="BM259" s="1532"/>
      <c r="BN259" s="1919"/>
      <c r="BO259" s="603"/>
      <c r="BP259" s="602"/>
      <c r="BQ259" s="602"/>
      <c r="BR259" s="602"/>
      <c r="BS259" s="604"/>
      <c r="BT259" s="605"/>
      <c r="BU259" s="602"/>
      <c r="BV259" s="602"/>
      <c r="BW259" s="606"/>
      <c r="BX259" s="607"/>
      <c r="BY259" s="608"/>
      <c r="BZ259" s="608"/>
      <c r="CA259" s="608"/>
      <c r="CB259" s="600"/>
    </row>
    <row r="260" spans="2:80" ht="12" customHeight="1" x14ac:dyDescent="0.35">
      <c r="B260" s="590" t="e">
        <f>MATCH(C260,'360SpcLdsCSV'!$C$6:$C$500,0)</f>
        <v>#N/A</v>
      </c>
      <c r="C260" s="590">
        <f>'360SpcLdsCSV'!C209</f>
        <v>0</v>
      </c>
      <c r="D260" s="590" t="str">
        <f t="shared" si="197"/>
        <v>0</v>
      </c>
      <c r="E260" s="590" t="e">
        <f t="shared" si="223"/>
        <v>#VALUE!</v>
      </c>
      <c r="F260" s="590" t="e">
        <f t="shared" si="224"/>
        <v>#VALUE!</v>
      </c>
      <c r="G260" s="590" t="str">
        <f t="shared" si="198"/>
        <v>0</v>
      </c>
      <c r="H260" s="590" t="e">
        <f ca="1">OFFSET('360SpcLdsCSV'!$B$5,$B260,H$51)</f>
        <v>#N/A</v>
      </c>
      <c r="I260" s="590" t="e">
        <f ca="1">OFFSET('360SpcLdsCSV'!$B$5,$B260,I$51)</f>
        <v>#N/A</v>
      </c>
      <c r="J260" s="590" t="e">
        <f ca="1">OFFSET('360SpcLdsCSV'!$B$5,$B260,J$51)</f>
        <v>#N/A</v>
      </c>
      <c r="K260" s="590" t="e">
        <f ca="1">OFFSET('360SpcLdsCSV'!$B$5,$B260,K$51)</f>
        <v>#N/A</v>
      </c>
      <c r="L260" s="590" t="e">
        <f ca="1">OFFSET('360SpcLdsCSV'!$B$5,$B260,L$51)</f>
        <v>#N/A</v>
      </c>
      <c r="M260" s="592" t="e">
        <f ca="1">OFFSET('360SpcLdsCSV'!$B$5,$B260,M$51)</f>
        <v>#N/A</v>
      </c>
      <c r="N260" s="592" t="e">
        <f ca="1">OFFSET('360SpcLdsCSV'!$B$5,$B260,N$51)</f>
        <v>#N/A</v>
      </c>
      <c r="O260" s="592" t="e">
        <f ca="1">OFFSET('360SpcLdsCSV'!$B$5,$B260,O$51)</f>
        <v>#N/A</v>
      </c>
      <c r="P260" s="592" t="e">
        <f ca="1">OFFSET('360SpcLdsCSV'!$B$5,$B260,P$51)</f>
        <v>#N/A</v>
      </c>
      <c r="Q260" s="592" t="e">
        <f ca="1">OFFSET('360SpcLdsCSV'!$B$5,$B260,Q$51)</f>
        <v>#N/A</v>
      </c>
      <c r="R260" s="592" t="e">
        <f ca="1">OFFSET('360SpcLdsCSV'!$B$5,$B260,R$51)</f>
        <v>#N/A</v>
      </c>
      <c r="S260" s="592" t="e">
        <f ca="1">OFFSET('360SpcLdsCSV'!$B$5,$B260,S$51)</f>
        <v>#N/A</v>
      </c>
      <c r="T260" s="592" t="e">
        <f ca="1">OFFSET('360SpcLdsCSV'!$B$5,$B260,T$51)</f>
        <v>#N/A</v>
      </c>
      <c r="U260" s="592" t="e">
        <f ca="1">OFFSET('360SpcLdsCSV'!$B$5,$B260,U$51)</f>
        <v>#N/A</v>
      </c>
      <c r="V260" s="592" t="e">
        <f ca="1">OFFSET('360SpcLdsCSV'!$B$5,$B260,V$51)</f>
        <v>#N/A</v>
      </c>
      <c r="W260" s="592" t="e">
        <f ca="1">OFFSET('360SpcLdsCSV'!$B$5,$B260,W$51)</f>
        <v>#N/A</v>
      </c>
      <c r="X260" s="592" t="e">
        <f ca="1">OFFSET('360SpcLdsCSV'!$B$5,$B260,X$51)</f>
        <v>#N/A</v>
      </c>
      <c r="Y260" s="592" t="e">
        <f ca="1">OFFSET('360SpcLdsCSV'!$B$5,$B260,Y$51)</f>
        <v>#N/A</v>
      </c>
      <c r="Z260" s="592" t="e">
        <f ca="1">OFFSET('360SpcLdsCSV'!$B$5,$B260,Z$51)</f>
        <v>#N/A</v>
      </c>
      <c r="AA260" s="592" t="e">
        <f ca="1">OFFSET('360SpcLdsCSV'!$B$5,$B260,AA$51)</f>
        <v>#N/A</v>
      </c>
      <c r="AB260" s="592" t="e">
        <f ca="1">OFFSET('360SpcLdsCSV'!$B$5,$B260,AB$51)</f>
        <v>#N/A</v>
      </c>
      <c r="AC260" s="592" t="e">
        <f ca="1">OFFSET('360SpcLdsCSV'!$B$5,$B260,AC$51)</f>
        <v>#N/A</v>
      </c>
      <c r="AD260" s="592" t="e">
        <f ca="1">OFFSET('360SpcLdsCSV'!$B$5,$B260,AD$51)</f>
        <v>#N/A</v>
      </c>
      <c r="AE260" s="592" t="e">
        <f ca="1">OFFSET('360SpcLdsCSV'!$B$5,$B260,AE$51)</f>
        <v>#N/A</v>
      </c>
      <c r="AF260" s="592" t="e">
        <f ca="1">OFFSET('360SpcLdsCSV'!$B$5,$B260,AF$51)</f>
        <v>#N/A</v>
      </c>
      <c r="AG260" s="592" t="e">
        <f ca="1">OFFSET('360SpcLdsCSV'!$B$5,$B260,AG$51)</f>
        <v>#N/A</v>
      </c>
      <c r="AH260" s="592" t="e">
        <f ca="1">OFFSET('360SpcLdsCSV'!$B$5,$B260,AH$51)</f>
        <v>#N/A</v>
      </c>
      <c r="AI260" s="592" t="e">
        <f ca="1">OFFSET('360SpcLdsCSV'!$B$5,$B260,AI$51)</f>
        <v>#N/A</v>
      </c>
      <c r="AJ260" s="592" t="e" cm="1">
        <f t="array" ref="AJ260">_xlfn.IFS($F260="Resi",1,$F260="Racc",0,$F260="Coml",0,$F260="Prkg",0)</f>
        <v>#VALUE!</v>
      </c>
      <c r="AK260" s="596"/>
      <c r="AL260" s="590" t="e">
        <f ca="1">OFFSET('360SpcLdsCSV'!$B$5,$B260,AL$51)</f>
        <v>#N/A</v>
      </c>
      <c r="AM260" s="663" t="e">
        <f t="shared" ca="1" si="199"/>
        <v>#N/A</v>
      </c>
      <c r="AN260" s="663" t="e">
        <f t="shared" ca="1" si="200"/>
        <v>#N/A</v>
      </c>
      <c r="AO260" s="663" t="e">
        <f t="shared" ca="1" si="225"/>
        <v>#N/A</v>
      </c>
      <c r="AP260" s="663" t="e">
        <f t="shared" ca="1" si="201"/>
        <v>#N/A</v>
      </c>
      <c r="AQ260" s="663" t="e">
        <f t="shared" ca="1" si="202"/>
        <v>#N/A</v>
      </c>
      <c r="AR260" s="663" t="e">
        <f t="shared" ca="1" si="203"/>
        <v>#N/A</v>
      </c>
      <c r="AS260" s="663" t="e">
        <f t="shared" ca="1" si="204"/>
        <v>#N/A</v>
      </c>
      <c r="AT260" s="663" t="e">
        <f t="shared" ca="1" si="205"/>
        <v>#N/A</v>
      </c>
      <c r="AU260" s="663" t="e">
        <f t="shared" ca="1" si="206"/>
        <v>#N/A</v>
      </c>
      <c r="AV260" s="663" t="e">
        <f t="shared" ca="1" si="207"/>
        <v>#N/A</v>
      </c>
      <c r="AW260" s="663" t="e">
        <f t="shared" ca="1" si="208"/>
        <v>#N/A</v>
      </c>
      <c r="AX260" s="663" t="e">
        <f t="shared" ca="1" si="209"/>
        <v>#N/A</v>
      </c>
      <c r="AY260" s="663" t="e">
        <f t="shared" ca="1" si="210"/>
        <v>#N/A</v>
      </c>
      <c r="AZ260" s="663" t="e">
        <f t="shared" ca="1" si="211"/>
        <v>#N/A</v>
      </c>
      <c r="BA260" s="663" t="e">
        <f t="shared" ca="1" si="212"/>
        <v>#N/A</v>
      </c>
      <c r="BB260" s="663" t="e">
        <f t="shared" ca="1" si="213"/>
        <v>#N/A</v>
      </c>
      <c r="BC260" s="663" t="e">
        <f t="shared" ca="1" si="214"/>
        <v>#N/A</v>
      </c>
      <c r="BD260" s="663" t="e">
        <f t="shared" ca="1" si="215"/>
        <v>#N/A</v>
      </c>
      <c r="BE260" s="663" t="e">
        <f t="shared" ca="1" si="216"/>
        <v>#N/A</v>
      </c>
      <c r="BF260" s="663" t="e">
        <f t="shared" ca="1" si="217"/>
        <v>#N/A</v>
      </c>
      <c r="BG260" s="663" t="e">
        <f t="shared" ca="1" si="218"/>
        <v>#N/A</v>
      </c>
      <c r="BH260" s="663" t="e">
        <f t="shared" ca="1" si="219"/>
        <v>#N/A</v>
      </c>
      <c r="BI260" s="663" t="e">
        <f t="shared" ca="1" si="220"/>
        <v>#N/A</v>
      </c>
      <c r="BJ260" s="663" t="e">
        <f t="shared" ca="1" si="221"/>
        <v>#N/A</v>
      </c>
      <c r="BK260" s="663" t="e">
        <f t="shared" ca="1" si="222"/>
        <v>#N/A</v>
      </c>
      <c r="BL260" s="1918"/>
      <c r="BM260" s="1532"/>
      <c r="BN260" s="1919"/>
      <c r="BO260" s="603"/>
      <c r="BP260" s="602"/>
      <c r="BQ260" s="602"/>
      <c r="BR260" s="602"/>
      <c r="BS260" s="604"/>
      <c r="BT260" s="605"/>
      <c r="BU260" s="602"/>
      <c r="BV260" s="602"/>
      <c r="BW260" s="606"/>
      <c r="BX260" s="607"/>
      <c r="BY260" s="608"/>
      <c r="BZ260" s="608"/>
      <c r="CA260" s="608"/>
      <c r="CB260" s="600"/>
    </row>
    <row r="261" spans="2:80" ht="12" customHeight="1" x14ac:dyDescent="0.35">
      <c r="B261" s="590" t="e">
        <f>MATCH(C261,'360SpcLdsCSV'!$C$6:$C$500,0)</f>
        <v>#N/A</v>
      </c>
      <c r="C261" s="590">
        <f>'360SpcLdsCSV'!C210</f>
        <v>0</v>
      </c>
      <c r="D261" s="590" t="str">
        <f t="shared" si="197"/>
        <v>0</v>
      </c>
      <c r="E261" s="590" t="e">
        <f t="shared" si="223"/>
        <v>#VALUE!</v>
      </c>
      <c r="F261" s="590" t="e">
        <f t="shared" si="224"/>
        <v>#VALUE!</v>
      </c>
      <c r="G261" s="590" t="str">
        <f t="shared" si="198"/>
        <v>0</v>
      </c>
      <c r="H261" s="590" t="e">
        <f ca="1">OFFSET('360SpcLdsCSV'!$B$5,$B261,H$51)</f>
        <v>#N/A</v>
      </c>
      <c r="I261" s="590" t="e">
        <f ca="1">OFFSET('360SpcLdsCSV'!$B$5,$B261,I$51)</f>
        <v>#N/A</v>
      </c>
      <c r="J261" s="590" t="e">
        <f ca="1">OFFSET('360SpcLdsCSV'!$B$5,$B261,J$51)</f>
        <v>#N/A</v>
      </c>
      <c r="K261" s="590" t="e">
        <f ca="1">OFFSET('360SpcLdsCSV'!$B$5,$B261,K$51)</f>
        <v>#N/A</v>
      </c>
      <c r="L261" s="590" t="e">
        <f ca="1">OFFSET('360SpcLdsCSV'!$B$5,$B261,L$51)</f>
        <v>#N/A</v>
      </c>
      <c r="M261" s="592" t="e">
        <f ca="1">OFFSET('360SpcLdsCSV'!$B$5,$B261,M$51)</f>
        <v>#N/A</v>
      </c>
      <c r="N261" s="592" t="e">
        <f ca="1">OFFSET('360SpcLdsCSV'!$B$5,$B261,N$51)</f>
        <v>#N/A</v>
      </c>
      <c r="O261" s="592" t="e">
        <f ca="1">OFFSET('360SpcLdsCSV'!$B$5,$B261,O$51)</f>
        <v>#N/A</v>
      </c>
      <c r="P261" s="592" t="e">
        <f ca="1">OFFSET('360SpcLdsCSV'!$B$5,$B261,P$51)</f>
        <v>#N/A</v>
      </c>
      <c r="Q261" s="592" t="e">
        <f ca="1">OFFSET('360SpcLdsCSV'!$B$5,$B261,Q$51)</f>
        <v>#N/A</v>
      </c>
      <c r="R261" s="592" t="e">
        <f ca="1">OFFSET('360SpcLdsCSV'!$B$5,$B261,R$51)</f>
        <v>#N/A</v>
      </c>
      <c r="S261" s="592" t="e">
        <f ca="1">OFFSET('360SpcLdsCSV'!$B$5,$B261,S$51)</f>
        <v>#N/A</v>
      </c>
      <c r="T261" s="592" t="e">
        <f ca="1">OFFSET('360SpcLdsCSV'!$B$5,$B261,T$51)</f>
        <v>#N/A</v>
      </c>
      <c r="U261" s="592" t="e">
        <f ca="1">OFFSET('360SpcLdsCSV'!$B$5,$B261,U$51)</f>
        <v>#N/A</v>
      </c>
      <c r="V261" s="592" t="e">
        <f ca="1">OFFSET('360SpcLdsCSV'!$B$5,$B261,V$51)</f>
        <v>#N/A</v>
      </c>
      <c r="W261" s="592" t="e">
        <f ca="1">OFFSET('360SpcLdsCSV'!$B$5,$B261,W$51)</f>
        <v>#N/A</v>
      </c>
      <c r="X261" s="592" t="e">
        <f ca="1">OFFSET('360SpcLdsCSV'!$B$5,$B261,X$51)</f>
        <v>#N/A</v>
      </c>
      <c r="Y261" s="592" t="e">
        <f ca="1">OFFSET('360SpcLdsCSV'!$B$5,$B261,Y$51)</f>
        <v>#N/A</v>
      </c>
      <c r="Z261" s="592" t="e">
        <f ca="1">OFFSET('360SpcLdsCSV'!$B$5,$B261,Z$51)</f>
        <v>#N/A</v>
      </c>
      <c r="AA261" s="592" t="e">
        <f ca="1">OFFSET('360SpcLdsCSV'!$B$5,$B261,AA$51)</f>
        <v>#N/A</v>
      </c>
      <c r="AB261" s="592" t="e">
        <f ca="1">OFFSET('360SpcLdsCSV'!$B$5,$B261,AB$51)</f>
        <v>#N/A</v>
      </c>
      <c r="AC261" s="592" t="e">
        <f ca="1">OFFSET('360SpcLdsCSV'!$B$5,$B261,AC$51)</f>
        <v>#N/A</v>
      </c>
      <c r="AD261" s="592" t="e">
        <f ca="1">OFFSET('360SpcLdsCSV'!$B$5,$B261,AD$51)</f>
        <v>#N/A</v>
      </c>
      <c r="AE261" s="592" t="e">
        <f ca="1">OFFSET('360SpcLdsCSV'!$B$5,$B261,AE$51)</f>
        <v>#N/A</v>
      </c>
      <c r="AF261" s="592" t="e">
        <f ca="1">OFFSET('360SpcLdsCSV'!$B$5,$B261,AF$51)</f>
        <v>#N/A</v>
      </c>
      <c r="AG261" s="592" t="e">
        <f ca="1">OFFSET('360SpcLdsCSV'!$B$5,$B261,AG$51)</f>
        <v>#N/A</v>
      </c>
      <c r="AH261" s="592" t="e">
        <f ca="1">OFFSET('360SpcLdsCSV'!$B$5,$B261,AH$51)</f>
        <v>#N/A</v>
      </c>
      <c r="AI261" s="592" t="e">
        <f ca="1">OFFSET('360SpcLdsCSV'!$B$5,$B261,AI$51)</f>
        <v>#N/A</v>
      </c>
      <c r="AJ261" s="592" t="e" cm="1">
        <f t="array" ref="AJ261">_xlfn.IFS($F261="Resi",1,$F261="Racc",0,$F261="Coml",0,$F261="Prkg",0)</f>
        <v>#VALUE!</v>
      </c>
      <c r="AK261" s="596"/>
      <c r="AL261" s="590" t="e">
        <f ca="1">OFFSET('360SpcLdsCSV'!$B$5,$B261,AL$51)</f>
        <v>#N/A</v>
      </c>
      <c r="AM261" s="663" t="e">
        <f t="shared" ca="1" si="199"/>
        <v>#N/A</v>
      </c>
      <c r="AN261" s="663" t="e">
        <f t="shared" ca="1" si="200"/>
        <v>#N/A</v>
      </c>
      <c r="AO261" s="663" t="e">
        <f t="shared" ca="1" si="225"/>
        <v>#N/A</v>
      </c>
      <c r="AP261" s="663" t="e">
        <f t="shared" ca="1" si="201"/>
        <v>#N/A</v>
      </c>
      <c r="AQ261" s="663" t="e">
        <f t="shared" ca="1" si="202"/>
        <v>#N/A</v>
      </c>
      <c r="AR261" s="663" t="e">
        <f t="shared" ca="1" si="203"/>
        <v>#N/A</v>
      </c>
      <c r="AS261" s="663" t="e">
        <f t="shared" ca="1" si="204"/>
        <v>#N/A</v>
      </c>
      <c r="AT261" s="663" t="e">
        <f t="shared" ca="1" si="205"/>
        <v>#N/A</v>
      </c>
      <c r="AU261" s="663" t="e">
        <f t="shared" ca="1" si="206"/>
        <v>#N/A</v>
      </c>
      <c r="AV261" s="663" t="e">
        <f t="shared" ca="1" si="207"/>
        <v>#N/A</v>
      </c>
      <c r="AW261" s="663" t="e">
        <f t="shared" ca="1" si="208"/>
        <v>#N/A</v>
      </c>
      <c r="AX261" s="663" t="e">
        <f t="shared" ca="1" si="209"/>
        <v>#N/A</v>
      </c>
      <c r="AY261" s="663" t="e">
        <f t="shared" ca="1" si="210"/>
        <v>#N/A</v>
      </c>
      <c r="AZ261" s="663" t="e">
        <f t="shared" ca="1" si="211"/>
        <v>#N/A</v>
      </c>
      <c r="BA261" s="663" t="e">
        <f t="shared" ca="1" si="212"/>
        <v>#N/A</v>
      </c>
      <c r="BB261" s="663" t="e">
        <f t="shared" ca="1" si="213"/>
        <v>#N/A</v>
      </c>
      <c r="BC261" s="663" t="e">
        <f t="shared" ca="1" si="214"/>
        <v>#N/A</v>
      </c>
      <c r="BD261" s="663" t="e">
        <f t="shared" ca="1" si="215"/>
        <v>#N/A</v>
      </c>
      <c r="BE261" s="663" t="e">
        <f t="shared" ca="1" si="216"/>
        <v>#N/A</v>
      </c>
      <c r="BF261" s="663" t="e">
        <f t="shared" ca="1" si="217"/>
        <v>#N/A</v>
      </c>
      <c r="BG261" s="663" t="e">
        <f t="shared" ca="1" si="218"/>
        <v>#N/A</v>
      </c>
      <c r="BH261" s="663" t="e">
        <f t="shared" ca="1" si="219"/>
        <v>#N/A</v>
      </c>
      <c r="BI261" s="663" t="e">
        <f t="shared" ca="1" si="220"/>
        <v>#N/A</v>
      </c>
      <c r="BJ261" s="663" t="e">
        <f t="shared" ca="1" si="221"/>
        <v>#N/A</v>
      </c>
      <c r="BK261" s="663" t="e">
        <f t="shared" ca="1" si="222"/>
        <v>#N/A</v>
      </c>
      <c r="BL261" s="1918"/>
      <c r="BM261" s="1532"/>
      <c r="BN261" s="1919"/>
      <c r="BO261" s="603"/>
      <c r="BP261" s="602"/>
      <c r="BQ261" s="602"/>
      <c r="BR261" s="602"/>
      <c r="BS261" s="604"/>
      <c r="BT261" s="605"/>
      <c r="BU261" s="602"/>
      <c r="BV261" s="602"/>
      <c r="BW261" s="606"/>
      <c r="BX261" s="607"/>
      <c r="BY261" s="608"/>
      <c r="BZ261" s="608"/>
      <c r="CA261" s="608"/>
      <c r="CB261" s="600"/>
    </row>
    <row r="262" spans="2:80" ht="12" customHeight="1" x14ac:dyDescent="0.35">
      <c r="B262" s="590" t="e">
        <f>MATCH(C262,'360SpcLdsCSV'!$C$6:$C$500,0)</f>
        <v>#N/A</v>
      </c>
      <c r="C262" s="590">
        <f>'360SpcLdsCSV'!C211</f>
        <v>0</v>
      </c>
      <c r="D262" s="590" t="str">
        <f t="shared" si="197"/>
        <v>0</v>
      </c>
      <c r="E262" s="590" t="e">
        <f t="shared" si="223"/>
        <v>#VALUE!</v>
      </c>
      <c r="F262" s="590" t="e">
        <f t="shared" si="224"/>
        <v>#VALUE!</v>
      </c>
      <c r="G262" s="590" t="str">
        <f t="shared" si="198"/>
        <v>0</v>
      </c>
      <c r="H262" s="590" t="e">
        <f ca="1">OFFSET('360SpcLdsCSV'!$B$5,$B262,H$51)</f>
        <v>#N/A</v>
      </c>
      <c r="I262" s="590" t="e">
        <f ca="1">OFFSET('360SpcLdsCSV'!$B$5,$B262,I$51)</f>
        <v>#N/A</v>
      </c>
      <c r="J262" s="590" t="e">
        <f ca="1">OFFSET('360SpcLdsCSV'!$B$5,$B262,J$51)</f>
        <v>#N/A</v>
      </c>
      <c r="K262" s="590" t="e">
        <f ca="1">OFFSET('360SpcLdsCSV'!$B$5,$B262,K$51)</f>
        <v>#N/A</v>
      </c>
      <c r="L262" s="590" t="e">
        <f ca="1">OFFSET('360SpcLdsCSV'!$B$5,$B262,L$51)</f>
        <v>#N/A</v>
      </c>
      <c r="M262" s="592" t="e">
        <f ca="1">OFFSET('360SpcLdsCSV'!$B$5,$B262,M$51)</f>
        <v>#N/A</v>
      </c>
      <c r="N262" s="592" t="e">
        <f ca="1">OFFSET('360SpcLdsCSV'!$B$5,$B262,N$51)</f>
        <v>#N/A</v>
      </c>
      <c r="O262" s="592" t="e">
        <f ca="1">OFFSET('360SpcLdsCSV'!$B$5,$B262,O$51)</f>
        <v>#N/A</v>
      </c>
      <c r="P262" s="592" t="e">
        <f ca="1">OFFSET('360SpcLdsCSV'!$B$5,$B262,P$51)</f>
        <v>#N/A</v>
      </c>
      <c r="Q262" s="592" t="e">
        <f ca="1">OFFSET('360SpcLdsCSV'!$B$5,$B262,Q$51)</f>
        <v>#N/A</v>
      </c>
      <c r="R262" s="592" t="e">
        <f ca="1">OFFSET('360SpcLdsCSV'!$B$5,$B262,R$51)</f>
        <v>#N/A</v>
      </c>
      <c r="S262" s="592" t="e">
        <f ca="1">OFFSET('360SpcLdsCSV'!$B$5,$B262,S$51)</f>
        <v>#N/A</v>
      </c>
      <c r="T262" s="592" t="e">
        <f ca="1">OFFSET('360SpcLdsCSV'!$B$5,$B262,T$51)</f>
        <v>#N/A</v>
      </c>
      <c r="U262" s="592" t="e">
        <f ca="1">OFFSET('360SpcLdsCSV'!$B$5,$B262,U$51)</f>
        <v>#N/A</v>
      </c>
      <c r="V262" s="592" t="e">
        <f ca="1">OFFSET('360SpcLdsCSV'!$B$5,$B262,V$51)</f>
        <v>#N/A</v>
      </c>
      <c r="W262" s="592" t="e">
        <f ca="1">OFFSET('360SpcLdsCSV'!$B$5,$B262,W$51)</f>
        <v>#N/A</v>
      </c>
      <c r="X262" s="592" t="e">
        <f ca="1">OFFSET('360SpcLdsCSV'!$B$5,$B262,X$51)</f>
        <v>#N/A</v>
      </c>
      <c r="Y262" s="592" t="e">
        <f ca="1">OFFSET('360SpcLdsCSV'!$B$5,$B262,Y$51)</f>
        <v>#N/A</v>
      </c>
      <c r="Z262" s="592" t="e">
        <f ca="1">OFFSET('360SpcLdsCSV'!$B$5,$B262,Z$51)</f>
        <v>#N/A</v>
      </c>
      <c r="AA262" s="592" t="e">
        <f ca="1">OFFSET('360SpcLdsCSV'!$B$5,$B262,AA$51)</f>
        <v>#N/A</v>
      </c>
      <c r="AB262" s="592" t="e">
        <f ca="1">OFFSET('360SpcLdsCSV'!$B$5,$B262,AB$51)</f>
        <v>#N/A</v>
      </c>
      <c r="AC262" s="592" t="e">
        <f ca="1">OFFSET('360SpcLdsCSV'!$B$5,$B262,AC$51)</f>
        <v>#N/A</v>
      </c>
      <c r="AD262" s="592" t="e">
        <f ca="1">OFFSET('360SpcLdsCSV'!$B$5,$B262,AD$51)</f>
        <v>#N/A</v>
      </c>
      <c r="AE262" s="592" t="e">
        <f ca="1">OFFSET('360SpcLdsCSV'!$B$5,$B262,AE$51)</f>
        <v>#N/A</v>
      </c>
      <c r="AF262" s="592" t="e">
        <f ca="1">OFFSET('360SpcLdsCSV'!$B$5,$B262,AF$51)</f>
        <v>#N/A</v>
      </c>
      <c r="AG262" s="592" t="e">
        <f ca="1">OFFSET('360SpcLdsCSV'!$B$5,$B262,AG$51)</f>
        <v>#N/A</v>
      </c>
      <c r="AH262" s="592" t="e">
        <f ca="1">OFFSET('360SpcLdsCSV'!$B$5,$B262,AH$51)</f>
        <v>#N/A</v>
      </c>
      <c r="AI262" s="592" t="e">
        <f ca="1">OFFSET('360SpcLdsCSV'!$B$5,$B262,AI$51)</f>
        <v>#N/A</v>
      </c>
      <c r="AJ262" s="592" t="e" cm="1">
        <f t="array" ref="AJ262">_xlfn.IFS($F262="Resi",1,$F262="Racc",0,$F262="Coml",0,$F262="Prkg",0)</f>
        <v>#VALUE!</v>
      </c>
      <c r="AK262" s="596"/>
      <c r="AL262" s="590" t="e">
        <f ca="1">OFFSET('360SpcLdsCSV'!$B$5,$B262,AL$51)</f>
        <v>#N/A</v>
      </c>
      <c r="AM262" s="663" t="e">
        <f t="shared" ca="1" si="199"/>
        <v>#N/A</v>
      </c>
      <c r="AN262" s="663" t="e">
        <f t="shared" ca="1" si="200"/>
        <v>#N/A</v>
      </c>
      <c r="AO262" s="663" t="e">
        <f t="shared" ca="1" si="225"/>
        <v>#N/A</v>
      </c>
      <c r="AP262" s="663" t="e">
        <f t="shared" ca="1" si="201"/>
        <v>#N/A</v>
      </c>
      <c r="AQ262" s="663" t="e">
        <f t="shared" ca="1" si="202"/>
        <v>#N/A</v>
      </c>
      <c r="AR262" s="663" t="e">
        <f t="shared" ca="1" si="203"/>
        <v>#N/A</v>
      </c>
      <c r="AS262" s="663" t="e">
        <f t="shared" ca="1" si="204"/>
        <v>#N/A</v>
      </c>
      <c r="AT262" s="663" t="e">
        <f t="shared" ca="1" si="205"/>
        <v>#N/A</v>
      </c>
      <c r="AU262" s="663" t="e">
        <f t="shared" ca="1" si="206"/>
        <v>#N/A</v>
      </c>
      <c r="AV262" s="663" t="e">
        <f t="shared" ca="1" si="207"/>
        <v>#N/A</v>
      </c>
      <c r="AW262" s="663" t="e">
        <f t="shared" ca="1" si="208"/>
        <v>#N/A</v>
      </c>
      <c r="AX262" s="663" t="e">
        <f t="shared" ca="1" si="209"/>
        <v>#N/A</v>
      </c>
      <c r="AY262" s="663" t="e">
        <f t="shared" ca="1" si="210"/>
        <v>#N/A</v>
      </c>
      <c r="AZ262" s="663" t="e">
        <f t="shared" ca="1" si="211"/>
        <v>#N/A</v>
      </c>
      <c r="BA262" s="663" t="e">
        <f t="shared" ca="1" si="212"/>
        <v>#N/A</v>
      </c>
      <c r="BB262" s="663" t="e">
        <f t="shared" ca="1" si="213"/>
        <v>#N/A</v>
      </c>
      <c r="BC262" s="663" t="e">
        <f t="shared" ca="1" si="214"/>
        <v>#N/A</v>
      </c>
      <c r="BD262" s="663" t="e">
        <f t="shared" ca="1" si="215"/>
        <v>#N/A</v>
      </c>
      <c r="BE262" s="663" t="e">
        <f t="shared" ca="1" si="216"/>
        <v>#N/A</v>
      </c>
      <c r="BF262" s="663" t="e">
        <f t="shared" ca="1" si="217"/>
        <v>#N/A</v>
      </c>
      <c r="BG262" s="663" t="e">
        <f t="shared" ca="1" si="218"/>
        <v>#N/A</v>
      </c>
      <c r="BH262" s="663" t="e">
        <f t="shared" ca="1" si="219"/>
        <v>#N/A</v>
      </c>
      <c r="BI262" s="663" t="e">
        <f t="shared" ca="1" si="220"/>
        <v>#N/A</v>
      </c>
      <c r="BJ262" s="663" t="e">
        <f t="shared" ca="1" si="221"/>
        <v>#N/A</v>
      </c>
      <c r="BK262" s="663" t="e">
        <f t="shared" ca="1" si="222"/>
        <v>#N/A</v>
      </c>
      <c r="BL262" s="1918"/>
      <c r="BM262" s="1532"/>
      <c r="BN262" s="1919"/>
      <c r="BO262" s="603"/>
      <c r="BP262" s="602"/>
      <c r="BQ262" s="602"/>
      <c r="BR262" s="602"/>
      <c r="BS262" s="604"/>
      <c r="BT262" s="605"/>
      <c r="BU262" s="602"/>
      <c r="BV262" s="602"/>
      <c r="BW262" s="606"/>
      <c r="BX262" s="607"/>
      <c r="BY262" s="608"/>
      <c r="BZ262" s="608"/>
      <c r="CA262" s="608"/>
      <c r="CB262" s="600"/>
    </row>
    <row r="263" spans="2:80" ht="12" customHeight="1" x14ac:dyDescent="0.35">
      <c r="B263" s="590" t="e">
        <f>MATCH(C263,'360SpcLdsCSV'!$C$6:$C$500,0)</f>
        <v>#N/A</v>
      </c>
      <c r="C263" s="590">
        <f>'360SpcLdsCSV'!C212</f>
        <v>0</v>
      </c>
      <c r="D263" s="590" t="str">
        <f t="shared" si="197"/>
        <v>0</v>
      </c>
      <c r="E263" s="590" t="e">
        <f t="shared" si="223"/>
        <v>#VALUE!</v>
      </c>
      <c r="F263" s="590" t="e">
        <f t="shared" si="224"/>
        <v>#VALUE!</v>
      </c>
      <c r="G263" s="590" t="str">
        <f t="shared" si="198"/>
        <v>0</v>
      </c>
      <c r="H263" s="590" t="e">
        <f ca="1">OFFSET('360SpcLdsCSV'!$B$5,$B263,H$51)</f>
        <v>#N/A</v>
      </c>
      <c r="I263" s="590" t="e">
        <f ca="1">OFFSET('360SpcLdsCSV'!$B$5,$B263,I$51)</f>
        <v>#N/A</v>
      </c>
      <c r="J263" s="590" t="e">
        <f ca="1">OFFSET('360SpcLdsCSV'!$B$5,$B263,J$51)</f>
        <v>#N/A</v>
      </c>
      <c r="K263" s="590" t="e">
        <f ca="1">OFFSET('360SpcLdsCSV'!$B$5,$B263,K$51)</f>
        <v>#N/A</v>
      </c>
      <c r="L263" s="590" t="e">
        <f ca="1">OFFSET('360SpcLdsCSV'!$B$5,$B263,L$51)</f>
        <v>#N/A</v>
      </c>
      <c r="M263" s="592" t="e">
        <f ca="1">OFFSET('360SpcLdsCSV'!$B$5,$B263,M$51)</f>
        <v>#N/A</v>
      </c>
      <c r="N263" s="592" t="e">
        <f ca="1">OFFSET('360SpcLdsCSV'!$B$5,$B263,N$51)</f>
        <v>#N/A</v>
      </c>
      <c r="O263" s="592" t="e">
        <f ca="1">OFFSET('360SpcLdsCSV'!$B$5,$B263,O$51)</f>
        <v>#N/A</v>
      </c>
      <c r="P263" s="592" t="e">
        <f ca="1">OFFSET('360SpcLdsCSV'!$B$5,$B263,P$51)</f>
        <v>#N/A</v>
      </c>
      <c r="Q263" s="592" t="e">
        <f ca="1">OFFSET('360SpcLdsCSV'!$B$5,$B263,Q$51)</f>
        <v>#N/A</v>
      </c>
      <c r="R263" s="592" t="e">
        <f ca="1">OFFSET('360SpcLdsCSV'!$B$5,$B263,R$51)</f>
        <v>#N/A</v>
      </c>
      <c r="S263" s="592" t="e">
        <f ca="1">OFFSET('360SpcLdsCSV'!$B$5,$B263,S$51)</f>
        <v>#N/A</v>
      </c>
      <c r="T263" s="592" t="e">
        <f ca="1">OFFSET('360SpcLdsCSV'!$B$5,$B263,T$51)</f>
        <v>#N/A</v>
      </c>
      <c r="U263" s="592" t="e">
        <f ca="1">OFFSET('360SpcLdsCSV'!$B$5,$B263,U$51)</f>
        <v>#N/A</v>
      </c>
      <c r="V263" s="592" t="e">
        <f ca="1">OFFSET('360SpcLdsCSV'!$B$5,$B263,V$51)</f>
        <v>#N/A</v>
      </c>
      <c r="W263" s="592" t="e">
        <f ca="1">OFFSET('360SpcLdsCSV'!$B$5,$B263,W$51)</f>
        <v>#N/A</v>
      </c>
      <c r="X263" s="592" t="e">
        <f ca="1">OFFSET('360SpcLdsCSV'!$B$5,$B263,X$51)</f>
        <v>#N/A</v>
      </c>
      <c r="Y263" s="592" t="e">
        <f ca="1">OFFSET('360SpcLdsCSV'!$B$5,$B263,Y$51)</f>
        <v>#N/A</v>
      </c>
      <c r="Z263" s="592" t="e">
        <f ca="1">OFFSET('360SpcLdsCSV'!$B$5,$B263,Z$51)</f>
        <v>#N/A</v>
      </c>
      <c r="AA263" s="592" t="e">
        <f ca="1">OFFSET('360SpcLdsCSV'!$B$5,$B263,AA$51)</f>
        <v>#N/A</v>
      </c>
      <c r="AB263" s="592" t="e">
        <f ca="1">OFFSET('360SpcLdsCSV'!$B$5,$B263,AB$51)</f>
        <v>#N/A</v>
      </c>
      <c r="AC263" s="592" t="e">
        <f ca="1">OFFSET('360SpcLdsCSV'!$B$5,$B263,AC$51)</f>
        <v>#N/A</v>
      </c>
      <c r="AD263" s="592" t="e">
        <f ca="1">OFFSET('360SpcLdsCSV'!$B$5,$B263,AD$51)</f>
        <v>#N/A</v>
      </c>
      <c r="AE263" s="592" t="e">
        <f ca="1">OFFSET('360SpcLdsCSV'!$B$5,$B263,AE$51)</f>
        <v>#N/A</v>
      </c>
      <c r="AF263" s="592" t="e">
        <f ca="1">OFFSET('360SpcLdsCSV'!$B$5,$B263,AF$51)</f>
        <v>#N/A</v>
      </c>
      <c r="AG263" s="592" t="e">
        <f ca="1">OFFSET('360SpcLdsCSV'!$B$5,$B263,AG$51)</f>
        <v>#N/A</v>
      </c>
      <c r="AH263" s="592" t="e">
        <f ca="1">OFFSET('360SpcLdsCSV'!$B$5,$B263,AH$51)</f>
        <v>#N/A</v>
      </c>
      <c r="AI263" s="592" t="e">
        <f ca="1">OFFSET('360SpcLdsCSV'!$B$5,$B263,AI$51)</f>
        <v>#N/A</v>
      </c>
      <c r="AJ263" s="592" t="e" cm="1">
        <f t="array" ref="AJ263">_xlfn.IFS($F263="Resi",1,$F263="Racc",0,$F263="Coml",0,$F263="Prkg",0)</f>
        <v>#VALUE!</v>
      </c>
      <c r="AK263" s="596"/>
      <c r="AL263" s="590" t="e">
        <f ca="1">OFFSET('360SpcLdsCSV'!$B$5,$B263,AL$51)</f>
        <v>#N/A</v>
      </c>
      <c r="AM263" s="663" t="e">
        <f t="shared" ca="1" si="199"/>
        <v>#N/A</v>
      </c>
      <c r="AN263" s="663" t="e">
        <f t="shared" ca="1" si="200"/>
        <v>#N/A</v>
      </c>
      <c r="AO263" s="663" t="e">
        <f t="shared" ca="1" si="225"/>
        <v>#N/A</v>
      </c>
      <c r="AP263" s="663" t="e">
        <f t="shared" ca="1" si="201"/>
        <v>#N/A</v>
      </c>
      <c r="AQ263" s="663" t="e">
        <f t="shared" ca="1" si="202"/>
        <v>#N/A</v>
      </c>
      <c r="AR263" s="663" t="e">
        <f t="shared" ca="1" si="203"/>
        <v>#N/A</v>
      </c>
      <c r="AS263" s="663" t="e">
        <f t="shared" ca="1" si="204"/>
        <v>#N/A</v>
      </c>
      <c r="AT263" s="663" t="e">
        <f t="shared" ca="1" si="205"/>
        <v>#N/A</v>
      </c>
      <c r="AU263" s="663" t="e">
        <f t="shared" ca="1" si="206"/>
        <v>#N/A</v>
      </c>
      <c r="AV263" s="663" t="e">
        <f t="shared" ca="1" si="207"/>
        <v>#N/A</v>
      </c>
      <c r="AW263" s="663" t="e">
        <f t="shared" ca="1" si="208"/>
        <v>#N/A</v>
      </c>
      <c r="AX263" s="663" t="e">
        <f t="shared" ca="1" si="209"/>
        <v>#N/A</v>
      </c>
      <c r="AY263" s="663" t="e">
        <f t="shared" ca="1" si="210"/>
        <v>#N/A</v>
      </c>
      <c r="AZ263" s="663" t="e">
        <f t="shared" ca="1" si="211"/>
        <v>#N/A</v>
      </c>
      <c r="BA263" s="663" t="e">
        <f t="shared" ca="1" si="212"/>
        <v>#N/A</v>
      </c>
      <c r="BB263" s="663" t="e">
        <f t="shared" ca="1" si="213"/>
        <v>#N/A</v>
      </c>
      <c r="BC263" s="663" t="e">
        <f t="shared" ca="1" si="214"/>
        <v>#N/A</v>
      </c>
      <c r="BD263" s="663" t="e">
        <f t="shared" ca="1" si="215"/>
        <v>#N/A</v>
      </c>
      <c r="BE263" s="663" t="e">
        <f t="shared" ca="1" si="216"/>
        <v>#N/A</v>
      </c>
      <c r="BF263" s="663" t="e">
        <f t="shared" ca="1" si="217"/>
        <v>#N/A</v>
      </c>
      <c r="BG263" s="663" t="e">
        <f t="shared" ca="1" si="218"/>
        <v>#N/A</v>
      </c>
      <c r="BH263" s="663" t="e">
        <f t="shared" ca="1" si="219"/>
        <v>#N/A</v>
      </c>
      <c r="BI263" s="663" t="e">
        <f t="shared" ca="1" si="220"/>
        <v>#N/A</v>
      </c>
      <c r="BJ263" s="663" t="e">
        <f t="shared" ca="1" si="221"/>
        <v>#N/A</v>
      </c>
      <c r="BK263" s="663" t="e">
        <f t="shared" ca="1" si="222"/>
        <v>#N/A</v>
      </c>
      <c r="BL263" s="1918"/>
      <c r="BM263" s="1532"/>
      <c r="BN263" s="1919"/>
      <c r="BO263" s="603"/>
      <c r="BP263" s="602"/>
      <c r="BQ263" s="602"/>
      <c r="BR263" s="602"/>
      <c r="BS263" s="604"/>
      <c r="BT263" s="605"/>
      <c r="BU263" s="602"/>
      <c r="BV263" s="602"/>
      <c r="BW263" s="606"/>
      <c r="BX263" s="607"/>
      <c r="BY263" s="608"/>
      <c r="BZ263" s="608"/>
      <c r="CA263" s="608"/>
      <c r="CB263" s="600"/>
    </row>
    <row r="264" spans="2:80" ht="12" customHeight="1" x14ac:dyDescent="0.35">
      <c r="B264" s="590" t="e">
        <f>MATCH(C264,'360SpcLdsCSV'!$C$6:$C$500,0)</f>
        <v>#N/A</v>
      </c>
      <c r="C264" s="590">
        <f>'360SpcLdsCSV'!C213</f>
        <v>0</v>
      </c>
      <c r="D264" s="590" t="str">
        <f t="shared" si="197"/>
        <v>0</v>
      </c>
      <c r="E264" s="590" t="e">
        <f t="shared" si="223"/>
        <v>#VALUE!</v>
      </c>
      <c r="F264" s="590" t="e">
        <f t="shared" si="224"/>
        <v>#VALUE!</v>
      </c>
      <c r="G264" s="590" t="str">
        <f t="shared" si="198"/>
        <v>0</v>
      </c>
      <c r="H264" s="590" t="e">
        <f ca="1">OFFSET('360SpcLdsCSV'!$B$5,$B264,H$51)</f>
        <v>#N/A</v>
      </c>
      <c r="I264" s="590" t="e">
        <f ca="1">OFFSET('360SpcLdsCSV'!$B$5,$B264,I$51)</f>
        <v>#N/A</v>
      </c>
      <c r="J264" s="590" t="e">
        <f ca="1">OFFSET('360SpcLdsCSV'!$B$5,$B264,J$51)</f>
        <v>#N/A</v>
      </c>
      <c r="K264" s="590" t="e">
        <f ca="1">OFFSET('360SpcLdsCSV'!$B$5,$B264,K$51)</f>
        <v>#N/A</v>
      </c>
      <c r="L264" s="590" t="e">
        <f ca="1">OFFSET('360SpcLdsCSV'!$B$5,$B264,L$51)</f>
        <v>#N/A</v>
      </c>
      <c r="M264" s="592" t="e">
        <f ca="1">OFFSET('360SpcLdsCSV'!$B$5,$B264,M$51)</f>
        <v>#N/A</v>
      </c>
      <c r="N264" s="592" t="e">
        <f ca="1">OFFSET('360SpcLdsCSV'!$B$5,$B264,N$51)</f>
        <v>#N/A</v>
      </c>
      <c r="O264" s="592" t="e">
        <f ca="1">OFFSET('360SpcLdsCSV'!$B$5,$B264,O$51)</f>
        <v>#N/A</v>
      </c>
      <c r="P264" s="592" t="e">
        <f ca="1">OFFSET('360SpcLdsCSV'!$B$5,$B264,P$51)</f>
        <v>#N/A</v>
      </c>
      <c r="Q264" s="592" t="e">
        <f ca="1">OFFSET('360SpcLdsCSV'!$B$5,$B264,Q$51)</f>
        <v>#N/A</v>
      </c>
      <c r="R264" s="592" t="e">
        <f ca="1">OFFSET('360SpcLdsCSV'!$B$5,$B264,R$51)</f>
        <v>#N/A</v>
      </c>
      <c r="S264" s="592" t="e">
        <f ca="1">OFFSET('360SpcLdsCSV'!$B$5,$B264,S$51)</f>
        <v>#N/A</v>
      </c>
      <c r="T264" s="592" t="e">
        <f ca="1">OFFSET('360SpcLdsCSV'!$B$5,$B264,T$51)</f>
        <v>#N/A</v>
      </c>
      <c r="U264" s="592" t="e">
        <f ca="1">OFFSET('360SpcLdsCSV'!$B$5,$B264,U$51)</f>
        <v>#N/A</v>
      </c>
      <c r="V264" s="592" t="e">
        <f ca="1">OFFSET('360SpcLdsCSV'!$B$5,$B264,V$51)</f>
        <v>#N/A</v>
      </c>
      <c r="W264" s="592" t="e">
        <f ca="1">OFFSET('360SpcLdsCSV'!$B$5,$B264,W$51)</f>
        <v>#N/A</v>
      </c>
      <c r="X264" s="592" t="e">
        <f ca="1">OFFSET('360SpcLdsCSV'!$B$5,$B264,X$51)</f>
        <v>#N/A</v>
      </c>
      <c r="Y264" s="592" t="e">
        <f ca="1">OFFSET('360SpcLdsCSV'!$B$5,$B264,Y$51)</f>
        <v>#N/A</v>
      </c>
      <c r="Z264" s="592" t="e">
        <f ca="1">OFFSET('360SpcLdsCSV'!$B$5,$B264,Z$51)</f>
        <v>#N/A</v>
      </c>
      <c r="AA264" s="592" t="e">
        <f ca="1">OFFSET('360SpcLdsCSV'!$B$5,$B264,AA$51)</f>
        <v>#N/A</v>
      </c>
      <c r="AB264" s="592" t="e">
        <f ca="1">OFFSET('360SpcLdsCSV'!$B$5,$B264,AB$51)</f>
        <v>#N/A</v>
      </c>
      <c r="AC264" s="592" t="e">
        <f ca="1">OFFSET('360SpcLdsCSV'!$B$5,$B264,AC$51)</f>
        <v>#N/A</v>
      </c>
      <c r="AD264" s="592" t="e">
        <f ca="1">OFFSET('360SpcLdsCSV'!$B$5,$B264,AD$51)</f>
        <v>#N/A</v>
      </c>
      <c r="AE264" s="592" t="e">
        <f ca="1">OFFSET('360SpcLdsCSV'!$B$5,$B264,AE$51)</f>
        <v>#N/A</v>
      </c>
      <c r="AF264" s="592" t="e">
        <f ca="1">OFFSET('360SpcLdsCSV'!$B$5,$B264,AF$51)</f>
        <v>#N/A</v>
      </c>
      <c r="AG264" s="592" t="e">
        <f ca="1">OFFSET('360SpcLdsCSV'!$B$5,$B264,AG$51)</f>
        <v>#N/A</v>
      </c>
      <c r="AH264" s="592" t="e">
        <f ca="1">OFFSET('360SpcLdsCSV'!$B$5,$B264,AH$51)</f>
        <v>#N/A</v>
      </c>
      <c r="AI264" s="592" t="e">
        <f ca="1">OFFSET('360SpcLdsCSV'!$B$5,$B264,AI$51)</f>
        <v>#N/A</v>
      </c>
      <c r="AJ264" s="592" t="e" cm="1">
        <f t="array" ref="AJ264">_xlfn.IFS($F264="Resi",1,$F264="Racc",0,$F264="Coml",0,$F264="Prkg",0)</f>
        <v>#VALUE!</v>
      </c>
      <c r="AK264" s="596"/>
      <c r="AL264" s="590" t="e">
        <f ca="1">OFFSET('360SpcLdsCSV'!$B$5,$B264,AL$51)</f>
        <v>#N/A</v>
      </c>
      <c r="AM264" s="663" t="e">
        <f t="shared" ca="1" si="199"/>
        <v>#N/A</v>
      </c>
      <c r="AN264" s="663" t="e">
        <f t="shared" ca="1" si="200"/>
        <v>#N/A</v>
      </c>
      <c r="AO264" s="663" t="e">
        <f t="shared" ca="1" si="225"/>
        <v>#N/A</v>
      </c>
      <c r="AP264" s="663" t="e">
        <f t="shared" ca="1" si="201"/>
        <v>#N/A</v>
      </c>
      <c r="AQ264" s="663" t="e">
        <f t="shared" ca="1" si="202"/>
        <v>#N/A</v>
      </c>
      <c r="AR264" s="663" t="e">
        <f t="shared" ca="1" si="203"/>
        <v>#N/A</v>
      </c>
      <c r="AS264" s="663" t="e">
        <f t="shared" ca="1" si="204"/>
        <v>#N/A</v>
      </c>
      <c r="AT264" s="663" t="e">
        <f t="shared" ca="1" si="205"/>
        <v>#N/A</v>
      </c>
      <c r="AU264" s="663" t="e">
        <f t="shared" ca="1" si="206"/>
        <v>#N/A</v>
      </c>
      <c r="AV264" s="663" t="e">
        <f t="shared" ca="1" si="207"/>
        <v>#N/A</v>
      </c>
      <c r="AW264" s="663" t="e">
        <f t="shared" ca="1" si="208"/>
        <v>#N/A</v>
      </c>
      <c r="AX264" s="663" t="e">
        <f t="shared" ca="1" si="209"/>
        <v>#N/A</v>
      </c>
      <c r="AY264" s="663" t="e">
        <f t="shared" ca="1" si="210"/>
        <v>#N/A</v>
      </c>
      <c r="AZ264" s="663" t="e">
        <f t="shared" ca="1" si="211"/>
        <v>#N/A</v>
      </c>
      <c r="BA264" s="663" t="e">
        <f t="shared" ca="1" si="212"/>
        <v>#N/A</v>
      </c>
      <c r="BB264" s="663" t="e">
        <f t="shared" ca="1" si="213"/>
        <v>#N/A</v>
      </c>
      <c r="BC264" s="663" t="e">
        <f t="shared" ca="1" si="214"/>
        <v>#N/A</v>
      </c>
      <c r="BD264" s="663" t="e">
        <f t="shared" ca="1" si="215"/>
        <v>#N/A</v>
      </c>
      <c r="BE264" s="663" t="e">
        <f t="shared" ca="1" si="216"/>
        <v>#N/A</v>
      </c>
      <c r="BF264" s="663" t="e">
        <f t="shared" ca="1" si="217"/>
        <v>#N/A</v>
      </c>
      <c r="BG264" s="663" t="e">
        <f t="shared" ca="1" si="218"/>
        <v>#N/A</v>
      </c>
      <c r="BH264" s="663" t="e">
        <f t="shared" ca="1" si="219"/>
        <v>#N/A</v>
      </c>
      <c r="BI264" s="663" t="e">
        <f t="shared" ca="1" si="220"/>
        <v>#N/A</v>
      </c>
      <c r="BJ264" s="663" t="e">
        <f t="shared" ca="1" si="221"/>
        <v>#N/A</v>
      </c>
      <c r="BK264" s="663" t="e">
        <f t="shared" ca="1" si="222"/>
        <v>#N/A</v>
      </c>
      <c r="BL264" s="1918"/>
      <c r="BM264" s="1532"/>
      <c r="BN264" s="1919"/>
      <c r="BO264" s="603"/>
      <c r="BP264" s="602"/>
      <c r="BQ264" s="602"/>
      <c r="BR264" s="602"/>
      <c r="BS264" s="604"/>
      <c r="BT264" s="605"/>
      <c r="BU264" s="602"/>
      <c r="BV264" s="602"/>
      <c r="BW264" s="606"/>
      <c r="BX264" s="607"/>
      <c r="BY264" s="608"/>
      <c r="BZ264" s="608"/>
      <c r="CA264" s="608"/>
      <c r="CB264" s="600"/>
    </row>
    <row r="265" spans="2:80" ht="12" customHeight="1" x14ac:dyDescent="0.35">
      <c r="B265" s="590" t="e">
        <f>MATCH(C265,'360SpcLdsCSV'!$C$6:$C$500,0)</f>
        <v>#N/A</v>
      </c>
      <c r="C265" s="590">
        <f>'360SpcLdsCSV'!C214</f>
        <v>0</v>
      </c>
      <c r="D265" s="590" t="str">
        <f t="shared" si="197"/>
        <v>0</v>
      </c>
      <c r="E265" s="590" t="e">
        <f t="shared" si="223"/>
        <v>#VALUE!</v>
      </c>
      <c r="F265" s="590" t="e">
        <f t="shared" si="224"/>
        <v>#VALUE!</v>
      </c>
      <c r="G265" s="590" t="str">
        <f t="shared" si="198"/>
        <v>0</v>
      </c>
      <c r="H265" s="590" t="e">
        <f ca="1">OFFSET('360SpcLdsCSV'!$B$5,$B265,H$51)</f>
        <v>#N/A</v>
      </c>
      <c r="I265" s="590" t="e">
        <f ca="1">OFFSET('360SpcLdsCSV'!$B$5,$B265,I$51)</f>
        <v>#N/A</v>
      </c>
      <c r="J265" s="590" t="e">
        <f ca="1">OFFSET('360SpcLdsCSV'!$B$5,$B265,J$51)</f>
        <v>#N/A</v>
      </c>
      <c r="K265" s="590" t="e">
        <f ca="1">OFFSET('360SpcLdsCSV'!$B$5,$B265,K$51)</f>
        <v>#N/A</v>
      </c>
      <c r="L265" s="590" t="e">
        <f ca="1">OFFSET('360SpcLdsCSV'!$B$5,$B265,L$51)</f>
        <v>#N/A</v>
      </c>
      <c r="M265" s="592" t="e">
        <f ca="1">OFFSET('360SpcLdsCSV'!$B$5,$B265,M$51)</f>
        <v>#N/A</v>
      </c>
      <c r="N265" s="592" t="e">
        <f ca="1">OFFSET('360SpcLdsCSV'!$B$5,$B265,N$51)</f>
        <v>#N/A</v>
      </c>
      <c r="O265" s="592" t="e">
        <f ca="1">OFFSET('360SpcLdsCSV'!$B$5,$B265,O$51)</f>
        <v>#N/A</v>
      </c>
      <c r="P265" s="592" t="e">
        <f ca="1">OFFSET('360SpcLdsCSV'!$B$5,$B265,P$51)</f>
        <v>#N/A</v>
      </c>
      <c r="Q265" s="592" t="e">
        <f ca="1">OFFSET('360SpcLdsCSV'!$B$5,$B265,Q$51)</f>
        <v>#N/A</v>
      </c>
      <c r="R265" s="592" t="e">
        <f ca="1">OFFSET('360SpcLdsCSV'!$B$5,$B265,R$51)</f>
        <v>#N/A</v>
      </c>
      <c r="S265" s="592" t="e">
        <f ca="1">OFFSET('360SpcLdsCSV'!$B$5,$B265,S$51)</f>
        <v>#N/A</v>
      </c>
      <c r="T265" s="592" t="e">
        <f ca="1">OFFSET('360SpcLdsCSV'!$B$5,$B265,T$51)</f>
        <v>#N/A</v>
      </c>
      <c r="U265" s="592" t="e">
        <f ca="1">OFFSET('360SpcLdsCSV'!$B$5,$B265,U$51)</f>
        <v>#N/A</v>
      </c>
      <c r="V265" s="592" t="e">
        <f ca="1">OFFSET('360SpcLdsCSV'!$B$5,$B265,V$51)</f>
        <v>#N/A</v>
      </c>
      <c r="W265" s="592" t="e">
        <f ca="1">OFFSET('360SpcLdsCSV'!$B$5,$B265,W$51)</f>
        <v>#N/A</v>
      </c>
      <c r="X265" s="592" t="e">
        <f ca="1">OFFSET('360SpcLdsCSV'!$B$5,$B265,X$51)</f>
        <v>#N/A</v>
      </c>
      <c r="Y265" s="592" t="e">
        <f ca="1">OFFSET('360SpcLdsCSV'!$B$5,$B265,Y$51)</f>
        <v>#N/A</v>
      </c>
      <c r="Z265" s="592" t="e">
        <f ca="1">OFFSET('360SpcLdsCSV'!$B$5,$B265,Z$51)</f>
        <v>#N/A</v>
      </c>
      <c r="AA265" s="592" t="e">
        <f ca="1">OFFSET('360SpcLdsCSV'!$B$5,$B265,AA$51)</f>
        <v>#N/A</v>
      </c>
      <c r="AB265" s="592" t="e">
        <f ca="1">OFFSET('360SpcLdsCSV'!$B$5,$B265,AB$51)</f>
        <v>#N/A</v>
      </c>
      <c r="AC265" s="592" t="e">
        <f ca="1">OFFSET('360SpcLdsCSV'!$B$5,$B265,AC$51)</f>
        <v>#N/A</v>
      </c>
      <c r="AD265" s="592" t="e">
        <f ca="1">OFFSET('360SpcLdsCSV'!$B$5,$B265,AD$51)</f>
        <v>#N/A</v>
      </c>
      <c r="AE265" s="592" t="e">
        <f ca="1">OFFSET('360SpcLdsCSV'!$B$5,$B265,AE$51)</f>
        <v>#N/A</v>
      </c>
      <c r="AF265" s="592" t="e">
        <f ca="1">OFFSET('360SpcLdsCSV'!$B$5,$B265,AF$51)</f>
        <v>#N/A</v>
      </c>
      <c r="AG265" s="592" t="e">
        <f ca="1">OFFSET('360SpcLdsCSV'!$B$5,$B265,AG$51)</f>
        <v>#N/A</v>
      </c>
      <c r="AH265" s="592" t="e">
        <f ca="1">OFFSET('360SpcLdsCSV'!$B$5,$B265,AH$51)</f>
        <v>#N/A</v>
      </c>
      <c r="AI265" s="592" t="e">
        <f ca="1">OFFSET('360SpcLdsCSV'!$B$5,$B265,AI$51)</f>
        <v>#N/A</v>
      </c>
      <c r="AJ265" s="592" t="e" cm="1">
        <f t="array" ref="AJ265">_xlfn.IFS($F265="Resi",1,$F265="Racc",0,$F265="Coml",0,$F265="Prkg",0)</f>
        <v>#VALUE!</v>
      </c>
      <c r="AK265" s="596"/>
      <c r="AL265" s="590" t="e">
        <f ca="1">OFFSET('360SpcLdsCSV'!$B$5,$B265,AL$51)</f>
        <v>#N/A</v>
      </c>
      <c r="AM265" s="663" t="e">
        <f t="shared" ca="1" si="199"/>
        <v>#N/A</v>
      </c>
      <c r="AN265" s="663" t="e">
        <f t="shared" ca="1" si="200"/>
        <v>#N/A</v>
      </c>
      <c r="AO265" s="663" t="e">
        <f t="shared" ca="1" si="225"/>
        <v>#N/A</v>
      </c>
      <c r="AP265" s="663" t="e">
        <f t="shared" ca="1" si="201"/>
        <v>#N/A</v>
      </c>
      <c r="AQ265" s="663" t="e">
        <f t="shared" ca="1" si="202"/>
        <v>#N/A</v>
      </c>
      <c r="AR265" s="663" t="e">
        <f t="shared" ca="1" si="203"/>
        <v>#N/A</v>
      </c>
      <c r="AS265" s="663" t="e">
        <f t="shared" ca="1" si="204"/>
        <v>#N/A</v>
      </c>
      <c r="AT265" s="663" t="e">
        <f t="shared" ca="1" si="205"/>
        <v>#N/A</v>
      </c>
      <c r="AU265" s="663" t="e">
        <f t="shared" ca="1" si="206"/>
        <v>#N/A</v>
      </c>
      <c r="AV265" s="663" t="e">
        <f t="shared" ca="1" si="207"/>
        <v>#N/A</v>
      </c>
      <c r="AW265" s="663" t="e">
        <f t="shared" ca="1" si="208"/>
        <v>#N/A</v>
      </c>
      <c r="AX265" s="663" t="e">
        <f t="shared" ca="1" si="209"/>
        <v>#N/A</v>
      </c>
      <c r="AY265" s="663" t="e">
        <f t="shared" ca="1" si="210"/>
        <v>#N/A</v>
      </c>
      <c r="AZ265" s="663" t="e">
        <f t="shared" ca="1" si="211"/>
        <v>#N/A</v>
      </c>
      <c r="BA265" s="663" t="e">
        <f t="shared" ca="1" si="212"/>
        <v>#N/A</v>
      </c>
      <c r="BB265" s="663" t="e">
        <f t="shared" ca="1" si="213"/>
        <v>#N/A</v>
      </c>
      <c r="BC265" s="663" t="e">
        <f t="shared" ca="1" si="214"/>
        <v>#N/A</v>
      </c>
      <c r="BD265" s="663" t="e">
        <f t="shared" ca="1" si="215"/>
        <v>#N/A</v>
      </c>
      <c r="BE265" s="663" t="e">
        <f t="shared" ca="1" si="216"/>
        <v>#N/A</v>
      </c>
      <c r="BF265" s="663" t="e">
        <f t="shared" ca="1" si="217"/>
        <v>#N/A</v>
      </c>
      <c r="BG265" s="663" t="e">
        <f t="shared" ca="1" si="218"/>
        <v>#N/A</v>
      </c>
      <c r="BH265" s="663" t="e">
        <f t="shared" ca="1" si="219"/>
        <v>#N/A</v>
      </c>
      <c r="BI265" s="663" t="e">
        <f t="shared" ca="1" si="220"/>
        <v>#N/A</v>
      </c>
      <c r="BJ265" s="663" t="e">
        <f t="shared" ca="1" si="221"/>
        <v>#N/A</v>
      </c>
      <c r="BK265" s="663" t="e">
        <f t="shared" ca="1" si="222"/>
        <v>#N/A</v>
      </c>
      <c r="BL265" s="1918"/>
      <c r="BM265" s="1532"/>
      <c r="BN265" s="1919"/>
      <c r="BO265" s="603"/>
      <c r="BP265" s="602"/>
      <c r="BQ265" s="602"/>
      <c r="BR265" s="602"/>
      <c r="BS265" s="604"/>
      <c r="BT265" s="605"/>
      <c r="BU265" s="602"/>
      <c r="BV265" s="602"/>
      <c r="BW265" s="606"/>
      <c r="BX265" s="607"/>
      <c r="BY265" s="608"/>
      <c r="BZ265" s="608"/>
      <c r="CA265" s="608"/>
      <c r="CB265" s="600"/>
    </row>
    <row r="266" spans="2:80" ht="12" customHeight="1" x14ac:dyDescent="0.35">
      <c r="B266" s="590" t="e">
        <f>MATCH(C266,'360SpcLdsCSV'!$C$6:$C$500,0)</f>
        <v>#N/A</v>
      </c>
      <c r="C266" s="590">
        <f>'360SpcLdsCSV'!C215</f>
        <v>0</v>
      </c>
      <c r="D266" s="590" t="str">
        <f t="shared" si="197"/>
        <v>0</v>
      </c>
      <c r="E266" s="590" t="e">
        <f t="shared" si="223"/>
        <v>#VALUE!</v>
      </c>
      <c r="F266" s="590" t="e">
        <f t="shared" si="224"/>
        <v>#VALUE!</v>
      </c>
      <c r="G266" s="590" t="str">
        <f t="shared" si="198"/>
        <v>0</v>
      </c>
      <c r="H266" s="590" t="e">
        <f ca="1">OFFSET('360SpcLdsCSV'!$B$5,$B266,H$51)</f>
        <v>#N/A</v>
      </c>
      <c r="I266" s="590" t="e">
        <f ca="1">OFFSET('360SpcLdsCSV'!$B$5,$B266,I$51)</f>
        <v>#N/A</v>
      </c>
      <c r="J266" s="590" t="e">
        <f ca="1">OFFSET('360SpcLdsCSV'!$B$5,$B266,J$51)</f>
        <v>#N/A</v>
      </c>
      <c r="K266" s="590" t="e">
        <f ca="1">OFFSET('360SpcLdsCSV'!$B$5,$B266,K$51)</f>
        <v>#N/A</v>
      </c>
      <c r="L266" s="590" t="e">
        <f ca="1">OFFSET('360SpcLdsCSV'!$B$5,$B266,L$51)</f>
        <v>#N/A</v>
      </c>
      <c r="M266" s="592" t="e">
        <f ca="1">OFFSET('360SpcLdsCSV'!$B$5,$B266,M$51)</f>
        <v>#N/A</v>
      </c>
      <c r="N266" s="592" t="e">
        <f ca="1">OFFSET('360SpcLdsCSV'!$B$5,$B266,N$51)</f>
        <v>#N/A</v>
      </c>
      <c r="O266" s="592" t="e">
        <f ca="1">OFFSET('360SpcLdsCSV'!$B$5,$B266,O$51)</f>
        <v>#N/A</v>
      </c>
      <c r="P266" s="592" t="e">
        <f ca="1">OFFSET('360SpcLdsCSV'!$B$5,$B266,P$51)</f>
        <v>#N/A</v>
      </c>
      <c r="Q266" s="592" t="e">
        <f ca="1">OFFSET('360SpcLdsCSV'!$B$5,$B266,Q$51)</f>
        <v>#N/A</v>
      </c>
      <c r="R266" s="592" t="e">
        <f ca="1">OFFSET('360SpcLdsCSV'!$B$5,$B266,R$51)</f>
        <v>#N/A</v>
      </c>
      <c r="S266" s="592" t="e">
        <f ca="1">OFFSET('360SpcLdsCSV'!$B$5,$B266,S$51)</f>
        <v>#N/A</v>
      </c>
      <c r="T266" s="592" t="e">
        <f ca="1">OFFSET('360SpcLdsCSV'!$B$5,$B266,T$51)</f>
        <v>#N/A</v>
      </c>
      <c r="U266" s="592" t="e">
        <f ca="1">OFFSET('360SpcLdsCSV'!$B$5,$B266,U$51)</f>
        <v>#N/A</v>
      </c>
      <c r="V266" s="592" t="e">
        <f ca="1">OFFSET('360SpcLdsCSV'!$B$5,$B266,V$51)</f>
        <v>#N/A</v>
      </c>
      <c r="W266" s="592" t="e">
        <f ca="1">OFFSET('360SpcLdsCSV'!$B$5,$B266,W$51)</f>
        <v>#N/A</v>
      </c>
      <c r="X266" s="592" t="e">
        <f ca="1">OFFSET('360SpcLdsCSV'!$B$5,$B266,X$51)</f>
        <v>#N/A</v>
      </c>
      <c r="Y266" s="592" t="e">
        <f ca="1">OFFSET('360SpcLdsCSV'!$B$5,$B266,Y$51)</f>
        <v>#N/A</v>
      </c>
      <c r="Z266" s="592" t="e">
        <f ca="1">OFFSET('360SpcLdsCSV'!$B$5,$B266,Z$51)</f>
        <v>#N/A</v>
      </c>
      <c r="AA266" s="592" t="e">
        <f ca="1">OFFSET('360SpcLdsCSV'!$B$5,$B266,AA$51)</f>
        <v>#N/A</v>
      </c>
      <c r="AB266" s="592" t="e">
        <f ca="1">OFFSET('360SpcLdsCSV'!$B$5,$B266,AB$51)</f>
        <v>#N/A</v>
      </c>
      <c r="AC266" s="592" t="e">
        <f ca="1">OFFSET('360SpcLdsCSV'!$B$5,$B266,AC$51)</f>
        <v>#N/A</v>
      </c>
      <c r="AD266" s="592" t="e">
        <f ca="1">OFFSET('360SpcLdsCSV'!$B$5,$B266,AD$51)</f>
        <v>#N/A</v>
      </c>
      <c r="AE266" s="592" t="e">
        <f ca="1">OFFSET('360SpcLdsCSV'!$B$5,$B266,AE$51)</f>
        <v>#N/A</v>
      </c>
      <c r="AF266" s="592" t="e">
        <f ca="1">OFFSET('360SpcLdsCSV'!$B$5,$B266,AF$51)</f>
        <v>#N/A</v>
      </c>
      <c r="AG266" s="592" t="e">
        <f ca="1">OFFSET('360SpcLdsCSV'!$B$5,$B266,AG$51)</f>
        <v>#N/A</v>
      </c>
      <c r="AH266" s="592" t="e">
        <f ca="1">OFFSET('360SpcLdsCSV'!$B$5,$B266,AH$51)</f>
        <v>#N/A</v>
      </c>
      <c r="AI266" s="592" t="e">
        <f ca="1">OFFSET('360SpcLdsCSV'!$B$5,$B266,AI$51)</f>
        <v>#N/A</v>
      </c>
      <c r="AJ266" s="592" t="e" cm="1">
        <f t="array" ref="AJ266">_xlfn.IFS($F266="Resi",1,$F266="Racc",0,$F266="Coml",0,$F266="Prkg",0)</f>
        <v>#VALUE!</v>
      </c>
      <c r="AK266" s="596"/>
      <c r="AL266" s="590" t="e">
        <f ca="1">OFFSET('360SpcLdsCSV'!$B$5,$B266,AL$51)</f>
        <v>#N/A</v>
      </c>
      <c r="AM266" s="663" t="e">
        <f t="shared" ca="1" si="199"/>
        <v>#N/A</v>
      </c>
      <c r="AN266" s="663" t="e">
        <f t="shared" ca="1" si="200"/>
        <v>#N/A</v>
      </c>
      <c r="AO266" s="663" t="e">
        <f t="shared" ca="1" si="225"/>
        <v>#N/A</v>
      </c>
      <c r="AP266" s="663" t="e">
        <f t="shared" ca="1" si="201"/>
        <v>#N/A</v>
      </c>
      <c r="AQ266" s="663" t="e">
        <f t="shared" ca="1" si="202"/>
        <v>#N/A</v>
      </c>
      <c r="AR266" s="663" t="e">
        <f t="shared" ca="1" si="203"/>
        <v>#N/A</v>
      </c>
      <c r="AS266" s="663" t="e">
        <f t="shared" ca="1" si="204"/>
        <v>#N/A</v>
      </c>
      <c r="AT266" s="663" t="e">
        <f t="shared" ca="1" si="205"/>
        <v>#N/A</v>
      </c>
      <c r="AU266" s="663" t="e">
        <f t="shared" ca="1" si="206"/>
        <v>#N/A</v>
      </c>
      <c r="AV266" s="663" t="e">
        <f t="shared" ca="1" si="207"/>
        <v>#N/A</v>
      </c>
      <c r="AW266" s="663" t="e">
        <f t="shared" ca="1" si="208"/>
        <v>#N/A</v>
      </c>
      <c r="AX266" s="663" t="e">
        <f t="shared" ca="1" si="209"/>
        <v>#N/A</v>
      </c>
      <c r="AY266" s="663" t="e">
        <f t="shared" ca="1" si="210"/>
        <v>#N/A</v>
      </c>
      <c r="AZ266" s="663" t="e">
        <f t="shared" ca="1" si="211"/>
        <v>#N/A</v>
      </c>
      <c r="BA266" s="663" t="e">
        <f t="shared" ca="1" si="212"/>
        <v>#N/A</v>
      </c>
      <c r="BB266" s="663" t="e">
        <f t="shared" ca="1" si="213"/>
        <v>#N/A</v>
      </c>
      <c r="BC266" s="663" t="e">
        <f t="shared" ca="1" si="214"/>
        <v>#N/A</v>
      </c>
      <c r="BD266" s="663" t="e">
        <f t="shared" ca="1" si="215"/>
        <v>#N/A</v>
      </c>
      <c r="BE266" s="663" t="e">
        <f t="shared" ca="1" si="216"/>
        <v>#N/A</v>
      </c>
      <c r="BF266" s="663" t="e">
        <f t="shared" ca="1" si="217"/>
        <v>#N/A</v>
      </c>
      <c r="BG266" s="663" t="e">
        <f t="shared" ca="1" si="218"/>
        <v>#N/A</v>
      </c>
      <c r="BH266" s="663" t="e">
        <f t="shared" ca="1" si="219"/>
        <v>#N/A</v>
      </c>
      <c r="BI266" s="663" t="e">
        <f t="shared" ca="1" si="220"/>
        <v>#N/A</v>
      </c>
      <c r="BJ266" s="663" t="e">
        <f t="shared" ca="1" si="221"/>
        <v>#N/A</v>
      </c>
      <c r="BK266" s="663" t="e">
        <f t="shared" ca="1" si="222"/>
        <v>#N/A</v>
      </c>
      <c r="BL266" s="1918"/>
      <c r="BM266" s="1532"/>
      <c r="BN266" s="1919"/>
      <c r="BO266" s="603"/>
      <c r="BP266" s="602"/>
      <c r="BQ266" s="602"/>
      <c r="BR266" s="602"/>
      <c r="BS266" s="604"/>
      <c r="BT266" s="605"/>
      <c r="BU266" s="602"/>
      <c r="BV266" s="602"/>
      <c r="BW266" s="606"/>
      <c r="BX266" s="607"/>
      <c r="BY266" s="608"/>
      <c r="BZ266" s="608"/>
      <c r="CA266" s="608"/>
      <c r="CB266" s="600"/>
    </row>
    <row r="267" spans="2:80" ht="12" customHeight="1" x14ac:dyDescent="0.35">
      <c r="B267" s="590" t="e">
        <f>MATCH(C267,'360SpcLdsCSV'!$C$6:$C$500,0)</f>
        <v>#N/A</v>
      </c>
      <c r="C267" s="590">
        <f>'360SpcLdsCSV'!C216</f>
        <v>0</v>
      </c>
      <c r="D267" s="590" t="str">
        <f t="shared" ref="D267:D317" si="226">LEFT(C267,3)</f>
        <v>0</v>
      </c>
      <c r="E267" s="590" t="e">
        <f t="shared" ref="E267:E317" si="227">MID(C267,FIND("_",C267,1)+1,4)</f>
        <v>#VALUE!</v>
      </c>
      <c r="F267" s="590" t="e">
        <f t="shared" ref="F267:F317" si="228">MID(C267,FIND("_",C267,1)+5,4)</f>
        <v>#VALUE!</v>
      </c>
      <c r="G267" s="590" t="str">
        <f t="shared" ref="G267:G317" si="229">RIGHT(C267,4)</f>
        <v>0</v>
      </c>
      <c r="H267" s="590" t="e">
        <f ca="1">OFFSET('360SpcLdsCSV'!$B$5,$B267,H$51)</f>
        <v>#N/A</v>
      </c>
      <c r="I267" s="590" t="e">
        <f ca="1">OFFSET('360SpcLdsCSV'!$B$5,$B267,I$51)</f>
        <v>#N/A</v>
      </c>
      <c r="J267" s="590" t="e">
        <f ca="1">OFFSET('360SpcLdsCSV'!$B$5,$B267,J$51)</f>
        <v>#N/A</v>
      </c>
      <c r="K267" s="590" t="e">
        <f ca="1">OFFSET('360SpcLdsCSV'!$B$5,$B267,K$51)</f>
        <v>#N/A</v>
      </c>
      <c r="L267" s="590" t="e">
        <f ca="1">OFFSET('360SpcLdsCSV'!$B$5,$B267,L$51)</f>
        <v>#N/A</v>
      </c>
      <c r="M267" s="592" t="e">
        <f ca="1">OFFSET('360SpcLdsCSV'!$B$5,$B267,M$51)</f>
        <v>#N/A</v>
      </c>
      <c r="N267" s="592" t="e">
        <f ca="1">OFFSET('360SpcLdsCSV'!$B$5,$B267,N$51)</f>
        <v>#N/A</v>
      </c>
      <c r="O267" s="592" t="e">
        <f ca="1">OFFSET('360SpcLdsCSV'!$B$5,$B267,O$51)</f>
        <v>#N/A</v>
      </c>
      <c r="P267" s="592" t="e">
        <f ca="1">OFFSET('360SpcLdsCSV'!$B$5,$B267,P$51)</f>
        <v>#N/A</v>
      </c>
      <c r="Q267" s="592" t="e">
        <f ca="1">OFFSET('360SpcLdsCSV'!$B$5,$B267,Q$51)</f>
        <v>#N/A</v>
      </c>
      <c r="R267" s="592" t="e">
        <f ca="1">OFFSET('360SpcLdsCSV'!$B$5,$B267,R$51)</f>
        <v>#N/A</v>
      </c>
      <c r="S267" s="592" t="e">
        <f ca="1">OFFSET('360SpcLdsCSV'!$B$5,$B267,S$51)</f>
        <v>#N/A</v>
      </c>
      <c r="T267" s="592" t="e">
        <f ca="1">OFFSET('360SpcLdsCSV'!$B$5,$B267,T$51)</f>
        <v>#N/A</v>
      </c>
      <c r="U267" s="592" t="e">
        <f ca="1">OFFSET('360SpcLdsCSV'!$B$5,$B267,U$51)</f>
        <v>#N/A</v>
      </c>
      <c r="V267" s="592" t="e">
        <f ca="1">OFFSET('360SpcLdsCSV'!$B$5,$B267,V$51)</f>
        <v>#N/A</v>
      </c>
      <c r="W267" s="592" t="e">
        <f ca="1">OFFSET('360SpcLdsCSV'!$B$5,$B267,W$51)</f>
        <v>#N/A</v>
      </c>
      <c r="X267" s="592" t="e">
        <f ca="1">OFFSET('360SpcLdsCSV'!$B$5,$B267,X$51)</f>
        <v>#N/A</v>
      </c>
      <c r="Y267" s="592" t="e">
        <f ca="1">OFFSET('360SpcLdsCSV'!$B$5,$B267,Y$51)</f>
        <v>#N/A</v>
      </c>
      <c r="Z267" s="592" t="e">
        <f ca="1">OFFSET('360SpcLdsCSV'!$B$5,$B267,Z$51)</f>
        <v>#N/A</v>
      </c>
      <c r="AA267" s="592" t="e">
        <f ca="1">OFFSET('360SpcLdsCSV'!$B$5,$B267,AA$51)</f>
        <v>#N/A</v>
      </c>
      <c r="AB267" s="592" t="e">
        <f ca="1">OFFSET('360SpcLdsCSV'!$B$5,$B267,AB$51)</f>
        <v>#N/A</v>
      </c>
      <c r="AC267" s="592" t="e">
        <f ca="1">OFFSET('360SpcLdsCSV'!$B$5,$B267,AC$51)</f>
        <v>#N/A</v>
      </c>
      <c r="AD267" s="592" t="e">
        <f ca="1">OFFSET('360SpcLdsCSV'!$B$5,$B267,AD$51)</f>
        <v>#N/A</v>
      </c>
      <c r="AE267" s="592" t="e">
        <f ca="1">OFFSET('360SpcLdsCSV'!$B$5,$B267,AE$51)</f>
        <v>#N/A</v>
      </c>
      <c r="AF267" s="592" t="e">
        <f ca="1">OFFSET('360SpcLdsCSV'!$B$5,$B267,AF$51)</f>
        <v>#N/A</v>
      </c>
      <c r="AG267" s="592" t="e">
        <f ca="1">OFFSET('360SpcLdsCSV'!$B$5,$B267,AG$51)</f>
        <v>#N/A</v>
      </c>
      <c r="AH267" s="592" t="e">
        <f ca="1">OFFSET('360SpcLdsCSV'!$B$5,$B267,AH$51)</f>
        <v>#N/A</v>
      </c>
      <c r="AI267" s="592" t="e">
        <f ca="1">OFFSET('360SpcLdsCSV'!$B$5,$B267,AI$51)</f>
        <v>#N/A</v>
      </c>
      <c r="AJ267" s="592" t="e" cm="1">
        <f t="array" ref="AJ267">_xlfn.IFS($F267="Resi",1,$F267="Racc",0,$F267="Coml",0,$F267="Prkg",0)</f>
        <v>#VALUE!</v>
      </c>
      <c r="AK267" s="596"/>
      <c r="AL267" s="590" t="e">
        <f ca="1">OFFSET('360SpcLdsCSV'!$B$5,$B267,AL$51)</f>
        <v>#N/A</v>
      </c>
      <c r="AM267" s="663" t="e">
        <f t="shared" ref="AM267:AM317" ca="1" si="230">IF(I267="Unconditioned",0,1)</f>
        <v>#N/A</v>
      </c>
      <c r="AN267" s="663" t="e">
        <f t="shared" ref="AN267:AN317" ca="1" si="231">IF(K267="Residential",1,0)</f>
        <v>#N/A</v>
      </c>
      <c r="AO267" s="663" t="e">
        <f t="shared" ref="AO267:AO317" ca="1" si="232">M267*$AL267</f>
        <v>#N/A</v>
      </c>
      <c r="AP267" s="663" t="e">
        <f t="shared" ref="AP267:AP317" ca="1" si="233">N267*$AL267</f>
        <v>#N/A</v>
      </c>
      <c r="AQ267" s="663" t="e">
        <f t="shared" ref="AQ267:AQ317" ca="1" si="234">O267*$AL267</f>
        <v>#N/A</v>
      </c>
      <c r="AR267" s="663" t="e">
        <f t="shared" ref="AR267:AR317" ca="1" si="235">P267*$AL267</f>
        <v>#N/A</v>
      </c>
      <c r="AS267" s="663" t="e">
        <f t="shared" ref="AS267:AS317" ca="1" si="236">Q267*$AL267</f>
        <v>#N/A</v>
      </c>
      <c r="AT267" s="663" t="e">
        <f t="shared" ref="AT267:AT317" ca="1" si="237">R267*$AL267</f>
        <v>#N/A</v>
      </c>
      <c r="AU267" s="663" t="e">
        <f t="shared" ref="AU267:AU317" ca="1" si="238">S267*$AL267</f>
        <v>#N/A</v>
      </c>
      <c r="AV267" s="663" t="e">
        <f t="shared" ref="AV267:AV317" ca="1" si="239">T267*$AL267</f>
        <v>#N/A</v>
      </c>
      <c r="AW267" s="663" t="e">
        <f t="shared" ca="1" si="208"/>
        <v>#N/A</v>
      </c>
      <c r="AX267" s="663" t="e">
        <f t="shared" ca="1" si="209"/>
        <v>#N/A</v>
      </c>
      <c r="AY267" s="663" t="e">
        <f t="shared" ca="1" si="210"/>
        <v>#N/A</v>
      </c>
      <c r="AZ267" s="663" t="e">
        <f t="shared" ca="1" si="211"/>
        <v>#N/A</v>
      </c>
      <c r="BA267" s="663" t="e">
        <f t="shared" ca="1" si="212"/>
        <v>#N/A</v>
      </c>
      <c r="BB267" s="663" t="e">
        <f t="shared" ca="1" si="213"/>
        <v>#N/A</v>
      </c>
      <c r="BC267" s="663" t="e">
        <f t="shared" ca="1" si="214"/>
        <v>#N/A</v>
      </c>
      <c r="BD267" s="663" t="e">
        <f t="shared" ca="1" si="215"/>
        <v>#N/A</v>
      </c>
      <c r="BE267" s="663" t="e">
        <f t="shared" ca="1" si="216"/>
        <v>#N/A</v>
      </c>
      <c r="BF267" s="663" t="e">
        <f t="shared" ca="1" si="217"/>
        <v>#N/A</v>
      </c>
      <c r="BG267" s="663" t="e">
        <f t="shared" ca="1" si="218"/>
        <v>#N/A</v>
      </c>
      <c r="BH267" s="663" t="e">
        <f t="shared" ca="1" si="219"/>
        <v>#N/A</v>
      </c>
      <c r="BI267" s="663" t="e">
        <f t="shared" ca="1" si="220"/>
        <v>#N/A</v>
      </c>
      <c r="BJ267" s="663" t="e">
        <f t="shared" ca="1" si="221"/>
        <v>#N/A</v>
      </c>
      <c r="BK267" s="663" t="e">
        <f t="shared" ca="1" si="222"/>
        <v>#N/A</v>
      </c>
      <c r="BL267" s="1918"/>
      <c r="BM267" s="1532"/>
      <c r="BN267" s="1919"/>
      <c r="BO267" s="603"/>
      <c r="BP267" s="602"/>
      <c r="BQ267" s="602"/>
      <c r="BR267" s="602"/>
      <c r="BS267" s="604"/>
      <c r="BT267" s="605"/>
      <c r="BU267" s="602"/>
      <c r="BV267" s="602"/>
      <c r="BW267" s="606"/>
      <c r="BX267" s="607"/>
      <c r="BY267" s="608"/>
      <c r="BZ267" s="608"/>
      <c r="CA267" s="608"/>
      <c r="CB267" s="600"/>
    </row>
    <row r="268" spans="2:80" ht="12" customHeight="1" x14ac:dyDescent="0.35">
      <c r="B268" s="590" t="e">
        <f>MATCH(C268,'360SpcLdsCSV'!$C$6:$C$500,0)</f>
        <v>#N/A</v>
      </c>
      <c r="C268" s="590">
        <f>'360SpcLdsCSV'!C217</f>
        <v>0</v>
      </c>
      <c r="D268" s="590" t="str">
        <f t="shared" si="226"/>
        <v>0</v>
      </c>
      <c r="E268" s="590" t="e">
        <f t="shared" si="227"/>
        <v>#VALUE!</v>
      </c>
      <c r="F268" s="590" t="e">
        <f t="shared" si="228"/>
        <v>#VALUE!</v>
      </c>
      <c r="G268" s="590" t="str">
        <f t="shared" si="229"/>
        <v>0</v>
      </c>
      <c r="H268" s="590" t="e">
        <f ca="1">OFFSET('360SpcLdsCSV'!$B$5,$B268,H$51)</f>
        <v>#N/A</v>
      </c>
      <c r="I268" s="590" t="e">
        <f ca="1">OFFSET('360SpcLdsCSV'!$B$5,$B268,I$51)</f>
        <v>#N/A</v>
      </c>
      <c r="J268" s="590" t="e">
        <f ca="1">OFFSET('360SpcLdsCSV'!$B$5,$B268,J$51)</f>
        <v>#N/A</v>
      </c>
      <c r="K268" s="590" t="e">
        <f ca="1">OFFSET('360SpcLdsCSV'!$B$5,$B268,K$51)</f>
        <v>#N/A</v>
      </c>
      <c r="L268" s="590" t="e">
        <f ca="1">OFFSET('360SpcLdsCSV'!$B$5,$B268,L$51)</f>
        <v>#N/A</v>
      </c>
      <c r="M268" s="592" t="e">
        <f ca="1">OFFSET('360SpcLdsCSV'!$B$5,$B268,M$51)</f>
        <v>#N/A</v>
      </c>
      <c r="N268" s="592" t="e">
        <f ca="1">OFFSET('360SpcLdsCSV'!$B$5,$B268,N$51)</f>
        <v>#N/A</v>
      </c>
      <c r="O268" s="592" t="e">
        <f ca="1">OFFSET('360SpcLdsCSV'!$B$5,$B268,O$51)</f>
        <v>#N/A</v>
      </c>
      <c r="P268" s="592" t="e">
        <f ca="1">OFFSET('360SpcLdsCSV'!$B$5,$B268,P$51)</f>
        <v>#N/A</v>
      </c>
      <c r="Q268" s="592" t="e">
        <f ca="1">OFFSET('360SpcLdsCSV'!$B$5,$B268,Q$51)</f>
        <v>#N/A</v>
      </c>
      <c r="R268" s="592" t="e">
        <f ca="1">OFFSET('360SpcLdsCSV'!$B$5,$B268,R$51)</f>
        <v>#N/A</v>
      </c>
      <c r="S268" s="592" t="e">
        <f ca="1">OFFSET('360SpcLdsCSV'!$B$5,$B268,S$51)</f>
        <v>#N/A</v>
      </c>
      <c r="T268" s="592" t="e">
        <f ca="1">OFFSET('360SpcLdsCSV'!$B$5,$B268,T$51)</f>
        <v>#N/A</v>
      </c>
      <c r="U268" s="592" t="e">
        <f ca="1">OFFSET('360SpcLdsCSV'!$B$5,$B268,U$51)</f>
        <v>#N/A</v>
      </c>
      <c r="V268" s="592" t="e">
        <f ca="1">OFFSET('360SpcLdsCSV'!$B$5,$B268,V$51)</f>
        <v>#N/A</v>
      </c>
      <c r="W268" s="592" t="e">
        <f ca="1">OFFSET('360SpcLdsCSV'!$B$5,$B268,W$51)</f>
        <v>#N/A</v>
      </c>
      <c r="X268" s="592" t="e">
        <f ca="1">OFFSET('360SpcLdsCSV'!$B$5,$B268,X$51)</f>
        <v>#N/A</v>
      </c>
      <c r="Y268" s="592" t="e">
        <f ca="1">OFFSET('360SpcLdsCSV'!$B$5,$B268,Y$51)</f>
        <v>#N/A</v>
      </c>
      <c r="Z268" s="592" t="e">
        <f ca="1">OFFSET('360SpcLdsCSV'!$B$5,$B268,Z$51)</f>
        <v>#N/A</v>
      </c>
      <c r="AA268" s="592" t="e">
        <f ca="1">OFFSET('360SpcLdsCSV'!$B$5,$B268,AA$51)</f>
        <v>#N/A</v>
      </c>
      <c r="AB268" s="592" t="e">
        <f ca="1">OFFSET('360SpcLdsCSV'!$B$5,$B268,AB$51)</f>
        <v>#N/A</v>
      </c>
      <c r="AC268" s="592" t="e">
        <f ca="1">OFFSET('360SpcLdsCSV'!$B$5,$B268,AC$51)</f>
        <v>#N/A</v>
      </c>
      <c r="AD268" s="592" t="e">
        <f ca="1">OFFSET('360SpcLdsCSV'!$B$5,$B268,AD$51)</f>
        <v>#N/A</v>
      </c>
      <c r="AE268" s="592" t="e">
        <f ca="1">OFFSET('360SpcLdsCSV'!$B$5,$B268,AE$51)</f>
        <v>#N/A</v>
      </c>
      <c r="AF268" s="592" t="e">
        <f ca="1">OFFSET('360SpcLdsCSV'!$B$5,$B268,AF$51)</f>
        <v>#N/A</v>
      </c>
      <c r="AG268" s="592" t="e">
        <f ca="1">OFFSET('360SpcLdsCSV'!$B$5,$B268,AG$51)</f>
        <v>#N/A</v>
      </c>
      <c r="AH268" s="592" t="e">
        <f ca="1">OFFSET('360SpcLdsCSV'!$B$5,$B268,AH$51)</f>
        <v>#N/A</v>
      </c>
      <c r="AI268" s="592" t="e">
        <f ca="1">OFFSET('360SpcLdsCSV'!$B$5,$B268,AI$51)</f>
        <v>#N/A</v>
      </c>
      <c r="AJ268" s="592" t="e" cm="1">
        <f t="array" ref="AJ268">_xlfn.IFS($F268="Resi",1,$F268="Racc",0,$F268="Coml",0,$F268="Prkg",0)</f>
        <v>#VALUE!</v>
      </c>
      <c r="AK268" s="596"/>
      <c r="AL268" s="590" t="e">
        <f ca="1">OFFSET('360SpcLdsCSV'!$B$5,$B268,AL$51)</f>
        <v>#N/A</v>
      </c>
      <c r="AM268" s="663" t="e">
        <f t="shared" ca="1" si="230"/>
        <v>#N/A</v>
      </c>
      <c r="AN268" s="663" t="e">
        <f t="shared" ca="1" si="231"/>
        <v>#N/A</v>
      </c>
      <c r="AO268" s="663" t="e">
        <f t="shared" ca="1" si="232"/>
        <v>#N/A</v>
      </c>
      <c r="AP268" s="663" t="e">
        <f t="shared" ca="1" si="233"/>
        <v>#N/A</v>
      </c>
      <c r="AQ268" s="663" t="e">
        <f t="shared" ca="1" si="234"/>
        <v>#N/A</v>
      </c>
      <c r="AR268" s="663" t="e">
        <f t="shared" ca="1" si="235"/>
        <v>#N/A</v>
      </c>
      <c r="AS268" s="663" t="e">
        <f t="shared" ca="1" si="236"/>
        <v>#N/A</v>
      </c>
      <c r="AT268" s="663" t="e">
        <f t="shared" ca="1" si="237"/>
        <v>#N/A</v>
      </c>
      <c r="AU268" s="663" t="e">
        <f t="shared" ca="1" si="238"/>
        <v>#N/A</v>
      </c>
      <c r="AV268" s="663" t="e">
        <f t="shared" ca="1" si="239"/>
        <v>#N/A</v>
      </c>
      <c r="AW268" s="663" t="e">
        <f t="shared" ca="1" si="208"/>
        <v>#N/A</v>
      </c>
      <c r="AX268" s="663" t="e">
        <f t="shared" ca="1" si="209"/>
        <v>#N/A</v>
      </c>
      <c r="AY268" s="663" t="e">
        <f t="shared" ca="1" si="210"/>
        <v>#N/A</v>
      </c>
      <c r="AZ268" s="663" t="e">
        <f t="shared" ca="1" si="211"/>
        <v>#N/A</v>
      </c>
      <c r="BA268" s="663" t="e">
        <f t="shared" ca="1" si="212"/>
        <v>#N/A</v>
      </c>
      <c r="BB268" s="663" t="e">
        <f t="shared" ca="1" si="213"/>
        <v>#N/A</v>
      </c>
      <c r="BC268" s="663" t="e">
        <f t="shared" ca="1" si="214"/>
        <v>#N/A</v>
      </c>
      <c r="BD268" s="663" t="e">
        <f t="shared" ca="1" si="215"/>
        <v>#N/A</v>
      </c>
      <c r="BE268" s="663" t="e">
        <f t="shared" ca="1" si="216"/>
        <v>#N/A</v>
      </c>
      <c r="BF268" s="663" t="e">
        <f t="shared" ca="1" si="217"/>
        <v>#N/A</v>
      </c>
      <c r="BG268" s="663" t="e">
        <f t="shared" ca="1" si="218"/>
        <v>#N/A</v>
      </c>
      <c r="BH268" s="663" t="e">
        <f t="shared" ca="1" si="219"/>
        <v>#N/A</v>
      </c>
      <c r="BI268" s="663" t="e">
        <f t="shared" ca="1" si="220"/>
        <v>#N/A</v>
      </c>
      <c r="BJ268" s="663" t="e">
        <f t="shared" ca="1" si="221"/>
        <v>#N/A</v>
      </c>
      <c r="BK268" s="663" t="e">
        <f t="shared" ca="1" si="222"/>
        <v>#N/A</v>
      </c>
      <c r="BL268" s="1918"/>
      <c r="BM268" s="1532"/>
      <c r="BN268" s="1919"/>
      <c r="BO268" s="603"/>
      <c r="BP268" s="602"/>
      <c r="BQ268" s="602"/>
      <c r="BR268" s="602"/>
      <c r="BS268" s="604"/>
      <c r="BT268" s="605"/>
      <c r="BU268" s="602"/>
      <c r="BV268" s="602"/>
      <c r="BW268" s="606"/>
      <c r="BX268" s="607"/>
      <c r="BY268" s="608"/>
      <c r="BZ268" s="608"/>
      <c r="CA268" s="608"/>
      <c r="CB268" s="600"/>
    </row>
    <row r="269" spans="2:80" ht="12" customHeight="1" x14ac:dyDescent="0.35">
      <c r="B269" s="590" t="e">
        <f>MATCH(C269,'360SpcLdsCSV'!$C$6:$C$500,0)</f>
        <v>#N/A</v>
      </c>
      <c r="C269" s="590">
        <f>'360SpcLdsCSV'!C218</f>
        <v>0</v>
      </c>
      <c r="D269" s="590" t="str">
        <f t="shared" si="226"/>
        <v>0</v>
      </c>
      <c r="E269" s="590" t="e">
        <f t="shared" si="227"/>
        <v>#VALUE!</v>
      </c>
      <c r="F269" s="590" t="e">
        <f t="shared" si="228"/>
        <v>#VALUE!</v>
      </c>
      <c r="G269" s="590" t="str">
        <f t="shared" si="229"/>
        <v>0</v>
      </c>
      <c r="H269" s="590" t="e">
        <f ca="1">OFFSET('360SpcLdsCSV'!$B$5,$B269,H$51)</f>
        <v>#N/A</v>
      </c>
      <c r="I269" s="590" t="e">
        <f ca="1">OFFSET('360SpcLdsCSV'!$B$5,$B269,I$51)</f>
        <v>#N/A</v>
      </c>
      <c r="J269" s="590" t="e">
        <f ca="1">OFFSET('360SpcLdsCSV'!$B$5,$B269,J$51)</f>
        <v>#N/A</v>
      </c>
      <c r="K269" s="590" t="e">
        <f ca="1">OFFSET('360SpcLdsCSV'!$B$5,$B269,K$51)</f>
        <v>#N/A</v>
      </c>
      <c r="L269" s="590" t="e">
        <f ca="1">OFFSET('360SpcLdsCSV'!$B$5,$B269,L$51)</f>
        <v>#N/A</v>
      </c>
      <c r="M269" s="592" t="e">
        <f ca="1">OFFSET('360SpcLdsCSV'!$B$5,$B269,M$51)</f>
        <v>#N/A</v>
      </c>
      <c r="N269" s="592" t="e">
        <f ca="1">OFFSET('360SpcLdsCSV'!$B$5,$B269,N$51)</f>
        <v>#N/A</v>
      </c>
      <c r="O269" s="592" t="e">
        <f ca="1">OFFSET('360SpcLdsCSV'!$B$5,$B269,O$51)</f>
        <v>#N/A</v>
      </c>
      <c r="P269" s="592" t="e">
        <f ca="1">OFFSET('360SpcLdsCSV'!$B$5,$B269,P$51)</f>
        <v>#N/A</v>
      </c>
      <c r="Q269" s="592" t="e">
        <f ca="1">OFFSET('360SpcLdsCSV'!$B$5,$B269,Q$51)</f>
        <v>#N/A</v>
      </c>
      <c r="R269" s="592" t="e">
        <f ca="1">OFFSET('360SpcLdsCSV'!$B$5,$B269,R$51)</f>
        <v>#N/A</v>
      </c>
      <c r="S269" s="592" t="e">
        <f ca="1">OFFSET('360SpcLdsCSV'!$B$5,$B269,S$51)</f>
        <v>#N/A</v>
      </c>
      <c r="T269" s="592" t="e">
        <f ca="1">OFFSET('360SpcLdsCSV'!$B$5,$B269,T$51)</f>
        <v>#N/A</v>
      </c>
      <c r="U269" s="592" t="e">
        <f ca="1">OFFSET('360SpcLdsCSV'!$B$5,$B269,U$51)</f>
        <v>#N/A</v>
      </c>
      <c r="V269" s="592" t="e">
        <f ca="1">OFFSET('360SpcLdsCSV'!$B$5,$B269,V$51)</f>
        <v>#N/A</v>
      </c>
      <c r="W269" s="592" t="e">
        <f ca="1">OFFSET('360SpcLdsCSV'!$B$5,$B269,W$51)</f>
        <v>#N/A</v>
      </c>
      <c r="X269" s="592" t="e">
        <f ca="1">OFFSET('360SpcLdsCSV'!$B$5,$B269,X$51)</f>
        <v>#N/A</v>
      </c>
      <c r="Y269" s="592" t="e">
        <f ca="1">OFFSET('360SpcLdsCSV'!$B$5,$B269,Y$51)</f>
        <v>#N/A</v>
      </c>
      <c r="Z269" s="592" t="e">
        <f ca="1">OFFSET('360SpcLdsCSV'!$B$5,$B269,Z$51)</f>
        <v>#N/A</v>
      </c>
      <c r="AA269" s="592" t="e">
        <f ca="1">OFFSET('360SpcLdsCSV'!$B$5,$B269,AA$51)</f>
        <v>#N/A</v>
      </c>
      <c r="AB269" s="592" t="e">
        <f ca="1">OFFSET('360SpcLdsCSV'!$B$5,$B269,AB$51)</f>
        <v>#N/A</v>
      </c>
      <c r="AC269" s="592" t="e">
        <f ca="1">OFFSET('360SpcLdsCSV'!$B$5,$B269,AC$51)</f>
        <v>#N/A</v>
      </c>
      <c r="AD269" s="592" t="e">
        <f ca="1">OFFSET('360SpcLdsCSV'!$B$5,$B269,AD$51)</f>
        <v>#N/A</v>
      </c>
      <c r="AE269" s="592" t="e">
        <f ca="1">OFFSET('360SpcLdsCSV'!$B$5,$B269,AE$51)</f>
        <v>#N/A</v>
      </c>
      <c r="AF269" s="592" t="e">
        <f ca="1">OFFSET('360SpcLdsCSV'!$B$5,$B269,AF$51)</f>
        <v>#N/A</v>
      </c>
      <c r="AG269" s="592" t="e">
        <f ca="1">OFFSET('360SpcLdsCSV'!$B$5,$B269,AG$51)</f>
        <v>#N/A</v>
      </c>
      <c r="AH269" s="592" t="e">
        <f ca="1">OFFSET('360SpcLdsCSV'!$B$5,$B269,AH$51)</f>
        <v>#N/A</v>
      </c>
      <c r="AI269" s="592" t="e">
        <f ca="1">OFFSET('360SpcLdsCSV'!$B$5,$B269,AI$51)</f>
        <v>#N/A</v>
      </c>
      <c r="AJ269" s="592" t="e" cm="1">
        <f t="array" ref="AJ269">_xlfn.IFS($F269="Resi",1,$F269="Racc",0,$F269="Coml",0,$F269="Prkg",0)</f>
        <v>#VALUE!</v>
      </c>
      <c r="AK269" s="596"/>
      <c r="AL269" s="590" t="e">
        <f ca="1">OFFSET('360SpcLdsCSV'!$B$5,$B269,AL$51)</f>
        <v>#N/A</v>
      </c>
      <c r="AM269" s="663" t="e">
        <f t="shared" ca="1" si="230"/>
        <v>#N/A</v>
      </c>
      <c r="AN269" s="663" t="e">
        <f t="shared" ca="1" si="231"/>
        <v>#N/A</v>
      </c>
      <c r="AO269" s="663" t="e">
        <f t="shared" ca="1" si="232"/>
        <v>#N/A</v>
      </c>
      <c r="AP269" s="663" t="e">
        <f t="shared" ca="1" si="233"/>
        <v>#N/A</v>
      </c>
      <c r="AQ269" s="663" t="e">
        <f t="shared" ca="1" si="234"/>
        <v>#N/A</v>
      </c>
      <c r="AR269" s="663" t="e">
        <f t="shared" ca="1" si="235"/>
        <v>#N/A</v>
      </c>
      <c r="AS269" s="663" t="e">
        <f t="shared" ca="1" si="236"/>
        <v>#N/A</v>
      </c>
      <c r="AT269" s="663" t="e">
        <f t="shared" ca="1" si="237"/>
        <v>#N/A</v>
      </c>
      <c r="AU269" s="663" t="e">
        <f t="shared" ca="1" si="238"/>
        <v>#N/A</v>
      </c>
      <c r="AV269" s="663" t="e">
        <f t="shared" ca="1" si="239"/>
        <v>#N/A</v>
      </c>
      <c r="AW269" s="663" t="e">
        <f t="shared" ca="1" si="208"/>
        <v>#N/A</v>
      </c>
      <c r="AX269" s="663" t="e">
        <f t="shared" ca="1" si="209"/>
        <v>#N/A</v>
      </c>
      <c r="AY269" s="663" t="e">
        <f t="shared" ca="1" si="210"/>
        <v>#N/A</v>
      </c>
      <c r="AZ269" s="663" t="e">
        <f t="shared" ca="1" si="211"/>
        <v>#N/A</v>
      </c>
      <c r="BA269" s="663" t="e">
        <f t="shared" ca="1" si="212"/>
        <v>#N/A</v>
      </c>
      <c r="BB269" s="663" t="e">
        <f t="shared" ca="1" si="213"/>
        <v>#N/A</v>
      </c>
      <c r="BC269" s="663" t="e">
        <f t="shared" ca="1" si="214"/>
        <v>#N/A</v>
      </c>
      <c r="BD269" s="663" t="e">
        <f t="shared" ca="1" si="215"/>
        <v>#N/A</v>
      </c>
      <c r="BE269" s="663" t="e">
        <f t="shared" ca="1" si="216"/>
        <v>#N/A</v>
      </c>
      <c r="BF269" s="663" t="e">
        <f t="shared" ca="1" si="217"/>
        <v>#N/A</v>
      </c>
      <c r="BG269" s="663" t="e">
        <f t="shared" ca="1" si="218"/>
        <v>#N/A</v>
      </c>
      <c r="BH269" s="663" t="e">
        <f t="shared" ca="1" si="219"/>
        <v>#N/A</v>
      </c>
      <c r="BI269" s="663" t="e">
        <f t="shared" ca="1" si="220"/>
        <v>#N/A</v>
      </c>
      <c r="BJ269" s="663" t="e">
        <f t="shared" ca="1" si="221"/>
        <v>#N/A</v>
      </c>
      <c r="BK269" s="663" t="e">
        <f t="shared" ca="1" si="222"/>
        <v>#N/A</v>
      </c>
      <c r="BL269" s="1918"/>
      <c r="BM269" s="1532"/>
      <c r="BN269" s="1919"/>
      <c r="BO269" s="603"/>
      <c r="BP269" s="602"/>
      <c r="BQ269" s="602"/>
      <c r="BR269" s="602"/>
      <c r="BS269" s="604"/>
      <c r="BT269" s="605"/>
      <c r="BU269" s="602"/>
      <c r="BV269" s="602"/>
      <c r="BW269" s="606"/>
      <c r="BX269" s="607"/>
      <c r="BY269" s="608"/>
      <c r="BZ269" s="608"/>
      <c r="CA269" s="608"/>
      <c r="CB269" s="600"/>
    </row>
    <row r="270" spans="2:80" ht="12" customHeight="1" x14ac:dyDescent="0.35">
      <c r="B270" s="590" t="e">
        <f>MATCH(C270,'360SpcLdsCSV'!$C$6:$C$500,0)</f>
        <v>#N/A</v>
      </c>
      <c r="C270" s="590">
        <f>'360SpcLdsCSV'!C219</f>
        <v>0</v>
      </c>
      <c r="D270" s="590" t="str">
        <f t="shared" si="226"/>
        <v>0</v>
      </c>
      <c r="E270" s="590" t="e">
        <f t="shared" si="227"/>
        <v>#VALUE!</v>
      </c>
      <c r="F270" s="590" t="e">
        <f t="shared" si="228"/>
        <v>#VALUE!</v>
      </c>
      <c r="G270" s="590" t="str">
        <f t="shared" si="229"/>
        <v>0</v>
      </c>
      <c r="H270" s="590" t="e">
        <f ca="1">OFFSET('360SpcLdsCSV'!$B$5,$B270,H$51)</f>
        <v>#N/A</v>
      </c>
      <c r="I270" s="590" t="e">
        <f ca="1">OFFSET('360SpcLdsCSV'!$B$5,$B270,I$51)</f>
        <v>#N/A</v>
      </c>
      <c r="J270" s="590" t="e">
        <f ca="1">OFFSET('360SpcLdsCSV'!$B$5,$B270,J$51)</f>
        <v>#N/A</v>
      </c>
      <c r="K270" s="590" t="e">
        <f ca="1">OFFSET('360SpcLdsCSV'!$B$5,$B270,K$51)</f>
        <v>#N/A</v>
      </c>
      <c r="L270" s="590" t="e">
        <f ca="1">OFFSET('360SpcLdsCSV'!$B$5,$B270,L$51)</f>
        <v>#N/A</v>
      </c>
      <c r="M270" s="592" t="e">
        <f ca="1">OFFSET('360SpcLdsCSV'!$B$5,$B270,M$51)</f>
        <v>#N/A</v>
      </c>
      <c r="N270" s="592" t="e">
        <f ca="1">OFFSET('360SpcLdsCSV'!$B$5,$B270,N$51)</f>
        <v>#N/A</v>
      </c>
      <c r="O270" s="592" t="e">
        <f ca="1">OFFSET('360SpcLdsCSV'!$B$5,$B270,O$51)</f>
        <v>#N/A</v>
      </c>
      <c r="P270" s="592" t="e">
        <f ca="1">OFFSET('360SpcLdsCSV'!$B$5,$B270,P$51)</f>
        <v>#N/A</v>
      </c>
      <c r="Q270" s="592" t="e">
        <f ca="1">OFFSET('360SpcLdsCSV'!$B$5,$B270,Q$51)</f>
        <v>#N/A</v>
      </c>
      <c r="R270" s="592" t="e">
        <f ca="1">OFFSET('360SpcLdsCSV'!$B$5,$B270,R$51)</f>
        <v>#N/A</v>
      </c>
      <c r="S270" s="592" t="e">
        <f ca="1">OFFSET('360SpcLdsCSV'!$B$5,$B270,S$51)</f>
        <v>#N/A</v>
      </c>
      <c r="T270" s="592" t="e">
        <f ca="1">OFFSET('360SpcLdsCSV'!$B$5,$B270,T$51)</f>
        <v>#N/A</v>
      </c>
      <c r="U270" s="592" t="e">
        <f ca="1">OFFSET('360SpcLdsCSV'!$B$5,$B270,U$51)</f>
        <v>#N/A</v>
      </c>
      <c r="V270" s="592" t="e">
        <f ca="1">OFFSET('360SpcLdsCSV'!$B$5,$B270,V$51)</f>
        <v>#N/A</v>
      </c>
      <c r="W270" s="592" t="e">
        <f ca="1">OFFSET('360SpcLdsCSV'!$B$5,$B270,W$51)</f>
        <v>#N/A</v>
      </c>
      <c r="X270" s="592" t="e">
        <f ca="1">OFFSET('360SpcLdsCSV'!$B$5,$B270,X$51)</f>
        <v>#N/A</v>
      </c>
      <c r="Y270" s="592" t="e">
        <f ca="1">OFFSET('360SpcLdsCSV'!$B$5,$B270,Y$51)</f>
        <v>#N/A</v>
      </c>
      <c r="Z270" s="592" t="e">
        <f ca="1">OFFSET('360SpcLdsCSV'!$B$5,$B270,Z$51)</f>
        <v>#N/A</v>
      </c>
      <c r="AA270" s="592" t="e">
        <f ca="1">OFFSET('360SpcLdsCSV'!$B$5,$B270,AA$51)</f>
        <v>#N/A</v>
      </c>
      <c r="AB270" s="592" t="e">
        <f ca="1">OFFSET('360SpcLdsCSV'!$B$5,$B270,AB$51)</f>
        <v>#N/A</v>
      </c>
      <c r="AC270" s="592" t="e">
        <f ca="1">OFFSET('360SpcLdsCSV'!$B$5,$B270,AC$51)</f>
        <v>#N/A</v>
      </c>
      <c r="AD270" s="592" t="e">
        <f ca="1">OFFSET('360SpcLdsCSV'!$B$5,$B270,AD$51)</f>
        <v>#N/A</v>
      </c>
      <c r="AE270" s="592" t="e">
        <f ca="1">OFFSET('360SpcLdsCSV'!$B$5,$B270,AE$51)</f>
        <v>#N/A</v>
      </c>
      <c r="AF270" s="592" t="e">
        <f ca="1">OFFSET('360SpcLdsCSV'!$B$5,$B270,AF$51)</f>
        <v>#N/A</v>
      </c>
      <c r="AG270" s="592" t="e">
        <f ca="1">OFFSET('360SpcLdsCSV'!$B$5,$B270,AG$51)</f>
        <v>#N/A</v>
      </c>
      <c r="AH270" s="592" t="e">
        <f ca="1">OFFSET('360SpcLdsCSV'!$B$5,$B270,AH$51)</f>
        <v>#N/A</v>
      </c>
      <c r="AI270" s="592" t="e">
        <f ca="1">OFFSET('360SpcLdsCSV'!$B$5,$B270,AI$51)</f>
        <v>#N/A</v>
      </c>
      <c r="AJ270" s="592" t="e" cm="1">
        <f t="array" ref="AJ270">_xlfn.IFS($F270="Resi",1,$F270="Racc",0,$F270="Coml",0,$F270="Prkg",0)</f>
        <v>#VALUE!</v>
      </c>
      <c r="AK270" s="596"/>
      <c r="AL270" s="590" t="e">
        <f ca="1">OFFSET('360SpcLdsCSV'!$B$5,$B270,AL$51)</f>
        <v>#N/A</v>
      </c>
      <c r="AM270" s="663" t="e">
        <f t="shared" ca="1" si="230"/>
        <v>#N/A</v>
      </c>
      <c r="AN270" s="663" t="e">
        <f t="shared" ca="1" si="231"/>
        <v>#N/A</v>
      </c>
      <c r="AO270" s="663" t="e">
        <f t="shared" ca="1" si="232"/>
        <v>#N/A</v>
      </c>
      <c r="AP270" s="663" t="e">
        <f t="shared" ca="1" si="233"/>
        <v>#N/A</v>
      </c>
      <c r="AQ270" s="663" t="e">
        <f t="shared" ca="1" si="234"/>
        <v>#N/A</v>
      </c>
      <c r="AR270" s="663" t="e">
        <f t="shared" ca="1" si="235"/>
        <v>#N/A</v>
      </c>
      <c r="AS270" s="663" t="e">
        <f t="shared" ca="1" si="236"/>
        <v>#N/A</v>
      </c>
      <c r="AT270" s="663" t="e">
        <f t="shared" ca="1" si="237"/>
        <v>#N/A</v>
      </c>
      <c r="AU270" s="663" t="e">
        <f t="shared" ca="1" si="238"/>
        <v>#N/A</v>
      </c>
      <c r="AV270" s="663" t="e">
        <f t="shared" ca="1" si="239"/>
        <v>#N/A</v>
      </c>
      <c r="AW270" s="663" t="e">
        <f t="shared" ca="1" si="208"/>
        <v>#N/A</v>
      </c>
      <c r="AX270" s="663" t="e">
        <f t="shared" ca="1" si="209"/>
        <v>#N/A</v>
      </c>
      <c r="AY270" s="663" t="e">
        <f t="shared" ca="1" si="210"/>
        <v>#N/A</v>
      </c>
      <c r="AZ270" s="663" t="e">
        <f t="shared" ca="1" si="211"/>
        <v>#N/A</v>
      </c>
      <c r="BA270" s="663" t="e">
        <f t="shared" ca="1" si="212"/>
        <v>#N/A</v>
      </c>
      <c r="BB270" s="663" t="e">
        <f t="shared" ca="1" si="213"/>
        <v>#N/A</v>
      </c>
      <c r="BC270" s="663" t="e">
        <f t="shared" ca="1" si="214"/>
        <v>#N/A</v>
      </c>
      <c r="BD270" s="663" t="e">
        <f t="shared" ca="1" si="215"/>
        <v>#N/A</v>
      </c>
      <c r="BE270" s="663" t="e">
        <f t="shared" ca="1" si="216"/>
        <v>#N/A</v>
      </c>
      <c r="BF270" s="663" t="e">
        <f t="shared" ca="1" si="217"/>
        <v>#N/A</v>
      </c>
      <c r="BG270" s="663" t="e">
        <f t="shared" ca="1" si="218"/>
        <v>#N/A</v>
      </c>
      <c r="BH270" s="663" t="e">
        <f t="shared" ca="1" si="219"/>
        <v>#N/A</v>
      </c>
      <c r="BI270" s="663" t="e">
        <f t="shared" ca="1" si="220"/>
        <v>#N/A</v>
      </c>
      <c r="BJ270" s="663" t="e">
        <f t="shared" ca="1" si="221"/>
        <v>#N/A</v>
      </c>
      <c r="BK270" s="663" t="e">
        <f t="shared" ca="1" si="222"/>
        <v>#N/A</v>
      </c>
      <c r="BL270" s="1918"/>
      <c r="BM270" s="1532"/>
      <c r="BN270" s="1919"/>
      <c r="BO270" s="603"/>
      <c r="BP270" s="602"/>
      <c r="BQ270" s="602"/>
      <c r="BR270" s="602"/>
      <c r="BS270" s="604"/>
      <c r="BT270" s="605"/>
      <c r="BU270" s="602"/>
      <c r="BV270" s="602"/>
      <c r="BW270" s="606"/>
      <c r="BX270" s="607"/>
      <c r="BY270" s="608"/>
      <c r="BZ270" s="608"/>
      <c r="CA270" s="608"/>
      <c r="CB270" s="600"/>
    </row>
    <row r="271" spans="2:80" ht="12" customHeight="1" x14ac:dyDescent="0.35">
      <c r="B271" s="590" t="e">
        <f>MATCH(C271,'360SpcLdsCSV'!$C$6:$C$500,0)</f>
        <v>#N/A</v>
      </c>
      <c r="C271" s="590">
        <f>'360SpcLdsCSV'!C220</f>
        <v>0</v>
      </c>
      <c r="D271" s="590" t="str">
        <f t="shared" si="226"/>
        <v>0</v>
      </c>
      <c r="E271" s="590" t="e">
        <f t="shared" si="227"/>
        <v>#VALUE!</v>
      </c>
      <c r="F271" s="590" t="e">
        <f t="shared" si="228"/>
        <v>#VALUE!</v>
      </c>
      <c r="G271" s="590" t="str">
        <f t="shared" si="229"/>
        <v>0</v>
      </c>
      <c r="H271" s="590" t="e">
        <f ca="1">OFFSET('360SpcLdsCSV'!$B$5,$B271,H$51)</f>
        <v>#N/A</v>
      </c>
      <c r="I271" s="590" t="e">
        <f ca="1">OFFSET('360SpcLdsCSV'!$B$5,$B271,I$51)</f>
        <v>#N/A</v>
      </c>
      <c r="J271" s="590" t="e">
        <f ca="1">OFFSET('360SpcLdsCSV'!$B$5,$B271,J$51)</f>
        <v>#N/A</v>
      </c>
      <c r="K271" s="590" t="e">
        <f ca="1">OFFSET('360SpcLdsCSV'!$B$5,$B271,K$51)</f>
        <v>#N/A</v>
      </c>
      <c r="L271" s="590" t="e">
        <f ca="1">OFFSET('360SpcLdsCSV'!$B$5,$B271,L$51)</f>
        <v>#N/A</v>
      </c>
      <c r="M271" s="592" t="e">
        <f ca="1">OFFSET('360SpcLdsCSV'!$B$5,$B271,M$51)</f>
        <v>#N/A</v>
      </c>
      <c r="N271" s="592" t="e">
        <f ca="1">OFFSET('360SpcLdsCSV'!$B$5,$B271,N$51)</f>
        <v>#N/A</v>
      </c>
      <c r="O271" s="592" t="e">
        <f ca="1">OFFSET('360SpcLdsCSV'!$B$5,$B271,O$51)</f>
        <v>#N/A</v>
      </c>
      <c r="P271" s="592" t="e">
        <f ca="1">OFFSET('360SpcLdsCSV'!$B$5,$B271,P$51)</f>
        <v>#N/A</v>
      </c>
      <c r="Q271" s="592" t="e">
        <f ca="1">OFFSET('360SpcLdsCSV'!$B$5,$B271,Q$51)</f>
        <v>#N/A</v>
      </c>
      <c r="R271" s="592" t="e">
        <f ca="1">OFFSET('360SpcLdsCSV'!$B$5,$B271,R$51)</f>
        <v>#N/A</v>
      </c>
      <c r="S271" s="592" t="e">
        <f ca="1">OFFSET('360SpcLdsCSV'!$B$5,$B271,S$51)</f>
        <v>#N/A</v>
      </c>
      <c r="T271" s="592" t="e">
        <f ca="1">OFFSET('360SpcLdsCSV'!$B$5,$B271,T$51)</f>
        <v>#N/A</v>
      </c>
      <c r="U271" s="592" t="e">
        <f ca="1">OFFSET('360SpcLdsCSV'!$B$5,$B271,U$51)</f>
        <v>#N/A</v>
      </c>
      <c r="V271" s="592" t="e">
        <f ca="1">OFFSET('360SpcLdsCSV'!$B$5,$B271,V$51)</f>
        <v>#N/A</v>
      </c>
      <c r="W271" s="592" t="e">
        <f ca="1">OFFSET('360SpcLdsCSV'!$B$5,$B271,W$51)</f>
        <v>#N/A</v>
      </c>
      <c r="X271" s="592" t="e">
        <f ca="1">OFFSET('360SpcLdsCSV'!$B$5,$B271,X$51)</f>
        <v>#N/A</v>
      </c>
      <c r="Y271" s="592" t="e">
        <f ca="1">OFFSET('360SpcLdsCSV'!$B$5,$B271,Y$51)</f>
        <v>#N/A</v>
      </c>
      <c r="Z271" s="592" t="e">
        <f ca="1">OFFSET('360SpcLdsCSV'!$B$5,$B271,Z$51)</f>
        <v>#N/A</v>
      </c>
      <c r="AA271" s="592" t="e">
        <f ca="1">OFFSET('360SpcLdsCSV'!$B$5,$B271,AA$51)</f>
        <v>#N/A</v>
      </c>
      <c r="AB271" s="592" t="e">
        <f ca="1">OFFSET('360SpcLdsCSV'!$B$5,$B271,AB$51)</f>
        <v>#N/A</v>
      </c>
      <c r="AC271" s="592" t="e">
        <f ca="1">OFFSET('360SpcLdsCSV'!$B$5,$B271,AC$51)</f>
        <v>#N/A</v>
      </c>
      <c r="AD271" s="592" t="e">
        <f ca="1">OFFSET('360SpcLdsCSV'!$B$5,$B271,AD$51)</f>
        <v>#N/A</v>
      </c>
      <c r="AE271" s="592" t="e">
        <f ca="1">OFFSET('360SpcLdsCSV'!$B$5,$B271,AE$51)</f>
        <v>#N/A</v>
      </c>
      <c r="AF271" s="592" t="e">
        <f ca="1">OFFSET('360SpcLdsCSV'!$B$5,$B271,AF$51)</f>
        <v>#N/A</v>
      </c>
      <c r="AG271" s="592" t="e">
        <f ca="1">OFFSET('360SpcLdsCSV'!$B$5,$B271,AG$51)</f>
        <v>#N/A</v>
      </c>
      <c r="AH271" s="592" t="e">
        <f ca="1">OFFSET('360SpcLdsCSV'!$B$5,$B271,AH$51)</f>
        <v>#N/A</v>
      </c>
      <c r="AI271" s="592" t="e">
        <f ca="1">OFFSET('360SpcLdsCSV'!$B$5,$B271,AI$51)</f>
        <v>#N/A</v>
      </c>
      <c r="AJ271" s="592" t="e" cm="1">
        <f t="array" ref="AJ271">_xlfn.IFS($F271="Resi",1,$F271="Racc",0,$F271="Coml",0,$F271="Prkg",0)</f>
        <v>#VALUE!</v>
      </c>
      <c r="AK271" s="596"/>
      <c r="AL271" s="590" t="e">
        <f ca="1">OFFSET('360SpcLdsCSV'!$B$5,$B271,AL$51)</f>
        <v>#N/A</v>
      </c>
      <c r="AM271" s="663" t="e">
        <f t="shared" ca="1" si="230"/>
        <v>#N/A</v>
      </c>
      <c r="AN271" s="663" t="e">
        <f t="shared" ca="1" si="231"/>
        <v>#N/A</v>
      </c>
      <c r="AO271" s="663" t="e">
        <f t="shared" ca="1" si="232"/>
        <v>#N/A</v>
      </c>
      <c r="AP271" s="663" t="e">
        <f t="shared" ca="1" si="233"/>
        <v>#N/A</v>
      </c>
      <c r="AQ271" s="663" t="e">
        <f t="shared" ca="1" si="234"/>
        <v>#N/A</v>
      </c>
      <c r="AR271" s="663" t="e">
        <f t="shared" ca="1" si="235"/>
        <v>#N/A</v>
      </c>
      <c r="AS271" s="663" t="e">
        <f t="shared" ca="1" si="236"/>
        <v>#N/A</v>
      </c>
      <c r="AT271" s="663" t="e">
        <f t="shared" ca="1" si="237"/>
        <v>#N/A</v>
      </c>
      <c r="AU271" s="663" t="e">
        <f t="shared" ca="1" si="238"/>
        <v>#N/A</v>
      </c>
      <c r="AV271" s="663" t="e">
        <f t="shared" ca="1" si="239"/>
        <v>#N/A</v>
      </c>
      <c r="AW271" s="663" t="e">
        <f t="shared" ca="1" si="208"/>
        <v>#N/A</v>
      </c>
      <c r="AX271" s="663" t="e">
        <f t="shared" ca="1" si="209"/>
        <v>#N/A</v>
      </c>
      <c r="AY271" s="663" t="e">
        <f t="shared" ca="1" si="210"/>
        <v>#N/A</v>
      </c>
      <c r="AZ271" s="663" t="e">
        <f t="shared" ca="1" si="211"/>
        <v>#N/A</v>
      </c>
      <c r="BA271" s="663" t="e">
        <f t="shared" ca="1" si="212"/>
        <v>#N/A</v>
      </c>
      <c r="BB271" s="663" t="e">
        <f t="shared" ca="1" si="213"/>
        <v>#N/A</v>
      </c>
      <c r="BC271" s="663" t="e">
        <f t="shared" ca="1" si="214"/>
        <v>#N/A</v>
      </c>
      <c r="BD271" s="663" t="e">
        <f t="shared" ca="1" si="215"/>
        <v>#N/A</v>
      </c>
      <c r="BE271" s="663" t="e">
        <f t="shared" ca="1" si="216"/>
        <v>#N/A</v>
      </c>
      <c r="BF271" s="663" t="e">
        <f t="shared" ca="1" si="217"/>
        <v>#N/A</v>
      </c>
      <c r="BG271" s="663" t="e">
        <f t="shared" ca="1" si="218"/>
        <v>#N/A</v>
      </c>
      <c r="BH271" s="663" t="e">
        <f t="shared" ca="1" si="219"/>
        <v>#N/A</v>
      </c>
      <c r="BI271" s="663" t="e">
        <f t="shared" ca="1" si="220"/>
        <v>#N/A</v>
      </c>
      <c r="BJ271" s="663" t="e">
        <f t="shared" ca="1" si="221"/>
        <v>#N/A</v>
      </c>
      <c r="BK271" s="663" t="e">
        <f t="shared" ca="1" si="222"/>
        <v>#N/A</v>
      </c>
      <c r="BL271" s="1918"/>
      <c r="BM271" s="1532"/>
      <c r="BN271" s="1919"/>
      <c r="BO271" s="603"/>
      <c r="BP271" s="602"/>
      <c r="BQ271" s="602"/>
      <c r="BR271" s="602"/>
      <c r="BS271" s="604"/>
      <c r="BT271" s="605"/>
      <c r="BU271" s="602"/>
      <c r="BV271" s="602"/>
      <c r="BW271" s="606"/>
      <c r="BX271" s="607"/>
      <c r="BY271" s="608"/>
      <c r="BZ271" s="608"/>
      <c r="CA271" s="608"/>
      <c r="CB271" s="600"/>
    </row>
    <row r="272" spans="2:80" ht="12" customHeight="1" x14ac:dyDescent="0.35">
      <c r="B272" s="590" t="e">
        <f>MATCH(C272,'360SpcLdsCSV'!$C$6:$C$500,0)</f>
        <v>#N/A</v>
      </c>
      <c r="C272" s="590">
        <f>'360SpcLdsCSV'!C221</f>
        <v>0</v>
      </c>
      <c r="D272" s="590" t="str">
        <f t="shared" si="226"/>
        <v>0</v>
      </c>
      <c r="E272" s="590" t="e">
        <f t="shared" si="227"/>
        <v>#VALUE!</v>
      </c>
      <c r="F272" s="590" t="e">
        <f t="shared" si="228"/>
        <v>#VALUE!</v>
      </c>
      <c r="G272" s="590" t="str">
        <f t="shared" si="229"/>
        <v>0</v>
      </c>
      <c r="H272" s="590" t="e">
        <f ca="1">OFFSET('360SpcLdsCSV'!$B$5,$B272,H$51)</f>
        <v>#N/A</v>
      </c>
      <c r="I272" s="590" t="e">
        <f ca="1">OFFSET('360SpcLdsCSV'!$B$5,$B272,I$51)</f>
        <v>#N/A</v>
      </c>
      <c r="J272" s="590" t="e">
        <f ca="1">OFFSET('360SpcLdsCSV'!$B$5,$B272,J$51)</f>
        <v>#N/A</v>
      </c>
      <c r="K272" s="590" t="e">
        <f ca="1">OFFSET('360SpcLdsCSV'!$B$5,$B272,K$51)</f>
        <v>#N/A</v>
      </c>
      <c r="L272" s="590" t="e">
        <f ca="1">OFFSET('360SpcLdsCSV'!$B$5,$B272,L$51)</f>
        <v>#N/A</v>
      </c>
      <c r="M272" s="592" t="e">
        <f ca="1">OFFSET('360SpcLdsCSV'!$B$5,$B272,M$51)</f>
        <v>#N/A</v>
      </c>
      <c r="N272" s="592" t="e">
        <f ca="1">OFFSET('360SpcLdsCSV'!$B$5,$B272,N$51)</f>
        <v>#N/A</v>
      </c>
      <c r="O272" s="592" t="e">
        <f ca="1">OFFSET('360SpcLdsCSV'!$B$5,$B272,O$51)</f>
        <v>#N/A</v>
      </c>
      <c r="P272" s="592" t="e">
        <f ca="1">OFFSET('360SpcLdsCSV'!$B$5,$B272,P$51)</f>
        <v>#N/A</v>
      </c>
      <c r="Q272" s="592" t="e">
        <f ca="1">OFFSET('360SpcLdsCSV'!$B$5,$B272,Q$51)</f>
        <v>#N/A</v>
      </c>
      <c r="R272" s="592" t="e">
        <f ca="1">OFFSET('360SpcLdsCSV'!$B$5,$B272,R$51)</f>
        <v>#N/A</v>
      </c>
      <c r="S272" s="592" t="e">
        <f ca="1">OFFSET('360SpcLdsCSV'!$B$5,$B272,S$51)</f>
        <v>#N/A</v>
      </c>
      <c r="T272" s="592" t="e">
        <f ca="1">OFFSET('360SpcLdsCSV'!$B$5,$B272,T$51)</f>
        <v>#N/A</v>
      </c>
      <c r="U272" s="592" t="e">
        <f ca="1">OFFSET('360SpcLdsCSV'!$B$5,$B272,U$51)</f>
        <v>#N/A</v>
      </c>
      <c r="V272" s="592" t="e">
        <f ca="1">OFFSET('360SpcLdsCSV'!$B$5,$B272,V$51)</f>
        <v>#N/A</v>
      </c>
      <c r="W272" s="592" t="e">
        <f ca="1">OFFSET('360SpcLdsCSV'!$B$5,$B272,W$51)</f>
        <v>#N/A</v>
      </c>
      <c r="X272" s="592" t="e">
        <f ca="1">OFFSET('360SpcLdsCSV'!$B$5,$B272,X$51)</f>
        <v>#N/A</v>
      </c>
      <c r="Y272" s="592" t="e">
        <f ca="1">OFFSET('360SpcLdsCSV'!$B$5,$B272,Y$51)</f>
        <v>#N/A</v>
      </c>
      <c r="Z272" s="592" t="e">
        <f ca="1">OFFSET('360SpcLdsCSV'!$B$5,$B272,Z$51)</f>
        <v>#N/A</v>
      </c>
      <c r="AA272" s="592" t="e">
        <f ca="1">OFFSET('360SpcLdsCSV'!$B$5,$B272,AA$51)</f>
        <v>#N/A</v>
      </c>
      <c r="AB272" s="592" t="e">
        <f ca="1">OFFSET('360SpcLdsCSV'!$B$5,$B272,AB$51)</f>
        <v>#N/A</v>
      </c>
      <c r="AC272" s="592" t="e">
        <f ca="1">OFFSET('360SpcLdsCSV'!$B$5,$B272,AC$51)</f>
        <v>#N/A</v>
      </c>
      <c r="AD272" s="592" t="e">
        <f ca="1">OFFSET('360SpcLdsCSV'!$B$5,$B272,AD$51)</f>
        <v>#N/A</v>
      </c>
      <c r="AE272" s="592" t="e">
        <f ca="1">OFFSET('360SpcLdsCSV'!$B$5,$B272,AE$51)</f>
        <v>#N/A</v>
      </c>
      <c r="AF272" s="592" t="e">
        <f ca="1">OFFSET('360SpcLdsCSV'!$B$5,$B272,AF$51)</f>
        <v>#N/A</v>
      </c>
      <c r="AG272" s="592" t="e">
        <f ca="1">OFFSET('360SpcLdsCSV'!$B$5,$B272,AG$51)</f>
        <v>#N/A</v>
      </c>
      <c r="AH272" s="592" t="e">
        <f ca="1">OFFSET('360SpcLdsCSV'!$B$5,$B272,AH$51)</f>
        <v>#N/A</v>
      </c>
      <c r="AI272" s="592" t="e">
        <f ca="1">OFFSET('360SpcLdsCSV'!$B$5,$B272,AI$51)</f>
        <v>#N/A</v>
      </c>
      <c r="AJ272" s="592" t="e" cm="1">
        <f t="array" ref="AJ272">_xlfn.IFS($F272="Resi",1,$F272="Racc",0,$F272="Coml",0,$F272="Prkg",0)</f>
        <v>#VALUE!</v>
      </c>
      <c r="AK272" s="596"/>
      <c r="AL272" s="590" t="e">
        <f ca="1">OFFSET('360SpcLdsCSV'!$B$5,$B272,AL$51)</f>
        <v>#N/A</v>
      </c>
      <c r="AM272" s="663" t="e">
        <f t="shared" ca="1" si="230"/>
        <v>#N/A</v>
      </c>
      <c r="AN272" s="663" t="e">
        <f t="shared" ca="1" si="231"/>
        <v>#N/A</v>
      </c>
      <c r="AO272" s="663" t="e">
        <f t="shared" ca="1" si="232"/>
        <v>#N/A</v>
      </c>
      <c r="AP272" s="663" t="e">
        <f t="shared" ca="1" si="233"/>
        <v>#N/A</v>
      </c>
      <c r="AQ272" s="663" t="e">
        <f t="shared" ca="1" si="234"/>
        <v>#N/A</v>
      </c>
      <c r="AR272" s="663" t="e">
        <f t="shared" ca="1" si="235"/>
        <v>#N/A</v>
      </c>
      <c r="AS272" s="663" t="e">
        <f t="shared" ca="1" si="236"/>
        <v>#N/A</v>
      </c>
      <c r="AT272" s="663" t="e">
        <f t="shared" ca="1" si="237"/>
        <v>#N/A</v>
      </c>
      <c r="AU272" s="663" t="e">
        <f t="shared" ca="1" si="238"/>
        <v>#N/A</v>
      </c>
      <c r="AV272" s="663" t="e">
        <f t="shared" ca="1" si="239"/>
        <v>#N/A</v>
      </c>
      <c r="AW272" s="663" t="e">
        <f t="shared" ca="1" si="208"/>
        <v>#N/A</v>
      </c>
      <c r="AX272" s="663" t="e">
        <f t="shared" ca="1" si="209"/>
        <v>#N/A</v>
      </c>
      <c r="AY272" s="663" t="e">
        <f t="shared" ca="1" si="210"/>
        <v>#N/A</v>
      </c>
      <c r="AZ272" s="663" t="e">
        <f t="shared" ca="1" si="211"/>
        <v>#N/A</v>
      </c>
      <c r="BA272" s="663" t="e">
        <f t="shared" ca="1" si="212"/>
        <v>#N/A</v>
      </c>
      <c r="BB272" s="663" t="e">
        <f t="shared" ca="1" si="213"/>
        <v>#N/A</v>
      </c>
      <c r="BC272" s="663" t="e">
        <f t="shared" ca="1" si="214"/>
        <v>#N/A</v>
      </c>
      <c r="BD272" s="663" t="e">
        <f t="shared" ca="1" si="215"/>
        <v>#N/A</v>
      </c>
      <c r="BE272" s="663" t="e">
        <f t="shared" ca="1" si="216"/>
        <v>#N/A</v>
      </c>
      <c r="BF272" s="663" t="e">
        <f t="shared" ca="1" si="217"/>
        <v>#N/A</v>
      </c>
      <c r="BG272" s="663" t="e">
        <f t="shared" ca="1" si="218"/>
        <v>#N/A</v>
      </c>
      <c r="BH272" s="663" t="e">
        <f t="shared" ca="1" si="219"/>
        <v>#N/A</v>
      </c>
      <c r="BI272" s="663" t="e">
        <f t="shared" ca="1" si="220"/>
        <v>#N/A</v>
      </c>
      <c r="BJ272" s="663" t="e">
        <f t="shared" ca="1" si="221"/>
        <v>#N/A</v>
      </c>
      <c r="BK272" s="663" t="e">
        <f t="shared" ca="1" si="222"/>
        <v>#N/A</v>
      </c>
      <c r="BL272" s="1918"/>
      <c r="BM272" s="1532"/>
      <c r="BN272" s="1919"/>
      <c r="BO272" s="603"/>
      <c r="BP272" s="602"/>
      <c r="BQ272" s="602"/>
      <c r="BR272" s="602"/>
      <c r="BS272" s="604"/>
      <c r="BT272" s="605"/>
      <c r="BU272" s="602"/>
      <c r="BV272" s="602"/>
      <c r="BW272" s="606"/>
      <c r="BX272" s="607"/>
      <c r="BY272" s="608"/>
      <c r="BZ272" s="608"/>
      <c r="CA272" s="608"/>
      <c r="CB272" s="600"/>
    </row>
    <row r="273" spans="2:80" ht="12" customHeight="1" x14ac:dyDescent="0.35">
      <c r="B273" s="590" t="e">
        <f>MATCH(C273,'360SpcLdsCSV'!$C$6:$C$500,0)</f>
        <v>#N/A</v>
      </c>
      <c r="C273" s="590">
        <f>'360SpcLdsCSV'!C222</f>
        <v>0</v>
      </c>
      <c r="D273" s="590" t="str">
        <f t="shared" si="226"/>
        <v>0</v>
      </c>
      <c r="E273" s="590" t="e">
        <f t="shared" si="227"/>
        <v>#VALUE!</v>
      </c>
      <c r="F273" s="590" t="e">
        <f t="shared" si="228"/>
        <v>#VALUE!</v>
      </c>
      <c r="G273" s="590" t="str">
        <f t="shared" si="229"/>
        <v>0</v>
      </c>
      <c r="H273" s="590" t="e">
        <f ca="1">OFFSET('360SpcLdsCSV'!$B$5,$B273,H$51)</f>
        <v>#N/A</v>
      </c>
      <c r="I273" s="590" t="e">
        <f ca="1">OFFSET('360SpcLdsCSV'!$B$5,$B273,I$51)</f>
        <v>#N/A</v>
      </c>
      <c r="J273" s="590" t="e">
        <f ca="1">OFFSET('360SpcLdsCSV'!$B$5,$B273,J$51)</f>
        <v>#N/A</v>
      </c>
      <c r="K273" s="590" t="e">
        <f ca="1">OFFSET('360SpcLdsCSV'!$B$5,$B273,K$51)</f>
        <v>#N/A</v>
      </c>
      <c r="L273" s="590" t="e">
        <f ca="1">OFFSET('360SpcLdsCSV'!$B$5,$B273,L$51)</f>
        <v>#N/A</v>
      </c>
      <c r="M273" s="592" t="e">
        <f ca="1">OFFSET('360SpcLdsCSV'!$B$5,$B273,M$51)</f>
        <v>#N/A</v>
      </c>
      <c r="N273" s="592" t="e">
        <f ca="1">OFFSET('360SpcLdsCSV'!$B$5,$B273,N$51)</f>
        <v>#N/A</v>
      </c>
      <c r="O273" s="592" t="e">
        <f ca="1">OFFSET('360SpcLdsCSV'!$B$5,$B273,O$51)</f>
        <v>#N/A</v>
      </c>
      <c r="P273" s="592" t="e">
        <f ca="1">OFFSET('360SpcLdsCSV'!$B$5,$B273,P$51)</f>
        <v>#N/A</v>
      </c>
      <c r="Q273" s="592" t="e">
        <f ca="1">OFFSET('360SpcLdsCSV'!$B$5,$B273,Q$51)</f>
        <v>#N/A</v>
      </c>
      <c r="R273" s="592" t="e">
        <f ca="1">OFFSET('360SpcLdsCSV'!$B$5,$B273,R$51)</f>
        <v>#N/A</v>
      </c>
      <c r="S273" s="592" t="e">
        <f ca="1">OFFSET('360SpcLdsCSV'!$B$5,$B273,S$51)</f>
        <v>#N/A</v>
      </c>
      <c r="T273" s="592" t="e">
        <f ca="1">OFFSET('360SpcLdsCSV'!$B$5,$B273,T$51)</f>
        <v>#N/A</v>
      </c>
      <c r="U273" s="592" t="e">
        <f ca="1">OFFSET('360SpcLdsCSV'!$B$5,$B273,U$51)</f>
        <v>#N/A</v>
      </c>
      <c r="V273" s="592" t="e">
        <f ca="1">OFFSET('360SpcLdsCSV'!$B$5,$B273,V$51)</f>
        <v>#N/A</v>
      </c>
      <c r="W273" s="592" t="e">
        <f ca="1">OFFSET('360SpcLdsCSV'!$B$5,$B273,W$51)</f>
        <v>#N/A</v>
      </c>
      <c r="X273" s="592" t="e">
        <f ca="1">OFFSET('360SpcLdsCSV'!$B$5,$B273,X$51)</f>
        <v>#N/A</v>
      </c>
      <c r="Y273" s="592" t="e">
        <f ca="1">OFFSET('360SpcLdsCSV'!$B$5,$B273,Y$51)</f>
        <v>#N/A</v>
      </c>
      <c r="Z273" s="592" t="e">
        <f ca="1">OFFSET('360SpcLdsCSV'!$B$5,$B273,Z$51)</f>
        <v>#N/A</v>
      </c>
      <c r="AA273" s="592" t="e">
        <f ca="1">OFFSET('360SpcLdsCSV'!$B$5,$B273,AA$51)</f>
        <v>#N/A</v>
      </c>
      <c r="AB273" s="592" t="e">
        <f ca="1">OFFSET('360SpcLdsCSV'!$B$5,$B273,AB$51)</f>
        <v>#N/A</v>
      </c>
      <c r="AC273" s="592" t="e">
        <f ca="1">OFFSET('360SpcLdsCSV'!$B$5,$B273,AC$51)</f>
        <v>#N/A</v>
      </c>
      <c r="AD273" s="592" t="e">
        <f ca="1">OFFSET('360SpcLdsCSV'!$B$5,$B273,AD$51)</f>
        <v>#N/A</v>
      </c>
      <c r="AE273" s="592" t="e">
        <f ca="1">OFFSET('360SpcLdsCSV'!$B$5,$B273,AE$51)</f>
        <v>#N/A</v>
      </c>
      <c r="AF273" s="592" t="e">
        <f ca="1">OFFSET('360SpcLdsCSV'!$B$5,$B273,AF$51)</f>
        <v>#N/A</v>
      </c>
      <c r="AG273" s="592" t="e">
        <f ca="1">OFFSET('360SpcLdsCSV'!$B$5,$B273,AG$51)</f>
        <v>#N/A</v>
      </c>
      <c r="AH273" s="592" t="e">
        <f ca="1">OFFSET('360SpcLdsCSV'!$B$5,$B273,AH$51)</f>
        <v>#N/A</v>
      </c>
      <c r="AI273" s="592" t="e">
        <f ca="1">OFFSET('360SpcLdsCSV'!$B$5,$B273,AI$51)</f>
        <v>#N/A</v>
      </c>
      <c r="AJ273" s="592" t="e" cm="1">
        <f t="array" ref="AJ273">_xlfn.IFS($F273="Resi",1,$F273="Racc",0,$F273="Coml",0,$F273="Prkg",0)</f>
        <v>#VALUE!</v>
      </c>
      <c r="AK273" s="596"/>
      <c r="AL273" s="590" t="e">
        <f ca="1">OFFSET('360SpcLdsCSV'!$B$5,$B273,AL$51)</f>
        <v>#N/A</v>
      </c>
      <c r="AM273" s="663" t="e">
        <f t="shared" ca="1" si="230"/>
        <v>#N/A</v>
      </c>
      <c r="AN273" s="663" t="e">
        <f t="shared" ca="1" si="231"/>
        <v>#N/A</v>
      </c>
      <c r="AO273" s="663" t="e">
        <f t="shared" ca="1" si="232"/>
        <v>#N/A</v>
      </c>
      <c r="AP273" s="663" t="e">
        <f t="shared" ca="1" si="233"/>
        <v>#N/A</v>
      </c>
      <c r="AQ273" s="663" t="e">
        <f t="shared" ca="1" si="234"/>
        <v>#N/A</v>
      </c>
      <c r="AR273" s="663" t="e">
        <f t="shared" ca="1" si="235"/>
        <v>#N/A</v>
      </c>
      <c r="AS273" s="663" t="e">
        <f t="shared" ca="1" si="236"/>
        <v>#N/A</v>
      </c>
      <c r="AT273" s="663" t="e">
        <f t="shared" ca="1" si="237"/>
        <v>#N/A</v>
      </c>
      <c r="AU273" s="663" t="e">
        <f t="shared" ca="1" si="238"/>
        <v>#N/A</v>
      </c>
      <c r="AV273" s="663" t="e">
        <f t="shared" ca="1" si="239"/>
        <v>#N/A</v>
      </c>
      <c r="AW273" s="663" t="e">
        <f t="shared" ca="1" si="208"/>
        <v>#N/A</v>
      </c>
      <c r="AX273" s="663" t="e">
        <f t="shared" ca="1" si="209"/>
        <v>#N/A</v>
      </c>
      <c r="AY273" s="663" t="e">
        <f t="shared" ca="1" si="210"/>
        <v>#N/A</v>
      </c>
      <c r="AZ273" s="663" t="e">
        <f t="shared" ca="1" si="211"/>
        <v>#N/A</v>
      </c>
      <c r="BA273" s="663" t="e">
        <f t="shared" ca="1" si="212"/>
        <v>#N/A</v>
      </c>
      <c r="BB273" s="663" t="e">
        <f t="shared" ca="1" si="213"/>
        <v>#N/A</v>
      </c>
      <c r="BC273" s="663" t="e">
        <f t="shared" ca="1" si="214"/>
        <v>#N/A</v>
      </c>
      <c r="BD273" s="663" t="e">
        <f t="shared" ca="1" si="215"/>
        <v>#N/A</v>
      </c>
      <c r="BE273" s="663" t="e">
        <f t="shared" ca="1" si="216"/>
        <v>#N/A</v>
      </c>
      <c r="BF273" s="663" t="e">
        <f t="shared" ca="1" si="217"/>
        <v>#N/A</v>
      </c>
      <c r="BG273" s="663" t="e">
        <f t="shared" ca="1" si="218"/>
        <v>#N/A</v>
      </c>
      <c r="BH273" s="663" t="e">
        <f t="shared" ca="1" si="219"/>
        <v>#N/A</v>
      </c>
      <c r="BI273" s="663" t="e">
        <f t="shared" ca="1" si="220"/>
        <v>#N/A</v>
      </c>
      <c r="BJ273" s="663" t="e">
        <f t="shared" ca="1" si="221"/>
        <v>#N/A</v>
      </c>
      <c r="BK273" s="663" t="e">
        <f t="shared" ca="1" si="222"/>
        <v>#N/A</v>
      </c>
      <c r="BL273" s="1918"/>
      <c r="BM273" s="1532"/>
      <c r="BN273" s="1919"/>
      <c r="BO273" s="603"/>
      <c r="BP273" s="602"/>
      <c r="BQ273" s="602"/>
      <c r="BR273" s="602"/>
      <c r="BS273" s="604"/>
      <c r="BT273" s="605"/>
      <c r="BU273" s="602"/>
      <c r="BV273" s="602"/>
      <c r="BW273" s="606"/>
      <c r="BX273" s="607"/>
      <c r="BY273" s="608"/>
      <c r="BZ273" s="608"/>
      <c r="CA273" s="608"/>
      <c r="CB273" s="600"/>
    </row>
    <row r="274" spans="2:80" ht="12" customHeight="1" x14ac:dyDescent="0.35">
      <c r="B274" s="590" t="e">
        <f>MATCH(C274,'360SpcLdsCSV'!$C$6:$C$500,0)</f>
        <v>#N/A</v>
      </c>
      <c r="C274" s="590">
        <f>'360SpcLdsCSV'!C223</f>
        <v>0</v>
      </c>
      <c r="D274" s="590" t="str">
        <f t="shared" si="226"/>
        <v>0</v>
      </c>
      <c r="E274" s="590" t="e">
        <f t="shared" si="227"/>
        <v>#VALUE!</v>
      </c>
      <c r="F274" s="590" t="e">
        <f t="shared" si="228"/>
        <v>#VALUE!</v>
      </c>
      <c r="G274" s="590" t="str">
        <f t="shared" si="229"/>
        <v>0</v>
      </c>
      <c r="H274" s="590" t="e">
        <f ca="1">OFFSET('360SpcLdsCSV'!$B$5,$B274,H$51)</f>
        <v>#N/A</v>
      </c>
      <c r="I274" s="590" t="e">
        <f ca="1">OFFSET('360SpcLdsCSV'!$B$5,$B274,I$51)</f>
        <v>#N/A</v>
      </c>
      <c r="J274" s="590" t="e">
        <f ca="1">OFFSET('360SpcLdsCSV'!$B$5,$B274,J$51)</f>
        <v>#N/A</v>
      </c>
      <c r="K274" s="590" t="e">
        <f ca="1">OFFSET('360SpcLdsCSV'!$B$5,$B274,K$51)</f>
        <v>#N/A</v>
      </c>
      <c r="L274" s="590" t="e">
        <f ca="1">OFFSET('360SpcLdsCSV'!$B$5,$B274,L$51)</f>
        <v>#N/A</v>
      </c>
      <c r="M274" s="592" t="e">
        <f ca="1">OFFSET('360SpcLdsCSV'!$B$5,$B274,M$51)</f>
        <v>#N/A</v>
      </c>
      <c r="N274" s="592" t="e">
        <f ca="1">OFFSET('360SpcLdsCSV'!$B$5,$B274,N$51)</f>
        <v>#N/A</v>
      </c>
      <c r="O274" s="592" t="e">
        <f ca="1">OFFSET('360SpcLdsCSV'!$B$5,$B274,O$51)</f>
        <v>#N/A</v>
      </c>
      <c r="P274" s="592" t="e">
        <f ca="1">OFFSET('360SpcLdsCSV'!$B$5,$B274,P$51)</f>
        <v>#N/A</v>
      </c>
      <c r="Q274" s="592" t="e">
        <f ca="1">OFFSET('360SpcLdsCSV'!$B$5,$B274,Q$51)</f>
        <v>#N/A</v>
      </c>
      <c r="R274" s="592" t="e">
        <f ca="1">OFFSET('360SpcLdsCSV'!$B$5,$B274,R$51)</f>
        <v>#N/A</v>
      </c>
      <c r="S274" s="592" t="e">
        <f ca="1">OFFSET('360SpcLdsCSV'!$B$5,$B274,S$51)</f>
        <v>#N/A</v>
      </c>
      <c r="T274" s="592" t="e">
        <f ca="1">OFFSET('360SpcLdsCSV'!$B$5,$B274,T$51)</f>
        <v>#N/A</v>
      </c>
      <c r="U274" s="592" t="e">
        <f ca="1">OFFSET('360SpcLdsCSV'!$B$5,$B274,U$51)</f>
        <v>#N/A</v>
      </c>
      <c r="V274" s="592" t="e">
        <f ca="1">OFFSET('360SpcLdsCSV'!$B$5,$B274,V$51)</f>
        <v>#N/A</v>
      </c>
      <c r="W274" s="592" t="e">
        <f ca="1">OFFSET('360SpcLdsCSV'!$B$5,$B274,W$51)</f>
        <v>#N/A</v>
      </c>
      <c r="X274" s="592" t="e">
        <f ca="1">OFFSET('360SpcLdsCSV'!$B$5,$B274,X$51)</f>
        <v>#N/A</v>
      </c>
      <c r="Y274" s="592" t="e">
        <f ca="1">OFFSET('360SpcLdsCSV'!$B$5,$B274,Y$51)</f>
        <v>#N/A</v>
      </c>
      <c r="Z274" s="592" t="e">
        <f ca="1">OFFSET('360SpcLdsCSV'!$B$5,$B274,Z$51)</f>
        <v>#N/A</v>
      </c>
      <c r="AA274" s="592" t="e">
        <f ca="1">OFFSET('360SpcLdsCSV'!$B$5,$B274,AA$51)</f>
        <v>#N/A</v>
      </c>
      <c r="AB274" s="592" t="e">
        <f ca="1">OFFSET('360SpcLdsCSV'!$B$5,$B274,AB$51)</f>
        <v>#N/A</v>
      </c>
      <c r="AC274" s="592" t="e">
        <f ca="1">OFFSET('360SpcLdsCSV'!$B$5,$B274,AC$51)</f>
        <v>#N/A</v>
      </c>
      <c r="AD274" s="592" t="e">
        <f ca="1">OFFSET('360SpcLdsCSV'!$B$5,$B274,AD$51)</f>
        <v>#N/A</v>
      </c>
      <c r="AE274" s="592" t="e">
        <f ca="1">OFFSET('360SpcLdsCSV'!$B$5,$B274,AE$51)</f>
        <v>#N/A</v>
      </c>
      <c r="AF274" s="592" t="e">
        <f ca="1">OFFSET('360SpcLdsCSV'!$B$5,$B274,AF$51)</f>
        <v>#N/A</v>
      </c>
      <c r="AG274" s="592" t="e">
        <f ca="1">OFFSET('360SpcLdsCSV'!$B$5,$B274,AG$51)</f>
        <v>#N/A</v>
      </c>
      <c r="AH274" s="592" t="e">
        <f ca="1">OFFSET('360SpcLdsCSV'!$B$5,$B274,AH$51)</f>
        <v>#N/A</v>
      </c>
      <c r="AI274" s="592" t="e">
        <f ca="1">OFFSET('360SpcLdsCSV'!$B$5,$B274,AI$51)</f>
        <v>#N/A</v>
      </c>
      <c r="AJ274" s="592" t="e" cm="1">
        <f t="array" ref="AJ274">_xlfn.IFS($F274="Resi",1,$F274="Racc",0,$F274="Coml",0,$F274="Prkg",0)</f>
        <v>#VALUE!</v>
      </c>
      <c r="AK274" s="596"/>
      <c r="AL274" s="590" t="e">
        <f ca="1">OFFSET('360SpcLdsCSV'!$B$5,$B274,AL$51)</f>
        <v>#N/A</v>
      </c>
      <c r="AM274" s="663" t="e">
        <f t="shared" ca="1" si="230"/>
        <v>#N/A</v>
      </c>
      <c r="AN274" s="663" t="e">
        <f t="shared" ca="1" si="231"/>
        <v>#N/A</v>
      </c>
      <c r="AO274" s="663" t="e">
        <f t="shared" ca="1" si="232"/>
        <v>#N/A</v>
      </c>
      <c r="AP274" s="663" t="e">
        <f t="shared" ca="1" si="233"/>
        <v>#N/A</v>
      </c>
      <c r="AQ274" s="663" t="e">
        <f t="shared" ca="1" si="234"/>
        <v>#N/A</v>
      </c>
      <c r="AR274" s="663" t="e">
        <f t="shared" ca="1" si="235"/>
        <v>#N/A</v>
      </c>
      <c r="AS274" s="663" t="e">
        <f t="shared" ca="1" si="236"/>
        <v>#N/A</v>
      </c>
      <c r="AT274" s="663" t="e">
        <f t="shared" ca="1" si="237"/>
        <v>#N/A</v>
      </c>
      <c r="AU274" s="663" t="e">
        <f t="shared" ca="1" si="238"/>
        <v>#N/A</v>
      </c>
      <c r="AV274" s="663" t="e">
        <f t="shared" ca="1" si="239"/>
        <v>#N/A</v>
      </c>
      <c r="AW274" s="663" t="e">
        <f t="shared" ca="1" si="208"/>
        <v>#N/A</v>
      </c>
      <c r="AX274" s="663" t="e">
        <f t="shared" ca="1" si="209"/>
        <v>#N/A</v>
      </c>
      <c r="AY274" s="663" t="e">
        <f t="shared" ca="1" si="210"/>
        <v>#N/A</v>
      </c>
      <c r="AZ274" s="663" t="e">
        <f t="shared" ca="1" si="211"/>
        <v>#N/A</v>
      </c>
      <c r="BA274" s="663" t="e">
        <f t="shared" ca="1" si="212"/>
        <v>#N/A</v>
      </c>
      <c r="BB274" s="663" t="e">
        <f t="shared" ca="1" si="213"/>
        <v>#N/A</v>
      </c>
      <c r="BC274" s="663" t="e">
        <f t="shared" ca="1" si="214"/>
        <v>#N/A</v>
      </c>
      <c r="BD274" s="663" t="e">
        <f t="shared" ca="1" si="215"/>
        <v>#N/A</v>
      </c>
      <c r="BE274" s="663" t="e">
        <f t="shared" ca="1" si="216"/>
        <v>#N/A</v>
      </c>
      <c r="BF274" s="663" t="e">
        <f t="shared" ca="1" si="217"/>
        <v>#N/A</v>
      </c>
      <c r="BG274" s="663" t="e">
        <f t="shared" ca="1" si="218"/>
        <v>#N/A</v>
      </c>
      <c r="BH274" s="663" t="e">
        <f t="shared" ca="1" si="219"/>
        <v>#N/A</v>
      </c>
      <c r="BI274" s="663" t="e">
        <f t="shared" ca="1" si="220"/>
        <v>#N/A</v>
      </c>
      <c r="BJ274" s="663" t="e">
        <f t="shared" ca="1" si="221"/>
        <v>#N/A</v>
      </c>
      <c r="BK274" s="663" t="e">
        <f t="shared" ca="1" si="222"/>
        <v>#N/A</v>
      </c>
      <c r="BL274" s="1918"/>
      <c r="BM274" s="1532"/>
      <c r="BN274" s="1919"/>
      <c r="BO274" s="603"/>
      <c r="BP274" s="602"/>
      <c r="BQ274" s="602"/>
      <c r="BR274" s="602"/>
      <c r="BS274" s="604"/>
      <c r="BT274" s="605"/>
      <c r="BU274" s="602"/>
      <c r="BV274" s="602"/>
      <c r="BW274" s="606"/>
      <c r="BX274" s="607"/>
      <c r="BY274" s="608"/>
      <c r="BZ274" s="608"/>
      <c r="CA274" s="608"/>
      <c r="CB274" s="600"/>
    </row>
    <row r="275" spans="2:80" ht="12" customHeight="1" x14ac:dyDescent="0.35">
      <c r="B275" s="590" t="e">
        <f>MATCH(C275,'360SpcLdsCSV'!$C$6:$C$500,0)</f>
        <v>#N/A</v>
      </c>
      <c r="C275" s="590">
        <f>'360SpcLdsCSV'!C224</f>
        <v>0</v>
      </c>
      <c r="D275" s="590" t="str">
        <f t="shared" si="226"/>
        <v>0</v>
      </c>
      <c r="E275" s="590" t="e">
        <f t="shared" si="227"/>
        <v>#VALUE!</v>
      </c>
      <c r="F275" s="590" t="e">
        <f t="shared" si="228"/>
        <v>#VALUE!</v>
      </c>
      <c r="G275" s="590" t="str">
        <f t="shared" si="229"/>
        <v>0</v>
      </c>
      <c r="H275" s="590" t="e">
        <f ca="1">OFFSET('360SpcLdsCSV'!$B$5,$B275,H$51)</f>
        <v>#N/A</v>
      </c>
      <c r="I275" s="590" t="e">
        <f ca="1">OFFSET('360SpcLdsCSV'!$B$5,$B275,I$51)</f>
        <v>#N/A</v>
      </c>
      <c r="J275" s="590" t="e">
        <f ca="1">OFFSET('360SpcLdsCSV'!$B$5,$B275,J$51)</f>
        <v>#N/A</v>
      </c>
      <c r="K275" s="590" t="e">
        <f ca="1">OFFSET('360SpcLdsCSV'!$B$5,$B275,K$51)</f>
        <v>#N/A</v>
      </c>
      <c r="L275" s="590" t="e">
        <f ca="1">OFFSET('360SpcLdsCSV'!$B$5,$B275,L$51)</f>
        <v>#N/A</v>
      </c>
      <c r="M275" s="592" t="e">
        <f ca="1">OFFSET('360SpcLdsCSV'!$B$5,$B275,M$51)</f>
        <v>#N/A</v>
      </c>
      <c r="N275" s="592" t="e">
        <f ca="1">OFFSET('360SpcLdsCSV'!$B$5,$B275,N$51)</f>
        <v>#N/A</v>
      </c>
      <c r="O275" s="592" t="e">
        <f ca="1">OFFSET('360SpcLdsCSV'!$B$5,$B275,O$51)</f>
        <v>#N/A</v>
      </c>
      <c r="P275" s="592" t="e">
        <f ca="1">OFFSET('360SpcLdsCSV'!$B$5,$B275,P$51)</f>
        <v>#N/A</v>
      </c>
      <c r="Q275" s="592" t="e">
        <f ca="1">OFFSET('360SpcLdsCSV'!$B$5,$B275,Q$51)</f>
        <v>#N/A</v>
      </c>
      <c r="R275" s="592" t="e">
        <f ca="1">OFFSET('360SpcLdsCSV'!$B$5,$B275,R$51)</f>
        <v>#N/A</v>
      </c>
      <c r="S275" s="592" t="e">
        <f ca="1">OFFSET('360SpcLdsCSV'!$B$5,$B275,S$51)</f>
        <v>#N/A</v>
      </c>
      <c r="T275" s="592" t="e">
        <f ca="1">OFFSET('360SpcLdsCSV'!$B$5,$B275,T$51)</f>
        <v>#N/A</v>
      </c>
      <c r="U275" s="592" t="e">
        <f ca="1">OFFSET('360SpcLdsCSV'!$B$5,$B275,U$51)</f>
        <v>#N/A</v>
      </c>
      <c r="V275" s="592" t="e">
        <f ca="1">OFFSET('360SpcLdsCSV'!$B$5,$B275,V$51)</f>
        <v>#N/A</v>
      </c>
      <c r="W275" s="592" t="e">
        <f ca="1">OFFSET('360SpcLdsCSV'!$B$5,$B275,W$51)</f>
        <v>#N/A</v>
      </c>
      <c r="X275" s="592" t="e">
        <f ca="1">OFFSET('360SpcLdsCSV'!$B$5,$B275,X$51)</f>
        <v>#N/A</v>
      </c>
      <c r="Y275" s="592" t="e">
        <f ca="1">OFFSET('360SpcLdsCSV'!$B$5,$B275,Y$51)</f>
        <v>#N/A</v>
      </c>
      <c r="Z275" s="592" t="e">
        <f ca="1">OFFSET('360SpcLdsCSV'!$B$5,$B275,Z$51)</f>
        <v>#N/A</v>
      </c>
      <c r="AA275" s="592" t="e">
        <f ca="1">OFFSET('360SpcLdsCSV'!$B$5,$B275,AA$51)</f>
        <v>#N/A</v>
      </c>
      <c r="AB275" s="592" t="e">
        <f ca="1">OFFSET('360SpcLdsCSV'!$B$5,$B275,AB$51)</f>
        <v>#N/A</v>
      </c>
      <c r="AC275" s="592" t="e">
        <f ca="1">OFFSET('360SpcLdsCSV'!$B$5,$B275,AC$51)</f>
        <v>#N/A</v>
      </c>
      <c r="AD275" s="592" t="e">
        <f ca="1">OFFSET('360SpcLdsCSV'!$B$5,$B275,AD$51)</f>
        <v>#N/A</v>
      </c>
      <c r="AE275" s="592" t="e">
        <f ca="1">OFFSET('360SpcLdsCSV'!$B$5,$B275,AE$51)</f>
        <v>#N/A</v>
      </c>
      <c r="AF275" s="592" t="e">
        <f ca="1">OFFSET('360SpcLdsCSV'!$B$5,$B275,AF$51)</f>
        <v>#N/A</v>
      </c>
      <c r="AG275" s="592" t="e">
        <f ca="1">OFFSET('360SpcLdsCSV'!$B$5,$B275,AG$51)</f>
        <v>#N/A</v>
      </c>
      <c r="AH275" s="592" t="e">
        <f ca="1">OFFSET('360SpcLdsCSV'!$B$5,$B275,AH$51)</f>
        <v>#N/A</v>
      </c>
      <c r="AI275" s="592" t="e">
        <f ca="1">OFFSET('360SpcLdsCSV'!$B$5,$B275,AI$51)</f>
        <v>#N/A</v>
      </c>
      <c r="AJ275" s="592" t="e" cm="1">
        <f t="array" ref="AJ275">_xlfn.IFS($F275="Resi",1,$F275="Racc",0,$F275="Coml",0,$F275="Prkg",0)</f>
        <v>#VALUE!</v>
      </c>
      <c r="AK275" s="596"/>
      <c r="AL275" s="590" t="e">
        <f ca="1">OFFSET('360SpcLdsCSV'!$B$5,$B275,AL$51)</f>
        <v>#N/A</v>
      </c>
      <c r="AM275" s="663" t="e">
        <f t="shared" ca="1" si="230"/>
        <v>#N/A</v>
      </c>
      <c r="AN275" s="663" t="e">
        <f t="shared" ca="1" si="231"/>
        <v>#N/A</v>
      </c>
      <c r="AO275" s="663" t="e">
        <f t="shared" ca="1" si="232"/>
        <v>#N/A</v>
      </c>
      <c r="AP275" s="663" t="e">
        <f t="shared" ca="1" si="233"/>
        <v>#N/A</v>
      </c>
      <c r="AQ275" s="663" t="e">
        <f t="shared" ca="1" si="234"/>
        <v>#N/A</v>
      </c>
      <c r="AR275" s="663" t="e">
        <f t="shared" ca="1" si="235"/>
        <v>#N/A</v>
      </c>
      <c r="AS275" s="663" t="e">
        <f t="shared" ca="1" si="236"/>
        <v>#N/A</v>
      </c>
      <c r="AT275" s="663" t="e">
        <f t="shared" ca="1" si="237"/>
        <v>#N/A</v>
      </c>
      <c r="AU275" s="663" t="e">
        <f t="shared" ca="1" si="238"/>
        <v>#N/A</v>
      </c>
      <c r="AV275" s="663" t="e">
        <f t="shared" ca="1" si="239"/>
        <v>#N/A</v>
      </c>
      <c r="AW275" s="663" t="e">
        <f t="shared" ca="1" si="208"/>
        <v>#N/A</v>
      </c>
      <c r="AX275" s="663" t="e">
        <f t="shared" ca="1" si="209"/>
        <v>#N/A</v>
      </c>
      <c r="AY275" s="663" t="e">
        <f t="shared" ca="1" si="210"/>
        <v>#N/A</v>
      </c>
      <c r="AZ275" s="663" t="e">
        <f t="shared" ca="1" si="211"/>
        <v>#N/A</v>
      </c>
      <c r="BA275" s="663" t="e">
        <f t="shared" ca="1" si="212"/>
        <v>#N/A</v>
      </c>
      <c r="BB275" s="663" t="e">
        <f t="shared" ca="1" si="213"/>
        <v>#N/A</v>
      </c>
      <c r="BC275" s="663" t="e">
        <f t="shared" ca="1" si="214"/>
        <v>#N/A</v>
      </c>
      <c r="BD275" s="663" t="e">
        <f t="shared" ca="1" si="215"/>
        <v>#N/A</v>
      </c>
      <c r="BE275" s="663" t="e">
        <f t="shared" ca="1" si="216"/>
        <v>#N/A</v>
      </c>
      <c r="BF275" s="663" t="e">
        <f t="shared" ca="1" si="217"/>
        <v>#N/A</v>
      </c>
      <c r="BG275" s="663" t="e">
        <f t="shared" ca="1" si="218"/>
        <v>#N/A</v>
      </c>
      <c r="BH275" s="663" t="e">
        <f t="shared" ca="1" si="219"/>
        <v>#N/A</v>
      </c>
      <c r="BI275" s="663" t="e">
        <f t="shared" ca="1" si="220"/>
        <v>#N/A</v>
      </c>
      <c r="BJ275" s="663" t="e">
        <f t="shared" ca="1" si="221"/>
        <v>#N/A</v>
      </c>
      <c r="BK275" s="663" t="e">
        <f t="shared" ca="1" si="222"/>
        <v>#N/A</v>
      </c>
      <c r="BL275" s="1918"/>
      <c r="BM275" s="1532"/>
      <c r="BN275" s="1919"/>
      <c r="BO275" s="603"/>
      <c r="BP275" s="602"/>
      <c r="BQ275" s="602"/>
      <c r="BR275" s="602"/>
      <c r="BS275" s="604"/>
      <c r="BT275" s="605"/>
      <c r="BU275" s="602"/>
      <c r="BV275" s="602"/>
      <c r="BW275" s="606"/>
      <c r="BX275" s="607"/>
      <c r="BY275" s="608"/>
      <c r="BZ275" s="608"/>
      <c r="CA275" s="608"/>
      <c r="CB275" s="600"/>
    </row>
    <row r="276" spans="2:80" ht="12" customHeight="1" x14ac:dyDescent="0.35">
      <c r="B276" s="590" t="e">
        <f>MATCH(C276,'360SpcLdsCSV'!$C$6:$C$500,0)</f>
        <v>#N/A</v>
      </c>
      <c r="C276" s="590">
        <f>'360SpcLdsCSV'!C225</f>
        <v>0</v>
      </c>
      <c r="D276" s="590" t="str">
        <f t="shared" si="226"/>
        <v>0</v>
      </c>
      <c r="E276" s="590" t="e">
        <f t="shared" si="227"/>
        <v>#VALUE!</v>
      </c>
      <c r="F276" s="590" t="e">
        <f t="shared" si="228"/>
        <v>#VALUE!</v>
      </c>
      <c r="G276" s="590" t="str">
        <f t="shared" si="229"/>
        <v>0</v>
      </c>
      <c r="H276" s="590" t="e">
        <f ca="1">OFFSET('360SpcLdsCSV'!$B$5,$B276,H$51)</f>
        <v>#N/A</v>
      </c>
      <c r="I276" s="590" t="e">
        <f ca="1">OFFSET('360SpcLdsCSV'!$B$5,$B276,I$51)</f>
        <v>#N/A</v>
      </c>
      <c r="J276" s="590" t="e">
        <f ca="1">OFFSET('360SpcLdsCSV'!$B$5,$B276,J$51)</f>
        <v>#N/A</v>
      </c>
      <c r="K276" s="590" t="e">
        <f ca="1">OFFSET('360SpcLdsCSV'!$B$5,$B276,K$51)</f>
        <v>#N/A</v>
      </c>
      <c r="L276" s="590" t="e">
        <f ca="1">OFFSET('360SpcLdsCSV'!$B$5,$B276,L$51)</f>
        <v>#N/A</v>
      </c>
      <c r="M276" s="592" t="e">
        <f ca="1">OFFSET('360SpcLdsCSV'!$B$5,$B276,M$51)</f>
        <v>#N/A</v>
      </c>
      <c r="N276" s="592" t="e">
        <f ca="1">OFFSET('360SpcLdsCSV'!$B$5,$B276,N$51)</f>
        <v>#N/A</v>
      </c>
      <c r="O276" s="592" t="e">
        <f ca="1">OFFSET('360SpcLdsCSV'!$B$5,$B276,O$51)</f>
        <v>#N/A</v>
      </c>
      <c r="P276" s="592" t="e">
        <f ca="1">OFFSET('360SpcLdsCSV'!$B$5,$B276,P$51)</f>
        <v>#N/A</v>
      </c>
      <c r="Q276" s="592" t="e">
        <f ca="1">OFFSET('360SpcLdsCSV'!$B$5,$B276,Q$51)</f>
        <v>#N/A</v>
      </c>
      <c r="R276" s="592" t="e">
        <f ca="1">OFFSET('360SpcLdsCSV'!$B$5,$B276,R$51)</f>
        <v>#N/A</v>
      </c>
      <c r="S276" s="592" t="e">
        <f ca="1">OFFSET('360SpcLdsCSV'!$B$5,$B276,S$51)</f>
        <v>#N/A</v>
      </c>
      <c r="T276" s="592" t="e">
        <f ca="1">OFFSET('360SpcLdsCSV'!$B$5,$B276,T$51)</f>
        <v>#N/A</v>
      </c>
      <c r="U276" s="592" t="e">
        <f ca="1">OFFSET('360SpcLdsCSV'!$B$5,$B276,U$51)</f>
        <v>#N/A</v>
      </c>
      <c r="V276" s="592" t="e">
        <f ca="1">OFFSET('360SpcLdsCSV'!$B$5,$B276,V$51)</f>
        <v>#N/A</v>
      </c>
      <c r="W276" s="592" t="e">
        <f ca="1">OFFSET('360SpcLdsCSV'!$B$5,$B276,W$51)</f>
        <v>#N/A</v>
      </c>
      <c r="X276" s="592" t="e">
        <f ca="1">OFFSET('360SpcLdsCSV'!$B$5,$B276,X$51)</f>
        <v>#N/A</v>
      </c>
      <c r="Y276" s="592" t="e">
        <f ca="1">OFFSET('360SpcLdsCSV'!$B$5,$B276,Y$51)</f>
        <v>#N/A</v>
      </c>
      <c r="Z276" s="592" t="e">
        <f ca="1">OFFSET('360SpcLdsCSV'!$B$5,$B276,Z$51)</f>
        <v>#N/A</v>
      </c>
      <c r="AA276" s="592" t="e">
        <f ca="1">OFFSET('360SpcLdsCSV'!$B$5,$B276,AA$51)</f>
        <v>#N/A</v>
      </c>
      <c r="AB276" s="592" t="e">
        <f ca="1">OFFSET('360SpcLdsCSV'!$B$5,$B276,AB$51)</f>
        <v>#N/A</v>
      </c>
      <c r="AC276" s="592" t="e">
        <f ca="1">OFFSET('360SpcLdsCSV'!$B$5,$B276,AC$51)</f>
        <v>#N/A</v>
      </c>
      <c r="AD276" s="592" t="e">
        <f ca="1">OFFSET('360SpcLdsCSV'!$B$5,$B276,AD$51)</f>
        <v>#N/A</v>
      </c>
      <c r="AE276" s="592" t="e">
        <f ca="1">OFFSET('360SpcLdsCSV'!$B$5,$B276,AE$51)</f>
        <v>#N/A</v>
      </c>
      <c r="AF276" s="592" t="e">
        <f ca="1">OFFSET('360SpcLdsCSV'!$B$5,$B276,AF$51)</f>
        <v>#N/A</v>
      </c>
      <c r="AG276" s="592" t="e">
        <f ca="1">OFFSET('360SpcLdsCSV'!$B$5,$B276,AG$51)</f>
        <v>#N/A</v>
      </c>
      <c r="AH276" s="592" t="e">
        <f ca="1">OFFSET('360SpcLdsCSV'!$B$5,$B276,AH$51)</f>
        <v>#N/A</v>
      </c>
      <c r="AI276" s="592" t="e">
        <f ca="1">OFFSET('360SpcLdsCSV'!$B$5,$B276,AI$51)</f>
        <v>#N/A</v>
      </c>
      <c r="AJ276" s="592" t="e" cm="1">
        <f t="array" ref="AJ276">_xlfn.IFS($F276="Resi",1,$F276="Racc",0,$F276="Coml",0,$F276="Prkg",0)</f>
        <v>#VALUE!</v>
      </c>
      <c r="AK276" s="596"/>
      <c r="AL276" s="590" t="e">
        <f ca="1">OFFSET('360SpcLdsCSV'!$B$5,$B276,AL$51)</f>
        <v>#N/A</v>
      </c>
      <c r="AM276" s="663" t="e">
        <f t="shared" ca="1" si="230"/>
        <v>#N/A</v>
      </c>
      <c r="AN276" s="663" t="e">
        <f t="shared" ca="1" si="231"/>
        <v>#N/A</v>
      </c>
      <c r="AO276" s="663" t="e">
        <f t="shared" ca="1" si="232"/>
        <v>#N/A</v>
      </c>
      <c r="AP276" s="663" t="e">
        <f t="shared" ca="1" si="233"/>
        <v>#N/A</v>
      </c>
      <c r="AQ276" s="663" t="e">
        <f t="shared" ca="1" si="234"/>
        <v>#N/A</v>
      </c>
      <c r="AR276" s="663" t="e">
        <f t="shared" ca="1" si="235"/>
        <v>#N/A</v>
      </c>
      <c r="AS276" s="663" t="e">
        <f t="shared" ca="1" si="236"/>
        <v>#N/A</v>
      </c>
      <c r="AT276" s="663" t="e">
        <f t="shared" ca="1" si="237"/>
        <v>#N/A</v>
      </c>
      <c r="AU276" s="663" t="e">
        <f t="shared" ca="1" si="238"/>
        <v>#N/A</v>
      </c>
      <c r="AV276" s="663" t="e">
        <f t="shared" ca="1" si="239"/>
        <v>#N/A</v>
      </c>
      <c r="AW276" s="663" t="e">
        <f t="shared" ca="1" si="208"/>
        <v>#N/A</v>
      </c>
      <c r="AX276" s="663" t="e">
        <f t="shared" ca="1" si="209"/>
        <v>#N/A</v>
      </c>
      <c r="AY276" s="663" t="e">
        <f t="shared" ca="1" si="210"/>
        <v>#N/A</v>
      </c>
      <c r="AZ276" s="663" t="e">
        <f t="shared" ca="1" si="211"/>
        <v>#N/A</v>
      </c>
      <c r="BA276" s="663" t="e">
        <f t="shared" ca="1" si="212"/>
        <v>#N/A</v>
      </c>
      <c r="BB276" s="663" t="e">
        <f t="shared" ca="1" si="213"/>
        <v>#N/A</v>
      </c>
      <c r="BC276" s="663" t="e">
        <f t="shared" ca="1" si="214"/>
        <v>#N/A</v>
      </c>
      <c r="BD276" s="663" t="e">
        <f t="shared" ca="1" si="215"/>
        <v>#N/A</v>
      </c>
      <c r="BE276" s="663" t="e">
        <f t="shared" ca="1" si="216"/>
        <v>#N/A</v>
      </c>
      <c r="BF276" s="663" t="e">
        <f t="shared" ca="1" si="217"/>
        <v>#N/A</v>
      </c>
      <c r="BG276" s="663" t="e">
        <f t="shared" ca="1" si="218"/>
        <v>#N/A</v>
      </c>
      <c r="BH276" s="663" t="e">
        <f t="shared" ca="1" si="219"/>
        <v>#N/A</v>
      </c>
      <c r="BI276" s="663" t="e">
        <f t="shared" ca="1" si="220"/>
        <v>#N/A</v>
      </c>
      <c r="BJ276" s="663" t="e">
        <f t="shared" ca="1" si="221"/>
        <v>#N/A</v>
      </c>
      <c r="BK276" s="663" t="e">
        <f t="shared" ca="1" si="222"/>
        <v>#N/A</v>
      </c>
      <c r="BL276" s="1918"/>
      <c r="BM276" s="1532"/>
      <c r="BN276" s="1919"/>
      <c r="BO276" s="603"/>
      <c r="BP276" s="602"/>
      <c r="BQ276" s="602"/>
      <c r="BR276" s="602"/>
      <c r="BS276" s="604"/>
      <c r="BT276" s="605"/>
      <c r="BU276" s="602"/>
      <c r="BV276" s="602"/>
      <c r="BW276" s="606"/>
      <c r="BX276" s="607"/>
      <c r="BY276" s="608"/>
      <c r="BZ276" s="608"/>
      <c r="CA276" s="608"/>
      <c r="CB276" s="600"/>
    </row>
    <row r="277" spans="2:80" ht="12" customHeight="1" x14ac:dyDescent="0.35">
      <c r="B277" s="590" t="e">
        <f>MATCH(C277,'360SpcLdsCSV'!$C$6:$C$500,0)</f>
        <v>#N/A</v>
      </c>
      <c r="C277" s="590">
        <f>'360SpcLdsCSV'!C226</f>
        <v>0</v>
      </c>
      <c r="D277" s="590" t="str">
        <f t="shared" si="226"/>
        <v>0</v>
      </c>
      <c r="E277" s="590" t="e">
        <f t="shared" si="227"/>
        <v>#VALUE!</v>
      </c>
      <c r="F277" s="590" t="e">
        <f t="shared" si="228"/>
        <v>#VALUE!</v>
      </c>
      <c r="G277" s="590" t="str">
        <f t="shared" si="229"/>
        <v>0</v>
      </c>
      <c r="H277" s="590" t="e">
        <f ca="1">OFFSET('360SpcLdsCSV'!$B$5,$B277,H$51)</f>
        <v>#N/A</v>
      </c>
      <c r="I277" s="590" t="e">
        <f ca="1">OFFSET('360SpcLdsCSV'!$B$5,$B277,I$51)</f>
        <v>#N/A</v>
      </c>
      <c r="J277" s="590" t="e">
        <f ca="1">OFFSET('360SpcLdsCSV'!$B$5,$B277,J$51)</f>
        <v>#N/A</v>
      </c>
      <c r="K277" s="590" t="e">
        <f ca="1">OFFSET('360SpcLdsCSV'!$B$5,$B277,K$51)</f>
        <v>#N/A</v>
      </c>
      <c r="L277" s="590" t="e">
        <f ca="1">OFFSET('360SpcLdsCSV'!$B$5,$B277,L$51)</f>
        <v>#N/A</v>
      </c>
      <c r="M277" s="592" t="e">
        <f ca="1">OFFSET('360SpcLdsCSV'!$B$5,$B277,M$51)</f>
        <v>#N/A</v>
      </c>
      <c r="N277" s="592" t="e">
        <f ca="1">OFFSET('360SpcLdsCSV'!$B$5,$B277,N$51)</f>
        <v>#N/A</v>
      </c>
      <c r="O277" s="592" t="e">
        <f ca="1">OFFSET('360SpcLdsCSV'!$B$5,$B277,O$51)</f>
        <v>#N/A</v>
      </c>
      <c r="P277" s="592" t="e">
        <f ca="1">OFFSET('360SpcLdsCSV'!$B$5,$B277,P$51)</f>
        <v>#N/A</v>
      </c>
      <c r="Q277" s="592" t="e">
        <f ca="1">OFFSET('360SpcLdsCSV'!$B$5,$B277,Q$51)</f>
        <v>#N/A</v>
      </c>
      <c r="R277" s="592" t="e">
        <f ca="1">OFFSET('360SpcLdsCSV'!$B$5,$B277,R$51)</f>
        <v>#N/A</v>
      </c>
      <c r="S277" s="592" t="e">
        <f ca="1">OFFSET('360SpcLdsCSV'!$B$5,$B277,S$51)</f>
        <v>#N/A</v>
      </c>
      <c r="T277" s="592" t="e">
        <f ca="1">OFFSET('360SpcLdsCSV'!$B$5,$B277,T$51)</f>
        <v>#N/A</v>
      </c>
      <c r="U277" s="592" t="e">
        <f ca="1">OFFSET('360SpcLdsCSV'!$B$5,$B277,U$51)</f>
        <v>#N/A</v>
      </c>
      <c r="V277" s="592" t="e">
        <f ca="1">OFFSET('360SpcLdsCSV'!$B$5,$B277,V$51)</f>
        <v>#N/A</v>
      </c>
      <c r="W277" s="592" t="e">
        <f ca="1">OFFSET('360SpcLdsCSV'!$B$5,$B277,W$51)</f>
        <v>#N/A</v>
      </c>
      <c r="X277" s="592" t="e">
        <f ca="1">OFFSET('360SpcLdsCSV'!$B$5,$B277,X$51)</f>
        <v>#N/A</v>
      </c>
      <c r="Y277" s="592" t="e">
        <f ca="1">OFFSET('360SpcLdsCSV'!$B$5,$B277,Y$51)</f>
        <v>#N/A</v>
      </c>
      <c r="Z277" s="592" t="e">
        <f ca="1">OFFSET('360SpcLdsCSV'!$B$5,$B277,Z$51)</f>
        <v>#N/A</v>
      </c>
      <c r="AA277" s="592" t="e">
        <f ca="1">OFFSET('360SpcLdsCSV'!$B$5,$B277,AA$51)</f>
        <v>#N/A</v>
      </c>
      <c r="AB277" s="592" t="e">
        <f ca="1">OFFSET('360SpcLdsCSV'!$B$5,$B277,AB$51)</f>
        <v>#N/A</v>
      </c>
      <c r="AC277" s="592" t="e">
        <f ca="1">OFFSET('360SpcLdsCSV'!$B$5,$B277,AC$51)</f>
        <v>#N/A</v>
      </c>
      <c r="AD277" s="592" t="e">
        <f ca="1">OFFSET('360SpcLdsCSV'!$B$5,$B277,AD$51)</f>
        <v>#N/A</v>
      </c>
      <c r="AE277" s="592" t="e">
        <f ca="1">OFFSET('360SpcLdsCSV'!$B$5,$B277,AE$51)</f>
        <v>#N/A</v>
      </c>
      <c r="AF277" s="592" t="e">
        <f ca="1">OFFSET('360SpcLdsCSV'!$B$5,$B277,AF$51)</f>
        <v>#N/A</v>
      </c>
      <c r="AG277" s="592" t="e">
        <f ca="1">OFFSET('360SpcLdsCSV'!$B$5,$B277,AG$51)</f>
        <v>#N/A</v>
      </c>
      <c r="AH277" s="592" t="e">
        <f ca="1">OFFSET('360SpcLdsCSV'!$B$5,$B277,AH$51)</f>
        <v>#N/A</v>
      </c>
      <c r="AI277" s="592" t="e">
        <f ca="1">OFFSET('360SpcLdsCSV'!$B$5,$B277,AI$51)</f>
        <v>#N/A</v>
      </c>
      <c r="AJ277" s="592" t="e" cm="1">
        <f t="array" ref="AJ277">_xlfn.IFS($F277="Resi",1,$F277="Racc",0,$F277="Coml",0,$F277="Prkg",0)</f>
        <v>#VALUE!</v>
      </c>
      <c r="AK277" s="596"/>
      <c r="AL277" s="590" t="e">
        <f ca="1">OFFSET('360SpcLdsCSV'!$B$5,$B277,AL$51)</f>
        <v>#N/A</v>
      </c>
      <c r="AM277" s="663" t="e">
        <f t="shared" ca="1" si="230"/>
        <v>#N/A</v>
      </c>
      <c r="AN277" s="663" t="e">
        <f t="shared" ca="1" si="231"/>
        <v>#N/A</v>
      </c>
      <c r="AO277" s="663" t="e">
        <f t="shared" ca="1" si="232"/>
        <v>#N/A</v>
      </c>
      <c r="AP277" s="663" t="e">
        <f t="shared" ca="1" si="233"/>
        <v>#N/A</v>
      </c>
      <c r="AQ277" s="663" t="e">
        <f t="shared" ca="1" si="234"/>
        <v>#N/A</v>
      </c>
      <c r="AR277" s="663" t="e">
        <f t="shared" ca="1" si="235"/>
        <v>#N/A</v>
      </c>
      <c r="AS277" s="663" t="e">
        <f t="shared" ca="1" si="236"/>
        <v>#N/A</v>
      </c>
      <c r="AT277" s="663" t="e">
        <f t="shared" ca="1" si="237"/>
        <v>#N/A</v>
      </c>
      <c r="AU277" s="663" t="e">
        <f t="shared" ca="1" si="238"/>
        <v>#N/A</v>
      </c>
      <c r="AV277" s="663" t="e">
        <f t="shared" ca="1" si="239"/>
        <v>#N/A</v>
      </c>
      <c r="AW277" s="663" t="e">
        <f t="shared" ca="1" si="208"/>
        <v>#N/A</v>
      </c>
      <c r="AX277" s="663" t="e">
        <f t="shared" ca="1" si="209"/>
        <v>#N/A</v>
      </c>
      <c r="AY277" s="663" t="e">
        <f t="shared" ca="1" si="210"/>
        <v>#N/A</v>
      </c>
      <c r="AZ277" s="663" t="e">
        <f t="shared" ca="1" si="211"/>
        <v>#N/A</v>
      </c>
      <c r="BA277" s="663" t="e">
        <f t="shared" ca="1" si="212"/>
        <v>#N/A</v>
      </c>
      <c r="BB277" s="663" t="e">
        <f t="shared" ca="1" si="213"/>
        <v>#N/A</v>
      </c>
      <c r="BC277" s="663" t="e">
        <f t="shared" ca="1" si="214"/>
        <v>#N/A</v>
      </c>
      <c r="BD277" s="663" t="e">
        <f t="shared" ca="1" si="215"/>
        <v>#N/A</v>
      </c>
      <c r="BE277" s="663" t="e">
        <f t="shared" ca="1" si="216"/>
        <v>#N/A</v>
      </c>
      <c r="BF277" s="663" t="e">
        <f t="shared" ca="1" si="217"/>
        <v>#N/A</v>
      </c>
      <c r="BG277" s="663" t="e">
        <f t="shared" ca="1" si="218"/>
        <v>#N/A</v>
      </c>
      <c r="BH277" s="663" t="e">
        <f t="shared" ca="1" si="219"/>
        <v>#N/A</v>
      </c>
      <c r="BI277" s="663" t="e">
        <f t="shared" ca="1" si="220"/>
        <v>#N/A</v>
      </c>
      <c r="BJ277" s="663" t="e">
        <f t="shared" ca="1" si="221"/>
        <v>#N/A</v>
      </c>
      <c r="BK277" s="663" t="e">
        <f t="shared" ca="1" si="222"/>
        <v>#N/A</v>
      </c>
      <c r="BL277" s="1918"/>
      <c r="BM277" s="1532"/>
      <c r="BN277" s="1919"/>
      <c r="BO277" s="603"/>
      <c r="BP277" s="602"/>
      <c r="BQ277" s="602"/>
      <c r="BR277" s="602"/>
      <c r="BS277" s="604"/>
      <c r="BT277" s="605"/>
      <c r="BU277" s="602"/>
      <c r="BV277" s="602"/>
      <c r="BW277" s="606"/>
      <c r="BX277" s="607"/>
      <c r="BY277" s="608"/>
      <c r="BZ277" s="608"/>
      <c r="CA277" s="608"/>
      <c r="CB277" s="600"/>
    </row>
    <row r="278" spans="2:80" ht="12" customHeight="1" x14ac:dyDescent="0.35">
      <c r="B278" s="590" t="e">
        <f>MATCH(C278,'360SpcLdsCSV'!$C$6:$C$500,0)</f>
        <v>#N/A</v>
      </c>
      <c r="C278" s="590">
        <f>'360SpcLdsCSV'!C227</f>
        <v>0</v>
      </c>
      <c r="D278" s="590" t="str">
        <f t="shared" si="226"/>
        <v>0</v>
      </c>
      <c r="E278" s="590" t="e">
        <f t="shared" si="227"/>
        <v>#VALUE!</v>
      </c>
      <c r="F278" s="590" t="e">
        <f t="shared" si="228"/>
        <v>#VALUE!</v>
      </c>
      <c r="G278" s="590" t="str">
        <f t="shared" si="229"/>
        <v>0</v>
      </c>
      <c r="H278" s="590" t="e">
        <f ca="1">OFFSET('360SpcLdsCSV'!$B$5,$B278,H$51)</f>
        <v>#N/A</v>
      </c>
      <c r="I278" s="590" t="e">
        <f ca="1">OFFSET('360SpcLdsCSV'!$B$5,$B278,I$51)</f>
        <v>#N/A</v>
      </c>
      <c r="J278" s="590" t="e">
        <f ca="1">OFFSET('360SpcLdsCSV'!$B$5,$B278,J$51)</f>
        <v>#N/A</v>
      </c>
      <c r="K278" s="590" t="e">
        <f ca="1">OFFSET('360SpcLdsCSV'!$B$5,$B278,K$51)</f>
        <v>#N/A</v>
      </c>
      <c r="L278" s="590" t="e">
        <f ca="1">OFFSET('360SpcLdsCSV'!$B$5,$B278,L$51)</f>
        <v>#N/A</v>
      </c>
      <c r="M278" s="592" t="e">
        <f ca="1">OFFSET('360SpcLdsCSV'!$B$5,$B278,M$51)</f>
        <v>#N/A</v>
      </c>
      <c r="N278" s="592" t="e">
        <f ca="1">OFFSET('360SpcLdsCSV'!$B$5,$B278,N$51)</f>
        <v>#N/A</v>
      </c>
      <c r="O278" s="592" t="e">
        <f ca="1">OFFSET('360SpcLdsCSV'!$B$5,$B278,O$51)</f>
        <v>#N/A</v>
      </c>
      <c r="P278" s="592" t="e">
        <f ca="1">OFFSET('360SpcLdsCSV'!$B$5,$B278,P$51)</f>
        <v>#N/A</v>
      </c>
      <c r="Q278" s="592" t="e">
        <f ca="1">OFFSET('360SpcLdsCSV'!$B$5,$B278,Q$51)</f>
        <v>#N/A</v>
      </c>
      <c r="R278" s="592" t="e">
        <f ca="1">OFFSET('360SpcLdsCSV'!$B$5,$B278,R$51)</f>
        <v>#N/A</v>
      </c>
      <c r="S278" s="592" t="e">
        <f ca="1">OFFSET('360SpcLdsCSV'!$B$5,$B278,S$51)</f>
        <v>#N/A</v>
      </c>
      <c r="T278" s="592" t="e">
        <f ca="1">OFFSET('360SpcLdsCSV'!$B$5,$B278,T$51)</f>
        <v>#N/A</v>
      </c>
      <c r="U278" s="592" t="e">
        <f ca="1">OFFSET('360SpcLdsCSV'!$B$5,$B278,U$51)</f>
        <v>#N/A</v>
      </c>
      <c r="V278" s="592" t="e">
        <f ca="1">OFFSET('360SpcLdsCSV'!$B$5,$B278,V$51)</f>
        <v>#N/A</v>
      </c>
      <c r="W278" s="592" t="e">
        <f ca="1">OFFSET('360SpcLdsCSV'!$B$5,$B278,W$51)</f>
        <v>#N/A</v>
      </c>
      <c r="X278" s="592" t="e">
        <f ca="1">OFFSET('360SpcLdsCSV'!$B$5,$B278,X$51)</f>
        <v>#N/A</v>
      </c>
      <c r="Y278" s="592" t="e">
        <f ca="1">OFFSET('360SpcLdsCSV'!$B$5,$B278,Y$51)</f>
        <v>#N/A</v>
      </c>
      <c r="Z278" s="592" t="e">
        <f ca="1">OFFSET('360SpcLdsCSV'!$B$5,$B278,Z$51)</f>
        <v>#N/A</v>
      </c>
      <c r="AA278" s="592" t="e">
        <f ca="1">OFFSET('360SpcLdsCSV'!$B$5,$B278,AA$51)</f>
        <v>#N/A</v>
      </c>
      <c r="AB278" s="592" t="e">
        <f ca="1">OFFSET('360SpcLdsCSV'!$B$5,$B278,AB$51)</f>
        <v>#N/A</v>
      </c>
      <c r="AC278" s="592" t="e">
        <f ca="1">OFFSET('360SpcLdsCSV'!$B$5,$B278,AC$51)</f>
        <v>#N/A</v>
      </c>
      <c r="AD278" s="592" t="e">
        <f ca="1">OFFSET('360SpcLdsCSV'!$B$5,$B278,AD$51)</f>
        <v>#N/A</v>
      </c>
      <c r="AE278" s="592" t="e">
        <f ca="1">OFFSET('360SpcLdsCSV'!$B$5,$B278,AE$51)</f>
        <v>#N/A</v>
      </c>
      <c r="AF278" s="592" t="e">
        <f ca="1">OFFSET('360SpcLdsCSV'!$B$5,$B278,AF$51)</f>
        <v>#N/A</v>
      </c>
      <c r="AG278" s="592" t="e">
        <f ca="1">OFFSET('360SpcLdsCSV'!$B$5,$B278,AG$51)</f>
        <v>#N/A</v>
      </c>
      <c r="AH278" s="592" t="e">
        <f ca="1">OFFSET('360SpcLdsCSV'!$B$5,$B278,AH$51)</f>
        <v>#N/A</v>
      </c>
      <c r="AI278" s="592" t="e">
        <f ca="1">OFFSET('360SpcLdsCSV'!$B$5,$B278,AI$51)</f>
        <v>#N/A</v>
      </c>
      <c r="AJ278" s="592" t="e" cm="1">
        <f t="array" ref="AJ278">_xlfn.IFS($F278="Resi",1,$F278="Racc",0,$F278="Coml",0,$F278="Prkg",0)</f>
        <v>#VALUE!</v>
      </c>
      <c r="AK278" s="596"/>
      <c r="AL278" s="590" t="e">
        <f ca="1">OFFSET('360SpcLdsCSV'!$B$5,$B278,AL$51)</f>
        <v>#N/A</v>
      </c>
      <c r="AM278" s="663" t="e">
        <f t="shared" ca="1" si="230"/>
        <v>#N/A</v>
      </c>
      <c r="AN278" s="663" t="e">
        <f t="shared" ca="1" si="231"/>
        <v>#N/A</v>
      </c>
      <c r="AO278" s="663" t="e">
        <f t="shared" ca="1" si="232"/>
        <v>#N/A</v>
      </c>
      <c r="AP278" s="663" t="e">
        <f t="shared" ca="1" si="233"/>
        <v>#N/A</v>
      </c>
      <c r="AQ278" s="663" t="e">
        <f t="shared" ca="1" si="234"/>
        <v>#N/A</v>
      </c>
      <c r="AR278" s="663" t="e">
        <f t="shared" ca="1" si="235"/>
        <v>#N/A</v>
      </c>
      <c r="AS278" s="663" t="e">
        <f t="shared" ca="1" si="236"/>
        <v>#N/A</v>
      </c>
      <c r="AT278" s="663" t="e">
        <f t="shared" ca="1" si="237"/>
        <v>#N/A</v>
      </c>
      <c r="AU278" s="663" t="e">
        <f t="shared" ca="1" si="238"/>
        <v>#N/A</v>
      </c>
      <c r="AV278" s="663" t="e">
        <f t="shared" ca="1" si="239"/>
        <v>#N/A</v>
      </c>
      <c r="AW278" s="663" t="e">
        <f t="shared" ca="1" si="208"/>
        <v>#N/A</v>
      </c>
      <c r="AX278" s="663" t="e">
        <f t="shared" ca="1" si="209"/>
        <v>#N/A</v>
      </c>
      <c r="AY278" s="663" t="e">
        <f t="shared" ca="1" si="210"/>
        <v>#N/A</v>
      </c>
      <c r="AZ278" s="663" t="e">
        <f t="shared" ca="1" si="211"/>
        <v>#N/A</v>
      </c>
      <c r="BA278" s="663" t="e">
        <f t="shared" ca="1" si="212"/>
        <v>#N/A</v>
      </c>
      <c r="BB278" s="663" t="e">
        <f t="shared" ca="1" si="213"/>
        <v>#N/A</v>
      </c>
      <c r="BC278" s="663" t="e">
        <f t="shared" ca="1" si="214"/>
        <v>#N/A</v>
      </c>
      <c r="BD278" s="663" t="e">
        <f t="shared" ca="1" si="215"/>
        <v>#N/A</v>
      </c>
      <c r="BE278" s="663" t="e">
        <f t="shared" ca="1" si="216"/>
        <v>#N/A</v>
      </c>
      <c r="BF278" s="663" t="e">
        <f t="shared" ca="1" si="217"/>
        <v>#N/A</v>
      </c>
      <c r="BG278" s="663" t="e">
        <f t="shared" ca="1" si="218"/>
        <v>#N/A</v>
      </c>
      <c r="BH278" s="663" t="e">
        <f t="shared" ca="1" si="219"/>
        <v>#N/A</v>
      </c>
      <c r="BI278" s="663" t="e">
        <f t="shared" ca="1" si="220"/>
        <v>#N/A</v>
      </c>
      <c r="BJ278" s="663" t="e">
        <f t="shared" ca="1" si="221"/>
        <v>#N/A</v>
      </c>
      <c r="BK278" s="663" t="e">
        <f t="shared" ca="1" si="222"/>
        <v>#N/A</v>
      </c>
      <c r="BL278" s="1918"/>
      <c r="BM278" s="1532"/>
      <c r="BN278" s="1919"/>
      <c r="BO278" s="603"/>
      <c r="BP278" s="602"/>
      <c r="BQ278" s="602"/>
      <c r="BR278" s="602"/>
      <c r="BS278" s="604"/>
      <c r="BT278" s="605"/>
      <c r="BU278" s="602"/>
      <c r="BV278" s="602"/>
      <c r="BW278" s="606"/>
      <c r="BX278" s="607"/>
      <c r="BY278" s="608"/>
      <c r="BZ278" s="608"/>
      <c r="CA278" s="608"/>
      <c r="CB278" s="600"/>
    </row>
    <row r="279" spans="2:80" ht="12" customHeight="1" x14ac:dyDescent="0.35">
      <c r="B279" s="590" t="e">
        <f>MATCH(C279,'360SpcLdsCSV'!$C$6:$C$500,0)</f>
        <v>#N/A</v>
      </c>
      <c r="C279" s="590">
        <f>'360SpcLdsCSV'!C228</f>
        <v>0</v>
      </c>
      <c r="D279" s="590" t="str">
        <f t="shared" si="226"/>
        <v>0</v>
      </c>
      <c r="E279" s="590" t="e">
        <f t="shared" si="227"/>
        <v>#VALUE!</v>
      </c>
      <c r="F279" s="590" t="e">
        <f t="shared" si="228"/>
        <v>#VALUE!</v>
      </c>
      <c r="G279" s="590" t="str">
        <f t="shared" si="229"/>
        <v>0</v>
      </c>
      <c r="H279" s="590" t="e">
        <f ca="1">OFFSET('360SpcLdsCSV'!$B$5,$B279,H$51)</f>
        <v>#N/A</v>
      </c>
      <c r="I279" s="590" t="e">
        <f ca="1">OFFSET('360SpcLdsCSV'!$B$5,$B279,I$51)</f>
        <v>#N/A</v>
      </c>
      <c r="J279" s="590" t="e">
        <f ca="1">OFFSET('360SpcLdsCSV'!$B$5,$B279,J$51)</f>
        <v>#N/A</v>
      </c>
      <c r="K279" s="590" t="e">
        <f ca="1">OFFSET('360SpcLdsCSV'!$B$5,$B279,K$51)</f>
        <v>#N/A</v>
      </c>
      <c r="L279" s="590" t="e">
        <f ca="1">OFFSET('360SpcLdsCSV'!$B$5,$B279,L$51)</f>
        <v>#N/A</v>
      </c>
      <c r="M279" s="592" t="e">
        <f ca="1">OFFSET('360SpcLdsCSV'!$B$5,$B279,M$51)</f>
        <v>#N/A</v>
      </c>
      <c r="N279" s="592" t="e">
        <f ca="1">OFFSET('360SpcLdsCSV'!$B$5,$B279,N$51)</f>
        <v>#N/A</v>
      </c>
      <c r="O279" s="592" t="e">
        <f ca="1">OFFSET('360SpcLdsCSV'!$B$5,$B279,O$51)</f>
        <v>#N/A</v>
      </c>
      <c r="P279" s="592" t="e">
        <f ca="1">OFFSET('360SpcLdsCSV'!$B$5,$B279,P$51)</f>
        <v>#N/A</v>
      </c>
      <c r="Q279" s="592" t="e">
        <f ca="1">OFFSET('360SpcLdsCSV'!$B$5,$B279,Q$51)</f>
        <v>#N/A</v>
      </c>
      <c r="R279" s="592" t="e">
        <f ca="1">OFFSET('360SpcLdsCSV'!$B$5,$B279,R$51)</f>
        <v>#N/A</v>
      </c>
      <c r="S279" s="592" t="e">
        <f ca="1">OFFSET('360SpcLdsCSV'!$B$5,$B279,S$51)</f>
        <v>#N/A</v>
      </c>
      <c r="T279" s="592" t="e">
        <f ca="1">OFFSET('360SpcLdsCSV'!$B$5,$B279,T$51)</f>
        <v>#N/A</v>
      </c>
      <c r="U279" s="592" t="e">
        <f ca="1">OFFSET('360SpcLdsCSV'!$B$5,$B279,U$51)</f>
        <v>#N/A</v>
      </c>
      <c r="V279" s="592" t="e">
        <f ca="1">OFFSET('360SpcLdsCSV'!$B$5,$B279,V$51)</f>
        <v>#N/A</v>
      </c>
      <c r="W279" s="592" t="e">
        <f ca="1">OFFSET('360SpcLdsCSV'!$B$5,$B279,W$51)</f>
        <v>#N/A</v>
      </c>
      <c r="X279" s="592" t="e">
        <f ca="1">OFFSET('360SpcLdsCSV'!$B$5,$B279,X$51)</f>
        <v>#N/A</v>
      </c>
      <c r="Y279" s="592" t="e">
        <f ca="1">OFFSET('360SpcLdsCSV'!$B$5,$B279,Y$51)</f>
        <v>#N/A</v>
      </c>
      <c r="Z279" s="592" t="e">
        <f ca="1">OFFSET('360SpcLdsCSV'!$B$5,$B279,Z$51)</f>
        <v>#N/A</v>
      </c>
      <c r="AA279" s="592" t="e">
        <f ca="1">OFFSET('360SpcLdsCSV'!$B$5,$B279,AA$51)</f>
        <v>#N/A</v>
      </c>
      <c r="AB279" s="592" t="e">
        <f ca="1">OFFSET('360SpcLdsCSV'!$B$5,$B279,AB$51)</f>
        <v>#N/A</v>
      </c>
      <c r="AC279" s="592" t="e">
        <f ca="1">OFFSET('360SpcLdsCSV'!$B$5,$B279,AC$51)</f>
        <v>#N/A</v>
      </c>
      <c r="AD279" s="592" t="e">
        <f ca="1">OFFSET('360SpcLdsCSV'!$B$5,$B279,AD$51)</f>
        <v>#N/A</v>
      </c>
      <c r="AE279" s="592" t="e">
        <f ca="1">OFFSET('360SpcLdsCSV'!$B$5,$B279,AE$51)</f>
        <v>#N/A</v>
      </c>
      <c r="AF279" s="592" t="e">
        <f ca="1">OFFSET('360SpcLdsCSV'!$B$5,$B279,AF$51)</f>
        <v>#N/A</v>
      </c>
      <c r="AG279" s="592" t="e">
        <f ca="1">OFFSET('360SpcLdsCSV'!$B$5,$B279,AG$51)</f>
        <v>#N/A</v>
      </c>
      <c r="AH279" s="592" t="e">
        <f ca="1">OFFSET('360SpcLdsCSV'!$B$5,$B279,AH$51)</f>
        <v>#N/A</v>
      </c>
      <c r="AI279" s="592" t="e">
        <f ca="1">OFFSET('360SpcLdsCSV'!$B$5,$B279,AI$51)</f>
        <v>#N/A</v>
      </c>
      <c r="AJ279" s="592" t="e" cm="1">
        <f t="array" ref="AJ279">_xlfn.IFS($F279="Resi",1,$F279="Racc",0,$F279="Coml",0,$F279="Prkg",0)</f>
        <v>#VALUE!</v>
      </c>
      <c r="AK279" s="596"/>
      <c r="AL279" s="590" t="e">
        <f ca="1">OFFSET('360SpcLdsCSV'!$B$5,$B279,AL$51)</f>
        <v>#N/A</v>
      </c>
      <c r="AM279" s="663" t="e">
        <f t="shared" ca="1" si="230"/>
        <v>#N/A</v>
      </c>
      <c r="AN279" s="663" t="e">
        <f t="shared" ca="1" si="231"/>
        <v>#N/A</v>
      </c>
      <c r="AO279" s="663" t="e">
        <f t="shared" ca="1" si="232"/>
        <v>#N/A</v>
      </c>
      <c r="AP279" s="663" t="e">
        <f t="shared" ca="1" si="233"/>
        <v>#N/A</v>
      </c>
      <c r="AQ279" s="663" t="e">
        <f t="shared" ca="1" si="234"/>
        <v>#N/A</v>
      </c>
      <c r="AR279" s="663" t="e">
        <f t="shared" ca="1" si="235"/>
        <v>#N/A</v>
      </c>
      <c r="AS279" s="663" t="e">
        <f t="shared" ca="1" si="236"/>
        <v>#N/A</v>
      </c>
      <c r="AT279" s="663" t="e">
        <f t="shared" ca="1" si="237"/>
        <v>#N/A</v>
      </c>
      <c r="AU279" s="663" t="e">
        <f t="shared" ca="1" si="238"/>
        <v>#N/A</v>
      </c>
      <c r="AV279" s="663" t="e">
        <f t="shared" ca="1" si="239"/>
        <v>#N/A</v>
      </c>
      <c r="AW279" s="663" t="e">
        <f t="shared" ca="1" si="208"/>
        <v>#N/A</v>
      </c>
      <c r="AX279" s="663" t="e">
        <f t="shared" ca="1" si="209"/>
        <v>#N/A</v>
      </c>
      <c r="AY279" s="663" t="e">
        <f t="shared" ca="1" si="210"/>
        <v>#N/A</v>
      </c>
      <c r="AZ279" s="663" t="e">
        <f t="shared" ca="1" si="211"/>
        <v>#N/A</v>
      </c>
      <c r="BA279" s="663" t="e">
        <f t="shared" ca="1" si="212"/>
        <v>#N/A</v>
      </c>
      <c r="BB279" s="663" t="e">
        <f t="shared" ca="1" si="213"/>
        <v>#N/A</v>
      </c>
      <c r="BC279" s="663" t="e">
        <f t="shared" ca="1" si="214"/>
        <v>#N/A</v>
      </c>
      <c r="BD279" s="663" t="e">
        <f t="shared" ca="1" si="215"/>
        <v>#N/A</v>
      </c>
      <c r="BE279" s="663" t="e">
        <f t="shared" ca="1" si="216"/>
        <v>#N/A</v>
      </c>
      <c r="BF279" s="663" t="e">
        <f t="shared" ca="1" si="217"/>
        <v>#N/A</v>
      </c>
      <c r="BG279" s="663" t="e">
        <f t="shared" ca="1" si="218"/>
        <v>#N/A</v>
      </c>
      <c r="BH279" s="663" t="e">
        <f t="shared" ca="1" si="219"/>
        <v>#N/A</v>
      </c>
      <c r="BI279" s="663" t="e">
        <f t="shared" ca="1" si="220"/>
        <v>#N/A</v>
      </c>
      <c r="BJ279" s="663" t="e">
        <f t="shared" ca="1" si="221"/>
        <v>#N/A</v>
      </c>
      <c r="BK279" s="663" t="e">
        <f t="shared" ca="1" si="222"/>
        <v>#N/A</v>
      </c>
      <c r="BL279" s="1918"/>
      <c r="BM279" s="1532"/>
      <c r="BN279" s="1919"/>
      <c r="BO279" s="603"/>
      <c r="BP279" s="602"/>
      <c r="BQ279" s="602"/>
      <c r="BR279" s="602"/>
      <c r="BS279" s="604"/>
      <c r="BT279" s="605"/>
      <c r="BU279" s="602"/>
      <c r="BV279" s="602"/>
      <c r="BW279" s="606"/>
      <c r="BX279" s="607"/>
      <c r="BY279" s="608"/>
      <c r="BZ279" s="608"/>
      <c r="CA279" s="608"/>
      <c r="CB279" s="600"/>
    </row>
    <row r="280" spans="2:80" ht="12" customHeight="1" x14ac:dyDescent="0.35">
      <c r="B280" s="590" t="e">
        <f>MATCH(C280,'360SpcLdsCSV'!$C$6:$C$500,0)</f>
        <v>#N/A</v>
      </c>
      <c r="C280" s="590">
        <f>'360SpcLdsCSV'!C229</f>
        <v>0</v>
      </c>
      <c r="D280" s="590" t="str">
        <f t="shared" si="226"/>
        <v>0</v>
      </c>
      <c r="E280" s="590" t="e">
        <f t="shared" si="227"/>
        <v>#VALUE!</v>
      </c>
      <c r="F280" s="590" t="e">
        <f t="shared" si="228"/>
        <v>#VALUE!</v>
      </c>
      <c r="G280" s="590" t="str">
        <f t="shared" si="229"/>
        <v>0</v>
      </c>
      <c r="H280" s="590" t="e">
        <f ca="1">OFFSET('360SpcLdsCSV'!$B$5,$B280,H$51)</f>
        <v>#N/A</v>
      </c>
      <c r="I280" s="590" t="e">
        <f ca="1">OFFSET('360SpcLdsCSV'!$B$5,$B280,I$51)</f>
        <v>#N/A</v>
      </c>
      <c r="J280" s="590" t="e">
        <f ca="1">OFFSET('360SpcLdsCSV'!$B$5,$B280,J$51)</f>
        <v>#N/A</v>
      </c>
      <c r="K280" s="590" t="e">
        <f ca="1">OFFSET('360SpcLdsCSV'!$B$5,$B280,K$51)</f>
        <v>#N/A</v>
      </c>
      <c r="L280" s="590" t="e">
        <f ca="1">OFFSET('360SpcLdsCSV'!$B$5,$B280,L$51)</f>
        <v>#N/A</v>
      </c>
      <c r="M280" s="592" t="e">
        <f ca="1">OFFSET('360SpcLdsCSV'!$B$5,$B280,M$51)</f>
        <v>#N/A</v>
      </c>
      <c r="N280" s="592" t="e">
        <f ca="1">OFFSET('360SpcLdsCSV'!$B$5,$B280,N$51)</f>
        <v>#N/A</v>
      </c>
      <c r="O280" s="592" t="e">
        <f ca="1">OFFSET('360SpcLdsCSV'!$B$5,$B280,O$51)</f>
        <v>#N/A</v>
      </c>
      <c r="P280" s="592" t="e">
        <f ca="1">OFFSET('360SpcLdsCSV'!$B$5,$B280,P$51)</f>
        <v>#N/A</v>
      </c>
      <c r="Q280" s="592" t="e">
        <f ca="1">OFFSET('360SpcLdsCSV'!$B$5,$B280,Q$51)</f>
        <v>#N/A</v>
      </c>
      <c r="R280" s="592" t="e">
        <f ca="1">OFFSET('360SpcLdsCSV'!$B$5,$B280,R$51)</f>
        <v>#N/A</v>
      </c>
      <c r="S280" s="592" t="e">
        <f ca="1">OFFSET('360SpcLdsCSV'!$B$5,$B280,S$51)</f>
        <v>#N/A</v>
      </c>
      <c r="T280" s="592" t="e">
        <f ca="1">OFFSET('360SpcLdsCSV'!$B$5,$B280,T$51)</f>
        <v>#N/A</v>
      </c>
      <c r="U280" s="592" t="e">
        <f ca="1">OFFSET('360SpcLdsCSV'!$B$5,$B280,U$51)</f>
        <v>#N/A</v>
      </c>
      <c r="V280" s="592" t="e">
        <f ca="1">OFFSET('360SpcLdsCSV'!$B$5,$B280,V$51)</f>
        <v>#N/A</v>
      </c>
      <c r="W280" s="592" t="e">
        <f ca="1">OFFSET('360SpcLdsCSV'!$B$5,$B280,W$51)</f>
        <v>#N/A</v>
      </c>
      <c r="X280" s="592" t="e">
        <f ca="1">OFFSET('360SpcLdsCSV'!$B$5,$B280,X$51)</f>
        <v>#N/A</v>
      </c>
      <c r="Y280" s="592" t="e">
        <f ca="1">OFFSET('360SpcLdsCSV'!$B$5,$B280,Y$51)</f>
        <v>#N/A</v>
      </c>
      <c r="Z280" s="592" t="e">
        <f ca="1">OFFSET('360SpcLdsCSV'!$B$5,$B280,Z$51)</f>
        <v>#N/A</v>
      </c>
      <c r="AA280" s="592" t="e">
        <f ca="1">OFFSET('360SpcLdsCSV'!$B$5,$B280,AA$51)</f>
        <v>#N/A</v>
      </c>
      <c r="AB280" s="592" t="e">
        <f ca="1">OFFSET('360SpcLdsCSV'!$B$5,$B280,AB$51)</f>
        <v>#N/A</v>
      </c>
      <c r="AC280" s="592" t="e">
        <f ca="1">OFFSET('360SpcLdsCSV'!$B$5,$B280,AC$51)</f>
        <v>#N/A</v>
      </c>
      <c r="AD280" s="592" t="e">
        <f ca="1">OFFSET('360SpcLdsCSV'!$B$5,$B280,AD$51)</f>
        <v>#N/A</v>
      </c>
      <c r="AE280" s="592" t="e">
        <f ca="1">OFFSET('360SpcLdsCSV'!$B$5,$B280,AE$51)</f>
        <v>#N/A</v>
      </c>
      <c r="AF280" s="592" t="e">
        <f ca="1">OFFSET('360SpcLdsCSV'!$B$5,$B280,AF$51)</f>
        <v>#N/A</v>
      </c>
      <c r="AG280" s="592" t="e">
        <f ca="1">OFFSET('360SpcLdsCSV'!$B$5,$B280,AG$51)</f>
        <v>#N/A</v>
      </c>
      <c r="AH280" s="592" t="e">
        <f ca="1">OFFSET('360SpcLdsCSV'!$B$5,$B280,AH$51)</f>
        <v>#N/A</v>
      </c>
      <c r="AI280" s="592" t="e">
        <f ca="1">OFFSET('360SpcLdsCSV'!$B$5,$B280,AI$51)</f>
        <v>#N/A</v>
      </c>
      <c r="AJ280" s="592" t="e" cm="1">
        <f t="array" ref="AJ280">_xlfn.IFS($F280="Resi",1,$F280="Racc",0,$F280="Coml",0,$F280="Prkg",0)</f>
        <v>#VALUE!</v>
      </c>
      <c r="AK280" s="596"/>
      <c r="AL280" s="590" t="e">
        <f ca="1">OFFSET('360SpcLdsCSV'!$B$5,$B280,AL$51)</f>
        <v>#N/A</v>
      </c>
      <c r="AM280" s="663" t="e">
        <f t="shared" ca="1" si="230"/>
        <v>#N/A</v>
      </c>
      <c r="AN280" s="663" t="e">
        <f t="shared" ca="1" si="231"/>
        <v>#N/A</v>
      </c>
      <c r="AO280" s="663" t="e">
        <f t="shared" ca="1" si="232"/>
        <v>#N/A</v>
      </c>
      <c r="AP280" s="663" t="e">
        <f t="shared" ca="1" si="233"/>
        <v>#N/A</v>
      </c>
      <c r="AQ280" s="663" t="e">
        <f t="shared" ca="1" si="234"/>
        <v>#N/A</v>
      </c>
      <c r="AR280" s="663" t="e">
        <f t="shared" ca="1" si="235"/>
        <v>#N/A</v>
      </c>
      <c r="AS280" s="663" t="e">
        <f t="shared" ca="1" si="236"/>
        <v>#N/A</v>
      </c>
      <c r="AT280" s="663" t="e">
        <f t="shared" ca="1" si="237"/>
        <v>#N/A</v>
      </c>
      <c r="AU280" s="663" t="e">
        <f t="shared" ca="1" si="238"/>
        <v>#N/A</v>
      </c>
      <c r="AV280" s="663" t="e">
        <f t="shared" ca="1" si="239"/>
        <v>#N/A</v>
      </c>
      <c r="AW280" s="663" t="e">
        <f t="shared" ca="1" si="208"/>
        <v>#N/A</v>
      </c>
      <c r="AX280" s="663" t="e">
        <f t="shared" ca="1" si="209"/>
        <v>#N/A</v>
      </c>
      <c r="AY280" s="663" t="e">
        <f t="shared" ca="1" si="210"/>
        <v>#N/A</v>
      </c>
      <c r="AZ280" s="663" t="e">
        <f t="shared" ca="1" si="211"/>
        <v>#N/A</v>
      </c>
      <c r="BA280" s="663" t="e">
        <f t="shared" ca="1" si="212"/>
        <v>#N/A</v>
      </c>
      <c r="BB280" s="663" t="e">
        <f t="shared" ca="1" si="213"/>
        <v>#N/A</v>
      </c>
      <c r="BC280" s="663" t="e">
        <f t="shared" ca="1" si="214"/>
        <v>#N/A</v>
      </c>
      <c r="BD280" s="663" t="e">
        <f t="shared" ca="1" si="215"/>
        <v>#N/A</v>
      </c>
      <c r="BE280" s="663" t="e">
        <f t="shared" ca="1" si="216"/>
        <v>#N/A</v>
      </c>
      <c r="BF280" s="663" t="e">
        <f t="shared" ca="1" si="217"/>
        <v>#N/A</v>
      </c>
      <c r="BG280" s="663" t="e">
        <f t="shared" ca="1" si="218"/>
        <v>#N/A</v>
      </c>
      <c r="BH280" s="663" t="e">
        <f t="shared" ca="1" si="219"/>
        <v>#N/A</v>
      </c>
      <c r="BI280" s="663" t="e">
        <f t="shared" ca="1" si="220"/>
        <v>#N/A</v>
      </c>
      <c r="BJ280" s="663" t="e">
        <f t="shared" ca="1" si="221"/>
        <v>#N/A</v>
      </c>
      <c r="BK280" s="663" t="e">
        <f t="shared" ca="1" si="222"/>
        <v>#N/A</v>
      </c>
      <c r="BL280" s="1918"/>
      <c r="BM280" s="1532"/>
      <c r="BN280" s="1919"/>
      <c r="BO280" s="603"/>
      <c r="BP280" s="602"/>
      <c r="BQ280" s="602"/>
      <c r="BR280" s="602"/>
      <c r="BS280" s="604"/>
      <c r="BT280" s="605"/>
      <c r="BU280" s="602"/>
      <c r="BV280" s="602"/>
      <c r="BW280" s="606"/>
      <c r="BX280" s="607"/>
      <c r="BY280" s="608"/>
      <c r="BZ280" s="608"/>
      <c r="CA280" s="608"/>
      <c r="CB280" s="600"/>
    </row>
    <row r="281" spans="2:80" ht="12" customHeight="1" x14ac:dyDescent="0.35">
      <c r="B281" s="590" t="e">
        <f>MATCH(C281,'360SpcLdsCSV'!$C$6:$C$500,0)</f>
        <v>#N/A</v>
      </c>
      <c r="C281" s="590">
        <f>'360SpcLdsCSV'!C230</f>
        <v>0</v>
      </c>
      <c r="D281" s="590" t="str">
        <f t="shared" si="226"/>
        <v>0</v>
      </c>
      <c r="E281" s="590" t="e">
        <f t="shared" si="227"/>
        <v>#VALUE!</v>
      </c>
      <c r="F281" s="590" t="e">
        <f t="shared" si="228"/>
        <v>#VALUE!</v>
      </c>
      <c r="G281" s="590" t="str">
        <f t="shared" si="229"/>
        <v>0</v>
      </c>
      <c r="H281" s="590" t="e">
        <f ca="1">OFFSET('360SpcLdsCSV'!$B$5,$B281,H$51)</f>
        <v>#N/A</v>
      </c>
      <c r="I281" s="590" t="e">
        <f ca="1">OFFSET('360SpcLdsCSV'!$B$5,$B281,I$51)</f>
        <v>#N/A</v>
      </c>
      <c r="J281" s="590" t="e">
        <f ca="1">OFFSET('360SpcLdsCSV'!$B$5,$B281,J$51)</f>
        <v>#N/A</v>
      </c>
      <c r="K281" s="590" t="e">
        <f ca="1">OFFSET('360SpcLdsCSV'!$B$5,$B281,K$51)</f>
        <v>#N/A</v>
      </c>
      <c r="L281" s="590" t="e">
        <f ca="1">OFFSET('360SpcLdsCSV'!$B$5,$B281,L$51)</f>
        <v>#N/A</v>
      </c>
      <c r="M281" s="592" t="e">
        <f ca="1">OFFSET('360SpcLdsCSV'!$B$5,$B281,M$51)</f>
        <v>#N/A</v>
      </c>
      <c r="N281" s="592" t="e">
        <f ca="1">OFFSET('360SpcLdsCSV'!$B$5,$B281,N$51)</f>
        <v>#N/A</v>
      </c>
      <c r="O281" s="592" t="e">
        <f ca="1">OFFSET('360SpcLdsCSV'!$B$5,$B281,O$51)</f>
        <v>#N/A</v>
      </c>
      <c r="P281" s="592" t="e">
        <f ca="1">OFFSET('360SpcLdsCSV'!$B$5,$B281,P$51)</f>
        <v>#N/A</v>
      </c>
      <c r="Q281" s="592" t="e">
        <f ca="1">OFFSET('360SpcLdsCSV'!$B$5,$B281,Q$51)</f>
        <v>#N/A</v>
      </c>
      <c r="R281" s="592" t="e">
        <f ca="1">OFFSET('360SpcLdsCSV'!$B$5,$B281,R$51)</f>
        <v>#N/A</v>
      </c>
      <c r="S281" s="592" t="e">
        <f ca="1">OFFSET('360SpcLdsCSV'!$B$5,$B281,S$51)</f>
        <v>#N/A</v>
      </c>
      <c r="T281" s="592" t="e">
        <f ca="1">OFFSET('360SpcLdsCSV'!$B$5,$B281,T$51)</f>
        <v>#N/A</v>
      </c>
      <c r="U281" s="592" t="e">
        <f ca="1">OFFSET('360SpcLdsCSV'!$B$5,$B281,U$51)</f>
        <v>#N/A</v>
      </c>
      <c r="V281" s="592" t="e">
        <f ca="1">OFFSET('360SpcLdsCSV'!$B$5,$B281,V$51)</f>
        <v>#N/A</v>
      </c>
      <c r="W281" s="592" t="e">
        <f ca="1">OFFSET('360SpcLdsCSV'!$B$5,$B281,W$51)</f>
        <v>#N/A</v>
      </c>
      <c r="X281" s="592" t="e">
        <f ca="1">OFFSET('360SpcLdsCSV'!$B$5,$B281,X$51)</f>
        <v>#N/A</v>
      </c>
      <c r="Y281" s="592" t="e">
        <f ca="1">OFFSET('360SpcLdsCSV'!$B$5,$B281,Y$51)</f>
        <v>#N/A</v>
      </c>
      <c r="Z281" s="592" t="e">
        <f ca="1">OFFSET('360SpcLdsCSV'!$B$5,$B281,Z$51)</f>
        <v>#N/A</v>
      </c>
      <c r="AA281" s="592" t="e">
        <f ca="1">OFFSET('360SpcLdsCSV'!$B$5,$B281,AA$51)</f>
        <v>#N/A</v>
      </c>
      <c r="AB281" s="592" t="e">
        <f ca="1">OFFSET('360SpcLdsCSV'!$B$5,$B281,AB$51)</f>
        <v>#N/A</v>
      </c>
      <c r="AC281" s="592" t="e">
        <f ca="1">OFFSET('360SpcLdsCSV'!$B$5,$B281,AC$51)</f>
        <v>#N/A</v>
      </c>
      <c r="AD281" s="592" t="e">
        <f ca="1">OFFSET('360SpcLdsCSV'!$B$5,$B281,AD$51)</f>
        <v>#N/A</v>
      </c>
      <c r="AE281" s="592" t="e">
        <f ca="1">OFFSET('360SpcLdsCSV'!$B$5,$B281,AE$51)</f>
        <v>#N/A</v>
      </c>
      <c r="AF281" s="592" t="e">
        <f ca="1">OFFSET('360SpcLdsCSV'!$B$5,$B281,AF$51)</f>
        <v>#N/A</v>
      </c>
      <c r="AG281" s="592" t="e">
        <f ca="1">OFFSET('360SpcLdsCSV'!$B$5,$B281,AG$51)</f>
        <v>#N/A</v>
      </c>
      <c r="AH281" s="592" t="e">
        <f ca="1">OFFSET('360SpcLdsCSV'!$B$5,$B281,AH$51)</f>
        <v>#N/A</v>
      </c>
      <c r="AI281" s="592" t="e">
        <f ca="1">OFFSET('360SpcLdsCSV'!$B$5,$B281,AI$51)</f>
        <v>#N/A</v>
      </c>
      <c r="AJ281" s="592" t="e" cm="1">
        <f t="array" ref="AJ281">_xlfn.IFS($F281="Resi",1,$F281="Racc",0,$F281="Coml",0,$F281="Prkg",0)</f>
        <v>#VALUE!</v>
      </c>
      <c r="AK281" s="596"/>
      <c r="AL281" s="590" t="e">
        <f ca="1">OFFSET('360SpcLdsCSV'!$B$5,$B281,AL$51)</f>
        <v>#N/A</v>
      </c>
      <c r="AM281" s="663" t="e">
        <f t="shared" ca="1" si="230"/>
        <v>#N/A</v>
      </c>
      <c r="AN281" s="663" t="e">
        <f t="shared" ca="1" si="231"/>
        <v>#N/A</v>
      </c>
      <c r="AO281" s="663" t="e">
        <f t="shared" ca="1" si="232"/>
        <v>#N/A</v>
      </c>
      <c r="AP281" s="663" t="e">
        <f t="shared" ca="1" si="233"/>
        <v>#N/A</v>
      </c>
      <c r="AQ281" s="663" t="e">
        <f t="shared" ca="1" si="234"/>
        <v>#N/A</v>
      </c>
      <c r="AR281" s="663" t="e">
        <f t="shared" ca="1" si="235"/>
        <v>#N/A</v>
      </c>
      <c r="AS281" s="663" t="e">
        <f t="shared" ca="1" si="236"/>
        <v>#N/A</v>
      </c>
      <c r="AT281" s="663" t="e">
        <f t="shared" ca="1" si="237"/>
        <v>#N/A</v>
      </c>
      <c r="AU281" s="663" t="e">
        <f t="shared" ca="1" si="238"/>
        <v>#N/A</v>
      </c>
      <c r="AV281" s="663" t="e">
        <f t="shared" ca="1" si="239"/>
        <v>#N/A</v>
      </c>
      <c r="AW281" s="663" t="e">
        <f t="shared" ca="1" si="208"/>
        <v>#N/A</v>
      </c>
      <c r="AX281" s="663" t="e">
        <f t="shared" ca="1" si="209"/>
        <v>#N/A</v>
      </c>
      <c r="AY281" s="663" t="e">
        <f t="shared" ca="1" si="210"/>
        <v>#N/A</v>
      </c>
      <c r="AZ281" s="663" t="e">
        <f t="shared" ca="1" si="211"/>
        <v>#N/A</v>
      </c>
      <c r="BA281" s="663" t="e">
        <f t="shared" ca="1" si="212"/>
        <v>#N/A</v>
      </c>
      <c r="BB281" s="663" t="e">
        <f t="shared" ca="1" si="213"/>
        <v>#N/A</v>
      </c>
      <c r="BC281" s="663" t="e">
        <f t="shared" ca="1" si="214"/>
        <v>#N/A</v>
      </c>
      <c r="BD281" s="663" t="e">
        <f t="shared" ca="1" si="215"/>
        <v>#N/A</v>
      </c>
      <c r="BE281" s="663" t="e">
        <f t="shared" ca="1" si="216"/>
        <v>#N/A</v>
      </c>
      <c r="BF281" s="663" t="e">
        <f t="shared" ca="1" si="217"/>
        <v>#N/A</v>
      </c>
      <c r="BG281" s="663" t="e">
        <f t="shared" ca="1" si="218"/>
        <v>#N/A</v>
      </c>
      <c r="BH281" s="663" t="e">
        <f t="shared" ca="1" si="219"/>
        <v>#N/A</v>
      </c>
      <c r="BI281" s="663" t="e">
        <f t="shared" ca="1" si="220"/>
        <v>#N/A</v>
      </c>
      <c r="BJ281" s="663" t="e">
        <f t="shared" ca="1" si="221"/>
        <v>#N/A</v>
      </c>
      <c r="BK281" s="663" t="e">
        <f t="shared" ca="1" si="222"/>
        <v>#N/A</v>
      </c>
      <c r="BL281" s="1918"/>
      <c r="BM281" s="1532"/>
      <c r="BN281" s="1919"/>
      <c r="BO281" s="603"/>
      <c r="BP281" s="602"/>
      <c r="BQ281" s="602"/>
      <c r="BR281" s="602"/>
      <c r="BS281" s="604"/>
      <c r="BT281" s="605"/>
      <c r="BU281" s="602"/>
      <c r="BV281" s="602"/>
      <c r="BW281" s="606"/>
      <c r="BX281" s="607"/>
      <c r="BY281" s="608"/>
      <c r="BZ281" s="608"/>
      <c r="CA281" s="608"/>
      <c r="CB281" s="600"/>
    </row>
    <row r="282" spans="2:80" ht="12" customHeight="1" x14ac:dyDescent="0.35">
      <c r="B282" s="590" t="e">
        <f>MATCH(C282,'360SpcLdsCSV'!$C$6:$C$500,0)</f>
        <v>#N/A</v>
      </c>
      <c r="C282" s="590">
        <f>'360SpcLdsCSV'!C231</f>
        <v>0</v>
      </c>
      <c r="D282" s="590" t="str">
        <f t="shared" si="226"/>
        <v>0</v>
      </c>
      <c r="E282" s="590" t="e">
        <f t="shared" si="227"/>
        <v>#VALUE!</v>
      </c>
      <c r="F282" s="590" t="e">
        <f t="shared" si="228"/>
        <v>#VALUE!</v>
      </c>
      <c r="G282" s="590" t="str">
        <f t="shared" si="229"/>
        <v>0</v>
      </c>
      <c r="H282" s="590" t="e">
        <f ca="1">OFFSET('360SpcLdsCSV'!$B$5,$B282,H$51)</f>
        <v>#N/A</v>
      </c>
      <c r="I282" s="590" t="e">
        <f ca="1">OFFSET('360SpcLdsCSV'!$B$5,$B282,I$51)</f>
        <v>#N/A</v>
      </c>
      <c r="J282" s="590" t="e">
        <f ca="1">OFFSET('360SpcLdsCSV'!$B$5,$B282,J$51)</f>
        <v>#N/A</v>
      </c>
      <c r="K282" s="590" t="e">
        <f ca="1">OFFSET('360SpcLdsCSV'!$B$5,$B282,K$51)</f>
        <v>#N/A</v>
      </c>
      <c r="L282" s="590" t="e">
        <f ca="1">OFFSET('360SpcLdsCSV'!$B$5,$B282,L$51)</f>
        <v>#N/A</v>
      </c>
      <c r="M282" s="592" t="e">
        <f ca="1">OFFSET('360SpcLdsCSV'!$B$5,$B282,M$51)</f>
        <v>#N/A</v>
      </c>
      <c r="N282" s="592" t="e">
        <f ca="1">OFFSET('360SpcLdsCSV'!$B$5,$B282,N$51)</f>
        <v>#N/A</v>
      </c>
      <c r="O282" s="592" t="e">
        <f ca="1">OFFSET('360SpcLdsCSV'!$B$5,$B282,O$51)</f>
        <v>#N/A</v>
      </c>
      <c r="P282" s="592" t="e">
        <f ca="1">OFFSET('360SpcLdsCSV'!$B$5,$B282,P$51)</f>
        <v>#N/A</v>
      </c>
      <c r="Q282" s="592" t="e">
        <f ca="1">OFFSET('360SpcLdsCSV'!$B$5,$B282,Q$51)</f>
        <v>#N/A</v>
      </c>
      <c r="R282" s="592" t="e">
        <f ca="1">OFFSET('360SpcLdsCSV'!$B$5,$B282,R$51)</f>
        <v>#N/A</v>
      </c>
      <c r="S282" s="592" t="e">
        <f ca="1">OFFSET('360SpcLdsCSV'!$B$5,$B282,S$51)</f>
        <v>#N/A</v>
      </c>
      <c r="T282" s="592" t="e">
        <f ca="1">OFFSET('360SpcLdsCSV'!$B$5,$B282,T$51)</f>
        <v>#N/A</v>
      </c>
      <c r="U282" s="592" t="e">
        <f ca="1">OFFSET('360SpcLdsCSV'!$B$5,$B282,U$51)</f>
        <v>#N/A</v>
      </c>
      <c r="V282" s="592" t="e">
        <f ca="1">OFFSET('360SpcLdsCSV'!$B$5,$B282,V$51)</f>
        <v>#N/A</v>
      </c>
      <c r="W282" s="592" t="e">
        <f ca="1">OFFSET('360SpcLdsCSV'!$B$5,$B282,W$51)</f>
        <v>#N/A</v>
      </c>
      <c r="X282" s="592" t="e">
        <f ca="1">OFFSET('360SpcLdsCSV'!$B$5,$B282,X$51)</f>
        <v>#N/A</v>
      </c>
      <c r="Y282" s="592" t="e">
        <f ca="1">OFFSET('360SpcLdsCSV'!$B$5,$B282,Y$51)</f>
        <v>#N/A</v>
      </c>
      <c r="Z282" s="592" t="e">
        <f ca="1">OFFSET('360SpcLdsCSV'!$B$5,$B282,Z$51)</f>
        <v>#N/A</v>
      </c>
      <c r="AA282" s="592" t="e">
        <f ca="1">OFFSET('360SpcLdsCSV'!$B$5,$B282,AA$51)</f>
        <v>#N/A</v>
      </c>
      <c r="AB282" s="592" t="e">
        <f ca="1">OFFSET('360SpcLdsCSV'!$B$5,$B282,AB$51)</f>
        <v>#N/A</v>
      </c>
      <c r="AC282" s="592" t="e">
        <f ca="1">OFFSET('360SpcLdsCSV'!$B$5,$B282,AC$51)</f>
        <v>#N/A</v>
      </c>
      <c r="AD282" s="592" t="e">
        <f ca="1">OFFSET('360SpcLdsCSV'!$B$5,$B282,AD$51)</f>
        <v>#N/A</v>
      </c>
      <c r="AE282" s="592" t="e">
        <f ca="1">OFFSET('360SpcLdsCSV'!$B$5,$B282,AE$51)</f>
        <v>#N/A</v>
      </c>
      <c r="AF282" s="592" t="e">
        <f ca="1">OFFSET('360SpcLdsCSV'!$B$5,$B282,AF$51)</f>
        <v>#N/A</v>
      </c>
      <c r="AG282" s="592" t="e">
        <f ca="1">OFFSET('360SpcLdsCSV'!$B$5,$B282,AG$51)</f>
        <v>#N/A</v>
      </c>
      <c r="AH282" s="592" t="e">
        <f ca="1">OFFSET('360SpcLdsCSV'!$B$5,$B282,AH$51)</f>
        <v>#N/A</v>
      </c>
      <c r="AI282" s="592" t="e">
        <f ca="1">OFFSET('360SpcLdsCSV'!$B$5,$B282,AI$51)</f>
        <v>#N/A</v>
      </c>
      <c r="AJ282" s="592" t="e" cm="1">
        <f t="array" ref="AJ282">_xlfn.IFS($F282="Resi",1,$F282="Racc",0,$F282="Coml",0,$F282="Prkg",0)</f>
        <v>#VALUE!</v>
      </c>
      <c r="AK282" s="596"/>
      <c r="AL282" s="590" t="e">
        <f ca="1">OFFSET('360SpcLdsCSV'!$B$5,$B282,AL$51)</f>
        <v>#N/A</v>
      </c>
      <c r="AM282" s="663" t="e">
        <f t="shared" ca="1" si="230"/>
        <v>#N/A</v>
      </c>
      <c r="AN282" s="663" t="e">
        <f t="shared" ca="1" si="231"/>
        <v>#N/A</v>
      </c>
      <c r="AO282" s="663" t="e">
        <f t="shared" ca="1" si="232"/>
        <v>#N/A</v>
      </c>
      <c r="AP282" s="663" t="e">
        <f t="shared" ca="1" si="233"/>
        <v>#N/A</v>
      </c>
      <c r="AQ282" s="663" t="e">
        <f t="shared" ca="1" si="234"/>
        <v>#N/A</v>
      </c>
      <c r="AR282" s="663" t="e">
        <f t="shared" ca="1" si="235"/>
        <v>#N/A</v>
      </c>
      <c r="AS282" s="663" t="e">
        <f t="shared" ca="1" si="236"/>
        <v>#N/A</v>
      </c>
      <c r="AT282" s="663" t="e">
        <f t="shared" ca="1" si="237"/>
        <v>#N/A</v>
      </c>
      <c r="AU282" s="663" t="e">
        <f t="shared" ca="1" si="238"/>
        <v>#N/A</v>
      </c>
      <c r="AV282" s="663" t="e">
        <f t="shared" ca="1" si="239"/>
        <v>#N/A</v>
      </c>
      <c r="AW282" s="663" t="e">
        <f t="shared" ca="1" si="208"/>
        <v>#N/A</v>
      </c>
      <c r="AX282" s="663" t="e">
        <f t="shared" ca="1" si="209"/>
        <v>#N/A</v>
      </c>
      <c r="AY282" s="663" t="e">
        <f t="shared" ca="1" si="210"/>
        <v>#N/A</v>
      </c>
      <c r="AZ282" s="663" t="e">
        <f t="shared" ca="1" si="211"/>
        <v>#N/A</v>
      </c>
      <c r="BA282" s="663" t="e">
        <f t="shared" ca="1" si="212"/>
        <v>#N/A</v>
      </c>
      <c r="BB282" s="663" t="e">
        <f t="shared" ca="1" si="213"/>
        <v>#N/A</v>
      </c>
      <c r="BC282" s="663" t="e">
        <f t="shared" ca="1" si="214"/>
        <v>#N/A</v>
      </c>
      <c r="BD282" s="663" t="e">
        <f t="shared" ca="1" si="215"/>
        <v>#N/A</v>
      </c>
      <c r="BE282" s="663" t="e">
        <f t="shared" ca="1" si="216"/>
        <v>#N/A</v>
      </c>
      <c r="BF282" s="663" t="e">
        <f t="shared" ca="1" si="217"/>
        <v>#N/A</v>
      </c>
      <c r="BG282" s="663" t="e">
        <f t="shared" ca="1" si="218"/>
        <v>#N/A</v>
      </c>
      <c r="BH282" s="663" t="e">
        <f t="shared" ca="1" si="219"/>
        <v>#N/A</v>
      </c>
      <c r="BI282" s="663" t="e">
        <f t="shared" ca="1" si="220"/>
        <v>#N/A</v>
      </c>
      <c r="BJ282" s="663" t="e">
        <f t="shared" ca="1" si="221"/>
        <v>#N/A</v>
      </c>
      <c r="BK282" s="663" t="e">
        <f t="shared" ca="1" si="222"/>
        <v>#N/A</v>
      </c>
      <c r="BL282" s="1918"/>
      <c r="BM282" s="1532"/>
      <c r="BN282" s="1919"/>
      <c r="BO282" s="603"/>
      <c r="BP282" s="602"/>
      <c r="BQ282" s="602"/>
      <c r="BR282" s="602"/>
      <c r="BS282" s="604"/>
      <c r="BT282" s="605"/>
      <c r="BU282" s="602"/>
      <c r="BV282" s="602"/>
      <c r="BW282" s="606"/>
      <c r="BX282" s="607"/>
      <c r="BY282" s="608"/>
      <c r="BZ282" s="608"/>
      <c r="CA282" s="608"/>
      <c r="CB282" s="600"/>
    </row>
    <row r="283" spans="2:80" ht="12" customHeight="1" x14ac:dyDescent="0.35">
      <c r="B283" s="590" t="e">
        <f>MATCH(C283,'360SpcLdsCSV'!$C$6:$C$500,0)</f>
        <v>#N/A</v>
      </c>
      <c r="C283" s="590">
        <f>'360SpcLdsCSV'!C232</f>
        <v>0</v>
      </c>
      <c r="D283" s="590" t="str">
        <f t="shared" si="226"/>
        <v>0</v>
      </c>
      <c r="E283" s="590" t="e">
        <f t="shared" si="227"/>
        <v>#VALUE!</v>
      </c>
      <c r="F283" s="590" t="e">
        <f t="shared" si="228"/>
        <v>#VALUE!</v>
      </c>
      <c r="G283" s="590" t="str">
        <f t="shared" si="229"/>
        <v>0</v>
      </c>
      <c r="H283" s="590" t="e">
        <f ca="1">OFFSET('360SpcLdsCSV'!$B$5,$B283,H$51)</f>
        <v>#N/A</v>
      </c>
      <c r="I283" s="590" t="e">
        <f ca="1">OFFSET('360SpcLdsCSV'!$B$5,$B283,I$51)</f>
        <v>#N/A</v>
      </c>
      <c r="J283" s="590" t="e">
        <f ca="1">OFFSET('360SpcLdsCSV'!$B$5,$B283,J$51)</f>
        <v>#N/A</v>
      </c>
      <c r="K283" s="590" t="e">
        <f ca="1">OFFSET('360SpcLdsCSV'!$B$5,$B283,K$51)</f>
        <v>#N/A</v>
      </c>
      <c r="L283" s="590" t="e">
        <f ca="1">OFFSET('360SpcLdsCSV'!$B$5,$B283,L$51)</f>
        <v>#N/A</v>
      </c>
      <c r="M283" s="592" t="e">
        <f ca="1">OFFSET('360SpcLdsCSV'!$B$5,$B283,M$51)</f>
        <v>#N/A</v>
      </c>
      <c r="N283" s="592" t="e">
        <f ca="1">OFFSET('360SpcLdsCSV'!$B$5,$B283,N$51)</f>
        <v>#N/A</v>
      </c>
      <c r="O283" s="592" t="e">
        <f ca="1">OFFSET('360SpcLdsCSV'!$B$5,$B283,O$51)</f>
        <v>#N/A</v>
      </c>
      <c r="P283" s="592" t="e">
        <f ca="1">OFFSET('360SpcLdsCSV'!$B$5,$B283,P$51)</f>
        <v>#N/A</v>
      </c>
      <c r="Q283" s="592" t="e">
        <f ca="1">OFFSET('360SpcLdsCSV'!$B$5,$B283,Q$51)</f>
        <v>#N/A</v>
      </c>
      <c r="R283" s="592" t="e">
        <f ca="1">OFFSET('360SpcLdsCSV'!$B$5,$B283,R$51)</f>
        <v>#N/A</v>
      </c>
      <c r="S283" s="592" t="e">
        <f ca="1">OFFSET('360SpcLdsCSV'!$B$5,$B283,S$51)</f>
        <v>#N/A</v>
      </c>
      <c r="T283" s="592" t="e">
        <f ca="1">OFFSET('360SpcLdsCSV'!$B$5,$B283,T$51)</f>
        <v>#N/A</v>
      </c>
      <c r="U283" s="592" t="e">
        <f ca="1">OFFSET('360SpcLdsCSV'!$B$5,$B283,U$51)</f>
        <v>#N/A</v>
      </c>
      <c r="V283" s="592" t="e">
        <f ca="1">OFFSET('360SpcLdsCSV'!$B$5,$B283,V$51)</f>
        <v>#N/A</v>
      </c>
      <c r="W283" s="592" t="e">
        <f ca="1">OFFSET('360SpcLdsCSV'!$B$5,$B283,W$51)</f>
        <v>#N/A</v>
      </c>
      <c r="X283" s="592" t="e">
        <f ca="1">OFFSET('360SpcLdsCSV'!$B$5,$B283,X$51)</f>
        <v>#N/A</v>
      </c>
      <c r="Y283" s="592" t="e">
        <f ca="1">OFFSET('360SpcLdsCSV'!$B$5,$B283,Y$51)</f>
        <v>#N/A</v>
      </c>
      <c r="Z283" s="592" t="e">
        <f ca="1">OFFSET('360SpcLdsCSV'!$B$5,$B283,Z$51)</f>
        <v>#N/A</v>
      </c>
      <c r="AA283" s="592" t="e">
        <f ca="1">OFFSET('360SpcLdsCSV'!$B$5,$B283,AA$51)</f>
        <v>#N/A</v>
      </c>
      <c r="AB283" s="592" t="e">
        <f ca="1">OFFSET('360SpcLdsCSV'!$B$5,$B283,AB$51)</f>
        <v>#N/A</v>
      </c>
      <c r="AC283" s="592" t="e">
        <f ca="1">OFFSET('360SpcLdsCSV'!$B$5,$B283,AC$51)</f>
        <v>#N/A</v>
      </c>
      <c r="AD283" s="592" t="e">
        <f ca="1">OFFSET('360SpcLdsCSV'!$B$5,$B283,AD$51)</f>
        <v>#N/A</v>
      </c>
      <c r="AE283" s="592" t="e">
        <f ca="1">OFFSET('360SpcLdsCSV'!$B$5,$B283,AE$51)</f>
        <v>#N/A</v>
      </c>
      <c r="AF283" s="592" t="e">
        <f ca="1">OFFSET('360SpcLdsCSV'!$B$5,$B283,AF$51)</f>
        <v>#N/A</v>
      </c>
      <c r="AG283" s="592" t="e">
        <f ca="1">OFFSET('360SpcLdsCSV'!$B$5,$B283,AG$51)</f>
        <v>#N/A</v>
      </c>
      <c r="AH283" s="592" t="e">
        <f ca="1">OFFSET('360SpcLdsCSV'!$B$5,$B283,AH$51)</f>
        <v>#N/A</v>
      </c>
      <c r="AI283" s="592" t="e">
        <f ca="1">OFFSET('360SpcLdsCSV'!$B$5,$B283,AI$51)</f>
        <v>#N/A</v>
      </c>
      <c r="AJ283" s="592" t="e" cm="1">
        <f t="array" ref="AJ283">_xlfn.IFS($F283="Resi",1,$F283="Racc",0,$F283="Coml",0,$F283="Prkg",0)</f>
        <v>#VALUE!</v>
      </c>
      <c r="AK283" s="596"/>
      <c r="AL283" s="590" t="e">
        <f ca="1">OFFSET('360SpcLdsCSV'!$B$5,$B283,AL$51)</f>
        <v>#N/A</v>
      </c>
      <c r="AM283" s="663" t="e">
        <f t="shared" ca="1" si="230"/>
        <v>#N/A</v>
      </c>
      <c r="AN283" s="663" t="e">
        <f t="shared" ca="1" si="231"/>
        <v>#N/A</v>
      </c>
      <c r="AO283" s="663" t="e">
        <f t="shared" ca="1" si="232"/>
        <v>#N/A</v>
      </c>
      <c r="AP283" s="663" t="e">
        <f t="shared" ca="1" si="233"/>
        <v>#N/A</v>
      </c>
      <c r="AQ283" s="663" t="e">
        <f t="shared" ca="1" si="234"/>
        <v>#N/A</v>
      </c>
      <c r="AR283" s="663" t="e">
        <f t="shared" ca="1" si="235"/>
        <v>#N/A</v>
      </c>
      <c r="AS283" s="663" t="e">
        <f t="shared" ca="1" si="236"/>
        <v>#N/A</v>
      </c>
      <c r="AT283" s="663" t="e">
        <f t="shared" ca="1" si="237"/>
        <v>#N/A</v>
      </c>
      <c r="AU283" s="663" t="e">
        <f t="shared" ca="1" si="238"/>
        <v>#N/A</v>
      </c>
      <c r="AV283" s="663" t="e">
        <f t="shared" ca="1" si="239"/>
        <v>#N/A</v>
      </c>
      <c r="AW283" s="663" t="e">
        <f t="shared" ca="1" si="208"/>
        <v>#N/A</v>
      </c>
      <c r="AX283" s="663" t="e">
        <f t="shared" ca="1" si="209"/>
        <v>#N/A</v>
      </c>
      <c r="AY283" s="663" t="e">
        <f t="shared" ca="1" si="210"/>
        <v>#N/A</v>
      </c>
      <c r="AZ283" s="663" t="e">
        <f t="shared" ca="1" si="211"/>
        <v>#N/A</v>
      </c>
      <c r="BA283" s="663" t="e">
        <f t="shared" ca="1" si="212"/>
        <v>#N/A</v>
      </c>
      <c r="BB283" s="663" t="e">
        <f t="shared" ca="1" si="213"/>
        <v>#N/A</v>
      </c>
      <c r="BC283" s="663" t="e">
        <f t="shared" ca="1" si="214"/>
        <v>#N/A</v>
      </c>
      <c r="BD283" s="663" t="e">
        <f t="shared" ca="1" si="215"/>
        <v>#N/A</v>
      </c>
      <c r="BE283" s="663" t="e">
        <f t="shared" ca="1" si="216"/>
        <v>#N/A</v>
      </c>
      <c r="BF283" s="663" t="e">
        <f t="shared" ca="1" si="217"/>
        <v>#N/A</v>
      </c>
      <c r="BG283" s="663" t="e">
        <f t="shared" ca="1" si="218"/>
        <v>#N/A</v>
      </c>
      <c r="BH283" s="663" t="e">
        <f t="shared" ca="1" si="219"/>
        <v>#N/A</v>
      </c>
      <c r="BI283" s="663" t="e">
        <f t="shared" ca="1" si="220"/>
        <v>#N/A</v>
      </c>
      <c r="BJ283" s="663" t="e">
        <f t="shared" ca="1" si="221"/>
        <v>#N/A</v>
      </c>
      <c r="BK283" s="663" t="e">
        <f t="shared" ca="1" si="222"/>
        <v>#N/A</v>
      </c>
      <c r="BL283" s="1918"/>
      <c r="BM283" s="1532"/>
      <c r="BN283" s="1919"/>
      <c r="BO283" s="603"/>
      <c r="BP283" s="602"/>
      <c r="BQ283" s="602"/>
      <c r="BR283" s="602"/>
      <c r="BS283" s="604"/>
      <c r="BT283" s="605"/>
      <c r="BU283" s="602"/>
      <c r="BV283" s="602"/>
      <c r="BW283" s="606"/>
      <c r="BX283" s="607"/>
      <c r="BY283" s="608"/>
      <c r="BZ283" s="608"/>
      <c r="CA283" s="608"/>
      <c r="CB283" s="600"/>
    </row>
    <row r="284" spans="2:80" ht="12" customHeight="1" x14ac:dyDescent="0.35">
      <c r="B284" s="590" t="e">
        <f>MATCH(C284,'360SpcLdsCSV'!$C$6:$C$500,0)</f>
        <v>#N/A</v>
      </c>
      <c r="C284" s="590">
        <f>'360SpcLdsCSV'!C233</f>
        <v>0</v>
      </c>
      <c r="D284" s="590" t="str">
        <f t="shared" si="226"/>
        <v>0</v>
      </c>
      <c r="E284" s="590" t="e">
        <f t="shared" si="227"/>
        <v>#VALUE!</v>
      </c>
      <c r="F284" s="590" t="e">
        <f t="shared" si="228"/>
        <v>#VALUE!</v>
      </c>
      <c r="G284" s="590" t="str">
        <f t="shared" si="229"/>
        <v>0</v>
      </c>
      <c r="H284" s="590" t="e">
        <f ca="1">OFFSET('360SpcLdsCSV'!$B$5,$B284,H$51)</f>
        <v>#N/A</v>
      </c>
      <c r="I284" s="590" t="e">
        <f ca="1">OFFSET('360SpcLdsCSV'!$B$5,$B284,I$51)</f>
        <v>#N/A</v>
      </c>
      <c r="J284" s="590" t="e">
        <f ca="1">OFFSET('360SpcLdsCSV'!$B$5,$B284,J$51)</f>
        <v>#N/A</v>
      </c>
      <c r="K284" s="590" t="e">
        <f ca="1">OFFSET('360SpcLdsCSV'!$B$5,$B284,K$51)</f>
        <v>#N/A</v>
      </c>
      <c r="L284" s="590" t="e">
        <f ca="1">OFFSET('360SpcLdsCSV'!$B$5,$B284,L$51)</f>
        <v>#N/A</v>
      </c>
      <c r="M284" s="592" t="e">
        <f ca="1">OFFSET('360SpcLdsCSV'!$B$5,$B284,M$51)</f>
        <v>#N/A</v>
      </c>
      <c r="N284" s="592" t="e">
        <f ca="1">OFFSET('360SpcLdsCSV'!$B$5,$B284,N$51)</f>
        <v>#N/A</v>
      </c>
      <c r="O284" s="592" t="e">
        <f ca="1">OFFSET('360SpcLdsCSV'!$B$5,$B284,O$51)</f>
        <v>#N/A</v>
      </c>
      <c r="P284" s="592" t="e">
        <f ca="1">OFFSET('360SpcLdsCSV'!$B$5,$B284,P$51)</f>
        <v>#N/A</v>
      </c>
      <c r="Q284" s="592" t="e">
        <f ca="1">OFFSET('360SpcLdsCSV'!$B$5,$B284,Q$51)</f>
        <v>#N/A</v>
      </c>
      <c r="R284" s="592" t="e">
        <f ca="1">OFFSET('360SpcLdsCSV'!$B$5,$B284,R$51)</f>
        <v>#N/A</v>
      </c>
      <c r="S284" s="592" t="e">
        <f ca="1">OFFSET('360SpcLdsCSV'!$B$5,$B284,S$51)</f>
        <v>#N/A</v>
      </c>
      <c r="T284" s="592" t="e">
        <f ca="1">OFFSET('360SpcLdsCSV'!$B$5,$B284,T$51)</f>
        <v>#N/A</v>
      </c>
      <c r="U284" s="592" t="e">
        <f ca="1">OFFSET('360SpcLdsCSV'!$B$5,$B284,U$51)</f>
        <v>#N/A</v>
      </c>
      <c r="V284" s="592" t="e">
        <f ca="1">OFFSET('360SpcLdsCSV'!$B$5,$B284,V$51)</f>
        <v>#N/A</v>
      </c>
      <c r="W284" s="592" t="e">
        <f ca="1">OFFSET('360SpcLdsCSV'!$B$5,$B284,W$51)</f>
        <v>#N/A</v>
      </c>
      <c r="X284" s="592" t="e">
        <f ca="1">OFFSET('360SpcLdsCSV'!$B$5,$B284,X$51)</f>
        <v>#N/A</v>
      </c>
      <c r="Y284" s="592" t="e">
        <f ca="1">OFFSET('360SpcLdsCSV'!$B$5,$B284,Y$51)</f>
        <v>#N/A</v>
      </c>
      <c r="Z284" s="592" t="e">
        <f ca="1">OFFSET('360SpcLdsCSV'!$B$5,$B284,Z$51)</f>
        <v>#N/A</v>
      </c>
      <c r="AA284" s="592" t="e">
        <f ca="1">OFFSET('360SpcLdsCSV'!$B$5,$B284,AA$51)</f>
        <v>#N/A</v>
      </c>
      <c r="AB284" s="592" t="e">
        <f ca="1">OFFSET('360SpcLdsCSV'!$B$5,$B284,AB$51)</f>
        <v>#N/A</v>
      </c>
      <c r="AC284" s="592" t="e">
        <f ca="1">OFFSET('360SpcLdsCSV'!$B$5,$B284,AC$51)</f>
        <v>#N/A</v>
      </c>
      <c r="AD284" s="592" t="e">
        <f ca="1">OFFSET('360SpcLdsCSV'!$B$5,$B284,AD$51)</f>
        <v>#N/A</v>
      </c>
      <c r="AE284" s="592" t="e">
        <f ca="1">OFFSET('360SpcLdsCSV'!$B$5,$B284,AE$51)</f>
        <v>#N/A</v>
      </c>
      <c r="AF284" s="592" t="e">
        <f ca="1">OFFSET('360SpcLdsCSV'!$B$5,$B284,AF$51)</f>
        <v>#N/A</v>
      </c>
      <c r="AG284" s="592" t="e">
        <f ca="1">OFFSET('360SpcLdsCSV'!$B$5,$B284,AG$51)</f>
        <v>#N/A</v>
      </c>
      <c r="AH284" s="592" t="e">
        <f ca="1">OFFSET('360SpcLdsCSV'!$B$5,$B284,AH$51)</f>
        <v>#N/A</v>
      </c>
      <c r="AI284" s="592" t="e">
        <f ca="1">OFFSET('360SpcLdsCSV'!$B$5,$B284,AI$51)</f>
        <v>#N/A</v>
      </c>
      <c r="AJ284" s="592" t="e" cm="1">
        <f t="array" ref="AJ284">_xlfn.IFS($F284="Resi",1,$F284="Racc",0,$F284="Coml",0,$F284="Prkg",0)</f>
        <v>#VALUE!</v>
      </c>
      <c r="AK284" s="596"/>
      <c r="AL284" s="590" t="e">
        <f ca="1">OFFSET('360SpcLdsCSV'!$B$5,$B284,AL$51)</f>
        <v>#N/A</v>
      </c>
      <c r="AM284" s="663" t="e">
        <f t="shared" ca="1" si="230"/>
        <v>#N/A</v>
      </c>
      <c r="AN284" s="663" t="e">
        <f t="shared" ca="1" si="231"/>
        <v>#N/A</v>
      </c>
      <c r="AO284" s="663" t="e">
        <f t="shared" ca="1" si="232"/>
        <v>#N/A</v>
      </c>
      <c r="AP284" s="663" t="e">
        <f t="shared" ca="1" si="233"/>
        <v>#N/A</v>
      </c>
      <c r="AQ284" s="663" t="e">
        <f t="shared" ca="1" si="234"/>
        <v>#N/A</v>
      </c>
      <c r="AR284" s="663" t="e">
        <f t="shared" ca="1" si="235"/>
        <v>#N/A</v>
      </c>
      <c r="AS284" s="663" t="e">
        <f t="shared" ca="1" si="236"/>
        <v>#N/A</v>
      </c>
      <c r="AT284" s="663" t="e">
        <f t="shared" ca="1" si="237"/>
        <v>#N/A</v>
      </c>
      <c r="AU284" s="663" t="e">
        <f t="shared" ca="1" si="238"/>
        <v>#N/A</v>
      </c>
      <c r="AV284" s="663" t="e">
        <f t="shared" ca="1" si="239"/>
        <v>#N/A</v>
      </c>
      <c r="AW284" s="663" t="e">
        <f t="shared" ca="1" si="208"/>
        <v>#N/A</v>
      </c>
      <c r="AX284" s="663" t="e">
        <f t="shared" ca="1" si="209"/>
        <v>#N/A</v>
      </c>
      <c r="AY284" s="663" t="e">
        <f t="shared" ca="1" si="210"/>
        <v>#N/A</v>
      </c>
      <c r="AZ284" s="663" t="e">
        <f t="shared" ca="1" si="211"/>
        <v>#N/A</v>
      </c>
      <c r="BA284" s="663" t="e">
        <f t="shared" ca="1" si="212"/>
        <v>#N/A</v>
      </c>
      <c r="BB284" s="663" t="e">
        <f t="shared" ca="1" si="213"/>
        <v>#N/A</v>
      </c>
      <c r="BC284" s="663" t="e">
        <f t="shared" ca="1" si="214"/>
        <v>#N/A</v>
      </c>
      <c r="BD284" s="663" t="e">
        <f t="shared" ca="1" si="215"/>
        <v>#N/A</v>
      </c>
      <c r="BE284" s="663" t="e">
        <f t="shared" ca="1" si="216"/>
        <v>#N/A</v>
      </c>
      <c r="BF284" s="663" t="e">
        <f t="shared" ca="1" si="217"/>
        <v>#N/A</v>
      </c>
      <c r="BG284" s="663" t="e">
        <f t="shared" ca="1" si="218"/>
        <v>#N/A</v>
      </c>
      <c r="BH284" s="663" t="e">
        <f t="shared" ca="1" si="219"/>
        <v>#N/A</v>
      </c>
      <c r="BI284" s="663" t="e">
        <f t="shared" ca="1" si="220"/>
        <v>#N/A</v>
      </c>
      <c r="BJ284" s="663" t="e">
        <f t="shared" ca="1" si="221"/>
        <v>#N/A</v>
      </c>
      <c r="BK284" s="663" t="e">
        <f t="shared" ca="1" si="222"/>
        <v>#N/A</v>
      </c>
      <c r="BL284" s="1918"/>
      <c r="BM284" s="1532"/>
      <c r="BN284" s="1919"/>
      <c r="BO284" s="603"/>
      <c r="BP284" s="602"/>
      <c r="BQ284" s="602"/>
      <c r="BR284" s="602"/>
      <c r="BS284" s="604"/>
      <c r="BT284" s="605"/>
      <c r="BU284" s="602"/>
      <c r="BV284" s="602"/>
      <c r="BW284" s="606"/>
      <c r="BX284" s="607"/>
      <c r="BY284" s="608"/>
      <c r="BZ284" s="608"/>
      <c r="CA284" s="608"/>
      <c r="CB284" s="600"/>
    </row>
    <row r="285" spans="2:80" ht="12" customHeight="1" x14ac:dyDescent="0.35">
      <c r="B285" s="590" t="e">
        <f>MATCH(C285,'360SpcLdsCSV'!$C$6:$C$500,0)</f>
        <v>#N/A</v>
      </c>
      <c r="C285" s="590">
        <f>'360SpcLdsCSV'!C234</f>
        <v>0</v>
      </c>
      <c r="D285" s="590" t="str">
        <f t="shared" si="226"/>
        <v>0</v>
      </c>
      <c r="E285" s="590" t="e">
        <f t="shared" si="227"/>
        <v>#VALUE!</v>
      </c>
      <c r="F285" s="590" t="e">
        <f t="shared" si="228"/>
        <v>#VALUE!</v>
      </c>
      <c r="G285" s="590" t="str">
        <f t="shared" si="229"/>
        <v>0</v>
      </c>
      <c r="H285" s="590" t="e">
        <f ca="1">OFFSET('360SpcLdsCSV'!$B$5,$B285,H$51)</f>
        <v>#N/A</v>
      </c>
      <c r="I285" s="590" t="e">
        <f ca="1">OFFSET('360SpcLdsCSV'!$B$5,$B285,I$51)</f>
        <v>#N/A</v>
      </c>
      <c r="J285" s="590" t="e">
        <f ca="1">OFFSET('360SpcLdsCSV'!$B$5,$B285,J$51)</f>
        <v>#N/A</v>
      </c>
      <c r="K285" s="590" t="e">
        <f ca="1">OFFSET('360SpcLdsCSV'!$B$5,$B285,K$51)</f>
        <v>#N/A</v>
      </c>
      <c r="L285" s="590" t="e">
        <f ca="1">OFFSET('360SpcLdsCSV'!$B$5,$B285,L$51)</f>
        <v>#N/A</v>
      </c>
      <c r="M285" s="592" t="e">
        <f ca="1">OFFSET('360SpcLdsCSV'!$B$5,$B285,M$51)</f>
        <v>#N/A</v>
      </c>
      <c r="N285" s="592" t="e">
        <f ca="1">OFFSET('360SpcLdsCSV'!$B$5,$B285,N$51)</f>
        <v>#N/A</v>
      </c>
      <c r="O285" s="592" t="e">
        <f ca="1">OFFSET('360SpcLdsCSV'!$B$5,$B285,O$51)</f>
        <v>#N/A</v>
      </c>
      <c r="P285" s="592" t="e">
        <f ca="1">OFFSET('360SpcLdsCSV'!$B$5,$B285,P$51)</f>
        <v>#N/A</v>
      </c>
      <c r="Q285" s="592" t="e">
        <f ca="1">OFFSET('360SpcLdsCSV'!$B$5,$B285,Q$51)</f>
        <v>#N/A</v>
      </c>
      <c r="R285" s="592" t="e">
        <f ca="1">OFFSET('360SpcLdsCSV'!$B$5,$B285,R$51)</f>
        <v>#N/A</v>
      </c>
      <c r="S285" s="592" t="e">
        <f ca="1">OFFSET('360SpcLdsCSV'!$B$5,$B285,S$51)</f>
        <v>#N/A</v>
      </c>
      <c r="T285" s="592" t="e">
        <f ca="1">OFFSET('360SpcLdsCSV'!$B$5,$B285,T$51)</f>
        <v>#N/A</v>
      </c>
      <c r="U285" s="592" t="e">
        <f ca="1">OFFSET('360SpcLdsCSV'!$B$5,$B285,U$51)</f>
        <v>#N/A</v>
      </c>
      <c r="V285" s="592" t="e">
        <f ca="1">OFFSET('360SpcLdsCSV'!$B$5,$B285,V$51)</f>
        <v>#N/A</v>
      </c>
      <c r="W285" s="592" t="e">
        <f ca="1">OFFSET('360SpcLdsCSV'!$B$5,$B285,W$51)</f>
        <v>#N/A</v>
      </c>
      <c r="X285" s="592" t="e">
        <f ca="1">OFFSET('360SpcLdsCSV'!$B$5,$B285,X$51)</f>
        <v>#N/A</v>
      </c>
      <c r="Y285" s="592" t="e">
        <f ca="1">OFFSET('360SpcLdsCSV'!$B$5,$B285,Y$51)</f>
        <v>#N/A</v>
      </c>
      <c r="Z285" s="592" t="e">
        <f ca="1">OFFSET('360SpcLdsCSV'!$B$5,$B285,Z$51)</f>
        <v>#N/A</v>
      </c>
      <c r="AA285" s="592" t="e">
        <f ca="1">OFFSET('360SpcLdsCSV'!$B$5,$B285,AA$51)</f>
        <v>#N/A</v>
      </c>
      <c r="AB285" s="592" t="e">
        <f ca="1">OFFSET('360SpcLdsCSV'!$B$5,$B285,AB$51)</f>
        <v>#N/A</v>
      </c>
      <c r="AC285" s="592" t="e">
        <f ca="1">OFFSET('360SpcLdsCSV'!$B$5,$B285,AC$51)</f>
        <v>#N/A</v>
      </c>
      <c r="AD285" s="592" t="e">
        <f ca="1">OFFSET('360SpcLdsCSV'!$B$5,$B285,AD$51)</f>
        <v>#N/A</v>
      </c>
      <c r="AE285" s="592" t="e">
        <f ca="1">OFFSET('360SpcLdsCSV'!$B$5,$B285,AE$51)</f>
        <v>#N/A</v>
      </c>
      <c r="AF285" s="592" t="e">
        <f ca="1">OFFSET('360SpcLdsCSV'!$B$5,$B285,AF$51)</f>
        <v>#N/A</v>
      </c>
      <c r="AG285" s="592" t="e">
        <f ca="1">OFFSET('360SpcLdsCSV'!$B$5,$B285,AG$51)</f>
        <v>#N/A</v>
      </c>
      <c r="AH285" s="592" t="e">
        <f ca="1">OFFSET('360SpcLdsCSV'!$B$5,$B285,AH$51)</f>
        <v>#N/A</v>
      </c>
      <c r="AI285" s="592" t="e">
        <f ca="1">OFFSET('360SpcLdsCSV'!$B$5,$B285,AI$51)</f>
        <v>#N/A</v>
      </c>
      <c r="AJ285" s="592" t="e" cm="1">
        <f t="array" ref="AJ285">_xlfn.IFS($F285="Resi",1,$F285="Racc",0,$F285="Coml",0,$F285="Prkg",0)</f>
        <v>#VALUE!</v>
      </c>
      <c r="AK285" s="596"/>
      <c r="AL285" s="590" t="e">
        <f ca="1">OFFSET('360SpcLdsCSV'!$B$5,$B285,AL$51)</f>
        <v>#N/A</v>
      </c>
      <c r="AM285" s="663" t="e">
        <f t="shared" ca="1" si="230"/>
        <v>#N/A</v>
      </c>
      <c r="AN285" s="663" t="e">
        <f t="shared" ca="1" si="231"/>
        <v>#N/A</v>
      </c>
      <c r="AO285" s="663" t="e">
        <f t="shared" ca="1" si="232"/>
        <v>#N/A</v>
      </c>
      <c r="AP285" s="663" t="e">
        <f t="shared" ca="1" si="233"/>
        <v>#N/A</v>
      </c>
      <c r="AQ285" s="663" t="e">
        <f t="shared" ca="1" si="234"/>
        <v>#N/A</v>
      </c>
      <c r="AR285" s="663" t="e">
        <f t="shared" ca="1" si="235"/>
        <v>#N/A</v>
      </c>
      <c r="AS285" s="663" t="e">
        <f t="shared" ca="1" si="236"/>
        <v>#N/A</v>
      </c>
      <c r="AT285" s="663" t="e">
        <f t="shared" ca="1" si="237"/>
        <v>#N/A</v>
      </c>
      <c r="AU285" s="663" t="e">
        <f t="shared" ca="1" si="238"/>
        <v>#N/A</v>
      </c>
      <c r="AV285" s="663" t="e">
        <f t="shared" ca="1" si="239"/>
        <v>#N/A</v>
      </c>
      <c r="AW285" s="663" t="e">
        <f t="shared" ca="1" si="208"/>
        <v>#N/A</v>
      </c>
      <c r="AX285" s="663" t="e">
        <f t="shared" ca="1" si="209"/>
        <v>#N/A</v>
      </c>
      <c r="AY285" s="663" t="e">
        <f t="shared" ca="1" si="210"/>
        <v>#N/A</v>
      </c>
      <c r="AZ285" s="663" t="e">
        <f t="shared" ca="1" si="211"/>
        <v>#N/A</v>
      </c>
      <c r="BA285" s="663" t="e">
        <f t="shared" ca="1" si="212"/>
        <v>#N/A</v>
      </c>
      <c r="BB285" s="663" t="e">
        <f t="shared" ca="1" si="213"/>
        <v>#N/A</v>
      </c>
      <c r="BC285" s="663" t="e">
        <f t="shared" ca="1" si="214"/>
        <v>#N/A</v>
      </c>
      <c r="BD285" s="663" t="e">
        <f t="shared" ca="1" si="215"/>
        <v>#N/A</v>
      </c>
      <c r="BE285" s="663" t="e">
        <f t="shared" ca="1" si="216"/>
        <v>#N/A</v>
      </c>
      <c r="BF285" s="663" t="e">
        <f t="shared" ca="1" si="217"/>
        <v>#N/A</v>
      </c>
      <c r="BG285" s="663" t="e">
        <f t="shared" ca="1" si="218"/>
        <v>#N/A</v>
      </c>
      <c r="BH285" s="663" t="e">
        <f t="shared" ca="1" si="219"/>
        <v>#N/A</v>
      </c>
      <c r="BI285" s="663" t="e">
        <f t="shared" ca="1" si="220"/>
        <v>#N/A</v>
      </c>
      <c r="BJ285" s="663" t="e">
        <f t="shared" ca="1" si="221"/>
        <v>#N/A</v>
      </c>
      <c r="BK285" s="663" t="e">
        <f t="shared" ca="1" si="222"/>
        <v>#N/A</v>
      </c>
      <c r="BL285" s="1918"/>
      <c r="BM285" s="1532"/>
      <c r="BN285" s="1919"/>
      <c r="BO285" s="603"/>
      <c r="BP285" s="602"/>
      <c r="BQ285" s="602"/>
      <c r="BR285" s="602"/>
      <c r="BS285" s="604"/>
      <c r="BT285" s="605"/>
      <c r="BU285" s="602"/>
      <c r="BV285" s="602"/>
      <c r="BW285" s="606"/>
      <c r="BX285" s="607"/>
      <c r="BY285" s="608"/>
      <c r="BZ285" s="608"/>
      <c r="CA285" s="608"/>
      <c r="CB285" s="600"/>
    </row>
    <row r="286" spans="2:80" ht="12" customHeight="1" x14ac:dyDescent="0.35">
      <c r="B286" s="590" t="e">
        <f>MATCH(C286,'360SpcLdsCSV'!$C$6:$C$500,0)</f>
        <v>#N/A</v>
      </c>
      <c r="C286" s="590">
        <f>'360SpcLdsCSV'!C235</f>
        <v>0</v>
      </c>
      <c r="D286" s="590" t="str">
        <f t="shared" si="226"/>
        <v>0</v>
      </c>
      <c r="E286" s="590" t="e">
        <f t="shared" si="227"/>
        <v>#VALUE!</v>
      </c>
      <c r="F286" s="590" t="e">
        <f t="shared" si="228"/>
        <v>#VALUE!</v>
      </c>
      <c r="G286" s="590" t="str">
        <f t="shared" si="229"/>
        <v>0</v>
      </c>
      <c r="H286" s="590" t="e">
        <f ca="1">OFFSET('360SpcLdsCSV'!$B$5,$B286,H$51)</f>
        <v>#N/A</v>
      </c>
      <c r="I286" s="590" t="e">
        <f ca="1">OFFSET('360SpcLdsCSV'!$B$5,$B286,I$51)</f>
        <v>#N/A</v>
      </c>
      <c r="J286" s="590" t="e">
        <f ca="1">OFFSET('360SpcLdsCSV'!$B$5,$B286,J$51)</f>
        <v>#N/A</v>
      </c>
      <c r="K286" s="590" t="e">
        <f ca="1">OFFSET('360SpcLdsCSV'!$B$5,$B286,K$51)</f>
        <v>#N/A</v>
      </c>
      <c r="L286" s="590" t="e">
        <f ca="1">OFFSET('360SpcLdsCSV'!$B$5,$B286,L$51)</f>
        <v>#N/A</v>
      </c>
      <c r="M286" s="592" t="e">
        <f ca="1">OFFSET('360SpcLdsCSV'!$B$5,$B286,M$51)</f>
        <v>#N/A</v>
      </c>
      <c r="N286" s="592" t="e">
        <f ca="1">OFFSET('360SpcLdsCSV'!$B$5,$B286,N$51)</f>
        <v>#N/A</v>
      </c>
      <c r="O286" s="592" t="e">
        <f ca="1">OFFSET('360SpcLdsCSV'!$B$5,$B286,O$51)</f>
        <v>#N/A</v>
      </c>
      <c r="P286" s="592" t="e">
        <f ca="1">OFFSET('360SpcLdsCSV'!$B$5,$B286,P$51)</f>
        <v>#N/A</v>
      </c>
      <c r="Q286" s="592" t="e">
        <f ca="1">OFFSET('360SpcLdsCSV'!$B$5,$B286,Q$51)</f>
        <v>#N/A</v>
      </c>
      <c r="R286" s="592" t="e">
        <f ca="1">OFFSET('360SpcLdsCSV'!$B$5,$B286,R$51)</f>
        <v>#N/A</v>
      </c>
      <c r="S286" s="592" t="e">
        <f ca="1">OFFSET('360SpcLdsCSV'!$B$5,$B286,S$51)</f>
        <v>#N/A</v>
      </c>
      <c r="T286" s="592" t="e">
        <f ca="1">OFFSET('360SpcLdsCSV'!$B$5,$B286,T$51)</f>
        <v>#N/A</v>
      </c>
      <c r="U286" s="592" t="e">
        <f ca="1">OFFSET('360SpcLdsCSV'!$B$5,$B286,U$51)</f>
        <v>#N/A</v>
      </c>
      <c r="V286" s="592" t="e">
        <f ca="1">OFFSET('360SpcLdsCSV'!$B$5,$B286,V$51)</f>
        <v>#N/A</v>
      </c>
      <c r="W286" s="592" t="e">
        <f ca="1">OFFSET('360SpcLdsCSV'!$B$5,$B286,W$51)</f>
        <v>#N/A</v>
      </c>
      <c r="X286" s="592" t="e">
        <f ca="1">OFFSET('360SpcLdsCSV'!$B$5,$B286,X$51)</f>
        <v>#N/A</v>
      </c>
      <c r="Y286" s="592" t="e">
        <f ca="1">OFFSET('360SpcLdsCSV'!$B$5,$B286,Y$51)</f>
        <v>#N/A</v>
      </c>
      <c r="Z286" s="592" t="e">
        <f ca="1">OFFSET('360SpcLdsCSV'!$B$5,$B286,Z$51)</f>
        <v>#N/A</v>
      </c>
      <c r="AA286" s="592" t="e">
        <f ca="1">OFFSET('360SpcLdsCSV'!$B$5,$B286,AA$51)</f>
        <v>#N/A</v>
      </c>
      <c r="AB286" s="592" t="e">
        <f ca="1">OFFSET('360SpcLdsCSV'!$B$5,$B286,AB$51)</f>
        <v>#N/A</v>
      </c>
      <c r="AC286" s="592" t="e">
        <f ca="1">OFFSET('360SpcLdsCSV'!$B$5,$B286,AC$51)</f>
        <v>#N/A</v>
      </c>
      <c r="AD286" s="592" t="e">
        <f ca="1">OFFSET('360SpcLdsCSV'!$B$5,$B286,AD$51)</f>
        <v>#N/A</v>
      </c>
      <c r="AE286" s="592" t="e">
        <f ca="1">OFFSET('360SpcLdsCSV'!$B$5,$B286,AE$51)</f>
        <v>#N/A</v>
      </c>
      <c r="AF286" s="592" t="e">
        <f ca="1">OFFSET('360SpcLdsCSV'!$B$5,$B286,AF$51)</f>
        <v>#N/A</v>
      </c>
      <c r="AG286" s="592" t="e">
        <f ca="1">OFFSET('360SpcLdsCSV'!$B$5,$B286,AG$51)</f>
        <v>#N/A</v>
      </c>
      <c r="AH286" s="592" t="e">
        <f ca="1">OFFSET('360SpcLdsCSV'!$B$5,$B286,AH$51)</f>
        <v>#N/A</v>
      </c>
      <c r="AI286" s="592" t="e">
        <f ca="1">OFFSET('360SpcLdsCSV'!$B$5,$B286,AI$51)</f>
        <v>#N/A</v>
      </c>
      <c r="AJ286" s="592" t="e" cm="1">
        <f t="array" ref="AJ286">_xlfn.IFS($F286="Resi",1,$F286="Racc",0,$F286="Coml",0,$F286="Prkg",0)</f>
        <v>#VALUE!</v>
      </c>
      <c r="AK286" s="596"/>
      <c r="AL286" s="590" t="e">
        <f ca="1">OFFSET('360SpcLdsCSV'!$B$5,$B286,AL$51)</f>
        <v>#N/A</v>
      </c>
      <c r="AM286" s="663" t="e">
        <f t="shared" ca="1" si="230"/>
        <v>#N/A</v>
      </c>
      <c r="AN286" s="663" t="e">
        <f t="shared" ca="1" si="231"/>
        <v>#N/A</v>
      </c>
      <c r="AO286" s="663" t="e">
        <f t="shared" ca="1" si="232"/>
        <v>#N/A</v>
      </c>
      <c r="AP286" s="663" t="e">
        <f t="shared" ca="1" si="233"/>
        <v>#N/A</v>
      </c>
      <c r="AQ286" s="663" t="e">
        <f t="shared" ca="1" si="234"/>
        <v>#N/A</v>
      </c>
      <c r="AR286" s="663" t="e">
        <f t="shared" ca="1" si="235"/>
        <v>#N/A</v>
      </c>
      <c r="AS286" s="663" t="e">
        <f t="shared" ca="1" si="236"/>
        <v>#N/A</v>
      </c>
      <c r="AT286" s="663" t="e">
        <f t="shared" ca="1" si="237"/>
        <v>#N/A</v>
      </c>
      <c r="AU286" s="663" t="e">
        <f t="shared" ca="1" si="238"/>
        <v>#N/A</v>
      </c>
      <c r="AV286" s="663" t="e">
        <f t="shared" ca="1" si="239"/>
        <v>#N/A</v>
      </c>
      <c r="AW286" s="663" t="e">
        <f t="shared" ca="1" si="208"/>
        <v>#N/A</v>
      </c>
      <c r="AX286" s="663" t="e">
        <f t="shared" ca="1" si="209"/>
        <v>#N/A</v>
      </c>
      <c r="AY286" s="663" t="e">
        <f t="shared" ca="1" si="210"/>
        <v>#N/A</v>
      </c>
      <c r="AZ286" s="663" t="e">
        <f t="shared" ca="1" si="211"/>
        <v>#N/A</v>
      </c>
      <c r="BA286" s="663" t="e">
        <f t="shared" ca="1" si="212"/>
        <v>#N/A</v>
      </c>
      <c r="BB286" s="663" t="e">
        <f t="shared" ca="1" si="213"/>
        <v>#N/A</v>
      </c>
      <c r="BC286" s="663" t="e">
        <f t="shared" ca="1" si="214"/>
        <v>#N/A</v>
      </c>
      <c r="BD286" s="663" t="e">
        <f t="shared" ca="1" si="215"/>
        <v>#N/A</v>
      </c>
      <c r="BE286" s="663" t="e">
        <f t="shared" ca="1" si="216"/>
        <v>#N/A</v>
      </c>
      <c r="BF286" s="663" t="e">
        <f t="shared" ca="1" si="217"/>
        <v>#N/A</v>
      </c>
      <c r="BG286" s="663" t="e">
        <f t="shared" ca="1" si="218"/>
        <v>#N/A</v>
      </c>
      <c r="BH286" s="663" t="e">
        <f t="shared" ca="1" si="219"/>
        <v>#N/A</v>
      </c>
      <c r="BI286" s="663" t="e">
        <f t="shared" ca="1" si="220"/>
        <v>#N/A</v>
      </c>
      <c r="BJ286" s="663" t="e">
        <f t="shared" ca="1" si="221"/>
        <v>#N/A</v>
      </c>
      <c r="BK286" s="663" t="e">
        <f t="shared" ca="1" si="222"/>
        <v>#N/A</v>
      </c>
      <c r="BL286" s="1918"/>
      <c r="BM286" s="1532"/>
      <c r="BN286" s="1919"/>
      <c r="BO286" s="603"/>
      <c r="BP286" s="602"/>
      <c r="BQ286" s="602"/>
      <c r="BR286" s="602"/>
      <c r="BS286" s="604"/>
      <c r="BT286" s="605"/>
      <c r="BU286" s="602"/>
      <c r="BV286" s="602"/>
      <c r="BW286" s="606"/>
      <c r="BX286" s="607"/>
      <c r="BY286" s="608"/>
      <c r="BZ286" s="608"/>
      <c r="CA286" s="608"/>
      <c r="CB286" s="600"/>
    </row>
    <row r="287" spans="2:80" ht="12" customHeight="1" x14ac:dyDescent="0.35">
      <c r="B287" s="590" t="e">
        <f>MATCH(C287,'360SpcLdsCSV'!$C$6:$C$500,0)</f>
        <v>#N/A</v>
      </c>
      <c r="C287" s="590">
        <f>'360SpcLdsCSV'!C236</f>
        <v>0</v>
      </c>
      <c r="D287" s="590" t="str">
        <f t="shared" si="226"/>
        <v>0</v>
      </c>
      <c r="E287" s="590" t="e">
        <f t="shared" si="227"/>
        <v>#VALUE!</v>
      </c>
      <c r="F287" s="590" t="e">
        <f t="shared" si="228"/>
        <v>#VALUE!</v>
      </c>
      <c r="G287" s="590" t="str">
        <f t="shared" si="229"/>
        <v>0</v>
      </c>
      <c r="H287" s="590" t="e">
        <f ca="1">OFFSET('360SpcLdsCSV'!$B$5,$B287,H$51)</f>
        <v>#N/A</v>
      </c>
      <c r="I287" s="590" t="e">
        <f ca="1">OFFSET('360SpcLdsCSV'!$B$5,$B287,I$51)</f>
        <v>#N/A</v>
      </c>
      <c r="J287" s="590" t="e">
        <f ca="1">OFFSET('360SpcLdsCSV'!$B$5,$B287,J$51)</f>
        <v>#N/A</v>
      </c>
      <c r="K287" s="590" t="e">
        <f ca="1">OFFSET('360SpcLdsCSV'!$B$5,$B287,K$51)</f>
        <v>#N/A</v>
      </c>
      <c r="L287" s="590" t="e">
        <f ca="1">OFFSET('360SpcLdsCSV'!$B$5,$B287,L$51)</f>
        <v>#N/A</v>
      </c>
      <c r="M287" s="592" t="e">
        <f ca="1">OFFSET('360SpcLdsCSV'!$B$5,$B287,M$51)</f>
        <v>#N/A</v>
      </c>
      <c r="N287" s="592" t="e">
        <f ca="1">OFFSET('360SpcLdsCSV'!$B$5,$B287,N$51)</f>
        <v>#N/A</v>
      </c>
      <c r="O287" s="592" t="e">
        <f ca="1">OFFSET('360SpcLdsCSV'!$B$5,$B287,O$51)</f>
        <v>#N/A</v>
      </c>
      <c r="P287" s="592" t="e">
        <f ca="1">OFFSET('360SpcLdsCSV'!$B$5,$B287,P$51)</f>
        <v>#N/A</v>
      </c>
      <c r="Q287" s="592" t="e">
        <f ca="1">OFFSET('360SpcLdsCSV'!$B$5,$B287,Q$51)</f>
        <v>#N/A</v>
      </c>
      <c r="R287" s="592" t="e">
        <f ca="1">OFFSET('360SpcLdsCSV'!$B$5,$B287,R$51)</f>
        <v>#N/A</v>
      </c>
      <c r="S287" s="592" t="e">
        <f ca="1">OFFSET('360SpcLdsCSV'!$B$5,$B287,S$51)</f>
        <v>#N/A</v>
      </c>
      <c r="T287" s="592" t="e">
        <f ca="1">OFFSET('360SpcLdsCSV'!$B$5,$B287,T$51)</f>
        <v>#N/A</v>
      </c>
      <c r="U287" s="592" t="e">
        <f ca="1">OFFSET('360SpcLdsCSV'!$B$5,$B287,U$51)</f>
        <v>#N/A</v>
      </c>
      <c r="V287" s="592" t="e">
        <f ca="1">OFFSET('360SpcLdsCSV'!$B$5,$B287,V$51)</f>
        <v>#N/A</v>
      </c>
      <c r="W287" s="592" t="e">
        <f ca="1">OFFSET('360SpcLdsCSV'!$B$5,$B287,W$51)</f>
        <v>#N/A</v>
      </c>
      <c r="X287" s="592" t="e">
        <f ca="1">OFFSET('360SpcLdsCSV'!$B$5,$B287,X$51)</f>
        <v>#N/A</v>
      </c>
      <c r="Y287" s="592" t="e">
        <f ca="1">OFFSET('360SpcLdsCSV'!$B$5,$B287,Y$51)</f>
        <v>#N/A</v>
      </c>
      <c r="Z287" s="592" t="e">
        <f ca="1">OFFSET('360SpcLdsCSV'!$B$5,$B287,Z$51)</f>
        <v>#N/A</v>
      </c>
      <c r="AA287" s="592" t="e">
        <f ca="1">OFFSET('360SpcLdsCSV'!$B$5,$B287,AA$51)</f>
        <v>#N/A</v>
      </c>
      <c r="AB287" s="592" t="e">
        <f ca="1">OFFSET('360SpcLdsCSV'!$B$5,$B287,AB$51)</f>
        <v>#N/A</v>
      </c>
      <c r="AC287" s="592" t="e">
        <f ca="1">OFFSET('360SpcLdsCSV'!$B$5,$B287,AC$51)</f>
        <v>#N/A</v>
      </c>
      <c r="AD287" s="592" t="e">
        <f ca="1">OFFSET('360SpcLdsCSV'!$B$5,$B287,AD$51)</f>
        <v>#N/A</v>
      </c>
      <c r="AE287" s="592" t="e">
        <f ca="1">OFFSET('360SpcLdsCSV'!$B$5,$B287,AE$51)</f>
        <v>#N/A</v>
      </c>
      <c r="AF287" s="592" t="e">
        <f ca="1">OFFSET('360SpcLdsCSV'!$B$5,$B287,AF$51)</f>
        <v>#N/A</v>
      </c>
      <c r="AG287" s="592" t="e">
        <f ca="1">OFFSET('360SpcLdsCSV'!$B$5,$B287,AG$51)</f>
        <v>#N/A</v>
      </c>
      <c r="AH287" s="592" t="e">
        <f ca="1">OFFSET('360SpcLdsCSV'!$B$5,$B287,AH$51)</f>
        <v>#N/A</v>
      </c>
      <c r="AI287" s="592" t="e">
        <f ca="1">OFFSET('360SpcLdsCSV'!$B$5,$B287,AI$51)</f>
        <v>#N/A</v>
      </c>
      <c r="AJ287" s="592" t="e" cm="1">
        <f t="array" ref="AJ287">_xlfn.IFS($F287="Resi",1,$F287="Racc",0,$F287="Coml",0,$F287="Prkg",0)</f>
        <v>#VALUE!</v>
      </c>
      <c r="AK287" s="596"/>
      <c r="AL287" s="590" t="e">
        <f ca="1">OFFSET('360SpcLdsCSV'!$B$5,$B287,AL$51)</f>
        <v>#N/A</v>
      </c>
      <c r="AM287" s="663" t="e">
        <f t="shared" ca="1" si="230"/>
        <v>#N/A</v>
      </c>
      <c r="AN287" s="663" t="e">
        <f t="shared" ca="1" si="231"/>
        <v>#N/A</v>
      </c>
      <c r="AO287" s="663" t="e">
        <f t="shared" ca="1" si="232"/>
        <v>#N/A</v>
      </c>
      <c r="AP287" s="663" t="e">
        <f t="shared" ca="1" si="233"/>
        <v>#N/A</v>
      </c>
      <c r="AQ287" s="663" t="e">
        <f t="shared" ca="1" si="234"/>
        <v>#N/A</v>
      </c>
      <c r="AR287" s="663" t="e">
        <f t="shared" ca="1" si="235"/>
        <v>#N/A</v>
      </c>
      <c r="AS287" s="663" t="e">
        <f t="shared" ca="1" si="236"/>
        <v>#N/A</v>
      </c>
      <c r="AT287" s="663" t="e">
        <f t="shared" ca="1" si="237"/>
        <v>#N/A</v>
      </c>
      <c r="AU287" s="663" t="e">
        <f t="shared" ca="1" si="238"/>
        <v>#N/A</v>
      </c>
      <c r="AV287" s="663" t="e">
        <f t="shared" ca="1" si="239"/>
        <v>#N/A</v>
      </c>
      <c r="AW287" s="663" t="e">
        <f t="shared" ca="1" si="208"/>
        <v>#N/A</v>
      </c>
      <c r="AX287" s="663" t="e">
        <f t="shared" ca="1" si="209"/>
        <v>#N/A</v>
      </c>
      <c r="AY287" s="663" t="e">
        <f t="shared" ca="1" si="210"/>
        <v>#N/A</v>
      </c>
      <c r="AZ287" s="663" t="e">
        <f t="shared" ca="1" si="211"/>
        <v>#N/A</v>
      </c>
      <c r="BA287" s="663" t="e">
        <f t="shared" ca="1" si="212"/>
        <v>#N/A</v>
      </c>
      <c r="BB287" s="663" t="e">
        <f t="shared" ca="1" si="213"/>
        <v>#N/A</v>
      </c>
      <c r="BC287" s="663" t="e">
        <f t="shared" ca="1" si="214"/>
        <v>#N/A</v>
      </c>
      <c r="BD287" s="663" t="e">
        <f t="shared" ca="1" si="215"/>
        <v>#N/A</v>
      </c>
      <c r="BE287" s="663" t="e">
        <f t="shared" ca="1" si="216"/>
        <v>#N/A</v>
      </c>
      <c r="BF287" s="663" t="e">
        <f t="shared" ca="1" si="217"/>
        <v>#N/A</v>
      </c>
      <c r="BG287" s="663" t="e">
        <f t="shared" ca="1" si="218"/>
        <v>#N/A</v>
      </c>
      <c r="BH287" s="663" t="e">
        <f t="shared" ca="1" si="219"/>
        <v>#N/A</v>
      </c>
      <c r="BI287" s="663" t="e">
        <f t="shared" ca="1" si="220"/>
        <v>#N/A</v>
      </c>
      <c r="BJ287" s="663" t="e">
        <f t="shared" ca="1" si="221"/>
        <v>#N/A</v>
      </c>
      <c r="BK287" s="663" t="e">
        <f t="shared" ca="1" si="222"/>
        <v>#N/A</v>
      </c>
      <c r="BL287" s="1918"/>
      <c r="BM287" s="1532"/>
      <c r="BN287" s="1919"/>
      <c r="BO287" s="603"/>
      <c r="BP287" s="602"/>
      <c r="BQ287" s="602"/>
      <c r="BR287" s="602"/>
      <c r="BS287" s="604"/>
      <c r="BT287" s="605"/>
      <c r="BU287" s="602"/>
      <c r="BV287" s="602"/>
      <c r="BW287" s="606"/>
      <c r="BX287" s="607"/>
      <c r="BY287" s="608"/>
      <c r="BZ287" s="608"/>
      <c r="CA287" s="608"/>
      <c r="CB287" s="600"/>
    </row>
    <row r="288" spans="2:80" ht="12" customHeight="1" x14ac:dyDescent="0.35">
      <c r="B288" s="590" t="e">
        <f>MATCH(C288,'360SpcLdsCSV'!$C$6:$C$500,0)</f>
        <v>#N/A</v>
      </c>
      <c r="C288" s="590">
        <f>'360SpcLdsCSV'!C237</f>
        <v>0</v>
      </c>
      <c r="D288" s="590" t="str">
        <f t="shared" si="226"/>
        <v>0</v>
      </c>
      <c r="E288" s="590" t="e">
        <f t="shared" si="227"/>
        <v>#VALUE!</v>
      </c>
      <c r="F288" s="590" t="e">
        <f t="shared" si="228"/>
        <v>#VALUE!</v>
      </c>
      <c r="G288" s="590" t="str">
        <f t="shared" si="229"/>
        <v>0</v>
      </c>
      <c r="H288" s="590" t="e">
        <f ca="1">OFFSET('360SpcLdsCSV'!$B$5,$B288,H$51)</f>
        <v>#N/A</v>
      </c>
      <c r="I288" s="590" t="e">
        <f ca="1">OFFSET('360SpcLdsCSV'!$B$5,$B288,I$51)</f>
        <v>#N/A</v>
      </c>
      <c r="J288" s="590" t="e">
        <f ca="1">OFFSET('360SpcLdsCSV'!$B$5,$B288,J$51)</f>
        <v>#N/A</v>
      </c>
      <c r="K288" s="590" t="e">
        <f ca="1">OFFSET('360SpcLdsCSV'!$B$5,$B288,K$51)</f>
        <v>#N/A</v>
      </c>
      <c r="L288" s="590" t="e">
        <f ca="1">OFFSET('360SpcLdsCSV'!$B$5,$B288,L$51)</f>
        <v>#N/A</v>
      </c>
      <c r="M288" s="592" t="e">
        <f ca="1">OFFSET('360SpcLdsCSV'!$B$5,$B288,M$51)</f>
        <v>#N/A</v>
      </c>
      <c r="N288" s="592" t="e">
        <f ca="1">OFFSET('360SpcLdsCSV'!$B$5,$B288,N$51)</f>
        <v>#N/A</v>
      </c>
      <c r="O288" s="592" t="e">
        <f ca="1">OFFSET('360SpcLdsCSV'!$B$5,$B288,O$51)</f>
        <v>#N/A</v>
      </c>
      <c r="P288" s="592" t="e">
        <f ca="1">OFFSET('360SpcLdsCSV'!$B$5,$B288,P$51)</f>
        <v>#N/A</v>
      </c>
      <c r="Q288" s="592" t="e">
        <f ca="1">OFFSET('360SpcLdsCSV'!$B$5,$B288,Q$51)</f>
        <v>#N/A</v>
      </c>
      <c r="R288" s="592" t="e">
        <f ca="1">OFFSET('360SpcLdsCSV'!$B$5,$B288,R$51)</f>
        <v>#N/A</v>
      </c>
      <c r="S288" s="592" t="e">
        <f ca="1">OFFSET('360SpcLdsCSV'!$B$5,$B288,S$51)</f>
        <v>#N/A</v>
      </c>
      <c r="T288" s="592" t="e">
        <f ca="1">OFFSET('360SpcLdsCSV'!$B$5,$B288,T$51)</f>
        <v>#N/A</v>
      </c>
      <c r="U288" s="592" t="e">
        <f ca="1">OFFSET('360SpcLdsCSV'!$B$5,$B288,U$51)</f>
        <v>#N/A</v>
      </c>
      <c r="V288" s="592" t="e">
        <f ca="1">OFFSET('360SpcLdsCSV'!$B$5,$B288,V$51)</f>
        <v>#N/A</v>
      </c>
      <c r="W288" s="592" t="e">
        <f ca="1">OFFSET('360SpcLdsCSV'!$B$5,$B288,W$51)</f>
        <v>#N/A</v>
      </c>
      <c r="X288" s="592" t="e">
        <f ca="1">OFFSET('360SpcLdsCSV'!$B$5,$B288,X$51)</f>
        <v>#N/A</v>
      </c>
      <c r="Y288" s="592" t="e">
        <f ca="1">OFFSET('360SpcLdsCSV'!$B$5,$B288,Y$51)</f>
        <v>#N/A</v>
      </c>
      <c r="Z288" s="592" t="e">
        <f ca="1">OFFSET('360SpcLdsCSV'!$B$5,$B288,Z$51)</f>
        <v>#N/A</v>
      </c>
      <c r="AA288" s="592" t="e">
        <f ca="1">OFFSET('360SpcLdsCSV'!$B$5,$B288,AA$51)</f>
        <v>#N/A</v>
      </c>
      <c r="AB288" s="592" t="e">
        <f ca="1">OFFSET('360SpcLdsCSV'!$B$5,$B288,AB$51)</f>
        <v>#N/A</v>
      </c>
      <c r="AC288" s="592" t="e">
        <f ca="1">OFFSET('360SpcLdsCSV'!$B$5,$B288,AC$51)</f>
        <v>#N/A</v>
      </c>
      <c r="AD288" s="592" t="e">
        <f ca="1">OFFSET('360SpcLdsCSV'!$B$5,$B288,AD$51)</f>
        <v>#N/A</v>
      </c>
      <c r="AE288" s="592" t="e">
        <f ca="1">OFFSET('360SpcLdsCSV'!$B$5,$B288,AE$51)</f>
        <v>#N/A</v>
      </c>
      <c r="AF288" s="592" t="e">
        <f ca="1">OFFSET('360SpcLdsCSV'!$B$5,$B288,AF$51)</f>
        <v>#N/A</v>
      </c>
      <c r="AG288" s="592" t="e">
        <f ca="1">OFFSET('360SpcLdsCSV'!$B$5,$B288,AG$51)</f>
        <v>#N/A</v>
      </c>
      <c r="AH288" s="592" t="e">
        <f ca="1">OFFSET('360SpcLdsCSV'!$B$5,$B288,AH$51)</f>
        <v>#N/A</v>
      </c>
      <c r="AI288" s="592" t="e">
        <f ca="1">OFFSET('360SpcLdsCSV'!$B$5,$B288,AI$51)</f>
        <v>#N/A</v>
      </c>
      <c r="AJ288" s="592" t="e" cm="1">
        <f t="array" ref="AJ288">_xlfn.IFS($F288="Resi",1,$F288="Racc",0,$F288="Coml",0,$F288="Prkg",0)</f>
        <v>#VALUE!</v>
      </c>
      <c r="AK288" s="596"/>
      <c r="AL288" s="590" t="e">
        <f ca="1">OFFSET('360SpcLdsCSV'!$B$5,$B288,AL$51)</f>
        <v>#N/A</v>
      </c>
      <c r="AM288" s="663" t="e">
        <f t="shared" ca="1" si="230"/>
        <v>#N/A</v>
      </c>
      <c r="AN288" s="663" t="e">
        <f t="shared" ca="1" si="231"/>
        <v>#N/A</v>
      </c>
      <c r="AO288" s="663" t="e">
        <f t="shared" ca="1" si="232"/>
        <v>#N/A</v>
      </c>
      <c r="AP288" s="663" t="e">
        <f t="shared" ca="1" si="233"/>
        <v>#N/A</v>
      </c>
      <c r="AQ288" s="663" t="e">
        <f t="shared" ca="1" si="234"/>
        <v>#N/A</v>
      </c>
      <c r="AR288" s="663" t="e">
        <f t="shared" ca="1" si="235"/>
        <v>#N/A</v>
      </c>
      <c r="AS288" s="663" t="e">
        <f t="shared" ca="1" si="236"/>
        <v>#N/A</v>
      </c>
      <c r="AT288" s="663" t="e">
        <f t="shared" ca="1" si="237"/>
        <v>#N/A</v>
      </c>
      <c r="AU288" s="663" t="e">
        <f t="shared" ca="1" si="238"/>
        <v>#N/A</v>
      </c>
      <c r="AV288" s="663" t="e">
        <f t="shared" ca="1" si="239"/>
        <v>#N/A</v>
      </c>
      <c r="AW288" s="663" t="e">
        <f t="shared" ca="1" si="208"/>
        <v>#N/A</v>
      </c>
      <c r="AX288" s="663" t="e">
        <f t="shared" ca="1" si="209"/>
        <v>#N/A</v>
      </c>
      <c r="AY288" s="663" t="e">
        <f t="shared" ca="1" si="210"/>
        <v>#N/A</v>
      </c>
      <c r="AZ288" s="663" t="e">
        <f t="shared" ca="1" si="211"/>
        <v>#N/A</v>
      </c>
      <c r="BA288" s="663" t="e">
        <f t="shared" ca="1" si="212"/>
        <v>#N/A</v>
      </c>
      <c r="BB288" s="663" t="e">
        <f t="shared" ca="1" si="213"/>
        <v>#N/A</v>
      </c>
      <c r="BC288" s="663" t="e">
        <f t="shared" ca="1" si="214"/>
        <v>#N/A</v>
      </c>
      <c r="BD288" s="663" t="e">
        <f t="shared" ca="1" si="215"/>
        <v>#N/A</v>
      </c>
      <c r="BE288" s="663" t="e">
        <f t="shared" ca="1" si="216"/>
        <v>#N/A</v>
      </c>
      <c r="BF288" s="663" t="e">
        <f t="shared" ca="1" si="217"/>
        <v>#N/A</v>
      </c>
      <c r="BG288" s="663" t="e">
        <f t="shared" ca="1" si="218"/>
        <v>#N/A</v>
      </c>
      <c r="BH288" s="663" t="e">
        <f t="shared" ca="1" si="219"/>
        <v>#N/A</v>
      </c>
      <c r="BI288" s="663" t="e">
        <f t="shared" ca="1" si="220"/>
        <v>#N/A</v>
      </c>
      <c r="BJ288" s="663" t="e">
        <f t="shared" ca="1" si="221"/>
        <v>#N/A</v>
      </c>
      <c r="BK288" s="663" t="e">
        <f t="shared" ca="1" si="222"/>
        <v>#N/A</v>
      </c>
      <c r="BL288" s="1918"/>
      <c r="BM288" s="1532"/>
      <c r="BN288" s="1919"/>
      <c r="BO288" s="603"/>
      <c r="BP288" s="602"/>
      <c r="BQ288" s="602"/>
      <c r="BR288" s="602"/>
      <c r="BS288" s="604"/>
      <c r="BT288" s="605"/>
      <c r="BU288" s="602"/>
      <c r="BV288" s="602"/>
      <c r="BW288" s="606"/>
      <c r="BX288" s="607"/>
      <c r="BY288" s="608"/>
      <c r="BZ288" s="608"/>
      <c r="CA288" s="608"/>
      <c r="CB288" s="600"/>
    </row>
    <row r="289" spans="2:80" ht="12" customHeight="1" x14ac:dyDescent="0.35">
      <c r="B289" s="590" t="e">
        <f>MATCH(C289,'360SpcLdsCSV'!$C$6:$C$500,0)</f>
        <v>#N/A</v>
      </c>
      <c r="C289" s="590">
        <f>'360SpcLdsCSV'!C238</f>
        <v>0</v>
      </c>
      <c r="D289" s="590" t="str">
        <f t="shared" si="226"/>
        <v>0</v>
      </c>
      <c r="E289" s="590" t="e">
        <f t="shared" si="227"/>
        <v>#VALUE!</v>
      </c>
      <c r="F289" s="590" t="e">
        <f t="shared" si="228"/>
        <v>#VALUE!</v>
      </c>
      <c r="G289" s="590" t="str">
        <f t="shared" si="229"/>
        <v>0</v>
      </c>
      <c r="H289" s="590" t="e">
        <f ca="1">OFFSET('360SpcLdsCSV'!$B$5,$B289,H$51)</f>
        <v>#N/A</v>
      </c>
      <c r="I289" s="590" t="e">
        <f ca="1">OFFSET('360SpcLdsCSV'!$B$5,$B289,I$51)</f>
        <v>#N/A</v>
      </c>
      <c r="J289" s="590" t="e">
        <f ca="1">OFFSET('360SpcLdsCSV'!$B$5,$B289,J$51)</f>
        <v>#N/A</v>
      </c>
      <c r="K289" s="590" t="e">
        <f ca="1">OFFSET('360SpcLdsCSV'!$B$5,$B289,K$51)</f>
        <v>#N/A</v>
      </c>
      <c r="L289" s="590" t="e">
        <f ca="1">OFFSET('360SpcLdsCSV'!$B$5,$B289,L$51)</f>
        <v>#N/A</v>
      </c>
      <c r="M289" s="592" t="e">
        <f ca="1">OFFSET('360SpcLdsCSV'!$B$5,$B289,M$51)</f>
        <v>#N/A</v>
      </c>
      <c r="N289" s="592" t="e">
        <f ca="1">OFFSET('360SpcLdsCSV'!$B$5,$B289,N$51)</f>
        <v>#N/A</v>
      </c>
      <c r="O289" s="592" t="e">
        <f ca="1">OFFSET('360SpcLdsCSV'!$B$5,$B289,O$51)</f>
        <v>#N/A</v>
      </c>
      <c r="P289" s="592" t="e">
        <f ca="1">OFFSET('360SpcLdsCSV'!$B$5,$B289,P$51)</f>
        <v>#N/A</v>
      </c>
      <c r="Q289" s="592" t="e">
        <f ca="1">OFFSET('360SpcLdsCSV'!$B$5,$B289,Q$51)</f>
        <v>#N/A</v>
      </c>
      <c r="R289" s="592" t="e">
        <f ca="1">OFFSET('360SpcLdsCSV'!$B$5,$B289,R$51)</f>
        <v>#N/A</v>
      </c>
      <c r="S289" s="592" t="e">
        <f ca="1">OFFSET('360SpcLdsCSV'!$B$5,$B289,S$51)</f>
        <v>#N/A</v>
      </c>
      <c r="T289" s="592" t="e">
        <f ca="1">OFFSET('360SpcLdsCSV'!$B$5,$B289,T$51)</f>
        <v>#N/A</v>
      </c>
      <c r="U289" s="592" t="e">
        <f ca="1">OFFSET('360SpcLdsCSV'!$B$5,$B289,U$51)</f>
        <v>#N/A</v>
      </c>
      <c r="V289" s="592" t="e">
        <f ca="1">OFFSET('360SpcLdsCSV'!$B$5,$B289,V$51)</f>
        <v>#N/A</v>
      </c>
      <c r="W289" s="592" t="e">
        <f ca="1">OFFSET('360SpcLdsCSV'!$B$5,$B289,W$51)</f>
        <v>#N/A</v>
      </c>
      <c r="X289" s="592" t="e">
        <f ca="1">OFFSET('360SpcLdsCSV'!$B$5,$B289,X$51)</f>
        <v>#N/A</v>
      </c>
      <c r="Y289" s="592" t="e">
        <f ca="1">OFFSET('360SpcLdsCSV'!$B$5,$B289,Y$51)</f>
        <v>#N/A</v>
      </c>
      <c r="Z289" s="592" t="e">
        <f ca="1">OFFSET('360SpcLdsCSV'!$B$5,$B289,Z$51)</f>
        <v>#N/A</v>
      </c>
      <c r="AA289" s="592" t="e">
        <f ca="1">OFFSET('360SpcLdsCSV'!$B$5,$B289,AA$51)</f>
        <v>#N/A</v>
      </c>
      <c r="AB289" s="592" t="e">
        <f ca="1">OFFSET('360SpcLdsCSV'!$B$5,$B289,AB$51)</f>
        <v>#N/A</v>
      </c>
      <c r="AC289" s="592" t="e">
        <f ca="1">OFFSET('360SpcLdsCSV'!$B$5,$B289,AC$51)</f>
        <v>#N/A</v>
      </c>
      <c r="AD289" s="592" t="e">
        <f ca="1">OFFSET('360SpcLdsCSV'!$B$5,$B289,AD$51)</f>
        <v>#N/A</v>
      </c>
      <c r="AE289" s="592" t="e">
        <f ca="1">OFFSET('360SpcLdsCSV'!$B$5,$B289,AE$51)</f>
        <v>#N/A</v>
      </c>
      <c r="AF289" s="592" t="e">
        <f ca="1">OFFSET('360SpcLdsCSV'!$B$5,$B289,AF$51)</f>
        <v>#N/A</v>
      </c>
      <c r="AG289" s="592" t="e">
        <f ca="1">OFFSET('360SpcLdsCSV'!$B$5,$B289,AG$51)</f>
        <v>#N/A</v>
      </c>
      <c r="AH289" s="592" t="e">
        <f ca="1">OFFSET('360SpcLdsCSV'!$B$5,$B289,AH$51)</f>
        <v>#N/A</v>
      </c>
      <c r="AI289" s="592" t="e">
        <f ca="1">OFFSET('360SpcLdsCSV'!$B$5,$B289,AI$51)</f>
        <v>#N/A</v>
      </c>
      <c r="AJ289" s="592" t="e" cm="1">
        <f t="array" ref="AJ289">_xlfn.IFS($F289="Resi",1,$F289="Racc",0,$F289="Coml",0,$F289="Prkg",0)</f>
        <v>#VALUE!</v>
      </c>
      <c r="AK289" s="596"/>
      <c r="AL289" s="590" t="e">
        <f ca="1">OFFSET('360SpcLdsCSV'!$B$5,$B289,AL$51)</f>
        <v>#N/A</v>
      </c>
      <c r="AM289" s="663" t="e">
        <f t="shared" ca="1" si="230"/>
        <v>#N/A</v>
      </c>
      <c r="AN289" s="663" t="e">
        <f t="shared" ca="1" si="231"/>
        <v>#N/A</v>
      </c>
      <c r="AO289" s="663" t="e">
        <f t="shared" ca="1" si="232"/>
        <v>#N/A</v>
      </c>
      <c r="AP289" s="663" t="e">
        <f t="shared" ca="1" si="233"/>
        <v>#N/A</v>
      </c>
      <c r="AQ289" s="663" t="e">
        <f t="shared" ca="1" si="234"/>
        <v>#N/A</v>
      </c>
      <c r="AR289" s="663" t="e">
        <f t="shared" ca="1" si="235"/>
        <v>#N/A</v>
      </c>
      <c r="AS289" s="663" t="e">
        <f t="shared" ca="1" si="236"/>
        <v>#N/A</v>
      </c>
      <c r="AT289" s="663" t="e">
        <f t="shared" ca="1" si="237"/>
        <v>#N/A</v>
      </c>
      <c r="AU289" s="663" t="e">
        <f t="shared" ca="1" si="238"/>
        <v>#N/A</v>
      </c>
      <c r="AV289" s="663" t="e">
        <f t="shared" ca="1" si="239"/>
        <v>#N/A</v>
      </c>
      <c r="AW289" s="663" t="e">
        <f t="shared" ca="1" si="208"/>
        <v>#N/A</v>
      </c>
      <c r="AX289" s="663" t="e">
        <f t="shared" ca="1" si="209"/>
        <v>#N/A</v>
      </c>
      <c r="AY289" s="663" t="e">
        <f t="shared" ca="1" si="210"/>
        <v>#N/A</v>
      </c>
      <c r="AZ289" s="663" t="e">
        <f t="shared" ca="1" si="211"/>
        <v>#N/A</v>
      </c>
      <c r="BA289" s="663" t="e">
        <f t="shared" ca="1" si="212"/>
        <v>#N/A</v>
      </c>
      <c r="BB289" s="663" t="e">
        <f t="shared" ca="1" si="213"/>
        <v>#N/A</v>
      </c>
      <c r="BC289" s="663" t="e">
        <f t="shared" ca="1" si="214"/>
        <v>#N/A</v>
      </c>
      <c r="BD289" s="663" t="e">
        <f t="shared" ca="1" si="215"/>
        <v>#N/A</v>
      </c>
      <c r="BE289" s="663" t="e">
        <f t="shared" ca="1" si="216"/>
        <v>#N/A</v>
      </c>
      <c r="BF289" s="663" t="e">
        <f t="shared" ca="1" si="217"/>
        <v>#N/A</v>
      </c>
      <c r="BG289" s="663" t="e">
        <f t="shared" ca="1" si="218"/>
        <v>#N/A</v>
      </c>
      <c r="BH289" s="663" t="e">
        <f t="shared" ca="1" si="219"/>
        <v>#N/A</v>
      </c>
      <c r="BI289" s="663" t="e">
        <f t="shared" ca="1" si="220"/>
        <v>#N/A</v>
      </c>
      <c r="BJ289" s="663" t="e">
        <f t="shared" ca="1" si="221"/>
        <v>#N/A</v>
      </c>
      <c r="BK289" s="663" t="e">
        <f t="shared" ca="1" si="222"/>
        <v>#N/A</v>
      </c>
      <c r="BL289" s="1918"/>
      <c r="BM289" s="1532"/>
      <c r="BN289" s="1919"/>
      <c r="BO289" s="603"/>
      <c r="BP289" s="602"/>
      <c r="BQ289" s="602"/>
      <c r="BR289" s="602"/>
      <c r="BS289" s="604"/>
      <c r="BT289" s="605"/>
      <c r="BU289" s="602"/>
      <c r="BV289" s="602"/>
      <c r="BW289" s="606"/>
      <c r="BX289" s="607"/>
      <c r="BY289" s="608"/>
      <c r="BZ289" s="608"/>
      <c r="CA289" s="608"/>
      <c r="CB289" s="600"/>
    </row>
    <row r="290" spans="2:80" ht="12" customHeight="1" x14ac:dyDescent="0.35">
      <c r="B290" s="590" t="e">
        <f>MATCH(C290,'360SpcLdsCSV'!$C$6:$C$500,0)</f>
        <v>#N/A</v>
      </c>
      <c r="C290" s="590">
        <f>'360SpcLdsCSV'!C239</f>
        <v>0</v>
      </c>
      <c r="D290" s="590" t="str">
        <f t="shared" si="226"/>
        <v>0</v>
      </c>
      <c r="E290" s="590" t="e">
        <f t="shared" si="227"/>
        <v>#VALUE!</v>
      </c>
      <c r="F290" s="590" t="e">
        <f t="shared" si="228"/>
        <v>#VALUE!</v>
      </c>
      <c r="G290" s="590" t="str">
        <f t="shared" si="229"/>
        <v>0</v>
      </c>
      <c r="H290" s="590" t="e">
        <f ca="1">OFFSET('360SpcLdsCSV'!$B$5,$B290,H$51)</f>
        <v>#N/A</v>
      </c>
      <c r="I290" s="590" t="e">
        <f ca="1">OFFSET('360SpcLdsCSV'!$B$5,$B290,I$51)</f>
        <v>#N/A</v>
      </c>
      <c r="J290" s="590" t="e">
        <f ca="1">OFFSET('360SpcLdsCSV'!$B$5,$B290,J$51)</f>
        <v>#N/A</v>
      </c>
      <c r="K290" s="590" t="e">
        <f ca="1">OFFSET('360SpcLdsCSV'!$B$5,$B290,K$51)</f>
        <v>#N/A</v>
      </c>
      <c r="L290" s="590" t="e">
        <f ca="1">OFFSET('360SpcLdsCSV'!$B$5,$B290,L$51)</f>
        <v>#N/A</v>
      </c>
      <c r="M290" s="592" t="e">
        <f ca="1">OFFSET('360SpcLdsCSV'!$B$5,$B290,M$51)</f>
        <v>#N/A</v>
      </c>
      <c r="N290" s="592" t="e">
        <f ca="1">OFFSET('360SpcLdsCSV'!$B$5,$B290,N$51)</f>
        <v>#N/A</v>
      </c>
      <c r="O290" s="592" t="e">
        <f ca="1">OFFSET('360SpcLdsCSV'!$B$5,$B290,O$51)</f>
        <v>#N/A</v>
      </c>
      <c r="P290" s="592" t="e">
        <f ca="1">OFFSET('360SpcLdsCSV'!$B$5,$B290,P$51)</f>
        <v>#N/A</v>
      </c>
      <c r="Q290" s="592" t="e">
        <f ca="1">OFFSET('360SpcLdsCSV'!$B$5,$B290,Q$51)</f>
        <v>#N/A</v>
      </c>
      <c r="R290" s="592" t="e">
        <f ca="1">OFFSET('360SpcLdsCSV'!$B$5,$B290,R$51)</f>
        <v>#N/A</v>
      </c>
      <c r="S290" s="592" t="e">
        <f ca="1">OFFSET('360SpcLdsCSV'!$B$5,$B290,S$51)</f>
        <v>#N/A</v>
      </c>
      <c r="T290" s="592" t="e">
        <f ca="1">OFFSET('360SpcLdsCSV'!$B$5,$B290,T$51)</f>
        <v>#N/A</v>
      </c>
      <c r="U290" s="592" t="e">
        <f ca="1">OFFSET('360SpcLdsCSV'!$B$5,$B290,U$51)</f>
        <v>#N/A</v>
      </c>
      <c r="V290" s="592" t="e">
        <f ca="1">OFFSET('360SpcLdsCSV'!$B$5,$B290,V$51)</f>
        <v>#N/A</v>
      </c>
      <c r="W290" s="592" t="e">
        <f ca="1">OFFSET('360SpcLdsCSV'!$B$5,$B290,W$51)</f>
        <v>#N/A</v>
      </c>
      <c r="X290" s="592" t="e">
        <f ca="1">OFFSET('360SpcLdsCSV'!$B$5,$B290,X$51)</f>
        <v>#N/A</v>
      </c>
      <c r="Y290" s="592" t="e">
        <f ca="1">OFFSET('360SpcLdsCSV'!$B$5,$B290,Y$51)</f>
        <v>#N/A</v>
      </c>
      <c r="Z290" s="592" t="e">
        <f ca="1">OFFSET('360SpcLdsCSV'!$B$5,$B290,Z$51)</f>
        <v>#N/A</v>
      </c>
      <c r="AA290" s="592" t="e">
        <f ca="1">OFFSET('360SpcLdsCSV'!$B$5,$B290,AA$51)</f>
        <v>#N/A</v>
      </c>
      <c r="AB290" s="592" t="e">
        <f ca="1">OFFSET('360SpcLdsCSV'!$B$5,$B290,AB$51)</f>
        <v>#N/A</v>
      </c>
      <c r="AC290" s="592" t="e">
        <f ca="1">OFFSET('360SpcLdsCSV'!$B$5,$B290,AC$51)</f>
        <v>#N/A</v>
      </c>
      <c r="AD290" s="592" t="e">
        <f ca="1">OFFSET('360SpcLdsCSV'!$B$5,$B290,AD$51)</f>
        <v>#N/A</v>
      </c>
      <c r="AE290" s="592" t="e">
        <f ca="1">OFFSET('360SpcLdsCSV'!$B$5,$B290,AE$51)</f>
        <v>#N/A</v>
      </c>
      <c r="AF290" s="592" t="e">
        <f ca="1">OFFSET('360SpcLdsCSV'!$B$5,$B290,AF$51)</f>
        <v>#N/A</v>
      </c>
      <c r="AG290" s="592" t="e">
        <f ca="1">OFFSET('360SpcLdsCSV'!$B$5,$B290,AG$51)</f>
        <v>#N/A</v>
      </c>
      <c r="AH290" s="592" t="e">
        <f ca="1">OFFSET('360SpcLdsCSV'!$B$5,$B290,AH$51)</f>
        <v>#N/A</v>
      </c>
      <c r="AI290" s="592" t="e">
        <f ca="1">OFFSET('360SpcLdsCSV'!$B$5,$B290,AI$51)</f>
        <v>#N/A</v>
      </c>
      <c r="AJ290" s="592" t="e" cm="1">
        <f t="array" ref="AJ290">_xlfn.IFS($F290="Resi",1,$F290="Racc",0,$F290="Coml",0,$F290="Prkg",0)</f>
        <v>#VALUE!</v>
      </c>
      <c r="AK290" s="596"/>
      <c r="AL290" s="590" t="e">
        <f ca="1">OFFSET('360SpcLdsCSV'!$B$5,$B290,AL$51)</f>
        <v>#N/A</v>
      </c>
      <c r="AM290" s="663" t="e">
        <f t="shared" ca="1" si="230"/>
        <v>#N/A</v>
      </c>
      <c r="AN290" s="663" t="e">
        <f t="shared" ca="1" si="231"/>
        <v>#N/A</v>
      </c>
      <c r="AO290" s="663" t="e">
        <f t="shared" ca="1" si="232"/>
        <v>#N/A</v>
      </c>
      <c r="AP290" s="663" t="e">
        <f t="shared" ca="1" si="233"/>
        <v>#N/A</v>
      </c>
      <c r="AQ290" s="663" t="e">
        <f t="shared" ca="1" si="234"/>
        <v>#N/A</v>
      </c>
      <c r="AR290" s="663" t="e">
        <f t="shared" ca="1" si="235"/>
        <v>#N/A</v>
      </c>
      <c r="AS290" s="663" t="e">
        <f t="shared" ca="1" si="236"/>
        <v>#N/A</v>
      </c>
      <c r="AT290" s="663" t="e">
        <f t="shared" ca="1" si="237"/>
        <v>#N/A</v>
      </c>
      <c r="AU290" s="663" t="e">
        <f t="shared" ca="1" si="238"/>
        <v>#N/A</v>
      </c>
      <c r="AV290" s="663" t="e">
        <f t="shared" ca="1" si="239"/>
        <v>#N/A</v>
      </c>
      <c r="AW290" s="663" t="e">
        <f t="shared" ca="1" si="208"/>
        <v>#N/A</v>
      </c>
      <c r="AX290" s="663" t="e">
        <f t="shared" ca="1" si="209"/>
        <v>#N/A</v>
      </c>
      <c r="AY290" s="663" t="e">
        <f t="shared" ca="1" si="210"/>
        <v>#N/A</v>
      </c>
      <c r="AZ290" s="663" t="e">
        <f t="shared" ca="1" si="211"/>
        <v>#N/A</v>
      </c>
      <c r="BA290" s="663" t="e">
        <f t="shared" ca="1" si="212"/>
        <v>#N/A</v>
      </c>
      <c r="BB290" s="663" t="e">
        <f t="shared" ca="1" si="213"/>
        <v>#N/A</v>
      </c>
      <c r="BC290" s="663" t="e">
        <f t="shared" ca="1" si="214"/>
        <v>#N/A</v>
      </c>
      <c r="BD290" s="663" t="e">
        <f t="shared" ca="1" si="215"/>
        <v>#N/A</v>
      </c>
      <c r="BE290" s="663" t="e">
        <f t="shared" ca="1" si="216"/>
        <v>#N/A</v>
      </c>
      <c r="BF290" s="663" t="e">
        <f t="shared" ca="1" si="217"/>
        <v>#N/A</v>
      </c>
      <c r="BG290" s="663" t="e">
        <f t="shared" ca="1" si="218"/>
        <v>#N/A</v>
      </c>
      <c r="BH290" s="663" t="e">
        <f t="shared" ca="1" si="219"/>
        <v>#N/A</v>
      </c>
      <c r="BI290" s="663" t="e">
        <f t="shared" ca="1" si="220"/>
        <v>#N/A</v>
      </c>
      <c r="BJ290" s="663" t="e">
        <f t="shared" ca="1" si="221"/>
        <v>#N/A</v>
      </c>
      <c r="BK290" s="663" t="e">
        <f t="shared" ca="1" si="222"/>
        <v>#N/A</v>
      </c>
      <c r="BL290" s="1918"/>
      <c r="BM290" s="1532"/>
      <c r="BN290" s="1919"/>
      <c r="BO290" s="603"/>
      <c r="BP290" s="602"/>
      <c r="BQ290" s="602"/>
      <c r="BR290" s="602"/>
      <c r="BS290" s="604"/>
      <c r="BT290" s="605"/>
      <c r="BU290" s="602"/>
      <c r="BV290" s="602"/>
      <c r="BW290" s="606"/>
      <c r="BX290" s="607"/>
      <c r="BY290" s="608"/>
      <c r="BZ290" s="608"/>
      <c r="CA290" s="608"/>
      <c r="CB290" s="600"/>
    </row>
    <row r="291" spans="2:80" ht="12" customHeight="1" x14ac:dyDescent="0.35">
      <c r="B291" s="590" t="e">
        <f>MATCH(C291,'360SpcLdsCSV'!$C$6:$C$500,0)</f>
        <v>#N/A</v>
      </c>
      <c r="C291" s="590">
        <f>'360SpcLdsCSV'!C240</f>
        <v>0</v>
      </c>
      <c r="D291" s="590" t="str">
        <f t="shared" si="226"/>
        <v>0</v>
      </c>
      <c r="E291" s="590" t="e">
        <f t="shared" si="227"/>
        <v>#VALUE!</v>
      </c>
      <c r="F291" s="590" t="e">
        <f t="shared" si="228"/>
        <v>#VALUE!</v>
      </c>
      <c r="G291" s="590" t="str">
        <f t="shared" si="229"/>
        <v>0</v>
      </c>
      <c r="H291" s="590" t="e">
        <f ca="1">OFFSET('360SpcLdsCSV'!$B$5,$B291,H$51)</f>
        <v>#N/A</v>
      </c>
      <c r="I291" s="590" t="e">
        <f ca="1">OFFSET('360SpcLdsCSV'!$B$5,$B291,I$51)</f>
        <v>#N/A</v>
      </c>
      <c r="J291" s="590" t="e">
        <f ca="1">OFFSET('360SpcLdsCSV'!$B$5,$B291,J$51)</f>
        <v>#N/A</v>
      </c>
      <c r="K291" s="590" t="e">
        <f ca="1">OFFSET('360SpcLdsCSV'!$B$5,$B291,K$51)</f>
        <v>#N/A</v>
      </c>
      <c r="L291" s="590" t="e">
        <f ca="1">OFFSET('360SpcLdsCSV'!$B$5,$B291,L$51)</f>
        <v>#N/A</v>
      </c>
      <c r="M291" s="592" t="e">
        <f ca="1">OFFSET('360SpcLdsCSV'!$B$5,$B291,M$51)</f>
        <v>#N/A</v>
      </c>
      <c r="N291" s="592" t="e">
        <f ca="1">OFFSET('360SpcLdsCSV'!$B$5,$B291,N$51)</f>
        <v>#N/A</v>
      </c>
      <c r="O291" s="592" t="e">
        <f ca="1">OFFSET('360SpcLdsCSV'!$B$5,$B291,O$51)</f>
        <v>#N/A</v>
      </c>
      <c r="P291" s="592" t="e">
        <f ca="1">OFFSET('360SpcLdsCSV'!$B$5,$B291,P$51)</f>
        <v>#N/A</v>
      </c>
      <c r="Q291" s="592" t="e">
        <f ca="1">OFFSET('360SpcLdsCSV'!$B$5,$B291,Q$51)</f>
        <v>#N/A</v>
      </c>
      <c r="R291" s="592" t="e">
        <f ca="1">OFFSET('360SpcLdsCSV'!$B$5,$B291,R$51)</f>
        <v>#N/A</v>
      </c>
      <c r="S291" s="592" t="e">
        <f ca="1">OFFSET('360SpcLdsCSV'!$B$5,$B291,S$51)</f>
        <v>#N/A</v>
      </c>
      <c r="T291" s="592" t="e">
        <f ca="1">OFFSET('360SpcLdsCSV'!$B$5,$B291,T$51)</f>
        <v>#N/A</v>
      </c>
      <c r="U291" s="592" t="e">
        <f ca="1">OFFSET('360SpcLdsCSV'!$B$5,$B291,U$51)</f>
        <v>#N/A</v>
      </c>
      <c r="V291" s="592" t="e">
        <f ca="1">OFFSET('360SpcLdsCSV'!$B$5,$B291,V$51)</f>
        <v>#N/A</v>
      </c>
      <c r="W291" s="592" t="e">
        <f ca="1">OFFSET('360SpcLdsCSV'!$B$5,$B291,W$51)</f>
        <v>#N/A</v>
      </c>
      <c r="X291" s="592" t="e">
        <f ca="1">OFFSET('360SpcLdsCSV'!$B$5,$B291,X$51)</f>
        <v>#N/A</v>
      </c>
      <c r="Y291" s="592" t="e">
        <f ca="1">OFFSET('360SpcLdsCSV'!$B$5,$B291,Y$51)</f>
        <v>#N/A</v>
      </c>
      <c r="Z291" s="592" t="e">
        <f ca="1">OFFSET('360SpcLdsCSV'!$B$5,$B291,Z$51)</f>
        <v>#N/A</v>
      </c>
      <c r="AA291" s="592" t="e">
        <f ca="1">OFFSET('360SpcLdsCSV'!$B$5,$B291,AA$51)</f>
        <v>#N/A</v>
      </c>
      <c r="AB291" s="592" t="e">
        <f ca="1">OFFSET('360SpcLdsCSV'!$B$5,$B291,AB$51)</f>
        <v>#N/A</v>
      </c>
      <c r="AC291" s="592" t="e">
        <f ca="1">OFFSET('360SpcLdsCSV'!$B$5,$B291,AC$51)</f>
        <v>#N/A</v>
      </c>
      <c r="AD291" s="592" t="e">
        <f ca="1">OFFSET('360SpcLdsCSV'!$B$5,$B291,AD$51)</f>
        <v>#N/A</v>
      </c>
      <c r="AE291" s="592" t="e">
        <f ca="1">OFFSET('360SpcLdsCSV'!$B$5,$B291,AE$51)</f>
        <v>#N/A</v>
      </c>
      <c r="AF291" s="592" t="e">
        <f ca="1">OFFSET('360SpcLdsCSV'!$B$5,$B291,AF$51)</f>
        <v>#N/A</v>
      </c>
      <c r="AG291" s="592" t="e">
        <f ca="1">OFFSET('360SpcLdsCSV'!$B$5,$B291,AG$51)</f>
        <v>#N/A</v>
      </c>
      <c r="AH291" s="592" t="e">
        <f ca="1">OFFSET('360SpcLdsCSV'!$B$5,$B291,AH$51)</f>
        <v>#N/A</v>
      </c>
      <c r="AI291" s="592" t="e">
        <f ca="1">OFFSET('360SpcLdsCSV'!$B$5,$B291,AI$51)</f>
        <v>#N/A</v>
      </c>
      <c r="AJ291" s="592" t="e" cm="1">
        <f t="array" ref="AJ291">_xlfn.IFS($F291="Resi",1,$F291="Racc",0,$F291="Coml",0,$F291="Prkg",0)</f>
        <v>#VALUE!</v>
      </c>
      <c r="AK291" s="596"/>
      <c r="AL291" s="590" t="e">
        <f ca="1">OFFSET('360SpcLdsCSV'!$B$5,$B291,AL$51)</f>
        <v>#N/A</v>
      </c>
      <c r="AM291" s="663" t="e">
        <f t="shared" ca="1" si="230"/>
        <v>#N/A</v>
      </c>
      <c r="AN291" s="663" t="e">
        <f t="shared" ca="1" si="231"/>
        <v>#N/A</v>
      </c>
      <c r="AO291" s="663" t="e">
        <f t="shared" ca="1" si="232"/>
        <v>#N/A</v>
      </c>
      <c r="AP291" s="663" t="e">
        <f t="shared" ca="1" si="233"/>
        <v>#N/A</v>
      </c>
      <c r="AQ291" s="663" t="e">
        <f t="shared" ca="1" si="234"/>
        <v>#N/A</v>
      </c>
      <c r="AR291" s="663" t="e">
        <f t="shared" ca="1" si="235"/>
        <v>#N/A</v>
      </c>
      <c r="AS291" s="663" t="e">
        <f t="shared" ca="1" si="236"/>
        <v>#N/A</v>
      </c>
      <c r="AT291" s="663" t="e">
        <f t="shared" ca="1" si="237"/>
        <v>#N/A</v>
      </c>
      <c r="AU291" s="663" t="e">
        <f t="shared" ca="1" si="238"/>
        <v>#N/A</v>
      </c>
      <c r="AV291" s="663" t="e">
        <f t="shared" ca="1" si="239"/>
        <v>#N/A</v>
      </c>
      <c r="AW291" s="663" t="e">
        <f t="shared" ca="1" si="208"/>
        <v>#N/A</v>
      </c>
      <c r="AX291" s="663" t="e">
        <f t="shared" ca="1" si="209"/>
        <v>#N/A</v>
      </c>
      <c r="AY291" s="663" t="e">
        <f t="shared" ca="1" si="210"/>
        <v>#N/A</v>
      </c>
      <c r="AZ291" s="663" t="e">
        <f t="shared" ca="1" si="211"/>
        <v>#N/A</v>
      </c>
      <c r="BA291" s="663" t="e">
        <f t="shared" ca="1" si="212"/>
        <v>#N/A</v>
      </c>
      <c r="BB291" s="663" t="e">
        <f t="shared" ca="1" si="213"/>
        <v>#N/A</v>
      </c>
      <c r="BC291" s="663" t="e">
        <f t="shared" ca="1" si="214"/>
        <v>#N/A</v>
      </c>
      <c r="BD291" s="663" t="e">
        <f t="shared" ca="1" si="215"/>
        <v>#N/A</v>
      </c>
      <c r="BE291" s="663" t="e">
        <f t="shared" ca="1" si="216"/>
        <v>#N/A</v>
      </c>
      <c r="BF291" s="663" t="e">
        <f t="shared" ca="1" si="217"/>
        <v>#N/A</v>
      </c>
      <c r="BG291" s="663" t="e">
        <f t="shared" ca="1" si="218"/>
        <v>#N/A</v>
      </c>
      <c r="BH291" s="663" t="e">
        <f t="shared" ca="1" si="219"/>
        <v>#N/A</v>
      </c>
      <c r="BI291" s="663" t="e">
        <f t="shared" ca="1" si="220"/>
        <v>#N/A</v>
      </c>
      <c r="BJ291" s="663" t="e">
        <f t="shared" ca="1" si="221"/>
        <v>#N/A</v>
      </c>
      <c r="BK291" s="663" t="e">
        <f t="shared" ca="1" si="222"/>
        <v>#N/A</v>
      </c>
      <c r="BL291" s="1918"/>
      <c r="BM291" s="1532"/>
      <c r="BN291" s="1919"/>
      <c r="BO291" s="603"/>
      <c r="BP291" s="602"/>
      <c r="BQ291" s="602"/>
      <c r="BR291" s="602"/>
      <c r="BS291" s="604"/>
      <c r="BT291" s="605"/>
      <c r="BU291" s="602"/>
      <c r="BV291" s="602"/>
      <c r="BW291" s="606"/>
      <c r="BX291" s="607"/>
      <c r="BY291" s="608"/>
      <c r="BZ291" s="608"/>
      <c r="CA291" s="608"/>
      <c r="CB291" s="600"/>
    </row>
    <row r="292" spans="2:80" ht="12" customHeight="1" x14ac:dyDescent="0.35">
      <c r="B292" s="590" t="e">
        <f>MATCH(C292,'360SpcLdsCSV'!$C$6:$C$500,0)</f>
        <v>#N/A</v>
      </c>
      <c r="C292" s="590">
        <f>'360SpcLdsCSV'!C241</f>
        <v>0</v>
      </c>
      <c r="D292" s="590" t="str">
        <f t="shared" si="226"/>
        <v>0</v>
      </c>
      <c r="E292" s="590" t="e">
        <f t="shared" si="227"/>
        <v>#VALUE!</v>
      </c>
      <c r="F292" s="590" t="e">
        <f t="shared" si="228"/>
        <v>#VALUE!</v>
      </c>
      <c r="G292" s="590" t="str">
        <f t="shared" si="229"/>
        <v>0</v>
      </c>
      <c r="H292" s="590" t="e">
        <f ca="1">OFFSET('360SpcLdsCSV'!$B$5,$B292,H$51)</f>
        <v>#N/A</v>
      </c>
      <c r="I292" s="590" t="e">
        <f ca="1">OFFSET('360SpcLdsCSV'!$B$5,$B292,I$51)</f>
        <v>#N/A</v>
      </c>
      <c r="J292" s="590" t="e">
        <f ca="1">OFFSET('360SpcLdsCSV'!$B$5,$B292,J$51)</f>
        <v>#N/A</v>
      </c>
      <c r="K292" s="590" t="e">
        <f ca="1">OFFSET('360SpcLdsCSV'!$B$5,$B292,K$51)</f>
        <v>#N/A</v>
      </c>
      <c r="L292" s="590" t="e">
        <f ca="1">OFFSET('360SpcLdsCSV'!$B$5,$B292,L$51)</f>
        <v>#N/A</v>
      </c>
      <c r="M292" s="592" t="e">
        <f ca="1">OFFSET('360SpcLdsCSV'!$B$5,$B292,M$51)</f>
        <v>#N/A</v>
      </c>
      <c r="N292" s="592" t="e">
        <f ca="1">OFFSET('360SpcLdsCSV'!$B$5,$B292,N$51)</f>
        <v>#N/A</v>
      </c>
      <c r="O292" s="592" t="e">
        <f ca="1">OFFSET('360SpcLdsCSV'!$B$5,$B292,O$51)</f>
        <v>#N/A</v>
      </c>
      <c r="P292" s="592" t="e">
        <f ca="1">OFFSET('360SpcLdsCSV'!$B$5,$B292,P$51)</f>
        <v>#N/A</v>
      </c>
      <c r="Q292" s="592" t="e">
        <f ca="1">OFFSET('360SpcLdsCSV'!$B$5,$B292,Q$51)</f>
        <v>#N/A</v>
      </c>
      <c r="R292" s="592" t="e">
        <f ca="1">OFFSET('360SpcLdsCSV'!$B$5,$B292,R$51)</f>
        <v>#N/A</v>
      </c>
      <c r="S292" s="592" t="e">
        <f ca="1">OFFSET('360SpcLdsCSV'!$B$5,$B292,S$51)</f>
        <v>#N/A</v>
      </c>
      <c r="T292" s="592" t="e">
        <f ca="1">OFFSET('360SpcLdsCSV'!$B$5,$B292,T$51)</f>
        <v>#N/A</v>
      </c>
      <c r="U292" s="592" t="e">
        <f ca="1">OFFSET('360SpcLdsCSV'!$B$5,$B292,U$51)</f>
        <v>#N/A</v>
      </c>
      <c r="V292" s="592" t="e">
        <f ca="1">OFFSET('360SpcLdsCSV'!$B$5,$B292,V$51)</f>
        <v>#N/A</v>
      </c>
      <c r="W292" s="592" t="e">
        <f ca="1">OFFSET('360SpcLdsCSV'!$B$5,$B292,W$51)</f>
        <v>#N/A</v>
      </c>
      <c r="X292" s="592" t="e">
        <f ca="1">OFFSET('360SpcLdsCSV'!$B$5,$B292,X$51)</f>
        <v>#N/A</v>
      </c>
      <c r="Y292" s="592" t="e">
        <f ca="1">OFFSET('360SpcLdsCSV'!$B$5,$B292,Y$51)</f>
        <v>#N/A</v>
      </c>
      <c r="Z292" s="592" t="e">
        <f ca="1">OFFSET('360SpcLdsCSV'!$B$5,$B292,Z$51)</f>
        <v>#N/A</v>
      </c>
      <c r="AA292" s="592" t="e">
        <f ca="1">OFFSET('360SpcLdsCSV'!$B$5,$B292,AA$51)</f>
        <v>#N/A</v>
      </c>
      <c r="AB292" s="592" t="e">
        <f ca="1">OFFSET('360SpcLdsCSV'!$B$5,$B292,AB$51)</f>
        <v>#N/A</v>
      </c>
      <c r="AC292" s="592" t="e">
        <f ca="1">OFFSET('360SpcLdsCSV'!$B$5,$B292,AC$51)</f>
        <v>#N/A</v>
      </c>
      <c r="AD292" s="592" t="e">
        <f ca="1">OFFSET('360SpcLdsCSV'!$B$5,$B292,AD$51)</f>
        <v>#N/A</v>
      </c>
      <c r="AE292" s="592" t="e">
        <f ca="1">OFFSET('360SpcLdsCSV'!$B$5,$B292,AE$51)</f>
        <v>#N/A</v>
      </c>
      <c r="AF292" s="592" t="e">
        <f ca="1">OFFSET('360SpcLdsCSV'!$B$5,$B292,AF$51)</f>
        <v>#N/A</v>
      </c>
      <c r="AG292" s="592" t="e">
        <f ca="1">OFFSET('360SpcLdsCSV'!$B$5,$B292,AG$51)</f>
        <v>#N/A</v>
      </c>
      <c r="AH292" s="592" t="e">
        <f ca="1">OFFSET('360SpcLdsCSV'!$B$5,$B292,AH$51)</f>
        <v>#N/A</v>
      </c>
      <c r="AI292" s="592" t="e">
        <f ca="1">OFFSET('360SpcLdsCSV'!$B$5,$B292,AI$51)</f>
        <v>#N/A</v>
      </c>
      <c r="AJ292" s="592" t="e" cm="1">
        <f t="array" ref="AJ292">_xlfn.IFS($F292="Resi",1,$F292="Racc",0,$F292="Coml",0,$F292="Prkg",0)</f>
        <v>#VALUE!</v>
      </c>
      <c r="AK292" s="596"/>
      <c r="AL292" s="590" t="e">
        <f ca="1">OFFSET('360SpcLdsCSV'!$B$5,$B292,AL$51)</f>
        <v>#N/A</v>
      </c>
      <c r="AM292" s="663" t="e">
        <f t="shared" ca="1" si="230"/>
        <v>#N/A</v>
      </c>
      <c r="AN292" s="663" t="e">
        <f t="shared" ca="1" si="231"/>
        <v>#N/A</v>
      </c>
      <c r="AO292" s="663" t="e">
        <f t="shared" ca="1" si="232"/>
        <v>#N/A</v>
      </c>
      <c r="AP292" s="663" t="e">
        <f t="shared" ca="1" si="233"/>
        <v>#N/A</v>
      </c>
      <c r="AQ292" s="663" t="e">
        <f t="shared" ca="1" si="234"/>
        <v>#N/A</v>
      </c>
      <c r="AR292" s="663" t="e">
        <f t="shared" ca="1" si="235"/>
        <v>#N/A</v>
      </c>
      <c r="AS292" s="663" t="e">
        <f t="shared" ca="1" si="236"/>
        <v>#N/A</v>
      </c>
      <c r="AT292" s="663" t="e">
        <f t="shared" ca="1" si="237"/>
        <v>#N/A</v>
      </c>
      <c r="AU292" s="663" t="e">
        <f t="shared" ca="1" si="238"/>
        <v>#N/A</v>
      </c>
      <c r="AV292" s="663" t="e">
        <f t="shared" ca="1" si="239"/>
        <v>#N/A</v>
      </c>
      <c r="AW292" s="663" t="e">
        <f t="shared" ca="1" si="208"/>
        <v>#N/A</v>
      </c>
      <c r="AX292" s="663" t="e">
        <f t="shared" ca="1" si="209"/>
        <v>#N/A</v>
      </c>
      <c r="AY292" s="663" t="e">
        <f t="shared" ca="1" si="210"/>
        <v>#N/A</v>
      </c>
      <c r="AZ292" s="663" t="e">
        <f t="shared" ca="1" si="211"/>
        <v>#N/A</v>
      </c>
      <c r="BA292" s="663" t="e">
        <f t="shared" ca="1" si="212"/>
        <v>#N/A</v>
      </c>
      <c r="BB292" s="663" t="e">
        <f t="shared" ca="1" si="213"/>
        <v>#N/A</v>
      </c>
      <c r="BC292" s="663" t="e">
        <f t="shared" ca="1" si="214"/>
        <v>#N/A</v>
      </c>
      <c r="BD292" s="663" t="e">
        <f t="shared" ca="1" si="215"/>
        <v>#N/A</v>
      </c>
      <c r="BE292" s="663" t="e">
        <f t="shared" ca="1" si="216"/>
        <v>#N/A</v>
      </c>
      <c r="BF292" s="663" t="e">
        <f t="shared" ca="1" si="217"/>
        <v>#N/A</v>
      </c>
      <c r="BG292" s="663" t="e">
        <f t="shared" ca="1" si="218"/>
        <v>#N/A</v>
      </c>
      <c r="BH292" s="663" t="e">
        <f t="shared" ca="1" si="219"/>
        <v>#N/A</v>
      </c>
      <c r="BI292" s="663" t="e">
        <f t="shared" ca="1" si="220"/>
        <v>#N/A</v>
      </c>
      <c r="BJ292" s="663" t="e">
        <f t="shared" ca="1" si="221"/>
        <v>#N/A</v>
      </c>
      <c r="BK292" s="663" t="e">
        <f t="shared" ca="1" si="222"/>
        <v>#N/A</v>
      </c>
      <c r="BL292" s="1918"/>
      <c r="BM292" s="1532"/>
      <c r="BN292" s="1919"/>
      <c r="BO292" s="603"/>
      <c r="BP292" s="602"/>
      <c r="BQ292" s="602"/>
      <c r="BR292" s="602"/>
      <c r="BS292" s="604"/>
      <c r="BT292" s="605"/>
      <c r="BU292" s="602"/>
      <c r="BV292" s="602"/>
      <c r="BW292" s="606"/>
      <c r="BX292" s="607"/>
      <c r="BY292" s="608"/>
      <c r="BZ292" s="608"/>
      <c r="CA292" s="608"/>
      <c r="CB292" s="600"/>
    </row>
    <row r="293" spans="2:80" ht="12" customHeight="1" x14ac:dyDescent="0.35">
      <c r="B293" s="590" t="e">
        <f>MATCH(C293,'360SpcLdsCSV'!$C$6:$C$500,0)</f>
        <v>#N/A</v>
      </c>
      <c r="C293" s="590">
        <f>'360SpcLdsCSV'!C242</f>
        <v>0</v>
      </c>
      <c r="D293" s="590" t="str">
        <f t="shared" si="226"/>
        <v>0</v>
      </c>
      <c r="E293" s="590" t="e">
        <f t="shared" si="227"/>
        <v>#VALUE!</v>
      </c>
      <c r="F293" s="590" t="e">
        <f t="shared" si="228"/>
        <v>#VALUE!</v>
      </c>
      <c r="G293" s="590" t="str">
        <f t="shared" si="229"/>
        <v>0</v>
      </c>
      <c r="H293" s="590" t="e">
        <f ca="1">OFFSET('360SpcLdsCSV'!$B$5,$B293,H$51)</f>
        <v>#N/A</v>
      </c>
      <c r="I293" s="590" t="e">
        <f ca="1">OFFSET('360SpcLdsCSV'!$B$5,$B293,I$51)</f>
        <v>#N/A</v>
      </c>
      <c r="J293" s="590" t="e">
        <f ca="1">OFFSET('360SpcLdsCSV'!$B$5,$B293,J$51)</f>
        <v>#N/A</v>
      </c>
      <c r="K293" s="590" t="e">
        <f ca="1">OFFSET('360SpcLdsCSV'!$B$5,$B293,K$51)</f>
        <v>#N/A</v>
      </c>
      <c r="L293" s="590" t="e">
        <f ca="1">OFFSET('360SpcLdsCSV'!$B$5,$B293,L$51)</f>
        <v>#N/A</v>
      </c>
      <c r="M293" s="592" t="e">
        <f ca="1">OFFSET('360SpcLdsCSV'!$B$5,$B293,M$51)</f>
        <v>#N/A</v>
      </c>
      <c r="N293" s="592" t="e">
        <f ca="1">OFFSET('360SpcLdsCSV'!$B$5,$B293,N$51)</f>
        <v>#N/A</v>
      </c>
      <c r="O293" s="592" t="e">
        <f ca="1">OFFSET('360SpcLdsCSV'!$B$5,$B293,O$51)</f>
        <v>#N/A</v>
      </c>
      <c r="P293" s="592" t="e">
        <f ca="1">OFFSET('360SpcLdsCSV'!$B$5,$B293,P$51)</f>
        <v>#N/A</v>
      </c>
      <c r="Q293" s="592" t="e">
        <f ca="1">OFFSET('360SpcLdsCSV'!$B$5,$B293,Q$51)</f>
        <v>#N/A</v>
      </c>
      <c r="R293" s="592" t="e">
        <f ca="1">OFFSET('360SpcLdsCSV'!$B$5,$B293,R$51)</f>
        <v>#N/A</v>
      </c>
      <c r="S293" s="592" t="e">
        <f ca="1">OFFSET('360SpcLdsCSV'!$B$5,$B293,S$51)</f>
        <v>#N/A</v>
      </c>
      <c r="T293" s="592" t="e">
        <f ca="1">OFFSET('360SpcLdsCSV'!$B$5,$B293,T$51)</f>
        <v>#N/A</v>
      </c>
      <c r="U293" s="592" t="e">
        <f ca="1">OFFSET('360SpcLdsCSV'!$B$5,$B293,U$51)</f>
        <v>#N/A</v>
      </c>
      <c r="V293" s="592" t="e">
        <f ca="1">OFFSET('360SpcLdsCSV'!$B$5,$B293,V$51)</f>
        <v>#N/A</v>
      </c>
      <c r="W293" s="592" t="e">
        <f ca="1">OFFSET('360SpcLdsCSV'!$B$5,$B293,W$51)</f>
        <v>#N/A</v>
      </c>
      <c r="X293" s="592" t="e">
        <f ca="1">OFFSET('360SpcLdsCSV'!$B$5,$B293,X$51)</f>
        <v>#N/A</v>
      </c>
      <c r="Y293" s="592" t="e">
        <f ca="1">OFFSET('360SpcLdsCSV'!$B$5,$B293,Y$51)</f>
        <v>#N/A</v>
      </c>
      <c r="Z293" s="592" t="e">
        <f ca="1">OFFSET('360SpcLdsCSV'!$B$5,$B293,Z$51)</f>
        <v>#N/A</v>
      </c>
      <c r="AA293" s="592" t="e">
        <f ca="1">OFFSET('360SpcLdsCSV'!$B$5,$B293,AA$51)</f>
        <v>#N/A</v>
      </c>
      <c r="AB293" s="592" t="e">
        <f ca="1">OFFSET('360SpcLdsCSV'!$B$5,$B293,AB$51)</f>
        <v>#N/A</v>
      </c>
      <c r="AC293" s="592" t="e">
        <f ca="1">OFFSET('360SpcLdsCSV'!$B$5,$B293,AC$51)</f>
        <v>#N/A</v>
      </c>
      <c r="AD293" s="592" t="e">
        <f ca="1">OFFSET('360SpcLdsCSV'!$B$5,$B293,AD$51)</f>
        <v>#N/A</v>
      </c>
      <c r="AE293" s="592" t="e">
        <f ca="1">OFFSET('360SpcLdsCSV'!$B$5,$B293,AE$51)</f>
        <v>#N/A</v>
      </c>
      <c r="AF293" s="592" t="e">
        <f ca="1">OFFSET('360SpcLdsCSV'!$B$5,$B293,AF$51)</f>
        <v>#N/A</v>
      </c>
      <c r="AG293" s="592" t="e">
        <f ca="1">OFFSET('360SpcLdsCSV'!$B$5,$B293,AG$51)</f>
        <v>#N/A</v>
      </c>
      <c r="AH293" s="592" t="e">
        <f ca="1">OFFSET('360SpcLdsCSV'!$B$5,$B293,AH$51)</f>
        <v>#N/A</v>
      </c>
      <c r="AI293" s="592" t="e">
        <f ca="1">OFFSET('360SpcLdsCSV'!$B$5,$B293,AI$51)</f>
        <v>#N/A</v>
      </c>
      <c r="AJ293" s="592" t="e" cm="1">
        <f t="array" ref="AJ293">_xlfn.IFS($F293="Resi",1,$F293="Racc",0,$F293="Coml",0,$F293="Prkg",0)</f>
        <v>#VALUE!</v>
      </c>
      <c r="AK293" s="596"/>
      <c r="AL293" s="590" t="e">
        <f ca="1">OFFSET('360SpcLdsCSV'!$B$5,$B293,AL$51)</f>
        <v>#N/A</v>
      </c>
      <c r="AM293" s="663" t="e">
        <f t="shared" ca="1" si="230"/>
        <v>#N/A</v>
      </c>
      <c r="AN293" s="663" t="e">
        <f t="shared" ca="1" si="231"/>
        <v>#N/A</v>
      </c>
      <c r="AO293" s="663" t="e">
        <f t="shared" ca="1" si="232"/>
        <v>#N/A</v>
      </c>
      <c r="AP293" s="663" t="e">
        <f t="shared" ca="1" si="233"/>
        <v>#N/A</v>
      </c>
      <c r="AQ293" s="663" t="e">
        <f t="shared" ca="1" si="234"/>
        <v>#N/A</v>
      </c>
      <c r="AR293" s="663" t="e">
        <f t="shared" ca="1" si="235"/>
        <v>#N/A</v>
      </c>
      <c r="AS293" s="663" t="e">
        <f t="shared" ca="1" si="236"/>
        <v>#N/A</v>
      </c>
      <c r="AT293" s="663" t="e">
        <f t="shared" ca="1" si="237"/>
        <v>#N/A</v>
      </c>
      <c r="AU293" s="663" t="e">
        <f t="shared" ca="1" si="238"/>
        <v>#N/A</v>
      </c>
      <c r="AV293" s="663" t="e">
        <f t="shared" ca="1" si="239"/>
        <v>#N/A</v>
      </c>
      <c r="AW293" s="663" t="e">
        <f t="shared" ca="1" si="208"/>
        <v>#N/A</v>
      </c>
      <c r="AX293" s="663" t="e">
        <f t="shared" ca="1" si="209"/>
        <v>#N/A</v>
      </c>
      <c r="AY293" s="663" t="e">
        <f t="shared" ca="1" si="210"/>
        <v>#N/A</v>
      </c>
      <c r="AZ293" s="663" t="e">
        <f t="shared" ca="1" si="211"/>
        <v>#N/A</v>
      </c>
      <c r="BA293" s="663" t="e">
        <f t="shared" ca="1" si="212"/>
        <v>#N/A</v>
      </c>
      <c r="BB293" s="663" t="e">
        <f t="shared" ca="1" si="213"/>
        <v>#N/A</v>
      </c>
      <c r="BC293" s="663" t="e">
        <f t="shared" ca="1" si="214"/>
        <v>#N/A</v>
      </c>
      <c r="BD293" s="663" t="e">
        <f t="shared" ca="1" si="215"/>
        <v>#N/A</v>
      </c>
      <c r="BE293" s="663" t="e">
        <f t="shared" ca="1" si="216"/>
        <v>#N/A</v>
      </c>
      <c r="BF293" s="663" t="e">
        <f t="shared" ca="1" si="217"/>
        <v>#N/A</v>
      </c>
      <c r="BG293" s="663" t="e">
        <f t="shared" ca="1" si="218"/>
        <v>#N/A</v>
      </c>
      <c r="BH293" s="663" t="e">
        <f t="shared" ca="1" si="219"/>
        <v>#N/A</v>
      </c>
      <c r="BI293" s="663" t="e">
        <f t="shared" ca="1" si="220"/>
        <v>#N/A</v>
      </c>
      <c r="BJ293" s="663" t="e">
        <f t="shared" ca="1" si="221"/>
        <v>#N/A</v>
      </c>
      <c r="BK293" s="663" t="e">
        <f t="shared" ca="1" si="222"/>
        <v>#N/A</v>
      </c>
      <c r="BL293" s="1918"/>
      <c r="BM293" s="1532"/>
      <c r="BN293" s="1919"/>
      <c r="BO293" s="603"/>
      <c r="BP293" s="602"/>
      <c r="BQ293" s="602"/>
      <c r="BR293" s="602"/>
      <c r="BS293" s="604"/>
      <c r="BT293" s="605"/>
      <c r="BU293" s="602"/>
      <c r="BV293" s="602"/>
      <c r="BW293" s="606"/>
      <c r="BX293" s="607"/>
      <c r="BY293" s="608"/>
      <c r="BZ293" s="608"/>
      <c r="CA293" s="608"/>
      <c r="CB293" s="600"/>
    </row>
    <row r="294" spans="2:80" ht="12" customHeight="1" x14ac:dyDescent="0.35">
      <c r="B294" s="590" t="e">
        <f>MATCH(C294,'360SpcLdsCSV'!$C$6:$C$500,0)</f>
        <v>#N/A</v>
      </c>
      <c r="C294" s="590">
        <f>'360SpcLdsCSV'!C243</f>
        <v>0</v>
      </c>
      <c r="D294" s="590" t="str">
        <f t="shared" si="226"/>
        <v>0</v>
      </c>
      <c r="E294" s="590" t="e">
        <f t="shared" si="227"/>
        <v>#VALUE!</v>
      </c>
      <c r="F294" s="590" t="e">
        <f t="shared" si="228"/>
        <v>#VALUE!</v>
      </c>
      <c r="G294" s="590" t="str">
        <f t="shared" si="229"/>
        <v>0</v>
      </c>
      <c r="H294" s="590" t="e">
        <f ca="1">OFFSET('360SpcLdsCSV'!$B$5,$B294,H$51)</f>
        <v>#N/A</v>
      </c>
      <c r="I294" s="590" t="e">
        <f ca="1">OFFSET('360SpcLdsCSV'!$B$5,$B294,I$51)</f>
        <v>#N/A</v>
      </c>
      <c r="J294" s="590" t="e">
        <f ca="1">OFFSET('360SpcLdsCSV'!$B$5,$B294,J$51)</f>
        <v>#N/A</v>
      </c>
      <c r="K294" s="590" t="e">
        <f ca="1">OFFSET('360SpcLdsCSV'!$B$5,$B294,K$51)</f>
        <v>#N/A</v>
      </c>
      <c r="L294" s="590" t="e">
        <f ca="1">OFFSET('360SpcLdsCSV'!$B$5,$B294,L$51)</f>
        <v>#N/A</v>
      </c>
      <c r="M294" s="592" t="e">
        <f ca="1">OFFSET('360SpcLdsCSV'!$B$5,$B294,M$51)</f>
        <v>#N/A</v>
      </c>
      <c r="N294" s="592" t="e">
        <f ca="1">OFFSET('360SpcLdsCSV'!$B$5,$B294,N$51)</f>
        <v>#N/A</v>
      </c>
      <c r="O294" s="592" t="e">
        <f ca="1">OFFSET('360SpcLdsCSV'!$B$5,$B294,O$51)</f>
        <v>#N/A</v>
      </c>
      <c r="P294" s="592" t="e">
        <f ca="1">OFFSET('360SpcLdsCSV'!$B$5,$B294,P$51)</f>
        <v>#N/A</v>
      </c>
      <c r="Q294" s="592" t="e">
        <f ca="1">OFFSET('360SpcLdsCSV'!$B$5,$B294,Q$51)</f>
        <v>#N/A</v>
      </c>
      <c r="R294" s="592" t="e">
        <f ca="1">OFFSET('360SpcLdsCSV'!$B$5,$B294,R$51)</f>
        <v>#N/A</v>
      </c>
      <c r="S294" s="592" t="e">
        <f ca="1">OFFSET('360SpcLdsCSV'!$B$5,$B294,S$51)</f>
        <v>#N/A</v>
      </c>
      <c r="T294" s="592" t="e">
        <f ca="1">OFFSET('360SpcLdsCSV'!$B$5,$B294,T$51)</f>
        <v>#N/A</v>
      </c>
      <c r="U294" s="592" t="e">
        <f ca="1">OFFSET('360SpcLdsCSV'!$B$5,$B294,U$51)</f>
        <v>#N/A</v>
      </c>
      <c r="V294" s="592" t="e">
        <f ca="1">OFFSET('360SpcLdsCSV'!$B$5,$B294,V$51)</f>
        <v>#N/A</v>
      </c>
      <c r="W294" s="592" t="e">
        <f ca="1">OFFSET('360SpcLdsCSV'!$B$5,$B294,W$51)</f>
        <v>#N/A</v>
      </c>
      <c r="X294" s="592" t="e">
        <f ca="1">OFFSET('360SpcLdsCSV'!$B$5,$B294,X$51)</f>
        <v>#N/A</v>
      </c>
      <c r="Y294" s="592" t="e">
        <f ca="1">OFFSET('360SpcLdsCSV'!$B$5,$B294,Y$51)</f>
        <v>#N/A</v>
      </c>
      <c r="Z294" s="592" t="e">
        <f ca="1">OFFSET('360SpcLdsCSV'!$B$5,$B294,Z$51)</f>
        <v>#N/A</v>
      </c>
      <c r="AA294" s="592" t="e">
        <f ca="1">OFFSET('360SpcLdsCSV'!$B$5,$B294,AA$51)</f>
        <v>#N/A</v>
      </c>
      <c r="AB294" s="592" t="e">
        <f ca="1">OFFSET('360SpcLdsCSV'!$B$5,$B294,AB$51)</f>
        <v>#N/A</v>
      </c>
      <c r="AC294" s="592" t="e">
        <f ca="1">OFFSET('360SpcLdsCSV'!$B$5,$B294,AC$51)</f>
        <v>#N/A</v>
      </c>
      <c r="AD294" s="592" t="e">
        <f ca="1">OFFSET('360SpcLdsCSV'!$B$5,$B294,AD$51)</f>
        <v>#N/A</v>
      </c>
      <c r="AE294" s="592" t="e">
        <f ca="1">OFFSET('360SpcLdsCSV'!$B$5,$B294,AE$51)</f>
        <v>#N/A</v>
      </c>
      <c r="AF294" s="592" t="e">
        <f ca="1">OFFSET('360SpcLdsCSV'!$B$5,$B294,AF$51)</f>
        <v>#N/A</v>
      </c>
      <c r="AG294" s="592" t="e">
        <f ca="1">OFFSET('360SpcLdsCSV'!$B$5,$B294,AG$51)</f>
        <v>#N/A</v>
      </c>
      <c r="AH294" s="592" t="e">
        <f ca="1">OFFSET('360SpcLdsCSV'!$B$5,$B294,AH$51)</f>
        <v>#N/A</v>
      </c>
      <c r="AI294" s="592" t="e">
        <f ca="1">OFFSET('360SpcLdsCSV'!$B$5,$B294,AI$51)</f>
        <v>#N/A</v>
      </c>
      <c r="AJ294" s="592" t="e" cm="1">
        <f t="array" ref="AJ294">_xlfn.IFS($F294="Resi",1,$F294="Racc",0,$F294="Coml",0,$F294="Prkg",0)</f>
        <v>#VALUE!</v>
      </c>
      <c r="AK294" s="596"/>
      <c r="AL294" s="590" t="e">
        <f ca="1">OFFSET('360SpcLdsCSV'!$B$5,$B294,AL$51)</f>
        <v>#N/A</v>
      </c>
      <c r="AM294" s="663" t="e">
        <f t="shared" ca="1" si="230"/>
        <v>#N/A</v>
      </c>
      <c r="AN294" s="663" t="e">
        <f t="shared" ca="1" si="231"/>
        <v>#N/A</v>
      </c>
      <c r="AO294" s="663" t="e">
        <f t="shared" ca="1" si="232"/>
        <v>#N/A</v>
      </c>
      <c r="AP294" s="663" t="e">
        <f t="shared" ca="1" si="233"/>
        <v>#N/A</v>
      </c>
      <c r="AQ294" s="663" t="e">
        <f t="shared" ca="1" si="234"/>
        <v>#N/A</v>
      </c>
      <c r="AR294" s="663" t="e">
        <f t="shared" ca="1" si="235"/>
        <v>#N/A</v>
      </c>
      <c r="AS294" s="663" t="e">
        <f t="shared" ca="1" si="236"/>
        <v>#N/A</v>
      </c>
      <c r="AT294" s="663" t="e">
        <f t="shared" ca="1" si="237"/>
        <v>#N/A</v>
      </c>
      <c r="AU294" s="663" t="e">
        <f t="shared" ca="1" si="238"/>
        <v>#N/A</v>
      </c>
      <c r="AV294" s="663" t="e">
        <f t="shared" ca="1" si="239"/>
        <v>#N/A</v>
      </c>
      <c r="AW294" s="663" t="e">
        <f t="shared" ca="1" si="208"/>
        <v>#N/A</v>
      </c>
      <c r="AX294" s="663" t="e">
        <f t="shared" ca="1" si="209"/>
        <v>#N/A</v>
      </c>
      <c r="AY294" s="663" t="e">
        <f t="shared" ca="1" si="210"/>
        <v>#N/A</v>
      </c>
      <c r="AZ294" s="663" t="e">
        <f t="shared" ca="1" si="211"/>
        <v>#N/A</v>
      </c>
      <c r="BA294" s="663" t="e">
        <f t="shared" ca="1" si="212"/>
        <v>#N/A</v>
      </c>
      <c r="BB294" s="663" t="e">
        <f t="shared" ca="1" si="213"/>
        <v>#N/A</v>
      </c>
      <c r="BC294" s="663" t="e">
        <f t="shared" ca="1" si="214"/>
        <v>#N/A</v>
      </c>
      <c r="BD294" s="663" t="e">
        <f t="shared" ca="1" si="215"/>
        <v>#N/A</v>
      </c>
      <c r="BE294" s="663" t="e">
        <f t="shared" ca="1" si="216"/>
        <v>#N/A</v>
      </c>
      <c r="BF294" s="663" t="e">
        <f t="shared" ca="1" si="217"/>
        <v>#N/A</v>
      </c>
      <c r="BG294" s="663" t="e">
        <f t="shared" ca="1" si="218"/>
        <v>#N/A</v>
      </c>
      <c r="BH294" s="663" t="e">
        <f t="shared" ca="1" si="219"/>
        <v>#N/A</v>
      </c>
      <c r="BI294" s="663" t="e">
        <f t="shared" ca="1" si="220"/>
        <v>#N/A</v>
      </c>
      <c r="BJ294" s="663" t="e">
        <f t="shared" ca="1" si="221"/>
        <v>#N/A</v>
      </c>
      <c r="BK294" s="663" t="e">
        <f t="shared" ca="1" si="222"/>
        <v>#N/A</v>
      </c>
      <c r="BL294" s="1918"/>
      <c r="BM294" s="1532"/>
      <c r="BN294" s="1919"/>
      <c r="BO294" s="603"/>
      <c r="BP294" s="602"/>
      <c r="BQ294" s="602"/>
      <c r="BR294" s="602"/>
      <c r="BS294" s="604"/>
      <c r="BT294" s="605"/>
      <c r="BU294" s="602"/>
      <c r="BV294" s="602"/>
      <c r="BW294" s="606"/>
      <c r="BX294" s="607"/>
      <c r="BY294" s="608"/>
      <c r="BZ294" s="608"/>
      <c r="CA294" s="608"/>
      <c r="CB294" s="600"/>
    </row>
    <row r="295" spans="2:80" ht="12" customHeight="1" x14ac:dyDescent="0.35">
      <c r="B295" s="590" t="e">
        <f>MATCH(C295,'360SpcLdsCSV'!$C$6:$C$500,0)</f>
        <v>#N/A</v>
      </c>
      <c r="C295" s="590">
        <f>'360SpcLdsCSV'!C244</f>
        <v>0</v>
      </c>
      <c r="D295" s="590" t="str">
        <f t="shared" si="226"/>
        <v>0</v>
      </c>
      <c r="E295" s="590" t="e">
        <f t="shared" si="227"/>
        <v>#VALUE!</v>
      </c>
      <c r="F295" s="590" t="e">
        <f t="shared" si="228"/>
        <v>#VALUE!</v>
      </c>
      <c r="G295" s="590" t="str">
        <f t="shared" si="229"/>
        <v>0</v>
      </c>
      <c r="H295" s="590" t="e">
        <f ca="1">OFFSET('360SpcLdsCSV'!$B$5,$B295,H$51)</f>
        <v>#N/A</v>
      </c>
      <c r="I295" s="590" t="e">
        <f ca="1">OFFSET('360SpcLdsCSV'!$B$5,$B295,I$51)</f>
        <v>#N/A</v>
      </c>
      <c r="J295" s="590" t="e">
        <f ca="1">OFFSET('360SpcLdsCSV'!$B$5,$B295,J$51)</f>
        <v>#N/A</v>
      </c>
      <c r="K295" s="590" t="e">
        <f ca="1">OFFSET('360SpcLdsCSV'!$B$5,$B295,K$51)</f>
        <v>#N/A</v>
      </c>
      <c r="L295" s="590" t="e">
        <f ca="1">OFFSET('360SpcLdsCSV'!$B$5,$B295,L$51)</f>
        <v>#N/A</v>
      </c>
      <c r="M295" s="592" t="e">
        <f ca="1">OFFSET('360SpcLdsCSV'!$B$5,$B295,M$51)</f>
        <v>#N/A</v>
      </c>
      <c r="N295" s="592" t="e">
        <f ca="1">OFFSET('360SpcLdsCSV'!$B$5,$B295,N$51)</f>
        <v>#N/A</v>
      </c>
      <c r="O295" s="592" t="e">
        <f ca="1">OFFSET('360SpcLdsCSV'!$B$5,$B295,O$51)</f>
        <v>#N/A</v>
      </c>
      <c r="P295" s="592" t="e">
        <f ca="1">OFFSET('360SpcLdsCSV'!$B$5,$B295,P$51)</f>
        <v>#N/A</v>
      </c>
      <c r="Q295" s="592" t="e">
        <f ca="1">OFFSET('360SpcLdsCSV'!$B$5,$B295,Q$51)</f>
        <v>#N/A</v>
      </c>
      <c r="R295" s="592" t="e">
        <f ca="1">OFFSET('360SpcLdsCSV'!$B$5,$B295,R$51)</f>
        <v>#N/A</v>
      </c>
      <c r="S295" s="592" t="e">
        <f ca="1">OFFSET('360SpcLdsCSV'!$B$5,$B295,S$51)</f>
        <v>#N/A</v>
      </c>
      <c r="T295" s="592" t="e">
        <f ca="1">OFFSET('360SpcLdsCSV'!$B$5,$B295,T$51)</f>
        <v>#N/A</v>
      </c>
      <c r="U295" s="592" t="e">
        <f ca="1">OFFSET('360SpcLdsCSV'!$B$5,$B295,U$51)</f>
        <v>#N/A</v>
      </c>
      <c r="V295" s="592" t="e">
        <f ca="1">OFFSET('360SpcLdsCSV'!$B$5,$B295,V$51)</f>
        <v>#N/A</v>
      </c>
      <c r="W295" s="592" t="e">
        <f ca="1">OFFSET('360SpcLdsCSV'!$B$5,$B295,W$51)</f>
        <v>#N/A</v>
      </c>
      <c r="X295" s="592" t="e">
        <f ca="1">OFFSET('360SpcLdsCSV'!$B$5,$B295,X$51)</f>
        <v>#N/A</v>
      </c>
      <c r="Y295" s="592" t="e">
        <f ca="1">OFFSET('360SpcLdsCSV'!$B$5,$B295,Y$51)</f>
        <v>#N/A</v>
      </c>
      <c r="Z295" s="592" t="e">
        <f ca="1">OFFSET('360SpcLdsCSV'!$B$5,$B295,Z$51)</f>
        <v>#N/A</v>
      </c>
      <c r="AA295" s="592" t="e">
        <f ca="1">OFFSET('360SpcLdsCSV'!$B$5,$B295,AA$51)</f>
        <v>#N/A</v>
      </c>
      <c r="AB295" s="592" t="e">
        <f ca="1">OFFSET('360SpcLdsCSV'!$B$5,$B295,AB$51)</f>
        <v>#N/A</v>
      </c>
      <c r="AC295" s="592" t="e">
        <f ca="1">OFFSET('360SpcLdsCSV'!$B$5,$B295,AC$51)</f>
        <v>#N/A</v>
      </c>
      <c r="AD295" s="592" t="e">
        <f ca="1">OFFSET('360SpcLdsCSV'!$B$5,$B295,AD$51)</f>
        <v>#N/A</v>
      </c>
      <c r="AE295" s="592" t="e">
        <f ca="1">OFFSET('360SpcLdsCSV'!$B$5,$B295,AE$51)</f>
        <v>#N/A</v>
      </c>
      <c r="AF295" s="592" t="e">
        <f ca="1">OFFSET('360SpcLdsCSV'!$B$5,$B295,AF$51)</f>
        <v>#N/A</v>
      </c>
      <c r="AG295" s="592" t="e">
        <f ca="1">OFFSET('360SpcLdsCSV'!$B$5,$B295,AG$51)</f>
        <v>#N/A</v>
      </c>
      <c r="AH295" s="592" t="e">
        <f ca="1">OFFSET('360SpcLdsCSV'!$B$5,$B295,AH$51)</f>
        <v>#N/A</v>
      </c>
      <c r="AI295" s="592" t="e">
        <f ca="1">OFFSET('360SpcLdsCSV'!$B$5,$B295,AI$51)</f>
        <v>#N/A</v>
      </c>
      <c r="AJ295" s="592" t="e" cm="1">
        <f t="array" ref="AJ295">_xlfn.IFS($F295="Resi",1,$F295="Racc",0,$F295="Coml",0,$F295="Prkg",0)</f>
        <v>#VALUE!</v>
      </c>
      <c r="AK295" s="596"/>
      <c r="AL295" s="590" t="e">
        <f ca="1">OFFSET('360SpcLdsCSV'!$B$5,$B295,AL$51)</f>
        <v>#N/A</v>
      </c>
      <c r="AM295" s="663" t="e">
        <f t="shared" ca="1" si="230"/>
        <v>#N/A</v>
      </c>
      <c r="AN295" s="663" t="e">
        <f t="shared" ca="1" si="231"/>
        <v>#N/A</v>
      </c>
      <c r="AO295" s="663" t="e">
        <f t="shared" ca="1" si="232"/>
        <v>#N/A</v>
      </c>
      <c r="AP295" s="663" t="e">
        <f t="shared" ca="1" si="233"/>
        <v>#N/A</v>
      </c>
      <c r="AQ295" s="663" t="e">
        <f t="shared" ca="1" si="234"/>
        <v>#N/A</v>
      </c>
      <c r="AR295" s="663" t="e">
        <f t="shared" ca="1" si="235"/>
        <v>#N/A</v>
      </c>
      <c r="AS295" s="663" t="e">
        <f t="shared" ca="1" si="236"/>
        <v>#N/A</v>
      </c>
      <c r="AT295" s="663" t="e">
        <f t="shared" ca="1" si="237"/>
        <v>#N/A</v>
      </c>
      <c r="AU295" s="663" t="e">
        <f t="shared" ca="1" si="238"/>
        <v>#N/A</v>
      </c>
      <c r="AV295" s="663" t="e">
        <f t="shared" ca="1" si="239"/>
        <v>#N/A</v>
      </c>
      <c r="AW295" s="663" t="e">
        <f t="shared" ca="1" si="208"/>
        <v>#N/A</v>
      </c>
      <c r="AX295" s="663" t="e">
        <f t="shared" ca="1" si="209"/>
        <v>#N/A</v>
      </c>
      <c r="AY295" s="663" t="e">
        <f t="shared" ca="1" si="210"/>
        <v>#N/A</v>
      </c>
      <c r="AZ295" s="663" t="e">
        <f t="shared" ca="1" si="211"/>
        <v>#N/A</v>
      </c>
      <c r="BA295" s="663" t="e">
        <f t="shared" ca="1" si="212"/>
        <v>#N/A</v>
      </c>
      <c r="BB295" s="663" t="e">
        <f t="shared" ca="1" si="213"/>
        <v>#N/A</v>
      </c>
      <c r="BC295" s="663" t="e">
        <f t="shared" ca="1" si="214"/>
        <v>#N/A</v>
      </c>
      <c r="BD295" s="663" t="e">
        <f t="shared" ca="1" si="215"/>
        <v>#N/A</v>
      </c>
      <c r="BE295" s="663" t="e">
        <f t="shared" ca="1" si="216"/>
        <v>#N/A</v>
      </c>
      <c r="BF295" s="663" t="e">
        <f t="shared" ca="1" si="217"/>
        <v>#N/A</v>
      </c>
      <c r="BG295" s="663" t="e">
        <f t="shared" ca="1" si="218"/>
        <v>#N/A</v>
      </c>
      <c r="BH295" s="663" t="e">
        <f t="shared" ca="1" si="219"/>
        <v>#N/A</v>
      </c>
      <c r="BI295" s="663" t="e">
        <f t="shared" ca="1" si="220"/>
        <v>#N/A</v>
      </c>
      <c r="BJ295" s="663" t="e">
        <f t="shared" ca="1" si="221"/>
        <v>#N/A</v>
      </c>
      <c r="BK295" s="663" t="e">
        <f t="shared" ca="1" si="222"/>
        <v>#N/A</v>
      </c>
      <c r="BL295" s="1918"/>
      <c r="BM295" s="1532"/>
      <c r="BN295" s="1919"/>
      <c r="BO295" s="603"/>
      <c r="BP295" s="602"/>
      <c r="BQ295" s="602"/>
      <c r="BR295" s="602"/>
      <c r="BS295" s="604"/>
      <c r="BT295" s="605"/>
      <c r="BU295" s="602"/>
      <c r="BV295" s="602"/>
      <c r="BW295" s="606"/>
      <c r="BX295" s="607"/>
      <c r="BY295" s="608"/>
      <c r="BZ295" s="608"/>
      <c r="CA295" s="608"/>
      <c r="CB295" s="600"/>
    </row>
    <row r="296" spans="2:80" ht="12" customHeight="1" x14ac:dyDescent="0.35">
      <c r="B296" s="590" t="e">
        <f>MATCH(C296,'360SpcLdsCSV'!$C$6:$C$500,0)</f>
        <v>#N/A</v>
      </c>
      <c r="C296" s="590">
        <f>'360SpcLdsCSV'!C245</f>
        <v>0</v>
      </c>
      <c r="D296" s="590" t="str">
        <f t="shared" si="226"/>
        <v>0</v>
      </c>
      <c r="E296" s="590" t="e">
        <f t="shared" si="227"/>
        <v>#VALUE!</v>
      </c>
      <c r="F296" s="590" t="e">
        <f t="shared" si="228"/>
        <v>#VALUE!</v>
      </c>
      <c r="G296" s="590" t="str">
        <f t="shared" si="229"/>
        <v>0</v>
      </c>
      <c r="H296" s="590" t="e">
        <f ca="1">OFFSET('360SpcLdsCSV'!$B$5,$B296,H$51)</f>
        <v>#N/A</v>
      </c>
      <c r="I296" s="590" t="e">
        <f ca="1">OFFSET('360SpcLdsCSV'!$B$5,$B296,I$51)</f>
        <v>#N/A</v>
      </c>
      <c r="J296" s="590" t="e">
        <f ca="1">OFFSET('360SpcLdsCSV'!$B$5,$B296,J$51)</f>
        <v>#N/A</v>
      </c>
      <c r="K296" s="590" t="e">
        <f ca="1">OFFSET('360SpcLdsCSV'!$B$5,$B296,K$51)</f>
        <v>#N/A</v>
      </c>
      <c r="L296" s="590" t="e">
        <f ca="1">OFFSET('360SpcLdsCSV'!$B$5,$B296,L$51)</f>
        <v>#N/A</v>
      </c>
      <c r="M296" s="592" t="e">
        <f ca="1">OFFSET('360SpcLdsCSV'!$B$5,$B296,M$51)</f>
        <v>#N/A</v>
      </c>
      <c r="N296" s="592" t="e">
        <f ca="1">OFFSET('360SpcLdsCSV'!$B$5,$B296,N$51)</f>
        <v>#N/A</v>
      </c>
      <c r="O296" s="592" t="e">
        <f ca="1">OFFSET('360SpcLdsCSV'!$B$5,$B296,O$51)</f>
        <v>#N/A</v>
      </c>
      <c r="P296" s="592" t="e">
        <f ca="1">OFFSET('360SpcLdsCSV'!$B$5,$B296,P$51)</f>
        <v>#N/A</v>
      </c>
      <c r="Q296" s="592" t="e">
        <f ca="1">OFFSET('360SpcLdsCSV'!$B$5,$B296,Q$51)</f>
        <v>#N/A</v>
      </c>
      <c r="R296" s="592" t="e">
        <f ca="1">OFFSET('360SpcLdsCSV'!$B$5,$B296,R$51)</f>
        <v>#N/A</v>
      </c>
      <c r="S296" s="592" t="e">
        <f ca="1">OFFSET('360SpcLdsCSV'!$B$5,$B296,S$51)</f>
        <v>#N/A</v>
      </c>
      <c r="T296" s="592" t="e">
        <f ca="1">OFFSET('360SpcLdsCSV'!$B$5,$B296,T$51)</f>
        <v>#N/A</v>
      </c>
      <c r="U296" s="592" t="e">
        <f ca="1">OFFSET('360SpcLdsCSV'!$B$5,$B296,U$51)</f>
        <v>#N/A</v>
      </c>
      <c r="V296" s="592" t="e">
        <f ca="1">OFFSET('360SpcLdsCSV'!$B$5,$B296,V$51)</f>
        <v>#N/A</v>
      </c>
      <c r="W296" s="592" t="e">
        <f ca="1">OFFSET('360SpcLdsCSV'!$B$5,$B296,W$51)</f>
        <v>#N/A</v>
      </c>
      <c r="X296" s="592" t="e">
        <f ca="1">OFFSET('360SpcLdsCSV'!$B$5,$B296,X$51)</f>
        <v>#N/A</v>
      </c>
      <c r="Y296" s="592" t="e">
        <f ca="1">OFFSET('360SpcLdsCSV'!$B$5,$B296,Y$51)</f>
        <v>#N/A</v>
      </c>
      <c r="Z296" s="592" t="e">
        <f ca="1">OFFSET('360SpcLdsCSV'!$B$5,$B296,Z$51)</f>
        <v>#N/A</v>
      </c>
      <c r="AA296" s="592" t="e">
        <f ca="1">OFFSET('360SpcLdsCSV'!$B$5,$B296,AA$51)</f>
        <v>#N/A</v>
      </c>
      <c r="AB296" s="592" t="e">
        <f ca="1">OFFSET('360SpcLdsCSV'!$B$5,$B296,AB$51)</f>
        <v>#N/A</v>
      </c>
      <c r="AC296" s="592" t="e">
        <f ca="1">OFFSET('360SpcLdsCSV'!$B$5,$B296,AC$51)</f>
        <v>#N/A</v>
      </c>
      <c r="AD296" s="592" t="e">
        <f ca="1">OFFSET('360SpcLdsCSV'!$B$5,$B296,AD$51)</f>
        <v>#N/A</v>
      </c>
      <c r="AE296" s="592" t="e">
        <f ca="1">OFFSET('360SpcLdsCSV'!$B$5,$B296,AE$51)</f>
        <v>#N/A</v>
      </c>
      <c r="AF296" s="592" t="e">
        <f ca="1">OFFSET('360SpcLdsCSV'!$B$5,$B296,AF$51)</f>
        <v>#N/A</v>
      </c>
      <c r="AG296" s="592" t="e">
        <f ca="1">OFFSET('360SpcLdsCSV'!$B$5,$B296,AG$51)</f>
        <v>#N/A</v>
      </c>
      <c r="AH296" s="592" t="e">
        <f ca="1">OFFSET('360SpcLdsCSV'!$B$5,$B296,AH$51)</f>
        <v>#N/A</v>
      </c>
      <c r="AI296" s="592" t="e">
        <f ca="1">OFFSET('360SpcLdsCSV'!$B$5,$B296,AI$51)</f>
        <v>#N/A</v>
      </c>
      <c r="AJ296" s="592" t="e" cm="1">
        <f t="array" ref="AJ296">_xlfn.IFS($F296="Resi",1,$F296="Racc",0,$F296="Coml",0,$F296="Prkg",0)</f>
        <v>#VALUE!</v>
      </c>
      <c r="AK296" s="596"/>
      <c r="AL296" s="590" t="e">
        <f ca="1">OFFSET('360SpcLdsCSV'!$B$5,$B296,AL$51)</f>
        <v>#N/A</v>
      </c>
      <c r="AM296" s="663" t="e">
        <f t="shared" ca="1" si="230"/>
        <v>#N/A</v>
      </c>
      <c r="AN296" s="663" t="e">
        <f t="shared" ca="1" si="231"/>
        <v>#N/A</v>
      </c>
      <c r="AO296" s="663" t="e">
        <f t="shared" ca="1" si="232"/>
        <v>#N/A</v>
      </c>
      <c r="AP296" s="663" t="e">
        <f t="shared" ca="1" si="233"/>
        <v>#N/A</v>
      </c>
      <c r="AQ296" s="663" t="e">
        <f t="shared" ca="1" si="234"/>
        <v>#N/A</v>
      </c>
      <c r="AR296" s="663" t="e">
        <f t="shared" ca="1" si="235"/>
        <v>#N/A</v>
      </c>
      <c r="AS296" s="663" t="e">
        <f t="shared" ca="1" si="236"/>
        <v>#N/A</v>
      </c>
      <c r="AT296" s="663" t="e">
        <f t="shared" ca="1" si="237"/>
        <v>#N/A</v>
      </c>
      <c r="AU296" s="663" t="e">
        <f t="shared" ca="1" si="238"/>
        <v>#N/A</v>
      </c>
      <c r="AV296" s="663" t="e">
        <f t="shared" ca="1" si="239"/>
        <v>#N/A</v>
      </c>
      <c r="AW296" s="663" t="e">
        <f t="shared" ca="1" si="208"/>
        <v>#N/A</v>
      </c>
      <c r="AX296" s="663" t="e">
        <f t="shared" ca="1" si="209"/>
        <v>#N/A</v>
      </c>
      <c r="AY296" s="663" t="e">
        <f t="shared" ca="1" si="210"/>
        <v>#N/A</v>
      </c>
      <c r="AZ296" s="663" t="e">
        <f t="shared" ca="1" si="211"/>
        <v>#N/A</v>
      </c>
      <c r="BA296" s="663" t="e">
        <f t="shared" ca="1" si="212"/>
        <v>#N/A</v>
      </c>
      <c r="BB296" s="663" t="e">
        <f t="shared" ca="1" si="213"/>
        <v>#N/A</v>
      </c>
      <c r="BC296" s="663" t="e">
        <f t="shared" ca="1" si="214"/>
        <v>#N/A</v>
      </c>
      <c r="BD296" s="663" t="e">
        <f t="shared" ca="1" si="215"/>
        <v>#N/A</v>
      </c>
      <c r="BE296" s="663" t="e">
        <f t="shared" ca="1" si="216"/>
        <v>#N/A</v>
      </c>
      <c r="BF296" s="663" t="e">
        <f t="shared" ca="1" si="217"/>
        <v>#N/A</v>
      </c>
      <c r="BG296" s="663" t="e">
        <f t="shared" ca="1" si="218"/>
        <v>#N/A</v>
      </c>
      <c r="BH296" s="663" t="e">
        <f t="shared" ca="1" si="219"/>
        <v>#N/A</v>
      </c>
      <c r="BI296" s="663" t="e">
        <f t="shared" ca="1" si="220"/>
        <v>#N/A</v>
      </c>
      <c r="BJ296" s="663" t="e">
        <f t="shared" ca="1" si="221"/>
        <v>#N/A</v>
      </c>
      <c r="BK296" s="663" t="e">
        <f t="shared" ca="1" si="222"/>
        <v>#N/A</v>
      </c>
      <c r="BL296" s="1918"/>
      <c r="BM296" s="1532"/>
      <c r="BN296" s="1919"/>
      <c r="BO296" s="603"/>
      <c r="BP296" s="602"/>
      <c r="BQ296" s="602"/>
      <c r="BR296" s="602"/>
      <c r="BS296" s="604"/>
      <c r="BT296" s="605"/>
      <c r="BU296" s="602"/>
      <c r="BV296" s="602"/>
      <c r="BW296" s="606"/>
      <c r="BX296" s="607"/>
      <c r="BY296" s="608"/>
      <c r="BZ296" s="608"/>
      <c r="CA296" s="608"/>
      <c r="CB296" s="600"/>
    </row>
    <row r="297" spans="2:80" ht="12" customHeight="1" x14ac:dyDescent="0.35">
      <c r="B297" s="590" t="e">
        <f>MATCH(C297,'360SpcLdsCSV'!$C$6:$C$500,0)</f>
        <v>#N/A</v>
      </c>
      <c r="C297" s="590">
        <f>'360SpcLdsCSV'!C246</f>
        <v>0</v>
      </c>
      <c r="D297" s="590" t="str">
        <f t="shared" si="226"/>
        <v>0</v>
      </c>
      <c r="E297" s="590" t="e">
        <f t="shared" si="227"/>
        <v>#VALUE!</v>
      </c>
      <c r="F297" s="590" t="e">
        <f t="shared" si="228"/>
        <v>#VALUE!</v>
      </c>
      <c r="G297" s="590" t="str">
        <f t="shared" si="229"/>
        <v>0</v>
      </c>
      <c r="H297" s="590" t="e">
        <f ca="1">OFFSET('360SpcLdsCSV'!$B$5,$B297,H$51)</f>
        <v>#N/A</v>
      </c>
      <c r="I297" s="590" t="e">
        <f ca="1">OFFSET('360SpcLdsCSV'!$B$5,$B297,I$51)</f>
        <v>#N/A</v>
      </c>
      <c r="J297" s="590" t="e">
        <f ca="1">OFFSET('360SpcLdsCSV'!$B$5,$B297,J$51)</f>
        <v>#N/A</v>
      </c>
      <c r="K297" s="590" t="e">
        <f ca="1">OFFSET('360SpcLdsCSV'!$B$5,$B297,K$51)</f>
        <v>#N/A</v>
      </c>
      <c r="L297" s="590" t="e">
        <f ca="1">OFFSET('360SpcLdsCSV'!$B$5,$B297,L$51)</f>
        <v>#N/A</v>
      </c>
      <c r="M297" s="592" t="e">
        <f ca="1">OFFSET('360SpcLdsCSV'!$B$5,$B297,M$51)</f>
        <v>#N/A</v>
      </c>
      <c r="N297" s="592" t="e">
        <f ca="1">OFFSET('360SpcLdsCSV'!$B$5,$B297,N$51)</f>
        <v>#N/A</v>
      </c>
      <c r="O297" s="592" t="e">
        <f ca="1">OFFSET('360SpcLdsCSV'!$B$5,$B297,O$51)</f>
        <v>#N/A</v>
      </c>
      <c r="P297" s="592" t="e">
        <f ca="1">OFFSET('360SpcLdsCSV'!$B$5,$B297,P$51)</f>
        <v>#N/A</v>
      </c>
      <c r="Q297" s="592" t="e">
        <f ca="1">OFFSET('360SpcLdsCSV'!$B$5,$B297,Q$51)</f>
        <v>#N/A</v>
      </c>
      <c r="R297" s="592" t="e">
        <f ca="1">OFFSET('360SpcLdsCSV'!$B$5,$B297,R$51)</f>
        <v>#N/A</v>
      </c>
      <c r="S297" s="592" t="e">
        <f ca="1">OFFSET('360SpcLdsCSV'!$B$5,$B297,S$51)</f>
        <v>#N/A</v>
      </c>
      <c r="T297" s="592" t="e">
        <f ca="1">OFFSET('360SpcLdsCSV'!$B$5,$B297,T$51)</f>
        <v>#N/A</v>
      </c>
      <c r="U297" s="592" t="e">
        <f ca="1">OFFSET('360SpcLdsCSV'!$B$5,$B297,U$51)</f>
        <v>#N/A</v>
      </c>
      <c r="V297" s="592" t="e">
        <f ca="1">OFFSET('360SpcLdsCSV'!$B$5,$B297,V$51)</f>
        <v>#N/A</v>
      </c>
      <c r="W297" s="592" t="e">
        <f ca="1">OFFSET('360SpcLdsCSV'!$B$5,$B297,W$51)</f>
        <v>#N/A</v>
      </c>
      <c r="X297" s="592" t="e">
        <f ca="1">OFFSET('360SpcLdsCSV'!$B$5,$B297,X$51)</f>
        <v>#N/A</v>
      </c>
      <c r="Y297" s="592" t="e">
        <f ca="1">OFFSET('360SpcLdsCSV'!$B$5,$B297,Y$51)</f>
        <v>#N/A</v>
      </c>
      <c r="Z297" s="592" t="e">
        <f ca="1">OFFSET('360SpcLdsCSV'!$B$5,$B297,Z$51)</f>
        <v>#N/A</v>
      </c>
      <c r="AA297" s="592" t="e">
        <f ca="1">OFFSET('360SpcLdsCSV'!$B$5,$B297,AA$51)</f>
        <v>#N/A</v>
      </c>
      <c r="AB297" s="592" t="e">
        <f ca="1">OFFSET('360SpcLdsCSV'!$B$5,$B297,AB$51)</f>
        <v>#N/A</v>
      </c>
      <c r="AC297" s="592" t="e">
        <f ca="1">OFFSET('360SpcLdsCSV'!$B$5,$B297,AC$51)</f>
        <v>#N/A</v>
      </c>
      <c r="AD297" s="592" t="e">
        <f ca="1">OFFSET('360SpcLdsCSV'!$B$5,$B297,AD$51)</f>
        <v>#N/A</v>
      </c>
      <c r="AE297" s="592" t="e">
        <f ca="1">OFFSET('360SpcLdsCSV'!$B$5,$B297,AE$51)</f>
        <v>#N/A</v>
      </c>
      <c r="AF297" s="592" t="e">
        <f ca="1">OFFSET('360SpcLdsCSV'!$B$5,$B297,AF$51)</f>
        <v>#N/A</v>
      </c>
      <c r="AG297" s="592" t="e">
        <f ca="1">OFFSET('360SpcLdsCSV'!$B$5,$B297,AG$51)</f>
        <v>#N/A</v>
      </c>
      <c r="AH297" s="592" t="e">
        <f ca="1">OFFSET('360SpcLdsCSV'!$B$5,$B297,AH$51)</f>
        <v>#N/A</v>
      </c>
      <c r="AI297" s="592" t="e">
        <f ca="1">OFFSET('360SpcLdsCSV'!$B$5,$B297,AI$51)</f>
        <v>#N/A</v>
      </c>
      <c r="AJ297" s="592" t="e" cm="1">
        <f t="array" ref="AJ297">_xlfn.IFS($F297="Resi",1,$F297="Racc",0,$F297="Coml",0,$F297="Prkg",0)</f>
        <v>#VALUE!</v>
      </c>
      <c r="AK297" s="596"/>
      <c r="AL297" s="590" t="e">
        <f ca="1">OFFSET('360SpcLdsCSV'!$B$5,$B297,AL$51)</f>
        <v>#N/A</v>
      </c>
      <c r="AM297" s="663" t="e">
        <f t="shared" ca="1" si="230"/>
        <v>#N/A</v>
      </c>
      <c r="AN297" s="663" t="e">
        <f t="shared" ca="1" si="231"/>
        <v>#N/A</v>
      </c>
      <c r="AO297" s="663" t="e">
        <f t="shared" ca="1" si="232"/>
        <v>#N/A</v>
      </c>
      <c r="AP297" s="663" t="e">
        <f t="shared" ca="1" si="233"/>
        <v>#N/A</v>
      </c>
      <c r="AQ297" s="663" t="e">
        <f t="shared" ca="1" si="234"/>
        <v>#N/A</v>
      </c>
      <c r="AR297" s="663" t="e">
        <f t="shared" ca="1" si="235"/>
        <v>#N/A</v>
      </c>
      <c r="AS297" s="663" t="e">
        <f t="shared" ca="1" si="236"/>
        <v>#N/A</v>
      </c>
      <c r="AT297" s="663" t="e">
        <f t="shared" ca="1" si="237"/>
        <v>#N/A</v>
      </c>
      <c r="AU297" s="663" t="e">
        <f t="shared" ca="1" si="238"/>
        <v>#N/A</v>
      </c>
      <c r="AV297" s="663" t="e">
        <f t="shared" ca="1" si="239"/>
        <v>#N/A</v>
      </c>
      <c r="AW297" s="663" t="e">
        <f t="shared" ca="1" si="208"/>
        <v>#N/A</v>
      </c>
      <c r="AX297" s="663" t="e">
        <f t="shared" ca="1" si="209"/>
        <v>#N/A</v>
      </c>
      <c r="AY297" s="663" t="e">
        <f t="shared" ca="1" si="210"/>
        <v>#N/A</v>
      </c>
      <c r="AZ297" s="663" t="e">
        <f t="shared" ca="1" si="211"/>
        <v>#N/A</v>
      </c>
      <c r="BA297" s="663" t="e">
        <f t="shared" ca="1" si="212"/>
        <v>#N/A</v>
      </c>
      <c r="BB297" s="663" t="e">
        <f t="shared" ca="1" si="213"/>
        <v>#N/A</v>
      </c>
      <c r="BC297" s="663" t="e">
        <f t="shared" ca="1" si="214"/>
        <v>#N/A</v>
      </c>
      <c r="BD297" s="663" t="e">
        <f t="shared" ca="1" si="215"/>
        <v>#N/A</v>
      </c>
      <c r="BE297" s="663" t="e">
        <f t="shared" ca="1" si="216"/>
        <v>#N/A</v>
      </c>
      <c r="BF297" s="663" t="e">
        <f t="shared" ca="1" si="217"/>
        <v>#N/A</v>
      </c>
      <c r="BG297" s="663" t="e">
        <f t="shared" ca="1" si="218"/>
        <v>#N/A</v>
      </c>
      <c r="BH297" s="663" t="e">
        <f t="shared" ca="1" si="219"/>
        <v>#N/A</v>
      </c>
      <c r="BI297" s="663" t="e">
        <f t="shared" ca="1" si="220"/>
        <v>#N/A</v>
      </c>
      <c r="BJ297" s="663" t="e">
        <f t="shared" ca="1" si="221"/>
        <v>#N/A</v>
      </c>
      <c r="BK297" s="663" t="e">
        <f t="shared" ca="1" si="222"/>
        <v>#N/A</v>
      </c>
      <c r="BL297" s="1918"/>
      <c r="BM297" s="1532"/>
      <c r="BN297" s="1919"/>
      <c r="BO297" s="603"/>
      <c r="BP297" s="602"/>
      <c r="BQ297" s="602"/>
      <c r="BR297" s="602"/>
      <c r="BS297" s="604"/>
      <c r="BT297" s="605"/>
      <c r="BU297" s="602"/>
      <c r="BV297" s="602"/>
      <c r="BW297" s="606"/>
      <c r="BX297" s="607"/>
      <c r="BY297" s="608"/>
      <c r="BZ297" s="608"/>
      <c r="CA297" s="608"/>
      <c r="CB297" s="600"/>
    </row>
    <row r="298" spans="2:80" ht="12" customHeight="1" x14ac:dyDescent="0.35">
      <c r="B298" s="590" t="e">
        <f>MATCH(C298,'360SpcLdsCSV'!$C$6:$C$500,0)</f>
        <v>#N/A</v>
      </c>
      <c r="C298" s="590">
        <f>'360SpcLdsCSV'!C247</f>
        <v>0</v>
      </c>
      <c r="D298" s="590" t="str">
        <f t="shared" si="226"/>
        <v>0</v>
      </c>
      <c r="E298" s="590" t="e">
        <f t="shared" si="227"/>
        <v>#VALUE!</v>
      </c>
      <c r="F298" s="590" t="e">
        <f t="shared" si="228"/>
        <v>#VALUE!</v>
      </c>
      <c r="G298" s="590" t="str">
        <f t="shared" si="229"/>
        <v>0</v>
      </c>
      <c r="H298" s="590" t="e">
        <f ca="1">OFFSET('360SpcLdsCSV'!$B$5,$B298,H$51)</f>
        <v>#N/A</v>
      </c>
      <c r="I298" s="590" t="e">
        <f ca="1">OFFSET('360SpcLdsCSV'!$B$5,$B298,I$51)</f>
        <v>#N/A</v>
      </c>
      <c r="J298" s="590" t="e">
        <f ca="1">OFFSET('360SpcLdsCSV'!$B$5,$B298,J$51)</f>
        <v>#N/A</v>
      </c>
      <c r="K298" s="590" t="e">
        <f ca="1">OFFSET('360SpcLdsCSV'!$B$5,$B298,K$51)</f>
        <v>#N/A</v>
      </c>
      <c r="L298" s="590" t="e">
        <f ca="1">OFFSET('360SpcLdsCSV'!$B$5,$B298,L$51)</f>
        <v>#N/A</v>
      </c>
      <c r="M298" s="592" t="e">
        <f ca="1">OFFSET('360SpcLdsCSV'!$B$5,$B298,M$51)</f>
        <v>#N/A</v>
      </c>
      <c r="N298" s="592" t="e">
        <f ca="1">OFFSET('360SpcLdsCSV'!$B$5,$B298,N$51)</f>
        <v>#N/A</v>
      </c>
      <c r="O298" s="592" t="e">
        <f ca="1">OFFSET('360SpcLdsCSV'!$B$5,$B298,O$51)</f>
        <v>#N/A</v>
      </c>
      <c r="P298" s="592" t="e">
        <f ca="1">OFFSET('360SpcLdsCSV'!$B$5,$B298,P$51)</f>
        <v>#N/A</v>
      </c>
      <c r="Q298" s="592" t="e">
        <f ca="1">OFFSET('360SpcLdsCSV'!$B$5,$B298,Q$51)</f>
        <v>#N/A</v>
      </c>
      <c r="R298" s="592" t="e">
        <f ca="1">OFFSET('360SpcLdsCSV'!$B$5,$B298,R$51)</f>
        <v>#N/A</v>
      </c>
      <c r="S298" s="592" t="e">
        <f ca="1">OFFSET('360SpcLdsCSV'!$B$5,$B298,S$51)</f>
        <v>#N/A</v>
      </c>
      <c r="T298" s="592" t="e">
        <f ca="1">OFFSET('360SpcLdsCSV'!$B$5,$B298,T$51)</f>
        <v>#N/A</v>
      </c>
      <c r="U298" s="592" t="e">
        <f ca="1">OFFSET('360SpcLdsCSV'!$B$5,$B298,U$51)</f>
        <v>#N/A</v>
      </c>
      <c r="V298" s="592" t="e">
        <f ca="1">OFFSET('360SpcLdsCSV'!$B$5,$B298,V$51)</f>
        <v>#N/A</v>
      </c>
      <c r="W298" s="592" t="e">
        <f ca="1">OFFSET('360SpcLdsCSV'!$B$5,$B298,W$51)</f>
        <v>#N/A</v>
      </c>
      <c r="X298" s="592" t="e">
        <f ca="1">OFFSET('360SpcLdsCSV'!$B$5,$B298,X$51)</f>
        <v>#N/A</v>
      </c>
      <c r="Y298" s="592" t="e">
        <f ca="1">OFFSET('360SpcLdsCSV'!$B$5,$B298,Y$51)</f>
        <v>#N/A</v>
      </c>
      <c r="Z298" s="592" t="e">
        <f ca="1">OFFSET('360SpcLdsCSV'!$B$5,$B298,Z$51)</f>
        <v>#N/A</v>
      </c>
      <c r="AA298" s="592" t="e">
        <f ca="1">OFFSET('360SpcLdsCSV'!$B$5,$B298,AA$51)</f>
        <v>#N/A</v>
      </c>
      <c r="AB298" s="592" t="e">
        <f ca="1">OFFSET('360SpcLdsCSV'!$B$5,$B298,AB$51)</f>
        <v>#N/A</v>
      </c>
      <c r="AC298" s="592" t="e">
        <f ca="1">OFFSET('360SpcLdsCSV'!$B$5,$B298,AC$51)</f>
        <v>#N/A</v>
      </c>
      <c r="AD298" s="592" t="e">
        <f ca="1">OFFSET('360SpcLdsCSV'!$B$5,$B298,AD$51)</f>
        <v>#N/A</v>
      </c>
      <c r="AE298" s="592" t="e">
        <f ca="1">OFFSET('360SpcLdsCSV'!$B$5,$B298,AE$51)</f>
        <v>#N/A</v>
      </c>
      <c r="AF298" s="592" t="e">
        <f ca="1">OFFSET('360SpcLdsCSV'!$B$5,$B298,AF$51)</f>
        <v>#N/A</v>
      </c>
      <c r="AG298" s="592" t="e">
        <f ca="1">OFFSET('360SpcLdsCSV'!$B$5,$B298,AG$51)</f>
        <v>#N/A</v>
      </c>
      <c r="AH298" s="592" t="e">
        <f ca="1">OFFSET('360SpcLdsCSV'!$B$5,$B298,AH$51)</f>
        <v>#N/A</v>
      </c>
      <c r="AI298" s="592" t="e">
        <f ca="1">OFFSET('360SpcLdsCSV'!$B$5,$B298,AI$51)</f>
        <v>#N/A</v>
      </c>
      <c r="AJ298" s="592" t="e" cm="1">
        <f t="array" ref="AJ298">_xlfn.IFS($F298="Resi",1,$F298="Racc",0,$F298="Coml",0,$F298="Prkg",0)</f>
        <v>#VALUE!</v>
      </c>
      <c r="AK298" s="596"/>
      <c r="AL298" s="590" t="e">
        <f ca="1">OFFSET('360SpcLdsCSV'!$B$5,$B298,AL$51)</f>
        <v>#N/A</v>
      </c>
      <c r="AM298" s="663" t="e">
        <f t="shared" ca="1" si="230"/>
        <v>#N/A</v>
      </c>
      <c r="AN298" s="663" t="e">
        <f t="shared" ca="1" si="231"/>
        <v>#N/A</v>
      </c>
      <c r="AO298" s="663" t="e">
        <f t="shared" ca="1" si="232"/>
        <v>#N/A</v>
      </c>
      <c r="AP298" s="663" t="e">
        <f t="shared" ca="1" si="233"/>
        <v>#N/A</v>
      </c>
      <c r="AQ298" s="663" t="e">
        <f t="shared" ca="1" si="234"/>
        <v>#N/A</v>
      </c>
      <c r="AR298" s="663" t="e">
        <f t="shared" ca="1" si="235"/>
        <v>#N/A</v>
      </c>
      <c r="AS298" s="663" t="e">
        <f t="shared" ca="1" si="236"/>
        <v>#N/A</v>
      </c>
      <c r="AT298" s="663" t="e">
        <f t="shared" ca="1" si="237"/>
        <v>#N/A</v>
      </c>
      <c r="AU298" s="663" t="e">
        <f t="shared" ca="1" si="238"/>
        <v>#N/A</v>
      </c>
      <c r="AV298" s="663" t="e">
        <f t="shared" ca="1" si="239"/>
        <v>#N/A</v>
      </c>
      <c r="AW298" s="663" t="e">
        <f t="shared" ca="1" si="208"/>
        <v>#N/A</v>
      </c>
      <c r="AX298" s="663" t="e">
        <f t="shared" ca="1" si="209"/>
        <v>#N/A</v>
      </c>
      <c r="AY298" s="663" t="e">
        <f t="shared" ca="1" si="210"/>
        <v>#N/A</v>
      </c>
      <c r="AZ298" s="663" t="e">
        <f t="shared" ca="1" si="211"/>
        <v>#N/A</v>
      </c>
      <c r="BA298" s="663" t="e">
        <f t="shared" ca="1" si="212"/>
        <v>#N/A</v>
      </c>
      <c r="BB298" s="663" t="e">
        <f t="shared" ca="1" si="213"/>
        <v>#N/A</v>
      </c>
      <c r="BC298" s="663" t="e">
        <f t="shared" ca="1" si="214"/>
        <v>#N/A</v>
      </c>
      <c r="BD298" s="663" t="e">
        <f t="shared" ca="1" si="215"/>
        <v>#N/A</v>
      </c>
      <c r="BE298" s="663" t="e">
        <f t="shared" ca="1" si="216"/>
        <v>#N/A</v>
      </c>
      <c r="BF298" s="663" t="e">
        <f t="shared" ca="1" si="217"/>
        <v>#N/A</v>
      </c>
      <c r="BG298" s="663" t="e">
        <f t="shared" ca="1" si="218"/>
        <v>#N/A</v>
      </c>
      <c r="BH298" s="663" t="e">
        <f t="shared" ca="1" si="219"/>
        <v>#N/A</v>
      </c>
      <c r="BI298" s="663" t="e">
        <f t="shared" ca="1" si="220"/>
        <v>#N/A</v>
      </c>
      <c r="BJ298" s="663" t="e">
        <f t="shared" ca="1" si="221"/>
        <v>#N/A</v>
      </c>
      <c r="BK298" s="663" t="e">
        <f t="shared" ca="1" si="222"/>
        <v>#N/A</v>
      </c>
      <c r="BL298" s="1918"/>
      <c r="BM298" s="1532"/>
      <c r="BN298" s="1919"/>
      <c r="BO298" s="603"/>
      <c r="BP298" s="602"/>
      <c r="BQ298" s="602"/>
      <c r="BR298" s="602"/>
      <c r="BS298" s="604"/>
      <c r="BT298" s="605"/>
      <c r="BU298" s="602"/>
      <c r="BV298" s="602"/>
      <c r="BW298" s="606"/>
      <c r="BX298" s="607"/>
      <c r="BY298" s="608"/>
      <c r="BZ298" s="608"/>
      <c r="CA298" s="608"/>
      <c r="CB298" s="600"/>
    </row>
    <row r="299" spans="2:80" ht="12" customHeight="1" x14ac:dyDescent="0.35">
      <c r="B299" s="590" t="e">
        <f>MATCH(C299,'360SpcLdsCSV'!$C$6:$C$500,0)</f>
        <v>#N/A</v>
      </c>
      <c r="C299" s="590">
        <f>'360SpcLdsCSV'!C248</f>
        <v>0</v>
      </c>
      <c r="D299" s="590" t="str">
        <f t="shared" si="226"/>
        <v>0</v>
      </c>
      <c r="E299" s="590" t="e">
        <f t="shared" si="227"/>
        <v>#VALUE!</v>
      </c>
      <c r="F299" s="590" t="e">
        <f t="shared" si="228"/>
        <v>#VALUE!</v>
      </c>
      <c r="G299" s="590" t="str">
        <f t="shared" si="229"/>
        <v>0</v>
      </c>
      <c r="H299" s="590" t="e">
        <f ca="1">OFFSET('360SpcLdsCSV'!$B$5,$B299,H$51)</f>
        <v>#N/A</v>
      </c>
      <c r="I299" s="590" t="e">
        <f ca="1">OFFSET('360SpcLdsCSV'!$B$5,$B299,I$51)</f>
        <v>#N/A</v>
      </c>
      <c r="J299" s="590" t="e">
        <f ca="1">OFFSET('360SpcLdsCSV'!$B$5,$B299,J$51)</f>
        <v>#N/A</v>
      </c>
      <c r="K299" s="590" t="e">
        <f ca="1">OFFSET('360SpcLdsCSV'!$B$5,$B299,K$51)</f>
        <v>#N/A</v>
      </c>
      <c r="L299" s="590" t="e">
        <f ca="1">OFFSET('360SpcLdsCSV'!$B$5,$B299,L$51)</f>
        <v>#N/A</v>
      </c>
      <c r="M299" s="592" t="e">
        <f ca="1">OFFSET('360SpcLdsCSV'!$B$5,$B299,M$51)</f>
        <v>#N/A</v>
      </c>
      <c r="N299" s="592" t="e">
        <f ca="1">OFFSET('360SpcLdsCSV'!$B$5,$B299,N$51)</f>
        <v>#N/A</v>
      </c>
      <c r="O299" s="592" t="e">
        <f ca="1">OFFSET('360SpcLdsCSV'!$B$5,$B299,O$51)</f>
        <v>#N/A</v>
      </c>
      <c r="P299" s="592" t="e">
        <f ca="1">OFFSET('360SpcLdsCSV'!$B$5,$B299,P$51)</f>
        <v>#N/A</v>
      </c>
      <c r="Q299" s="592" t="e">
        <f ca="1">OFFSET('360SpcLdsCSV'!$B$5,$B299,Q$51)</f>
        <v>#N/A</v>
      </c>
      <c r="R299" s="592" t="e">
        <f ca="1">OFFSET('360SpcLdsCSV'!$B$5,$B299,R$51)</f>
        <v>#N/A</v>
      </c>
      <c r="S299" s="592" t="e">
        <f ca="1">OFFSET('360SpcLdsCSV'!$B$5,$B299,S$51)</f>
        <v>#N/A</v>
      </c>
      <c r="T299" s="592" t="e">
        <f ca="1">OFFSET('360SpcLdsCSV'!$B$5,$B299,T$51)</f>
        <v>#N/A</v>
      </c>
      <c r="U299" s="592" t="e">
        <f ca="1">OFFSET('360SpcLdsCSV'!$B$5,$B299,U$51)</f>
        <v>#N/A</v>
      </c>
      <c r="V299" s="592" t="e">
        <f ca="1">OFFSET('360SpcLdsCSV'!$B$5,$B299,V$51)</f>
        <v>#N/A</v>
      </c>
      <c r="W299" s="592" t="e">
        <f ca="1">OFFSET('360SpcLdsCSV'!$B$5,$B299,W$51)</f>
        <v>#N/A</v>
      </c>
      <c r="X299" s="592" t="e">
        <f ca="1">OFFSET('360SpcLdsCSV'!$B$5,$B299,X$51)</f>
        <v>#N/A</v>
      </c>
      <c r="Y299" s="592" t="e">
        <f ca="1">OFFSET('360SpcLdsCSV'!$B$5,$B299,Y$51)</f>
        <v>#N/A</v>
      </c>
      <c r="Z299" s="592" t="e">
        <f ca="1">OFFSET('360SpcLdsCSV'!$B$5,$B299,Z$51)</f>
        <v>#N/A</v>
      </c>
      <c r="AA299" s="592" t="e">
        <f ca="1">OFFSET('360SpcLdsCSV'!$B$5,$B299,AA$51)</f>
        <v>#N/A</v>
      </c>
      <c r="AB299" s="592" t="e">
        <f ca="1">OFFSET('360SpcLdsCSV'!$B$5,$B299,AB$51)</f>
        <v>#N/A</v>
      </c>
      <c r="AC299" s="592" t="e">
        <f ca="1">OFFSET('360SpcLdsCSV'!$B$5,$B299,AC$51)</f>
        <v>#N/A</v>
      </c>
      <c r="AD299" s="592" t="e">
        <f ca="1">OFFSET('360SpcLdsCSV'!$B$5,$B299,AD$51)</f>
        <v>#N/A</v>
      </c>
      <c r="AE299" s="592" t="e">
        <f ca="1">OFFSET('360SpcLdsCSV'!$B$5,$B299,AE$51)</f>
        <v>#N/A</v>
      </c>
      <c r="AF299" s="592" t="e">
        <f ca="1">OFFSET('360SpcLdsCSV'!$B$5,$B299,AF$51)</f>
        <v>#N/A</v>
      </c>
      <c r="AG299" s="592" t="e">
        <f ca="1">OFFSET('360SpcLdsCSV'!$B$5,$B299,AG$51)</f>
        <v>#N/A</v>
      </c>
      <c r="AH299" s="592" t="e">
        <f ca="1">OFFSET('360SpcLdsCSV'!$B$5,$B299,AH$51)</f>
        <v>#N/A</v>
      </c>
      <c r="AI299" s="592" t="e">
        <f ca="1">OFFSET('360SpcLdsCSV'!$B$5,$B299,AI$51)</f>
        <v>#N/A</v>
      </c>
      <c r="AJ299" s="592" t="e" cm="1">
        <f t="array" ref="AJ299">_xlfn.IFS($F299="Resi",1,$F299="Racc",0,$F299="Coml",0,$F299="Prkg",0)</f>
        <v>#VALUE!</v>
      </c>
      <c r="AK299" s="596"/>
      <c r="AL299" s="590" t="e">
        <f ca="1">OFFSET('360SpcLdsCSV'!$B$5,$B299,AL$51)</f>
        <v>#N/A</v>
      </c>
      <c r="AM299" s="663" t="e">
        <f t="shared" ca="1" si="230"/>
        <v>#N/A</v>
      </c>
      <c r="AN299" s="663" t="e">
        <f t="shared" ca="1" si="231"/>
        <v>#N/A</v>
      </c>
      <c r="AO299" s="663" t="e">
        <f t="shared" ca="1" si="232"/>
        <v>#N/A</v>
      </c>
      <c r="AP299" s="663" t="e">
        <f t="shared" ca="1" si="233"/>
        <v>#N/A</v>
      </c>
      <c r="AQ299" s="663" t="e">
        <f t="shared" ca="1" si="234"/>
        <v>#N/A</v>
      </c>
      <c r="AR299" s="663" t="e">
        <f t="shared" ca="1" si="235"/>
        <v>#N/A</v>
      </c>
      <c r="AS299" s="663" t="e">
        <f t="shared" ca="1" si="236"/>
        <v>#N/A</v>
      </c>
      <c r="AT299" s="663" t="e">
        <f t="shared" ca="1" si="237"/>
        <v>#N/A</v>
      </c>
      <c r="AU299" s="663" t="e">
        <f t="shared" ca="1" si="238"/>
        <v>#N/A</v>
      </c>
      <c r="AV299" s="663" t="e">
        <f t="shared" ca="1" si="239"/>
        <v>#N/A</v>
      </c>
      <c r="AW299" s="663" t="e">
        <f t="shared" ca="1" si="208"/>
        <v>#N/A</v>
      </c>
      <c r="AX299" s="663" t="e">
        <f t="shared" ca="1" si="209"/>
        <v>#N/A</v>
      </c>
      <c r="AY299" s="663" t="e">
        <f t="shared" ca="1" si="210"/>
        <v>#N/A</v>
      </c>
      <c r="AZ299" s="663" t="e">
        <f t="shared" ca="1" si="211"/>
        <v>#N/A</v>
      </c>
      <c r="BA299" s="663" t="e">
        <f t="shared" ca="1" si="212"/>
        <v>#N/A</v>
      </c>
      <c r="BB299" s="663" t="e">
        <f t="shared" ca="1" si="213"/>
        <v>#N/A</v>
      </c>
      <c r="BC299" s="663" t="e">
        <f t="shared" ca="1" si="214"/>
        <v>#N/A</v>
      </c>
      <c r="BD299" s="663" t="e">
        <f t="shared" ca="1" si="215"/>
        <v>#N/A</v>
      </c>
      <c r="BE299" s="663" t="e">
        <f t="shared" ca="1" si="216"/>
        <v>#N/A</v>
      </c>
      <c r="BF299" s="663" t="e">
        <f t="shared" ca="1" si="217"/>
        <v>#N/A</v>
      </c>
      <c r="BG299" s="663" t="e">
        <f t="shared" ca="1" si="218"/>
        <v>#N/A</v>
      </c>
      <c r="BH299" s="663" t="e">
        <f t="shared" ca="1" si="219"/>
        <v>#N/A</v>
      </c>
      <c r="BI299" s="663" t="e">
        <f t="shared" ca="1" si="220"/>
        <v>#N/A</v>
      </c>
      <c r="BJ299" s="663" t="e">
        <f t="shared" ca="1" si="221"/>
        <v>#N/A</v>
      </c>
      <c r="BK299" s="663" t="e">
        <f t="shared" ca="1" si="222"/>
        <v>#N/A</v>
      </c>
      <c r="BL299" s="1918"/>
      <c r="BM299" s="1532"/>
      <c r="BN299" s="1919"/>
      <c r="BO299" s="603"/>
      <c r="BP299" s="602"/>
      <c r="BQ299" s="602"/>
      <c r="BR299" s="602"/>
      <c r="BS299" s="604"/>
      <c r="BT299" s="605"/>
      <c r="BU299" s="602"/>
      <c r="BV299" s="602"/>
      <c r="BW299" s="606"/>
      <c r="BX299" s="607"/>
      <c r="BY299" s="608"/>
      <c r="BZ299" s="608"/>
      <c r="CA299" s="608"/>
      <c r="CB299" s="600"/>
    </row>
    <row r="300" spans="2:80" ht="12" customHeight="1" x14ac:dyDescent="0.35">
      <c r="B300" s="590" t="e">
        <f>MATCH(C300,'360SpcLdsCSV'!$C$6:$C$500,0)</f>
        <v>#N/A</v>
      </c>
      <c r="C300" s="590">
        <f>'360SpcLdsCSV'!C249</f>
        <v>0</v>
      </c>
      <c r="D300" s="590" t="str">
        <f t="shared" si="226"/>
        <v>0</v>
      </c>
      <c r="E300" s="590" t="e">
        <f t="shared" si="227"/>
        <v>#VALUE!</v>
      </c>
      <c r="F300" s="590" t="e">
        <f t="shared" si="228"/>
        <v>#VALUE!</v>
      </c>
      <c r="G300" s="590" t="str">
        <f t="shared" si="229"/>
        <v>0</v>
      </c>
      <c r="H300" s="590" t="e">
        <f ca="1">OFFSET('360SpcLdsCSV'!$B$5,$B300,H$51)</f>
        <v>#N/A</v>
      </c>
      <c r="I300" s="590" t="e">
        <f ca="1">OFFSET('360SpcLdsCSV'!$B$5,$B300,I$51)</f>
        <v>#N/A</v>
      </c>
      <c r="J300" s="590" t="e">
        <f ca="1">OFFSET('360SpcLdsCSV'!$B$5,$B300,J$51)</f>
        <v>#N/A</v>
      </c>
      <c r="K300" s="590" t="e">
        <f ca="1">OFFSET('360SpcLdsCSV'!$B$5,$B300,K$51)</f>
        <v>#N/A</v>
      </c>
      <c r="L300" s="590" t="e">
        <f ca="1">OFFSET('360SpcLdsCSV'!$B$5,$B300,L$51)</f>
        <v>#N/A</v>
      </c>
      <c r="M300" s="592" t="e">
        <f ca="1">OFFSET('360SpcLdsCSV'!$B$5,$B300,M$51)</f>
        <v>#N/A</v>
      </c>
      <c r="N300" s="592" t="e">
        <f ca="1">OFFSET('360SpcLdsCSV'!$B$5,$B300,N$51)</f>
        <v>#N/A</v>
      </c>
      <c r="O300" s="592" t="e">
        <f ca="1">OFFSET('360SpcLdsCSV'!$B$5,$B300,O$51)</f>
        <v>#N/A</v>
      </c>
      <c r="P300" s="592" t="e">
        <f ca="1">OFFSET('360SpcLdsCSV'!$B$5,$B300,P$51)</f>
        <v>#N/A</v>
      </c>
      <c r="Q300" s="592" t="e">
        <f ca="1">OFFSET('360SpcLdsCSV'!$B$5,$B300,Q$51)</f>
        <v>#N/A</v>
      </c>
      <c r="R300" s="592" t="e">
        <f ca="1">OFFSET('360SpcLdsCSV'!$B$5,$B300,R$51)</f>
        <v>#N/A</v>
      </c>
      <c r="S300" s="592" t="e">
        <f ca="1">OFFSET('360SpcLdsCSV'!$B$5,$B300,S$51)</f>
        <v>#N/A</v>
      </c>
      <c r="T300" s="592" t="e">
        <f ca="1">OFFSET('360SpcLdsCSV'!$B$5,$B300,T$51)</f>
        <v>#N/A</v>
      </c>
      <c r="U300" s="592" t="e">
        <f ca="1">OFFSET('360SpcLdsCSV'!$B$5,$B300,U$51)</f>
        <v>#N/A</v>
      </c>
      <c r="V300" s="592" t="e">
        <f ca="1">OFFSET('360SpcLdsCSV'!$B$5,$B300,V$51)</f>
        <v>#N/A</v>
      </c>
      <c r="W300" s="592" t="e">
        <f ca="1">OFFSET('360SpcLdsCSV'!$B$5,$B300,W$51)</f>
        <v>#N/A</v>
      </c>
      <c r="X300" s="592" t="e">
        <f ca="1">OFFSET('360SpcLdsCSV'!$B$5,$B300,X$51)</f>
        <v>#N/A</v>
      </c>
      <c r="Y300" s="592" t="e">
        <f ca="1">OFFSET('360SpcLdsCSV'!$B$5,$B300,Y$51)</f>
        <v>#N/A</v>
      </c>
      <c r="Z300" s="592" t="e">
        <f ca="1">OFFSET('360SpcLdsCSV'!$B$5,$B300,Z$51)</f>
        <v>#N/A</v>
      </c>
      <c r="AA300" s="592" t="e">
        <f ca="1">OFFSET('360SpcLdsCSV'!$B$5,$B300,AA$51)</f>
        <v>#N/A</v>
      </c>
      <c r="AB300" s="592" t="e">
        <f ca="1">OFFSET('360SpcLdsCSV'!$B$5,$B300,AB$51)</f>
        <v>#N/A</v>
      </c>
      <c r="AC300" s="592" t="e">
        <f ca="1">OFFSET('360SpcLdsCSV'!$B$5,$B300,AC$51)</f>
        <v>#N/A</v>
      </c>
      <c r="AD300" s="592" t="e">
        <f ca="1">OFFSET('360SpcLdsCSV'!$B$5,$B300,AD$51)</f>
        <v>#N/A</v>
      </c>
      <c r="AE300" s="592" t="e">
        <f ca="1">OFFSET('360SpcLdsCSV'!$B$5,$B300,AE$51)</f>
        <v>#N/A</v>
      </c>
      <c r="AF300" s="592" t="e">
        <f ca="1">OFFSET('360SpcLdsCSV'!$B$5,$B300,AF$51)</f>
        <v>#N/A</v>
      </c>
      <c r="AG300" s="592" t="e">
        <f ca="1">OFFSET('360SpcLdsCSV'!$B$5,$B300,AG$51)</f>
        <v>#N/A</v>
      </c>
      <c r="AH300" s="592" t="e">
        <f ca="1">OFFSET('360SpcLdsCSV'!$B$5,$B300,AH$51)</f>
        <v>#N/A</v>
      </c>
      <c r="AI300" s="592" t="e">
        <f ca="1">OFFSET('360SpcLdsCSV'!$B$5,$B300,AI$51)</f>
        <v>#N/A</v>
      </c>
      <c r="AJ300" s="592" t="e" cm="1">
        <f t="array" ref="AJ300">_xlfn.IFS($F300="Resi",1,$F300="Racc",0,$F300="Coml",0,$F300="Prkg",0)</f>
        <v>#VALUE!</v>
      </c>
      <c r="AK300" s="596"/>
      <c r="AL300" s="590" t="e">
        <f ca="1">OFFSET('360SpcLdsCSV'!$B$5,$B300,AL$51)</f>
        <v>#N/A</v>
      </c>
      <c r="AM300" s="663" t="e">
        <f t="shared" ca="1" si="230"/>
        <v>#N/A</v>
      </c>
      <c r="AN300" s="663" t="e">
        <f t="shared" ca="1" si="231"/>
        <v>#N/A</v>
      </c>
      <c r="AO300" s="663" t="e">
        <f t="shared" ca="1" si="232"/>
        <v>#N/A</v>
      </c>
      <c r="AP300" s="663" t="e">
        <f t="shared" ca="1" si="233"/>
        <v>#N/A</v>
      </c>
      <c r="AQ300" s="663" t="e">
        <f t="shared" ca="1" si="234"/>
        <v>#N/A</v>
      </c>
      <c r="AR300" s="663" t="e">
        <f t="shared" ca="1" si="235"/>
        <v>#N/A</v>
      </c>
      <c r="AS300" s="663" t="e">
        <f t="shared" ca="1" si="236"/>
        <v>#N/A</v>
      </c>
      <c r="AT300" s="663" t="e">
        <f t="shared" ca="1" si="237"/>
        <v>#N/A</v>
      </c>
      <c r="AU300" s="663" t="e">
        <f t="shared" ca="1" si="238"/>
        <v>#N/A</v>
      </c>
      <c r="AV300" s="663" t="e">
        <f t="shared" ca="1" si="239"/>
        <v>#N/A</v>
      </c>
      <c r="AW300" s="663" t="e">
        <f t="shared" ca="1" si="208"/>
        <v>#N/A</v>
      </c>
      <c r="AX300" s="663" t="e">
        <f t="shared" ca="1" si="209"/>
        <v>#N/A</v>
      </c>
      <c r="AY300" s="663" t="e">
        <f t="shared" ca="1" si="210"/>
        <v>#N/A</v>
      </c>
      <c r="AZ300" s="663" t="e">
        <f t="shared" ca="1" si="211"/>
        <v>#N/A</v>
      </c>
      <c r="BA300" s="663" t="e">
        <f t="shared" ca="1" si="212"/>
        <v>#N/A</v>
      </c>
      <c r="BB300" s="663" t="e">
        <f t="shared" ca="1" si="213"/>
        <v>#N/A</v>
      </c>
      <c r="BC300" s="663" t="e">
        <f t="shared" ca="1" si="214"/>
        <v>#N/A</v>
      </c>
      <c r="BD300" s="663" t="e">
        <f t="shared" ca="1" si="215"/>
        <v>#N/A</v>
      </c>
      <c r="BE300" s="663" t="e">
        <f t="shared" ca="1" si="216"/>
        <v>#N/A</v>
      </c>
      <c r="BF300" s="663" t="e">
        <f t="shared" ca="1" si="217"/>
        <v>#N/A</v>
      </c>
      <c r="BG300" s="663" t="e">
        <f t="shared" ca="1" si="218"/>
        <v>#N/A</v>
      </c>
      <c r="BH300" s="663" t="e">
        <f t="shared" ca="1" si="219"/>
        <v>#N/A</v>
      </c>
      <c r="BI300" s="663" t="e">
        <f t="shared" ca="1" si="220"/>
        <v>#N/A</v>
      </c>
      <c r="BJ300" s="663" t="e">
        <f t="shared" ca="1" si="221"/>
        <v>#N/A</v>
      </c>
      <c r="BK300" s="663" t="e">
        <f t="shared" ca="1" si="222"/>
        <v>#N/A</v>
      </c>
      <c r="BL300" s="1918"/>
      <c r="BM300" s="1532"/>
      <c r="BN300" s="1919"/>
      <c r="BO300" s="603"/>
      <c r="BP300" s="602"/>
      <c r="BQ300" s="602"/>
      <c r="BR300" s="602"/>
      <c r="BS300" s="604"/>
      <c r="BT300" s="605"/>
      <c r="BU300" s="602"/>
      <c r="BV300" s="602"/>
      <c r="BW300" s="606"/>
      <c r="BX300" s="607"/>
      <c r="BY300" s="608"/>
      <c r="BZ300" s="608"/>
      <c r="CA300" s="608"/>
      <c r="CB300" s="600"/>
    </row>
    <row r="301" spans="2:80" ht="12" customHeight="1" x14ac:dyDescent="0.35">
      <c r="B301" s="590" t="e">
        <f>MATCH(C301,'360SpcLdsCSV'!$C$6:$C$500,0)</f>
        <v>#N/A</v>
      </c>
      <c r="C301" s="590">
        <f>'360SpcLdsCSV'!C250</f>
        <v>0</v>
      </c>
      <c r="D301" s="590" t="str">
        <f t="shared" si="226"/>
        <v>0</v>
      </c>
      <c r="E301" s="590" t="e">
        <f t="shared" si="227"/>
        <v>#VALUE!</v>
      </c>
      <c r="F301" s="590" t="e">
        <f t="shared" si="228"/>
        <v>#VALUE!</v>
      </c>
      <c r="G301" s="590" t="str">
        <f t="shared" si="229"/>
        <v>0</v>
      </c>
      <c r="H301" s="590" t="e">
        <f ca="1">OFFSET('360SpcLdsCSV'!$B$5,$B301,H$51)</f>
        <v>#N/A</v>
      </c>
      <c r="I301" s="590" t="e">
        <f ca="1">OFFSET('360SpcLdsCSV'!$B$5,$B301,I$51)</f>
        <v>#N/A</v>
      </c>
      <c r="J301" s="590" t="e">
        <f ca="1">OFFSET('360SpcLdsCSV'!$B$5,$B301,J$51)</f>
        <v>#N/A</v>
      </c>
      <c r="K301" s="590" t="e">
        <f ca="1">OFFSET('360SpcLdsCSV'!$B$5,$B301,K$51)</f>
        <v>#N/A</v>
      </c>
      <c r="L301" s="590" t="e">
        <f ca="1">OFFSET('360SpcLdsCSV'!$B$5,$B301,L$51)</f>
        <v>#N/A</v>
      </c>
      <c r="M301" s="592" t="e">
        <f ca="1">OFFSET('360SpcLdsCSV'!$B$5,$B301,M$51)</f>
        <v>#N/A</v>
      </c>
      <c r="N301" s="592" t="e">
        <f ca="1">OFFSET('360SpcLdsCSV'!$B$5,$B301,N$51)</f>
        <v>#N/A</v>
      </c>
      <c r="O301" s="592" t="e">
        <f ca="1">OFFSET('360SpcLdsCSV'!$B$5,$B301,O$51)</f>
        <v>#N/A</v>
      </c>
      <c r="P301" s="592" t="e">
        <f ca="1">OFFSET('360SpcLdsCSV'!$B$5,$B301,P$51)</f>
        <v>#N/A</v>
      </c>
      <c r="Q301" s="592" t="e">
        <f ca="1">OFFSET('360SpcLdsCSV'!$B$5,$B301,Q$51)</f>
        <v>#N/A</v>
      </c>
      <c r="R301" s="592" t="e">
        <f ca="1">OFFSET('360SpcLdsCSV'!$B$5,$B301,R$51)</f>
        <v>#N/A</v>
      </c>
      <c r="S301" s="592" t="e">
        <f ca="1">OFFSET('360SpcLdsCSV'!$B$5,$B301,S$51)</f>
        <v>#N/A</v>
      </c>
      <c r="T301" s="592" t="e">
        <f ca="1">OFFSET('360SpcLdsCSV'!$B$5,$B301,T$51)</f>
        <v>#N/A</v>
      </c>
      <c r="U301" s="592" t="e">
        <f ca="1">OFFSET('360SpcLdsCSV'!$B$5,$B301,U$51)</f>
        <v>#N/A</v>
      </c>
      <c r="V301" s="592" t="e">
        <f ca="1">OFFSET('360SpcLdsCSV'!$B$5,$B301,V$51)</f>
        <v>#N/A</v>
      </c>
      <c r="W301" s="592" t="e">
        <f ca="1">OFFSET('360SpcLdsCSV'!$B$5,$B301,W$51)</f>
        <v>#N/A</v>
      </c>
      <c r="X301" s="592" t="e">
        <f ca="1">OFFSET('360SpcLdsCSV'!$B$5,$B301,X$51)</f>
        <v>#N/A</v>
      </c>
      <c r="Y301" s="592" t="e">
        <f ca="1">OFFSET('360SpcLdsCSV'!$B$5,$B301,Y$51)</f>
        <v>#N/A</v>
      </c>
      <c r="Z301" s="592" t="e">
        <f ca="1">OFFSET('360SpcLdsCSV'!$B$5,$B301,Z$51)</f>
        <v>#N/A</v>
      </c>
      <c r="AA301" s="592" t="e">
        <f ca="1">OFFSET('360SpcLdsCSV'!$B$5,$B301,AA$51)</f>
        <v>#N/A</v>
      </c>
      <c r="AB301" s="592" t="e">
        <f ca="1">OFFSET('360SpcLdsCSV'!$B$5,$B301,AB$51)</f>
        <v>#N/A</v>
      </c>
      <c r="AC301" s="592" t="e">
        <f ca="1">OFFSET('360SpcLdsCSV'!$B$5,$B301,AC$51)</f>
        <v>#N/A</v>
      </c>
      <c r="AD301" s="592" t="e">
        <f ca="1">OFFSET('360SpcLdsCSV'!$B$5,$B301,AD$51)</f>
        <v>#N/A</v>
      </c>
      <c r="AE301" s="592" t="e">
        <f ca="1">OFFSET('360SpcLdsCSV'!$B$5,$B301,AE$51)</f>
        <v>#N/A</v>
      </c>
      <c r="AF301" s="592" t="e">
        <f ca="1">OFFSET('360SpcLdsCSV'!$B$5,$B301,AF$51)</f>
        <v>#N/A</v>
      </c>
      <c r="AG301" s="592" t="e">
        <f ca="1">OFFSET('360SpcLdsCSV'!$B$5,$B301,AG$51)</f>
        <v>#N/A</v>
      </c>
      <c r="AH301" s="592" t="e">
        <f ca="1">OFFSET('360SpcLdsCSV'!$B$5,$B301,AH$51)</f>
        <v>#N/A</v>
      </c>
      <c r="AI301" s="592" t="e">
        <f ca="1">OFFSET('360SpcLdsCSV'!$B$5,$B301,AI$51)</f>
        <v>#N/A</v>
      </c>
      <c r="AJ301" s="592" t="e" cm="1">
        <f t="array" ref="AJ301">_xlfn.IFS($F301="Resi",1,$F301="Racc",0,$F301="Coml",0,$F301="Prkg",0)</f>
        <v>#VALUE!</v>
      </c>
      <c r="AK301" s="596"/>
      <c r="AL301" s="590" t="e">
        <f ca="1">OFFSET('360SpcLdsCSV'!$B$5,$B301,AL$51)</f>
        <v>#N/A</v>
      </c>
      <c r="AM301" s="663" t="e">
        <f t="shared" ca="1" si="230"/>
        <v>#N/A</v>
      </c>
      <c r="AN301" s="663" t="e">
        <f t="shared" ca="1" si="231"/>
        <v>#N/A</v>
      </c>
      <c r="AO301" s="663" t="e">
        <f t="shared" ca="1" si="232"/>
        <v>#N/A</v>
      </c>
      <c r="AP301" s="663" t="e">
        <f t="shared" ca="1" si="233"/>
        <v>#N/A</v>
      </c>
      <c r="AQ301" s="663" t="e">
        <f t="shared" ca="1" si="234"/>
        <v>#N/A</v>
      </c>
      <c r="AR301" s="663" t="e">
        <f t="shared" ca="1" si="235"/>
        <v>#N/A</v>
      </c>
      <c r="AS301" s="663" t="e">
        <f t="shared" ca="1" si="236"/>
        <v>#N/A</v>
      </c>
      <c r="AT301" s="663" t="e">
        <f t="shared" ca="1" si="237"/>
        <v>#N/A</v>
      </c>
      <c r="AU301" s="663" t="e">
        <f t="shared" ca="1" si="238"/>
        <v>#N/A</v>
      </c>
      <c r="AV301" s="663" t="e">
        <f t="shared" ca="1" si="239"/>
        <v>#N/A</v>
      </c>
      <c r="AW301" s="663" t="e">
        <f t="shared" ca="1" si="208"/>
        <v>#N/A</v>
      </c>
      <c r="AX301" s="663" t="e">
        <f t="shared" ca="1" si="209"/>
        <v>#N/A</v>
      </c>
      <c r="AY301" s="663" t="e">
        <f t="shared" ca="1" si="210"/>
        <v>#N/A</v>
      </c>
      <c r="AZ301" s="663" t="e">
        <f t="shared" ca="1" si="211"/>
        <v>#N/A</v>
      </c>
      <c r="BA301" s="663" t="e">
        <f t="shared" ca="1" si="212"/>
        <v>#N/A</v>
      </c>
      <c r="BB301" s="663" t="e">
        <f t="shared" ca="1" si="213"/>
        <v>#N/A</v>
      </c>
      <c r="BC301" s="663" t="e">
        <f t="shared" ca="1" si="214"/>
        <v>#N/A</v>
      </c>
      <c r="BD301" s="663" t="e">
        <f t="shared" ca="1" si="215"/>
        <v>#N/A</v>
      </c>
      <c r="BE301" s="663" t="e">
        <f t="shared" ca="1" si="216"/>
        <v>#N/A</v>
      </c>
      <c r="BF301" s="663" t="e">
        <f t="shared" ca="1" si="217"/>
        <v>#N/A</v>
      </c>
      <c r="BG301" s="663" t="e">
        <f t="shared" ca="1" si="218"/>
        <v>#N/A</v>
      </c>
      <c r="BH301" s="663" t="e">
        <f t="shared" ca="1" si="219"/>
        <v>#N/A</v>
      </c>
      <c r="BI301" s="663" t="e">
        <f t="shared" ca="1" si="220"/>
        <v>#N/A</v>
      </c>
      <c r="BJ301" s="663" t="e">
        <f t="shared" ca="1" si="221"/>
        <v>#N/A</v>
      </c>
      <c r="BK301" s="663" t="e">
        <f t="shared" ca="1" si="222"/>
        <v>#N/A</v>
      </c>
      <c r="BL301" s="1918"/>
      <c r="BM301" s="1532"/>
      <c r="BN301" s="1919"/>
      <c r="BO301" s="603"/>
      <c r="BP301" s="602"/>
      <c r="BQ301" s="602"/>
      <c r="BR301" s="602"/>
      <c r="BS301" s="604"/>
      <c r="BT301" s="605"/>
      <c r="BU301" s="602"/>
      <c r="BV301" s="602"/>
      <c r="BW301" s="606"/>
      <c r="BX301" s="607"/>
      <c r="BY301" s="608"/>
      <c r="BZ301" s="608"/>
      <c r="CA301" s="608"/>
      <c r="CB301" s="600"/>
    </row>
    <row r="302" spans="2:80" ht="12" customHeight="1" x14ac:dyDescent="0.35">
      <c r="B302" s="590" t="e">
        <f>MATCH(C302,'360SpcLdsCSV'!$C$6:$C$500,0)</f>
        <v>#N/A</v>
      </c>
      <c r="C302" s="590">
        <f>'360SpcLdsCSV'!C251</f>
        <v>0</v>
      </c>
      <c r="D302" s="590" t="str">
        <f t="shared" si="226"/>
        <v>0</v>
      </c>
      <c r="E302" s="590" t="e">
        <f t="shared" si="227"/>
        <v>#VALUE!</v>
      </c>
      <c r="F302" s="590" t="e">
        <f t="shared" si="228"/>
        <v>#VALUE!</v>
      </c>
      <c r="G302" s="590" t="str">
        <f t="shared" si="229"/>
        <v>0</v>
      </c>
      <c r="H302" s="590" t="e">
        <f ca="1">OFFSET('360SpcLdsCSV'!$B$5,$B302,H$51)</f>
        <v>#N/A</v>
      </c>
      <c r="I302" s="590" t="e">
        <f ca="1">OFFSET('360SpcLdsCSV'!$B$5,$B302,I$51)</f>
        <v>#N/A</v>
      </c>
      <c r="J302" s="590" t="e">
        <f ca="1">OFFSET('360SpcLdsCSV'!$B$5,$B302,J$51)</f>
        <v>#N/A</v>
      </c>
      <c r="K302" s="590" t="e">
        <f ca="1">OFFSET('360SpcLdsCSV'!$B$5,$B302,K$51)</f>
        <v>#N/A</v>
      </c>
      <c r="L302" s="590" t="e">
        <f ca="1">OFFSET('360SpcLdsCSV'!$B$5,$B302,L$51)</f>
        <v>#N/A</v>
      </c>
      <c r="M302" s="592" t="e">
        <f ca="1">OFFSET('360SpcLdsCSV'!$B$5,$B302,M$51)</f>
        <v>#N/A</v>
      </c>
      <c r="N302" s="592" t="e">
        <f ca="1">OFFSET('360SpcLdsCSV'!$B$5,$B302,N$51)</f>
        <v>#N/A</v>
      </c>
      <c r="O302" s="592" t="e">
        <f ca="1">OFFSET('360SpcLdsCSV'!$B$5,$B302,O$51)</f>
        <v>#N/A</v>
      </c>
      <c r="P302" s="592" t="e">
        <f ca="1">OFFSET('360SpcLdsCSV'!$B$5,$B302,P$51)</f>
        <v>#N/A</v>
      </c>
      <c r="Q302" s="592" t="e">
        <f ca="1">OFFSET('360SpcLdsCSV'!$B$5,$B302,Q$51)</f>
        <v>#N/A</v>
      </c>
      <c r="R302" s="592" t="e">
        <f ca="1">OFFSET('360SpcLdsCSV'!$B$5,$B302,R$51)</f>
        <v>#N/A</v>
      </c>
      <c r="S302" s="592" t="e">
        <f ca="1">OFFSET('360SpcLdsCSV'!$B$5,$B302,S$51)</f>
        <v>#N/A</v>
      </c>
      <c r="T302" s="592" t="e">
        <f ca="1">OFFSET('360SpcLdsCSV'!$B$5,$B302,T$51)</f>
        <v>#N/A</v>
      </c>
      <c r="U302" s="592" t="e">
        <f ca="1">OFFSET('360SpcLdsCSV'!$B$5,$B302,U$51)</f>
        <v>#N/A</v>
      </c>
      <c r="V302" s="592" t="e">
        <f ca="1">OFFSET('360SpcLdsCSV'!$B$5,$B302,V$51)</f>
        <v>#N/A</v>
      </c>
      <c r="W302" s="592" t="e">
        <f ca="1">OFFSET('360SpcLdsCSV'!$B$5,$B302,W$51)</f>
        <v>#N/A</v>
      </c>
      <c r="X302" s="592" t="e">
        <f ca="1">OFFSET('360SpcLdsCSV'!$B$5,$B302,X$51)</f>
        <v>#N/A</v>
      </c>
      <c r="Y302" s="592" t="e">
        <f ca="1">OFFSET('360SpcLdsCSV'!$B$5,$B302,Y$51)</f>
        <v>#N/A</v>
      </c>
      <c r="Z302" s="592" t="e">
        <f ca="1">OFFSET('360SpcLdsCSV'!$B$5,$B302,Z$51)</f>
        <v>#N/A</v>
      </c>
      <c r="AA302" s="592" t="e">
        <f ca="1">OFFSET('360SpcLdsCSV'!$B$5,$B302,AA$51)</f>
        <v>#N/A</v>
      </c>
      <c r="AB302" s="592" t="e">
        <f ca="1">OFFSET('360SpcLdsCSV'!$B$5,$B302,AB$51)</f>
        <v>#N/A</v>
      </c>
      <c r="AC302" s="592" t="e">
        <f ca="1">OFFSET('360SpcLdsCSV'!$B$5,$B302,AC$51)</f>
        <v>#N/A</v>
      </c>
      <c r="AD302" s="592" t="e">
        <f ca="1">OFFSET('360SpcLdsCSV'!$B$5,$B302,AD$51)</f>
        <v>#N/A</v>
      </c>
      <c r="AE302" s="592" t="e">
        <f ca="1">OFFSET('360SpcLdsCSV'!$B$5,$B302,AE$51)</f>
        <v>#N/A</v>
      </c>
      <c r="AF302" s="592" t="e">
        <f ca="1">OFFSET('360SpcLdsCSV'!$B$5,$B302,AF$51)</f>
        <v>#N/A</v>
      </c>
      <c r="AG302" s="592" t="e">
        <f ca="1">OFFSET('360SpcLdsCSV'!$B$5,$B302,AG$51)</f>
        <v>#N/A</v>
      </c>
      <c r="AH302" s="592" t="e">
        <f ca="1">OFFSET('360SpcLdsCSV'!$B$5,$B302,AH$51)</f>
        <v>#N/A</v>
      </c>
      <c r="AI302" s="592" t="e">
        <f ca="1">OFFSET('360SpcLdsCSV'!$B$5,$B302,AI$51)</f>
        <v>#N/A</v>
      </c>
      <c r="AJ302" s="592" t="e" cm="1">
        <f t="array" ref="AJ302">_xlfn.IFS($F302="Resi",1,$F302="Racc",0,$F302="Coml",0,$F302="Prkg",0)</f>
        <v>#VALUE!</v>
      </c>
      <c r="AK302" s="596"/>
      <c r="AL302" s="590" t="e">
        <f ca="1">OFFSET('360SpcLdsCSV'!$B$5,$B302,AL$51)</f>
        <v>#N/A</v>
      </c>
      <c r="AM302" s="663" t="e">
        <f t="shared" ca="1" si="230"/>
        <v>#N/A</v>
      </c>
      <c r="AN302" s="663" t="e">
        <f t="shared" ca="1" si="231"/>
        <v>#N/A</v>
      </c>
      <c r="AO302" s="663" t="e">
        <f t="shared" ca="1" si="232"/>
        <v>#N/A</v>
      </c>
      <c r="AP302" s="663" t="e">
        <f t="shared" ca="1" si="233"/>
        <v>#N/A</v>
      </c>
      <c r="AQ302" s="663" t="e">
        <f t="shared" ca="1" si="234"/>
        <v>#N/A</v>
      </c>
      <c r="AR302" s="663" t="e">
        <f t="shared" ca="1" si="235"/>
        <v>#N/A</v>
      </c>
      <c r="AS302" s="663" t="e">
        <f t="shared" ca="1" si="236"/>
        <v>#N/A</v>
      </c>
      <c r="AT302" s="663" t="e">
        <f t="shared" ca="1" si="237"/>
        <v>#N/A</v>
      </c>
      <c r="AU302" s="663" t="e">
        <f t="shared" ca="1" si="238"/>
        <v>#N/A</v>
      </c>
      <c r="AV302" s="663" t="e">
        <f t="shared" ca="1" si="239"/>
        <v>#N/A</v>
      </c>
      <c r="AW302" s="663" t="e">
        <f t="shared" ca="1" si="208"/>
        <v>#N/A</v>
      </c>
      <c r="AX302" s="663" t="e">
        <f t="shared" ca="1" si="209"/>
        <v>#N/A</v>
      </c>
      <c r="AY302" s="663" t="e">
        <f t="shared" ca="1" si="210"/>
        <v>#N/A</v>
      </c>
      <c r="AZ302" s="663" t="e">
        <f t="shared" ca="1" si="211"/>
        <v>#N/A</v>
      </c>
      <c r="BA302" s="663" t="e">
        <f t="shared" ca="1" si="212"/>
        <v>#N/A</v>
      </c>
      <c r="BB302" s="663" t="e">
        <f t="shared" ca="1" si="213"/>
        <v>#N/A</v>
      </c>
      <c r="BC302" s="663" t="e">
        <f t="shared" ca="1" si="214"/>
        <v>#N/A</v>
      </c>
      <c r="BD302" s="663" t="e">
        <f t="shared" ca="1" si="215"/>
        <v>#N/A</v>
      </c>
      <c r="BE302" s="663" t="e">
        <f t="shared" ca="1" si="216"/>
        <v>#N/A</v>
      </c>
      <c r="BF302" s="663" t="e">
        <f t="shared" ca="1" si="217"/>
        <v>#N/A</v>
      </c>
      <c r="BG302" s="663" t="e">
        <f t="shared" ca="1" si="218"/>
        <v>#N/A</v>
      </c>
      <c r="BH302" s="663" t="e">
        <f t="shared" ca="1" si="219"/>
        <v>#N/A</v>
      </c>
      <c r="BI302" s="663" t="e">
        <f t="shared" ca="1" si="220"/>
        <v>#N/A</v>
      </c>
      <c r="BJ302" s="663" t="e">
        <f t="shared" ca="1" si="221"/>
        <v>#N/A</v>
      </c>
      <c r="BK302" s="663" t="e">
        <f t="shared" ca="1" si="222"/>
        <v>#N/A</v>
      </c>
      <c r="BL302" s="1918"/>
      <c r="BM302" s="1532"/>
      <c r="BN302" s="1919"/>
      <c r="BO302" s="603"/>
      <c r="BP302" s="602"/>
      <c r="BQ302" s="602"/>
      <c r="BR302" s="602"/>
      <c r="BS302" s="604"/>
      <c r="BT302" s="605"/>
      <c r="BU302" s="602"/>
      <c r="BV302" s="602"/>
      <c r="BW302" s="606"/>
      <c r="BX302" s="607"/>
      <c r="BY302" s="608"/>
      <c r="BZ302" s="608"/>
      <c r="CA302" s="608"/>
      <c r="CB302" s="600"/>
    </row>
    <row r="303" spans="2:80" ht="12" customHeight="1" x14ac:dyDescent="0.35">
      <c r="B303" s="590" t="e">
        <f>MATCH(C303,'360SpcLdsCSV'!$C$6:$C$500,0)</f>
        <v>#N/A</v>
      </c>
      <c r="C303" s="590">
        <f>'360SpcLdsCSV'!C252</f>
        <v>0</v>
      </c>
      <c r="D303" s="590" t="str">
        <f t="shared" si="226"/>
        <v>0</v>
      </c>
      <c r="E303" s="590" t="e">
        <f t="shared" si="227"/>
        <v>#VALUE!</v>
      </c>
      <c r="F303" s="590" t="e">
        <f t="shared" si="228"/>
        <v>#VALUE!</v>
      </c>
      <c r="G303" s="590" t="str">
        <f t="shared" si="229"/>
        <v>0</v>
      </c>
      <c r="H303" s="590" t="e">
        <f ca="1">OFFSET('360SpcLdsCSV'!$B$5,$B303,H$51)</f>
        <v>#N/A</v>
      </c>
      <c r="I303" s="590" t="e">
        <f ca="1">OFFSET('360SpcLdsCSV'!$B$5,$B303,I$51)</f>
        <v>#N/A</v>
      </c>
      <c r="J303" s="590" t="e">
        <f ca="1">OFFSET('360SpcLdsCSV'!$B$5,$B303,J$51)</f>
        <v>#N/A</v>
      </c>
      <c r="K303" s="590" t="e">
        <f ca="1">OFFSET('360SpcLdsCSV'!$B$5,$B303,K$51)</f>
        <v>#N/A</v>
      </c>
      <c r="L303" s="590" t="e">
        <f ca="1">OFFSET('360SpcLdsCSV'!$B$5,$B303,L$51)</f>
        <v>#N/A</v>
      </c>
      <c r="M303" s="592" t="e">
        <f ca="1">OFFSET('360SpcLdsCSV'!$B$5,$B303,M$51)</f>
        <v>#N/A</v>
      </c>
      <c r="N303" s="592" t="e">
        <f ca="1">OFFSET('360SpcLdsCSV'!$B$5,$B303,N$51)</f>
        <v>#N/A</v>
      </c>
      <c r="O303" s="592" t="e">
        <f ca="1">OFFSET('360SpcLdsCSV'!$B$5,$B303,O$51)</f>
        <v>#N/A</v>
      </c>
      <c r="P303" s="592" t="e">
        <f ca="1">OFFSET('360SpcLdsCSV'!$B$5,$B303,P$51)</f>
        <v>#N/A</v>
      </c>
      <c r="Q303" s="592" t="e">
        <f ca="1">OFFSET('360SpcLdsCSV'!$B$5,$B303,Q$51)</f>
        <v>#N/A</v>
      </c>
      <c r="R303" s="592" t="e">
        <f ca="1">OFFSET('360SpcLdsCSV'!$B$5,$B303,R$51)</f>
        <v>#N/A</v>
      </c>
      <c r="S303" s="592" t="e">
        <f ca="1">OFFSET('360SpcLdsCSV'!$B$5,$B303,S$51)</f>
        <v>#N/A</v>
      </c>
      <c r="T303" s="592" t="e">
        <f ca="1">OFFSET('360SpcLdsCSV'!$B$5,$B303,T$51)</f>
        <v>#N/A</v>
      </c>
      <c r="U303" s="592" t="e">
        <f ca="1">OFFSET('360SpcLdsCSV'!$B$5,$B303,U$51)</f>
        <v>#N/A</v>
      </c>
      <c r="V303" s="592" t="e">
        <f ca="1">OFFSET('360SpcLdsCSV'!$B$5,$B303,V$51)</f>
        <v>#N/A</v>
      </c>
      <c r="W303" s="592" t="e">
        <f ca="1">OFFSET('360SpcLdsCSV'!$B$5,$B303,W$51)</f>
        <v>#N/A</v>
      </c>
      <c r="X303" s="592" t="e">
        <f ca="1">OFFSET('360SpcLdsCSV'!$B$5,$B303,X$51)</f>
        <v>#N/A</v>
      </c>
      <c r="Y303" s="592" t="e">
        <f ca="1">OFFSET('360SpcLdsCSV'!$B$5,$B303,Y$51)</f>
        <v>#N/A</v>
      </c>
      <c r="Z303" s="592" t="e">
        <f ca="1">OFFSET('360SpcLdsCSV'!$B$5,$B303,Z$51)</f>
        <v>#N/A</v>
      </c>
      <c r="AA303" s="592" t="e">
        <f ca="1">OFFSET('360SpcLdsCSV'!$B$5,$B303,AA$51)</f>
        <v>#N/A</v>
      </c>
      <c r="AB303" s="592" t="e">
        <f ca="1">OFFSET('360SpcLdsCSV'!$B$5,$B303,AB$51)</f>
        <v>#N/A</v>
      </c>
      <c r="AC303" s="592" t="e">
        <f ca="1">OFFSET('360SpcLdsCSV'!$B$5,$B303,AC$51)</f>
        <v>#N/A</v>
      </c>
      <c r="AD303" s="592" t="e">
        <f ca="1">OFFSET('360SpcLdsCSV'!$B$5,$B303,AD$51)</f>
        <v>#N/A</v>
      </c>
      <c r="AE303" s="592" t="e">
        <f ca="1">OFFSET('360SpcLdsCSV'!$B$5,$B303,AE$51)</f>
        <v>#N/A</v>
      </c>
      <c r="AF303" s="592" t="e">
        <f ca="1">OFFSET('360SpcLdsCSV'!$B$5,$B303,AF$51)</f>
        <v>#N/A</v>
      </c>
      <c r="AG303" s="592" t="e">
        <f ca="1">OFFSET('360SpcLdsCSV'!$B$5,$B303,AG$51)</f>
        <v>#N/A</v>
      </c>
      <c r="AH303" s="592" t="e">
        <f ca="1">OFFSET('360SpcLdsCSV'!$B$5,$B303,AH$51)</f>
        <v>#N/A</v>
      </c>
      <c r="AI303" s="592" t="e">
        <f ca="1">OFFSET('360SpcLdsCSV'!$B$5,$B303,AI$51)</f>
        <v>#N/A</v>
      </c>
      <c r="AJ303" s="592" t="e" cm="1">
        <f t="array" ref="AJ303">_xlfn.IFS($F303="Resi",1,$F303="Racc",0,$F303="Coml",0,$F303="Prkg",0)</f>
        <v>#VALUE!</v>
      </c>
      <c r="AK303" s="596"/>
      <c r="AL303" s="590" t="e">
        <f ca="1">OFFSET('360SpcLdsCSV'!$B$5,$B303,AL$51)</f>
        <v>#N/A</v>
      </c>
      <c r="AM303" s="663" t="e">
        <f t="shared" ca="1" si="230"/>
        <v>#N/A</v>
      </c>
      <c r="AN303" s="663" t="e">
        <f t="shared" ca="1" si="231"/>
        <v>#N/A</v>
      </c>
      <c r="AO303" s="663" t="e">
        <f t="shared" ca="1" si="232"/>
        <v>#N/A</v>
      </c>
      <c r="AP303" s="663" t="e">
        <f t="shared" ca="1" si="233"/>
        <v>#N/A</v>
      </c>
      <c r="AQ303" s="663" t="e">
        <f t="shared" ca="1" si="234"/>
        <v>#N/A</v>
      </c>
      <c r="AR303" s="663" t="e">
        <f t="shared" ca="1" si="235"/>
        <v>#N/A</v>
      </c>
      <c r="AS303" s="663" t="e">
        <f t="shared" ca="1" si="236"/>
        <v>#N/A</v>
      </c>
      <c r="AT303" s="663" t="e">
        <f t="shared" ca="1" si="237"/>
        <v>#N/A</v>
      </c>
      <c r="AU303" s="663" t="e">
        <f t="shared" ca="1" si="238"/>
        <v>#N/A</v>
      </c>
      <c r="AV303" s="663" t="e">
        <f t="shared" ca="1" si="239"/>
        <v>#N/A</v>
      </c>
      <c r="AW303" s="663" t="e">
        <f t="shared" ca="1" si="208"/>
        <v>#N/A</v>
      </c>
      <c r="AX303" s="663" t="e">
        <f t="shared" ca="1" si="209"/>
        <v>#N/A</v>
      </c>
      <c r="AY303" s="663" t="e">
        <f t="shared" ca="1" si="210"/>
        <v>#N/A</v>
      </c>
      <c r="AZ303" s="663" t="e">
        <f t="shared" ca="1" si="211"/>
        <v>#N/A</v>
      </c>
      <c r="BA303" s="663" t="e">
        <f t="shared" ca="1" si="212"/>
        <v>#N/A</v>
      </c>
      <c r="BB303" s="663" t="e">
        <f t="shared" ca="1" si="213"/>
        <v>#N/A</v>
      </c>
      <c r="BC303" s="663" t="e">
        <f t="shared" ca="1" si="214"/>
        <v>#N/A</v>
      </c>
      <c r="BD303" s="663" t="e">
        <f t="shared" ca="1" si="215"/>
        <v>#N/A</v>
      </c>
      <c r="BE303" s="663" t="e">
        <f t="shared" ca="1" si="216"/>
        <v>#N/A</v>
      </c>
      <c r="BF303" s="663" t="e">
        <f t="shared" ca="1" si="217"/>
        <v>#N/A</v>
      </c>
      <c r="BG303" s="663" t="e">
        <f t="shared" ca="1" si="218"/>
        <v>#N/A</v>
      </c>
      <c r="BH303" s="663" t="e">
        <f t="shared" ca="1" si="219"/>
        <v>#N/A</v>
      </c>
      <c r="BI303" s="663" t="e">
        <f t="shared" ca="1" si="220"/>
        <v>#N/A</v>
      </c>
      <c r="BJ303" s="663" t="e">
        <f t="shared" ca="1" si="221"/>
        <v>#N/A</v>
      </c>
      <c r="BK303" s="663" t="e">
        <f t="shared" ca="1" si="222"/>
        <v>#N/A</v>
      </c>
      <c r="BL303" s="1918"/>
      <c r="BM303" s="1532"/>
      <c r="BN303" s="1919"/>
      <c r="BO303" s="603"/>
      <c r="BP303" s="602"/>
      <c r="BQ303" s="602"/>
      <c r="BR303" s="602"/>
      <c r="BS303" s="604"/>
      <c r="BT303" s="605"/>
      <c r="BU303" s="602"/>
      <c r="BV303" s="602"/>
      <c r="BW303" s="606"/>
      <c r="BX303" s="607"/>
      <c r="BY303" s="608"/>
      <c r="BZ303" s="608"/>
      <c r="CA303" s="608"/>
      <c r="CB303" s="600"/>
    </row>
    <row r="304" spans="2:80" ht="12" customHeight="1" x14ac:dyDescent="0.35">
      <c r="B304" s="590" t="e">
        <f>MATCH(C304,'360SpcLdsCSV'!$C$6:$C$500,0)</f>
        <v>#N/A</v>
      </c>
      <c r="C304" s="590">
        <f>'360SpcLdsCSV'!C253</f>
        <v>0</v>
      </c>
      <c r="D304" s="590" t="str">
        <f t="shared" si="226"/>
        <v>0</v>
      </c>
      <c r="E304" s="590" t="e">
        <f t="shared" si="227"/>
        <v>#VALUE!</v>
      </c>
      <c r="F304" s="590" t="e">
        <f t="shared" si="228"/>
        <v>#VALUE!</v>
      </c>
      <c r="G304" s="590" t="str">
        <f t="shared" si="229"/>
        <v>0</v>
      </c>
      <c r="H304" s="590" t="e">
        <f ca="1">OFFSET('360SpcLdsCSV'!$B$5,$B304,H$51)</f>
        <v>#N/A</v>
      </c>
      <c r="I304" s="590" t="e">
        <f ca="1">OFFSET('360SpcLdsCSV'!$B$5,$B304,I$51)</f>
        <v>#N/A</v>
      </c>
      <c r="J304" s="590" t="e">
        <f ca="1">OFFSET('360SpcLdsCSV'!$B$5,$B304,J$51)</f>
        <v>#N/A</v>
      </c>
      <c r="K304" s="590" t="e">
        <f ca="1">OFFSET('360SpcLdsCSV'!$B$5,$B304,K$51)</f>
        <v>#N/A</v>
      </c>
      <c r="L304" s="590" t="e">
        <f ca="1">OFFSET('360SpcLdsCSV'!$B$5,$B304,L$51)</f>
        <v>#N/A</v>
      </c>
      <c r="M304" s="592" t="e">
        <f ca="1">OFFSET('360SpcLdsCSV'!$B$5,$B304,M$51)</f>
        <v>#N/A</v>
      </c>
      <c r="N304" s="592" t="e">
        <f ca="1">OFFSET('360SpcLdsCSV'!$B$5,$B304,N$51)</f>
        <v>#N/A</v>
      </c>
      <c r="O304" s="592" t="e">
        <f ca="1">OFFSET('360SpcLdsCSV'!$B$5,$B304,O$51)</f>
        <v>#N/A</v>
      </c>
      <c r="P304" s="592" t="e">
        <f ca="1">OFFSET('360SpcLdsCSV'!$B$5,$B304,P$51)</f>
        <v>#N/A</v>
      </c>
      <c r="Q304" s="592" t="e">
        <f ca="1">OFFSET('360SpcLdsCSV'!$B$5,$B304,Q$51)</f>
        <v>#N/A</v>
      </c>
      <c r="R304" s="592" t="e">
        <f ca="1">OFFSET('360SpcLdsCSV'!$B$5,$B304,R$51)</f>
        <v>#N/A</v>
      </c>
      <c r="S304" s="592" t="e">
        <f ca="1">OFFSET('360SpcLdsCSV'!$B$5,$B304,S$51)</f>
        <v>#N/A</v>
      </c>
      <c r="T304" s="592" t="e">
        <f ca="1">OFFSET('360SpcLdsCSV'!$B$5,$B304,T$51)</f>
        <v>#N/A</v>
      </c>
      <c r="U304" s="592" t="e">
        <f ca="1">OFFSET('360SpcLdsCSV'!$B$5,$B304,U$51)</f>
        <v>#N/A</v>
      </c>
      <c r="V304" s="592" t="e">
        <f ca="1">OFFSET('360SpcLdsCSV'!$B$5,$B304,V$51)</f>
        <v>#N/A</v>
      </c>
      <c r="W304" s="592" t="e">
        <f ca="1">OFFSET('360SpcLdsCSV'!$B$5,$B304,W$51)</f>
        <v>#N/A</v>
      </c>
      <c r="X304" s="592" t="e">
        <f ca="1">OFFSET('360SpcLdsCSV'!$B$5,$B304,X$51)</f>
        <v>#N/A</v>
      </c>
      <c r="Y304" s="592" t="e">
        <f ca="1">OFFSET('360SpcLdsCSV'!$B$5,$B304,Y$51)</f>
        <v>#N/A</v>
      </c>
      <c r="Z304" s="592" t="e">
        <f ca="1">OFFSET('360SpcLdsCSV'!$B$5,$B304,Z$51)</f>
        <v>#N/A</v>
      </c>
      <c r="AA304" s="592" t="e">
        <f ca="1">OFFSET('360SpcLdsCSV'!$B$5,$B304,AA$51)</f>
        <v>#N/A</v>
      </c>
      <c r="AB304" s="592" t="e">
        <f ca="1">OFFSET('360SpcLdsCSV'!$B$5,$B304,AB$51)</f>
        <v>#N/A</v>
      </c>
      <c r="AC304" s="592" t="e">
        <f ca="1">OFFSET('360SpcLdsCSV'!$B$5,$B304,AC$51)</f>
        <v>#N/A</v>
      </c>
      <c r="AD304" s="592" t="e">
        <f ca="1">OFFSET('360SpcLdsCSV'!$B$5,$B304,AD$51)</f>
        <v>#N/A</v>
      </c>
      <c r="AE304" s="592" t="e">
        <f ca="1">OFFSET('360SpcLdsCSV'!$B$5,$B304,AE$51)</f>
        <v>#N/A</v>
      </c>
      <c r="AF304" s="592" t="e">
        <f ca="1">OFFSET('360SpcLdsCSV'!$B$5,$B304,AF$51)</f>
        <v>#N/A</v>
      </c>
      <c r="AG304" s="592" t="e">
        <f ca="1">OFFSET('360SpcLdsCSV'!$B$5,$B304,AG$51)</f>
        <v>#N/A</v>
      </c>
      <c r="AH304" s="592" t="e">
        <f ca="1">OFFSET('360SpcLdsCSV'!$B$5,$B304,AH$51)</f>
        <v>#N/A</v>
      </c>
      <c r="AI304" s="592" t="e">
        <f ca="1">OFFSET('360SpcLdsCSV'!$B$5,$B304,AI$51)</f>
        <v>#N/A</v>
      </c>
      <c r="AJ304" s="592" t="e" cm="1">
        <f t="array" ref="AJ304">_xlfn.IFS($F304="Resi",1,$F304="Racc",0,$F304="Coml",0,$F304="Prkg",0)</f>
        <v>#VALUE!</v>
      </c>
      <c r="AK304" s="596"/>
      <c r="AL304" s="590" t="e">
        <f ca="1">OFFSET('360SpcLdsCSV'!$B$5,$B304,AL$51)</f>
        <v>#N/A</v>
      </c>
      <c r="AM304" s="663" t="e">
        <f t="shared" ca="1" si="230"/>
        <v>#N/A</v>
      </c>
      <c r="AN304" s="663" t="e">
        <f t="shared" ca="1" si="231"/>
        <v>#N/A</v>
      </c>
      <c r="AO304" s="663" t="e">
        <f t="shared" ca="1" si="232"/>
        <v>#N/A</v>
      </c>
      <c r="AP304" s="663" t="e">
        <f t="shared" ca="1" si="233"/>
        <v>#N/A</v>
      </c>
      <c r="AQ304" s="663" t="e">
        <f t="shared" ca="1" si="234"/>
        <v>#N/A</v>
      </c>
      <c r="AR304" s="663" t="e">
        <f t="shared" ca="1" si="235"/>
        <v>#N/A</v>
      </c>
      <c r="AS304" s="663" t="e">
        <f t="shared" ca="1" si="236"/>
        <v>#N/A</v>
      </c>
      <c r="AT304" s="663" t="e">
        <f t="shared" ca="1" si="237"/>
        <v>#N/A</v>
      </c>
      <c r="AU304" s="663" t="e">
        <f t="shared" ca="1" si="238"/>
        <v>#N/A</v>
      </c>
      <c r="AV304" s="663" t="e">
        <f t="shared" ca="1" si="239"/>
        <v>#N/A</v>
      </c>
      <c r="AW304" s="663" t="e">
        <f t="shared" ca="1" si="208"/>
        <v>#N/A</v>
      </c>
      <c r="AX304" s="663" t="e">
        <f t="shared" ca="1" si="209"/>
        <v>#N/A</v>
      </c>
      <c r="AY304" s="663" t="e">
        <f t="shared" ca="1" si="210"/>
        <v>#N/A</v>
      </c>
      <c r="AZ304" s="663" t="e">
        <f t="shared" ca="1" si="211"/>
        <v>#N/A</v>
      </c>
      <c r="BA304" s="663" t="e">
        <f t="shared" ca="1" si="212"/>
        <v>#N/A</v>
      </c>
      <c r="BB304" s="663" t="e">
        <f t="shared" ca="1" si="213"/>
        <v>#N/A</v>
      </c>
      <c r="BC304" s="663" t="e">
        <f t="shared" ca="1" si="214"/>
        <v>#N/A</v>
      </c>
      <c r="BD304" s="663" t="e">
        <f t="shared" ca="1" si="215"/>
        <v>#N/A</v>
      </c>
      <c r="BE304" s="663" t="e">
        <f t="shared" ca="1" si="216"/>
        <v>#N/A</v>
      </c>
      <c r="BF304" s="663" t="e">
        <f t="shared" ca="1" si="217"/>
        <v>#N/A</v>
      </c>
      <c r="BG304" s="663" t="e">
        <f t="shared" ca="1" si="218"/>
        <v>#N/A</v>
      </c>
      <c r="BH304" s="663" t="e">
        <f t="shared" ca="1" si="219"/>
        <v>#N/A</v>
      </c>
      <c r="BI304" s="663" t="e">
        <f t="shared" ca="1" si="220"/>
        <v>#N/A</v>
      </c>
      <c r="BJ304" s="663" t="e">
        <f t="shared" ca="1" si="221"/>
        <v>#N/A</v>
      </c>
      <c r="BK304" s="663" t="e">
        <f t="shared" ca="1" si="222"/>
        <v>#N/A</v>
      </c>
      <c r="BL304" s="1918"/>
      <c r="BM304" s="1532"/>
      <c r="BN304" s="1919"/>
      <c r="BO304" s="603"/>
      <c r="BP304" s="602"/>
      <c r="BQ304" s="602"/>
      <c r="BR304" s="602"/>
      <c r="BS304" s="604"/>
      <c r="BT304" s="605"/>
      <c r="BU304" s="602"/>
      <c r="BV304" s="602"/>
      <c r="BW304" s="606"/>
      <c r="BX304" s="607"/>
      <c r="BY304" s="608"/>
      <c r="BZ304" s="608"/>
      <c r="CA304" s="608"/>
      <c r="CB304" s="600"/>
    </row>
    <row r="305" spans="2:80" ht="12" customHeight="1" x14ac:dyDescent="0.35">
      <c r="B305" s="590" t="e">
        <f>MATCH(C305,'360SpcLdsCSV'!$C$6:$C$500,0)</f>
        <v>#N/A</v>
      </c>
      <c r="C305" s="590">
        <f>'360SpcLdsCSV'!C254</f>
        <v>0</v>
      </c>
      <c r="D305" s="590" t="str">
        <f t="shared" si="226"/>
        <v>0</v>
      </c>
      <c r="E305" s="590" t="e">
        <f t="shared" si="227"/>
        <v>#VALUE!</v>
      </c>
      <c r="F305" s="590" t="e">
        <f t="shared" si="228"/>
        <v>#VALUE!</v>
      </c>
      <c r="G305" s="590" t="str">
        <f t="shared" si="229"/>
        <v>0</v>
      </c>
      <c r="H305" s="590" t="e">
        <f ca="1">OFFSET('360SpcLdsCSV'!$B$5,$B305,H$51)</f>
        <v>#N/A</v>
      </c>
      <c r="I305" s="590" t="e">
        <f ca="1">OFFSET('360SpcLdsCSV'!$B$5,$B305,I$51)</f>
        <v>#N/A</v>
      </c>
      <c r="J305" s="590" t="e">
        <f ca="1">OFFSET('360SpcLdsCSV'!$B$5,$B305,J$51)</f>
        <v>#N/A</v>
      </c>
      <c r="K305" s="590" t="e">
        <f ca="1">OFFSET('360SpcLdsCSV'!$B$5,$B305,K$51)</f>
        <v>#N/A</v>
      </c>
      <c r="L305" s="590" t="e">
        <f ca="1">OFFSET('360SpcLdsCSV'!$B$5,$B305,L$51)</f>
        <v>#N/A</v>
      </c>
      <c r="M305" s="592" t="e">
        <f ca="1">OFFSET('360SpcLdsCSV'!$B$5,$B305,M$51)</f>
        <v>#N/A</v>
      </c>
      <c r="N305" s="592" t="e">
        <f ca="1">OFFSET('360SpcLdsCSV'!$B$5,$B305,N$51)</f>
        <v>#N/A</v>
      </c>
      <c r="O305" s="592" t="e">
        <f ca="1">OFFSET('360SpcLdsCSV'!$B$5,$B305,O$51)</f>
        <v>#N/A</v>
      </c>
      <c r="P305" s="592" t="e">
        <f ca="1">OFFSET('360SpcLdsCSV'!$B$5,$B305,P$51)</f>
        <v>#N/A</v>
      </c>
      <c r="Q305" s="592" t="e">
        <f ca="1">OFFSET('360SpcLdsCSV'!$B$5,$B305,Q$51)</f>
        <v>#N/A</v>
      </c>
      <c r="R305" s="592" t="e">
        <f ca="1">OFFSET('360SpcLdsCSV'!$B$5,$B305,R$51)</f>
        <v>#N/A</v>
      </c>
      <c r="S305" s="592" t="e">
        <f ca="1">OFFSET('360SpcLdsCSV'!$B$5,$B305,S$51)</f>
        <v>#N/A</v>
      </c>
      <c r="T305" s="592" t="e">
        <f ca="1">OFFSET('360SpcLdsCSV'!$B$5,$B305,T$51)</f>
        <v>#N/A</v>
      </c>
      <c r="U305" s="592" t="e">
        <f ca="1">OFFSET('360SpcLdsCSV'!$B$5,$B305,U$51)</f>
        <v>#N/A</v>
      </c>
      <c r="V305" s="592" t="e">
        <f ca="1">OFFSET('360SpcLdsCSV'!$B$5,$B305,V$51)</f>
        <v>#N/A</v>
      </c>
      <c r="W305" s="592" t="e">
        <f ca="1">OFFSET('360SpcLdsCSV'!$B$5,$B305,W$51)</f>
        <v>#N/A</v>
      </c>
      <c r="X305" s="592" t="e">
        <f ca="1">OFFSET('360SpcLdsCSV'!$B$5,$B305,X$51)</f>
        <v>#N/A</v>
      </c>
      <c r="Y305" s="592" t="e">
        <f ca="1">OFFSET('360SpcLdsCSV'!$B$5,$B305,Y$51)</f>
        <v>#N/A</v>
      </c>
      <c r="Z305" s="592" t="e">
        <f ca="1">OFFSET('360SpcLdsCSV'!$B$5,$B305,Z$51)</f>
        <v>#N/A</v>
      </c>
      <c r="AA305" s="592" t="e">
        <f ca="1">OFFSET('360SpcLdsCSV'!$B$5,$B305,AA$51)</f>
        <v>#N/A</v>
      </c>
      <c r="AB305" s="592" t="e">
        <f ca="1">OFFSET('360SpcLdsCSV'!$B$5,$B305,AB$51)</f>
        <v>#N/A</v>
      </c>
      <c r="AC305" s="592" t="e">
        <f ca="1">OFFSET('360SpcLdsCSV'!$B$5,$B305,AC$51)</f>
        <v>#N/A</v>
      </c>
      <c r="AD305" s="592" t="e">
        <f ca="1">OFFSET('360SpcLdsCSV'!$B$5,$B305,AD$51)</f>
        <v>#N/A</v>
      </c>
      <c r="AE305" s="592" t="e">
        <f ca="1">OFFSET('360SpcLdsCSV'!$B$5,$B305,AE$51)</f>
        <v>#N/A</v>
      </c>
      <c r="AF305" s="592" t="e">
        <f ca="1">OFFSET('360SpcLdsCSV'!$B$5,$B305,AF$51)</f>
        <v>#N/A</v>
      </c>
      <c r="AG305" s="592" t="e">
        <f ca="1">OFFSET('360SpcLdsCSV'!$B$5,$B305,AG$51)</f>
        <v>#N/A</v>
      </c>
      <c r="AH305" s="592" t="e">
        <f ca="1">OFFSET('360SpcLdsCSV'!$B$5,$B305,AH$51)</f>
        <v>#N/A</v>
      </c>
      <c r="AI305" s="592" t="e">
        <f ca="1">OFFSET('360SpcLdsCSV'!$B$5,$B305,AI$51)</f>
        <v>#N/A</v>
      </c>
      <c r="AJ305" s="592" t="e" cm="1">
        <f t="array" ref="AJ305">_xlfn.IFS($F305="Resi",1,$F305="Racc",0,$F305="Coml",0,$F305="Prkg",0)</f>
        <v>#VALUE!</v>
      </c>
      <c r="AK305" s="596"/>
      <c r="AL305" s="590" t="e">
        <f ca="1">OFFSET('360SpcLdsCSV'!$B$5,$B305,AL$51)</f>
        <v>#N/A</v>
      </c>
      <c r="AM305" s="663" t="e">
        <f t="shared" ca="1" si="230"/>
        <v>#N/A</v>
      </c>
      <c r="AN305" s="663" t="e">
        <f t="shared" ca="1" si="231"/>
        <v>#N/A</v>
      </c>
      <c r="AO305" s="663" t="e">
        <f t="shared" ca="1" si="232"/>
        <v>#N/A</v>
      </c>
      <c r="AP305" s="663" t="e">
        <f t="shared" ca="1" si="233"/>
        <v>#N/A</v>
      </c>
      <c r="AQ305" s="663" t="e">
        <f t="shared" ca="1" si="234"/>
        <v>#N/A</v>
      </c>
      <c r="AR305" s="663" t="e">
        <f t="shared" ca="1" si="235"/>
        <v>#N/A</v>
      </c>
      <c r="AS305" s="663" t="e">
        <f t="shared" ca="1" si="236"/>
        <v>#N/A</v>
      </c>
      <c r="AT305" s="663" t="e">
        <f t="shared" ca="1" si="237"/>
        <v>#N/A</v>
      </c>
      <c r="AU305" s="663" t="e">
        <f t="shared" ca="1" si="238"/>
        <v>#N/A</v>
      </c>
      <c r="AV305" s="663" t="e">
        <f t="shared" ca="1" si="239"/>
        <v>#N/A</v>
      </c>
      <c r="AW305" s="663" t="e">
        <f t="shared" ca="1" si="208"/>
        <v>#N/A</v>
      </c>
      <c r="AX305" s="663" t="e">
        <f t="shared" ca="1" si="209"/>
        <v>#N/A</v>
      </c>
      <c r="AY305" s="663" t="e">
        <f t="shared" ca="1" si="210"/>
        <v>#N/A</v>
      </c>
      <c r="AZ305" s="663" t="e">
        <f t="shared" ca="1" si="211"/>
        <v>#N/A</v>
      </c>
      <c r="BA305" s="663" t="e">
        <f t="shared" ca="1" si="212"/>
        <v>#N/A</v>
      </c>
      <c r="BB305" s="663" t="e">
        <f t="shared" ca="1" si="213"/>
        <v>#N/A</v>
      </c>
      <c r="BC305" s="663" t="e">
        <f t="shared" ca="1" si="214"/>
        <v>#N/A</v>
      </c>
      <c r="BD305" s="663" t="e">
        <f t="shared" ca="1" si="215"/>
        <v>#N/A</v>
      </c>
      <c r="BE305" s="663" t="e">
        <f t="shared" ca="1" si="216"/>
        <v>#N/A</v>
      </c>
      <c r="BF305" s="663" t="e">
        <f t="shared" ca="1" si="217"/>
        <v>#N/A</v>
      </c>
      <c r="BG305" s="663" t="e">
        <f t="shared" ca="1" si="218"/>
        <v>#N/A</v>
      </c>
      <c r="BH305" s="663" t="e">
        <f t="shared" ca="1" si="219"/>
        <v>#N/A</v>
      </c>
      <c r="BI305" s="663" t="e">
        <f t="shared" ca="1" si="220"/>
        <v>#N/A</v>
      </c>
      <c r="BJ305" s="663" t="e">
        <f t="shared" ca="1" si="221"/>
        <v>#N/A</v>
      </c>
      <c r="BK305" s="663" t="e">
        <f t="shared" ca="1" si="222"/>
        <v>#N/A</v>
      </c>
      <c r="BL305" s="1918"/>
      <c r="BM305" s="1532"/>
      <c r="BN305" s="1919"/>
      <c r="BO305" s="603"/>
      <c r="BP305" s="602"/>
      <c r="BQ305" s="602"/>
      <c r="BR305" s="602"/>
      <c r="BS305" s="604"/>
      <c r="BT305" s="605"/>
      <c r="BU305" s="602"/>
      <c r="BV305" s="602"/>
      <c r="BW305" s="606"/>
      <c r="BX305" s="607"/>
      <c r="BY305" s="608"/>
      <c r="BZ305" s="608"/>
      <c r="CA305" s="608"/>
      <c r="CB305" s="600"/>
    </row>
    <row r="306" spans="2:80" ht="12" customHeight="1" x14ac:dyDescent="0.35">
      <c r="B306" s="590" t="e">
        <f>MATCH(C306,'360SpcLdsCSV'!$C$6:$C$500,0)</f>
        <v>#N/A</v>
      </c>
      <c r="C306" s="590">
        <f>'360SpcLdsCSV'!C255</f>
        <v>0</v>
      </c>
      <c r="D306" s="590" t="str">
        <f t="shared" si="226"/>
        <v>0</v>
      </c>
      <c r="E306" s="590" t="e">
        <f t="shared" si="227"/>
        <v>#VALUE!</v>
      </c>
      <c r="F306" s="590" t="e">
        <f t="shared" si="228"/>
        <v>#VALUE!</v>
      </c>
      <c r="G306" s="590" t="str">
        <f t="shared" si="229"/>
        <v>0</v>
      </c>
      <c r="H306" s="590" t="e">
        <f ca="1">OFFSET('360SpcLdsCSV'!$B$5,$B306,H$51)</f>
        <v>#N/A</v>
      </c>
      <c r="I306" s="590" t="e">
        <f ca="1">OFFSET('360SpcLdsCSV'!$B$5,$B306,I$51)</f>
        <v>#N/A</v>
      </c>
      <c r="J306" s="590" t="e">
        <f ca="1">OFFSET('360SpcLdsCSV'!$B$5,$B306,J$51)</f>
        <v>#N/A</v>
      </c>
      <c r="K306" s="590" t="e">
        <f ca="1">OFFSET('360SpcLdsCSV'!$B$5,$B306,K$51)</f>
        <v>#N/A</v>
      </c>
      <c r="L306" s="590" t="e">
        <f ca="1">OFFSET('360SpcLdsCSV'!$B$5,$B306,L$51)</f>
        <v>#N/A</v>
      </c>
      <c r="M306" s="592" t="e">
        <f ca="1">OFFSET('360SpcLdsCSV'!$B$5,$B306,M$51)</f>
        <v>#N/A</v>
      </c>
      <c r="N306" s="592" t="e">
        <f ca="1">OFFSET('360SpcLdsCSV'!$B$5,$B306,N$51)</f>
        <v>#N/A</v>
      </c>
      <c r="O306" s="592" t="e">
        <f ca="1">OFFSET('360SpcLdsCSV'!$B$5,$B306,O$51)</f>
        <v>#N/A</v>
      </c>
      <c r="P306" s="592" t="e">
        <f ca="1">OFFSET('360SpcLdsCSV'!$B$5,$B306,P$51)</f>
        <v>#N/A</v>
      </c>
      <c r="Q306" s="592" t="e">
        <f ca="1">OFFSET('360SpcLdsCSV'!$B$5,$B306,Q$51)</f>
        <v>#N/A</v>
      </c>
      <c r="R306" s="592" t="e">
        <f ca="1">OFFSET('360SpcLdsCSV'!$B$5,$B306,R$51)</f>
        <v>#N/A</v>
      </c>
      <c r="S306" s="592" t="e">
        <f ca="1">OFFSET('360SpcLdsCSV'!$B$5,$B306,S$51)</f>
        <v>#N/A</v>
      </c>
      <c r="T306" s="592" t="e">
        <f ca="1">OFFSET('360SpcLdsCSV'!$B$5,$B306,T$51)</f>
        <v>#N/A</v>
      </c>
      <c r="U306" s="592" t="e">
        <f ca="1">OFFSET('360SpcLdsCSV'!$B$5,$B306,U$51)</f>
        <v>#N/A</v>
      </c>
      <c r="V306" s="592" t="e">
        <f ca="1">OFFSET('360SpcLdsCSV'!$B$5,$B306,V$51)</f>
        <v>#N/A</v>
      </c>
      <c r="W306" s="592" t="e">
        <f ca="1">OFFSET('360SpcLdsCSV'!$B$5,$B306,W$51)</f>
        <v>#N/A</v>
      </c>
      <c r="X306" s="592" t="e">
        <f ca="1">OFFSET('360SpcLdsCSV'!$B$5,$B306,X$51)</f>
        <v>#N/A</v>
      </c>
      <c r="Y306" s="592" t="e">
        <f ca="1">OFFSET('360SpcLdsCSV'!$B$5,$B306,Y$51)</f>
        <v>#N/A</v>
      </c>
      <c r="Z306" s="592" t="e">
        <f ca="1">OFFSET('360SpcLdsCSV'!$B$5,$B306,Z$51)</f>
        <v>#N/A</v>
      </c>
      <c r="AA306" s="592" t="e">
        <f ca="1">OFFSET('360SpcLdsCSV'!$B$5,$B306,AA$51)</f>
        <v>#N/A</v>
      </c>
      <c r="AB306" s="592" t="e">
        <f ca="1">OFFSET('360SpcLdsCSV'!$B$5,$B306,AB$51)</f>
        <v>#N/A</v>
      </c>
      <c r="AC306" s="592" t="e">
        <f ca="1">OFFSET('360SpcLdsCSV'!$B$5,$B306,AC$51)</f>
        <v>#N/A</v>
      </c>
      <c r="AD306" s="592" t="e">
        <f ca="1">OFFSET('360SpcLdsCSV'!$B$5,$B306,AD$51)</f>
        <v>#N/A</v>
      </c>
      <c r="AE306" s="592" t="e">
        <f ca="1">OFFSET('360SpcLdsCSV'!$B$5,$B306,AE$51)</f>
        <v>#N/A</v>
      </c>
      <c r="AF306" s="592" t="e">
        <f ca="1">OFFSET('360SpcLdsCSV'!$B$5,$B306,AF$51)</f>
        <v>#N/A</v>
      </c>
      <c r="AG306" s="592" t="e">
        <f ca="1">OFFSET('360SpcLdsCSV'!$B$5,$B306,AG$51)</f>
        <v>#N/A</v>
      </c>
      <c r="AH306" s="592" t="e">
        <f ca="1">OFFSET('360SpcLdsCSV'!$B$5,$B306,AH$51)</f>
        <v>#N/A</v>
      </c>
      <c r="AI306" s="592" t="e">
        <f ca="1">OFFSET('360SpcLdsCSV'!$B$5,$B306,AI$51)</f>
        <v>#N/A</v>
      </c>
      <c r="AJ306" s="592" t="e" cm="1">
        <f t="array" ref="AJ306">_xlfn.IFS($F306="Resi",1,$F306="Racc",0,$F306="Coml",0,$F306="Prkg",0)</f>
        <v>#VALUE!</v>
      </c>
      <c r="AK306" s="596"/>
      <c r="AL306" s="590" t="e">
        <f ca="1">OFFSET('360SpcLdsCSV'!$B$5,$B306,AL$51)</f>
        <v>#N/A</v>
      </c>
      <c r="AM306" s="663" t="e">
        <f t="shared" ca="1" si="230"/>
        <v>#N/A</v>
      </c>
      <c r="AN306" s="663" t="e">
        <f t="shared" ca="1" si="231"/>
        <v>#N/A</v>
      </c>
      <c r="AO306" s="663" t="e">
        <f t="shared" ca="1" si="232"/>
        <v>#N/A</v>
      </c>
      <c r="AP306" s="663" t="e">
        <f t="shared" ca="1" si="233"/>
        <v>#N/A</v>
      </c>
      <c r="AQ306" s="663" t="e">
        <f t="shared" ca="1" si="234"/>
        <v>#N/A</v>
      </c>
      <c r="AR306" s="663" t="e">
        <f t="shared" ca="1" si="235"/>
        <v>#N/A</v>
      </c>
      <c r="AS306" s="663" t="e">
        <f t="shared" ca="1" si="236"/>
        <v>#N/A</v>
      </c>
      <c r="AT306" s="663" t="e">
        <f t="shared" ca="1" si="237"/>
        <v>#N/A</v>
      </c>
      <c r="AU306" s="663" t="e">
        <f t="shared" ca="1" si="238"/>
        <v>#N/A</v>
      </c>
      <c r="AV306" s="663" t="e">
        <f t="shared" ca="1" si="239"/>
        <v>#N/A</v>
      </c>
      <c r="AW306" s="663" t="e">
        <f t="shared" ca="1" si="208"/>
        <v>#N/A</v>
      </c>
      <c r="AX306" s="663" t="e">
        <f t="shared" ca="1" si="209"/>
        <v>#N/A</v>
      </c>
      <c r="AY306" s="663" t="e">
        <f t="shared" ca="1" si="210"/>
        <v>#N/A</v>
      </c>
      <c r="AZ306" s="663" t="e">
        <f t="shared" ca="1" si="211"/>
        <v>#N/A</v>
      </c>
      <c r="BA306" s="663" t="e">
        <f t="shared" ca="1" si="212"/>
        <v>#N/A</v>
      </c>
      <c r="BB306" s="663" t="e">
        <f t="shared" ca="1" si="213"/>
        <v>#N/A</v>
      </c>
      <c r="BC306" s="663" t="e">
        <f t="shared" ca="1" si="214"/>
        <v>#N/A</v>
      </c>
      <c r="BD306" s="663" t="e">
        <f t="shared" ca="1" si="215"/>
        <v>#N/A</v>
      </c>
      <c r="BE306" s="663" t="e">
        <f t="shared" ca="1" si="216"/>
        <v>#N/A</v>
      </c>
      <c r="BF306" s="663" t="e">
        <f t="shared" ca="1" si="217"/>
        <v>#N/A</v>
      </c>
      <c r="BG306" s="663" t="e">
        <f t="shared" ca="1" si="218"/>
        <v>#N/A</v>
      </c>
      <c r="BH306" s="663" t="e">
        <f t="shared" ca="1" si="219"/>
        <v>#N/A</v>
      </c>
      <c r="BI306" s="663" t="e">
        <f t="shared" ca="1" si="220"/>
        <v>#N/A</v>
      </c>
      <c r="BJ306" s="663" t="e">
        <f t="shared" ca="1" si="221"/>
        <v>#N/A</v>
      </c>
      <c r="BK306" s="663" t="e">
        <f t="shared" ca="1" si="222"/>
        <v>#N/A</v>
      </c>
      <c r="BL306" s="1918"/>
      <c r="BM306" s="1532"/>
      <c r="BN306" s="1919"/>
      <c r="BO306" s="603"/>
      <c r="BP306" s="602"/>
      <c r="BQ306" s="602"/>
      <c r="BR306" s="602"/>
      <c r="BS306" s="604"/>
      <c r="BT306" s="605"/>
      <c r="BU306" s="602"/>
      <c r="BV306" s="602"/>
      <c r="BW306" s="606"/>
      <c r="BX306" s="607"/>
      <c r="BY306" s="608"/>
      <c r="BZ306" s="608"/>
      <c r="CA306" s="608"/>
      <c r="CB306" s="600"/>
    </row>
    <row r="307" spans="2:80" ht="12" customHeight="1" x14ac:dyDescent="0.35">
      <c r="B307" s="590" t="e">
        <f>MATCH(C307,'360SpcLdsCSV'!$C$6:$C$500,0)</f>
        <v>#N/A</v>
      </c>
      <c r="C307" s="590">
        <f>'360SpcLdsCSV'!C256</f>
        <v>0</v>
      </c>
      <c r="D307" s="590" t="str">
        <f t="shared" si="226"/>
        <v>0</v>
      </c>
      <c r="E307" s="590" t="e">
        <f t="shared" si="227"/>
        <v>#VALUE!</v>
      </c>
      <c r="F307" s="590" t="e">
        <f t="shared" si="228"/>
        <v>#VALUE!</v>
      </c>
      <c r="G307" s="590" t="str">
        <f t="shared" si="229"/>
        <v>0</v>
      </c>
      <c r="H307" s="590" t="e">
        <f ca="1">OFFSET('360SpcLdsCSV'!$B$5,$B307,H$51)</f>
        <v>#N/A</v>
      </c>
      <c r="I307" s="590" t="e">
        <f ca="1">OFFSET('360SpcLdsCSV'!$B$5,$B307,I$51)</f>
        <v>#N/A</v>
      </c>
      <c r="J307" s="590" t="e">
        <f ca="1">OFFSET('360SpcLdsCSV'!$B$5,$B307,J$51)</f>
        <v>#N/A</v>
      </c>
      <c r="K307" s="590" t="e">
        <f ca="1">OFFSET('360SpcLdsCSV'!$B$5,$B307,K$51)</f>
        <v>#N/A</v>
      </c>
      <c r="L307" s="590" t="e">
        <f ca="1">OFFSET('360SpcLdsCSV'!$B$5,$B307,L$51)</f>
        <v>#N/A</v>
      </c>
      <c r="M307" s="592" t="e">
        <f ca="1">OFFSET('360SpcLdsCSV'!$B$5,$B307,M$51)</f>
        <v>#N/A</v>
      </c>
      <c r="N307" s="592" t="e">
        <f ca="1">OFFSET('360SpcLdsCSV'!$B$5,$B307,N$51)</f>
        <v>#N/A</v>
      </c>
      <c r="O307" s="592" t="e">
        <f ca="1">OFFSET('360SpcLdsCSV'!$B$5,$B307,O$51)</f>
        <v>#N/A</v>
      </c>
      <c r="P307" s="592" t="e">
        <f ca="1">OFFSET('360SpcLdsCSV'!$B$5,$B307,P$51)</f>
        <v>#N/A</v>
      </c>
      <c r="Q307" s="592" t="e">
        <f ca="1">OFFSET('360SpcLdsCSV'!$B$5,$B307,Q$51)</f>
        <v>#N/A</v>
      </c>
      <c r="R307" s="592" t="e">
        <f ca="1">OFFSET('360SpcLdsCSV'!$B$5,$B307,R$51)</f>
        <v>#N/A</v>
      </c>
      <c r="S307" s="592" t="e">
        <f ca="1">OFFSET('360SpcLdsCSV'!$B$5,$B307,S$51)</f>
        <v>#N/A</v>
      </c>
      <c r="T307" s="592" t="e">
        <f ca="1">OFFSET('360SpcLdsCSV'!$B$5,$B307,T$51)</f>
        <v>#N/A</v>
      </c>
      <c r="U307" s="592" t="e">
        <f ca="1">OFFSET('360SpcLdsCSV'!$B$5,$B307,U$51)</f>
        <v>#N/A</v>
      </c>
      <c r="V307" s="592" t="e">
        <f ca="1">OFFSET('360SpcLdsCSV'!$B$5,$B307,V$51)</f>
        <v>#N/A</v>
      </c>
      <c r="W307" s="592" t="e">
        <f ca="1">OFFSET('360SpcLdsCSV'!$B$5,$B307,W$51)</f>
        <v>#N/A</v>
      </c>
      <c r="X307" s="592" t="e">
        <f ca="1">OFFSET('360SpcLdsCSV'!$B$5,$B307,X$51)</f>
        <v>#N/A</v>
      </c>
      <c r="Y307" s="592" t="e">
        <f ca="1">OFFSET('360SpcLdsCSV'!$B$5,$B307,Y$51)</f>
        <v>#N/A</v>
      </c>
      <c r="Z307" s="592" t="e">
        <f ca="1">OFFSET('360SpcLdsCSV'!$B$5,$B307,Z$51)</f>
        <v>#N/A</v>
      </c>
      <c r="AA307" s="592" t="e">
        <f ca="1">OFFSET('360SpcLdsCSV'!$B$5,$B307,AA$51)</f>
        <v>#N/A</v>
      </c>
      <c r="AB307" s="592" t="e">
        <f ca="1">OFFSET('360SpcLdsCSV'!$B$5,$B307,AB$51)</f>
        <v>#N/A</v>
      </c>
      <c r="AC307" s="592" t="e">
        <f ca="1">OFFSET('360SpcLdsCSV'!$B$5,$B307,AC$51)</f>
        <v>#N/A</v>
      </c>
      <c r="AD307" s="592" t="e">
        <f ca="1">OFFSET('360SpcLdsCSV'!$B$5,$B307,AD$51)</f>
        <v>#N/A</v>
      </c>
      <c r="AE307" s="592" t="e">
        <f ca="1">OFFSET('360SpcLdsCSV'!$B$5,$B307,AE$51)</f>
        <v>#N/A</v>
      </c>
      <c r="AF307" s="592" t="e">
        <f ca="1">OFFSET('360SpcLdsCSV'!$B$5,$B307,AF$51)</f>
        <v>#N/A</v>
      </c>
      <c r="AG307" s="592" t="e">
        <f ca="1">OFFSET('360SpcLdsCSV'!$B$5,$B307,AG$51)</f>
        <v>#N/A</v>
      </c>
      <c r="AH307" s="592" t="e">
        <f ca="1">OFFSET('360SpcLdsCSV'!$B$5,$B307,AH$51)</f>
        <v>#N/A</v>
      </c>
      <c r="AI307" s="592" t="e">
        <f ca="1">OFFSET('360SpcLdsCSV'!$B$5,$B307,AI$51)</f>
        <v>#N/A</v>
      </c>
      <c r="AJ307" s="592" t="e" cm="1">
        <f t="array" ref="AJ307">_xlfn.IFS($F307="Resi",1,$F307="Racc",0,$F307="Coml",0,$F307="Prkg",0)</f>
        <v>#VALUE!</v>
      </c>
      <c r="AK307" s="596"/>
      <c r="AL307" s="590" t="e">
        <f ca="1">OFFSET('360SpcLdsCSV'!$B$5,$B307,AL$51)</f>
        <v>#N/A</v>
      </c>
      <c r="AM307" s="663" t="e">
        <f t="shared" ca="1" si="230"/>
        <v>#N/A</v>
      </c>
      <c r="AN307" s="663" t="e">
        <f t="shared" ca="1" si="231"/>
        <v>#N/A</v>
      </c>
      <c r="AO307" s="663" t="e">
        <f t="shared" ca="1" si="232"/>
        <v>#N/A</v>
      </c>
      <c r="AP307" s="663" t="e">
        <f t="shared" ca="1" si="233"/>
        <v>#N/A</v>
      </c>
      <c r="AQ307" s="663" t="e">
        <f t="shared" ca="1" si="234"/>
        <v>#N/A</v>
      </c>
      <c r="AR307" s="663" t="e">
        <f t="shared" ca="1" si="235"/>
        <v>#N/A</v>
      </c>
      <c r="AS307" s="663" t="e">
        <f t="shared" ca="1" si="236"/>
        <v>#N/A</v>
      </c>
      <c r="AT307" s="663" t="e">
        <f t="shared" ca="1" si="237"/>
        <v>#N/A</v>
      </c>
      <c r="AU307" s="663" t="e">
        <f t="shared" ca="1" si="238"/>
        <v>#N/A</v>
      </c>
      <c r="AV307" s="663" t="e">
        <f t="shared" ca="1" si="239"/>
        <v>#N/A</v>
      </c>
      <c r="AW307" s="663" t="e">
        <f t="shared" ca="1" si="208"/>
        <v>#N/A</v>
      </c>
      <c r="AX307" s="663" t="e">
        <f t="shared" ca="1" si="209"/>
        <v>#N/A</v>
      </c>
      <c r="AY307" s="663" t="e">
        <f t="shared" ca="1" si="210"/>
        <v>#N/A</v>
      </c>
      <c r="AZ307" s="663" t="e">
        <f t="shared" ca="1" si="211"/>
        <v>#N/A</v>
      </c>
      <c r="BA307" s="663" t="e">
        <f t="shared" ca="1" si="212"/>
        <v>#N/A</v>
      </c>
      <c r="BB307" s="663" t="e">
        <f t="shared" ca="1" si="213"/>
        <v>#N/A</v>
      </c>
      <c r="BC307" s="663" t="e">
        <f t="shared" ca="1" si="214"/>
        <v>#N/A</v>
      </c>
      <c r="BD307" s="663" t="e">
        <f t="shared" ca="1" si="215"/>
        <v>#N/A</v>
      </c>
      <c r="BE307" s="663" t="e">
        <f t="shared" ca="1" si="216"/>
        <v>#N/A</v>
      </c>
      <c r="BF307" s="663" t="e">
        <f t="shared" ca="1" si="217"/>
        <v>#N/A</v>
      </c>
      <c r="BG307" s="663" t="e">
        <f t="shared" ca="1" si="218"/>
        <v>#N/A</v>
      </c>
      <c r="BH307" s="663" t="e">
        <f t="shared" ca="1" si="219"/>
        <v>#N/A</v>
      </c>
      <c r="BI307" s="663" t="e">
        <f t="shared" ca="1" si="220"/>
        <v>#N/A</v>
      </c>
      <c r="BJ307" s="663" t="e">
        <f t="shared" ca="1" si="221"/>
        <v>#N/A</v>
      </c>
      <c r="BK307" s="663" t="e">
        <f t="shared" ca="1" si="222"/>
        <v>#N/A</v>
      </c>
      <c r="BL307" s="1918"/>
      <c r="BM307" s="1532"/>
      <c r="BN307" s="1919"/>
      <c r="BO307" s="603"/>
      <c r="BP307" s="602"/>
      <c r="BQ307" s="602"/>
      <c r="BR307" s="602"/>
      <c r="BS307" s="604"/>
      <c r="BT307" s="605"/>
      <c r="BU307" s="602"/>
      <c r="BV307" s="602"/>
      <c r="BW307" s="606"/>
      <c r="BX307" s="607"/>
      <c r="BY307" s="608"/>
      <c r="BZ307" s="608"/>
      <c r="CA307" s="608"/>
      <c r="CB307" s="600"/>
    </row>
    <row r="308" spans="2:80" ht="12" customHeight="1" x14ac:dyDescent="0.35">
      <c r="B308" s="590" t="e">
        <f>MATCH(C308,'360SpcLdsCSV'!$C$6:$C$500,0)</f>
        <v>#N/A</v>
      </c>
      <c r="C308" s="590">
        <f>'360SpcLdsCSV'!C257</f>
        <v>0</v>
      </c>
      <c r="D308" s="590" t="str">
        <f t="shared" si="226"/>
        <v>0</v>
      </c>
      <c r="E308" s="590" t="e">
        <f t="shared" si="227"/>
        <v>#VALUE!</v>
      </c>
      <c r="F308" s="590" t="e">
        <f t="shared" si="228"/>
        <v>#VALUE!</v>
      </c>
      <c r="G308" s="590" t="str">
        <f t="shared" si="229"/>
        <v>0</v>
      </c>
      <c r="H308" s="590" t="e">
        <f ca="1">OFFSET('360SpcLdsCSV'!$B$5,$B308,H$51)</f>
        <v>#N/A</v>
      </c>
      <c r="I308" s="590" t="e">
        <f ca="1">OFFSET('360SpcLdsCSV'!$B$5,$B308,I$51)</f>
        <v>#N/A</v>
      </c>
      <c r="J308" s="590" t="e">
        <f ca="1">OFFSET('360SpcLdsCSV'!$B$5,$B308,J$51)</f>
        <v>#N/A</v>
      </c>
      <c r="K308" s="590" t="e">
        <f ca="1">OFFSET('360SpcLdsCSV'!$B$5,$B308,K$51)</f>
        <v>#N/A</v>
      </c>
      <c r="L308" s="590" t="e">
        <f ca="1">OFFSET('360SpcLdsCSV'!$B$5,$B308,L$51)</f>
        <v>#N/A</v>
      </c>
      <c r="M308" s="592" t="e">
        <f ca="1">OFFSET('360SpcLdsCSV'!$B$5,$B308,M$51)</f>
        <v>#N/A</v>
      </c>
      <c r="N308" s="592" t="e">
        <f ca="1">OFFSET('360SpcLdsCSV'!$B$5,$B308,N$51)</f>
        <v>#N/A</v>
      </c>
      <c r="O308" s="592" t="e">
        <f ca="1">OFFSET('360SpcLdsCSV'!$B$5,$B308,O$51)</f>
        <v>#N/A</v>
      </c>
      <c r="P308" s="592" t="e">
        <f ca="1">OFFSET('360SpcLdsCSV'!$B$5,$B308,P$51)</f>
        <v>#N/A</v>
      </c>
      <c r="Q308" s="592" t="e">
        <f ca="1">OFFSET('360SpcLdsCSV'!$B$5,$B308,Q$51)</f>
        <v>#N/A</v>
      </c>
      <c r="R308" s="592" t="e">
        <f ca="1">OFFSET('360SpcLdsCSV'!$B$5,$B308,R$51)</f>
        <v>#N/A</v>
      </c>
      <c r="S308" s="592" t="e">
        <f ca="1">OFFSET('360SpcLdsCSV'!$B$5,$B308,S$51)</f>
        <v>#N/A</v>
      </c>
      <c r="T308" s="592" t="e">
        <f ca="1">OFFSET('360SpcLdsCSV'!$B$5,$B308,T$51)</f>
        <v>#N/A</v>
      </c>
      <c r="U308" s="592" t="e">
        <f ca="1">OFFSET('360SpcLdsCSV'!$B$5,$B308,U$51)</f>
        <v>#N/A</v>
      </c>
      <c r="V308" s="592" t="e">
        <f ca="1">OFFSET('360SpcLdsCSV'!$B$5,$B308,V$51)</f>
        <v>#N/A</v>
      </c>
      <c r="W308" s="592" t="e">
        <f ca="1">OFFSET('360SpcLdsCSV'!$B$5,$B308,W$51)</f>
        <v>#N/A</v>
      </c>
      <c r="X308" s="592" t="e">
        <f ca="1">OFFSET('360SpcLdsCSV'!$B$5,$B308,X$51)</f>
        <v>#N/A</v>
      </c>
      <c r="Y308" s="592" t="e">
        <f ca="1">OFFSET('360SpcLdsCSV'!$B$5,$B308,Y$51)</f>
        <v>#N/A</v>
      </c>
      <c r="Z308" s="592" t="e">
        <f ca="1">OFFSET('360SpcLdsCSV'!$B$5,$B308,Z$51)</f>
        <v>#N/A</v>
      </c>
      <c r="AA308" s="592" t="e">
        <f ca="1">OFFSET('360SpcLdsCSV'!$B$5,$B308,AA$51)</f>
        <v>#N/A</v>
      </c>
      <c r="AB308" s="592" t="e">
        <f ca="1">OFFSET('360SpcLdsCSV'!$B$5,$B308,AB$51)</f>
        <v>#N/A</v>
      </c>
      <c r="AC308" s="592" t="e">
        <f ca="1">OFFSET('360SpcLdsCSV'!$B$5,$B308,AC$51)</f>
        <v>#N/A</v>
      </c>
      <c r="AD308" s="592" t="e">
        <f ca="1">OFFSET('360SpcLdsCSV'!$B$5,$B308,AD$51)</f>
        <v>#N/A</v>
      </c>
      <c r="AE308" s="592" t="e">
        <f ca="1">OFFSET('360SpcLdsCSV'!$B$5,$B308,AE$51)</f>
        <v>#N/A</v>
      </c>
      <c r="AF308" s="592" t="e">
        <f ca="1">OFFSET('360SpcLdsCSV'!$B$5,$B308,AF$51)</f>
        <v>#N/A</v>
      </c>
      <c r="AG308" s="592" t="e">
        <f ca="1">OFFSET('360SpcLdsCSV'!$B$5,$B308,AG$51)</f>
        <v>#N/A</v>
      </c>
      <c r="AH308" s="592" t="e">
        <f ca="1">OFFSET('360SpcLdsCSV'!$B$5,$B308,AH$51)</f>
        <v>#N/A</v>
      </c>
      <c r="AI308" s="592" t="e">
        <f ca="1">OFFSET('360SpcLdsCSV'!$B$5,$B308,AI$51)</f>
        <v>#N/A</v>
      </c>
      <c r="AJ308" s="592" t="e" cm="1">
        <f t="array" ref="AJ308">_xlfn.IFS($F308="Resi",1,$F308="Racc",0,$F308="Coml",0,$F308="Prkg",0)</f>
        <v>#VALUE!</v>
      </c>
      <c r="AK308" s="596"/>
      <c r="AL308" s="590" t="e">
        <f ca="1">OFFSET('360SpcLdsCSV'!$B$5,$B308,AL$51)</f>
        <v>#N/A</v>
      </c>
      <c r="AM308" s="663" t="e">
        <f t="shared" ca="1" si="230"/>
        <v>#N/A</v>
      </c>
      <c r="AN308" s="663" t="e">
        <f t="shared" ca="1" si="231"/>
        <v>#N/A</v>
      </c>
      <c r="AO308" s="663" t="e">
        <f t="shared" ca="1" si="232"/>
        <v>#N/A</v>
      </c>
      <c r="AP308" s="663" t="e">
        <f t="shared" ca="1" si="233"/>
        <v>#N/A</v>
      </c>
      <c r="AQ308" s="663" t="e">
        <f t="shared" ca="1" si="234"/>
        <v>#N/A</v>
      </c>
      <c r="AR308" s="663" t="e">
        <f t="shared" ca="1" si="235"/>
        <v>#N/A</v>
      </c>
      <c r="AS308" s="663" t="e">
        <f t="shared" ca="1" si="236"/>
        <v>#N/A</v>
      </c>
      <c r="AT308" s="663" t="e">
        <f t="shared" ca="1" si="237"/>
        <v>#N/A</v>
      </c>
      <c r="AU308" s="663" t="e">
        <f t="shared" ca="1" si="238"/>
        <v>#N/A</v>
      </c>
      <c r="AV308" s="663" t="e">
        <f t="shared" ca="1" si="239"/>
        <v>#N/A</v>
      </c>
      <c r="AW308" s="663" t="e">
        <f t="shared" ca="1" si="208"/>
        <v>#N/A</v>
      </c>
      <c r="AX308" s="663" t="e">
        <f t="shared" ca="1" si="209"/>
        <v>#N/A</v>
      </c>
      <c r="AY308" s="663" t="e">
        <f t="shared" ca="1" si="210"/>
        <v>#N/A</v>
      </c>
      <c r="AZ308" s="663" t="e">
        <f t="shared" ca="1" si="211"/>
        <v>#N/A</v>
      </c>
      <c r="BA308" s="663" t="e">
        <f t="shared" ca="1" si="212"/>
        <v>#N/A</v>
      </c>
      <c r="BB308" s="663" t="e">
        <f t="shared" ca="1" si="213"/>
        <v>#N/A</v>
      </c>
      <c r="BC308" s="663" t="e">
        <f t="shared" ca="1" si="214"/>
        <v>#N/A</v>
      </c>
      <c r="BD308" s="663" t="e">
        <f t="shared" ca="1" si="215"/>
        <v>#N/A</v>
      </c>
      <c r="BE308" s="663" t="e">
        <f t="shared" ca="1" si="216"/>
        <v>#N/A</v>
      </c>
      <c r="BF308" s="663" t="e">
        <f t="shared" ca="1" si="217"/>
        <v>#N/A</v>
      </c>
      <c r="BG308" s="663" t="e">
        <f t="shared" ca="1" si="218"/>
        <v>#N/A</v>
      </c>
      <c r="BH308" s="663" t="e">
        <f t="shared" ca="1" si="219"/>
        <v>#N/A</v>
      </c>
      <c r="BI308" s="663" t="e">
        <f t="shared" ca="1" si="220"/>
        <v>#N/A</v>
      </c>
      <c r="BJ308" s="663" t="e">
        <f t="shared" ca="1" si="221"/>
        <v>#N/A</v>
      </c>
      <c r="BK308" s="663" t="e">
        <f t="shared" ca="1" si="222"/>
        <v>#N/A</v>
      </c>
      <c r="BL308" s="1918"/>
      <c r="BM308" s="1532"/>
      <c r="BN308" s="1919"/>
      <c r="BO308" s="603"/>
      <c r="BP308" s="602"/>
      <c r="BQ308" s="602"/>
      <c r="BR308" s="602"/>
      <c r="BS308" s="604"/>
      <c r="BT308" s="605"/>
      <c r="BU308" s="602"/>
      <c r="BV308" s="602"/>
      <c r="BW308" s="606"/>
      <c r="BX308" s="607"/>
      <c r="BY308" s="608"/>
      <c r="BZ308" s="608"/>
      <c r="CA308" s="608"/>
      <c r="CB308" s="600"/>
    </row>
    <row r="309" spans="2:80" ht="12" customHeight="1" x14ac:dyDescent="0.35">
      <c r="B309" s="590" t="e">
        <f>MATCH(C309,'360SpcLdsCSV'!$C$6:$C$500,0)</f>
        <v>#N/A</v>
      </c>
      <c r="C309" s="590">
        <f>'360SpcLdsCSV'!C258</f>
        <v>0</v>
      </c>
      <c r="D309" s="590" t="str">
        <f t="shared" si="226"/>
        <v>0</v>
      </c>
      <c r="E309" s="590" t="e">
        <f t="shared" si="227"/>
        <v>#VALUE!</v>
      </c>
      <c r="F309" s="590" t="e">
        <f t="shared" si="228"/>
        <v>#VALUE!</v>
      </c>
      <c r="G309" s="590" t="str">
        <f t="shared" si="229"/>
        <v>0</v>
      </c>
      <c r="H309" s="590" t="e">
        <f ca="1">OFFSET('360SpcLdsCSV'!$B$5,$B309,H$51)</f>
        <v>#N/A</v>
      </c>
      <c r="I309" s="590" t="e">
        <f ca="1">OFFSET('360SpcLdsCSV'!$B$5,$B309,I$51)</f>
        <v>#N/A</v>
      </c>
      <c r="J309" s="590" t="e">
        <f ca="1">OFFSET('360SpcLdsCSV'!$B$5,$B309,J$51)</f>
        <v>#N/A</v>
      </c>
      <c r="K309" s="590" t="e">
        <f ca="1">OFFSET('360SpcLdsCSV'!$B$5,$B309,K$51)</f>
        <v>#N/A</v>
      </c>
      <c r="L309" s="590" t="e">
        <f ca="1">OFFSET('360SpcLdsCSV'!$B$5,$B309,L$51)</f>
        <v>#N/A</v>
      </c>
      <c r="M309" s="592" t="e">
        <f ca="1">OFFSET('360SpcLdsCSV'!$B$5,$B309,M$51)</f>
        <v>#N/A</v>
      </c>
      <c r="N309" s="592" t="e">
        <f ca="1">OFFSET('360SpcLdsCSV'!$B$5,$B309,N$51)</f>
        <v>#N/A</v>
      </c>
      <c r="O309" s="592" t="e">
        <f ca="1">OFFSET('360SpcLdsCSV'!$B$5,$B309,O$51)</f>
        <v>#N/A</v>
      </c>
      <c r="P309" s="592" t="e">
        <f ca="1">OFFSET('360SpcLdsCSV'!$B$5,$B309,P$51)</f>
        <v>#N/A</v>
      </c>
      <c r="Q309" s="592" t="e">
        <f ca="1">OFFSET('360SpcLdsCSV'!$B$5,$B309,Q$51)</f>
        <v>#N/A</v>
      </c>
      <c r="R309" s="592" t="e">
        <f ca="1">OFFSET('360SpcLdsCSV'!$B$5,$B309,R$51)</f>
        <v>#N/A</v>
      </c>
      <c r="S309" s="592" t="e">
        <f ca="1">OFFSET('360SpcLdsCSV'!$B$5,$B309,S$51)</f>
        <v>#N/A</v>
      </c>
      <c r="T309" s="592" t="e">
        <f ca="1">OFFSET('360SpcLdsCSV'!$B$5,$B309,T$51)</f>
        <v>#N/A</v>
      </c>
      <c r="U309" s="592" t="e">
        <f ca="1">OFFSET('360SpcLdsCSV'!$B$5,$B309,U$51)</f>
        <v>#N/A</v>
      </c>
      <c r="V309" s="592" t="e">
        <f ca="1">OFFSET('360SpcLdsCSV'!$B$5,$B309,V$51)</f>
        <v>#N/A</v>
      </c>
      <c r="W309" s="592" t="e">
        <f ca="1">OFFSET('360SpcLdsCSV'!$B$5,$B309,W$51)</f>
        <v>#N/A</v>
      </c>
      <c r="X309" s="592" t="e">
        <f ca="1">OFFSET('360SpcLdsCSV'!$B$5,$B309,X$51)</f>
        <v>#N/A</v>
      </c>
      <c r="Y309" s="592" t="e">
        <f ca="1">OFFSET('360SpcLdsCSV'!$B$5,$B309,Y$51)</f>
        <v>#N/A</v>
      </c>
      <c r="Z309" s="592" t="e">
        <f ca="1">OFFSET('360SpcLdsCSV'!$B$5,$B309,Z$51)</f>
        <v>#N/A</v>
      </c>
      <c r="AA309" s="592" t="e">
        <f ca="1">OFFSET('360SpcLdsCSV'!$B$5,$B309,AA$51)</f>
        <v>#N/A</v>
      </c>
      <c r="AB309" s="592" t="e">
        <f ca="1">OFFSET('360SpcLdsCSV'!$B$5,$B309,AB$51)</f>
        <v>#N/A</v>
      </c>
      <c r="AC309" s="592" t="e">
        <f ca="1">OFFSET('360SpcLdsCSV'!$B$5,$B309,AC$51)</f>
        <v>#N/A</v>
      </c>
      <c r="AD309" s="592" t="e">
        <f ca="1">OFFSET('360SpcLdsCSV'!$B$5,$B309,AD$51)</f>
        <v>#N/A</v>
      </c>
      <c r="AE309" s="592" t="e">
        <f ca="1">OFFSET('360SpcLdsCSV'!$B$5,$B309,AE$51)</f>
        <v>#N/A</v>
      </c>
      <c r="AF309" s="592" t="e">
        <f ca="1">OFFSET('360SpcLdsCSV'!$B$5,$B309,AF$51)</f>
        <v>#N/A</v>
      </c>
      <c r="AG309" s="592" t="e">
        <f ca="1">OFFSET('360SpcLdsCSV'!$B$5,$B309,AG$51)</f>
        <v>#N/A</v>
      </c>
      <c r="AH309" s="592" t="e">
        <f ca="1">OFFSET('360SpcLdsCSV'!$B$5,$B309,AH$51)</f>
        <v>#N/A</v>
      </c>
      <c r="AI309" s="592" t="e">
        <f ca="1">OFFSET('360SpcLdsCSV'!$B$5,$B309,AI$51)</f>
        <v>#N/A</v>
      </c>
      <c r="AJ309" s="592" t="e" cm="1">
        <f t="array" ref="AJ309">_xlfn.IFS($F309="Resi",1,$F309="Racc",0,$F309="Coml",0,$F309="Prkg",0)</f>
        <v>#VALUE!</v>
      </c>
      <c r="AK309" s="596"/>
      <c r="AL309" s="590" t="e">
        <f ca="1">OFFSET('360SpcLdsCSV'!$B$5,$B309,AL$51)</f>
        <v>#N/A</v>
      </c>
      <c r="AM309" s="663" t="e">
        <f t="shared" ca="1" si="230"/>
        <v>#N/A</v>
      </c>
      <c r="AN309" s="663" t="e">
        <f t="shared" ca="1" si="231"/>
        <v>#N/A</v>
      </c>
      <c r="AO309" s="663" t="e">
        <f t="shared" ca="1" si="232"/>
        <v>#N/A</v>
      </c>
      <c r="AP309" s="663" t="e">
        <f t="shared" ca="1" si="233"/>
        <v>#N/A</v>
      </c>
      <c r="AQ309" s="663" t="e">
        <f t="shared" ca="1" si="234"/>
        <v>#N/A</v>
      </c>
      <c r="AR309" s="663" t="e">
        <f t="shared" ca="1" si="235"/>
        <v>#N/A</v>
      </c>
      <c r="AS309" s="663" t="e">
        <f t="shared" ca="1" si="236"/>
        <v>#N/A</v>
      </c>
      <c r="AT309" s="663" t="e">
        <f t="shared" ca="1" si="237"/>
        <v>#N/A</v>
      </c>
      <c r="AU309" s="663" t="e">
        <f t="shared" ca="1" si="238"/>
        <v>#N/A</v>
      </c>
      <c r="AV309" s="663" t="e">
        <f t="shared" ca="1" si="239"/>
        <v>#N/A</v>
      </c>
      <c r="AW309" s="663" t="e">
        <f t="shared" ca="1" si="208"/>
        <v>#N/A</v>
      </c>
      <c r="AX309" s="663" t="e">
        <f t="shared" ca="1" si="209"/>
        <v>#N/A</v>
      </c>
      <c r="AY309" s="663" t="e">
        <f t="shared" ca="1" si="210"/>
        <v>#N/A</v>
      </c>
      <c r="AZ309" s="663" t="e">
        <f t="shared" ca="1" si="211"/>
        <v>#N/A</v>
      </c>
      <c r="BA309" s="663" t="e">
        <f t="shared" ca="1" si="212"/>
        <v>#N/A</v>
      </c>
      <c r="BB309" s="663" t="e">
        <f t="shared" ca="1" si="213"/>
        <v>#N/A</v>
      </c>
      <c r="BC309" s="663" t="e">
        <f t="shared" ca="1" si="214"/>
        <v>#N/A</v>
      </c>
      <c r="BD309" s="663" t="e">
        <f t="shared" ca="1" si="215"/>
        <v>#N/A</v>
      </c>
      <c r="BE309" s="663" t="e">
        <f t="shared" ca="1" si="216"/>
        <v>#N/A</v>
      </c>
      <c r="BF309" s="663" t="e">
        <f t="shared" ca="1" si="217"/>
        <v>#N/A</v>
      </c>
      <c r="BG309" s="663" t="e">
        <f t="shared" ca="1" si="218"/>
        <v>#N/A</v>
      </c>
      <c r="BH309" s="663" t="e">
        <f t="shared" ca="1" si="219"/>
        <v>#N/A</v>
      </c>
      <c r="BI309" s="663" t="e">
        <f t="shared" ca="1" si="220"/>
        <v>#N/A</v>
      </c>
      <c r="BJ309" s="663" t="e">
        <f t="shared" ca="1" si="221"/>
        <v>#N/A</v>
      </c>
      <c r="BK309" s="663" t="e">
        <f t="shared" ca="1" si="222"/>
        <v>#N/A</v>
      </c>
      <c r="BL309" s="1918"/>
      <c r="BM309" s="1532"/>
      <c r="BN309" s="1919"/>
      <c r="BO309" s="603"/>
      <c r="BP309" s="602"/>
      <c r="BQ309" s="602"/>
      <c r="BR309" s="602"/>
      <c r="BS309" s="604"/>
      <c r="BT309" s="605"/>
      <c r="BU309" s="602"/>
      <c r="BV309" s="602"/>
      <c r="BW309" s="606"/>
      <c r="BX309" s="607"/>
      <c r="BY309" s="608"/>
      <c r="BZ309" s="608"/>
      <c r="CA309" s="608"/>
      <c r="CB309" s="600"/>
    </row>
    <row r="310" spans="2:80" ht="12" customHeight="1" x14ac:dyDescent="0.35">
      <c r="B310" s="590" t="e">
        <f>MATCH(C310,'360SpcLdsCSV'!$C$6:$C$500,0)</f>
        <v>#N/A</v>
      </c>
      <c r="C310" s="590">
        <f>'360SpcLdsCSV'!C259</f>
        <v>0</v>
      </c>
      <c r="D310" s="590" t="str">
        <f t="shared" si="226"/>
        <v>0</v>
      </c>
      <c r="E310" s="590" t="e">
        <f t="shared" si="227"/>
        <v>#VALUE!</v>
      </c>
      <c r="F310" s="590" t="e">
        <f t="shared" si="228"/>
        <v>#VALUE!</v>
      </c>
      <c r="G310" s="590" t="str">
        <f t="shared" si="229"/>
        <v>0</v>
      </c>
      <c r="H310" s="590" t="e">
        <f ca="1">OFFSET('360SpcLdsCSV'!$B$5,$B310,H$51)</f>
        <v>#N/A</v>
      </c>
      <c r="I310" s="590" t="e">
        <f ca="1">OFFSET('360SpcLdsCSV'!$B$5,$B310,I$51)</f>
        <v>#N/A</v>
      </c>
      <c r="J310" s="590" t="e">
        <f ca="1">OFFSET('360SpcLdsCSV'!$B$5,$B310,J$51)</f>
        <v>#N/A</v>
      </c>
      <c r="K310" s="590" t="e">
        <f ca="1">OFFSET('360SpcLdsCSV'!$B$5,$B310,K$51)</f>
        <v>#N/A</v>
      </c>
      <c r="L310" s="590" t="e">
        <f ca="1">OFFSET('360SpcLdsCSV'!$B$5,$B310,L$51)</f>
        <v>#N/A</v>
      </c>
      <c r="M310" s="592" t="e">
        <f ca="1">OFFSET('360SpcLdsCSV'!$B$5,$B310,M$51)</f>
        <v>#N/A</v>
      </c>
      <c r="N310" s="592" t="e">
        <f ca="1">OFFSET('360SpcLdsCSV'!$B$5,$B310,N$51)</f>
        <v>#N/A</v>
      </c>
      <c r="O310" s="592" t="e">
        <f ca="1">OFFSET('360SpcLdsCSV'!$B$5,$B310,O$51)</f>
        <v>#N/A</v>
      </c>
      <c r="P310" s="592" t="e">
        <f ca="1">OFFSET('360SpcLdsCSV'!$B$5,$B310,P$51)</f>
        <v>#N/A</v>
      </c>
      <c r="Q310" s="592" t="e">
        <f ca="1">OFFSET('360SpcLdsCSV'!$B$5,$B310,Q$51)</f>
        <v>#N/A</v>
      </c>
      <c r="R310" s="592" t="e">
        <f ca="1">OFFSET('360SpcLdsCSV'!$B$5,$B310,R$51)</f>
        <v>#N/A</v>
      </c>
      <c r="S310" s="592" t="e">
        <f ca="1">OFFSET('360SpcLdsCSV'!$B$5,$B310,S$51)</f>
        <v>#N/A</v>
      </c>
      <c r="T310" s="592" t="e">
        <f ca="1">OFFSET('360SpcLdsCSV'!$B$5,$B310,T$51)</f>
        <v>#N/A</v>
      </c>
      <c r="U310" s="592" t="e">
        <f ca="1">OFFSET('360SpcLdsCSV'!$B$5,$B310,U$51)</f>
        <v>#N/A</v>
      </c>
      <c r="V310" s="592" t="e">
        <f ca="1">OFFSET('360SpcLdsCSV'!$B$5,$B310,V$51)</f>
        <v>#N/A</v>
      </c>
      <c r="W310" s="592" t="e">
        <f ca="1">OFFSET('360SpcLdsCSV'!$B$5,$B310,W$51)</f>
        <v>#N/A</v>
      </c>
      <c r="X310" s="592" t="e">
        <f ca="1">OFFSET('360SpcLdsCSV'!$B$5,$B310,X$51)</f>
        <v>#N/A</v>
      </c>
      <c r="Y310" s="592" t="e">
        <f ca="1">OFFSET('360SpcLdsCSV'!$B$5,$B310,Y$51)</f>
        <v>#N/A</v>
      </c>
      <c r="Z310" s="592" t="e">
        <f ca="1">OFFSET('360SpcLdsCSV'!$B$5,$B310,Z$51)</f>
        <v>#N/A</v>
      </c>
      <c r="AA310" s="592" t="e">
        <f ca="1">OFFSET('360SpcLdsCSV'!$B$5,$B310,AA$51)</f>
        <v>#N/A</v>
      </c>
      <c r="AB310" s="592" t="e">
        <f ca="1">OFFSET('360SpcLdsCSV'!$B$5,$B310,AB$51)</f>
        <v>#N/A</v>
      </c>
      <c r="AC310" s="592" t="e">
        <f ca="1">OFFSET('360SpcLdsCSV'!$B$5,$B310,AC$51)</f>
        <v>#N/A</v>
      </c>
      <c r="AD310" s="592" t="e">
        <f ca="1">OFFSET('360SpcLdsCSV'!$B$5,$B310,AD$51)</f>
        <v>#N/A</v>
      </c>
      <c r="AE310" s="592" t="e">
        <f ca="1">OFFSET('360SpcLdsCSV'!$B$5,$B310,AE$51)</f>
        <v>#N/A</v>
      </c>
      <c r="AF310" s="592" t="e">
        <f ca="1">OFFSET('360SpcLdsCSV'!$B$5,$B310,AF$51)</f>
        <v>#N/A</v>
      </c>
      <c r="AG310" s="592" t="e">
        <f ca="1">OFFSET('360SpcLdsCSV'!$B$5,$B310,AG$51)</f>
        <v>#N/A</v>
      </c>
      <c r="AH310" s="592" t="e">
        <f ca="1">OFFSET('360SpcLdsCSV'!$B$5,$B310,AH$51)</f>
        <v>#N/A</v>
      </c>
      <c r="AI310" s="592" t="e">
        <f ca="1">OFFSET('360SpcLdsCSV'!$B$5,$B310,AI$51)</f>
        <v>#N/A</v>
      </c>
      <c r="AJ310" s="592" t="e" cm="1">
        <f t="array" ref="AJ310">_xlfn.IFS($F310="Resi",1,$F310="Racc",0,$F310="Coml",0,$F310="Prkg",0)</f>
        <v>#VALUE!</v>
      </c>
      <c r="AK310" s="596"/>
      <c r="AL310" s="590" t="e">
        <f ca="1">OFFSET('360SpcLdsCSV'!$B$5,$B310,AL$51)</f>
        <v>#N/A</v>
      </c>
      <c r="AM310" s="663" t="e">
        <f t="shared" ca="1" si="230"/>
        <v>#N/A</v>
      </c>
      <c r="AN310" s="663" t="e">
        <f t="shared" ca="1" si="231"/>
        <v>#N/A</v>
      </c>
      <c r="AO310" s="663" t="e">
        <f t="shared" ca="1" si="232"/>
        <v>#N/A</v>
      </c>
      <c r="AP310" s="663" t="e">
        <f t="shared" ca="1" si="233"/>
        <v>#N/A</v>
      </c>
      <c r="AQ310" s="663" t="e">
        <f t="shared" ca="1" si="234"/>
        <v>#N/A</v>
      </c>
      <c r="AR310" s="663" t="e">
        <f t="shared" ca="1" si="235"/>
        <v>#N/A</v>
      </c>
      <c r="AS310" s="663" t="e">
        <f t="shared" ca="1" si="236"/>
        <v>#N/A</v>
      </c>
      <c r="AT310" s="663" t="e">
        <f t="shared" ca="1" si="237"/>
        <v>#N/A</v>
      </c>
      <c r="AU310" s="663" t="e">
        <f t="shared" ca="1" si="238"/>
        <v>#N/A</v>
      </c>
      <c r="AV310" s="663" t="e">
        <f t="shared" ca="1" si="239"/>
        <v>#N/A</v>
      </c>
      <c r="AW310" s="663" t="e">
        <f t="shared" ca="1" si="208"/>
        <v>#N/A</v>
      </c>
      <c r="AX310" s="663" t="e">
        <f t="shared" ca="1" si="209"/>
        <v>#N/A</v>
      </c>
      <c r="AY310" s="663" t="e">
        <f t="shared" ca="1" si="210"/>
        <v>#N/A</v>
      </c>
      <c r="AZ310" s="663" t="e">
        <f t="shared" ca="1" si="211"/>
        <v>#N/A</v>
      </c>
      <c r="BA310" s="663" t="e">
        <f t="shared" ca="1" si="212"/>
        <v>#N/A</v>
      </c>
      <c r="BB310" s="663" t="e">
        <f t="shared" ca="1" si="213"/>
        <v>#N/A</v>
      </c>
      <c r="BC310" s="663" t="e">
        <f t="shared" ca="1" si="214"/>
        <v>#N/A</v>
      </c>
      <c r="BD310" s="663" t="e">
        <f t="shared" ca="1" si="215"/>
        <v>#N/A</v>
      </c>
      <c r="BE310" s="663" t="e">
        <f t="shared" ca="1" si="216"/>
        <v>#N/A</v>
      </c>
      <c r="BF310" s="663" t="e">
        <f t="shared" ca="1" si="217"/>
        <v>#N/A</v>
      </c>
      <c r="BG310" s="663" t="e">
        <f t="shared" ca="1" si="218"/>
        <v>#N/A</v>
      </c>
      <c r="BH310" s="663" t="e">
        <f t="shared" ca="1" si="219"/>
        <v>#N/A</v>
      </c>
      <c r="BI310" s="663" t="e">
        <f t="shared" ca="1" si="220"/>
        <v>#N/A</v>
      </c>
      <c r="BJ310" s="663" t="e">
        <f t="shared" ca="1" si="221"/>
        <v>#N/A</v>
      </c>
      <c r="BK310" s="663" t="e">
        <f t="shared" ca="1" si="222"/>
        <v>#N/A</v>
      </c>
      <c r="BL310" s="1918"/>
      <c r="BM310" s="1532"/>
      <c r="BN310" s="1919"/>
      <c r="BO310" s="603"/>
      <c r="BP310" s="602"/>
      <c r="BQ310" s="602"/>
      <c r="BR310" s="602"/>
      <c r="BS310" s="604"/>
      <c r="BT310" s="605"/>
      <c r="BU310" s="602"/>
      <c r="BV310" s="602"/>
      <c r="BW310" s="606"/>
      <c r="BX310" s="607"/>
      <c r="BY310" s="608"/>
      <c r="BZ310" s="608"/>
      <c r="CA310" s="608"/>
      <c r="CB310" s="600"/>
    </row>
    <row r="311" spans="2:80" ht="12" customHeight="1" x14ac:dyDescent="0.35">
      <c r="B311" s="590" t="e">
        <f>MATCH(C311,'360SpcLdsCSV'!$C$6:$C$500,0)</f>
        <v>#N/A</v>
      </c>
      <c r="C311" s="590">
        <f>'360SpcLdsCSV'!C260</f>
        <v>0</v>
      </c>
      <c r="D311" s="590" t="str">
        <f t="shared" si="226"/>
        <v>0</v>
      </c>
      <c r="E311" s="590" t="e">
        <f t="shared" si="227"/>
        <v>#VALUE!</v>
      </c>
      <c r="F311" s="590" t="e">
        <f t="shared" si="228"/>
        <v>#VALUE!</v>
      </c>
      <c r="G311" s="590" t="str">
        <f t="shared" si="229"/>
        <v>0</v>
      </c>
      <c r="H311" s="590" t="e">
        <f ca="1">OFFSET('360SpcLdsCSV'!$B$5,$B311,H$51)</f>
        <v>#N/A</v>
      </c>
      <c r="I311" s="590" t="e">
        <f ca="1">OFFSET('360SpcLdsCSV'!$B$5,$B311,I$51)</f>
        <v>#N/A</v>
      </c>
      <c r="J311" s="590" t="e">
        <f ca="1">OFFSET('360SpcLdsCSV'!$B$5,$B311,J$51)</f>
        <v>#N/A</v>
      </c>
      <c r="K311" s="590" t="e">
        <f ca="1">OFFSET('360SpcLdsCSV'!$B$5,$B311,K$51)</f>
        <v>#N/A</v>
      </c>
      <c r="L311" s="590" t="e">
        <f ca="1">OFFSET('360SpcLdsCSV'!$B$5,$B311,L$51)</f>
        <v>#N/A</v>
      </c>
      <c r="M311" s="592" t="e">
        <f ca="1">OFFSET('360SpcLdsCSV'!$B$5,$B311,M$51)</f>
        <v>#N/A</v>
      </c>
      <c r="N311" s="592" t="e">
        <f ca="1">OFFSET('360SpcLdsCSV'!$B$5,$B311,N$51)</f>
        <v>#N/A</v>
      </c>
      <c r="O311" s="592" t="e">
        <f ca="1">OFFSET('360SpcLdsCSV'!$B$5,$B311,O$51)</f>
        <v>#N/A</v>
      </c>
      <c r="P311" s="592" t="e">
        <f ca="1">OFFSET('360SpcLdsCSV'!$B$5,$B311,P$51)</f>
        <v>#N/A</v>
      </c>
      <c r="Q311" s="592" t="e">
        <f ca="1">OFFSET('360SpcLdsCSV'!$B$5,$B311,Q$51)</f>
        <v>#N/A</v>
      </c>
      <c r="R311" s="592" t="e">
        <f ca="1">OFFSET('360SpcLdsCSV'!$B$5,$B311,R$51)</f>
        <v>#N/A</v>
      </c>
      <c r="S311" s="592" t="e">
        <f ca="1">OFFSET('360SpcLdsCSV'!$B$5,$B311,S$51)</f>
        <v>#N/A</v>
      </c>
      <c r="T311" s="592" t="e">
        <f ca="1">OFFSET('360SpcLdsCSV'!$B$5,$B311,T$51)</f>
        <v>#N/A</v>
      </c>
      <c r="U311" s="592" t="e">
        <f ca="1">OFFSET('360SpcLdsCSV'!$B$5,$B311,U$51)</f>
        <v>#N/A</v>
      </c>
      <c r="V311" s="592" t="e">
        <f ca="1">OFFSET('360SpcLdsCSV'!$B$5,$B311,V$51)</f>
        <v>#N/A</v>
      </c>
      <c r="W311" s="592" t="e">
        <f ca="1">OFFSET('360SpcLdsCSV'!$B$5,$B311,W$51)</f>
        <v>#N/A</v>
      </c>
      <c r="X311" s="592" t="e">
        <f ca="1">OFFSET('360SpcLdsCSV'!$B$5,$B311,X$51)</f>
        <v>#N/A</v>
      </c>
      <c r="Y311" s="592" t="e">
        <f ca="1">OFFSET('360SpcLdsCSV'!$B$5,$B311,Y$51)</f>
        <v>#N/A</v>
      </c>
      <c r="Z311" s="592" t="e">
        <f ca="1">OFFSET('360SpcLdsCSV'!$B$5,$B311,Z$51)</f>
        <v>#N/A</v>
      </c>
      <c r="AA311" s="592" t="e">
        <f ca="1">OFFSET('360SpcLdsCSV'!$B$5,$B311,AA$51)</f>
        <v>#N/A</v>
      </c>
      <c r="AB311" s="592" t="e">
        <f ca="1">OFFSET('360SpcLdsCSV'!$B$5,$B311,AB$51)</f>
        <v>#N/A</v>
      </c>
      <c r="AC311" s="592" t="e">
        <f ca="1">OFFSET('360SpcLdsCSV'!$B$5,$B311,AC$51)</f>
        <v>#N/A</v>
      </c>
      <c r="AD311" s="592" t="e">
        <f ca="1">OFFSET('360SpcLdsCSV'!$B$5,$B311,AD$51)</f>
        <v>#N/A</v>
      </c>
      <c r="AE311" s="592" t="e">
        <f ca="1">OFFSET('360SpcLdsCSV'!$B$5,$B311,AE$51)</f>
        <v>#N/A</v>
      </c>
      <c r="AF311" s="592" t="e">
        <f ca="1">OFFSET('360SpcLdsCSV'!$B$5,$B311,AF$51)</f>
        <v>#N/A</v>
      </c>
      <c r="AG311" s="592" t="e">
        <f ca="1">OFFSET('360SpcLdsCSV'!$B$5,$B311,AG$51)</f>
        <v>#N/A</v>
      </c>
      <c r="AH311" s="592" t="e">
        <f ca="1">OFFSET('360SpcLdsCSV'!$B$5,$B311,AH$51)</f>
        <v>#N/A</v>
      </c>
      <c r="AI311" s="592" t="e">
        <f ca="1">OFFSET('360SpcLdsCSV'!$B$5,$B311,AI$51)</f>
        <v>#N/A</v>
      </c>
      <c r="AJ311" s="592" t="e" cm="1">
        <f t="array" ref="AJ311">_xlfn.IFS($F311="Resi",1,$F311="Racc",0,$F311="Coml",0,$F311="Prkg",0)</f>
        <v>#VALUE!</v>
      </c>
      <c r="AK311" s="596"/>
      <c r="AL311" s="590" t="e">
        <f ca="1">OFFSET('360SpcLdsCSV'!$B$5,$B311,AL$51)</f>
        <v>#N/A</v>
      </c>
      <c r="AM311" s="663" t="e">
        <f t="shared" ca="1" si="230"/>
        <v>#N/A</v>
      </c>
      <c r="AN311" s="663" t="e">
        <f t="shared" ca="1" si="231"/>
        <v>#N/A</v>
      </c>
      <c r="AO311" s="663" t="e">
        <f t="shared" ca="1" si="232"/>
        <v>#N/A</v>
      </c>
      <c r="AP311" s="663" t="e">
        <f t="shared" ca="1" si="233"/>
        <v>#N/A</v>
      </c>
      <c r="AQ311" s="663" t="e">
        <f t="shared" ca="1" si="234"/>
        <v>#N/A</v>
      </c>
      <c r="AR311" s="663" t="e">
        <f t="shared" ca="1" si="235"/>
        <v>#N/A</v>
      </c>
      <c r="AS311" s="663" t="e">
        <f t="shared" ca="1" si="236"/>
        <v>#N/A</v>
      </c>
      <c r="AT311" s="663" t="e">
        <f t="shared" ca="1" si="237"/>
        <v>#N/A</v>
      </c>
      <c r="AU311" s="663" t="e">
        <f t="shared" ca="1" si="238"/>
        <v>#N/A</v>
      </c>
      <c r="AV311" s="663" t="e">
        <f t="shared" ca="1" si="239"/>
        <v>#N/A</v>
      </c>
      <c r="AW311" s="663" t="e">
        <f t="shared" ca="1" si="208"/>
        <v>#N/A</v>
      </c>
      <c r="AX311" s="663" t="e">
        <f t="shared" ca="1" si="209"/>
        <v>#N/A</v>
      </c>
      <c r="AY311" s="663" t="e">
        <f t="shared" ca="1" si="210"/>
        <v>#N/A</v>
      </c>
      <c r="AZ311" s="663" t="e">
        <f t="shared" ca="1" si="211"/>
        <v>#N/A</v>
      </c>
      <c r="BA311" s="663" t="e">
        <f t="shared" ca="1" si="212"/>
        <v>#N/A</v>
      </c>
      <c r="BB311" s="663" t="e">
        <f t="shared" ca="1" si="213"/>
        <v>#N/A</v>
      </c>
      <c r="BC311" s="663" t="e">
        <f t="shared" ca="1" si="214"/>
        <v>#N/A</v>
      </c>
      <c r="BD311" s="663" t="e">
        <f t="shared" ca="1" si="215"/>
        <v>#N/A</v>
      </c>
      <c r="BE311" s="663" t="e">
        <f t="shared" ca="1" si="216"/>
        <v>#N/A</v>
      </c>
      <c r="BF311" s="663" t="e">
        <f t="shared" ca="1" si="217"/>
        <v>#N/A</v>
      </c>
      <c r="BG311" s="663" t="e">
        <f t="shared" ca="1" si="218"/>
        <v>#N/A</v>
      </c>
      <c r="BH311" s="663" t="e">
        <f t="shared" ca="1" si="219"/>
        <v>#N/A</v>
      </c>
      <c r="BI311" s="663" t="e">
        <f t="shared" ca="1" si="220"/>
        <v>#N/A</v>
      </c>
      <c r="BJ311" s="663" t="e">
        <f t="shared" ca="1" si="221"/>
        <v>#N/A</v>
      </c>
      <c r="BK311" s="663" t="e">
        <f t="shared" ca="1" si="222"/>
        <v>#N/A</v>
      </c>
      <c r="BL311" s="1918"/>
      <c r="BM311" s="1532"/>
      <c r="BN311" s="1919"/>
      <c r="BO311" s="603"/>
      <c r="BP311" s="602"/>
      <c r="BQ311" s="602"/>
      <c r="BR311" s="602"/>
      <c r="BS311" s="604"/>
      <c r="BT311" s="605"/>
      <c r="BU311" s="602"/>
      <c r="BV311" s="602"/>
      <c r="BW311" s="606"/>
      <c r="BX311" s="607"/>
      <c r="BY311" s="608"/>
      <c r="BZ311" s="608"/>
      <c r="CA311" s="608"/>
      <c r="CB311" s="600"/>
    </row>
    <row r="312" spans="2:80" ht="12" customHeight="1" x14ac:dyDescent="0.35">
      <c r="B312" s="590" t="e">
        <f>MATCH(C312,'360SpcLdsCSV'!$C$6:$C$500,0)</f>
        <v>#N/A</v>
      </c>
      <c r="C312" s="590">
        <f>'360SpcLdsCSV'!C261</f>
        <v>0</v>
      </c>
      <c r="D312" s="590" t="str">
        <f t="shared" si="226"/>
        <v>0</v>
      </c>
      <c r="E312" s="590" t="e">
        <f t="shared" si="227"/>
        <v>#VALUE!</v>
      </c>
      <c r="F312" s="590" t="e">
        <f t="shared" si="228"/>
        <v>#VALUE!</v>
      </c>
      <c r="G312" s="590" t="str">
        <f t="shared" si="229"/>
        <v>0</v>
      </c>
      <c r="H312" s="590" t="e">
        <f ca="1">OFFSET('360SpcLdsCSV'!$B$5,$B312,H$51)</f>
        <v>#N/A</v>
      </c>
      <c r="I312" s="590" t="e">
        <f ca="1">OFFSET('360SpcLdsCSV'!$B$5,$B312,I$51)</f>
        <v>#N/A</v>
      </c>
      <c r="J312" s="590" t="e">
        <f ca="1">OFFSET('360SpcLdsCSV'!$B$5,$B312,J$51)</f>
        <v>#N/A</v>
      </c>
      <c r="K312" s="590" t="e">
        <f ca="1">OFFSET('360SpcLdsCSV'!$B$5,$B312,K$51)</f>
        <v>#N/A</v>
      </c>
      <c r="L312" s="590" t="e">
        <f ca="1">OFFSET('360SpcLdsCSV'!$B$5,$B312,L$51)</f>
        <v>#N/A</v>
      </c>
      <c r="M312" s="592" t="e">
        <f ca="1">OFFSET('360SpcLdsCSV'!$B$5,$B312,M$51)</f>
        <v>#N/A</v>
      </c>
      <c r="N312" s="592" t="e">
        <f ca="1">OFFSET('360SpcLdsCSV'!$B$5,$B312,N$51)</f>
        <v>#N/A</v>
      </c>
      <c r="O312" s="592" t="e">
        <f ca="1">OFFSET('360SpcLdsCSV'!$B$5,$B312,O$51)</f>
        <v>#N/A</v>
      </c>
      <c r="P312" s="592" t="e">
        <f ca="1">OFFSET('360SpcLdsCSV'!$B$5,$B312,P$51)</f>
        <v>#N/A</v>
      </c>
      <c r="Q312" s="592" t="e">
        <f ca="1">OFFSET('360SpcLdsCSV'!$B$5,$B312,Q$51)</f>
        <v>#N/A</v>
      </c>
      <c r="R312" s="592" t="e">
        <f ca="1">OFFSET('360SpcLdsCSV'!$B$5,$B312,R$51)</f>
        <v>#N/A</v>
      </c>
      <c r="S312" s="592" t="e">
        <f ca="1">OFFSET('360SpcLdsCSV'!$B$5,$B312,S$51)</f>
        <v>#N/A</v>
      </c>
      <c r="T312" s="592" t="e">
        <f ca="1">OFFSET('360SpcLdsCSV'!$B$5,$B312,T$51)</f>
        <v>#N/A</v>
      </c>
      <c r="U312" s="592" t="e">
        <f ca="1">OFFSET('360SpcLdsCSV'!$B$5,$B312,U$51)</f>
        <v>#N/A</v>
      </c>
      <c r="V312" s="592" t="e">
        <f ca="1">OFFSET('360SpcLdsCSV'!$B$5,$B312,V$51)</f>
        <v>#N/A</v>
      </c>
      <c r="W312" s="592" t="e">
        <f ca="1">OFFSET('360SpcLdsCSV'!$B$5,$B312,W$51)</f>
        <v>#N/A</v>
      </c>
      <c r="X312" s="592" t="e">
        <f ca="1">OFFSET('360SpcLdsCSV'!$B$5,$B312,X$51)</f>
        <v>#N/A</v>
      </c>
      <c r="Y312" s="592" t="e">
        <f ca="1">OFFSET('360SpcLdsCSV'!$B$5,$B312,Y$51)</f>
        <v>#N/A</v>
      </c>
      <c r="Z312" s="592" t="e">
        <f ca="1">OFFSET('360SpcLdsCSV'!$B$5,$B312,Z$51)</f>
        <v>#N/A</v>
      </c>
      <c r="AA312" s="592" t="e">
        <f ca="1">OFFSET('360SpcLdsCSV'!$B$5,$B312,AA$51)</f>
        <v>#N/A</v>
      </c>
      <c r="AB312" s="592" t="e">
        <f ca="1">OFFSET('360SpcLdsCSV'!$B$5,$B312,AB$51)</f>
        <v>#N/A</v>
      </c>
      <c r="AC312" s="592" t="e">
        <f ca="1">OFFSET('360SpcLdsCSV'!$B$5,$B312,AC$51)</f>
        <v>#N/A</v>
      </c>
      <c r="AD312" s="592" t="e">
        <f ca="1">OFFSET('360SpcLdsCSV'!$B$5,$B312,AD$51)</f>
        <v>#N/A</v>
      </c>
      <c r="AE312" s="592" t="e">
        <f ca="1">OFFSET('360SpcLdsCSV'!$B$5,$B312,AE$51)</f>
        <v>#N/A</v>
      </c>
      <c r="AF312" s="592" t="e">
        <f ca="1">OFFSET('360SpcLdsCSV'!$B$5,$B312,AF$51)</f>
        <v>#N/A</v>
      </c>
      <c r="AG312" s="592" t="e">
        <f ca="1">OFFSET('360SpcLdsCSV'!$B$5,$B312,AG$51)</f>
        <v>#N/A</v>
      </c>
      <c r="AH312" s="592" t="e">
        <f ca="1">OFFSET('360SpcLdsCSV'!$B$5,$B312,AH$51)</f>
        <v>#N/A</v>
      </c>
      <c r="AI312" s="592" t="e">
        <f ca="1">OFFSET('360SpcLdsCSV'!$B$5,$B312,AI$51)</f>
        <v>#N/A</v>
      </c>
      <c r="AJ312" s="592" t="e" cm="1">
        <f t="array" ref="AJ312">_xlfn.IFS($F312="Resi",1,$F312="Racc",0,$F312="Coml",0,$F312="Prkg",0)</f>
        <v>#VALUE!</v>
      </c>
      <c r="AK312" s="596"/>
      <c r="AL312" s="590" t="e">
        <f ca="1">OFFSET('360SpcLdsCSV'!$B$5,$B312,AL$51)</f>
        <v>#N/A</v>
      </c>
      <c r="AM312" s="663" t="e">
        <f t="shared" ca="1" si="230"/>
        <v>#N/A</v>
      </c>
      <c r="AN312" s="663" t="e">
        <f t="shared" ca="1" si="231"/>
        <v>#N/A</v>
      </c>
      <c r="AO312" s="663" t="e">
        <f t="shared" ca="1" si="232"/>
        <v>#N/A</v>
      </c>
      <c r="AP312" s="663" t="e">
        <f t="shared" ca="1" si="233"/>
        <v>#N/A</v>
      </c>
      <c r="AQ312" s="663" t="e">
        <f t="shared" ca="1" si="234"/>
        <v>#N/A</v>
      </c>
      <c r="AR312" s="663" t="e">
        <f t="shared" ca="1" si="235"/>
        <v>#N/A</v>
      </c>
      <c r="AS312" s="663" t="e">
        <f t="shared" ca="1" si="236"/>
        <v>#N/A</v>
      </c>
      <c r="AT312" s="663" t="e">
        <f t="shared" ca="1" si="237"/>
        <v>#N/A</v>
      </c>
      <c r="AU312" s="663" t="e">
        <f t="shared" ca="1" si="238"/>
        <v>#N/A</v>
      </c>
      <c r="AV312" s="663" t="e">
        <f t="shared" ca="1" si="239"/>
        <v>#N/A</v>
      </c>
      <c r="AW312" s="663" t="e">
        <f t="shared" ca="1" si="208"/>
        <v>#N/A</v>
      </c>
      <c r="AX312" s="663" t="e">
        <f t="shared" ca="1" si="209"/>
        <v>#N/A</v>
      </c>
      <c r="AY312" s="663" t="e">
        <f t="shared" ca="1" si="210"/>
        <v>#N/A</v>
      </c>
      <c r="AZ312" s="663" t="e">
        <f t="shared" ca="1" si="211"/>
        <v>#N/A</v>
      </c>
      <c r="BA312" s="663" t="e">
        <f t="shared" ca="1" si="212"/>
        <v>#N/A</v>
      </c>
      <c r="BB312" s="663" t="e">
        <f t="shared" ca="1" si="213"/>
        <v>#N/A</v>
      </c>
      <c r="BC312" s="663" t="e">
        <f t="shared" ca="1" si="214"/>
        <v>#N/A</v>
      </c>
      <c r="BD312" s="663" t="e">
        <f t="shared" ca="1" si="215"/>
        <v>#N/A</v>
      </c>
      <c r="BE312" s="663" t="e">
        <f t="shared" ca="1" si="216"/>
        <v>#N/A</v>
      </c>
      <c r="BF312" s="663" t="e">
        <f t="shared" ca="1" si="217"/>
        <v>#N/A</v>
      </c>
      <c r="BG312" s="663" t="e">
        <f t="shared" ca="1" si="218"/>
        <v>#N/A</v>
      </c>
      <c r="BH312" s="663" t="e">
        <f t="shared" ca="1" si="219"/>
        <v>#N/A</v>
      </c>
      <c r="BI312" s="663" t="e">
        <f t="shared" ca="1" si="220"/>
        <v>#N/A</v>
      </c>
      <c r="BJ312" s="663" t="e">
        <f t="shared" ca="1" si="221"/>
        <v>#N/A</v>
      </c>
      <c r="BK312" s="663" t="e">
        <f t="shared" ca="1" si="222"/>
        <v>#N/A</v>
      </c>
      <c r="BL312" s="1918"/>
      <c r="BM312" s="1532"/>
      <c r="BN312" s="1919"/>
      <c r="BO312" s="603"/>
      <c r="BP312" s="602"/>
      <c r="BQ312" s="602"/>
      <c r="BR312" s="602"/>
      <c r="BS312" s="604"/>
      <c r="BT312" s="605"/>
      <c r="BU312" s="602"/>
      <c r="BV312" s="602"/>
      <c r="BW312" s="606"/>
      <c r="BX312" s="607"/>
      <c r="BY312" s="608"/>
      <c r="BZ312" s="608"/>
      <c r="CA312" s="608"/>
      <c r="CB312" s="600"/>
    </row>
    <row r="313" spans="2:80" ht="12" customHeight="1" x14ac:dyDescent="0.35">
      <c r="B313" s="590" t="e">
        <f>MATCH(C313,'360SpcLdsCSV'!$C$6:$C$500,0)</f>
        <v>#N/A</v>
      </c>
      <c r="C313" s="590">
        <f>'360SpcLdsCSV'!C262</f>
        <v>0</v>
      </c>
      <c r="D313" s="590" t="str">
        <f t="shared" si="226"/>
        <v>0</v>
      </c>
      <c r="E313" s="590" t="e">
        <f t="shared" si="227"/>
        <v>#VALUE!</v>
      </c>
      <c r="F313" s="590" t="e">
        <f t="shared" si="228"/>
        <v>#VALUE!</v>
      </c>
      <c r="G313" s="590" t="str">
        <f t="shared" si="229"/>
        <v>0</v>
      </c>
      <c r="H313" s="590" t="e">
        <f ca="1">OFFSET('360SpcLdsCSV'!$B$5,$B313,H$51)</f>
        <v>#N/A</v>
      </c>
      <c r="I313" s="590" t="e">
        <f ca="1">OFFSET('360SpcLdsCSV'!$B$5,$B313,I$51)</f>
        <v>#N/A</v>
      </c>
      <c r="J313" s="590" t="e">
        <f ca="1">OFFSET('360SpcLdsCSV'!$B$5,$B313,J$51)</f>
        <v>#N/A</v>
      </c>
      <c r="K313" s="590" t="e">
        <f ca="1">OFFSET('360SpcLdsCSV'!$B$5,$B313,K$51)</f>
        <v>#N/A</v>
      </c>
      <c r="L313" s="590" t="e">
        <f ca="1">OFFSET('360SpcLdsCSV'!$B$5,$B313,L$51)</f>
        <v>#N/A</v>
      </c>
      <c r="M313" s="592" t="e">
        <f ca="1">OFFSET('360SpcLdsCSV'!$B$5,$B313,M$51)</f>
        <v>#N/A</v>
      </c>
      <c r="N313" s="592" t="e">
        <f ca="1">OFFSET('360SpcLdsCSV'!$B$5,$B313,N$51)</f>
        <v>#N/A</v>
      </c>
      <c r="O313" s="592" t="e">
        <f ca="1">OFFSET('360SpcLdsCSV'!$B$5,$B313,O$51)</f>
        <v>#N/A</v>
      </c>
      <c r="P313" s="592" t="e">
        <f ca="1">OFFSET('360SpcLdsCSV'!$B$5,$B313,P$51)</f>
        <v>#N/A</v>
      </c>
      <c r="Q313" s="592" t="e">
        <f ca="1">OFFSET('360SpcLdsCSV'!$B$5,$B313,Q$51)</f>
        <v>#N/A</v>
      </c>
      <c r="R313" s="592" t="e">
        <f ca="1">OFFSET('360SpcLdsCSV'!$B$5,$B313,R$51)</f>
        <v>#N/A</v>
      </c>
      <c r="S313" s="592" t="e">
        <f ca="1">OFFSET('360SpcLdsCSV'!$B$5,$B313,S$51)</f>
        <v>#N/A</v>
      </c>
      <c r="T313" s="592" t="e">
        <f ca="1">OFFSET('360SpcLdsCSV'!$B$5,$B313,T$51)</f>
        <v>#N/A</v>
      </c>
      <c r="U313" s="592" t="e">
        <f ca="1">OFFSET('360SpcLdsCSV'!$B$5,$B313,U$51)</f>
        <v>#N/A</v>
      </c>
      <c r="V313" s="592" t="e">
        <f ca="1">OFFSET('360SpcLdsCSV'!$B$5,$B313,V$51)</f>
        <v>#N/A</v>
      </c>
      <c r="W313" s="592" t="e">
        <f ca="1">OFFSET('360SpcLdsCSV'!$B$5,$B313,W$51)</f>
        <v>#N/A</v>
      </c>
      <c r="X313" s="592" t="e">
        <f ca="1">OFFSET('360SpcLdsCSV'!$B$5,$B313,X$51)</f>
        <v>#N/A</v>
      </c>
      <c r="Y313" s="592" t="e">
        <f ca="1">OFFSET('360SpcLdsCSV'!$B$5,$B313,Y$51)</f>
        <v>#N/A</v>
      </c>
      <c r="Z313" s="592" t="e">
        <f ca="1">OFFSET('360SpcLdsCSV'!$B$5,$B313,Z$51)</f>
        <v>#N/A</v>
      </c>
      <c r="AA313" s="592" t="e">
        <f ca="1">OFFSET('360SpcLdsCSV'!$B$5,$B313,AA$51)</f>
        <v>#N/A</v>
      </c>
      <c r="AB313" s="592" t="e">
        <f ca="1">OFFSET('360SpcLdsCSV'!$B$5,$B313,AB$51)</f>
        <v>#N/A</v>
      </c>
      <c r="AC313" s="592" t="e">
        <f ca="1">OFFSET('360SpcLdsCSV'!$B$5,$B313,AC$51)</f>
        <v>#N/A</v>
      </c>
      <c r="AD313" s="592" t="e">
        <f ca="1">OFFSET('360SpcLdsCSV'!$B$5,$B313,AD$51)</f>
        <v>#N/A</v>
      </c>
      <c r="AE313" s="592" t="e">
        <f ca="1">OFFSET('360SpcLdsCSV'!$B$5,$B313,AE$51)</f>
        <v>#N/A</v>
      </c>
      <c r="AF313" s="592" t="e">
        <f ca="1">OFFSET('360SpcLdsCSV'!$B$5,$B313,AF$51)</f>
        <v>#N/A</v>
      </c>
      <c r="AG313" s="592" t="e">
        <f ca="1">OFFSET('360SpcLdsCSV'!$B$5,$B313,AG$51)</f>
        <v>#N/A</v>
      </c>
      <c r="AH313" s="592" t="e">
        <f ca="1">OFFSET('360SpcLdsCSV'!$B$5,$B313,AH$51)</f>
        <v>#N/A</v>
      </c>
      <c r="AI313" s="592" t="e">
        <f ca="1">OFFSET('360SpcLdsCSV'!$B$5,$B313,AI$51)</f>
        <v>#N/A</v>
      </c>
      <c r="AJ313" s="592" t="e" cm="1">
        <f t="array" ref="AJ313">_xlfn.IFS($F313="Resi",1,$F313="Racc",0,$F313="Coml",0,$F313="Prkg",0)</f>
        <v>#VALUE!</v>
      </c>
      <c r="AK313" s="596"/>
      <c r="AL313" s="590" t="e">
        <f ca="1">OFFSET('360SpcLdsCSV'!$B$5,$B313,AL$51)</f>
        <v>#N/A</v>
      </c>
      <c r="AM313" s="663" t="e">
        <f t="shared" ca="1" si="230"/>
        <v>#N/A</v>
      </c>
      <c r="AN313" s="663" t="e">
        <f t="shared" ca="1" si="231"/>
        <v>#N/A</v>
      </c>
      <c r="AO313" s="663" t="e">
        <f t="shared" ca="1" si="232"/>
        <v>#N/A</v>
      </c>
      <c r="AP313" s="663" t="e">
        <f t="shared" ca="1" si="233"/>
        <v>#N/A</v>
      </c>
      <c r="AQ313" s="663" t="e">
        <f t="shared" ca="1" si="234"/>
        <v>#N/A</v>
      </c>
      <c r="AR313" s="663" t="e">
        <f t="shared" ca="1" si="235"/>
        <v>#N/A</v>
      </c>
      <c r="AS313" s="663" t="e">
        <f t="shared" ca="1" si="236"/>
        <v>#N/A</v>
      </c>
      <c r="AT313" s="663" t="e">
        <f t="shared" ca="1" si="237"/>
        <v>#N/A</v>
      </c>
      <c r="AU313" s="663" t="e">
        <f t="shared" ca="1" si="238"/>
        <v>#N/A</v>
      </c>
      <c r="AV313" s="663" t="e">
        <f t="shared" ca="1" si="239"/>
        <v>#N/A</v>
      </c>
      <c r="AW313" s="663" t="e">
        <f t="shared" ref="AW313:AW317" ca="1" si="240">U313*$AL313</f>
        <v>#N/A</v>
      </c>
      <c r="AX313" s="663" t="e">
        <f t="shared" ref="AX313:AX317" ca="1" si="241">V313*$AL313</f>
        <v>#N/A</v>
      </c>
      <c r="AY313" s="663" t="e">
        <f t="shared" ref="AY313:AY317" ca="1" si="242">W313*$AL313</f>
        <v>#N/A</v>
      </c>
      <c r="AZ313" s="663" t="e">
        <f t="shared" ref="AZ313:AZ317" ca="1" si="243">X313*$AL313</f>
        <v>#N/A</v>
      </c>
      <c r="BA313" s="663" t="e">
        <f t="shared" ref="BA313:BA317" ca="1" si="244">Y313*$AL313</f>
        <v>#N/A</v>
      </c>
      <c r="BB313" s="663" t="e">
        <f t="shared" ref="BB313:BB317" ca="1" si="245">Z313*$AL313</f>
        <v>#N/A</v>
      </c>
      <c r="BC313" s="663" t="e">
        <f t="shared" ref="BC313:BC317" ca="1" si="246">AA313*$AL313</f>
        <v>#N/A</v>
      </c>
      <c r="BD313" s="663" t="e">
        <f t="shared" ref="BD313:BD317" ca="1" si="247">AB313*$AL313</f>
        <v>#N/A</v>
      </c>
      <c r="BE313" s="663" t="e">
        <f t="shared" ref="BE313:BE317" ca="1" si="248">AC313*$AL313</f>
        <v>#N/A</v>
      </c>
      <c r="BF313" s="663" t="e">
        <f t="shared" ref="BF313:BF317" ca="1" si="249">AD313*$AL313</f>
        <v>#N/A</v>
      </c>
      <c r="BG313" s="663" t="e">
        <f t="shared" ref="BG313:BG317" ca="1" si="250">AE313*$AL313</f>
        <v>#N/A</v>
      </c>
      <c r="BH313" s="663" t="e">
        <f t="shared" ref="BH313:BH317" ca="1" si="251">AF313*$AL313</f>
        <v>#N/A</v>
      </c>
      <c r="BI313" s="663" t="e">
        <f t="shared" ref="BI313:BI317" ca="1" si="252">AG313*$AL313</f>
        <v>#N/A</v>
      </c>
      <c r="BJ313" s="663" t="e">
        <f t="shared" ref="BJ313:BJ317" ca="1" si="253">AH313*$AL313</f>
        <v>#N/A</v>
      </c>
      <c r="BK313" s="663" t="e">
        <f t="shared" ref="BK313:BK317" ca="1" si="254">AI313*$AL313</f>
        <v>#N/A</v>
      </c>
      <c r="BL313" s="1918"/>
      <c r="BM313" s="1532"/>
      <c r="BN313" s="1919"/>
      <c r="BO313" s="603"/>
      <c r="BP313" s="602"/>
      <c r="BQ313" s="602"/>
      <c r="BR313" s="602"/>
      <c r="BS313" s="604"/>
      <c r="BT313" s="605"/>
      <c r="BU313" s="602"/>
      <c r="BV313" s="602"/>
      <c r="BW313" s="606"/>
      <c r="BX313" s="607"/>
      <c r="BY313" s="608"/>
      <c r="BZ313" s="608"/>
      <c r="CA313" s="608"/>
      <c r="CB313" s="600"/>
    </row>
    <row r="314" spans="2:80" ht="12" customHeight="1" x14ac:dyDescent="0.35">
      <c r="B314" s="590" t="e">
        <f>MATCH(C314,'360SpcLdsCSV'!$C$6:$C$500,0)</f>
        <v>#N/A</v>
      </c>
      <c r="C314" s="590">
        <f>'360SpcLdsCSV'!C263</f>
        <v>0</v>
      </c>
      <c r="D314" s="590" t="str">
        <f t="shared" si="226"/>
        <v>0</v>
      </c>
      <c r="E314" s="590" t="e">
        <f t="shared" si="227"/>
        <v>#VALUE!</v>
      </c>
      <c r="F314" s="590" t="e">
        <f t="shared" si="228"/>
        <v>#VALUE!</v>
      </c>
      <c r="G314" s="590" t="str">
        <f t="shared" si="229"/>
        <v>0</v>
      </c>
      <c r="H314" s="590" t="e">
        <f ca="1">OFFSET('360SpcLdsCSV'!$B$5,$B314,H$51)</f>
        <v>#N/A</v>
      </c>
      <c r="I314" s="590" t="e">
        <f ca="1">OFFSET('360SpcLdsCSV'!$B$5,$B314,I$51)</f>
        <v>#N/A</v>
      </c>
      <c r="J314" s="590" t="e">
        <f ca="1">OFFSET('360SpcLdsCSV'!$B$5,$B314,J$51)</f>
        <v>#N/A</v>
      </c>
      <c r="K314" s="590" t="e">
        <f ca="1">OFFSET('360SpcLdsCSV'!$B$5,$B314,K$51)</f>
        <v>#N/A</v>
      </c>
      <c r="L314" s="590" t="e">
        <f ca="1">OFFSET('360SpcLdsCSV'!$B$5,$B314,L$51)</f>
        <v>#N/A</v>
      </c>
      <c r="M314" s="592" t="e">
        <f ca="1">OFFSET('360SpcLdsCSV'!$B$5,$B314,M$51)</f>
        <v>#N/A</v>
      </c>
      <c r="N314" s="592" t="e">
        <f ca="1">OFFSET('360SpcLdsCSV'!$B$5,$B314,N$51)</f>
        <v>#N/A</v>
      </c>
      <c r="O314" s="592" t="e">
        <f ca="1">OFFSET('360SpcLdsCSV'!$B$5,$B314,O$51)</f>
        <v>#N/A</v>
      </c>
      <c r="P314" s="592" t="e">
        <f ca="1">OFFSET('360SpcLdsCSV'!$B$5,$B314,P$51)</f>
        <v>#N/A</v>
      </c>
      <c r="Q314" s="592" t="e">
        <f ca="1">OFFSET('360SpcLdsCSV'!$B$5,$B314,Q$51)</f>
        <v>#N/A</v>
      </c>
      <c r="R314" s="592" t="e">
        <f ca="1">OFFSET('360SpcLdsCSV'!$B$5,$B314,R$51)</f>
        <v>#N/A</v>
      </c>
      <c r="S314" s="592" t="e">
        <f ca="1">OFFSET('360SpcLdsCSV'!$B$5,$B314,S$51)</f>
        <v>#N/A</v>
      </c>
      <c r="T314" s="592" t="e">
        <f ca="1">OFFSET('360SpcLdsCSV'!$B$5,$B314,T$51)</f>
        <v>#N/A</v>
      </c>
      <c r="U314" s="592" t="e">
        <f ca="1">OFFSET('360SpcLdsCSV'!$B$5,$B314,U$51)</f>
        <v>#N/A</v>
      </c>
      <c r="V314" s="592" t="e">
        <f ca="1">OFFSET('360SpcLdsCSV'!$B$5,$B314,V$51)</f>
        <v>#N/A</v>
      </c>
      <c r="W314" s="592" t="e">
        <f ca="1">OFFSET('360SpcLdsCSV'!$B$5,$B314,W$51)</f>
        <v>#N/A</v>
      </c>
      <c r="X314" s="592" t="e">
        <f ca="1">OFFSET('360SpcLdsCSV'!$B$5,$B314,X$51)</f>
        <v>#N/A</v>
      </c>
      <c r="Y314" s="592" t="e">
        <f ca="1">OFFSET('360SpcLdsCSV'!$B$5,$B314,Y$51)</f>
        <v>#N/A</v>
      </c>
      <c r="Z314" s="592" t="e">
        <f ca="1">OFFSET('360SpcLdsCSV'!$B$5,$B314,Z$51)</f>
        <v>#N/A</v>
      </c>
      <c r="AA314" s="592" t="e">
        <f ca="1">OFFSET('360SpcLdsCSV'!$B$5,$B314,AA$51)</f>
        <v>#N/A</v>
      </c>
      <c r="AB314" s="592" t="e">
        <f ca="1">OFFSET('360SpcLdsCSV'!$B$5,$B314,AB$51)</f>
        <v>#N/A</v>
      </c>
      <c r="AC314" s="592" t="e">
        <f ca="1">OFFSET('360SpcLdsCSV'!$B$5,$B314,AC$51)</f>
        <v>#N/A</v>
      </c>
      <c r="AD314" s="592" t="e">
        <f ca="1">OFFSET('360SpcLdsCSV'!$B$5,$B314,AD$51)</f>
        <v>#N/A</v>
      </c>
      <c r="AE314" s="592" t="e">
        <f ca="1">OFFSET('360SpcLdsCSV'!$B$5,$B314,AE$51)</f>
        <v>#N/A</v>
      </c>
      <c r="AF314" s="592" t="e">
        <f ca="1">OFFSET('360SpcLdsCSV'!$B$5,$B314,AF$51)</f>
        <v>#N/A</v>
      </c>
      <c r="AG314" s="592" t="e">
        <f ca="1">OFFSET('360SpcLdsCSV'!$B$5,$B314,AG$51)</f>
        <v>#N/A</v>
      </c>
      <c r="AH314" s="592" t="e">
        <f ca="1">OFFSET('360SpcLdsCSV'!$B$5,$B314,AH$51)</f>
        <v>#N/A</v>
      </c>
      <c r="AI314" s="592" t="e">
        <f ca="1">OFFSET('360SpcLdsCSV'!$B$5,$B314,AI$51)</f>
        <v>#N/A</v>
      </c>
      <c r="AJ314" s="592" t="e" cm="1">
        <f t="array" ref="AJ314">_xlfn.IFS($F314="Resi",1,$F314="Racc",0,$F314="Coml",0,$F314="Prkg",0)</f>
        <v>#VALUE!</v>
      </c>
      <c r="AK314" s="596"/>
      <c r="AL314" s="590" t="e">
        <f ca="1">OFFSET('360SpcLdsCSV'!$B$5,$B314,AL$51)</f>
        <v>#N/A</v>
      </c>
      <c r="AM314" s="663" t="e">
        <f t="shared" ca="1" si="230"/>
        <v>#N/A</v>
      </c>
      <c r="AN314" s="663" t="e">
        <f t="shared" ca="1" si="231"/>
        <v>#N/A</v>
      </c>
      <c r="AO314" s="663" t="e">
        <f t="shared" ca="1" si="232"/>
        <v>#N/A</v>
      </c>
      <c r="AP314" s="663" t="e">
        <f t="shared" ca="1" si="233"/>
        <v>#N/A</v>
      </c>
      <c r="AQ314" s="663" t="e">
        <f t="shared" ca="1" si="234"/>
        <v>#N/A</v>
      </c>
      <c r="AR314" s="663" t="e">
        <f t="shared" ca="1" si="235"/>
        <v>#N/A</v>
      </c>
      <c r="AS314" s="663" t="e">
        <f t="shared" ca="1" si="236"/>
        <v>#N/A</v>
      </c>
      <c r="AT314" s="663" t="e">
        <f t="shared" ca="1" si="237"/>
        <v>#N/A</v>
      </c>
      <c r="AU314" s="663" t="e">
        <f t="shared" ca="1" si="238"/>
        <v>#N/A</v>
      </c>
      <c r="AV314" s="663" t="e">
        <f t="shared" ca="1" si="239"/>
        <v>#N/A</v>
      </c>
      <c r="AW314" s="663" t="e">
        <f t="shared" ca="1" si="240"/>
        <v>#N/A</v>
      </c>
      <c r="AX314" s="663" t="e">
        <f t="shared" ca="1" si="241"/>
        <v>#N/A</v>
      </c>
      <c r="AY314" s="663" t="e">
        <f t="shared" ca="1" si="242"/>
        <v>#N/A</v>
      </c>
      <c r="AZ314" s="663" t="e">
        <f t="shared" ca="1" si="243"/>
        <v>#N/A</v>
      </c>
      <c r="BA314" s="663" t="e">
        <f t="shared" ca="1" si="244"/>
        <v>#N/A</v>
      </c>
      <c r="BB314" s="663" t="e">
        <f t="shared" ca="1" si="245"/>
        <v>#N/A</v>
      </c>
      <c r="BC314" s="663" t="e">
        <f t="shared" ca="1" si="246"/>
        <v>#N/A</v>
      </c>
      <c r="BD314" s="663" t="e">
        <f t="shared" ca="1" si="247"/>
        <v>#N/A</v>
      </c>
      <c r="BE314" s="663" t="e">
        <f t="shared" ca="1" si="248"/>
        <v>#N/A</v>
      </c>
      <c r="BF314" s="663" t="e">
        <f t="shared" ca="1" si="249"/>
        <v>#N/A</v>
      </c>
      <c r="BG314" s="663" t="e">
        <f t="shared" ca="1" si="250"/>
        <v>#N/A</v>
      </c>
      <c r="BH314" s="663" t="e">
        <f t="shared" ca="1" si="251"/>
        <v>#N/A</v>
      </c>
      <c r="BI314" s="663" t="e">
        <f t="shared" ca="1" si="252"/>
        <v>#N/A</v>
      </c>
      <c r="BJ314" s="663" t="e">
        <f t="shared" ca="1" si="253"/>
        <v>#N/A</v>
      </c>
      <c r="BK314" s="663" t="e">
        <f t="shared" ca="1" si="254"/>
        <v>#N/A</v>
      </c>
      <c r="BL314" s="1918"/>
      <c r="BM314" s="1532"/>
      <c r="BN314" s="1919"/>
      <c r="BO314" s="603"/>
      <c r="BP314" s="602"/>
      <c r="BQ314" s="602"/>
      <c r="BR314" s="602"/>
      <c r="BS314" s="604"/>
      <c r="BT314" s="605"/>
      <c r="BU314" s="602"/>
      <c r="BV314" s="602"/>
      <c r="BW314" s="606"/>
      <c r="BX314" s="607"/>
      <c r="BY314" s="608"/>
      <c r="BZ314" s="608"/>
      <c r="CA314" s="608"/>
      <c r="CB314" s="600"/>
    </row>
    <row r="315" spans="2:80" ht="12" customHeight="1" x14ac:dyDescent="0.35">
      <c r="B315" s="590" t="e">
        <f>MATCH(C315,'360SpcLdsCSV'!$C$6:$C$500,0)</f>
        <v>#N/A</v>
      </c>
      <c r="C315" s="590">
        <f>'360SpcLdsCSV'!C264</f>
        <v>0</v>
      </c>
      <c r="D315" s="590" t="str">
        <f t="shared" si="226"/>
        <v>0</v>
      </c>
      <c r="E315" s="590" t="e">
        <f t="shared" si="227"/>
        <v>#VALUE!</v>
      </c>
      <c r="F315" s="590" t="e">
        <f t="shared" si="228"/>
        <v>#VALUE!</v>
      </c>
      <c r="G315" s="590" t="str">
        <f t="shared" si="229"/>
        <v>0</v>
      </c>
      <c r="H315" s="590" t="e">
        <f ca="1">OFFSET('360SpcLdsCSV'!$B$5,$B315,H$51)</f>
        <v>#N/A</v>
      </c>
      <c r="I315" s="590" t="e">
        <f ca="1">OFFSET('360SpcLdsCSV'!$B$5,$B315,I$51)</f>
        <v>#N/A</v>
      </c>
      <c r="J315" s="590" t="e">
        <f ca="1">OFFSET('360SpcLdsCSV'!$B$5,$B315,J$51)</f>
        <v>#N/A</v>
      </c>
      <c r="K315" s="590" t="e">
        <f ca="1">OFFSET('360SpcLdsCSV'!$B$5,$B315,K$51)</f>
        <v>#N/A</v>
      </c>
      <c r="L315" s="590" t="e">
        <f ca="1">OFFSET('360SpcLdsCSV'!$B$5,$B315,L$51)</f>
        <v>#N/A</v>
      </c>
      <c r="M315" s="592" t="e">
        <f ca="1">OFFSET('360SpcLdsCSV'!$B$5,$B315,M$51)</f>
        <v>#N/A</v>
      </c>
      <c r="N315" s="592" t="e">
        <f ca="1">OFFSET('360SpcLdsCSV'!$B$5,$B315,N$51)</f>
        <v>#N/A</v>
      </c>
      <c r="O315" s="592" t="e">
        <f ca="1">OFFSET('360SpcLdsCSV'!$B$5,$B315,O$51)</f>
        <v>#N/A</v>
      </c>
      <c r="P315" s="592" t="e">
        <f ca="1">OFFSET('360SpcLdsCSV'!$B$5,$B315,P$51)</f>
        <v>#N/A</v>
      </c>
      <c r="Q315" s="592" t="e">
        <f ca="1">OFFSET('360SpcLdsCSV'!$B$5,$B315,Q$51)</f>
        <v>#N/A</v>
      </c>
      <c r="R315" s="592" t="e">
        <f ca="1">OFFSET('360SpcLdsCSV'!$B$5,$B315,R$51)</f>
        <v>#N/A</v>
      </c>
      <c r="S315" s="592" t="e">
        <f ca="1">OFFSET('360SpcLdsCSV'!$B$5,$B315,S$51)</f>
        <v>#N/A</v>
      </c>
      <c r="T315" s="592" t="e">
        <f ca="1">OFFSET('360SpcLdsCSV'!$B$5,$B315,T$51)</f>
        <v>#N/A</v>
      </c>
      <c r="U315" s="592" t="e">
        <f ca="1">OFFSET('360SpcLdsCSV'!$B$5,$B315,U$51)</f>
        <v>#N/A</v>
      </c>
      <c r="V315" s="592" t="e">
        <f ca="1">OFFSET('360SpcLdsCSV'!$B$5,$B315,V$51)</f>
        <v>#N/A</v>
      </c>
      <c r="W315" s="592" t="e">
        <f ca="1">OFFSET('360SpcLdsCSV'!$B$5,$B315,W$51)</f>
        <v>#N/A</v>
      </c>
      <c r="X315" s="592" t="e">
        <f ca="1">OFFSET('360SpcLdsCSV'!$B$5,$B315,X$51)</f>
        <v>#N/A</v>
      </c>
      <c r="Y315" s="592" t="e">
        <f ca="1">OFFSET('360SpcLdsCSV'!$B$5,$B315,Y$51)</f>
        <v>#N/A</v>
      </c>
      <c r="Z315" s="592" t="e">
        <f ca="1">OFFSET('360SpcLdsCSV'!$B$5,$B315,Z$51)</f>
        <v>#N/A</v>
      </c>
      <c r="AA315" s="592" t="e">
        <f ca="1">OFFSET('360SpcLdsCSV'!$B$5,$B315,AA$51)</f>
        <v>#N/A</v>
      </c>
      <c r="AB315" s="592" t="e">
        <f ca="1">OFFSET('360SpcLdsCSV'!$B$5,$B315,AB$51)</f>
        <v>#N/A</v>
      </c>
      <c r="AC315" s="592" t="e">
        <f ca="1">OFFSET('360SpcLdsCSV'!$B$5,$B315,AC$51)</f>
        <v>#N/A</v>
      </c>
      <c r="AD315" s="592" t="e">
        <f ca="1">OFFSET('360SpcLdsCSV'!$B$5,$B315,AD$51)</f>
        <v>#N/A</v>
      </c>
      <c r="AE315" s="592" t="e">
        <f ca="1">OFFSET('360SpcLdsCSV'!$B$5,$B315,AE$51)</f>
        <v>#N/A</v>
      </c>
      <c r="AF315" s="592" t="e">
        <f ca="1">OFFSET('360SpcLdsCSV'!$B$5,$B315,AF$51)</f>
        <v>#N/A</v>
      </c>
      <c r="AG315" s="592" t="e">
        <f ca="1">OFFSET('360SpcLdsCSV'!$B$5,$B315,AG$51)</f>
        <v>#N/A</v>
      </c>
      <c r="AH315" s="592" t="e">
        <f ca="1">OFFSET('360SpcLdsCSV'!$B$5,$B315,AH$51)</f>
        <v>#N/A</v>
      </c>
      <c r="AI315" s="592" t="e">
        <f ca="1">OFFSET('360SpcLdsCSV'!$B$5,$B315,AI$51)</f>
        <v>#N/A</v>
      </c>
      <c r="AJ315" s="592" t="e" cm="1">
        <f t="array" ref="AJ315">_xlfn.IFS($F315="Resi",1,$F315="Racc",0,$F315="Coml",0,$F315="Prkg",0)</f>
        <v>#VALUE!</v>
      </c>
      <c r="AK315" s="596"/>
      <c r="AL315" s="590" t="e">
        <f ca="1">OFFSET('360SpcLdsCSV'!$B$5,$B315,AL$51)</f>
        <v>#N/A</v>
      </c>
      <c r="AM315" s="663" t="e">
        <f t="shared" ca="1" si="230"/>
        <v>#N/A</v>
      </c>
      <c r="AN315" s="663" t="e">
        <f t="shared" ca="1" si="231"/>
        <v>#N/A</v>
      </c>
      <c r="AO315" s="663" t="e">
        <f t="shared" ca="1" si="232"/>
        <v>#N/A</v>
      </c>
      <c r="AP315" s="663" t="e">
        <f t="shared" ca="1" si="233"/>
        <v>#N/A</v>
      </c>
      <c r="AQ315" s="663" t="e">
        <f t="shared" ca="1" si="234"/>
        <v>#N/A</v>
      </c>
      <c r="AR315" s="663" t="e">
        <f t="shared" ca="1" si="235"/>
        <v>#N/A</v>
      </c>
      <c r="AS315" s="663" t="e">
        <f t="shared" ca="1" si="236"/>
        <v>#N/A</v>
      </c>
      <c r="AT315" s="663" t="e">
        <f t="shared" ca="1" si="237"/>
        <v>#N/A</v>
      </c>
      <c r="AU315" s="663" t="e">
        <f t="shared" ca="1" si="238"/>
        <v>#N/A</v>
      </c>
      <c r="AV315" s="663" t="e">
        <f t="shared" ca="1" si="239"/>
        <v>#N/A</v>
      </c>
      <c r="AW315" s="663" t="e">
        <f t="shared" ca="1" si="240"/>
        <v>#N/A</v>
      </c>
      <c r="AX315" s="663" t="e">
        <f t="shared" ca="1" si="241"/>
        <v>#N/A</v>
      </c>
      <c r="AY315" s="663" t="e">
        <f t="shared" ca="1" si="242"/>
        <v>#N/A</v>
      </c>
      <c r="AZ315" s="663" t="e">
        <f t="shared" ca="1" si="243"/>
        <v>#N/A</v>
      </c>
      <c r="BA315" s="663" t="e">
        <f t="shared" ca="1" si="244"/>
        <v>#N/A</v>
      </c>
      <c r="BB315" s="663" t="e">
        <f t="shared" ca="1" si="245"/>
        <v>#N/A</v>
      </c>
      <c r="BC315" s="663" t="e">
        <f t="shared" ca="1" si="246"/>
        <v>#N/A</v>
      </c>
      <c r="BD315" s="663" t="e">
        <f t="shared" ca="1" si="247"/>
        <v>#N/A</v>
      </c>
      <c r="BE315" s="663" t="e">
        <f t="shared" ca="1" si="248"/>
        <v>#N/A</v>
      </c>
      <c r="BF315" s="663" t="e">
        <f t="shared" ca="1" si="249"/>
        <v>#N/A</v>
      </c>
      <c r="BG315" s="663" t="e">
        <f t="shared" ca="1" si="250"/>
        <v>#N/A</v>
      </c>
      <c r="BH315" s="663" t="e">
        <f t="shared" ca="1" si="251"/>
        <v>#N/A</v>
      </c>
      <c r="BI315" s="663" t="e">
        <f t="shared" ca="1" si="252"/>
        <v>#N/A</v>
      </c>
      <c r="BJ315" s="663" t="e">
        <f t="shared" ca="1" si="253"/>
        <v>#N/A</v>
      </c>
      <c r="BK315" s="663" t="e">
        <f t="shared" ca="1" si="254"/>
        <v>#N/A</v>
      </c>
      <c r="BL315" s="1918"/>
      <c r="BM315" s="1532"/>
      <c r="BN315" s="1919"/>
      <c r="BO315" s="603"/>
      <c r="BP315" s="602"/>
      <c r="BQ315" s="602"/>
      <c r="BR315" s="602"/>
      <c r="BS315" s="604"/>
      <c r="BT315" s="605"/>
      <c r="BU315" s="602"/>
      <c r="BV315" s="602"/>
      <c r="BW315" s="606"/>
      <c r="BX315" s="607"/>
      <c r="BY315" s="608"/>
      <c r="BZ315" s="608"/>
      <c r="CA315" s="608"/>
      <c r="CB315" s="600"/>
    </row>
    <row r="316" spans="2:80" ht="12" customHeight="1" x14ac:dyDescent="0.35">
      <c r="B316" s="590" t="e">
        <f>MATCH(C316,'360SpcLdsCSV'!$C$6:$C$500,0)</f>
        <v>#N/A</v>
      </c>
      <c r="C316" s="590">
        <f>'360SpcLdsCSV'!C265</f>
        <v>0</v>
      </c>
      <c r="D316" s="590" t="str">
        <f t="shared" si="226"/>
        <v>0</v>
      </c>
      <c r="E316" s="590" t="e">
        <f t="shared" si="227"/>
        <v>#VALUE!</v>
      </c>
      <c r="F316" s="590" t="e">
        <f t="shared" si="228"/>
        <v>#VALUE!</v>
      </c>
      <c r="G316" s="590" t="str">
        <f t="shared" si="229"/>
        <v>0</v>
      </c>
      <c r="H316" s="590" t="e">
        <f ca="1">OFFSET('360SpcLdsCSV'!$B$5,$B316,H$51)</f>
        <v>#N/A</v>
      </c>
      <c r="I316" s="590" t="e">
        <f ca="1">OFFSET('360SpcLdsCSV'!$B$5,$B316,I$51)</f>
        <v>#N/A</v>
      </c>
      <c r="J316" s="590" t="e">
        <f ca="1">OFFSET('360SpcLdsCSV'!$B$5,$B316,J$51)</f>
        <v>#N/A</v>
      </c>
      <c r="K316" s="590" t="e">
        <f ca="1">OFFSET('360SpcLdsCSV'!$B$5,$B316,K$51)</f>
        <v>#N/A</v>
      </c>
      <c r="L316" s="590" t="e">
        <f ca="1">OFFSET('360SpcLdsCSV'!$B$5,$B316,L$51)</f>
        <v>#N/A</v>
      </c>
      <c r="M316" s="592" t="e">
        <f ca="1">OFFSET('360SpcLdsCSV'!$B$5,$B316,M$51)</f>
        <v>#N/A</v>
      </c>
      <c r="N316" s="592" t="e">
        <f ca="1">OFFSET('360SpcLdsCSV'!$B$5,$B316,N$51)</f>
        <v>#N/A</v>
      </c>
      <c r="O316" s="592" t="e">
        <f ca="1">OFFSET('360SpcLdsCSV'!$B$5,$B316,O$51)</f>
        <v>#N/A</v>
      </c>
      <c r="P316" s="592" t="e">
        <f ca="1">OFFSET('360SpcLdsCSV'!$B$5,$B316,P$51)</f>
        <v>#N/A</v>
      </c>
      <c r="Q316" s="592" t="e">
        <f ca="1">OFFSET('360SpcLdsCSV'!$B$5,$B316,Q$51)</f>
        <v>#N/A</v>
      </c>
      <c r="R316" s="592" t="e">
        <f ca="1">OFFSET('360SpcLdsCSV'!$B$5,$B316,R$51)</f>
        <v>#N/A</v>
      </c>
      <c r="S316" s="592" t="e">
        <f ca="1">OFFSET('360SpcLdsCSV'!$B$5,$B316,S$51)</f>
        <v>#N/A</v>
      </c>
      <c r="T316" s="592" t="e">
        <f ca="1">OFFSET('360SpcLdsCSV'!$B$5,$B316,T$51)</f>
        <v>#N/A</v>
      </c>
      <c r="U316" s="592" t="e">
        <f ca="1">OFFSET('360SpcLdsCSV'!$B$5,$B316,U$51)</f>
        <v>#N/A</v>
      </c>
      <c r="V316" s="592" t="e">
        <f ca="1">OFFSET('360SpcLdsCSV'!$B$5,$B316,V$51)</f>
        <v>#N/A</v>
      </c>
      <c r="W316" s="592" t="e">
        <f ca="1">OFFSET('360SpcLdsCSV'!$B$5,$B316,W$51)</f>
        <v>#N/A</v>
      </c>
      <c r="X316" s="592" t="e">
        <f ca="1">OFFSET('360SpcLdsCSV'!$B$5,$B316,X$51)</f>
        <v>#N/A</v>
      </c>
      <c r="Y316" s="592" t="e">
        <f ca="1">OFFSET('360SpcLdsCSV'!$B$5,$B316,Y$51)</f>
        <v>#N/A</v>
      </c>
      <c r="Z316" s="592" t="e">
        <f ca="1">OFFSET('360SpcLdsCSV'!$B$5,$B316,Z$51)</f>
        <v>#N/A</v>
      </c>
      <c r="AA316" s="592" t="e">
        <f ca="1">OFFSET('360SpcLdsCSV'!$B$5,$B316,AA$51)</f>
        <v>#N/A</v>
      </c>
      <c r="AB316" s="592" t="e">
        <f ca="1">OFFSET('360SpcLdsCSV'!$B$5,$B316,AB$51)</f>
        <v>#N/A</v>
      </c>
      <c r="AC316" s="592" t="e">
        <f ca="1">OFFSET('360SpcLdsCSV'!$B$5,$B316,AC$51)</f>
        <v>#N/A</v>
      </c>
      <c r="AD316" s="592" t="e">
        <f ca="1">OFFSET('360SpcLdsCSV'!$B$5,$B316,AD$51)</f>
        <v>#N/A</v>
      </c>
      <c r="AE316" s="592" t="e">
        <f ca="1">OFFSET('360SpcLdsCSV'!$B$5,$B316,AE$51)</f>
        <v>#N/A</v>
      </c>
      <c r="AF316" s="592" t="e">
        <f ca="1">OFFSET('360SpcLdsCSV'!$B$5,$B316,AF$51)</f>
        <v>#N/A</v>
      </c>
      <c r="AG316" s="592" t="e">
        <f ca="1">OFFSET('360SpcLdsCSV'!$B$5,$B316,AG$51)</f>
        <v>#N/A</v>
      </c>
      <c r="AH316" s="592" t="e">
        <f ca="1">OFFSET('360SpcLdsCSV'!$B$5,$B316,AH$51)</f>
        <v>#N/A</v>
      </c>
      <c r="AI316" s="592" t="e">
        <f ca="1">OFFSET('360SpcLdsCSV'!$B$5,$B316,AI$51)</f>
        <v>#N/A</v>
      </c>
      <c r="AJ316" s="592" t="e" cm="1">
        <f t="array" ref="AJ316">_xlfn.IFS($F316="Resi",1,$F316="Racc",0,$F316="Coml",0,$F316="Prkg",0)</f>
        <v>#VALUE!</v>
      </c>
      <c r="AK316" s="596"/>
      <c r="AL316" s="590" t="e">
        <f ca="1">OFFSET('360SpcLdsCSV'!$B$5,$B316,AL$51)</f>
        <v>#N/A</v>
      </c>
      <c r="AM316" s="663" t="e">
        <f t="shared" ca="1" si="230"/>
        <v>#N/A</v>
      </c>
      <c r="AN316" s="663" t="e">
        <f t="shared" ca="1" si="231"/>
        <v>#N/A</v>
      </c>
      <c r="AO316" s="663" t="e">
        <f t="shared" ca="1" si="232"/>
        <v>#N/A</v>
      </c>
      <c r="AP316" s="663" t="e">
        <f t="shared" ca="1" si="233"/>
        <v>#N/A</v>
      </c>
      <c r="AQ316" s="663" t="e">
        <f t="shared" ca="1" si="234"/>
        <v>#N/A</v>
      </c>
      <c r="AR316" s="663" t="e">
        <f t="shared" ca="1" si="235"/>
        <v>#N/A</v>
      </c>
      <c r="AS316" s="663" t="e">
        <f t="shared" ca="1" si="236"/>
        <v>#N/A</v>
      </c>
      <c r="AT316" s="663" t="e">
        <f t="shared" ca="1" si="237"/>
        <v>#N/A</v>
      </c>
      <c r="AU316" s="663" t="e">
        <f t="shared" ca="1" si="238"/>
        <v>#N/A</v>
      </c>
      <c r="AV316" s="663" t="e">
        <f t="shared" ca="1" si="239"/>
        <v>#N/A</v>
      </c>
      <c r="AW316" s="663" t="e">
        <f t="shared" ca="1" si="240"/>
        <v>#N/A</v>
      </c>
      <c r="AX316" s="663" t="e">
        <f t="shared" ca="1" si="241"/>
        <v>#N/A</v>
      </c>
      <c r="AY316" s="663" t="e">
        <f t="shared" ca="1" si="242"/>
        <v>#N/A</v>
      </c>
      <c r="AZ316" s="663" t="e">
        <f t="shared" ca="1" si="243"/>
        <v>#N/A</v>
      </c>
      <c r="BA316" s="663" t="e">
        <f t="shared" ca="1" si="244"/>
        <v>#N/A</v>
      </c>
      <c r="BB316" s="663" t="e">
        <f t="shared" ca="1" si="245"/>
        <v>#N/A</v>
      </c>
      <c r="BC316" s="663" t="e">
        <f t="shared" ca="1" si="246"/>
        <v>#N/A</v>
      </c>
      <c r="BD316" s="663" t="e">
        <f t="shared" ca="1" si="247"/>
        <v>#N/A</v>
      </c>
      <c r="BE316" s="663" t="e">
        <f t="shared" ca="1" si="248"/>
        <v>#N/A</v>
      </c>
      <c r="BF316" s="663" t="e">
        <f t="shared" ca="1" si="249"/>
        <v>#N/A</v>
      </c>
      <c r="BG316" s="663" t="e">
        <f t="shared" ca="1" si="250"/>
        <v>#N/A</v>
      </c>
      <c r="BH316" s="663" t="e">
        <f t="shared" ca="1" si="251"/>
        <v>#N/A</v>
      </c>
      <c r="BI316" s="663" t="e">
        <f t="shared" ca="1" si="252"/>
        <v>#N/A</v>
      </c>
      <c r="BJ316" s="663" t="e">
        <f t="shared" ca="1" si="253"/>
        <v>#N/A</v>
      </c>
      <c r="BK316" s="663" t="e">
        <f t="shared" ca="1" si="254"/>
        <v>#N/A</v>
      </c>
      <c r="BL316" s="1918"/>
      <c r="BM316" s="1532"/>
      <c r="BN316" s="1919"/>
      <c r="BO316" s="603"/>
      <c r="BP316" s="602"/>
      <c r="BQ316" s="602"/>
      <c r="BR316" s="602"/>
      <c r="BS316" s="604"/>
      <c r="BT316" s="605"/>
      <c r="BU316" s="602"/>
      <c r="BV316" s="602"/>
      <c r="BW316" s="606"/>
      <c r="BX316" s="607"/>
      <c r="BY316" s="608"/>
      <c r="BZ316" s="608"/>
      <c r="CA316" s="608"/>
      <c r="CB316" s="600"/>
    </row>
    <row r="317" spans="2:80" ht="12" customHeight="1" x14ac:dyDescent="0.35">
      <c r="B317" s="590" t="e">
        <f>MATCH(C317,'360SpcLdsCSV'!$C$6:$C$500,0)</f>
        <v>#N/A</v>
      </c>
      <c r="C317" s="590">
        <f>'360SpcLdsCSV'!C266</f>
        <v>0</v>
      </c>
      <c r="D317" s="590" t="str">
        <f t="shared" si="226"/>
        <v>0</v>
      </c>
      <c r="E317" s="590" t="e">
        <f t="shared" si="227"/>
        <v>#VALUE!</v>
      </c>
      <c r="F317" s="590" t="e">
        <f t="shared" si="228"/>
        <v>#VALUE!</v>
      </c>
      <c r="G317" s="590" t="str">
        <f t="shared" si="229"/>
        <v>0</v>
      </c>
      <c r="H317" s="590" t="e">
        <f ca="1">OFFSET('360SpcLdsCSV'!$B$5,$B317,H$51)</f>
        <v>#N/A</v>
      </c>
      <c r="I317" s="590" t="e">
        <f ca="1">OFFSET('360SpcLdsCSV'!$B$5,$B317,I$51)</f>
        <v>#N/A</v>
      </c>
      <c r="J317" s="590" t="e">
        <f ca="1">OFFSET('360SpcLdsCSV'!$B$5,$B317,J$51)</f>
        <v>#N/A</v>
      </c>
      <c r="K317" s="590" t="e">
        <f ca="1">OFFSET('360SpcLdsCSV'!$B$5,$B317,K$51)</f>
        <v>#N/A</v>
      </c>
      <c r="L317" s="590" t="e">
        <f ca="1">OFFSET('360SpcLdsCSV'!$B$5,$B317,L$51)</f>
        <v>#N/A</v>
      </c>
      <c r="M317" s="592" t="e">
        <f ca="1">OFFSET('360SpcLdsCSV'!$B$5,$B317,M$51)</f>
        <v>#N/A</v>
      </c>
      <c r="N317" s="592" t="e">
        <f ca="1">OFFSET('360SpcLdsCSV'!$B$5,$B317,N$51)</f>
        <v>#N/A</v>
      </c>
      <c r="O317" s="592" t="e">
        <f ca="1">OFFSET('360SpcLdsCSV'!$B$5,$B317,O$51)</f>
        <v>#N/A</v>
      </c>
      <c r="P317" s="592" t="e">
        <f ca="1">OFFSET('360SpcLdsCSV'!$B$5,$B317,P$51)</f>
        <v>#N/A</v>
      </c>
      <c r="Q317" s="592" t="e">
        <f ca="1">OFFSET('360SpcLdsCSV'!$B$5,$B317,Q$51)</f>
        <v>#N/A</v>
      </c>
      <c r="R317" s="592" t="e">
        <f ca="1">OFFSET('360SpcLdsCSV'!$B$5,$B317,R$51)</f>
        <v>#N/A</v>
      </c>
      <c r="S317" s="592" t="e">
        <f ca="1">OFFSET('360SpcLdsCSV'!$B$5,$B317,S$51)</f>
        <v>#N/A</v>
      </c>
      <c r="T317" s="592" t="e">
        <f ca="1">OFFSET('360SpcLdsCSV'!$B$5,$B317,T$51)</f>
        <v>#N/A</v>
      </c>
      <c r="U317" s="592" t="e">
        <f ca="1">OFFSET('360SpcLdsCSV'!$B$5,$B317,U$51)</f>
        <v>#N/A</v>
      </c>
      <c r="V317" s="592" t="e">
        <f ca="1">OFFSET('360SpcLdsCSV'!$B$5,$B317,V$51)</f>
        <v>#N/A</v>
      </c>
      <c r="W317" s="592" t="e">
        <f ca="1">OFFSET('360SpcLdsCSV'!$B$5,$B317,W$51)</f>
        <v>#N/A</v>
      </c>
      <c r="X317" s="592" t="e">
        <f ca="1">OFFSET('360SpcLdsCSV'!$B$5,$B317,X$51)</f>
        <v>#N/A</v>
      </c>
      <c r="Y317" s="592" t="e">
        <f ca="1">OFFSET('360SpcLdsCSV'!$B$5,$B317,Y$51)</f>
        <v>#N/A</v>
      </c>
      <c r="Z317" s="592" t="e">
        <f ca="1">OFFSET('360SpcLdsCSV'!$B$5,$B317,Z$51)</f>
        <v>#N/A</v>
      </c>
      <c r="AA317" s="592" t="e">
        <f ca="1">OFFSET('360SpcLdsCSV'!$B$5,$B317,AA$51)</f>
        <v>#N/A</v>
      </c>
      <c r="AB317" s="592" t="e">
        <f ca="1">OFFSET('360SpcLdsCSV'!$B$5,$B317,AB$51)</f>
        <v>#N/A</v>
      </c>
      <c r="AC317" s="592" t="e">
        <f ca="1">OFFSET('360SpcLdsCSV'!$B$5,$B317,AC$51)</f>
        <v>#N/A</v>
      </c>
      <c r="AD317" s="592" t="e">
        <f ca="1">OFFSET('360SpcLdsCSV'!$B$5,$B317,AD$51)</f>
        <v>#N/A</v>
      </c>
      <c r="AE317" s="592" t="e">
        <f ca="1">OFFSET('360SpcLdsCSV'!$B$5,$B317,AE$51)</f>
        <v>#N/A</v>
      </c>
      <c r="AF317" s="592" t="e">
        <f ca="1">OFFSET('360SpcLdsCSV'!$B$5,$B317,AF$51)</f>
        <v>#N/A</v>
      </c>
      <c r="AG317" s="592" t="e">
        <f ca="1">OFFSET('360SpcLdsCSV'!$B$5,$B317,AG$51)</f>
        <v>#N/A</v>
      </c>
      <c r="AH317" s="592" t="e">
        <f ca="1">OFFSET('360SpcLdsCSV'!$B$5,$B317,AH$51)</f>
        <v>#N/A</v>
      </c>
      <c r="AI317" s="592" t="e">
        <f ca="1">OFFSET('360SpcLdsCSV'!$B$5,$B317,AI$51)</f>
        <v>#N/A</v>
      </c>
      <c r="AJ317" s="592" t="e" cm="1">
        <f t="array" ref="AJ317">_xlfn.IFS($F317="Resi",1,$F317="Racc",0,$F317="Coml",0,$F317="Prkg",0)</f>
        <v>#VALUE!</v>
      </c>
      <c r="AK317" s="596"/>
      <c r="AL317" s="590" t="e">
        <f ca="1">OFFSET('360SpcLdsCSV'!$B$5,$B317,AL$51)</f>
        <v>#N/A</v>
      </c>
      <c r="AM317" s="663" t="e">
        <f t="shared" ca="1" si="230"/>
        <v>#N/A</v>
      </c>
      <c r="AN317" s="663" t="e">
        <f t="shared" ca="1" si="231"/>
        <v>#N/A</v>
      </c>
      <c r="AO317" s="663" t="e">
        <f t="shared" ca="1" si="232"/>
        <v>#N/A</v>
      </c>
      <c r="AP317" s="663" t="e">
        <f t="shared" ca="1" si="233"/>
        <v>#N/A</v>
      </c>
      <c r="AQ317" s="663" t="e">
        <f t="shared" ca="1" si="234"/>
        <v>#N/A</v>
      </c>
      <c r="AR317" s="663" t="e">
        <f t="shared" ca="1" si="235"/>
        <v>#N/A</v>
      </c>
      <c r="AS317" s="663" t="e">
        <f t="shared" ca="1" si="236"/>
        <v>#N/A</v>
      </c>
      <c r="AT317" s="663" t="e">
        <f t="shared" ca="1" si="237"/>
        <v>#N/A</v>
      </c>
      <c r="AU317" s="663" t="e">
        <f t="shared" ca="1" si="238"/>
        <v>#N/A</v>
      </c>
      <c r="AV317" s="663" t="e">
        <f t="shared" ca="1" si="239"/>
        <v>#N/A</v>
      </c>
      <c r="AW317" s="663" t="e">
        <f t="shared" ca="1" si="240"/>
        <v>#N/A</v>
      </c>
      <c r="AX317" s="663" t="e">
        <f t="shared" ca="1" si="241"/>
        <v>#N/A</v>
      </c>
      <c r="AY317" s="663" t="e">
        <f t="shared" ca="1" si="242"/>
        <v>#N/A</v>
      </c>
      <c r="AZ317" s="663" t="e">
        <f t="shared" ca="1" si="243"/>
        <v>#N/A</v>
      </c>
      <c r="BA317" s="663" t="e">
        <f t="shared" ca="1" si="244"/>
        <v>#N/A</v>
      </c>
      <c r="BB317" s="663" t="e">
        <f t="shared" ca="1" si="245"/>
        <v>#N/A</v>
      </c>
      <c r="BC317" s="663" t="e">
        <f t="shared" ca="1" si="246"/>
        <v>#N/A</v>
      </c>
      <c r="BD317" s="663" t="e">
        <f t="shared" ca="1" si="247"/>
        <v>#N/A</v>
      </c>
      <c r="BE317" s="663" t="e">
        <f t="shared" ca="1" si="248"/>
        <v>#N/A</v>
      </c>
      <c r="BF317" s="663" t="e">
        <f t="shared" ca="1" si="249"/>
        <v>#N/A</v>
      </c>
      <c r="BG317" s="663" t="e">
        <f t="shared" ca="1" si="250"/>
        <v>#N/A</v>
      </c>
      <c r="BH317" s="663" t="e">
        <f t="shared" ca="1" si="251"/>
        <v>#N/A</v>
      </c>
      <c r="BI317" s="663" t="e">
        <f t="shared" ca="1" si="252"/>
        <v>#N/A</v>
      </c>
      <c r="BJ317" s="663" t="e">
        <f t="shared" ca="1" si="253"/>
        <v>#N/A</v>
      </c>
      <c r="BK317" s="663" t="e">
        <f t="shared" ca="1" si="254"/>
        <v>#N/A</v>
      </c>
      <c r="BL317" s="1918"/>
      <c r="BM317" s="1532"/>
      <c r="BN317" s="1919"/>
      <c r="BO317" s="603"/>
      <c r="BP317" s="602"/>
      <c r="BQ317" s="602"/>
      <c r="BR317" s="602"/>
      <c r="BS317" s="604"/>
      <c r="BT317" s="605"/>
      <c r="BU317" s="602"/>
      <c r="BV317" s="602"/>
      <c r="BW317" s="606"/>
      <c r="BX317" s="607"/>
      <c r="BY317" s="608"/>
      <c r="BZ317" s="608"/>
      <c r="CA317" s="608"/>
      <c r="CB317" s="600"/>
    </row>
  </sheetData>
  <autoFilter ref="C56:AH266" xr:uid="{C90B3B03-417E-4573-90E6-F6D35BB88BBB}"/>
  <sortState xmlns:xlrd2="http://schemas.microsoft.com/office/spreadsheetml/2017/richdata2" ref="S22:S36">
    <sortCondition ref="S22"/>
  </sortState>
  <mergeCells count="6">
    <mergeCell ref="AC20:AD20"/>
    <mergeCell ref="AE20:AF20"/>
    <mergeCell ref="P20:Q20"/>
    <mergeCell ref="R20:S20"/>
    <mergeCell ref="M8:Q8"/>
    <mergeCell ref="R8:S8"/>
  </mergeCells>
  <conditionalFormatting sqref="X23:X47">
    <cfRule type="colorScale" priority="1">
      <colorScale>
        <cfvo type="min"/>
        <cfvo type="percentile" val="50"/>
        <cfvo type="max"/>
        <color rgb="FFF8696B"/>
        <color rgb="FFFFEB84"/>
        <color rgb="FF63BE7B"/>
      </colorScale>
    </cfRule>
  </conditionalFormatting>
  <conditionalFormatting sqref="BQ109:BQ143">
    <cfRule type="cellIs" dxfId="49" priority="18" operator="notEqual">
      <formula>ROUND(BP109,2)</formula>
    </cfRule>
  </conditionalFormatting>
  <conditionalFormatting sqref="BX144:BX317">
    <cfRule type="cellIs" dxfId="48" priority="15" operator="lessThan">
      <formula>BW144*0.99</formula>
    </cfRule>
    <cfRule type="cellIs" dxfId="47" priority="16" operator="greaterThan">
      <formula>BW144*1.01</formula>
    </cfRule>
  </conditionalFormatting>
  <conditionalFormatting sqref="CB59:CB143">
    <cfRule type="cellIs" dxfId="46" priority="180" operator="lessThan">
      <formula>#REF!*0.99</formula>
    </cfRule>
    <cfRule type="cellIs" dxfId="45" priority="181" operator="greaterThan">
      <formula>#REF!*1.01</formula>
    </cfRule>
  </conditionalFormatting>
  <printOptions horizontalCentered="1"/>
  <pageMargins left="1" right="0.75" top="1.25" bottom="1" header="1" footer="0.5"/>
  <pageSetup orientation="portrait" r:id="rId1"/>
  <headerFooter alignWithMargins="0">
    <oddHeader>&amp;LEuropean Tower&amp;C&amp;A</oddHeader>
    <oddFooter>&amp;CPage 1.1.&amp;P</oddFooter>
  </headerFooter>
  <ignoredErrors>
    <ignoredError sqref="V23:V40"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rgb="FF00FF00"/>
  </sheetPr>
  <dimension ref="A1:BB266"/>
  <sheetViews>
    <sheetView showGridLines="0" topLeftCell="C22" zoomScale="85" zoomScaleNormal="85" workbookViewId="0">
      <selection activeCell="AM45" sqref="AM45"/>
    </sheetView>
  </sheetViews>
  <sheetFormatPr defaultColWidth="9.109375" defaultRowHeight="14.4" outlineLevelCol="1" x14ac:dyDescent="0.3"/>
  <cols>
    <col min="1" max="1" width="9.109375" style="62"/>
    <col min="2" max="2" width="22" style="62" customWidth="1"/>
    <col min="3" max="3" width="20.44140625" style="62" bestFit="1" customWidth="1"/>
    <col min="4" max="4" width="13.6640625" style="62" customWidth="1"/>
    <col min="5" max="5" width="9.6640625" style="62" customWidth="1"/>
    <col min="6" max="6" width="11.6640625" style="62" hidden="1" customWidth="1" outlineLevel="1"/>
    <col min="7" max="7" width="8.5546875" style="63" hidden="1" customWidth="1" outlineLevel="1"/>
    <col min="8" max="8" width="13.109375" style="64" hidden="1" customWidth="1" outlineLevel="1"/>
    <col min="9" max="9" width="13.44140625" style="64" hidden="1" customWidth="1" outlineLevel="1"/>
    <col min="10" max="10" width="20.6640625" style="64" hidden="1" customWidth="1" outlineLevel="1"/>
    <col min="11" max="11" width="12.5546875" style="64" hidden="1" customWidth="1" outlineLevel="1"/>
    <col min="12" max="12" width="26" style="64" customWidth="1" collapsed="1"/>
    <col min="13" max="13" width="9.33203125" style="64" hidden="1" customWidth="1" outlineLevel="1"/>
    <col min="14" max="14" width="11" style="64" bestFit="1" customWidth="1" collapsed="1"/>
    <col min="15" max="16" width="10.109375" style="64" hidden="1" customWidth="1" outlineLevel="1"/>
    <col min="17" max="17" width="8.6640625" style="64" customWidth="1" collapsed="1"/>
    <col min="18" max="18" width="8.6640625" style="62" customWidth="1"/>
    <col min="19" max="19" width="11.33203125" style="62" customWidth="1"/>
    <col min="20" max="20" width="8.6640625" style="64" hidden="1" customWidth="1" outlineLevel="1"/>
    <col min="21" max="21" width="10.5546875" style="62" hidden="1" customWidth="1" outlineLevel="1"/>
    <col min="22" max="22" width="10.44140625" style="62" hidden="1" customWidth="1" outlineLevel="1"/>
    <col min="23" max="24" width="14" style="64" hidden="1" customWidth="1" outlineLevel="1"/>
    <col min="25" max="25" width="10.6640625" style="64" hidden="1" customWidth="1" outlineLevel="1"/>
    <col min="26" max="26" width="11.88671875" style="84" customWidth="1" collapsed="1"/>
    <col min="27" max="27" width="11.88671875" style="62" customWidth="1"/>
    <col min="28" max="28" width="10.44140625" style="62" customWidth="1"/>
    <col min="29" max="30" width="9.88671875" style="64" customWidth="1"/>
    <col min="31" max="31" width="9.109375" customWidth="1"/>
    <col min="32" max="32" width="14.6640625" customWidth="1"/>
    <col min="33" max="34" width="10.6640625" customWidth="1"/>
    <col min="35" max="35" width="9.109375" style="62"/>
    <col min="36" max="36" width="11.6640625" style="62" customWidth="1"/>
    <col min="37" max="37" width="19.6640625" style="62" bestFit="1" customWidth="1"/>
    <col min="38" max="39" width="10.5546875" style="62" bestFit="1" customWidth="1"/>
    <col min="40" max="43" width="10.5546875" style="62" customWidth="1"/>
    <col min="44" max="44" width="12.6640625" style="62" hidden="1" customWidth="1" outlineLevel="1"/>
    <col min="45" max="46" width="9.5546875" style="62" hidden="1" customWidth="1" outlineLevel="1"/>
    <col min="47" max="47" width="11.6640625" style="62" hidden="1" customWidth="1" outlineLevel="1"/>
    <col min="48" max="48" width="9.6640625" style="62" hidden="1" customWidth="1" outlineLevel="1"/>
    <col min="49" max="52" width="10" style="62" hidden="1" customWidth="1" outlineLevel="1"/>
    <col min="53" max="53" width="23.6640625" style="62" hidden="1" customWidth="1" outlineLevel="1"/>
    <col min="54" max="54" width="6.6640625" style="62" customWidth="1" collapsed="1"/>
    <col min="55" max="57" width="6.6640625" style="62" customWidth="1"/>
    <col min="58" max="63" width="8.6640625" style="62" customWidth="1"/>
    <col min="64" max="16384" width="9.109375" style="62"/>
  </cols>
  <sheetData>
    <row r="1" spans="1:53" ht="16.2" x14ac:dyDescent="0.35">
      <c r="A1" s="66" t="s">
        <v>241</v>
      </c>
      <c r="J1" s="2044" t="s">
        <v>752</v>
      </c>
      <c r="K1" s="655" t="s">
        <v>1977</v>
      </c>
      <c r="AU1"/>
    </row>
    <row r="2" spans="1:53" ht="15" x14ac:dyDescent="0.35">
      <c r="A2" s="50" t="s">
        <v>243</v>
      </c>
      <c r="J2" s="2044" t="s">
        <v>753</v>
      </c>
      <c r="K2" s="654" t="s">
        <v>1978</v>
      </c>
      <c r="AU2"/>
    </row>
    <row r="3" spans="1:53" x14ac:dyDescent="0.3">
      <c r="A3" s="50" t="s">
        <v>242</v>
      </c>
      <c r="R3" s="65"/>
      <c r="S3" s="65"/>
      <c r="U3" s="65"/>
      <c r="V3" s="65"/>
      <c r="X3" s="65"/>
      <c r="Y3" s="65"/>
      <c r="AA3" s="65"/>
      <c r="AB3" s="65"/>
      <c r="AE3" s="50"/>
      <c r="AF3" s="50"/>
      <c r="AG3" s="50"/>
      <c r="AH3" s="50"/>
      <c r="AU3"/>
    </row>
    <row r="4" spans="1:53" x14ac:dyDescent="0.3">
      <c r="A4" s="50"/>
      <c r="R4" s="65"/>
      <c r="S4" s="65"/>
      <c r="U4" s="65"/>
      <c r="V4" s="65"/>
      <c r="X4" s="65"/>
      <c r="Y4" s="65"/>
      <c r="AA4" s="65"/>
      <c r="AB4" s="65"/>
      <c r="AE4" s="50"/>
      <c r="AF4" s="50"/>
      <c r="AG4" s="50"/>
      <c r="AH4" s="50"/>
      <c r="AR4" s="2354" t="s">
        <v>2278</v>
      </c>
      <c r="AU4"/>
    </row>
    <row r="5" spans="1:53" x14ac:dyDescent="0.3">
      <c r="A5" s="50"/>
      <c r="B5" s="50"/>
      <c r="C5" s="133"/>
      <c r="D5" s="124"/>
      <c r="E5" s="124"/>
      <c r="F5" s="124"/>
      <c r="G5" s="133"/>
      <c r="H5" s="124"/>
      <c r="I5" s="124"/>
      <c r="J5" s="130" t="s">
        <v>583</v>
      </c>
      <c r="K5" s="124"/>
      <c r="L5" s="124"/>
      <c r="M5" s="124"/>
      <c r="N5" s="130"/>
      <c r="O5" s="124"/>
      <c r="P5" s="124"/>
      <c r="Q5" s="124"/>
      <c r="R5" s="227"/>
      <c r="S5" s="227"/>
      <c r="T5" s="124"/>
      <c r="U5" s="227"/>
      <c r="V5" s="227"/>
      <c r="X5" s="65"/>
      <c r="Y5" s="65"/>
      <c r="Z5" s="133"/>
      <c r="AA5" s="227"/>
      <c r="AB5" s="65"/>
      <c r="AE5" s="50"/>
      <c r="AF5" s="50"/>
      <c r="AG5" s="50"/>
      <c r="AH5" s="50"/>
      <c r="AU5"/>
    </row>
    <row r="6" spans="1:53" x14ac:dyDescent="0.3">
      <c r="A6" s="50"/>
      <c r="B6" s="50"/>
      <c r="C6" s="50"/>
      <c r="E6" s="50"/>
      <c r="F6" s="50"/>
      <c r="G6" s="123"/>
      <c r="H6" s="124"/>
      <c r="I6" s="124"/>
      <c r="J6" s="479"/>
      <c r="K6" s="124"/>
      <c r="L6" s="124"/>
      <c r="M6" s="124"/>
      <c r="N6" s="130"/>
      <c r="O6" s="124"/>
      <c r="P6" s="124"/>
      <c r="Q6" s="124"/>
      <c r="R6" s="227"/>
      <c r="S6" s="227"/>
      <c r="T6" s="124"/>
      <c r="U6" s="227"/>
      <c r="V6" s="227"/>
      <c r="W6" s="124"/>
      <c r="X6" s="227"/>
      <c r="Y6" s="227"/>
      <c r="Z6" s="133"/>
      <c r="AA6" s="227"/>
      <c r="AB6" s="227"/>
      <c r="AC6" s="124"/>
      <c r="AD6" s="124"/>
      <c r="AE6" s="50"/>
      <c r="AF6" s="50"/>
      <c r="AG6" s="372" t="s">
        <v>543</v>
      </c>
      <c r="AH6" s="372" t="s">
        <v>543</v>
      </c>
      <c r="AN6" s="1748">
        <v>0.4</v>
      </c>
      <c r="AO6" s="1748">
        <v>0.1</v>
      </c>
      <c r="AP6" s="62" t="s">
        <v>1126</v>
      </c>
      <c r="AR6" s="2354" t="s">
        <v>2195</v>
      </c>
      <c r="AS6" s="2355"/>
      <c r="AT6" s="2355"/>
      <c r="AU6" s="36"/>
      <c r="AV6" s="89" t="s">
        <v>2257</v>
      </c>
      <c r="AW6" s="86"/>
      <c r="AX6" s="86"/>
      <c r="AY6" s="86"/>
      <c r="AZ6" s="86"/>
      <c r="BA6" s="86"/>
    </row>
    <row r="7" spans="1:53" ht="39" customHeight="1" x14ac:dyDescent="0.3">
      <c r="A7" s="50"/>
      <c r="B7" s="2206" t="s">
        <v>590</v>
      </c>
      <c r="C7" s="2600" t="s">
        <v>245</v>
      </c>
      <c r="D7" s="2601"/>
      <c r="E7" s="2199" t="s">
        <v>244</v>
      </c>
      <c r="F7" s="2200" t="s">
        <v>745</v>
      </c>
      <c r="G7" s="2201"/>
      <c r="H7" s="2201"/>
      <c r="I7" s="2201"/>
      <c r="J7" s="2202" t="s">
        <v>11</v>
      </c>
      <c r="K7" s="2201" t="s">
        <v>791</v>
      </c>
      <c r="L7" s="2271" t="s">
        <v>2254</v>
      </c>
      <c r="M7" s="2203" t="s">
        <v>713</v>
      </c>
      <c r="N7" s="2204" t="s">
        <v>11</v>
      </c>
      <c r="O7" s="512"/>
      <c r="P7" s="512"/>
      <c r="Q7" s="2587" t="s">
        <v>750</v>
      </c>
      <c r="R7" s="2588"/>
      <c r="S7" s="2589"/>
      <c r="T7" s="2587" t="s">
        <v>751</v>
      </c>
      <c r="U7" s="2588"/>
      <c r="V7" s="2589"/>
      <c r="W7" s="2586" t="s">
        <v>584</v>
      </c>
      <c r="X7" s="2586"/>
      <c r="Y7" s="2586"/>
      <c r="Z7" s="2599" t="s">
        <v>647</v>
      </c>
      <c r="AA7" s="2599"/>
      <c r="AB7" s="2599"/>
      <c r="AC7" s="2597" t="s">
        <v>342</v>
      </c>
      <c r="AD7" s="2598"/>
      <c r="AE7" s="554" t="s">
        <v>717</v>
      </c>
      <c r="AF7" s="555" t="s">
        <v>718</v>
      </c>
      <c r="AG7" s="565" t="s">
        <v>744</v>
      </c>
      <c r="AH7" s="565" t="s">
        <v>2277</v>
      </c>
      <c r="AI7" s="2595" t="s">
        <v>2239</v>
      </c>
      <c r="AJ7" s="2596"/>
      <c r="AK7" s="567" t="str">
        <f>"% of "&amp;AI7</f>
        <v>% of 2021 WSEC</v>
      </c>
      <c r="AL7" s="2360" t="s">
        <v>2266</v>
      </c>
      <c r="AN7" s="2593" t="s">
        <v>1125</v>
      </c>
      <c r="AO7" s="2594"/>
      <c r="AR7" s="2352" t="s">
        <v>2194</v>
      </c>
      <c r="AS7" s="2352" t="s">
        <v>2254</v>
      </c>
      <c r="AT7" s="2353" t="s">
        <v>2252</v>
      </c>
      <c r="AU7" s="36"/>
      <c r="AV7" s="37"/>
      <c r="AW7" s="2348" t="s">
        <v>2120</v>
      </c>
      <c r="AX7" s="2348" t="s">
        <v>2240</v>
      </c>
      <c r="AY7" s="2348" t="s">
        <v>2239</v>
      </c>
      <c r="AZ7" s="2348" t="s">
        <v>2255</v>
      </c>
      <c r="BA7" s="86"/>
    </row>
    <row r="8" spans="1:53" ht="15" customHeight="1" x14ac:dyDescent="0.3">
      <c r="A8" s="50"/>
      <c r="B8" s="60"/>
      <c r="C8" s="2207" t="s">
        <v>593</v>
      </c>
      <c r="D8" s="2208"/>
      <c r="F8" s="807"/>
      <c r="G8" s="807"/>
      <c r="H8" s="807"/>
      <c r="I8" s="807"/>
      <c r="J8" s="808" t="s">
        <v>302</v>
      </c>
      <c r="K8" s="807"/>
      <c r="L8" s="2379" t="s">
        <v>60</v>
      </c>
      <c r="M8" s="808" t="s">
        <v>302</v>
      </c>
      <c r="N8" s="2205" t="s">
        <v>302</v>
      </c>
      <c r="O8" s="507"/>
      <c r="P8" s="507"/>
      <c r="Q8" s="508" t="s">
        <v>303</v>
      </c>
      <c r="R8" s="509" t="s">
        <v>119</v>
      </c>
      <c r="S8" s="510" t="s">
        <v>42</v>
      </c>
      <c r="T8" s="508" t="s">
        <v>303</v>
      </c>
      <c r="U8" s="509" t="s">
        <v>119</v>
      </c>
      <c r="V8" s="510" t="s">
        <v>42</v>
      </c>
      <c r="W8" s="508" t="s">
        <v>303</v>
      </c>
      <c r="X8" s="509" t="s">
        <v>119</v>
      </c>
      <c r="Y8" s="510" t="s">
        <v>42</v>
      </c>
      <c r="Z8" s="627" t="s">
        <v>303</v>
      </c>
      <c r="AA8" s="509" t="s">
        <v>119</v>
      </c>
      <c r="AB8" s="510" t="s">
        <v>42</v>
      </c>
      <c r="AC8" s="508" t="s">
        <v>303</v>
      </c>
      <c r="AD8" s="511" t="s">
        <v>119</v>
      </c>
      <c r="AE8" s="561" t="s">
        <v>119</v>
      </c>
      <c r="AF8" s="560" t="s">
        <v>119</v>
      </c>
      <c r="AG8" s="566" t="s">
        <v>303</v>
      </c>
      <c r="AH8" s="566" t="s">
        <v>60</v>
      </c>
      <c r="AI8" s="508" t="s">
        <v>303</v>
      </c>
      <c r="AJ8" s="805" t="s">
        <v>119</v>
      </c>
      <c r="AK8" s="815" t="s">
        <v>60</v>
      </c>
      <c r="AL8" s="815" t="s">
        <v>60</v>
      </c>
      <c r="AN8" s="508" t="s">
        <v>303</v>
      </c>
      <c r="AO8" s="508" t="s">
        <v>303</v>
      </c>
      <c r="AR8" s="37"/>
      <c r="AS8" s="2349" t="s">
        <v>303</v>
      </c>
      <c r="AT8" s="2349" t="s">
        <v>303</v>
      </c>
      <c r="AU8" s="36"/>
      <c r="AV8" s="37"/>
      <c r="AW8" s="2349" t="s">
        <v>303</v>
      </c>
      <c r="AX8" s="2349" t="s">
        <v>303</v>
      </c>
      <c r="AY8" s="2349" t="s">
        <v>303</v>
      </c>
      <c r="AZ8" s="2349" t="s">
        <v>303</v>
      </c>
      <c r="BA8" s="86"/>
    </row>
    <row r="9" spans="1:53" x14ac:dyDescent="0.3">
      <c r="A9" s="50"/>
      <c r="B9" s="2604" t="str">
        <f ca="1">OFFSET(Proj_Sum!$S$41,C9,1)</f>
        <v>Residential (in-unit)</v>
      </c>
      <c r="C9" s="809">
        <f>Proj_Sum!D42</f>
        <v>1</v>
      </c>
      <c r="D9" s="619" t="str">
        <f>Proj_Sum!F42</f>
        <v>Multifamily - Dwelling/Sleeping Units</v>
      </c>
      <c r="E9" s="619" t="str">
        <f>Proj_Sum!E42</f>
        <v>Mfam</v>
      </c>
      <c r="F9" s="810"/>
      <c r="G9" s="490"/>
      <c r="H9" s="480"/>
      <c r="I9" s="490"/>
      <c r="J9" s="491"/>
      <c r="K9" s="492"/>
      <c r="L9" s="1914">
        <f>VLOOKUP(E9,$AR$9:$AT$40,IF($L$7=$AS$7,2,3),FALSE)</f>
        <v>0</v>
      </c>
      <c r="M9" s="491"/>
      <c r="N9" s="496">
        <f ca="1">SUMIFS(OFFSET(CmnLtg_Ref,1,M$50,2000),OFFSET(CmnLtg_Ref,1,$E$50,2000),$E9)-M9</f>
        <v>83040.097299999965</v>
      </c>
      <c r="O9" s="492"/>
      <c r="P9" s="492"/>
      <c r="Q9" s="1543">
        <f t="shared" ref="Q9:Q26" ca="1" si="0">IF(R9=0,0,R9/$N9)</f>
        <v>1.0699903165937166</v>
      </c>
      <c r="R9" s="1202">
        <f ca="1">SUMIFS(OFFSET(CmnLtg_Ref,1,R$50,2000),OFFSET(CmnLtg_Ref,1,R$50,2000),"&gt;=0",OFFSET(CmnLtg_Ref,1,$E$50,2000),$E9)</f>
        <v>88852.099999999991</v>
      </c>
      <c r="S9" s="1202">
        <f ca="1">SUMIFS(OFFSET(CmnLtg_Ref,1,S$50,2000),OFFSET(CmnLtg_Ref,1,$E$50,2000),$E9)</f>
        <v>75879.693400000004</v>
      </c>
      <c r="T9" s="1543">
        <f t="shared" ref="T9:T26" ca="1" si="1">IF(U9=0,0,U9/$N9)</f>
        <v>0</v>
      </c>
      <c r="U9" s="1202">
        <f ca="1">SUMIFS(OFFSET(CmnLtg_Ref,1,U$50,2000),OFFSET(CmnLtg_Ref,1,U$50,2000),"&gt;=0",OFFSET(CmnLtg_Ref,1,$E$50,2000),$E9)</f>
        <v>0</v>
      </c>
      <c r="V9" s="1202">
        <f ca="1">SUMIFS(OFFSET(CmnLtg_Ref,1,V$50,2000),OFFSET(CmnLtg_Ref,1,$E$50,2000),$E9)</f>
        <v>0</v>
      </c>
      <c r="W9" s="1543">
        <f t="shared" ref="W9:W26" ca="1" si="2">IF(X9=0,0,X9/$N9)</f>
        <v>0.59999809272863203</v>
      </c>
      <c r="X9" s="1202">
        <f ca="1">SUMIFS(OFFSET(CmnLtg_Ref,1,X$50,2000),OFFSET(CmnLtg_Ref,1,X$50,2000),"&gt;=0",OFFSET(CmnLtg_Ref,1,$E$50,2000),$E9)</f>
        <v>49823.900000000009</v>
      </c>
      <c r="Y9" s="1202">
        <f ca="1">SUMIFS(OFFSET(CmnLtg_Ref,1,Y$50,2000),OFFSET(CmnLtg_Ref,1,$E$50,2000),$E9)</f>
        <v>42549.610600000007</v>
      </c>
      <c r="Z9" s="1543">
        <f ca="1">IF(AA9=0,0,AA9/$N9)</f>
        <v>0.59999809272863203</v>
      </c>
      <c r="AA9" s="1202">
        <f ca="1">SUMIFS(OFFSET(CmnLtg_Ref,1,AA$50,2000),OFFSET(CmnLtg_Ref,1,AA$50,2000),"&gt;=0",OFFSET(CmnLtg_Ref,1,$E$50,2000),$E9)</f>
        <v>49823.900000000009</v>
      </c>
      <c r="AB9" s="1202">
        <f ca="1">SUMIFS(OFFSET(CmnLtg_Ref,1,AB$50,2000),OFFSET(CmnLtg_Ref,1,$E$50,2000),$E9)</f>
        <v>42549.610600000007</v>
      </c>
      <c r="AC9" s="1543">
        <f ca="1">IF(AD9=0,0,AD9/$N9)</f>
        <v>0</v>
      </c>
      <c r="AD9" s="1202">
        <f ca="1">SUMIFS(OFFSET(CmnLtg_Ref,1,AD$50,2000),OFFSET(CmnLtg_Ref,1,AD$50,2000),"&gt;=0",OFFSET(CmnLtg_Ref,1,$E$50,2000),$E9)</f>
        <v>0</v>
      </c>
      <c r="AE9" s="1544">
        <f ca="1">IF(N9=0,0,SUMIFS(OFFSET(CmnLtg_Ref,1,AE$50,2000),OFFSET(CmnLtg_Ref,1,$E$50,2000),$E9))</f>
        <v>0</v>
      </c>
      <c r="AF9" s="1545">
        <f ca="1">IF(N9=0,0,SUMIFS(OFFSET(CmnLtg_Ref,1,AF$50,2000),OFFSET(CmnLtg_Ref,1,$E$50,2000),$E9))</f>
        <v>0</v>
      </c>
      <c r="AG9" s="1546">
        <f ca="1">IFERROR((AE9+AF9*(1-L9))/N9,"")</f>
        <v>0</v>
      </c>
      <c r="AH9" s="2369" t="str">
        <f ca="1">IFERROR((AE9*0+AF9*L9)/AD9,"")</f>
        <v/>
      </c>
      <c r="AI9" s="1543">
        <f>INDEX($AV$7:$AZ$40,MATCH($E9,$AV$7:$AV$40,0),MATCH(AI$7,$AV$7:$AZ$7,0))</f>
        <v>0.41</v>
      </c>
      <c r="AJ9" s="1202">
        <f ca="1">IF(X9&gt;0,AI9*N9,0)</f>
        <v>34046.439892999981</v>
      </c>
      <c r="AK9" s="1536"/>
      <c r="AL9" s="950">
        <f ca="1">IF(Z9=0,0,(Q9-Z9)/Q9)</f>
        <v>0.4392490441981674</v>
      </c>
      <c r="AM9"/>
      <c r="AN9" s="1210"/>
      <c r="AO9" s="1203"/>
      <c r="AP9"/>
      <c r="AQ9"/>
      <c r="AR9" s="2350" t="s">
        <v>860</v>
      </c>
      <c r="AS9" s="2351"/>
      <c r="AT9" s="2351">
        <v>0</v>
      </c>
      <c r="AU9" s="36"/>
      <c r="AV9" s="2350" t="s">
        <v>860</v>
      </c>
      <c r="AW9" s="2356">
        <v>0.41</v>
      </c>
      <c r="AX9" s="2350">
        <v>0.37</v>
      </c>
      <c r="AY9" s="2350">
        <v>0.41</v>
      </c>
      <c r="AZ9" s="37">
        <v>0.44</v>
      </c>
      <c r="BA9" s="86"/>
    </row>
    <row r="10" spans="1:53" ht="15" customHeight="1" x14ac:dyDescent="0.3">
      <c r="A10" s="50"/>
      <c r="B10" s="2604"/>
      <c r="C10" s="811">
        <f>Proj_Sum!D43</f>
        <v>1</v>
      </c>
      <c r="D10" s="620" t="str">
        <f>Proj_Sum!F43</f>
        <v>Multifamily - Dwelling/Sleeping Units</v>
      </c>
      <c r="E10" s="620" t="str">
        <f>Proj_Sum!E43</f>
        <v>Loft</v>
      </c>
      <c r="F10" s="812"/>
      <c r="G10" s="493"/>
      <c r="H10" s="481"/>
      <c r="I10" s="493"/>
      <c r="J10" s="494"/>
      <c r="K10" s="495"/>
      <c r="L10" s="2347">
        <f>VLOOKUP(E10,$AR$9:$AT$40,IF($L$7=$AS$7,2,3),FALSE)</f>
        <v>0</v>
      </c>
      <c r="M10" s="494"/>
      <c r="N10" s="497">
        <f ca="1">SUMIFS(OFFSET(CmnLtg_Ref,1,M$50,2000),OFFSET(CmnLtg_Ref,1,$E$50,2000),$E10)-M10</f>
        <v>0</v>
      </c>
      <c r="O10" s="495"/>
      <c r="P10" s="495"/>
      <c r="Q10" s="1547">
        <f t="shared" ca="1" si="0"/>
        <v>0</v>
      </c>
      <c r="R10" s="1581">
        <f ca="1">SUMIFS(OFFSET(CmnLtg_Ref,1,R$50,2000),OFFSET(CmnLtg_Ref,1,R$50,2000),"&gt;=0",OFFSET(CmnLtg_Ref,1,$E$50,2000),$E10)</f>
        <v>0</v>
      </c>
      <c r="S10" s="1581">
        <f ca="1">SUMIFS(OFFSET(CmnLtg_Ref,1,S$50,2000),OFFSET(CmnLtg_Ref,1,$E$50,2000),$E10)</f>
        <v>0</v>
      </c>
      <c r="T10" s="1547">
        <f t="shared" ca="1" si="1"/>
        <v>0</v>
      </c>
      <c r="U10" s="1581">
        <f ca="1">SUMIFS(OFFSET(CmnLtg_Ref,1,U$50,2000),OFFSET(CmnLtg_Ref,1,U$50,2000),"&gt;=0",OFFSET(CmnLtg_Ref,1,$E$50,2000),$E10)</f>
        <v>0</v>
      </c>
      <c r="V10" s="1581">
        <f ca="1">SUMIFS(OFFSET(CmnLtg_Ref,1,V$50,2000),OFFSET(CmnLtg_Ref,1,$E$50,2000),$E10)</f>
        <v>0</v>
      </c>
      <c r="W10" s="1547">
        <f t="shared" ca="1" si="2"/>
        <v>0</v>
      </c>
      <c r="X10" s="1581">
        <f ca="1">SUMIFS(OFFSET(CmnLtg_Ref,1,X$50,2000),OFFSET(CmnLtg_Ref,1,X$50,2000),"&gt;=0",OFFSET(CmnLtg_Ref,1,$E$50,2000),$E10)</f>
        <v>0</v>
      </c>
      <c r="Y10" s="1581">
        <f ca="1">SUMIFS(OFFSET(CmnLtg_Ref,1,Y$50,2000),OFFSET(CmnLtg_Ref,1,$E$50,2000),$E10)</f>
        <v>0</v>
      </c>
      <c r="Z10" s="1547">
        <f t="shared" ref="Z10:Z21" ca="1" si="3">IF(AA10=0,0,AA10/$N10)</f>
        <v>0</v>
      </c>
      <c r="AA10" s="1581">
        <f ca="1">SUMIFS(OFFSET(CmnLtg_Ref,1,AA$50,2000),OFFSET(CmnLtg_Ref,1,AA$50,2000),"&gt;=0",OFFSET(CmnLtg_Ref,1,$E$50,2000),$E10)</f>
        <v>0</v>
      </c>
      <c r="AB10" s="1581">
        <f ca="1">SUMIFS(OFFSET(CmnLtg_Ref,1,AB$50,2000),OFFSET(CmnLtg_Ref,1,$E$50,2000),$E10)</f>
        <v>0</v>
      </c>
      <c r="AC10" s="1547">
        <f t="shared" ref="AC10:AC26" ca="1" si="4">IF(AD10=0,0,AD10/$N10)</f>
        <v>0</v>
      </c>
      <c r="AD10" s="1581">
        <f ca="1">SUMIFS(OFFSET(CmnLtg_Ref,1,AD$50,2000),OFFSET(CmnLtg_Ref,1,AD$50,2000),"&gt;=0",OFFSET(CmnLtg_Ref,1,$E$50,2000),$E10)</f>
        <v>0</v>
      </c>
      <c r="AE10" s="1548">
        <f ca="1">IF(N10=0,0,SUMIFS(OFFSET(CmnLtg_Ref,1,AE$50,2000),OFFSET(CmnLtg_Ref,1,$E$50,2000),$E10))</f>
        <v>0</v>
      </c>
      <c r="AF10" s="1549">
        <f ca="1">IF(N10=0,0,SUMIFS(OFFSET(CmnLtg_Ref,1,AF$50,2000),OFFSET(CmnLtg_Ref,1,$E$50,2000),$E10))</f>
        <v>0</v>
      </c>
      <c r="AG10" s="1550" t="str">
        <f t="shared" ref="AG10:AG39" ca="1" si="5">IFERROR((AE10+AF10*(1-L10))/N10,"")</f>
        <v/>
      </c>
      <c r="AH10" s="2370" t="str">
        <f t="shared" ref="AH10:AH39" ca="1" si="6">IFERROR((AE10*0+AF10*L10)/AD10,"")</f>
        <v/>
      </c>
      <c r="AI10" s="1547">
        <f>INDEX($AV$7:$AZ$40,MATCH($E10,$AV$7:$AV$40,0),MATCH(AI$7,$AV$7:$AZ$7,0))</f>
        <v>0.41</v>
      </c>
      <c r="AJ10" s="1581">
        <f t="shared" ref="AJ10:AJ37" ca="1" si="7">IF(X10&gt;0,AI10*N10,0)</f>
        <v>0</v>
      </c>
      <c r="AK10" s="1537"/>
      <c r="AL10" s="959">
        <f t="shared" ref="AL10:AL17" ca="1" si="8">IF(Z10=0,0,(Q10-Z10)/Q10)</f>
        <v>0</v>
      </c>
      <c r="AM10"/>
      <c r="AN10" s="1211"/>
      <c r="AO10" s="1204"/>
      <c r="AP10"/>
      <c r="AQ10"/>
      <c r="AR10" s="2350" t="s">
        <v>876</v>
      </c>
      <c r="AS10" s="2351"/>
      <c r="AT10" s="2351">
        <v>0</v>
      </c>
      <c r="AU10" s="36"/>
      <c r="AV10" s="2350" t="s">
        <v>876</v>
      </c>
      <c r="AW10" s="2356">
        <v>0.41</v>
      </c>
      <c r="AX10" s="2350">
        <v>0.37</v>
      </c>
      <c r="AY10" s="2350">
        <v>0.41</v>
      </c>
      <c r="AZ10" s="37">
        <v>0.44</v>
      </c>
      <c r="BA10" s="86"/>
    </row>
    <row r="11" spans="1:53" ht="15" customHeight="1" x14ac:dyDescent="0.3">
      <c r="A11" s="50"/>
      <c r="B11" s="2604"/>
      <c r="C11" s="816" t="s">
        <v>582</v>
      </c>
      <c r="D11" s="482"/>
      <c r="E11" s="482"/>
      <c r="F11" s="817"/>
      <c r="G11" s="486"/>
      <c r="H11" s="485"/>
      <c r="I11" s="486"/>
      <c r="J11" s="506"/>
      <c r="K11" s="487"/>
      <c r="L11" s="1915"/>
      <c r="M11" s="506"/>
      <c r="N11" s="483">
        <f ca="1">SUM(N9:N10)</f>
        <v>83040.097299999965</v>
      </c>
      <c r="O11" s="487"/>
      <c r="P11" s="487"/>
      <c r="Q11" s="1551">
        <f t="shared" ca="1" si="0"/>
        <v>1.0699903165937166</v>
      </c>
      <c r="R11" s="1582">
        <f ca="1">SUM(R9:R10)</f>
        <v>88852.099999999991</v>
      </c>
      <c r="S11" s="1582"/>
      <c r="T11" s="1551">
        <f t="shared" ca="1" si="1"/>
        <v>0</v>
      </c>
      <c r="U11" s="1582">
        <f ca="1">SUM(U9:U10)</f>
        <v>0</v>
      </c>
      <c r="V11" s="1582"/>
      <c r="W11" s="1551">
        <f t="shared" ca="1" si="2"/>
        <v>0.59999809272863203</v>
      </c>
      <c r="X11" s="1582">
        <f ca="1">SUM(X9:X10)</f>
        <v>49823.900000000009</v>
      </c>
      <c r="Y11" s="1582"/>
      <c r="Z11" s="1551">
        <f t="shared" ca="1" si="3"/>
        <v>0.59999809272863203</v>
      </c>
      <c r="AA11" s="1582">
        <f ca="1">SUM(AA9:AA10)</f>
        <v>49823.900000000009</v>
      </c>
      <c r="AB11" s="1582"/>
      <c r="AC11" s="1551"/>
      <c r="AD11" s="1582"/>
      <c r="AE11" s="1554"/>
      <c r="AF11" s="1555"/>
      <c r="AG11" s="1556"/>
      <c r="AH11" s="2371"/>
      <c r="AI11" s="1553">
        <f ca="1">AJ11/$N11</f>
        <v>0.40999999999999992</v>
      </c>
      <c r="AJ11" s="1582">
        <f ca="1">SUM(AJ9:AJ10)</f>
        <v>34046.439892999981</v>
      </c>
      <c r="AK11" s="1538"/>
      <c r="AL11" s="1000">
        <f t="shared" ca="1" si="8"/>
        <v>0.4392490441981674</v>
      </c>
      <c r="AM11"/>
      <c r="AN11" s="1211"/>
      <c r="AO11" s="1205"/>
      <c r="AP11"/>
      <c r="AQ11"/>
      <c r="AR11" s="2350"/>
      <c r="AS11" s="2351"/>
      <c r="AT11" s="2351"/>
      <c r="AU11" s="36"/>
      <c r="AV11" s="2350"/>
      <c r="AW11" s="2356"/>
      <c r="AX11" s="2350"/>
      <c r="AY11" s="2350"/>
      <c r="AZ11" s="37"/>
      <c r="BA11" s="86"/>
    </row>
    <row r="12" spans="1:53" x14ac:dyDescent="0.3">
      <c r="A12" s="50"/>
      <c r="B12" s="2605" t="str">
        <f ca="1">OFFSET(Proj_Sum!$S$41,C12,1)</f>
        <v>Res-associated</v>
      </c>
      <c r="C12" s="942">
        <f>Proj_Sum!D44</f>
        <v>2</v>
      </c>
      <c r="D12" s="943" t="str">
        <f>Proj_Sum!F44</f>
        <v>Lounge</v>
      </c>
      <c r="E12" s="943" t="str">
        <f>Proj_Sum!E44</f>
        <v>Lnge</v>
      </c>
      <c r="F12" s="944"/>
      <c r="G12" s="945"/>
      <c r="H12" s="946"/>
      <c r="I12" s="945"/>
      <c r="J12" s="947"/>
      <c r="K12" s="948"/>
      <c r="L12" s="1914">
        <f>VLOOKUP(E12,$AR$9:$AT$40,IF($L$7=$AS$7,2,3),FALSE)</f>
        <v>0.1</v>
      </c>
      <c r="M12" s="947"/>
      <c r="N12" s="949">
        <f ca="1">SUMIFS(OFFSET(CmnLtg_Ref,1,M$50,2000),OFFSET(CmnLtg_Ref,1,$E$50,2000),$E12)-M12</f>
        <v>0</v>
      </c>
      <c r="O12" s="948"/>
      <c r="P12" s="948"/>
      <c r="Q12" s="1557">
        <f t="shared" ca="1" si="0"/>
        <v>0</v>
      </c>
      <c r="R12" s="1583">
        <f ca="1">SUMIFS(OFFSET(CmnLtg_Ref,1,R$50,2000),OFFSET(CmnLtg_Ref,1,R$50,2000),"&gt;=0",OFFSET(CmnLtg_Ref,1,$E$50,2000),$E12)</f>
        <v>0</v>
      </c>
      <c r="S12" s="1583">
        <f ca="1">SUMIFS(OFFSET(CmnLtg_Ref,1,S$50,2000),OFFSET(CmnLtg_Ref,1,$E$50,2000),$E12)</f>
        <v>0</v>
      </c>
      <c r="T12" s="1557">
        <f t="shared" ca="1" si="1"/>
        <v>0</v>
      </c>
      <c r="U12" s="1583">
        <f ca="1">SUMIFS(OFFSET(CmnLtg_Ref,1,U$50,2000),OFFSET(CmnLtg_Ref,1,U$50,2000),"&gt;=0",OFFSET(CmnLtg_Ref,1,$E$50,2000),$E12)</f>
        <v>0</v>
      </c>
      <c r="V12" s="1583">
        <f ca="1">SUMIFS(OFFSET(CmnLtg_Ref,1,V$50,2000),OFFSET(CmnLtg_Ref,1,$E$50,2000),$E12)</f>
        <v>0</v>
      </c>
      <c r="W12" s="1557">
        <f t="shared" ca="1" si="2"/>
        <v>0</v>
      </c>
      <c r="X12" s="1583">
        <f ca="1">SUMIFS(OFFSET(CmnLtg_Ref,1,X$50,2000),OFFSET(CmnLtg_Ref,1,X$50,2000),"&gt;=0",OFFSET(CmnLtg_Ref,1,$E$50,2000),$E12)</f>
        <v>0</v>
      </c>
      <c r="Y12" s="1583">
        <f ca="1">SUMIFS(OFFSET(CmnLtg_Ref,1,Y$50,2000),OFFSET(CmnLtg_Ref,1,$E$50,2000),$E12)</f>
        <v>0</v>
      </c>
      <c r="Z12" s="1923">
        <f t="shared" ca="1" si="3"/>
        <v>0</v>
      </c>
      <c r="AA12" s="1583">
        <f ca="1">SUMIFS(OFFSET(CmnLtg_Ref,1,AA$50,2000),OFFSET(CmnLtg_Ref,1,AA$50,2000),"&gt;=0",OFFSET(CmnLtg_Ref,1,$E$50,2000),$E12)</f>
        <v>0</v>
      </c>
      <c r="AB12" s="1583">
        <f ca="1">SUMIFS(OFFSET(CmnLtg_Ref,1,AB$50,2000),OFFSET(CmnLtg_Ref,1,$E$50,2000),$E12)</f>
        <v>0</v>
      </c>
      <c r="AC12" s="1557">
        <f t="shared" ca="1" si="4"/>
        <v>0</v>
      </c>
      <c r="AD12" s="1583">
        <f ca="1">SUMIFS(OFFSET(CmnLtg_Ref,1,AD$50,2000),OFFSET(CmnLtg_Ref,1,AD$50,2000),"&gt;=0",OFFSET(CmnLtg_Ref,1,$E$50,2000),$E12)</f>
        <v>0</v>
      </c>
      <c r="AE12" s="1558">
        <f ca="1">IF(N12=0,0,SUMIFS(OFFSET(CmnLtg_Ref,1,AE$50,2000),OFFSET(CmnLtg_Ref,1,$E$50,2000),$E12))</f>
        <v>0</v>
      </c>
      <c r="AF12" s="1559">
        <f ca="1">IF(N12=0,0,SUMIFS(OFFSET(CmnLtg_Ref,1,AF$50,2000),OFFSET(CmnLtg_Ref,1,$E$50,2000),$E12))</f>
        <v>0</v>
      </c>
      <c r="AG12" s="1560" t="str">
        <f t="shared" ca="1" si="5"/>
        <v/>
      </c>
      <c r="AH12" s="2372" t="str">
        <f t="shared" ca="1" si="6"/>
        <v/>
      </c>
      <c r="AI12" s="1557">
        <f t="shared" ref="AI12:AI16" si="9">INDEX($AV$7:$AZ$40,MATCH($E12,$AV$7:$AV$40,0),MATCH(AI$7,$AV$7:$AZ$7,0))</f>
        <v>0.59</v>
      </c>
      <c r="AJ12" s="1583">
        <f t="shared" ca="1" si="7"/>
        <v>0</v>
      </c>
      <c r="AK12" s="1539">
        <f t="shared" ref="AK12:AK39" ca="1" si="10">IFERROR(AA12/AJ12,0)</f>
        <v>0</v>
      </c>
      <c r="AL12" s="950">
        <f t="shared" ca="1" si="8"/>
        <v>0</v>
      </c>
      <c r="AM12"/>
      <c r="AN12" s="1212"/>
      <c r="AO12" s="1206">
        <f>$AI12*(1-AO$6)</f>
        <v>0.53100000000000003</v>
      </c>
      <c r="AP12"/>
      <c r="AQ12"/>
      <c r="AR12" s="2350" t="s">
        <v>864</v>
      </c>
      <c r="AS12" s="2351">
        <v>0.1</v>
      </c>
      <c r="AT12" s="2351">
        <v>0</v>
      </c>
      <c r="AU12" s="36"/>
      <c r="AV12" s="2350" t="s">
        <v>864</v>
      </c>
      <c r="AW12" s="2356">
        <v>0.59</v>
      </c>
      <c r="AX12" s="2350">
        <v>0.53</v>
      </c>
      <c r="AY12" s="2350">
        <v>0.59</v>
      </c>
      <c r="AZ12" s="37">
        <v>0.52</v>
      </c>
      <c r="BA12" s="86"/>
    </row>
    <row r="13" spans="1:53" ht="15" customHeight="1" x14ac:dyDescent="0.3">
      <c r="A13" s="50"/>
      <c r="B13" s="2606"/>
      <c r="C13" s="951">
        <f>Proj_Sum!D45</f>
        <v>2</v>
      </c>
      <c r="D13" s="952" t="str">
        <f>Proj_Sum!F45</f>
        <v>Conference/Meeting/Multipurpose</v>
      </c>
      <c r="E13" s="952" t="str">
        <f>Proj_Sum!E45</f>
        <v>Mprp</v>
      </c>
      <c r="F13" s="953"/>
      <c r="G13" s="954"/>
      <c r="H13" s="955"/>
      <c r="I13" s="954"/>
      <c r="J13" s="956"/>
      <c r="K13" s="957"/>
      <c r="L13" s="2347">
        <f>VLOOKUP(E13,$AR$9:$AT$40,IF($L$7=$AS$7,2,3),FALSE)</f>
        <v>0.1</v>
      </c>
      <c r="M13" s="956"/>
      <c r="N13" s="958">
        <f ca="1">SUMIFS(OFFSET(CmnLtg_Ref,1,M$50,2000),OFFSET(CmnLtg_Ref,1,$E$50,2000),$E13)-M13</f>
        <v>2056.806</v>
      </c>
      <c r="O13" s="957"/>
      <c r="P13" s="957"/>
      <c r="Q13" s="1561">
        <f t="shared" ca="1" si="0"/>
        <v>1.2999767600833525</v>
      </c>
      <c r="R13" s="1584">
        <f ca="1">SUMIFS(OFFSET(CmnLtg_Ref,1,R$50,2000),OFFSET(CmnLtg_Ref,1,R$50,2000),"&gt;=0",OFFSET(CmnLtg_Ref,1,$E$50,2000),$E13)</f>
        <v>2673.8</v>
      </c>
      <c r="S13" s="1584">
        <f ca="1">SUMIFS(OFFSET(CmnLtg_Ref,1,S$50,2000),OFFSET(CmnLtg_Ref,1,$E$50,2000),$E13)</f>
        <v>23422.488000000001</v>
      </c>
      <c r="T13" s="1561">
        <f t="shared" ca="1" si="1"/>
        <v>0</v>
      </c>
      <c r="U13" s="1584">
        <f ca="1">SUMIFS(OFFSET(CmnLtg_Ref,1,U$50,2000),OFFSET(CmnLtg_Ref,1,U$50,2000),"&gt;=0",OFFSET(CmnLtg_Ref,1,$E$50,2000),$E13)</f>
        <v>0</v>
      </c>
      <c r="V13" s="1584">
        <f ca="1">SUMIFS(OFFSET(CmnLtg_Ref,1,V$50,2000),OFFSET(CmnLtg_Ref,1,$E$50,2000),$E13)</f>
        <v>0</v>
      </c>
      <c r="W13" s="1561">
        <f t="shared" ca="1" si="2"/>
        <v>0.7760090159208014</v>
      </c>
      <c r="X13" s="1584">
        <f ca="1">SUMIFS(OFFSET(CmnLtg_Ref,1,X$50,2000),OFFSET(CmnLtg_Ref,1,X$50,2000),"&gt;=0",OFFSET(CmnLtg_Ref,1,$E$50,2000),$E13)</f>
        <v>1596.1</v>
      </c>
      <c r="Y13" s="1584">
        <f ca="1">SUMIFS(OFFSET(CmnLtg_Ref,1,Y$50,2000),OFFSET(CmnLtg_Ref,1,$E$50,2000),$E13)</f>
        <v>13981.835999999999</v>
      </c>
      <c r="Z13" s="1923">
        <f>AI13*0.8</f>
        <v>0.77600000000000002</v>
      </c>
      <c r="AA13" s="1584">
        <f ca="1">Z13*N13</f>
        <v>1596.0814560000001</v>
      </c>
      <c r="AB13" s="1584">
        <f ca="1">SUMIFS(OFFSET(CmnLtg_Ref,1,AB$50,2000),OFFSET(CmnLtg_Ref,1,$E$50,2000),$E13)</f>
        <v>13981.835999999999</v>
      </c>
      <c r="AC13" s="1561">
        <f t="shared" ca="1" si="4"/>
        <v>0</v>
      </c>
      <c r="AD13" s="1584">
        <f ca="1">SUMIFS(OFFSET(CmnLtg_Ref,1,AD$50,2000),OFFSET(CmnLtg_Ref,1,AD$50,2000),"&gt;=0",OFFSET(CmnLtg_Ref,1,$E$50,2000),$E13)</f>
        <v>0</v>
      </c>
      <c r="AE13" s="1562">
        <f ca="1">IF(N13=0,0,SUMIFS(OFFSET(CmnLtg_Ref,1,AE$50,2000),OFFSET(CmnLtg_Ref,1,$E$50,2000),$E13))</f>
        <v>0</v>
      </c>
      <c r="AF13" s="1563">
        <f ca="1">IF(N13=0,0,SUMIFS(OFFSET(CmnLtg_Ref,1,AF$50,2000),OFFSET(CmnLtg_Ref,1,$E$50,2000),$E13))</f>
        <v>0</v>
      </c>
      <c r="AG13" s="1564">
        <f t="shared" ca="1" si="5"/>
        <v>0</v>
      </c>
      <c r="AH13" s="2373" t="str">
        <f t="shared" ca="1" si="6"/>
        <v/>
      </c>
      <c r="AI13" s="1561">
        <f t="shared" si="9"/>
        <v>0.97</v>
      </c>
      <c r="AJ13" s="1584">
        <f t="shared" ca="1" si="7"/>
        <v>1995.1018200000001</v>
      </c>
      <c r="AK13" s="1540">
        <f t="shared" ca="1" si="10"/>
        <v>0.8</v>
      </c>
      <c r="AL13" s="959">
        <f t="shared" ca="1" si="8"/>
        <v>0.40306625177649785</v>
      </c>
      <c r="AM13"/>
      <c r="AN13" s="1213"/>
      <c r="AO13" s="1207">
        <f>$AI13*(1-AO$6)</f>
        <v>0.873</v>
      </c>
      <c r="AP13" s="16"/>
      <c r="AQ13" s="16"/>
      <c r="AR13" s="2350" t="s">
        <v>1874</v>
      </c>
      <c r="AS13" s="2351">
        <v>0.1</v>
      </c>
      <c r="AT13" s="2351">
        <v>0</v>
      </c>
      <c r="AU13" s="36"/>
      <c r="AV13" s="2350" t="s">
        <v>1874</v>
      </c>
      <c r="AW13" s="2356">
        <v>0.97</v>
      </c>
      <c r="AX13" s="2350">
        <v>0.87</v>
      </c>
      <c r="AY13" s="2350">
        <v>0.97</v>
      </c>
      <c r="AZ13" s="37">
        <v>0.84</v>
      </c>
      <c r="BA13" s="86"/>
    </row>
    <row r="14" spans="1:53" ht="15" customHeight="1" x14ac:dyDescent="0.3">
      <c r="A14" s="50"/>
      <c r="B14" s="2606"/>
      <c r="C14" s="951">
        <f>Proj_Sum!D46</f>
        <v>2</v>
      </c>
      <c r="D14" s="952" t="str">
        <f>Proj_Sum!F46</f>
        <v>Laundry</v>
      </c>
      <c r="E14" s="952" t="str">
        <f>Proj_Sum!E46</f>
        <v>Lndy</v>
      </c>
      <c r="F14" s="953"/>
      <c r="G14" s="954"/>
      <c r="H14" s="955"/>
      <c r="I14" s="954"/>
      <c r="J14" s="956"/>
      <c r="K14" s="957"/>
      <c r="L14" s="2347">
        <f>VLOOKUP(E14,$AR$9:$AT$40,IF($L$7=$AS$7,2,3),FALSE)</f>
        <v>0.1</v>
      </c>
      <c r="M14" s="956"/>
      <c r="N14" s="958">
        <f ca="1">SUMIFS(OFFSET(CmnLtg_Ref,1,M$50,2000),OFFSET(CmnLtg_Ref,1,$E$50,2000),$E14)-M14</f>
        <v>1362.1440000000002</v>
      </c>
      <c r="O14" s="957"/>
      <c r="P14" s="957"/>
      <c r="Q14" s="1561">
        <f t="shared" ref="Q14" ca="1" si="11">IF(R14=0,0,R14/$N14)</f>
        <v>0.60015681161463097</v>
      </c>
      <c r="R14" s="1584">
        <f ca="1">SUMIFS(OFFSET(CmnLtg_Ref,1,R$50,2000),OFFSET(CmnLtg_Ref,1,R$50,2000),"&gt;=0",OFFSET(CmnLtg_Ref,1,$E$50,2000),$E14)</f>
        <v>817.5</v>
      </c>
      <c r="S14" s="1584">
        <f ca="1">SUMIFS(OFFSET(CmnLtg_Ref,1,S$50,2000),OFFSET(CmnLtg_Ref,1,$E$50,2000),$E14)</f>
        <v>7161.3</v>
      </c>
      <c r="T14" s="1561">
        <f t="shared" ref="T14" ca="1" si="12">IF(U14=0,0,U14/$N14)</f>
        <v>0</v>
      </c>
      <c r="U14" s="1584">
        <f ca="1">SUMIFS(OFFSET(CmnLtg_Ref,1,U$50,2000),OFFSET(CmnLtg_Ref,1,U$50,2000),"&gt;=0",OFFSET(CmnLtg_Ref,1,$E$50,2000),$E14)</f>
        <v>0</v>
      </c>
      <c r="V14" s="1584">
        <f ca="1">SUMIFS(OFFSET(CmnLtg_Ref,1,V$50,2000),OFFSET(CmnLtg_Ref,1,$E$50,2000),$E14)</f>
        <v>0</v>
      </c>
      <c r="W14" s="1561">
        <f t="shared" ref="W14" ca="1" si="13">IF(X14=0,0,X14/$N14)</f>
        <v>0.4239639861864824</v>
      </c>
      <c r="X14" s="1584">
        <f ca="1">SUMIFS(OFFSET(CmnLtg_Ref,1,X$50,2000),OFFSET(CmnLtg_Ref,1,X$50,2000),"&gt;=0",OFFSET(CmnLtg_Ref,1,$E$50,2000),$E14)</f>
        <v>577.5</v>
      </c>
      <c r="Y14" s="1584">
        <f ca="1">SUMIFS(OFFSET(CmnLtg_Ref,1,Y$50,2000),OFFSET(CmnLtg_Ref,1,$E$50,2000),$E14)</f>
        <v>5058.8999999999996</v>
      </c>
      <c r="Z14" s="1923">
        <f>AI14*0.8</f>
        <v>0.42400000000000004</v>
      </c>
      <c r="AA14" s="1584">
        <f ca="1">Z14*N14</f>
        <v>577.54905600000018</v>
      </c>
      <c r="AB14" s="1584">
        <f ca="1">SUMIFS(OFFSET(CmnLtg_Ref,1,AB$50,2000),OFFSET(CmnLtg_Ref,1,$E$50,2000),$E14)</f>
        <v>5058.8999999999996</v>
      </c>
      <c r="AC14" s="1561">
        <f t="shared" ref="AC14" ca="1" si="14">IF(AD14=0,0,AD14/$N14)</f>
        <v>0</v>
      </c>
      <c r="AD14" s="1584">
        <f ca="1">SUMIFS(OFFSET(CmnLtg_Ref,1,AD$50,2000),OFFSET(CmnLtg_Ref,1,AD$50,2000),"&gt;=0",OFFSET(CmnLtg_Ref,1,$E$50,2000),$E14)</f>
        <v>0</v>
      </c>
      <c r="AE14" s="1562">
        <f ca="1">IF(N14=0,0,SUMIFS(OFFSET(CmnLtg_Ref,1,AE$50,2000),OFFSET(CmnLtg_Ref,1,$E$50,2000),$E14))</f>
        <v>0</v>
      </c>
      <c r="AF14" s="1563">
        <f ca="1">IF(N14=0,0,SUMIFS(OFFSET(CmnLtg_Ref,1,AF$50,2000),OFFSET(CmnLtg_Ref,1,$E$50,2000),$E14))</f>
        <v>0</v>
      </c>
      <c r="AG14" s="1564">
        <f t="shared" ca="1" si="5"/>
        <v>0</v>
      </c>
      <c r="AH14" s="2373" t="str">
        <f t="shared" ca="1" si="6"/>
        <v/>
      </c>
      <c r="AI14" s="1561">
        <f t="shared" si="9"/>
        <v>0.53</v>
      </c>
      <c r="AJ14" s="1584">
        <f t="shared" ref="AJ14" ca="1" si="15">IF(X14&gt;0,AI14*N14,0)</f>
        <v>721.93632000000014</v>
      </c>
      <c r="AK14" s="1540">
        <f t="shared" ref="AK14" ca="1" si="16">IFERROR(AA14/AJ14,0)</f>
        <v>0.8</v>
      </c>
      <c r="AL14" s="959">
        <f t="shared" ref="AL14" ca="1" si="17">IF(Z14=0,0,(Q14-Z14)/Q14)</f>
        <v>0.29351797431192644</v>
      </c>
      <c r="AM14"/>
      <c r="AN14" s="1213"/>
      <c r="AO14" s="1207">
        <f>$AI14*(1-AO$6)</f>
        <v>0.47700000000000004</v>
      </c>
      <c r="AP14" s="16"/>
      <c r="AQ14" s="16"/>
      <c r="AR14" s="2350" t="s">
        <v>1872</v>
      </c>
      <c r="AS14" s="2351">
        <v>0.1</v>
      </c>
      <c r="AT14" s="2351">
        <v>0.1</v>
      </c>
      <c r="AU14" s="36"/>
      <c r="AV14" s="2350" t="s">
        <v>1872</v>
      </c>
      <c r="AW14" s="2356">
        <v>0.53</v>
      </c>
      <c r="AX14" s="2350">
        <v>0.48</v>
      </c>
      <c r="AY14" s="2350">
        <v>0.53</v>
      </c>
      <c r="AZ14" s="37">
        <v>0.48</v>
      </c>
      <c r="BA14" s="86"/>
    </row>
    <row r="15" spans="1:53" ht="15" customHeight="1" x14ac:dyDescent="0.3">
      <c r="A15" s="50"/>
      <c r="B15" s="2606"/>
      <c r="C15" s="951">
        <f>Proj_Sum!D47</f>
        <v>2</v>
      </c>
      <c r="D15" s="952" t="str">
        <f>Proj_Sum!F47</f>
        <v>Gymnasium/Fitness Center - Fitness Area 0.72 4</v>
      </c>
      <c r="E15" s="952" t="str">
        <f>Proj_Sum!E47</f>
        <v>Fitn</v>
      </c>
      <c r="F15" s="953"/>
      <c r="G15" s="954"/>
      <c r="H15" s="955"/>
      <c r="I15" s="954"/>
      <c r="J15" s="956"/>
      <c r="K15" s="957"/>
      <c r="L15" s="2347">
        <f>VLOOKUP(E15,$AR$9:$AT$40,IF($L$7=$AS$7,2,3),FALSE)</f>
        <v>0.1</v>
      </c>
      <c r="M15" s="956"/>
      <c r="N15" s="958">
        <f ca="1">SUMIFS(OFFSET(CmnLtg_Ref,1,M$50,2000),OFFSET(CmnLtg_Ref,1,$E$50,2000),$E15)-M15</f>
        <v>0</v>
      </c>
      <c r="O15" s="957"/>
      <c r="P15" s="957"/>
      <c r="Q15" s="1561">
        <f t="shared" ca="1" si="0"/>
        <v>0</v>
      </c>
      <c r="R15" s="1584">
        <f ca="1">SUMIFS(OFFSET(CmnLtg_Ref,1,R$50,2000),OFFSET(CmnLtg_Ref,1,R$50,2000),"&gt;=0",OFFSET(CmnLtg_Ref,1,$E$50,2000),$E15)</f>
        <v>0</v>
      </c>
      <c r="S15" s="1584">
        <f ca="1">SUMIFS(OFFSET(CmnLtg_Ref,1,S$50,2000),OFFSET(CmnLtg_Ref,1,$E$50,2000),$E15)</f>
        <v>0</v>
      </c>
      <c r="T15" s="1561">
        <f t="shared" ca="1" si="1"/>
        <v>0</v>
      </c>
      <c r="U15" s="1584">
        <f ca="1">SUMIFS(OFFSET(CmnLtg_Ref,1,U$50,2000),OFFSET(CmnLtg_Ref,1,U$50,2000),"&gt;=0",OFFSET(CmnLtg_Ref,1,$E$50,2000),$E15)</f>
        <v>0</v>
      </c>
      <c r="V15" s="1584">
        <f ca="1">SUMIFS(OFFSET(CmnLtg_Ref,1,V$50,2000),OFFSET(CmnLtg_Ref,1,$E$50,2000),$E15)</f>
        <v>0</v>
      </c>
      <c r="W15" s="1561">
        <f t="shared" ca="1" si="2"/>
        <v>0</v>
      </c>
      <c r="X15" s="1584">
        <f ca="1">SUMIFS(OFFSET(CmnLtg_Ref,1,X$50,2000),OFFSET(CmnLtg_Ref,1,X$50,2000),"&gt;=0",OFFSET(CmnLtg_Ref,1,$E$50,2000),$E15)</f>
        <v>0</v>
      </c>
      <c r="Y15" s="1584">
        <f ca="1">SUMIFS(OFFSET(CmnLtg_Ref,1,Y$50,2000),OFFSET(CmnLtg_Ref,1,$E$50,2000),$E15)</f>
        <v>0</v>
      </c>
      <c r="Z15" s="1923">
        <f t="shared" ca="1" si="3"/>
        <v>0</v>
      </c>
      <c r="AA15" s="1584">
        <f ca="1">SUMIFS(OFFSET(CmnLtg_Ref,1,AA$50,2000),OFFSET(CmnLtg_Ref,1,AA$50,2000),"&gt;=0",OFFSET(CmnLtg_Ref,1,$E$50,2000),$E15)</f>
        <v>0</v>
      </c>
      <c r="AB15" s="1584">
        <f ca="1">SUMIFS(OFFSET(CmnLtg_Ref,1,AB$50,2000),OFFSET(CmnLtg_Ref,1,$E$50,2000),$E15)</f>
        <v>0</v>
      </c>
      <c r="AC15" s="1561">
        <f t="shared" ca="1" si="4"/>
        <v>0</v>
      </c>
      <c r="AD15" s="1584">
        <f ca="1">SUMIFS(OFFSET(CmnLtg_Ref,1,AD$50,2000),OFFSET(CmnLtg_Ref,1,AD$50,2000),"&gt;=0",OFFSET(CmnLtg_Ref,1,$E$50,2000),$E15)</f>
        <v>0</v>
      </c>
      <c r="AE15" s="1562">
        <f ca="1">IF(N15=0,0,SUMIFS(OFFSET(CmnLtg_Ref,1,AE$50,2000),OFFSET(CmnLtg_Ref,1,$E$50,2000),$E15))</f>
        <v>0</v>
      </c>
      <c r="AF15" s="1563">
        <f ca="1">IF(N15=0,0,SUMIFS(OFFSET(CmnLtg_Ref,1,AF$50,2000),OFFSET(CmnLtg_Ref,1,$E$50,2000),$E15))</f>
        <v>0</v>
      </c>
      <c r="AG15" s="1564" t="str">
        <f t="shared" ca="1" si="5"/>
        <v/>
      </c>
      <c r="AH15" s="2373" t="str">
        <f t="shared" ca="1" si="6"/>
        <v/>
      </c>
      <c r="AI15" s="1561">
        <f t="shared" si="9"/>
        <v>0.9</v>
      </c>
      <c r="AJ15" s="1584">
        <f t="shared" ca="1" si="7"/>
        <v>0</v>
      </c>
      <c r="AK15" s="1540">
        <f t="shared" ca="1" si="10"/>
        <v>0</v>
      </c>
      <c r="AL15" s="959">
        <f t="shared" ca="1" si="8"/>
        <v>0</v>
      </c>
      <c r="AM15"/>
      <c r="AN15" s="1213"/>
      <c r="AO15" s="1207">
        <f>$AI15*(1-AO$6)</f>
        <v>0.81</v>
      </c>
      <c r="AP15" s="16"/>
      <c r="AQ15" s="16"/>
      <c r="AR15" s="2350" t="s">
        <v>866</v>
      </c>
      <c r="AS15" s="2351">
        <v>0.1</v>
      </c>
      <c r="AT15" s="2351">
        <v>0.35</v>
      </c>
      <c r="AU15" s="36"/>
      <c r="AV15" s="2350" t="s">
        <v>866</v>
      </c>
      <c r="AW15" s="2356">
        <v>0.9</v>
      </c>
      <c r="AX15" s="2350">
        <v>0.83</v>
      </c>
      <c r="AY15" s="2350">
        <v>0.9</v>
      </c>
      <c r="AZ15" s="37">
        <v>0.78</v>
      </c>
      <c r="BA15" s="86"/>
    </row>
    <row r="16" spans="1:53" ht="15" customHeight="1" x14ac:dyDescent="0.3">
      <c r="A16" s="50"/>
      <c r="B16" s="2606"/>
      <c r="C16" s="951">
        <f>Proj_Sum!D48</f>
        <v>2</v>
      </c>
      <c r="D16" s="952" t="str">
        <f>Proj_Sum!F48</f>
        <v>Restroom</v>
      </c>
      <c r="E16" s="952" t="str">
        <f>Proj_Sum!E48</f>
        <v>Rest</v>
      </c>
      <c r="F16" s="953"/>
      <c r="G16" s="954"/>
      <c r="H16" s="955"/>
      <c r="I16" s="954"/>
      <c r="J16" s="956"/>
      <c r="K16" s="957"/>
      <c r="L16" s="2347">
        <f>VLOOKUP(E16,$AR$9:$AT$40,IF($L$7=$AS$7,2,3),FALSE)</f>
        <v>0.1</v>
      </c>
      <c r="M16" s="956"/>
      <c r="N16" s="958">
        <f ca="1">SUMIFS(OFFSET(CmnLtg_Ref,1,M$50,2000),OFFSET(CmnLtg_Ref,1,$E$50,2000),$E16)-M16</f>
        <v>0</v>
      </c>
      <c r="O16" s="957"/>
      <c r="P16" s="957"/>
      <c r="Q16" s="1561">
        <f t="shared" ref="Q16" ca="1" si="18">IF(R16=0,0,R16/$N16)</f>
        <v>0</v>
      </c>
      <c r="R16" s="1584">
        <f ca="1">SUMIFS(OFFSET(CmnLtg_Ref,1,R$50,2000),OFFSET(CmnLtg_Ref,1,R$50,2000),"&gt;=0",OFFSET(CmnLtg_Ref,1,$E$50,2000),$E16)</f>
        <v>0</v>
      </c>
      <c r="S16" s="1584">
        <f ca="1">SUMIFS(OFFSET(CmnLtg_Ref,1,S$50,2000),OFFSET(CmnLtg_Ref,1,$E$50,2000),$E16)</f>
        <v>0</v>
      </c>
      <c r="T16" s="1561">
        <f t="shared" ca="1" si="1"/>
        <v>0</v>
      </c>
      <c r="U16" s="1584">
        <f ca="1">SUMIFS(OFFSET(CmnLtg_Ref,1,U$50,2000),OFFSET(CmnLtg_Ref,1,U$50,2000),"&gt;=0",OFFSET(CmnLtg_Ref,1,$E$50,2000),$E16)</f>
        <v>0</v>
      </c>
      <c r="V16" s="1584">
        <f ca="1">SUMIFS(OFFSET(CmnLtg_Ref,1,V$50,2000),OFFSET(CmnLtg_Ref,1,$E$50,2000),$E16)</f>
        <v>0</v>
      </c>
      <c r="W16" s="1561">
        <f t="shared" ca="1" si="2"/>
        <v>0</v>
      </c>
      <c r="X16" s="1584">
        <f ca="1">SUMIFS(OFFSET(CmnLtg_Ref,1,X$50,2000),OFFSET(CmnLtg_Ref,1,X$50,2000),"&gt;=0",OFFSET(CmnLtg_Ref,1,$E$50,2000),$E16)</f>
        <v>0</v>
      </c>
      <c r="Y16" s="1584">
        <f ca="1">SUMIFS(OFFSET(CmnLtg_Ref,1,Y$50,2000),OFFSET(CmnLtg_Ref,1,$E$50,2000),$E16)</f>
        <v>0</v>
      </c>
      <c r="Z16" s="1923">
        <f t="shared" ca="1" si="3"/>
        <v>0</v>
      </c>
      <c r="AA16" s="1584">
        <f ca="1">SUMIFS(OFFSET(CmnLtg_Ref,1,AA$50,2000),OFFSET(CmnLtg_Ref,1,AA$50,2000),"&gt;=0",OFFSET(CmnLtg_Ref,1,$E$50,2000),$E16)</f>
        <v>0</v>
      </c>
      <c r="AB16" s="1584">
        <f ca="1">SUMIFS(OFFSET(CmnLtg_Ref,1,AB$50,2000),OFFSET(CmnLtg_Ref,1,$E$50,2000),$E16)</f>
        <v>0</v>
      </c>
      <c r="AC16" s="1561">
        <f t="shared" ca="1" si="4"/>
        <v>0</v>
      </c>
      <c r="AD16" s="1584">
        <f ca="1">SUMIFS(OFFSET(CmnLtg_Ref,1,AD$50,2000),OFFSET(CmnLtg_Ref,1,AD$50,2000),"&gt;=0",OFFSET(CmnLtg_Ref,1,$E$50,2000),$E16)</f>
        <v>0</v>
      </c>
      <c r="AE16" s="1562">
        <f ca="1">IF(N16=0,0,SUMIFS(OFFSET(CmnLtg_Ref,1,AE$50,2000),OFFSET(CmnLtg_Ref,1,$E$50,2000),$E16))</f>
        <v>0</v>
      </c>
      <c r="AF16" s="1563">
        <f ca="1">IF(N16=0,0,SUMIFS(OFFSET(CmnLtg_Ref,1,AF$50,2000),OFFSET(CmnLtg_Ref,1,$E$50,2000),$E16))</f>
        <v>0</v>
      </c>
      <c r="AG16" s="1564" t="str">
        <f t="shared" ca="1" si="5"/>
        <v/>
      </c>
      <c r="AH16" s="2373" t="str">
        <f t="shared" ca="1" si="6"/>
        <v/>
      </c>
      <c r="AI16" s="1561">
        <f t="shared" si="9"/>
        <v>0.63</v>
      </c>
      <c r="AJ16" s="1584">
        <f t="shared" ref="AJ16" ca="1" si="19">IF(X16&gt;0,AI16*N16,0)</f>
        <v>0</v>
      </c>
      <c r="AK16" s="1540">
        <f t="shared" ca="1" si="10"/>
        <v>0</v>
      </c>
      <c r="AL16" s="959">
        <f t="shared" ca="1" si="8"/>
        <v>0</v>
      </c>
      <c r="AM16"/>
      <c r="AN16" s="1213"/>
      <c r="AO16" s="1207">
        <f>$AI16*(1-AO$6)</f>
        <v>0.56700000000000006</v>
      </c>
      <c r="AP16" s="16"/>
      <c r="AQ16" s="16"/>
      <c r="AR16" s="2350" t="s">
        <v>867</v>
      </c>
      <c r="AS16" s="2351">
        <v>0.1</v>
      </c>
      <c r="AT16" s="2351">
        <v>0.45</v>
      </c>
      <c r="AU16" s="36"/>
      <c r="AV16" s="2350" t="s">
        <v>867</v>
      </c>
      <c r="AW16" s="2356">
        <v>0.63</v>
      </c>
      <c r="AX16" s="2350">
        <v>0.56999999999999995</v>
      </c>
      <c r="AY16" s="2350">
        <v>0.63</v>
      </c>
      <c r="AZ16" s="37">
        <v>0.7</v>
      </c>
      <c r="BA16" s="86"/>
    </row>
    <row r="17" spans="1:53" ht="15" customHeight="1" x14ac:dyDescent="0.3">
      <c r="A17" s="50"/>
      <c r="B17" s="2607"/>
      <c r="C17" s="960" t="s">
        <v>582</v>
      </c>
      <c r="D17" s="961"/>
      <c r="E17" s="961"/>
      <c r="F17" s="962"/>
      <c r="G17" s="963"/>
      <c r="H17" s="964"/>
      <c r="I17" s="963"/>
      <c r="J17" s="965"/>
      <c r="K17" s="966"/>
      <c r="L17" s="1916"/>
      <c r="M17" s="965"/>
      <c r="N17" s="967">
        <f ca="1">SUM(N12:N16)</f>
        <v>3418.9500000000003</v>
      </c>
      <c r="O17" s="966"/>
      <c r="P17" s="966"/>
      <c r="Q17" s="1551">
        <f t="shared" ca="1" si="0"/>
        <v>1.0211614677020722</v>
      </c>
      <c r="R17" s="1585">
        <f ca="1">SUM(R12:R16)</f>
        <v>3491.3</v>
      </c>
      <c r="S17" s="1585"/>
      <c r="T17" s="1551">
        <f t="shared" ca="1" si="1"/>
        <v>0</v>
      </c>
      <c r="U17" s="1585">
        <f ca="1">SUM(U12:U16)</f>
        <v>0</v>
      </c>
      <c r="V17" s="1585"/>
      <c r="W17" s="1551">
        <f t="shared" ca="1" si="2"/>
        <v>0.63575074218692862</v>
      </c>
      <c r="X17" s="1585">
        <f ca="1">SUM(X12:X16)</f>
        <v>2173.6</v>
      </c>
      <c r="Y17" s="1585"/>
      <c r="Z17" s="1923">
        <f t="shared" ca="1" si="3"/>
        <v>0.63575966656429606</v>
      </c>
      <c r="AA17" s="1585">
        <f ca="1">SUM(AA12:AA16)</f>
        <v>2173.6305120000002</v>
      </c>
      <c r="AB17" s="1585"/>
      <c r="AC17" s="1551"/>
      <c r="AD17" s="1585"/>
      <c r="AE17" s="1565"/>
      <c r="AF17" s="1566"/>
      <c r="AG17" s="1567"/>
      <c r="AH17" s="2374"/>
      <c r="AI17" s="1551">
        <f ca="1">AJ17/N17</f>
        <v>0.79469958320537004</v>
      </c>
      <c r="AJ17" s="1585">
        <f ca="1">SUM(AJ12:AJ16)</f>
        <v>2717.0381400000001</v>
      </c>
      <c r="AK17" s="1921">
        <f t="shared" ca="1" si="10"/>
        <v>0.8</v>
      </c>
      <c r="AL17" s="999">
        <f t="shared" ca="1" si="8"/>
        <v>0.37741514278349031</v>
      </c>
      <c r="AM17"/>
      <c r="AN17" s="1214"/>
      <c r="AO17" s="1208"/>
      <c r="AP17" s="16"/>
      <c r="AQ17" s="16"/>
      <c r="AR17" s="2350"/>
      <c r="AS17" s="2351"/>
      <c r="AT17" s="2351"/>
      <c r="AU17" s="36"/>
      <c r="AV17" s="2350"/>
      <c r="AW17" s="2356"/>
      <c r="AX17" s="2350"/>
      <c r="AY17" s="2350"/>
      <c r="AZ17" s="37"/>
      <c r="BA17" s="86"/>
    </row>
    <row r="18" spans="1:53" x14ac:dyDescent="0.3">
      <c r="A18" s="50"/>
      <c r="B18" s="2605" t="str">
        <f ca="1">OFFSET(Proj_Sum!$S$41,C18,1)</f>
        <v>Lobbies / corridors / stairs</v>
      </c>
      <c r="C18" s="809">
        <f>Proj_Sum!D49</f>
        <v>3</v>
      </c>
      <c r="D18" s="619" t="str">
        <f>Proj_Sum!F49</f>
        <v>Corridor/Transition</v>
      </c>
      <c r="E18" s="619" t="str">
        <f>Proj_Sum!E49</f>
        <v>Corr</v>
      </c>
      <c r="F18" s="819"/>
      <c r="G18" s="490"/>
      <c r="H18" s="480"/>
      <c r="I18" s="490"/>
      <c r="J18" s="491"/>
      <c r="K18" s="492"/>
      <c r="L18" s="1914">
        <f>VLOOKUP(E18,$AR$9:$AT$40,IF($L$7=$AS$7,2,3),FALSE)</f>
        <v>0.25</v>
      </c>
      <c r="M18" s="491"/>
      <c r="N18" s="496">
        <f ca="1">SUMIFS(OFFSET(CmnLtg_Ref,1,M$50,2000),OFFSET(CmnLtg_Ref,1,$E$50,2000),$E18)-M18</f>
        <v>10335.684999999999</v>
      </c>
      <c r="O18" s="492"/>
      <c r="P18" s="492"/>
      <c r="Q18" s="1543">
        <f t="shared" ca="1" si="0"/>
        <v>0.49999588803257844</v>
      </c>
      <c r="R18" s="1202">
        <f ca="1">SUMIFS(OFFSET(CmnLtg_Ref,1,R$50,2000),OFFSET(CmnLtg_Ref,1,R$50,2000),"&gt;=0",OFFSET(CmnLtg_Ref,1,$E$50,2000),$E18)</f>
        <v>5167.8</v>
      </c>
      <c r="S18" s="1202">
        <f ca="1">SUMIFS(OFFSET(CmnLtg_Ref,1,S$50,2000),OFFSET(CmnLtg_Ref,1,$E$50,2000),$E18)</f>
        <v>45269.928</v>
      </c>
      <c r="T18" s="1543">
        <f t="shared" ca="1" si="1"/>
        <v>0</v>
      </c>
      <c r="U18" s="1202">
        <f ca="1">SUMIFS(OFFSET(CmnLtg_Ref,1,U$50,2000),OFFSET(CmnLtg_Ref,1,U$50,2000),"&gt;=0",OFFSET(CmnLtg_Ref,1,$E$50,2000),$E18)</f>
        <v>0</v>
      </c>
      <c r="V18" s="1202">
        <f ca="1">SUMIFS(OFFSET(CmnLtg_Ref,1,V$50,2000),OFFSET(CmnLtg_Ref,1,$E$50,2000),$E18)</f>
        <v>0</v>
      </c>
      <c r="W18" s="1543">
        <f t="shared" ca="1" si="2"/>
        <v>0.32801889763474801</v>
      </c>
      <c r="X18" s="1202">
        <f ca="1">SUMIFS(OFFSET(CmnLtg_Ref,1,X$50,2000),OFFSET(CmnLtg_Ref,1,X$50,2000),"&gt;=0",OFFSET(CmnLtg_Ref,1,$E$50,2000),$E18)</f>
        <v>3390.3</v>
      </c>
      <c r="Y18" s="1202">
        <f ca="1">SUMIFS(OFFSET(CmnLtg_Ref,1,Y$50,2000),OFFSET(CmnLtg_Ref,1,$E$50,2000),$E18)</f>
        <v>29699.027999999998</v>
      </c>
      <c r="Z18" s="1923">
        <f t="shared" ref="Z18:Z20" si="20">AI18*0.8</f>
        <v>0.32800000000000001</v>
      </c>
      <c r="AA18" s="1202">
        <f t="shared" ref="AA18:AA20" ca="1" si="21">Z18*N18</f>
        <v>3390.1046799999999</v>
      </c>
      <c r="AB18" s="1202">
        <f ca="1">SUMIFS(OFFSET(CmnLtg_Ref,1,AB$50,2000),OFFSET(CmnLtg_Ref,1,$E$50,2000),$E18)</f>
        <v>29699.027999999998</v>
      </c>
      <c r="AC18" s="1543">
        <f t="shared" ca="1" si="4"/>
        <v>0</v>
      </c>
      <c r="AD18" s="1202">
        <f ca="1">SUMIFS(OFFSET(CmnLtg_Ref,1,AD$50,2000),OFFSET(CmnLtg_Ref,1,AD$50,2000),"&gt;=0",OFFSET(CmnLtg_Ref,1,$E$50,2000),$E18)</f>
        <v>0</v>
      </c>
      <c r="AE18" s="1568">
        <f ca="1">IF(N18=0,0,SUMIFS(OFFSET(CmnLtg_Ref,1,AE$50,2000),OFFSET(CmnLtg_Ref,1,$E$50,2000),$E18))</f>
        <v>0</v>
      </c>
      <c r="AF18" s="1569">
        <f ca="1">IF(N18=0,0,SUMIFS(OFFSET(CmnLtg_Ref,1,AF$50,2000),OFFSET(CmnLtg_Ref,1,$E$50,2000),$E18))</f>
        <v>0</v>
      </c>
      <c r="AG18" s="1550">
        <f t="shared" ca="1" si="5"/>
        <v>0</v>
      </c>
      <c r="AH18" s="2370" t="str">
        <f t="shared" ca="1" si="6"/>
        <v/>
      </c>
      <c r="AI18" s="1557">
        <f t="shared" ref="AI18:AI21" si="22">INDEX($AV$7:$AZ$40,MATCH($E18,$AV$7:$AV$40,0),MATCH(AI$7,$AV$7:$AZ$7,0))</f>
        <v>0.41</v>
      </c>
      <c r="AJ18" s="1202">
        <f t="shared" ca="1" si="7"/>
        <v>4237.6308499999996</v>
      </c>
      <c r="AK18" s="1541">
        <f t="shared" ca="1" si="10"/>
        <v>0.8</v>
      </c>
      <c r="AL18" s="820">
        <f ca="1">IF(Z18=0,0,(Q18-Z18)/Q18)</f>
        <v>0.34399460505437518</v>
      </c>
      <c r="AM18"/>
      <c r="AN18" s="1210">
        <f>$AI18*(1-AN$6)</f>
        <v>0.24599999999999997</v>
      </c>
      <c r="AO18" s="1203"/>
      <c r="AP18" s="1749">
        <f t="shared" ref="AP18:AP21" si="23">Z18/AN18-1</f>
        <v>0.33333333333333348</v>
      </c>
      <c r="AQ18" s="1749"/>
      <c r="AR18" s="2350" t="s">
        <v>861</v>
      </c>
      <c r="AS18" s="2351">
        <v>0.25</v>
      </c>
      <c r="AT18" s="2351">
        <v>0.25</v>
      </c>
      <c r="AU18" s="36"/>
      <c r="AV18" s="2350" t="s">
        <v>861</v>
      </c>
      <c r="AW18" s="2356">
        <v>0.41</v>
      </c>
      <c r="AX18" s="2350">
        <v>0.37</v>
      </c>
      <c r="AY18" s="2350">
        <v>0.41</v>
      </c>
      <c r="AZ18" s="37">
        <v>0.42</v>
      </c>
      <c r="BA18" s="86"/>
    </row>
    <row r="19" spans="1:53" ht="15" customHeight="1" x14ac:dyDescent="0.3">
      <c r="A19" s="50"/>
      <c r="B19" s="2606"/>
      <c r="C19" s="811">
        <f>Proj_Sum!D50</f>
        <v>3</v>
      </c>
      <c r="D19" s="620" t="str">
        <f>Proj_Sum!F50</f>
        <v>Stairs</v>
      </c>
      <c r="E19" s="620" t="str">
        <f>Proj_Sum!E50</f>
        <v>Strs</v>
      </c>
      <c r="F19" s="812"/>
      <c r="G19" s="493"/>
      <c r="H19" s="481"/>
      <c r="I19" s="493"/>
      <c r="J19" s="494"/>
      <c r="K19" s="495"/>
      <c r="L19" s="2347">
        <f>VLOOKUP(E19,$AR$9:$AT$40,IF($L$7=$AS$7,2,3),FALSE)</f>
        <v>0.35</v>
      </c>
      <c r="M19" s="494"/>
      <c r="N19" s="497">
        <f ca="1">SUMIFS(OFFSET(CmnLtg_Ref,1,M$50,2000),OFFSET(CmnLtg_Ref,1,$E$50,2000),$E19)-M19</f>
        <v>3788.8861999999999</v>
      </c>
      <c r="O19" s="495"/>
      <c r="P19" s="495"/>
      <c r="Q19" s="1547">
        <f t="shared" ca="1" si="0"/>
        <v>0.59996523516594413</v>
      </c>
      <c r="R19" s="1581">
        <f ca="1">SUMIFS(OFFSET(CmnLtg_Ref,1,R$50,2000),OFFSET(CmnLtg_Ref,1,R$50,2000),"&gt;=0",OFFSET(CmnLtg_Ref,1,$E$50,2000),$E19)</f>
        <v>2273.2000000000003</v>
      </c>
      <c r="S19" s="1581">
        <f ca="1">SUMIFS(OFFSET(CmnLtg_Ref,1,S$50,2000),OFFSET(CmnLtg_Ref,1,$E$50,2000),$E19)</f>
        <v>19913.232000000004</v>
      </c>
      <c r="T19" s="1547">
        <f t="shared" ca="1" si="1"/>
        <v>0</v>
      </c>
      <c r="U19" s="1581">
        <f ca="1">SUMIFS(OFFSET(CmnLtg_Ref,1,U$50,2000),OFFSET(CmnLtg_Ref,1,U$50,2000),"&gt;=0",OFFSET(CmnLtg_Ref,1,$E$50,2000),$E19)</f>
        <v>0</v>
      </c>
      <c r="V19" s="1581">
        <f ca="1">SUMIFS(OFFSET(CmnLtg_Ref,1,V$50,2000),OFFSET(CmnLtg_Ref,1,$E$50,2000),$E19)</f>
        <v>0</v>
      </c>
      <c r="W19" s="1547">
        <f t="shared" ca="1" si="2"/>
        <v>0.39198854798014249</v>
      </c>
      <c r="X19" s="1581">
        <f ca="1">SUMIFS(OFFSET(CmnLtg_Ref,1,X$50,2000),OFFSET(CmnLtg_Ref,1,X$50,2000),"&gt;=0",OFFSET(CmnLtg_Ref,1,$E$50,2000),$E19)</f>
        <v>1485.1999999999998</v>
      </c>
      <c r="Y19" s="1581">
        <f ca="1">SUMIFS(OFFSET(CmnLtg_Ref,1,Y$50,2000),OFFSET(CmnLtg_Ref,1,$E$50,2000),$E19)</f>
        <v>13010.351999999997</v>
      </c>
      <c r="Z19" s="1923">
        <f t="shared" si="20"/>
        <v>0.39200000000000002</v>
      </c>
      <c r="AA19" s="1581">
        <f t="shared" ca="1" si="21"/>
        <v>1485.2433904</v>
      </c>
      <c r="AB19" s="1581">
        <f ca="1">SUMIFS(OFFSET(CmnLtg_Ref,1,AB$50,2000),OFFSET(CmnLtg_Ref,1,$E$50,2000),$E19)</f>
        <v>13010.351999999997</v>
      </c>
      <c r="AC19" s="1547">
        <f t="shared" ca="1" si="4"/>
        <v>0</v>
      </c>
      <c r="AD19" s="1581">
        <f ca="1">SUMIFS(OFFSET(CmnLtg_Ref,1,AD$50,2000),OFFSET(CmnLtg_Ref,1,AD$50,2000),"&gt;=0",OFFSET(CmnLtg_Ref,1,$E$50,2000),$E19)</f>
        <v>0</v>
      </c>
      <c r="AE19" s="1568">
        <f ca="1">IF(N19=0,0,SUMIFS(OFFSET(CmnLtg_Ref,1,AE$50,2000),OFFSET(CmnLtg_Ref,1,$E$50,2000),$E19))</f>
        <v>0</v>
      </c>
      <c r="AF19" s="1569">
        <f ca="1">IF(N19=0,0,SUMIFS(OFFSET(CmnLtg_Ref,1,AF$50,2000),OFFSET(CmnLtg_Ref,1,$E$50,2000),$E19))</f>
        <v>0</v>
      </c>
      <c r="AG19" s="1550">
        <f t="shared" ca="1" si="5"/>
        <v>0</v>
      </c>
      <c r="AH19" s="2370" t="str">
        <f t="shared" ca="1" si="6"/>
        <v/>
      </c>
      <c r="AI19" s="1561">
        <f t="shared" si="22"/>
        <v>0.49</v>
      </c>
      <c r="AJ19" s="1581">
        <f t="shared" ca="1" si="7"/>
        <v>1856.5542379999999</v>
      </c>
      <c r="AK19" s="1537">
        <f t="shared" ca="1" si="10"/>
        <v>0.8</v>
      </c>
      <c r="AL19" s="813">
        <f t="shared" ref="AL19:AL36" ca="1" si="24">IF(Z19=0,0,(Q19-Z19)/Q19)</f>
        <v>0.34662880943163832</v>
      </c>
      <c r="AM19"/>
      <c r="AN19" s="1215">
        <f>$AI19*(1-AN$6)</f>
        <v>0.29399999999999998</v>
      </c>
      <c r="AO19" s="1204"/>
      <c r="AP19" s="1749">
        <f t="shared" si="23"/>
        <v>0.33333333333333348</v>
      </c>
      <c r="AQ19" s="1749"/>
      <c r="AR19" s="2350" t="s">
        <v>862</v>
      </c>
      <c r="AS19" s="2351">
        <v>0.35</v>
      </c>
      <c r="AT19" s="2351">
        <v>0.75</v>
      </c>
      <c r="AU19" s="36"/>
      <c r="AV19" s="2350" t="s">
        <v>862</v>
      </c>
      <c r="AW19" s="2356">
        <v>0.49</v>
      </c>
      <c r="AX19" s="2350">
        <v>0.44</v>
      </c>
      <c r="AY19" s="2350">
        <v>0.49</v>
      </c>
      <c r="AZ19" s="37">
        <v>0.45</v>
      </c>
      <c r="BA19" s="86"/>
    </row>
    <row r="20" spans="1:53" ht="15" customHeight="1" x14ac:dyDescent="0.3">
      <c r="A20" s="50"/>
      <c r="B20" s="2606"/>
      <c r="C20" s="811">
        <f>Proj_Sum!D51</f>
        <v>3</v>
      </c>
      <c r="D20" s="620" t="str">
        <f>Proj_Sum!F51</f>
        <v>Lobby</v>
      </c>
      <c r="E20" s="620" t="str">
        <f>Proj_Sum!E51</f>
        <v>Lbby</v>
      </c>
      <c r="F20" s="812"/>
      <c r="G20" s="493"/>
      <c r="H20" s="481"/>
      <c r="I20" s="493"/>
      <c r="J20" s="494"/>
      <c r="K20" s="495"/>
      <c r="L20" s="2347">
        <f>VLOOKUP(E20,$AR$9:$AT$40,IF($L$7=$AS$7,2,3),FALSE)</f>
        <v>0.1</v>
      </c>
      <c r="M20" s="494"/>
      <c r="N20" s="497">
        <f ca="1">SUMIFS(OFFSET(CmnLtg_Ref,1,M$50,2000),OFFSET(CmnLtg_Ref,1,$E$50,2000),$E20)-M20</f>
        <v>1350.7968000000001</v>
      </c>
      <c r="O20" s="495"/>
      <c r="P20" s="495"/>
      <c r="Q20" s="1547">
        <f t="shared" ca="1" si="0"/>
        <v>1.2999734675119159</v>
      </c>
      <c r="R20" s="1581">
        <f ca="1">SUMIFS(OFFSET(CmnLtg_Ref,1,R$50,2000),OFFSET(CmnLtg_Ref,1,R$50,2000),"&gt;=0",OFFSET(CmnLtg_Ref,1,$E$50,2000),$E20)</f>
        <v>1756</v>
      </c>
      <c r="S20" s="1581">
        <f ca="1">SUMIFS(OFFSET(CmnLtg_Ref,1,S$50,2000),OFFSET(CmnLtg_Ref,1,$E$50,2000),$E20)</f>
        <v>15382.56</v>
      </c>
      <c r="T20" s="1547">
        <f t="shared" ca="1" si="1"/>
        <v>0</v>
      </c>
      <c r="U20" s="1581">
        <f ca="1">SUMIFS(OFFSET(CmnLtg_Ref,1,U$50,2000),OFFSET(CmnLtg_Ref,1,U$50,2000),"&gt;=0",OFFSET(CmnLtg_Ref,1,$E$50,2000),$E20)</f>
        <v>0</v>
      </c>
      <c r="V20" s="1581">
        <f ca="1">SUMIFS(OFFSET(CmnLtg_Ref,1,V$50,2000),OFFSET(CmnLtg_Ref,1,$E$50,2000),$E20)</f>
        <v>0</v>
      </c>
      <c r="W20" s="1547">
        <f t="shared" ca="1" si="2"/>
        <v>0.67197375652651825</v>
      </c>
      <c r="X20" s="1581">
        <f ca="1">SUMIFS(OFFSET(CmnLtg_Ref,1,X$50,2000),OFFSET(CmnLtg_Ref,1,X$50,2000),"&gt;=0",OFFSET(CmnLtg_Ref,1,$E$50,2000),$E20)</f>
        <v>907.7</v>
      </c>
      <c r="Y20" s="1581">
        <f ca="1">SUMIFS(OFFSET(CmnLtg_Ref,1,Y$50,2000),OFFSET(CmnLtg_Ref,1,$E$50,2000),$E20)</f>
        <v>7951.4520000000002</v>
      </c>
      <c r="Z20" s="1923">
        <f t="shared" si="20"/>
        <v>0.67200000000000004</v>
      </c>
      <c r="AA20" s="1581">
        <f t="shared" ca="1" si="21"/>
        <v>907.73544960000015</v>
      </c>
      <c r="AB20" s="1581">
        <f ca="1">SUMIFS(OFFSET(CmnLtg_Ref,1,AB$50,2000),OFFSET(CmnLtg_Ref,1,$E$50,2000),$E20)</f>
        <v>7951.4520000000002</v>
      </c>
      <c r="AC20" s="1547">
        <f t="shared" ca="1" si="4"/>
        <v>0</v>
      </c>
      <c r="AD20" s="1581">
        <f ca="1">SUMIFS(OFFSET(CmnLtg_Ref,1,AD$50,2000),OFFSET(CmnLtg_Ref,1,AD$50,2000),"&gt;=0",OFFSET(CmnLtg_Ref,1,$E$50,2000),$E20)</f>
        <v>0</v>
      </c>
      <c r="AE20" s="1568">
        <f ca="1">IF(N20=0,0,SUMIFS(OFFSET(CmnLtg_Ref,1,AE$50,2000),OFFSET(CmnLtg_Ref,1,$E$50,2000),$E20))</f>
        <v>0</v>
      </c>
      <c r="AF20" s="1569">
        <f ca="1">IF(N20=0,0,SUMIFS(OFFSET(CmnLtg_Ref,1,AF$50,2000),OFFSET(CmnLtg_Ref,1,$E$50,2000),$E20))</f>
        <v>0</v>
      </c>
      <c r="AG20" s="1550">
        <f t="shared" ca="1" si="5"/>
        <v>0</v>
      </c>
      <c r="AH20" s="2370" t="str">
        <f t="shared" ca="1" si="6"/>
        <v/>
      </c>
      <c r="AI20" s="1561">
        <f t="shared" si="22"/>
        <v>0.84</v>
      </c>
      <c r="AJ20" s="1581">
        <f t="shared" ca="1" si="7"/>
        <v>1134.669312</v>
      </c>
      <c r="AK20" s="1537">
        <f t="shared" ca="1" si="10"/>
        <v>0.80000000000000016</v>
      </c>
      <c r="AL20" s="813">
        <f t="shared" ca="1" si="24"/>
        <v>0.48306637266514801</v>
      </c>
      <c r="AM20"/>
      <c r="AN20" s="1211">
        <f>$AI20*(1-AN$6)</f>
        <v>0.504</v>
      </c>
      <c r="AO20" s="1204"/>
      <c r="AP20" s="1749">
        <f t="shared" si="23"/>
        <v>0.33333333333333348</v>
      </c>
      <c r="AQ20" s="1749"/>
      <c r="AR20" s="2350" t="s">
        <v>863</v>
      </c>
      <c r="AS20" s="2351">
        <v>0.1</v>
      </c>
      <c r="AT20" s="2351">
        <v>0.25</v>
      </c>
      <c r="AU20" s="36"/>
      <c r="AV20" s="2350" t="s">
        <v>863</v>
      </c>
      <c r="AW20" s="2356">
        <v>0.84</v>
      </c>
      <c r="AX20" s="2350">
        <v>0.76</v>
      </c>
      <c r="AY20" s="2350">
        <v>0.84</v>
      </c>
      <c r="AZ20" s="37">
        <v>0.76</v>
      </c>
      <c r="BA20" s="86"/>
    </row>
    <row r="21" spans="1:53" ht="15" customHeight="1" x14ac:dyDescent="0.3">
      <c r="A21" s="50"/>
      <c r="B21" s="2606"/>
      <c r="C21" s="811">
        <f>Proj_Sum!D52</f>
        <v>3</v>
      </c>
      <c r="D21" s="620" t="str">
        <f>Proj_Sum!F52</f>
        <v>Corridor/Transition</v>
      </c>
      <c r="E21" s="620" t="str">
        <f>Proj_Sum!E52</f>
        <v>Vest</v>
      </c>
      <c r="F21" s="812"/>
      <c r="G21" s="493"/>
      <c r="H21" s="481"/>
      <c r="I21" s="493"/>
      <c r="J21" s="494"/>
      <c r="K21" s="495"/>
      <c r="L21" s="2347">
        <f>VLOOKUP(E21,$AR$9:$AT$40,IF($L$7=$AS$7,2,3),FALSE)</f>
        <v>0</v>
      </c>
      <c r="M21" s="494"/>
      <c r="N21" s="497">
        <f ca="1">SUMIFS(OFFSET(CmnLtg_Ref,1,M$50,2000),OFFSET(CmnLtg_Ref,1,$E$50,2000),$E21)-M21</f>
        <v>0</v>
      </c>
      <c r="O21" s="495"/>
      <c r="P21" s="495"/>
      <c r="Q21" s="1547">
        <f t="shared" ca="1" si="0"/>
        <v>0</v>
      </c>
      <c r="R21" s="1581">
        <f ca="1">SUMIFS(OFFSET(CmnLtg_Ref,1,R$50,2000),OFFSET(CmnLtg_Ref,1,R$50,2000),"&gt;=0",OFFSET(CmnLtg_Ref,1,$E$50,2000),$E21)</f>
        <v>0</v>
      </c>
      <c r="S21" s="1581">
        <f ca="1">SUMIFS(OFFSET(CmnLtg_Ref,1,S$50,2000),OFFSET(CmnLtg_Ref,1,$E$50,2000),$E21)</f>
        <v>0</v>
      </c>
      <c r="T21" s="1547">
        <f t="shared" ca="1" si="1"/>
        <v>0</v>
      </c>
      <c r="U21" s="1581">
        <f ca="1">SUMIFS(OFFSET(CmnLtg_Ref,1,U$50,2000),OFFSET(CmnLtg_Ref,1,U$50,2000),"&gt;=0",OFFSET(CmnLtg_Ref,1,$E$50,2000),$E21)</f>
        <v>0</v>
      </c>
      <c r="V21" s="1581">
        <f ca="1">SUMIFS(OFFSET(CmnLtg_Ref,1,V$50,2000),OFFSET(CmnLtg_Ref,1,$E$50,2000),$E21)</f>
        <v>0</v>
      </c>
      <c r="W21" s="1547">
        <f t="shared" ca="1" si="2"/>
        <v>0</v>
      </c>
      <c r="X21" s="1581">
        <f ca="1">SUMIFS(OFFSET(CmnLtg_Ref,1,X$50,2000),OFFSET(CmnLtg_Ref,1,X$50,2000),"&gt;=0",OFFSET(CmnLtg_Ref,1,$E$50,2000),$E21)</f>
        <v>0</v>
      </c>
      <c r="Y21" s="1581">
        <f ca="1">SUMIFS(OFFSET(CmnLtg_Ref,1,Y$50,2000),OFFSET(CmnLtg_Ref,1,$E$50,2000),$E21)</f>
        <v>0</v>
      </c>
      <c r="Z21" s="1923">
        <f t="shared" ca="1" si="3"/>
        <v>0</v>
      </c>
      <c r="AA21" s="1581">
        <f ca="1">SUMIFS(OFFSET(CmnLtg_Ref,1,AA$50,2000),OFFSET(CmnLtg_Ref,1,AA$50,2000),"&gt;=0",OFFSET(CmnLtg_Ref,1,$E$50,2000),$E21)</f>
        <v>0</v>
      </c>
      <c r="AB21" s="1581">
        <f ca="1">SUMIFS(OFFSET(CmnLtg_Ref,1,AB$50,2000),OFFSET(CmnLtg_Ref,1,$E$50,2000),$E21)</f>
        <v>0</v>
      </c>
      <c r="AC21" s="1547">
        <f t="shared" ca="1" si="4"/>
        <v>0</v>
      </c>
      <c r="AD21" s="1581">
        <f ca="1">SUMIFS(OFFSET(CmnLtg_Ref,1,AD$50,2000),OFFSET(CmnLtg_Ref,1,AD$50,2000),"&gt;=0",OFFSET(CmnLtg_Ref,1,$E$50,2000),$E21)</f>
        <v>0</v>
      </c>
      <c r="AE21" s="1568">
        <f ca="1">IF(N21=0,0,SUMIFS(OFFSET(CmnLtg_Ref,1,AE$50,2000),OFFSET(CmnLtg_Ref,1,$E$50,2000),$E21))</f>
        <v>0</v>
      </c>
      <c r="AF21" s="1569">
        <f ca="1">IF(N21=0,0,SUMIFS(OFFSET(CmnLtg_Ref,1,AF$50,2000),OFFSET(CmnLtg_Ref,1,$E$50,2000),$E21))</f>
        <v>0</v>
      </c>
      <c r="AG21" s="1550" t="str">
        <f t="shared" ca="1" si="5"/>
        <v/>
      </c>
      <c r="AH21" s="2370" t="str">
        <f t="shared" ca="1" si="6"/>
        <v/>
      </c>
      <c r="AI21" s="1561">
        <f t="shared" si="22"/>
        <v>0.41</v>
      </c>
      <c r="AJ21" s="1581">
        <f t="shared" ca="1" si="7"/>
        <v>0</v>
      </c>
      <c r="AK21" s="1537">
        <f t="shared" ca="1" si="10"/>
        <v>0</v>
      </c>
      <c r="AL21" s="813">
        <f t="shared" ca="1" si="24"/>
        <v>0</v>
      </c>
      <c r="AM21"/>
      <c r="AN21" s="1211">
        <f>$AI21*(1-AN$6)</f>
        <v>0.24599999999999997</v>
      </c>
      <c r="AO21" s="1204"/>
      <c r="AP21" s="1749">
        <f t="shared" ca="1" si="23"/>
        <v>-1</v>
      </c>
      <c r="AQ21" s="1749"/>
      <c r="AR21" s="2350" t="s">
        <v>868</v>
      </c>
      <c r="AS21" s="2351">
        <v>0</v>
      </c>
      <c r="AT21" s="2351">
        <v>0</v>
      </c>
      <c r="AU21" s="86" t="s">
        <v>2256</v>
      </c>
      <c r="AV21" s="2350" t="s">
        <v>868</v>
      </c>
      <c r="AW21" s="2356">
        <v>0.41</v>
      </c>
      <c r="AX21" s="2350">
        <v>0.37</v>
      </c>
      <c r="AY21" s="2350">
        <v>0.41</v>
      </c>
      <c r="AZ21" s="37">
        <v>0.42</v>
      </c>
      <c r="BA21" s="86" t="s">
        <v>2256</v>
      </c>
    </row>
    <row r="22" spans="1:53" x14ac:dyDescent="0.3">
      <c r="A22" s="50"/>
      <c r="B22" s="2607"/>
      <c r="C22" s="816" t="s">
        <v>582</v>
      </c>
      <c r="D22" s="821"/>
      <c r="E22" s="821"/>
      <c r="F22" s="817"/>
      <c r="G22" s="486"/>
      <c r="H22" s="485"/>
      <c r="I22" s="486"/>
      <c r="J22" s="506"/>
      <c r="K22" s="487"/>
      <c r="L22" s="1915"/>
      <c r="M22" s="506"/>
      <c r="N22" s="483">
        <f ca="1">SUM(N18:N21)</f>
        <v>15475.367999999999</v>
      </c>
      <c r="O22" s="487"/>
      <c r="P22" s="487"/>
      <c r="Q22" s="1552">
        <f t="shared" ca="1" si="0"/>
        <v>0.59429927611414479</v>
      </c>
      <c r="R22" s="1582">
        <f ca="1">SUM(R18:R21)</f>
        <v>9197</v>
      </c>
      <c r="S22" s="1582"/>
      <c r="T22" s="1552">
        <f t="shared" ca="1" si="1"/>
        <v>0</v>
      </c>
      <c r="U22" s="1582">
        <f ca="1">SUM(U18:U21)</f>
        <v>0</v>
      </c>
      <c r="V22" s="1582"/>
      <c r="W22" s="1552">
        <f t="shared" ca="1" si="2"/>
        <v>0.37370355263926519</v>
      </c>
      <c r="X22" s="1582">
        <f ca="1">SUM(X18:X21)</f>
        <v>5783.2</v>
      </c>
      <c r="Y22" s="1582"/>
      <c r="Z22" s="1923">
        <f ca="1">IF(AA22=0,0,AA22/$N22)</f>
        <v>0.37369602583925626</v>
      </c>
      <c r="AA22" s="1582">
        <f ca="1">SUM(AA18:AA21)</f>
        <v>5783.0835199999992</v>
      </c>
      <c r="AB22" s="1582"/>
      <c r="AC22" s="1552"/>
      <c r="AD22" s="1582"/>
      <c r="AE22" s="1554"/>
      <c r="AF22" s="1555"/>
      <c r="AG22" s="1556"/>
      <c r="AH22" s="2371"/>
      <c r="AI22" s="1551">
        <f ca="1">AJ22/N22</f>
        <v>0.46712003229907034</v>
      </c>
      <c r="AJ22" s="1582">
        <f ca="1">SUM(AJ18:AJ21)</f>
        <v>7228.8543999999993</v>
      </c>
      <c r="AK22" s="1542">
        <f t="shared" ca="1" si="10"/>
        <v>0.79999999999999993</v>
      </c>
      <c r="AL22" s="818">
        <f t="shared" ca="1" si="24"/>
        <v>0.37119892138740901</v>
      </c>
      <c r="AM22"/>
      <c r="AN22" s="1216">
        <f ca="1">SUMPRODUCT(N18:N21,AN18:AN21)/N22</f>
        <v>0.28027201937944224</v>
      </c>
      <c r="AO22" s="1205"/>
      <c r="AP22" s="1749">
        <f ca="1">Z22/AN22-1</f>
        <v>0.33333333333333304</v>
      </c>
      <c r="AQ22" s="1749"/>
      <c r="AR22" s="37"/>
      <c r="AS22" s="37"/>
      <c r="AT22" s="37"/>
      <c r="AU22" s="36"/>
      <c r="AV22" s="37"/>
      <c r="AW22" s="37"/>
      <c r="AX22" s="37"/>
      <c r="AY22" s="2350"/>
      <c r="AZ22" s="37"/>
      <c r="BA22" s="86"/>
    </row>
    <row r="23" spans="1:53" x14ac:dyDescent="0.3">
      <c r="A23" s="50"/>
      <c r="B23" s="2590" t="str">
        <f ca="1">OFFSET(Proj_Sum!$S$41,C23,1)</f>
        <v>Non-residential - offices</v>
      </c>
      <c r="C23" s="809">
        <f>Proj_Sum!D53</f>
        <v>4</v>
      </c>
      <c r="D23" s="619" t="str">
        <f>Proj_Sum!F53</f>
        <v>Office - Enclosed</v>
      </c>
      <c r="E23" s="619" t="str">
        <f>Proj_Sum!E53</f>
        <v>Ofce</v>
      </c>
      <c r="F23" s="819"/>
      <c r="G23" s="490"/>
      <c r="H23" s="480"/>
      <c r="I23" s="490"/>
      <c r="J23" s="491"/>
      <c r="K23" s="492"/>
      <c r="L23" s="1914">
        <f t="shared" ref="L23:L30" si="25">VLOOKUP(E23,$AR$9:$AT$40,IF($L$7=$AS$7,2,3),FALSE)</f>
        <v>0.1</v>
      </c>
      <c r="M23" s="491"/>
      <c r="N23" s="496">
        <f ca="1">SUMIFS(OFFSET(CmnLtg_Ref,1,M$50,2000),OFFSET(CmnLtg_Ref,1,$E$50,2000),$E23)-M23</f>
        <v>641.20320000000004</v>
      </c>
      <c r="O23" s="492"/>
      <c r="P23" s="492"/>
      <c r="Q23" s="1543">
        <f t="shared" ca="1" si="0"/>
        <v>1.0999633189603544</v>
      </c>
      <c r="R23" s="1202">
        <f t="shared" ref="R23:R30" ca="1" si="26">SUMIFS(OFFSET(CmnLtg_Ref,1,R$50,2000),OFFSET(CmnLtg_Ref,1,R$50,2000),"&gt;=0",OFFSET(CmnLtg_Ref,1,$E$50,2000),$E23)</f>
        <v>705.3</v>
      </c>
      <c r="S23" s="1202">
        <f ca="1">SUMIFS(OFFSET(CmnLtg_Ref,1,S$50,2000),OFFSET(CmnLtg_Ref,1,$E$50,2000),$E23)</f>
        <v>1589.0409</v>
      </c>
      <c r="T23" s="1543">
        <f t="shared" ca="1" si="1"/>
        <v>0</v>
      </c>
      <c r="U23" s="1202">
        <f t="shared" ref="U23:U30" ca="1" si="27">SUMIFS(OFFSET(CmnLtg_Ref,1,U$50,2000),OFFSET(CmnLtg_Ref,1,U$50,2000),"&gt;=0",OFFSET(CmnLtg_Ref,1,$E$50,2000),$E23)</f>
        <v>0</v>
      </c>
      <c r="V23" s="1202">
        <f ca="1">SUMIFS(OFFSET(CmnLtg_Ref,1,V$50,2000),OFFSET(CmnLtg_Ref,1,$E$50,2000),$E23)</f>
        <v>0</v>
      </c>
      <c r="W23" s="1543">
        <f t="shared" ca="1" si="2"/>
        <v>0.59201201740727427</v>
      </c>
      <c r="X23" s="1202">
        <f t="shared" ref="X23:X30" ca="1" si="28">SUMIFS(OFFSET(CmnLtg_Ref,1,X$50,2000),OFFSET(CmnLtg_Ref,1,X$50,2000),"&gt;=0",OFFSET(CmnLtg_Ref,1,$E$50,2000),$E23)</f>
        <v>379.6</v>
      </c>
      <c r="Y23" s="1202">
        <f ca="1">SUMIFS(OFFSET(CmnLtg_Ref,1,Y$50,2000),OFFSET(CmnLtg_Ref,1,$E$50,2000),$E23)</f>
        <v>855.23880000000008</v>
      </c>
      <c r="Z23" s="1923">
        <f>AI23*0.8</f>
        <v>0.59199999999999997</v>
      </c>
      <c r="AA23" s="1202">
        <f ca="1">Z23*N23</f>
        <v>379.59229440000001</v>
      </c>
      <c r="AB23" s="1202">
        <f ca="1">SUMIFS(OFFSET(CmnLtg_Ref,1,AB$50,2000),OFFSET(CmnLtg_Ref,1,$E$50,2000),$E23)</f>
        <v>855.23880000000008</v>
      </c>
      <c r="AC23" s="1543">
        <f t="shared" ca="1" si="4"/>
        <v>0</v>
      </c>
      <c r="AD23" s="1202">
        <f t="shared" ref="AD23:AD30" ca="1" si="29">SUMIFS(OFFSET(CmnLtg_Ref,1,AD$50,2000),OFFSET(CmnLtg_Ref,1,AD$50,2000),"&gt;=0",OFFSET(CmnLtg_Ref,1,$E$50,2000),$E23)</f>
        <v>0</v>
      </c>
      <c r="AE23" s="1568">
        <f ca="1">IF(N23=0,0,SUMIFS(OFFSET(CmnLtg_Ref,1,AE$50,2000),OFFSET(CmnLtg_Ref,1,$E$50,2000),$E23))</f>
        <v>0</v>
      </c>
      <c r="AF23" s="1569">
        <f ca="1">IF(N23=0,0,SUMIFS(OFFSET(CmnLtg_Ref,1,AF$50,2000),OFFSET(CmnLtg_Ref,1,$E$50,2000),$E23))</f>
        <v>0</v>
      </c>
      <c r="AG23" s="1550">
        <f t="shared" ca="1" si="5"/>
        <v>0</v>
      </c>
      <c r="AH23" s="2370" t="str">
        <f t="shared" ca="1" si="6"/>
        <v/>
      </c>
      <c r="AI23" s="1557">
        <f t="shared" ref="AI23:AI24" si="30">INDEX($AV$7:$AZ$40,MATCH($E23,$AV$7:$AV$40,0),MATCH(AI$7,$AV$7:$AZ$7,0))</f>
        <v>0.74</v>
      </c>
      <c r="AJ23" s="1202">
        <f t="shared" ca="1" si="7"/>
        <v>474.49036800000005</v>
      </c>
      <c r="AK23" s="1541">
        <f t="shared" ca="1" si="10"/>
        <v>0.79999999999999993</v>
      </c>
      <c r="AL23" s="820">
        <f t="shared" ca="1" si="24"/>
        <v>0.46180023479370474</v>
      </c>
      <c r="AM23" s="1598"/>
      <c r="AN23" s="1599"/>
      <c r="AO23" s="1600">
        <f>$AI23*(1-AO$6)</f>
        <v>0.66600000000000004</v>
      </c>
      <c r="AP23" s="16"/>
      <c r="AQ23" s="16"/>
      <c r="AR23" s="2350" t="s">
        <v>865</v>
      </c>
      <c r="AS23" s="2351">
        <v>0.1</v>
      </c>
      <c r="AT23" s="2351">
        <v>0.3</v>
      </c>
      <c r="AU23" s="36"/>
      <c r="AV23" s="2350" t="s">
        <v>865</v>
      </c>
      <c r="AW23" s="2356">
        <v>0.66</v>
      </c>
      <c r="AX23" s="2350">
        <v>0.67</v>
      </c>
      <c r="AY23" s="2350">
        <v>0.74</v>
      </c>
      <c r="AZ23" s="37">
        <v>0.69</v>
      </c>
      <c r="BA23" s="86" t="s">
        <v>2259</v>
      </c>
    </row>
    <row r="24" spans="1:53" x14ac:dyDescent="0.3">
      <c r="A24" s="50"/>
      <c r="B24" s="2591"/>
      <c r="C24" s="811">
        <f>Proj_Sum!D54</f>
        <v>4</v>
      </c>
      <c r="D24" s="620" t="str">
        <f>Proj_Sum!F54</f>
        <v>Office - Open Plan</v>
      </c>
      <c r="E24" s="620" t="s">
        <v>1368</v>
      </c>
      <c r="F24" s="812"/>
      <c r="G24" s="493"/>
      <c r="H24" s="481"/>
      <c r="I24" s="493"/>
      <c r="J24" s="494"/>
      <c r="K24" s="495"/>
      <c r="L24" s="2347">
        <f>VLOOKUP(E24,$AR$9:$AT$40,IF($L$7=$AS$7,2,3),FALSE)</f>
        <v>0.1</v>
      </c>
      <c r="M24" s="494"/>
      <c r="N24" s="497">
        <f ca="1">SUMIFS(OFFSET(CmnLtg_Ref,1,M$50,2000),OFFSET(CmnLtg_Ref,1,$E$50,2000),$E24)-M24</f>
        <v>0</v>
      </c>
      <c r="O24" s="495"/>
      <c r="P24" s="495"/>
      <c r="Q24" s="1547">
        <f t="shared" ref="Q24" ca="1" si="31">IF(R24=0,0,R24/$N24)</f>
        <v>0</v>
      </c>
      <c r="R24" s="1581">
        <f t="shared" ca="1" si="26"/>
        <v>0</v>
      </c>
      <c r="S24" s="1581">
        <f ca="1">SUMIFS(OFFSET(CmnLtg_Ref,1,S$50,2000),OFFSET(CmnLtg_Ref,1,$E$50,2000),$E24)</f>
        <v>0</v>
      </c>
      <c r="T24" s="1547">
        <f t="shared" ref="T24:T25" ca="1" si="32">IF(U24=0,0,U24/$N24)</f>
        <v>0</v>
      </c>
      <c r="U24" s="1581">
        <f t="shared" ca="1" si="27"/>
        <v>0</v>
      </c>
      <c r="V24" s="1581">
        <f ca="1">SUMIFS(OFFSET(CmnLtg_Ref,1,V$50,2000),OFFSET(CmnLtg_Ref,1,$E$50,2000),$E24)</f>
        <v>0</v>
      </c>
      <c r="W24" s="1547">
        <f t="shared" ref="W24" ca="1" si="33">IF(X24=0,0,X24/$N24)</f>
        <v>0</v>
      </c>
      <c r="X24" s="1581">
        <f t="shared" ca="1" si="28"/>
        <v>0</v>
      </c>
      <c r="Y24" s="1581">
        <f ca="1">SUMIFS(OFFSET(CmnLtg_Ref,1,Y$50,2000),OFFSET(CmnLtg_Ref,1,$E$50,2000),$E24)</f>
        <v>0</v>
      </c>
      <c r="Z24" s="1923">
        <f t="shared" ref="Z24" ca="1" si="34">IF(AA24=0,0,AA24/$N24)</f>
        <v>0</v>
      </c>
      <c r="AA24" s="1581">
        <f t="shared" ref="AA24:AA30" ca="1" si="35">SUMIFS(OFFSET(CmnLtg_Ref,1,AA$50,2000),OFFSET(CmnLtg_Ref,1,AA$50,2000),"&gt;=0",OFFSET(CmnLtg_Ref,1,$E$50,2000),$E24)</f>
        <v>0</v>
      </c>
      <c r="AB24" s="1581">
        <f ca="1">SUMIFS(OFFSET(CmnLtg_Ref,1,AB$50,2000),OFFSET(CmnLtg_Ref,1,$E$50,2000),$E24)</f>
        <v>0</v>
      </c>
      <c r="AC24" s="1547">
        <f t="shared" ref="AC24" ca="1" si="36">IF(AD24=0,0,AD24/$N24)</f>
        <v>0</v>
      </c>
      <c r="AD24" s="1581">
        <f t="shared" ca="1" si="29"/>
        <v>0</v>
      </c>
      <c r="AE24" s="1568">
        <f ca="1">IF(N24=0,0,SUMIFS(OFFSET(CmnLtg_Ref,1,AE$50,2000),OFFSET(CmnLtg_Ref,1,$E$50,2000),$E24))</f>
        <v>0</v>
      </c>
      <c r="AF24" s="1569">
        <f ca="1">IF(N24=0,0,SUMIFS(OFFSET(CmnLtg_Ref,1,AF$50,2000),OFFSET(CmnLtg_Ref,1,$E$50,2000),$E24))</f>
        <v>0</v>
      </c>
      <c r="AG24" s="1550" t="str">
        <f t="shared" ca="1" si="5"/>
        <v/>
      </c>
      <c r="AH24" s="2370" t="str">
        <f t="shared" ca="1" si="6"/>
        <v/>
      </c>
      <c r="AI24" s="1561">
        <f t="shared" si="30"/>
        <v>0.61</v>
      </c>
      <c r="AJ24" s="1581">
        <f t="shared" ref="AJ24" ca="1" si="37">IF(X24&gt;0,AI24*N24,0)</f>
        <v>0</v>
      </c>
      <c r="AK24" s="1537">
        <f t="shared" ref="AK24:AK25" ca="1" si="38">IFERROR(AA24/AJ24,0)</f>
        <v>0</v>
      </c>
      <c r="AL24" s="813">
        <f t="shared" ref="AL24:AL25" ca="1" si="39">IF(Z24=0,0,(Q24-Z24)/Q24)</f>
        <v>0</v>
      </c>
      <c r="AM24" s="1598"/>
      <c r="AN24" s="1599"/>
      <c r="AO24" s="1600">
        <f>$AI24*(1-AO$6)</f>
        <v>0.54900000000000004</v>
      </c>
      <c r="AP24" s="16"/>
      <c r="AQ24" s="16"/>
      <c r="AR24" s="2350" t="s">
        <v>1368</v>
      </c>
      <c r="AS24" s="2351">
        <v>0.1</v>
      </c>
      <c r="AT24" s="2351">
        <v>0.15</v>
      </c>
      <c r="AU24" s="36"/>
      <c r="AV24" s="2350" t="s">
        <v>1368</v>
      </c>
      <c r="AW24" s="2356">
        <v>0.48176096681086578</v>
      </c>
      <c r="AX24" s="2350">
        <v>0.55000000000000004</v>
      </c>
      <c r="AY24" s="2350">
        <v>0.61</v>
      </c>
      <c r="AZ24" s="37">
        <v>0.53</v>
      </c>
      <c r="BA24" s="86"/>
    </row>
    <row r="25" spans="1:53" x14ac:dyDescent="0.3">
      <c r="A25" s="50"/>
      <c r="B25" s="2592"/>
      <c r="C25" s="816" t="s">
        <v>582</v>
      </c>
      <c r="D25" s="821"/>
      <c r="E25" s="821"/>
      <c r="F25" s="817"/>
      <c r="G25" s="486"/>
      <c r="H25" s="485"/>
      <c r="I25" s="486"/>
      <c r="J25" s="506"/>
      <c r="K25" s="487"/>
      <c r="L25" s="1915"/>
      <c r="M25" s="506"/>
      <c r="N25" s="483">
        <f ca="1">SUM(N23:N24)</f>
        <v>641.20320000000004</v>
      </c>
      <c r="O25" s="487"/>
      <c r="P25" s="487"/>
      <c r="Q25" s="1552">
        <f ca="1">IF(R25=0,0,R25/$N25)</f>
        <v>1.0999633189603544</v>
      </c>
      <c r="R25" s="1582">
        <f ca="1">SUM(R23:R24)</f>
        <v>705.3</v>
      </c>
      <c r="S25" s="1582"/>
      <c r="T25" s="1552">
        <f t="shared" ca="1" si="32"/>
        <v>0</v>
      </c>
      <c r="U25" s="1582">
        <f ca="1">SUM(U23:U24)</f>
        <v>0</v>
      </c>
      <c r="V25" s="1582"/>
      <c r="W25" s="1552">
        <f ca="1">IF(X25=0,0,X25/$N25)</f>
        <v>0.59201201740727427</v>
      </c>
      <c r="X25" s="1582">
        <f ca="1">SUM(X23:X24)</f>
        <v>379.6</v>
      </c>
      <c r="Y25" s="1582"/>
      <c r="Z25" s="1923">
        <f ca="1">IF(AA25=0,0,AA25/$N25)</f>
        <v>0.59199999999999997</v>
      </c>
      <c r="AA25" s="1582">
        <f ca="1">SUM(AA23:AA24)</f>
        <v>379.59229440000001</v>
      </c>
      <c r="AB25" s="1582"/>
      <c r="AC25" s="1552"/>
      <c r="AD25" s="1582"/>
      <c r="AE25" s="1554"/>
      <c r="AF25" s="1555"/>
      <c r="AG25" s="1556"/>
      <c r="AH25" s="2371"/>
      <c r="AI25" s="1552">
        <f ca="1">AJ25/N25</f>
        <v>0.74</v>
      </c>
      <c r="AJ25" s="1582">
        <f ca="1">SUM(AJ23:AJ24)</f>
        <v>474.49036800000005</v>
      </c>
      <c r="AK25" s="1542">
        <f t="shared" ca="1" si="38"/>
        <v>0.79999999999999993</v>
      </c>
      <c r="AL25" s="818">
        <f t="shared" ca="1" si="39"/>
        <v>0.46180023479370474</v>
      </c>
      <c r="AM25"/>
      <c r="AN25" s="1216">
        <f ca="1">SUMPRODUCT(N21:N24,AN21:AN24)/N25</f>
        <v>6.7643340519822734</v>
      </c>
      <c r="AO25" s="1205"/>
      <c r="AP25" s="16"/>
      <c r="AQ25" s="16"/>
      <c r="AR25" s="2350"/>
      <c r="AS25" s="2351"/>
      <c r="AT25" s="2351"/>
      <c r="AU25" s="36"/>
      <c r="AV25" s="2350"/>
      <c r="AW25" s="2356"/>
      <c r="AX25" s="2350"/>
      <c r="AY25" s="2350"/>
      <c r="AZ25" s="37"/>
      <c r="BA25" s="86"/>
    </row>
    <row r="26" spans="1:53" ht="15" customHeight="1" x14ac:dyDescent="0.3">
      <c r="A26" s="50"/>
      <c r="B26" s="37" t="str">
        <f ca="1">OFFSET(Proj_Sum!$S$41,C26,1)</f>
        <v>Non-residential - retail</v>
      </c>
      <c r="C26" s="822">
        <f>Proj_Sum!D55</f>
        <v>5</v>
      </c>
      <c r="D26" s="823" t="str">
        <f>Proj_Sum!F55</f>
        <v>Office - Open Plan</v>
      </c>
      <c r="E26" s="823" t="str">
        <f>Proj_Sum!E55</f>
        <v>Coml</v>
      </c>
      <c r="F26" s="824"/>
      <c r="G26" s="825"/>
      <c r="H26" s="484"/>
      <c r="I26" s="825"/>
      <c r="J26" s="826"/>
      <c r="K26" s="827"/>
      <c r="L26" s="1914">
        <f t="shared" si="25"/>
        <v>0.1</v>
      </c>
      <c r="M26" s="826"/>
      <c r="N26" s="1588">
        <f ca="1">SUMIFS(OFFSET(CmnLtg_Ref,1,M$50,2000),OFFSET(CmnLtg_Ref,1,$E$50,2000),$E26)-M26</f>
        <v>7487.0558999999994</v>
      </c>
      <c r="O26" s="1589"/>
      <c r="P26" s="1588"/>
      <c r="Q26" s="1590">
        <f t="shared" ca="1" si="0"/>
        <v>1.1000051435438061</v>
      </c>
      <c r="R26" s="1591">
        <f t="shared" ca="1" si="26"/>
        <v>8235.7999999999993</v>
      </c>
      <c r="S26" s="1591">
        <f ca="1">SUMIFS(OFFSET(CmnLtg_Ref,1,S$50,2000),OFFSET(CmnLtg_Ref,1,$E$50,2000),$E26)</f>
        <v>18555.257399999999</v>
      </c>
      <c r="T26" s="1590">
        <f t="shared" ca="1" si="1"/>
        <v>0</v>
      </c>
      <c r="U26" s="1591">
        <f t="shared" ca="1" si="27"/>
        <v>0</v>
      </c>
      <c r="V26" s="1591">
        <f ca="1">SUMIFS(OFFSET(CmnLtg_Ref,1,V$50,2000),OFFSET(CmnLtg_Ref,1,$E$50,2000),$E26)</f>
        <v>0</v>
      </c>
      <c r="W26" s="1590">
        <f t="shared" ca="1" si="2"/>
        <v>1.0499988386623373</v>
      </c>
      <c r="X26" s="1591">
        <f t="shared" ca="1" si="28"/>
        <v>7861.4</v>
      </c>
      <c r="Y26" s="1591">
        <f ca="1">SUMIFS(OFFSET(CmnLtg_Ref,1,Y$50,2000),OFFSET(CmnLtg_Ref,1,$E$50,2000),$E26)</f>
        <v>17711.734199999999</v>
      </c>
      <c r="Z26" s="1923">
        <f>AI26</f>
        <v>1.05</v>
      </c>
      <c r="AA26" s="1591">
        <f ca="1">Z26*N26</f>
        <v>7861.4086950000001</v>
      </c>
      <c r="AB26" s="1591">
        <f ca="1">SUMIFS(OFFSET(CmnLtg_Ref,1,AB$50,2000),OFFSET(CmnLtg_Ref,1,$E$50,2000),$E26)</f>
        <v>17711.734199999999</v>
      </c>
      <c r="AC26" s="1590">
        <f t="shared" ca="1" si="4"/>
        <v>0</v>
      </c>
      <c r="AD26" s="1591">
        <f t="shared" ca="1" si="29"/>
        <v>0</v>
      </c>
      <c r="AE26" s="1593">
        <f ca="1">IF(N26=0,0,SUMIFS(OFFSET(CmnLtg_Ref,1,AE$50,2000),OFFSET(CmnLtg_Ref,1,$E$50,2000),$E26))</f>
        <v>0</v>
      </c>
      <c r="AF26" s="1594">
        <f ca="1">IF(N26=0,0,SUMIFS(OFFSET(CmnLtg_Ref,1,AF$50,2000),OFFSET(CmnLtg_Ref,1,$E$50,2000),$E26))</f>
        <v>0</v>
      </c>
      <c r="AG26" s="1595">
        <f t="shared" ca="1" si="5"/>
        <v>0</v>
      </c>
      <c r="AH26" s="2375" t="str">
        <f t="shared" ca="1" si="6"/>
        <v/>
      </c>
      <c r="AI26" s="1592">
        <f t="shared" ref="AI26:AI30" si="40">INDEX($AV$7:$AZ$40,MATCH($E26,$AV$7:$AV$40,0),MATCH(AI$7,$AV$7:$AZ$7,0))</f>
        <v>1.05</v>
      </c>
      <c r="AJ26" s="1591">
        <f t="shared" ca="1" si="7"/>
        <v>7861.4086950000001</v>
      </c>
      <c r="AK26" s="1596">
        <f t="shared" ca="1" si="10"/>
        <v>1</v>
      </c>
      <c r="AL26" s="1597">
        <f t="shared" ca="1" si="24"/>
        <v>4.5459008839456985E-2</v>
      </c>
      <c r="AM26" s="1598"/>
      <c r="AN26" s="1599"/>
      <c r="AO26" s="1600"/>
      <c r="AP26" s="16"/>
      <c r="AQ26" s="16"/>
      <c r="AR26" s="2350" t="s">
        <v>1011</v>
      </c>
      <c r="AS26" s="2351">
        <v>0.1</v>
      </c>
      <c r="AT26" s="2351">
        <v>0.15</v>
      </c>
      <c r="AU26" s="36" t="s">
        <v>2196</v>
      </c>
      <c r="AV26" s="2350" t="s">
        <v>1011</v>
      </c>
      <c r="AW26" s="2356">
        <v>0.61</v>
      </c>
      <c r="AX26" s="2350"/>
      <c r="AY26" s="2350">
        <v>1.05</v>
      </c>
      <c r="AZ26" s="37">
        <v>0.81</v>
      </c>
      <c r="BA26" s="36" t="s">
        <v>2196</v>
      </c>
    </row>
    <row r="27" spans="1:53" ht="15" customHeight="1" x14ac:dyDescent="0.3">
      <c r="A27" s="50"/>
      <c r="B27" s="37" t="str">
        <f ca="1">OFFSET(Proj_Sum!$S$41,C27,1)</f>
        <v>Parking garage</v>
      </c>
      <c r="C27" s="822">
        <f>Proj_Sum!D56</f>
        <v>6</v>
      </c>
      <c r="D27" s="823" t="str">
        <f>Proj_Sum!F56</f>
        <v>Parking Garage - Garage Area</v>
      </c>
      <c r="E27" s="823" t="str">
        <f>Proj_Sum!E56</f>
        <v>Prkg</v>
      </c>
      <c r="F27" s="824"/>
      <c r="G27" s="825"/>
      <c r="H27" s="484"/>
      <c r="I27" s="825"/>
      <c r="J27" s="826"/>
      <c r="K27" s="827"/>
      <c r="L27" s="1914">
        <f t="shared" si="25"/>
        <v>0.1</v>
      </c>
      <c r="M27" s="826"/>
      <c r="N27" s="1588">
        <f ca="1">SUMIFS(OFFSET(CmnLtg_Ref,1,M$50,2000),OFFSET(CmnLtg_Ref,1,$E$50,2000),$E27)-M27</f>
        <v>0</v>
      </c>
      <c r="O27" s="1588"/>
      <c r="P27" s="1589"/>
      <c r="Q27" s="1601">
        <f ca="1">IF(R27=0,0,R27/$N27)</f>
        <v>0</v>
      </c>
      <c r="R27" s="1591">
        <f t="shared" ca="1" si="26"/>
        <v>0</v>
      </c>
      <c r="S27" s="1591">
        <f ca="1">SUMIFS(OFFSET(CmnLtg_Ref,1,S$50,2000),OFFSET(CmnLtg_Ref,1,$E$50,2000),$E27)</f>
        <v>0</v>
      </c>
      <c r="T27" s="1601">
        <f ca="1">IF(U27=0,0,U27/$N27)</f>
        <v>0</v>
      </c>
      <c r="U27" s="1591">
        <f t="shared" ca="1" si="27"/>
        <v>0</v>
      </c>
      <c r="V27" s="1591">
        <f ca="1">SUMIFS(OFFSET(CmnLtg_Ref,1,V$50,2000),OFFSET(CmnLtg_Ref,1,$E$50,2000),$E27)</f>
        <v>0</v>
      </c>
      <c r="W27" s="1601">
        <f ca="1">IF(X27=0,0,X27/$N27)</f>
        <v>0</v>
      </c>
      <c r="X27" s="1591">
        <f t="shared" ca="1" si="28"/>
        <v>0</v>
      </c>
      <c r="Y27" s="1591">
        <f ca="1">SUMIFS(OFFSET(CmnLtg_Ref,1,Y$50,2000),OFFSET(CmnLtg_Ref,1,$E$50,2000),$E27)</f>
        <v>0</v>
      </c>
      <c r="Z27" s="1923">
        <f ca="1">IF(AA27=0,0,AA27/$N27)</f>
        <v>0</v>
      </c>
      <c r="AA27" s="1591">
        <f t="shared" ca="1" si="35"/>
        <v>0</v>
      </c>
      <c r="AB27" s="1591">
        <f ca="1">SUMIFS(OFFSET(CmnLtg_Ref,1,AB$50,2000),OFFSET(CmnLtg_Ref,1,$E$50,2000),$E27)</f>
        <v>0</v>
      </c>
      <c r="AC27" s="1601">
        <f ca="1">IF(AD27=0,0,AD27/$N27)</f>
        <v>0</v>
      </c>
      <c r="AD27" s="1591">
        <f t="shared" ca="1" si="29"/>
        <v>0</v>
      </c>
      <c r="AE27" s="1593">
        <f ca="1">IF(N27=0,0,SUMIFS(OFFSET(CmnLtg_Ref,1,AE$50,2000),OFFSET(CmnLtg_Ref,1,$E$50,2000),$E27))</f>
        <v>0</v>
      </c>
      <c r="AF27" s="1594">
        <f ca="1">IF(N27=0,0,SUMIFS(OFFSET(CmnLtg_Ref,1,AF$50,2000),OFFSET(CmnLtg_Ref,1,$E$50,2000),$E27))</f>
        <v>0</v>
      </c>
      <c r="AG27" s="1595" t="str">
        <f t="shared" ca="1" si="5"/>
        <v/>
      </c>
      <c r="AH27" s="2375" t="str">
        <f t="shared" ca="1" si="6"/>
        <v/>
      </c>
      <c r="AI27" s="1592">
        <f t="shared" si="40"/>
        <v>0.15</v>
      </c>
      <c r="AJ27" s="1591">
        <f t="shared" ca="1" si="7"/>
        <v>0</v>
      </c>
      <c r="AK27" s="1596">
        <f t="shared" ca="1" si="10"/>
        <v>0</v>
      </c>
      <c r="AL27" s="1597">
        <f t="shared" ca="1" si="24"/>
        <v>0</v>
      </c>
      <c r="AM27" s="1598"/>
      <c r="AN27" s="1599">
        <f>$AI27*(1-AN$6)</f>
        <v>0.09</v>
      </c>
      <c r="AO27" s="1600"/>
      <c r="AP27" s="16"/>
      <c r="AQ27" s="16"/>
      <c r="AR27" s="2350" t="s">
        <v>869</v>
      </c>
      <c r="AS27" s="2351">
        <v>0.1</v>
      </c>
      <c r="AT27" s="2351">
        <v>0.15</v>
      </c>
      <c r="AU27" s="36"/>
      <c r="AV27" s="2350" t="s">
        <v>869</v>
      </c>
      <c r="AW27" s="2356">
        <v>0.15</v>
      </c>
      <c r="AX27" s="2350">
        <v>0.14000000000000001</v>
      </c>
      <c r="AY27" s="2350">
        <v>0.15</v>
      </c>
      <c r="AZ27" s="2357">
        <v>0.1</v>
      </c>
      <c r="BA27" s="36"/>
    </row>
    <row r="28" spans="1:53" ht="15" customHeight="1" x14ac:dyDescent="0.3">
      <c r="A28" s="50"/>
      <c r="B28" s="2608" t="str">
        <f ca="1">OFFSET(Proj_Sum!$S$41,C28,1)</f>
        <v>Storage</v>
      </c>
      <c r="C28" s="809">
        <f>Proj_Sum!D57</f>
        <v>7</v>
      </c>
      <c r="D28" s="619" t="str">
        <f>Proj_Sum!F57</f>
        <v>Active Storage</v>
      </c>
      <c r="E28" s="619" t="str">
        <f>Proj_Sum!E57</f>
        <v>Asto</v>
      </c>
      <c r="F28" s="828"/>
      <c r="G28" s="490"/>
      <c r="H28" s="480"/>
      <c r="I28" s="490"/>
      <c r="J28" s="491"/>
      <c r="K28" s="492"/>
      <c r="L28" s="1914">
        <f t="shared" si="25"/>
        <v>0.1</v>
      </c>
      <c r="M28" s="491"/>
      <c r="N28" s="496">
        <f ca="1">SUMIFS(OFFSET(CmnLtg_Ref,1,M$50,2000),OFFSET(CmnLtg_Ref,1,$E$50,2000),$E28)-M28</f>
        <v>1332.6484</v>
      </c>
      <c r="O28" s="492"/>
      <c r="P28" s="492"/>
      <c r="Q28" s="1543">
        <f t="shared" ref="Q28:Q37" ca="1" si="41">IF(R28=0,0,R28/$N28)</f>
        <v>0.79983587568934167</v>
      </c>
      <c r="R28" s="1202">
        <f t="shared" ca="1" si="26"/>
        <v>1065.9000000000001</v>
      </c>
      <c r="S28" s="1202">
        <f ca="1">SUMIFS(OFFSET(CmnLtg_Ref,1,S$50,2000),OFFSET(CmnLtg_Ref,1,$E$50,2000),$E28)</f>
        <v>9337.2839999999997</v>
      </c>
      <c r="T28" s="1543">
        <f t="shared" ref="T28:T40" ca="1" si="42">IF(U28=0,0,U28/$N28)</f>
        <v>0</v>
      </c>
      <c r="U28" s="1202">
        <f t="shared" ca="1" si="27"/>
        <v>0</v>
      </c>
      <c r="V28" s="1202">
        <f ca="1">SUMIFS(OFFSET(CmnLtg_Ref,1,V$50,2000),OFFSET(CmnLtg_Ref,1,$E$50,2000),$E28)</f>
        <v>0</v>
      </c>
      <c r="W28" s="1543">
        <f t="shared" ref="W28:W40" ca="1" si="43">IF(X28=0,0,X28/$N28)</f>
        <v>0.30413123221398836</v>
      </c>
      <c r="X28" s="1202">
        <f t="shared" ca="1" si="28"/>
        <v>405.30000000000007</v>
      </c>
      <c r="Y28" s="1202">
        <f ca="1">SUMIFS(OFFSET(CmnLtg_Ref,1,Y$50,2000),OFFSET(CmnLtg_Ref,1,$E$50,2000),$E28)</f>
        <v>3550.4279999999999</v>
      </c>
      <c r="Z28" s="1923">
        <f>AI28*0.8</f>
        <v>0.30400000000000005</v>
      </c>
      <c r="AA28" s="1202">
        <f ca="1">Z28*N28</f>
        <v>405.12511360000008</v>
      </c>
      <c r="AB28" s="1202">
        <f ca="1">SUMIFS(OFFSET(CmnLtg_Ref,1,AB$50,2000),OFFSET(CmnLtg_Ref,1,$E$50,2000),$E28)</f>
        <v>3550.4279999999999</v>
      </c>
      <c r="AC28" s="1543">
        <f t="shared" ref="AC28:AC39" ca="1" si="44">IF(AD28=0,0,AD28/$N28)</f>
        <v>0</v>
      </c>
      <c r="AD28" s="1202">
        <f t="shared" ca="1" si="29"/>
        <v>0</v>
      </c>
      <c r="AE28" s="1574">
        <f ca="1">IF(N28=0,0,SUMIFS(OFFSET(CmnLtg_Ref,1,AE$50,2000),OFFSET(CmnLtg_Ref,1,$E$50,2000),$E28))</f>
        <v>0</v>
      </c>
      <c r="AF28" s="1575">
        <f ca="1">IF(N28=0,0,SUMIFS(OFFSET(CmnLtg_Ref,1,AF$50,2000),OFFSET(CmnLtg_Ref,1,$E$50,2000),$E28))</f>
        <v>0</v>
      </c>
      <c r="AG28" s="1576">
        <f t="shared" ca="1" si="5"/>
        <v>0</v>
      </c>
      <c r="AH28" s="2376" t="str">
        <f t="shared" ca="1" si="6"/>
        <v/>
      </c>
      <c r="AI28" s="1557">
        <f t="shared" si="40"/>
        <v>0.38</v>
      </c>
      <c r="AJ28" s="1202">
        <f t="shared" ca="1" si="7"/>
        <v>506.40639200000004</v>
      </c>
      <c r="AK28" s="1541">
        <f t="shared" ca="1" si="10"/>
        <v>0.8</v>
      </c>
      <c r="AL28" s="820">
        <f t="shared" ca="1" si="24"/>
        <v>0.61992202495543669</v>
      </c>
      <c r="AM28"/>
      <c r="AN28" s="1217"/>
      <c r="AO28" s="1203">
        <f>$AI28*(1-AO$6)</f>
        <v>0.34200000000000003</v>
      </c>
      <c r="AP28" s="16"/>
      <c r="AQ28" s="16"/>
      <c r="AR28" s="2350" t="s">
        <v>872</v>
      </c>
      <c r="AS28" s="2351">
        <v>0.1</v>
      </c>
      <c r="AT28" s="2351">
        <v>0.45</v>
      </c>
      <c r="AU28" s="36"/>
      <c r="AV28" s="2350" t="s">
        <v>872</v>
      </c>
      <c r="AW28" s="2356">
        <v>0.38</v>
      </c>
      <c r="AX28" s="2350">
        <v>0.34</v>
      </c>
      <c r="AY28" s="2350">
        <v>0.38</v>
      </c>
      <c r="AZ28" s="37">
        <v>0.33</v>
      </c>
      <c r="BA28" s="36" t="s">
        <v>2258</v>
      </c>
    </row>
    <row r="29" spans="1:53" ht="15" customHeight="1" x14ac:dyDescent="0.3">
      <c r="A29" s="50"/>
      <c r="B29" s="2609"/>
      <c r="C29" s="811">
        <f>Proj_Sum!D58</f>
        <v>7</v>
      </c>
      <c r="D29" s="620" t="str">
        <f>Proj_Sum!F58</f>
        <v>Active Storage</v>
      </c>
      <c r="E29" s="620" t="str">
        <f>Proj_Sum!E58</f>
        <v>Util</v>
      </c>
      <c r="F29" s="814"/>
      <c r="G29" s="493"/>
      <c r="H29" s="481"/>
      <c r="I29" s="493"/>
      <c r="J29" s="494"/>
      <c r="K29" s="495"/>
      <c r="L29" s="2347">
        <f t="shared" si="25"/>
        <v>0</v>
      </c>
      <c r="M29" s="494"/>
      <c r="N29" s="497">
        <f ca="1">SUMIFS(OFFSET(CmnLtg_Ref,1,M$50,2000),OFFSET(CmnLtg_Ref,1,$E$50,2000),$E29)-M29</f>
        <v>0</v>
      </c>
      <c r="O29" s="495"/>
      <c r="P29" s="495"/>
      <c r="Q29" s="1547">
        <f t="shared" ref="Q29" ca="1" si="45">IF(R29=0,0,R29/$N29)</f>
        <v>0</v>
      </c>
      <c r="R29" s="1581">
        <f t="shared" ca="1" si="26"/>
        <v>0</v>
      </c>
      <c r="S29" s="1586">
        <f ca="1">SUMIFS(OFFSET(CmnLtg_Ref,1,S$56,2000),OFFSET(CmnLtg_Ref,1,$E$53,2000),$E32)</f>
        <v>0</v>
      </c>
      <c r="T29" s="1547">
        <f t="shared" ca="1" si="42"/>
        <v>0</v>
      </c>
      <c r="U29" s="1581">
        <f t="shared" ca="1" si="27"/>
        <v>0</v>
      </c>
      <c r="V29" s="1586">
        <f ca="1">SUMIFS(OFFSET(CmnLtg_Ref,1,V$56,2000),OFFSET(CmnLtg_Ref,1,$E$53,2000),$E32)</f>
        <v>0</v>
      </c>
      <c r="W29" s="1547">
        <f t="shared" ca="1" si="43"/>
        <v>0</v>
      </c>
      <c r="X29" s="1581">
        <f t="shared" ca="1" si="28"/>
        <v>0</v>
      </c>
      <c r="Y29" s="1586">
        <f ca="1">SUMIFS(OFFSET(CmnLtg_Ref,1,Y$56,2000),OFFSET(CmnLtg_Ref,1,$E$53,2000),$E32)</f>
        <v>0</v>
      </c>
      <c r="Z29" s="1923">
        <f t="shared" ref="Z29:Z40" ca="1" si="46">IF(AA29=0,0,AA29/$N29)</f>
        <v>0</v>
      </c>
      <c r="AA29" s="1581">
        <f t="shared" ca="1" si="35"/>
        <v>0</v>
      </c>
      <c r="AB29" s="1586">
        <f ca="1">SUMIFS(OFFSET(CmnLtg_Ref,1,AB$56,2000),OFFSET(CmnLtg_Ref,1,$E$53,2000),$E32)</f>
        <v>0</v>
      </c>
      <c r="AC29" s="1547">
        <f t="shared" ca="1" si="44"/>
        <v>0</v>
      </c>
      <c r="AD29" s="1581">
        <f t="shared" ca="1" si="29"/>
        <v>0</v>
      </c>
      <c r="AE29" s="1568">
        <f ca="1">IF(N29=0,0,SUMIFS(OFFSET(CmnLtg_Ref,1,AE$50,2000),OFFSET(CmnLtg_Ref,1,$E$50,2000),$E29))</f>
        <v>0</v>
      </c>
      <c r="AF29" s="1569">
        <f ca="1">IF(N29=0,0,SUMIFS(OFFSET(CmnLtg_Ref,1,AF$50,2000),OFFSET(CmnLtg_Ref,1,$E$50,2000),$E29))</f>
        <v>0</v>
      </c>
      <c r="AG29" s="1550" t="str">
        <f t="shared" ca="1" si="5"/>
        <v/>
      </c>
      <c r="AH29" s="2370" t="str">
        <f t="shared" ca="1" si="6"/>
        <v/>
      </c>
      <c r="AI29" s="1561">
        <f t="shared" si="40"/>
        <v>0.38</v>
      </c>
      <c r="AJ29" s="1581">
        <f t="shared" ref="AJ29" ca="1" si="47">IF(X29&gt;0,AI29*N29,0)</f>
        <v>0</v>
      </c>
      <c r="AK29" s="1537">
        <f t="shared" ca="1" si="10"/>
        <v>0</v>
      </c>
      <c r="AL29" s="813">
        <f t="shared" ca="1" si="24"/>
        <v>0</v>
      </c>
      <c r="AM29"/>
      <c r="AN29" s="1215"/>
      <c r="AO29" s="1204">
        <f>$AI29*(1-AO$6)</f>
        <v>0.34200000000000003</v>
      </c>
      <c r="AP29" s="16"/>
      <c r="AQ29" s="16"/>
      <c r="AR29" s="2350" t="s">
        <v>1426</v>
      </c>
      <c r="AS29" s="2351"/>
      <c r="AT29" s="2351"/>
      <c r="AU29" s="36"/>
      <c r="AV29" s="2350" t="s">
        <v>1426</v>
      </c>
      <c r="AW29" s="2356">
        <v>0.38</v>
      </c>
      <c r="AX29" s="2350">
        <v>0.34</v>
      </c>
      <c r="AY29" s="2350">
        <v>0.38</v>
      </c>
      <c r="AZ29" s="37">
        <v>0.33</v>
      </c>
      <c r="BA29" s="36"/>
    </row>
    <row r="30" spans="1:53" ht="15" customHeight="1" x14ac:dyDescent="0.3">
      <c r="A30" s="50"/>
      <c r="B30" s="2609"/>
      <c r="C30" s="811">
        <f>Proj_Sum!D59</f>
        <v>7</v>
      </c>
      <c r="D30" s="620" t="str">
        <f>Proj_Sum!F59</f>
        <v>Inactive Storage</v>
      </c>
      <c r="E30" s="620" t="str">
        <f>Proj_Sum!E59</f>
        <v>Isto</v>
      </c>
      <c r="F30" s="814"/>
      <c r="G30" s="493"/>
      <c r="H30" s="481"/>
      <c r="I30" s="493"/>
      <c r="J30" s="494"/>
      <c r="K30" s="495"/>
      <c r="L30" s="2347">
        <f t="shared" si="25"/>
        <v>0</v>
      </c>
      <c r="M30" s="494"/>
      <c r="N30" s="497">
        <f ca="1">SUMIFS(OFFSET(CmnLtg_Ref,1,M$50,2000),OFFSET(CmnLtg_Ref,1,$E$50,2000),$E30)-M30</f>
        <v>0</v>
      </c>
      <c r="O30" s="495"/>
      <c r="P30" s="495"/>
      <c r="Q30" s="1547">
        <f t="shared" ca="1" si="41"/>
        <v>0</v>
      </c>
      <c r="R30" s="1581">
        <f t="shared" ca="1" si="26"/>
        <v>0</v>
      </c>
      <c r="S30" s="1586">
        <f ca="1">SUMIFS(OFFSET(CmnLtg_Ref,1,S$56,2000),OFFSET(CmnLtg_Ref,1,$E$53,2000),$E33)</f>
        <v>0</v>
      </c>
      <c r="T30" s="1547">
        <f t="shared" ca="1" si="42"/>
        <v>0</v>
      </c>
      <c r="U30" s="1581">
        <f t="shared" ca="1" si="27"/>
        <v>0</v>
      </c>
      <c r="V30" s="1586">
        <f ca="1">SUMIFS(OFFSET(CmnLtg_Ref,1,V$56,2000),OFFSET(CmnLtg_Ref,1,$E$53,2000),$E33)</f>
        <v>0</v>
      </c>
      <c r="W30" s="1547">
        <f t="shared" ca="1" si="43"/>
        <v>0</v>
      </c>
      <c r="X30" s="1581">
        <f t="shared" ca="1" si="28"/>
        <v>0</v>
      </c>
      <c r="Y30" s="1586">
        <f ca="1">SUMIFS(OFFSET(CmnLtg_Ref,1,Y$56,2000),OFFSET(CmnLtg_Ref,1,$E$53,2000),$E33)</f>
        <v>0</v>
      </c>
      <c r="Z30" s="1923">
        <f t="shared" ca="1" si="46"/>
        <v>0</v>
      </c>
      <c r="AA30" s="1581">
        <f t="shared" ca="1" si="35"/>
        <v>0</v>
      </c>
      <c r="AB30" s="1586">
        <f ca="1">SUMIFS(OFFSET(CmnLtg_Ref,1,AB$56,2000),OFFSET(CmnLtg_Ref,1,$E$53,2000),$E33)</f>
        <v>0</v>
      </c>
      <c r="AC30" s="1547">
        <f t="shared" ca="1" si="44"/>
        <v>0</v>
      </c>
      <c r="AD30" s="1581">
        <f t="shared" ca="1" si="29"/>
        <v>0</v>
      </c>
      <c r="AE30" s="1568">
        <f ca="1">IF(N30=0,0,SUMIFS(OFFSET(CmnLtg_Ref,1,AE$50,2000),OFFSET(CmnLtg_Ref,1,$E$50,2000),$E30))</f>
        <v>0</v>
      </c>
      <c r="AF30" s="1569">
        <f ca="1">IF(N30=0,0,SUMIFS(OFFSET(CmnLtg_Ref,1,AF$50,2000),OFFSET(CmnLtg_Ref,1,$E$50,2000),$E30))</f>
        <v>0</v>
      </c>
      <c r="AG30" s="1550" t="str">
        <f t="shared" ca="1" si="5"/>
        <v/>
      </c>
      <c r="AH30" s="2370" t="str">
        <f t="shared" ca="1" si="6"/>
        <v/>
      </c>
      <c r="AI30" s="1561">
        <f t="shared" si="40"/>
        <v>0.38</v>
      </c>
      <c r="AJ30" s="1581">
        <f t="shared" ca="1" si="7"/>
        <v>0</v>
      </c>
      <c r="AK30" s="1537">
        <f t="shared" ca="1" si="10"/>
        <v>0</v>
      </c>
      <c r="AL30" s="813">
        <f t="shared" ca="1" si="24"/>
        <v>0</v>
      </c>
      <c r="AM30"/>
      <c r="AN30" s="1215"/>
      <c r="AO30" s="1204"/>
      <c r="AP30" s="16"/>
      <c r="AQ30" s="16"/>
      <c r="AR30" s="2350" t="s">
        <v>873</v>
      </c>
      <c r="AS30" s="2351"/>
      <c r="AT30" s="2351"/>
      <c r="AU30" s="36"/>
      <c r="AV30" s="2350" t="s">
        <v>873</v>
      </c>
      <c r="AW30" s="2356">
        <v>0.38</v>
      </c>
      <c r="AX30" s="2350">
        <v>0.34</v>
      </c>
      <c r="AY30" s="2350">
        <v>0.38</v>
      </c>
      <c r="AZ30" s="37">
        <v>0.33</v>
      </c>
      <c r="BA30" s="36"/>
    </row>
    <row r="31" spans="1:53" x14ac:dyDescent="0.3">
      <c r="A31" s="50"/>
      <c r="B31" s="2610"/>
      <c r="C31" s="816" t="s">
        <v>582</v>
      </c>
      <c r="D31" s="821"/>
      <c r="E31" s="821"/>
      <c r="F31" s="829"/>
      <c r="G31" s="486"/>
      <c r="H31" s="485"/>
      <c r="I31" s="486"/>
      <c r="J31" s="506"/>
      <c r="K31" s="487"/>
      <c r="L31" s="1915"/>
      <c r="M31" s="506"/>
      <c r="N31" s="483">
        <f ca="1">SUM(N28:N30)</f>
        <v>1332.6484</v>
      </c>
      <c r="O31" s="487"/>
      <c r="P31" s="487"/>
      <c r="Q31" s="1570">
        <f t="shared" ca="1" si="41"/>
        <v>0.79983587568934167</v>
      </c>
      <c r="R31" s="1582">
        <f ca="1">SUM(R28:R30)</f>
        <v>1065.9000000000001</v>
      </c>
      <c r="S31" s="1587">
        <f ca="1">SUMIFS(OFFSET(CmnLtg_Ref,1,S$56,2000),OFFSET(CmnLtg_Ref,1,$E$53,2000),$E35)</f>
        <v>0</v>
      </c>
      <c r="T31" s="1570">
        <f t="shared" ca="1" si="42"/>
        <v>0</v>
      </c>
      <c r="U31" s="1582">
        <f ca="1">SUM(U28:U30)</f>
        <v>0</v>
      </c>
      <c r="V31" s="1587">
        <f ca="1">SUMIFS(OFFSET(CmnLtg_Ref,1,V$56,2000),OFFSET(CmnLtg_Ref,1,$E$53,2000),$E35)</f>
        <v>0</v>
      </c>
      <c r="W31" s="1570">
        <f t="shared" ca="1" si="43"/>
        <v>0.30413123221398836</v>
      </c>
      <c r="X31" s="1582">
        <f ca="1">SUM(X28:X30)</f>
        <v>405.30000000000007</v>
      </c>
      <c r="Y31" s="1587">
        <f ca="1">SUMIFS(OFFSET(CmnLtg_Ref,1,Y$56,2000),OFFSET(CmnLtg_Ref,1,$E$53,2000),$E35)</f>
        <v>0</v>
      </c>
      <c r="Z31" s="1923">
        <f t="shared" ca="1" si="46"/>
        <v>0.30400000000000005</v>
      </c>
      <c r="AA31" s="1582">
        <f ca="1">SUM(AA28:AA30)</f>
        <v>405.12511360000008</v>
      </c>
      <c r="AB31" s="1587">
        <f ca="1">SUMIFS(OFFSET(CmnLtg_Ref,1,AB$56,2000),OFFSET(CmnLtg_Ref,1,$E$53,2000),$E35)</f>
        <v>0</v>
      </c>
      <c r="AC31" s="1570"/>
      <c r="AD31" s="1582"/>
      <c r="AE31" s="1571"/>
      <c r="AF31" s="1572"/>
      <c r="AG31" s="1573"/>
      <c r="AH31" s="2377"/>
      <c r="AI31" s="1551">
        <f ca="1">AJ31/N31</f>
        <v>0.38</v>
      </c>
      <c r="AJ31" s="1582">
        <f ca="1">SUM(AJ28:AJ30)</f>
        <v>506.40639200000004</v>
      </c>
      <c r="AK31" s="1542">
        <f t="shared" ca="1" si="10"/>
        <v>0.8</v>
      </c>
      <c r="AL31" s="818">
        <f t="shared" ca="1" si="24"/>
        <v>0.61992202495543669</v>
      </c>
      <c r="AM31"/>
      <c r="AN31" s="1218"/>
      <c r="AO31" s="1205"/>
      <c r="AP31" s="16"/>
      <c r="AQ31" s="16"/>
      <c r="AR31" s="2350"/>
      <c r="AS31" s="2351"/>
      <c r="AT31" s="2351"/>
      <c r="AU31" s="36"/>
      <c r="AV31" s="2350"/>
      <c r="AW31" s="2356"/>
      <c r="AX31" s="2350"/>
      <c r="AY31" s="2350"/>
      <c r="AZ31" s="37"/>
      <c r="BA31" s="36"/>
    </row>
    <row r="32" spans="1:53" ht="15" customHeight="1" x14ac:dyDescent="0.3">
      <c r="A32" s="50"/>
      <c r="B32" s="2608" t="str">
        <f ca="1">OFFSET(Proj_Sum!$S$41,C32,1)</f>
        <v>Support (mechanical / electrical)</v>
      </c>
      <c r="C32" s="809">
        <f>Proj_Sum!D60</f>
        <v>8</v>
      </c>
      <c r="D32" s="619" t="str">
        <f>Proj_Sum!F60</f>
        <v>Electrical/Mechanical</v>
      </c>
      <c r="E32" s="619" t="str">
        <f>Proj_Sum!E60</f>
        <v>Mech</v>
      </c>
      <c r="F32" s="819"/>
      <c r="G32" s="490"/>
      <c r="H32" s="480"/>
      <c r="I32" s="490"/>
      <c r="J32" s="491"/>
      <c r="K32" s="492"/>
      <c r="L32" s="1914">
        <f>VLOOKUP(E32,$AR$9:$AT$40,IF($L$7=$AS$7,2,3),FALSE)</f>
        <v>0.1</v>
      </c>
      <c r="M32" s="491"/>
      <c r="N32" s="496">
        <f ca="1">SUMIFS(OFFSET(CmnLtg_Ref,1,M$50,2000),OFFSET(CmnLtg_Ref,1,$E$50,2000),$E32)-M32</f>
        <v>4744.9070999999994</v>
      </c>
      <c r="O32" s="492"/>
      <c r="P32" s="492"/>
      <c r="Q32" s="1543">
        <f t="shared" ca="1" si="41"/>
        <v>1.4999661426458701</v>
      </c>
      <c r="R32" s="1202">
        <f ca="1">SUMIFS(OFFSET(CmnLtg_Ref,1,R$50,2000),OFFSET(CmnLtg_Ref,1,R$50,2000),"&gt;=0",OFFSET(CmnLtg_Ref,1,$E$50,2000),$E32)</f>
        <v>7117.2000000000007</v>
      </c>
      <c r="S32" s="1202">
        <f ca="1">SUMIFS(OFFSET(CmnLtg_Ref,1,S$50,2000),OFFSET(CmnLtg_Ref,1,$E$50,2000),$E32)</f>
        <v>62346.672000000006</v>
      </c>
      <c r="T32" s="1543">
        <f t="shared" ca="1" si="42"/>
        <v>0</v>
      </c>
      <c r="U32" s="1202">
        <f ca="1">SUMIFS(OFFSET(CmnLtg_Ref,1,U$50,2000),OFFSET(CmnLtg_Ref,1,U$50,2000),"&gt;=0",OFFSET(CmnLtg_Ref,1,$E$50,2000),$E32)</f>
        <v>0</v>
      </c>
      <c r="V32" s="1202">
        <f ca="1">SUMIFS(OFFSET(CmnLtg_Ref,1,V$50,2000),OFFSET(CmnLtg_Ref,1,$E$50,2000),$E32)</f>
        <v>0</v>
      </c>
      <c r="W32" s="1543">
        <f t="shared" ca="1" si="43"/>
        <v>0.34396879972634242</v>
      </c>
      <c r="X32" s="1202">
        <f ca="1">SUMIFS(OFFSET(CmnLtg_Ref,1,X$50,2000),OFFSET(CmnLtg_Ref,1,X$50,2000),"&gt;=0",OFFSET(CmnLtg_Ref,1,$E$50,2000),$E32)</f>
        <v>1632.1</v>
      </c>
      <c r="Y32" s="1202">
        <f ca="1">SUMIFS(OFFSET(CmnLtg_Ref,1,Y$50,2000),OFFSET(CmnLtg_Ref,1,$E$50,2000),$E32)</f>
        <v>14297.195999999998</v>
      </c>
      <c r="Z32" s="1923">
        <f>AI32*0.8</f>
        <v>0.34400000000000003</v>
      </c>
      <c r="AA32" s="1202">
        <f ca="1">Z32*N32</f>
        <v>1632.2480424</v>
      </c>
      <c r="AB32" s="1202">
        <f ca="1">SUMIFS(OFFSET(CmnLtg_Ref,1,AB$50,2000),OFFSET(CmnLtg_Ref,1,$E$50,2000),$E32)</f>
        <v>14297.195999999998</v>
      </c>
      <c r="AC32" s="1543">
        <f t="shared" ca="1" si="44"/>
        <v>0</v>
      </c>
      <c r="AD32" s="1202">
        <f ca="1">SUMIFS(OFFSET(CmnLtg_Ref,1,AD$50,2000),OFFSET(CmnLtg_Ref,1,AD$50,2000),"&gt;=0",OFFSET(CmnLtg_Ref,1,$E$50,2000),$E32)</f>
        <v>0</v>
      </c>
      <c r="AE32" s="1574">
        <f ca="1">IF(N32=0,0,SUMIFS(OFFSET(CmnLtg_Ref,1,AE$50,2000),OFFSET(CmnLtg_Ref,1,$E$50,2000),$E32))</f>
        <v>0</v>
      </c>
      <c r="AF32" s="1575">
        <f ca="1">IF(N32=0,0,SUMIFS(OFFSET(CmnLtg_Ref,1,AF$50,2000),OFFSET(CmnLtg_Ref,1,$E$50,2000),$E32))</f>
        <v>0</v>
      </c>
      <c r="AG32" s="1576">
        <f t="shared" ca="1" si="5"/>
        <v>0</v>
      </c>
      <c r="AH32" s="2376" t="str">
        <f t="shared" ca="1" si="6"/>
        <v/>
      </c>
      <c r="AI32" s="1557">
        <f t="shared" ref="AI32:AI35" si="48">INDEX($AV$7:$AZ$40,MATCH($E32,$AV$7:$AV$40,0),MATCH(AI$7,$AV$7:$AZ$7,0))</f>
        <v>0.43</v>
      </c>
      <c r="AJ32" s="1202">
        <f t="shared" ca="1" si="7"/>
        <v>2040.3100529999997</v>
      </c>
      <c r="AK32" s="1541">
        <f t="shared" ca="1" si="10"/>
        <v>0.80000000000000016</v>
      </c>
      <c r="AL32" s="820">
        <f t="shared" ca="1" si="24"/>
        <v>0.77066149013657059</v>
      </c>
      <c r="AM32"/>
      <c r="AN32" s="1217"/>
      <c r="AO32" s="1203">
        <f>$AI32*(1-AO$6)</f>
        <v>0.38700000000000001</v>
      </c>
      <c r="AP32" s="16"/>
      <c r="AQ32" s="16"/>
      <c r="AR32" s="2350" t="s">
        <v>870</v>
      </c>
      <c r="AS32" s="2351">
        <v>0.1</v>
      </c>
      <c r="AT32" s="2351">
        <v>0.3</v>
      </c>
      <c r="AU32" s="36"/>
      <c r="AV32" s="2350" t="s">
        <v>870</v>
      </c>
      <c r="AW32" s="2356">
        <v>0.43</v>
      </c>
      <c r="AX32" s="2350">
        <v>0.39</v>
      </c>
      <c r="AY32" s="2350">
        <v>0.43</v>
      </c>
      <c r="AZ32" s="37">
        <v>0.64</v>
      </c>
      <c r="BA32" s="36"/>
    </row>
    <row r="33" spans="1:53" x14ac:dyDescent="0.3">
      <c r="A33" s="50"/>
      <c r="B33" s="2609"/>
      <c r="C33" s="811">
        <f>Proj_Sum!D62</f>
        <v>8</v>
      </c>
      <c r="D33" s="620" t="str">
        <f>Proj_Sum!F61</f>
        <v>Workshop</v>
      </c>
      <c r="E33" s="620" t="str">
        <f>Proj_Sum!E61</f>
        <v>Shop</v>
      </c>
      <c r="F33" s="812"/>
      <c r="G33" s="493"/>
      <c r="H33" s="481"/>
      <c r="I33" s="493"/>
      <c r="J33" s="494"/>
      <c r="K33" s="495"/>
      <c r="L33" s="2347">
        <f>VLOOKUP(E33,$AR$9:$AT$40,IF($L$7=$AS$7,2,3),FALSE)</f>
        <v>0.1</v>
      </c>
      <c r="M33" s="494"/>
      <c r="N33" s="497">
        <f ca="1">SUMIFS(OFFSET(CmnLtg_Ref,1,M$50,2000),OFFSET(CmnLtg_Ref,1,$E$50,2000),$E33)-M33</f>
        <v>0</v>
      </c>
      <c r="O33" s="495"/>
      <c r="P33" s="495"/>
      <c r="Q33" s="1547">
        <f t="shared" ca="1" si="41"/>
        <v>0</v>
      </c>
      <c r="R33" s="1581">
        <f ca="1">SUMIFS(OFFSET(CmnLtg_Ref,1,R$50,2000),OFFSET(CmnLtg_Ref,1,R$50,2000),"&gt;=0",OFFSET(CmnLtg_Ref,1,$E$50,2000),$E33)</f>
        <v>0</v>
      </c>
      <c r="S33" s="1581">
        <f ca="1">SUMIFS(OFFSET(CmnLtg_Ref,1,S$50,2000),OFFSET(CmnLtg_Ref,1,$E$50,2000),$E33)</f>
        <v>0</v>
      </c>
      <c r="T33" s="1547">
        <f t="shared" ca="1" si="42"/>
        <v>0</v>
      </c>
      <c r="U33" s="1581">
        <f ca="1">SUMIFS(OFFSET(CmnLtg_Ref,1,U$50,2000),OFFSET(CmnLtg_Ref,1,U$50,2000),"&gt;=0",OFFSET(CmnLtg_Ref,1,$E$50,2000),$E33)</f>
        <v>0</v>
      </c>
      <c r="V33" s="1581">
        <f ca="1">SUMIFS(OFFSET(CmnLtg_Ref,1,V$50,2000),OFFSET(CmnLtg_Ref,1,$E$50,2000),$E33)</f>
        <v>0</v>
      </c>
      <c r="W33" s="1547">
        <f t="shared" ca="1" si="43"/>
        <v>0</v>
      </c>
      <c r="X33" s="1581">
        <f ca="1">SUMIFS(OFFSET(CmnLtg_Ref,1,X$50,2000),OFFSET(CmnLtg_Ref,1,X$50,2000),"&gt;=0",OFFSET(CmnLtg_Ref,1,$E$50,2000),$E33)</f>
        <v>0</v>
      </c>
      <c r="Y33" s="1581">
        <f ca="1">SUMIFS(OFFSET(CmnLtg_Ref,1,Y$50,2000),OFFSET(CmnLtg_Ref,1,$E$50,2000),$E33)</f>
        <v>0</v>
      </c>
      <c r="Z33" s="1923">
        <f t="shared" ca="1" si="46"/>
        <v>0</v>
      </c>
      <c r="AA33" s="1581">
        <f ca="1">SUMIFS(OFFSET(CmnLtg_Ref,1,AA$50,2000),OFFSET(CmnLtg_Ref,1,AA$50,2000),"&gt;=0",OFFSET(CmnLtg_Ref,1,$E$50,2000),$E33)</f>
        <v>0</v>
      </c>
      <c r="AB33" s="1581">
        <f ca="1">SUMIFS(OFFSET(CmnLtg_Ref,1,AB$50,2000),OFFSET(CmnLtg_Ref,1,$E$50,2000),$E33)</f>
        <v>0</v>
      </c>
      <c r="AC33" s="1547">
        <f t="shared" ca="1" si="44"/>
        <v>0</v>
      </c>
      <c r="AD33" s="1581">
        <f ca="1">SUMIFS(OFFSET(CmnLtg_Ref,1,AD$50,2000),OFFSET(CmnLtg_Ref,1,AD$50,2000),"&gt;=0",OFFSET(CmnLtg_Ref,1,$E$50,2000),$E33)</f>
        <v>0</v>
      </c>
      <c r="AE33" s="1568">
        <f ca="1">IF(N33=0,0,SUMIFS(OFFSET(CmnLtg_Ref,1,AE$50,2000),OFFSET(CmnLtg_Ref,1,$E$50,2000),$E33))</f>
        <v>0</v>
      </c>
      <c r="AF33" s="1569">
        <f ca="1">IF(N33=0,0,SUMIFS(OFFSET(CmnLtg_Ref,1,AF$50,2000),OFFSET(CmnLtg_Ref,1,$E$50,2000),$E33))</f>
        <v>0</v>
      </c>
      <c r="AG33" s="1550" t="str">
        <f t="shared" ca="1" si="5"/>
        <v/>
      </c>
      <c r="AH33" s="2370" t="str">
        <f t="shared" ca="1" si="6"/>
        <v/>
      </c>
      <c r="AI33" s="1561">
        <f t="shared" si="48"/>
        <v>1.26</v>
      </c>
      <c r="AJ33" s="1581">
        <f t="shared" ca="1" si="7"/>
        <v>0</v>
      </c>
      <c r="AK33" s="1537">
        <f t="shared" ca="1" si="10"/>
        <v>0</v>
      </c>
      <c r="AL33" s="813">
        <f t="shared" ca="1" si="24"/>
        <v>0</v>
      </c>
      <c r="AM33"/>
      <c r="AN33" s="1215"/>
      <c r="AO33" s="1204">
        <f>$AI33*(1-AO$6)</f>
        <v>1.1340000000000001</v>
      </c>
      <c r="AP33" s="16"/>
      <c r="AQ33" s="16"/>
      <c r="AR33" s="2350" t="s">
        <v>1422</v>
      </c>
      <c r="AS33" s="2351">
        <v>0.1</v>
      </c>
      <c r="AT33" s="2351">
        <v>0.1</v>
      </c>
      <c r="AU33" s="36"/>
      <c r="AV33" s="2350" t="s">
        <v>1422</v>
      </c>
      <c r="AW33" s="2356">
        <v>1.26</v>
      </c>
      <c r="AX33" s="2350">
        <v>1.1299999999999999</v>
      </c>
      <c r="AY33" s="2350">
        <v>1.26</v>
      </c>
      <c r="AZ33" s="37">
        <v>1.1100000000000001</v>
      </c>
      <c r="BA33" s="36"/>
    </row>
    <row r="34" spans="1:53" x14ac:dyDescent="0.3">
      <c r="A34" s="50"/>
      <c r="B34" s="2609"/>
      <c r="C34" s="811">
        <f>Proj_Sum!D62</f>
        <v>8</v>
      </c>
      <c r="D34" s="620" t="str">
        <f>Proj_Sum!F62</f>
        <v>Active Storage</v>
      </c>
      <c r="E34" s="620" t="str">
        <f>Proj_Sum!E62</f>
        <v>Trsh</v>
      </c>
      <c r="F34" s="812"/>
      <c r="G34" s="493"/>
      <c r="H34" s="481"/>
      <c r="I34" s="493"/>
      <c r="J34" s="494"/>
      <c r="K34" s="495"/>
      <c r="L34" s="2347">
        <f>VLOOKUP(E34,$AR$9:$AT$40,IF($L$7=$AS$7,2,3),FALSE)</f>
        <v>0.1</v>
      </c>
      <c r="M34" s="494"/>
      <c r="N34" s="497">
        <f ca="1">SUMIFS(OFFSET(CmnLtg_Ref,1,M$50,2000),OFFSET(CmnLtg_Ref,1,$E$50,2000),$E34)-M34</f>
        <v>939.43700000000013</v>
      </c>
      <c r="O34" s="495"/>
      <c r="P34" s="495"/>
      <c r="Q34" s="1547">
        <f t="shared" ref="Q34" ca="1" si="49">IF(R34=0,0,R34/$N34)</f>
        <v>0.79994720242017281</v>
      </c>
      <c r="R34" s="1581">
        <f ca="1">SUMIFS(OFFSET(CmnLtg_Ref,1,R$50,2000),OFFSET(CmnLtg_Ref,1,R$50,2000),"&gt;=0",OFFSET(CmnLtg_Ref,1,$E$50,2000),$E34)</f>
        <v>751.5</v>
      </c>
      <c r="S34" s="1581">
        <f ca="1">SUMIFS(OFFSET(CmnLtg_Ref,1,S$50,2000),OFFSET(CmnLtg_Ref,1,$E$50,2000),$E34)</f>
        <v>6583.14</v>
      </c>
      <c r="T34" s="1547">
        <f t="shared" ca="1" si="42"/>
        <v>0</v>
      </c>
      <c r="U34" s="1581">
        <f ca="1">SUMIFS(OFFSET(CmnLtg_Ref,1,U$50,2000),OFFSET(CmnLtg_Ref,1,U$50,2000),"&gt;=0",OFFSET(CmnLtg_Ref,1,$E$50,2000),$E34)</f>
        <v>0</v>
      </c>
      <c r="V34" s="1581">
        <f ca="1">SUMIFS(OFFSET(CmnLtg_Ref,1,V$50,2000),OFFSET(CmnLtg_Ref,1,$E$50,2000),$E34)</f>
        <v>0</v>
      </c>
      <c r="W34" s="1547">
        <f t="shared" ca="1" si="43"/>
        <v>0.30390542420620004</v>
      </c>
      <c r="X34" s="1581">
        <f ca="1">SUMIFS(OFFSET(CmnLtg_Ref,1,X$50,2000),OFFSET(CmnLtg_Ref,1,X$50,2000),"&gt;=0",OFFSET(CmnLtg_Ref,1,$E$50,2000),$E34)</f>
        <v>285.5</v>
      </c>
      <c r="Y34" s="1581">
        <f ca="1">SUMIFS(OFFSET(CmnLtg_Ref,1,Y$50,2000),OFFSET(CmnLtg_Ref,1,$E$50,2000),$E34)</f>
        <v>2500.98</v>
      </c>
      <c r="Z34" s="1923">
        <f>AI34*0.8</f>
        <v>0.30400000000000005</v>
      </c>
      <c r="AA34" s="1581">
        <f ca="1">Z34*N34</f>
        <v>285.5888480000001</v>
      </c>
      <c r="AB34" s="1581">
        <f ca="1">SUMIFS(OFFSET(CmnLtg_Ref,1,AB$50,2000),OFFSET(CmnLtg_Ref,1,$E$50,2000),$E34)</f>
        <v>2500.98</v>
      </c>
      <c r="AC34" s="1547">
        <f t="shared" ca="1" si="44"/>
        <v>0</v>
      </c>
      <c r="AD34" s="1581">
        <f ca="1">SUMIFS(OFFSET(CmnLtg_Ref,1,AD$50,2000),OFFSET(CmnLtg_Ref,1,AD$50,2000),"&gt;=0",OFFSET(CmnLtg_Ref,1,$E$50,2000),$E34)</f>
        <v>0</v>
      </c>
      <c r="AE34" s="1568">
        <f ca="1">IF(N34=0,0,SUMIFS(OFFSET(CmnLtg_Ref,1,AE$50,2000),OFFSET(CmnLtg_Ref,1,$E$50,2000),$E34))</f>
        <v>0</v>
      </c>
      <c r="AF34" s="1569">
        <f ca="1">IF(N34=0,0,SUMIFS(OFFSET(CmnLtg_Ref,1,AF$50,2000),OFFSET(CmnLtg_Ref,1,$E$50,2000),$E34))</f>
        <v>0</v>
      </c>
      <c r="AG34" s="1550">
        <f t="shared" ca="1" si="5"/>
        <v>0</v>
      </c>
      <c r="AH34" s="2370" t="str">
        <f t="shared" ca="1" si="6"/>
        <v/>
      </c>
      <c r="AI34" s="1561">
        <f t="shared" si="48"/>
        <v>0.38</v>
      </c>
      <c r="AJ34" s="1581">
        <f t="shared" ref="AJ34" ca="1" si="50">IF(X34&gt;0,AI34*N34,0)</f>
        <v>356.98606000000007</v>
      </c>
      <c r="AK34" s="1537">
        <f t="shared" ca="1" si="10"/>
        <v>0.80000000000000016</v>
      </c>
      <c r="AL34" s="813">
        <f t="shared" ca="1" si="24"/>
        <v>0.61997491949434458</v>
      </c>
      <c r="AM34"/>
      <c r="AN34" s="1211"/>
      <c r="AO34" s="1204">
        <f>$AI34*(1-AO$6)</f>
        <v>0.34200000000000003</v>
      </c>
      <c r="AP34"/>
      <c r="AQ34"/>
      <c r="AR34" s="2350" t="s">
        <v>874</v>
      </c>
      <c r="AS34" s="2351">
        <v>0.1</v>
      </c>
      <c r="AT34" s="2351">
        <v>0.45</v>
      </c>
      <c r="AU34" s="36" t="s">
        <v>2197</v>
      </c>
      <c r="AV34" s="2350" t="s">
        <v>874</v>
      </c>
      <c r="AW34" s="2356">
        <v>0.38</v>
      </c>
      <c r="AX34" s="2350">
        <v>0.34</v>
      </c>
      <c r="AY34" s="2350">
        <v>0.38</v>
      </c>
      <c r="AZ34" s="37">
        <v>0.33</v>
      </c>
      <c r="BA34" s="36" t="s">
        <v>2197</v>
      </c>
    </row>
    <row r="35" spans="1:53" x14ac:dyDescent="0.3">
      <c r="A35" s="50"/>
      <c r="B35" s="2609"/>
      <c r="C35" s="811">
        <f>Proj_Sum!D63</f>
        <v>8</v>
      </c>
      <c r="D35" s="620" t="str">
        <f>Proj_Sum!F63</f>
        <v>Elevator</v>
      </c>
      <c r="E35" s="620" t="str">
        <f>Proj_Sum!E63</f>
        <v>Elev</v>
      </c>
      <c r="F35" s="812"/>
      <c r="G35" s="493"/>
      <c r="H35" s="481"/>
      <c r="I35" s="493"/>
      <c r="J35" s="494"/>
      <c r="K35" s="495"/>
      <c r="L35" s="2347">
        <f>VLOOKUP(E35,$AR$9:$AT$40,IF($L$7=$AS$7,2,3),FALSE)</f>
        <v>0</v>
      </c>
      <c r="M35" s="494"/>
      <c r="N35" s="497">
        <f ca="1">SUMIFS(OFFSET(CmnLtg_Ref,1,M$50,2000),OFFSET(CmnLtg_Ref,1,$E$50,2000),$E35)-M35</f>
        <v>2650.0201999999999</v>
      </c>
      <c r="O35" s="495"/>
      <c r="P35" s="495"/>
      <c r="Q35" s="1547">
        <f t="shared" ca="1" si="41"/>
        <v>0</v>
      </c>
      <c r="R35" s="1581">
        <f ca="1">SUMIFS(OFFSET(CmnLtg_Ref,1,R$50,2000),OFFSET(CmnLtg_Ref,1,R$50,2000),"&gt;=0",OFFSET(CmnLtg_Ref,1,$E$50,2000),$E35)</f>
        <v>0</v>
      </c>
      <c r="S35" s="1581">
        <f ca="1">SUMIFS(OFFSET(CmnLtg_Ref,1,S$50,2000),OFFSET(CmnLtg_Ref,1,$E$50,2000),$E35)</f>
        <v>0</v>
      </c>
      <c r="T35" s="1547">
        <f t="shared" ca="1" si="42"/>
        <v>0</v>
      </c>
      <c r="U35" s="1581">
        <f ca="1">SUMIFS(OFFSET(CmnLtg_Ref,1,U$50,2000),OFFSET(CmnLtg_Ref,1,U$50,2000),"&gt;=0",OFFSET(CmnLtg_Ref,1,$E$50,2000),$E35)</f>
        <v>0</v>
      </c>
      <c r="V35" s="1581">
        <f ca="1">SUMIFS(OFFSET(CmnLtg_Ref,1,V$50,2000),OFFSET(CmnLtg_Ref,1,$E$50,2000),$E35)</f>
        <v>0</v>
      </c>
      <c r="W35" s="1547">
        <f t="shared" ca="1" si="43"/>
        <v>0</v>
      </c>
      <c r="X35" s="1581">
        <f ca="1">SUMIFS(OFFSET(CmnLtg_Ref,1,X$50,2000),OFFSET(CmnLtg_Ref,1,X$50,2000),"&gt;=0",OFFSET(CmnLtg_Ref,1,$E$50,2000),$E35)</f>
        <v>0</v>
      </c>
      <c r="Y35" s="1581">
        <f ca="1">SUMIFS(OFFSET(CmnLtg_Ref,1,Y$50,2000),OFFSET(CmnLtg_Ref,1,$E$50,2000),$E35)</f>
        <v>0</v>
      </c>
      <c r="Z35" s="1923">
        <f t="shared" ca="1" si="46"/>
        <v>0</v>
      </c>
      <c r="AA35" s="1581">
        <f ca="1">SUMIFS(OFFSET(CmnLtg_Ref,1,AA$50,2000),OFFSET(CmnLtg_Ref,1,AA$50,2000),"&gt;=0",OFFSET(CmnLtg_Ref,1,$E$50,2000),$E35)</f>
        <v>0</v>
      </c>
      <c r="AB35" s="1581">
        <f ca="1">SUMIFS(OFFSET(CmnLtg_Ref,1,AB$50,2000),OFFSET(CmnLtg_Ref,1,$E$50,2000),$E35)</f>
        <v>0</v>
      </c>
      <c r="AC35" s="1547">
        <f t="shared" ca="1" si="44"/>
        <v>0</v>
      </c>
      <c r="AD35" s="1581">
        <f ca="1">SUMIFS(OFFSET(CmnLtg_Ref,1,AD$50,2000),OFFSET(CmnLtg_Ref,1,AD$50,2000),"&gt;=0",OFFSET(CmnLtg_Ref,1,$E$50,2000),$E35)</f>
        <v>0</v>
      </c>
      <c r="AE35" s="1577">
        <f ca="1">IF(N35=0,0,SUMIFS(OFFSET(CmnLtg_Ref,1,AE$50,2000),OFFSET(CmnLtg_Ref,1,$E$50,2000),$E35))</f>
        <v>0</v>
      </c>
      <c r="AF35" s="1577">
        <f ca="1">IF(N35=0,0,SUMIFS(OFFSET(CmnLtg_Ref,1,AF$50,2000),OFFSET(CmnLtg_Ref,1,$E$50,2000),$E35))</f>
        <v>0</v>
      </c>
      <c r="AG35" s="1578">
        <f t="shared" ca="1" si="5"/>
        <v>0</v>
      </c>
      <c r="AH35" s="2378" t="str">
        <f t="shared" ca="1" si="6"/>
        <v/>
      </c>
      <c r="AI35" s="1561">
        <f t="shared" si="48"/>
        <v>0</v>
      </c>
      <c r="AJ35" s="1581">
        <f t="shared" ca="1" si="7"/>
        <v>0</v>
      </c>
      <c r="AK35" s="1537">
        <f t="shared" ca="1" si="10"/>
        <v>0</v>
      </c>
      <c r="AL35" s="2209">
        <f t="shared" ca="1" si="24"/>
        <v>0</v>
      </c>
      <c r="AM35"/>
      <c r="AN35" s="1211"/>
      <c r="AO35" s="1204"/>
      <c r="AP35"/>
      <c r="AQ35"/>
      <c r="AR35" s="2350" t="s">
        <v>871</v>
      </c>
      <c r="AS35" s="2351"/>
      <c r="AT35" s="2351"/>
      <c r="AU35" s="36"/>
      <c r="AV35" s="2350" t="s">
        <v>871</v>
      </c>
      <c r="AW35" s="2356">
        <v>0</v>
      </c>
      <c r="AX35" s="2350">
        <v>0</v>
      </c>
      <c r="AY35" s="2350">
        <v>0</v>
      </c>
      <c r="AZ35" s="37">
        <v>0</v>
      </c>
      <c r="BA35" s="86"/>
    </row>
    <row r="36" spans="1:53" ht="15" customHeight="1" x14ac:dyDescent="0.3">
      <c r="A36" s="50"/>
      <c r="B36" s="2610"/>
      <c r="C36" s="816" t="s">
        <v>582</v>
      </c>
      <c r="D36" s="821"/>
      <c r="E36" s="821"/>
      <c r="F36" s="817"/>
      <c r="G36" s="485"/>
      <c r="H36" s="485"/>
      <c r="I36" s="486"/>
      <c r="J36" s="506"/>
      <c r="K36" s="487"/>
      <c r="L36" s="1915"/>
      <c r="M36" s="506"/>
      <c r="N36" s="483">
        <f ca="1">SUM(N32:N35)</f>
        <v>8334.3642999999993</v>
      </c>
      <c r="O36" s="487"/>
      <c r="P36" s="487"/>
      <c r="Q36" s="1570">
        <f t="shared" ca="1" si="41"/>
        <v>0.94412719635977538</v>
      </c>
      <c r="R36" s="1582">
        <f ca="1">SUM(R32:R35)</f>
        <v>7868.7000000000007</v>
      </c>
      <c r="S36" s="1587">
        <f ca="1">SUMIFS(OFFSET(CmnLtg_Ref,1,S$56,2000),OFFSET(CmnLtg_Ref,1,$E$53,2000),0)</f>
        <v>0</v>
      </c>
      <c r="T36" s="1570">
        <f t="shared" ca="1" si="42"/>
        <v>0</v>
      </c>
      <c r="U36" s="1582">
        <f ca="1">SUM(U32:U35)</f>
        <v>0</v>
      </c>
      <c r="V36" s="1587">
        <f ca="1">SUMIFS(OFFSET(CmnLtg_Ref,1,V$56,2000),OFFSET(CmnLtg_Ref,1,$E$53,2000),0)</f>
        <v>0</v>
      </c>
      <c r="W36" s="1570">
        <f t="shared" ca="1" si="43"/>
        <v>0.23008353498538575</v>
      </c>
      <c r="X36" s="1582">
        <f ca="1">SUM(X32:X35)</f>
        <v>1917.6</v>
      </c>
      <c r="Y36" s="1587">
        <f ca="1">SUMIFS(OFFSET(CmnLtg_Ref,1,Y$56,2000),OFFSET(CmnLtg_Ref,1,$E$53,2000),0)</f>
        <v>0</v>
      </c>
      <c r="Z36" s="1923">
        <f ca="1">IF(AA36=0,0,AA36/$N36)</f>
        <v>0.2301119583169649</v>
      </c>
      <c r="AA36" s="1582">
        <f ca="1">SUM(AA32:AA35)</f>
        <v>1917.8368904000001</v>
      </c>
      <c r="AB36" s="1587">
        <f ca="1">SUMIFS(OFFSET(CmnLtg_Ref,1,AB$56,2000),OFFSET(CmnLtg_Ref,1,$E$53,2000),0)</f>
        <v>0</v>
      </c>
      <c r="AC36" s="1570"/>
      <c r="AD36" s="1582"/>
      <c r="AE36" s="1579"/>
      <c r="AF36" s="1580"/>
      <c r="AG36" s="1556"/>
      <c r="AH36" s="2371"/>
      <c r="AI36" s="1551">
        <f ca="1">AJ36/N36</f>
        <v>0.28763994789620606</v>
      </c>
      <c r="AJ36" s="1582">
        <f ca="1">SUM(AJ32:AJ35)</f>
        <v>2397.2961129999999</v>
      </c>
      <c r="AK36" s="1542">
        <f t="shared" ca="1" si="10"/>
        <v>0.8</v>
      </c>
      <c r="AL36" s="818">
        <f t="shared" ca="1" si="24"/>
        <v>0.75627017291293352</v>
      </c>
      <c r="AM36"/>
      <c r="AN36" s="1218"/>
      <c r="AO36" s="1205"/>
      <c r="AP36"/>
      <c r="AQ36"/>
      <c r="AR36" s="2350"/>
      <c r="AS36" s="2351"/>
      <c r="AT36" s="2351"/>
      <c r="AU36" s="36"/>
      <c r="AV36" s="2350"/>
      <c r="AW36" s="2356"/>
      <c r="AX36" s="2350"/>
      <c r="AY36" s="2350"/>
      <c r="AZ36" s="37"/>
      <c r="BA36" s="86"/>
    </row>
    <row r="37" spans="1:53" ht="15" customHeight="1" x14ac:dyDescent="0.3">
      <c r="A37" s="50"/>
      <c r="B37" s="2590" t="str">
        <f ca="1">OFFSET(Proj_Sum!$S$41,C37,1)</f>
        <v>Unoccupied-Exclude</v>
      </c>
      <c r="C37" s="809">
        <f>Proj_Sum!D64</f>
        <v>9</v>
      </c>
      <c r="D37" s="619" t="str">
        <f>Proj_Sum!F64</f>
        <v>Open to Below</v>
      </c>
      <c r="E37" s="619" t="str">
        <f>Proj_Sum!E64</f>
        <v>Oblw</v>
      </c>
      <c r="F37" s="828"/>
      <c r="G37" s="490"/>
      <c r="H37" s="480"/>
      <c r="I37" s="490"/>
      <c r="J37" s="491"/>
      <c r="K37" s="492"/>
      <c r="L37" s="1914">
        <f>VLOOKUP(E37,$AR$9:$AT$40,IF($L$7=$AS$7,2,3),FALSE)</f>
        <v>0</v>
      </c>
      <c r="M37" s="491"/>
      <c r="N37" s="496">
        <f ca="1">SUMIFS(OFFSET(CmnLtg_Ref,1,M$50,2000),OFFSET(CmnLtg_Ref,1,$E$50,2000),$E37)-M37</f>
        <v>0</v>
      </c>
      <c r="O37" s="492"/>
      <c r="P37" s="492"/>
      <c r="Q37" s="1543">
        <f t="shared" ca="1" si="41"/>
        <v>0</v>
      </c>
      <c r="R37" s="1202">
        <f ca="1">SUMIFS(OFFSET(CmnLtg_Ref,1,R$50,2000),OFFSET(CmnLtg_Ref,1,R$50,2000),"&gt;=0",OFFSET(CmnLtg_Ref,1,$E$50,2000),$E37)</f>
        <v>0</v>
      </c>
      <c r="S37" s="1202">
        <f ca="1">SUMIFS(OFFSET(CmnLtg_Ref,1,S$56,2000),OFFSET(CmnLtg_Ref,1,$E$53,2000),0)</f>
        <v>0</v>
      </c>
      <c r="T37" s="1543">
        <f t="shared" ca="1" si="42"/>
        <v>0</v>
      </c>
      <c r="U37" s="1202">
        <f ca="1">SUMIFS(OFFSET(CmnLtg_Ref,1,U$50,2000),OFFSET(CmnLtg_Ref,1,U$50,2000),"&gt;=0",OFFSET(CmnLtg_Ref,1,$E$50,2000),$E37)</f>
        <v>0</v>
      </c>
      <c r="V37" s="1202">
        <f ca="1">SUMIFS(OFFSET(CmnLtg_Ref,1,V$56,2000),OFFSET(CmnLtg_Ref,1,$E$53,2000),0)</f>
        <v>0</v>
      </c>
      <c r="W37" s="1543">
        <f t="shared" ca="1" si="43"/>
        <v>0</v>
      </c>
      <c r="X37" s="1202">
        <f ca="1">SUMIFS(OFFSET(CmnLtg_Ref,1,X$50,2000),OFFSET(CmnLtg_Ref,1,X$50,2000),"&gt;=0",OFFSET(CmnLtg_Ref,1,$E$50,2000),$E37)</f>
        <v>0</v>
      </c>
      <c r="Y37" s="1202">
        <f ca="1">SUMIFS(OFFSET(CmnLtg_Ref,1,Y$56,2000),OFFSET(CmnLtg_Ref,1,$E$53,2000),0)</f>
        <v>0</v>
      </c>
      <c r="Z37" s="1923">
        <f t="shared" ca="1" si="46"/>
        <v>0</v>
      </c>
      <c r="AA37" s="1202">
        <f ca="1">SUMIFS(OFFSET(CmnLtg_Ref,1,AA$50,2000),OFFSET(CmnLtg_Ref,1,AA$50,2000),"&gt;=0",OFFSET(CmnLtg_Ref,1,$E$50,2000),$E37)</f>
        <v>0</v>
      </c>
      <c r="AB37" s="1202">
        <f ca="1">SUMIFS(OFFSET(CmnLtg_Ref,1,AB$56,2000),OFFSET(CmnLtg_Ref,1,$E$53,2000),0)</f>
        <v>0</v>
      </c>
      <c r="AC37" s="1543">
        <f t="shared" ca="1" si="44"/>
        <v>0</v>
      </c>
      <c r="AD37" s="1202">
        <f ca="1">SUMIFS(OFFSET(CmnLtg_Ref,1,AD$50,2000),OFFSET(CmnLtg_Ref,1,AD$50,2000),"&gt;=0",OFFSET(CmnLtg_Ref,1,$E$50,2000),$E37)</f>
        <v>0</v>
      </c>
      <c r="AE37" s="1577">
        <f ca="1">IF(N37=0,0,SUMIFS(OFFSET(CmnLtg_Ref,1,AE$50,2000),OFFSET(CmnLtg_Ref,1,$E$50,2000),$E37))</f>
        <v>0</v>
      </c>
      <c r="AF37" s="1577">
        <f ca="1">IF(N37=0,0,SUMIFS(OFFSET(CmnLtg_Ref,1,AF$50,2000),OFFSET(CmnLtg_Ref,1,$E$50,2000),$E37))</f>
        <v>0</v>
      </c>
      <c r="AG37" s="1578" t="str">
        <f t="shared" ca="1" si="5"/>
        <v/>
      </c>
      <c r="AH37" s="2378" t="str">
        <f t="shared" ca="1" si="6"/>
        <v/>
      </c>
      <c r="AI37" s="1557">
        <f>INDEX($AV$7:$AZ$40,MATCH($E37,$AV$7:$AV$40,0),MATCH(AI$7,$AV$7:$AZ$7,0))</f>
        <v>0</v>
      </c>
      <c r="AJ37" s="1202">
        <f t="shared" ca="1" si="7"/>
        <v>0</v>
      </c>
      <c r="AK37" s="1541">
        <f t="shared" ca="1" si="10"/>
        <v>0</v>
      </c>
      <c r="AL37" s="2209">
        <f t="shared" ref="AL37" ca="1" si="51">IF(Z37=0,0,(Q37-Z37)/Q37)</f>
        <v>0</v>
      </c>
      <c r="AM37"/>
      <c r="AN37" s="1219"/>
      <c r="AO37" s="1209"/>
      <c r="AP37"/>
      <c r="AQ37"/>
      <c r="AR37" s="2350" t="s">
        <v>1948</v>
      </c>
      <c r="AS37" s="2351"/>
      <c r="AT37" s="2351"/>
      <c r="AU37" s="36"/>
      <c r="AV37" s="2350" t="s">
        <v>1948</v>
      </c>
      <c r="AW37" s="2356">
        <v>0</v>
      </c>
      <c r="AX37" s="2350">
        <v>0</v>
      </c>
      <c r="AY37" s="2350">
        <v>0</v>
      </c>
      <c r="AZ37" s="37">
        <v>0</v>
      </c>
      <c r="BA37" s="86"/>
    </row>
    <row r="38" spans="1:53" ht="15" customHeight="1" x14ac:dyDescent="0.3">
      <c r="A38" s="50"/>
      <c r="B38" s="2591"/>
      <c r="C38" s="811">
        <f>Proj_Sum!D65</f>
        <v>9</v>
      </c>
      <c r="D38" s="620" t="str">
        <f>Proj_Sum!F65</f>
        <v>Shaft</v>
      </c>
      <c r="E38" s="620" t="str">
        <f>Proj_Sum!E65</f>
        <v>Shft</v>
      </c>
      <c r="F38" s="814"/>
      <c r="G38" s="493"/>
      <c r="H38" s="481"/>
      <c r="I38" s="493"/>
      <c r="J38" s="494"/>
      <c r="K38" s="495"/>
      <c r="L38" s="2347">
        <f>VLOOKUP(E38,$AR$9:$AT$40,IF($L$7=$AS$7,2,3),FALSE)</f>
        <v>0</v>
      </c>
      <c r="M38" s="494"/>
      <c r="N38" s="497">
        <f ca="1">SUMIFS(OFFSET(CmnLtg_Ref,1,M$50,2000),OFFSET(CmnLtg_Ref,1,$E$50,2000),$E38)-M38</f>
        <v>0</v>
      </c>
      <c r="O38" s="495"/>
      <c r="P38" s="495"/>
      <c r="Q38" s="1547">
        <f t="shared" ref="Q38:Q40" ca="1" si="52">IF(R38=0,0,R38/$N38)</f>
        <v>0</v>
      </c>
      <c r="R38" s="1581">
        <f ca="1">SUMIFS(OFFSET(CmnLtg_Ref,1,R$50,2000),OFFSET(CmnLtg_Ref,1,R$50,2000),"&gt;=0",OFFSET(CmnLtg_Ref,1,$E$50,2000),$E38)</f>
        <v>0</v>
      </c>
      <c r="S38" s="1586">
        <f ca="1">SUMIFS(OFFSET(CmnLtg_Ref,1,S$56,2000),OFFSET(CmnLtg_Ref,1,$E$53,2000),$E38)</f>
        <v>0</v>
      </c>
      <c r="T38" s="1547">
        <f t="shared" ca="1" si="42"/>
        <v>0</v>
      </c>
      <c r="U38" s="1581">
        <f ca="1">SUMIFS(OFFSET(CmnLtg_Ref,1,U$50,2000),OFFSET(CmnLtg_Ref,1,U$50,2000),"&gt;=0",OFFSET(CmnLtg_Ref,1,$E$50,2000),$E38)</f>
        <v>0</v>
      </c>
      <c r="V38" s="1586">
        <f ca="1">SUMIFS(OFFSET(CmnLtg_Ref,1,V$56,2000),OFFSET(CmnLtg_Ref,1,$E$53,2000),$E38)</f>
        <v>0</v>
      </c>
      <c r="W38" s="1547">
        <f t="shared" ca="1" si="43"/>
        <v>0</v>
      </c>
      <c r="X38" s="1581">
        <f ca="1">SUMIFS(OFFSET(CmnLtg_Ref,1,X$50,2000),OFFSET(CmnLtg_Ref,1,X$50,2000),"&gt;=0",OFFSET(CmnLtg_Ref,1,$E$50,2000),$E38)</f>
        <v>0</v>
      </c>
      <c r="Y38" s="1586">
        <f ca="1">SUMIFS(OFFSET(CmnLtg_Ref,1,Y$56,2000),OFFSET(CmnLtg_Ref,1,$E$53,2000),$E38)</f>
        <v>0</v>
      </c>
      <c r="Z38" s="1923">
        <f t="shared" ca="1" si="46"/>
        <v>0</v>
      </c>
      <c r="AA38" s="1581">
        <f ca="1">SUMIFS(OFFSET(CmnLtg_Ref,1,AA$50,2000),OFFSET(CmnLtg_Ref,1,AA$50,2000),"&gt;=0",OFFSET(CmnLtg_Ref,1,$E$50,2000),$E38)</f>
        <v>0</v>
      </c>
      <c r="AB38" s="1586">
        <f ca="1">SUMIFS(OFFSET(CmnLtg_Ref,1,AB$56,2000),OFFSET(CmnLtg_Ref,1,$E$53,2000),$E38)</f>
        <v>0</v>
      </c>
      <c r="AC38" s="1547">
        <f t="shared" ca="1" si="44"/>
        <v>0</v>
      </c>
      <c r="AD38" s="1581">
        <f ca="1">SUMIFS(OFFSET(CmnLtg_Ref,1,AD$50,2000),OFFSET(CmnLtg_Ref,1,AD$50,2000),"&gt;=0",OFFSET(CmnLtg_Ref,1,$E$50,2000),$E38)</f>
        <v>0</v>
      </c>
      <c r="AE38" s="1577">
        <f ca="1">IF(N38=0,0,SUMIFS(OFFSET(CmnLtg_Ref,1,AE$50,2000),OFFSET(CmnLtg_Ref,1,$E$50,2000),$E38))</f>
        <v>0</v>
      </c>
      <c r="AF38" s="1577">
        <f ca="1">IF(N38=0,0,SUMIFS(OFFSET(CmnLtg_Ref,1,AF$50,2000),OFFSET(CmnLtg_Ref,1,$E$50,2000),$E38))</f>
        <v>0</v>
      </c>
      <c r="AG38" s="1578" t="str">
        <f t="shared" ca="1" si="5"/>
        <v/>
      </c>
      <c r="AH38" s="2378" t="str">
        <f t="shared" ca="1" si="6"/>
        <v/>
      </c>
      <c r="AI38" s="1561"/>
      <c r="AJ38" s="1581">
        <f>AI38*O38</f>
        <v>0</v>
      </c>
      <c r="AK38" s="1537">
        <f t="shared" ca="1" si="10"/>
        <v>0</v>
      </c>
      <c r="AL38" s="2209">
        <f t="shared" ref="AL38:AL39" ca="1" si="53">IF(Z38=0,0,(T38-Z38)/T38)</f>
        <v>0</v>
      </c>
      <c r="AM38"/>
      <c r="AN38" s="1211"/>
      <c r="AO38" s="1204"/>
      <c r="AP38"/>
      <c r="AQ38"/>
      <c r="AR38" s="2350" t="s">
        <v>1423</v>
      </c>
      <c r="AS38" s="2351"/>
      <c r="AT38" s="2351"/>
      <c r="AU38" s="36"/>
      <c r="AV38" s="2350" t="s">
        <v>1423</v>
      </c>
      <c r="AW38" s="2356"/>
      <c r="AX38" s="2350"/>
      <c r="AY38" s="2350"/>
      <c r="AZ38" s="37"/>
      <c r="BA38" s="86"/>
    </row>
    <row r="39" spans="1:53" ht="15" customHeight="1" x14ac:dyDescent="0.3">
      <c r="A39" s="50"/>
      <c r="B39" s="2591"/>
      <c r="C39" s="811">
        <f>Proj_Sum!D66</f>
        <v>9</v>
      </c>
      <c r="D39" s="620" t="str">
        <f>Proj_Sum!F66</f>
        <v>Transformer</v>
      </c>
      <c r="E39" s="620" t="str">
        <f>Proj_Sum!E66</f>
        <v>Trxf</v>
      </c>
      <c r="F39" s="814"/>
      <c r="G39" s="493"/>
      <c r="H39" s="481"/>
      <c r="I39" s="493"/>
      <c r="J39" s="494"/>
      <c r="K39" s="495"/>
      <c r="L39" s="2347">
        <f>VLOOKUP(E39,$AR$9:$AT$40,IF($L$7=$AS$7,2,3),FALSE)</f>
        <v>0</v>
      </c>
      <c r="M39" s="494"/>
      <c r="N39" s="497">
        <f ca="1">SUMIFS(OFFSET(CmnLtg_Ref,1,M$50,2000),OFFSET(CmnLtg_Ref,1,$E$50,2000),$E39)-M39</f>
        <v>0</v>
      </c>
      <c r="O39" s="495"/>
      <c r="P39" s="495"/>
      <c r="Q39" s="1547">
        <f t="shared" ca="1" si="52"/>
        <v>0</v>
      </c>
      <c r="R39" s="1581">
        <f ca="1">SUMIFS(OFFSET(CmnLtg_Ref,1,R$50,2000),OFFSET(CmnLtg_Ref,1,R$50,2000),"&gt;=0",OFFSET(CmnLtg_Ref,1,$E$50,2000),$E39)</f>
        <v>0</v>
      </c>
      <c r="S39" s="1586">
        <f ca="1">SUMIFS(OFFSET(CmnLtg_Ref,1,S$56,2000),OFFSET(CmnLtg_Ref,1,$E$53,2000),$E39)</f>
        <v>0</v>
      </c>
      <c r="T39" s="1547">
        <f t="shared" ca="1" si="42"/>
        <v>0</v>
      </c>
      <c r="U39" s="1581">
        <f ca="1">SUMIFS(OFFSET(CmnLtg_Ref,1,U$50,2000),OFFSET(CmnLtg_Ref,1,U$50,2000),"&gt;=0",OFFSET(CmnLtg_Ref,1,$E$50,2000),$E39)</f>
        <v>0</v>
      </c>
      <c r="V39" s="1586">
        <f ca="1">SUMIFS(OFFSET(CmnLtg_Ref,1,V$56,2000),OFFSET(CmnLtg_Ref,1,$E$53,2000),$E39)</f>
        <v>0</v>
      </c>
      <c r="W39" s="1547">
        <f t="shared" ca="1" si="43"/>
        <v>0</v>
      </c>
      <c r="X39" s="1581">
        <f ca="1">SUMIFS(OFFSET(CmnLtg_Ref,1,X$50,2000),OFFSET(CmnLtg_Ref,1,X$50,2000),"&gt;=0",OFFSET(CmnLtg_Ref,1,$E$50,2000),$E39)</f>
        <v>0</v>
      </c>
      <c r="Y39" s="1586">
        <f ca="1">SUMIFS(OFFSET(CmnLtg_Ref,1,Y$56,2000),OFFSET(CmnLtg_Ref,1,$E$53,2000),$E39)</f>
        <v>0</v>
      </c>
      <c r="Z39" s="1923">
        <f t="shared" ca="1" si="46"/>
        <v>0</v>
      </c>
      <c r="AA39" s="1581">
        <f ca="1">SUMIFS(OFFSET(CmnLtg_Ref,1,AA$50,2000),OFFSET(CmnLtg_Ref,1,AA$50,2000),"&gt;=0",OFFSET(CmnLtg_Ref,1,$E$50,2000),$E39)</f>
        <v>0</v>
      </c>
      <c r="AB39" s="1586">
        <f ca="1">SUMIFS(OFFSET(CmnLtg_Ref,1,AB$56,2000),OFFSET(CmnLtg_Ref,1,$E$53,2000),$E39)</f>
        <v>0</v>
      </c>
      <c r="AC39" s="1547">
        <f t="shared" ca="1" si="44"/>
        <v>0</v>
      </c>
      <c r="AD39" s="1581">
        <f ca="1">SUMIFS(OFFSET(CmnLtg_Ref,1,AD$50,2000),OFFSET(CmnLtg_Ref,1,AD$50,2000),"&gt;=0",OFFSET(CmnLtg_Ref,1,$E$50,2000),$E39)</f>
        <v>0</v>
      </c>
      <c r="AE39" s="1577">
        <f ca="1">IF(N39=0,0,SUMIFS(OFFSET(CmnLtg_Ref,1,AE$50,2000),OFFSET(CmnLtg_Ref,1,$E$50,2000),$E39))</f>
        <v>0</v>
      </c>
      <c r="AF39" s="1577">
        <f ca="1">IF(N39=0,0,SUMIFS(OFFSET(CmnLtg_Ref,1,AF$50,2000),OFFSET(CmnLtg_Ref,1,$E$50,2000),$E39))</f>
        <v>0</v>
      </c>
      <c r="AG39" s="1578" t="str">
        <f t="shared" ca="1" si="5"/>
        <v/>
      </c>
      <c r="AH39" s="2378" t="str">
        <f t="shared" ca="1" si="6"/>
        <v/>
      </c>
      <c r="AI39" s="1561"/>
      <c r="AJ39" s="1581">
        <f>AI39*O39</f>
        <v>0</v>
      </c>
      <c r="AK39" s="1537">
        <f t="shared" ca="1" si="10"/>
        <v>0</v>
      </c>
      <c r="AL39" s="2209">
        <f t="shared" ca="1" si="53"/>
        <v>0</v>
      </c>
      <c r="AM39"/>
      <c r="AN39" s="1211"/>
      <c r="AO39" s="1204"/>
      <c r="AP39"/>
      <c r="AQ39"/>
      <c r="AR39" s="2350" t="s">
        <v>1364</v>
      </c>
      <c r="AS39" s="2351"/>
      <c r="AT39" s="2351"/>
      <c r="AU39" s="36"/>
      <c r="AV39" s="2350" t="s">
        <v>1364</v>
      </c>
      <c r="AW39" s="2356"/>
      <c r="AX39" s="2350"/>
      <c r="AY39" s="2350"/>
      <c r="AZ39" s="37"/>
      <c r="BA39" s="86"/>
    </row>
    <row r="40" spans="1:53" ht="14.25" customHeight="1" x14ac:dyDescent="0.3">
      <c r="A40" s="50"/>
      <c r="B40" s="2592"/>
      <c r="C40" s="816" t="s">
        <v>582</v>
      </c>
      <c r="D40" s="821"/>
      <c r="E40" s="821"/>
      <c r="F40" s="829"/>
      <c r="G40" s="486"/>
      <c r="H40" s="485"/>
      <c r="I40" s="486"/>
      <c r="J40" s="506"/>
      <c r="K40" s="487"/>
      <c r="L40" s="1915"/>
      <c r="M40" s="506"/>
      <c r="N40" s="483">
        <f ca="1">SUM(N37:N39)</f>
        <v>0</v>
      </c>
      <c r="O40" s="487"/>
      <c r="P40" s="487"/>
      <c r="Q40" s="1570">
        <f t="shared" ca="1" si="52"/>
        <v>0</v>
      </c>
      <c r="R40" s="1582">
        <f ca="1">SUM(R37:R39)</f>
        <v>0</v>
      </c>
      <c r="S40" s="1587">
        <f ca="1">SUMIFS(OFFSET(CmnLtg_Ref,1,S$56,2000),OFFSET(CmnLtg_Ref,1,$E$53,2000),$E47)</f>
        <v>0</v>
      </c>
      <c r="T40" s="1570">
        <f t="shared" ca="1" si="42"/>
        <v>0</v>
      </c>
      <c r="U40" s="1582">
        <f ca="1">SUM(U37:U39)</f>
        <v>0</v>
      </c>
      <c r="V40" s="1587">
        <f ca="1">SUMIFS(OFFSET(CmnLtg_Ref,1,V$56,2000),OFFSET(CmnLtg_Ref,1,$E$53,2000),$E47)</f>
        <v>0</v>
      </c>
      <c r="W40" s="1570">
        <f t="shared" ca="1" si="43"/>
        <v>0</v>
      </c>
      <c r="X40" s="1582">
        <f ca="1">SUM(X37:X39)</f>
        <v>0</v>
      </c>
      <c r="Y40" s="1587">
        <f ca="1">SUMIFS(OFFSET(CmnLtg_Ref,1,Y$56,2000),OFFSET(CmnLtg_Ref,1,$E$53,2000),$E47)</f>
        <v>0</v>
      </c>
      <c r="Z40" s="1923">
        <f t="shared" ca="1" si="46"/>
        <v>0</v>
      </c>
      <c r="AA40" s="1582">
        <f ca="1">SUM(AA37:AA39)</f>
        <v>0</v>
      </c>
      <c r="AB40" s="1587">
        <f ca="1">SUMIFS(OFFSET(CmnLtg_Ref,1,AB$56,2000),OFFSET(CmnLtg_Ref,1,$E$53,2000),$E47)</f>
        <v>0</v>
      </c>
      <c r="AC40" s="1570"/>
      <c r="AD40" s="1582"/>
      <c r="AE40" s="1571"/>
      <c r="AF40" s="1572"/>
      <c r="AG40" s="1573"/>
      <c r="AH40" s="2377" t="str">
        <f t="shared" ref="AH40" si="54">IFERROR((AE40*0+AF40*L40)/AC40,"")</f>
        <v/>
      </c>
      <c r="AI40" s="1551" t="e">
        <f ca="1">AJ40/N40</f>
        <v>#DIV/0!</v>
      </c>
      <c r="AJ40" s="1582">
        <f ca="1">SUM(AJ37:AJ39)</f>
        <v>0</v>
      </c>
      <c r="AK40" s="1542">
        <f t="shared" ref="AK40" ca="1" si="55">IFERROR(AA40/AJ40,0)</f>
        <v>0</v>
      </c>
      <c r="AL40" s="818">
        <f t="shared" ref="AL40" ca="1" si="56">IF(Z40=0,0,(Q40-Z40)/Q40)</f>
        <v>0</v>
      </c>
      <c r="AM40"/>
      <c r="AN40" s="1218"/>
      <c r="AO40" s="1205"/>
      <c r="AP40"/>
      <c r="AQ40"/>
      <c r="AR40" s="2350"/>
      <c r="AS40" s="2351"/>
      <c r="AT40" s="2351"/>
      <c r="AU40" s="36"/>
      <c r="AV40" s="2350"/>
      <c r="AW40" s="2356"/>
      <c r="AX40" s="2350"/>
      <c r="AY40" s="2350"/>
      <c r="AZ40" s="37"/>
      <c r="BA40" s="86"/>
    </row>
    <row r="41" spans="1:53" x14ac:dyDescent="0.3">
      <c r="A41" s="50"/>
      <c r="B41" s="85"/>
      <c r="C41" s="148"/>
      <c r="D41" s="85"/>
      <c r="E41" s="85"/>
      <c r="F41" s="85"/>
      <c r="G41" s="85"/>
      <c r="H41" s="85"/>
      <c r="I41" s="488"/>
      <c r="J41" s="489"/>
      <c r="K41" s="477"/>
      <c r="L41" s="477"/>
      <c r="M41" s="477"/>
      <c r="N41" s="476"/>
      <c r="O41" s="477"/>
      <c r="P41" s="477"/>
      <c r="Q41" s="478"/>
      <c r="R41" s="476"/>
      <c r="S41" s="476"/>
      <c r="T41" s="478"/>
      <c r="U41" s="476"/>
      <c r="V41" s="476"/>
      <c r="W41" s="478"/>
      <c r="X41" s="476"/>
      <c r="Y41" s="476"/>
      <c r="Z41" s="628"/>
      <c r="AA41" s="70"/>
      <c r="AB41" s="476"/>
      <c r="AC41" s="478"/>
      <c r="AD41" s="476"/>
      <c r="AE41" s="62"/>
      <c r="AG41" s="62"/>
      <c r="AH41" s="62"/>
      <c r="AJ41" s="70">
        <f ca="1">SUM(AJ9:AJ37)</f>
        <v>102602.45930699995</v>
      </c>
      <c r="AK41" s="919">
        <f ca="1">AA41/AJ41</f>
        <v>0</v>
      </c>
      <c r="AM41"/>
      <c r="AN41"/>
      <c r="AO41"/>
      <c r="AP41"/>
      <c r="AQ41"/>
      <c r="AR41"/>
      <c r="AS41"/>
      <c r="AT41"/>
      <c r="AU41"/>
      <c r="AV41"/>
      <c r="AW41"/>
      <c r="AX41"/>
      <c r="AY41"/>
      <c r="AZ41"/>
    </row>
    <row r="42" spans="1:53" ht="15" thickBot="1" x14ac:dyDescent="0.35">
      <c r="A42" s="50"/>
      <c r="B42" s="85"/>
      <c r="C42" s="148"/>
      <c r="D42" s="85"/>
      <c r="E42" s="85"/>
      <c r="F42" s="85"/>
      <c r="G42" s="85"/>
      <c r="H42" s="85"/>
      <c r="I42" s="488"/>
      <c r="J42" s="489"/>
      <c r="K42" s="477"/>
      <c r="L42" s="477"/>
      <c r="M42" s="477"/>
      <c r="N42" s="476"/>
      <c r="O42" s="477"/>
      <c r="P42" s="477"/>
      <c r="Q42" s="478"/>
      <c r="R42" s="476"/>
      <c r="S42" s="476"/>
      <c r="T42" s="478"/>
      <c r="U42" s="476"/>
      <c r="V42" s="476"/>
      <c r="W42" s="478"/>
      <c r="X42" s="476"/>
      <c r="Y42" s="476"/>
      <c r="Z42" s="628"/>
      <c r="AA42" s="70"/>
      <c r="AB42" s="476"/>
      <c r="AC42" s="478"/>
      <c r="AD42" s="476"/>
      <c r="AE42" s="62"/>
      <c r="AG42" s="62"/>
      <c r="AH42" s="62"/>
      <c r="AJ42" s="70"/>
      <c r="AK42" s="1808"/>
      <c r="AM42"/>
      <c r="AN42"/>
      <c r="AO42"/>
      <c r="AP42"/>
      <c r="AQ42"/>
      <c r="AR42"/>
      <c r="AS42"/>
      <c r="AT42"/>
      <c r="AU42"/>
      <c r="AV42"/>
      <c r="AW42"/>
      <c r="AX42"/>
      <c r="AY42"/>
    </row>
    <row r="43" spans="1:53" x14ac:dyDescent="0.3">
      <c r="B43" s="1770" t="s">
        <v>1902</v>
      </c>
      <c r="C43" s="1771"/>
      <c r="D43" s="1771"/>
      <c r="E43" s="1771"/>
      <c r="F43" s="2045">
        <v>5</v>
      </c>
      <c r="G43" s="1771"/>
      <c r="H43" s="1771"/>
      <c r="I43" s="1772"/>
      <c r="J43" s="1773"/>
      <c r="K43" s="1774"/>
      <c r="L43" s="1774"/>
      <c r="M43" s="1774"/>
      <c r="N43" s="1773">
        <f ca="1">SUMIFS(N$9:N$41,$C$9:$C$41,$F43)</f>
        <v>7487.0558999999994</v>
      </c>
      <c r="O43" s="1774"/>
      <c r="P43" s="1775"/>
      <c r="Q43" s="1776">
        <f t="shared" ref="Q43" ca="1" si="57">IFERROR(R43/$N43,0)</f>
        <v>1.1000051435438061</v>
      </c>
      <c r="R43" s="1773">
        <f t="shared" ref="R43:S45" ca="1" si="58">SUMIFS(R$9:R$41,$C$9:$C$41,$F43)</f>
        <v>8235.7999999999993</v>
      </c>
      <c r="S43" s="1773">
        <f t="shared" ca="1" si="58"/>
        <v>18555.257399999999</v>
      </c>
      <c r="T43" s="1776">
        <f t="shared" ref="T43" ca="1" si="59">IFERROR(U43/$N43,0)</f>
        <v>0</v>
      </c>
      <c r="U43" s="1773">
        <f t="shared" ref="U43:V45" ca="1" si="60">SUMIFS(U$9:U$41,$C$9:$C$41,$F43)</f>
        <v>0</v>
      </c>
      <c r="V43" s="1773">
        <f t="shared" ca="1" si="60"/>
        <v>0</v>
      </c>
      <c r="W43" s="1776">
        <f ca="1">IFERROR(X43/$N43,0)</f>
        <v>1.0499988386623373</v>
      </c>
      <c r="X43" s="1773">
        <f ca="1">SUMIFS(X$9:X$41,$C$9:$C$41,$F43)</f>
        <v>7861.4</v>
      </c>
      <c r="Y43" s="1773">
        <f t="shared" ref="Y43:Y45" ca="1" si="61">SUMIFS(Y$9:Y$41,$C$9:$C$41,$F43)</f>
        <v>17711.734199999999</v>
      </c>
      <c r="Z43" s="1776">
        <f t="shared" ref="Z43" ca="1" si="62">IFERROR(AA43/$N43,0)</f>
        <v>1.05</v>
      </c>
      <c r="AA43" s="1773">
        <f t="shared" ref="AA43:AB45" ca="1" si="63">SUMIFS(AA$9:AA$41,$C$9:$C$41,$F43)</f>
        <v>7861.4086950000001</v>
      </c>
      <c r="AB43" s="1773">
        <f t="shared" ca="1" si="63"/>
        <v>17711.734199999999</v>
      </c>
      <c r="AC43" s="1776">
        <f t="shared" ref="AC43" ca="1" si="64">IFERROR(AD43/$N43,0)</f>
        <v>0</v>
      </c>
      <c r="AD43" s="1777">
        <f ca="1">SUMIFS(AD$9:AD$41,$C$9:$C$41,$F43)</f>
        <v>0</v>
      </c>
      <c r="AE43" s="62"/>
      <c r="AF43" s="2578"/>
      <c r="AG43" s="2578"/>
      <c r="AK43" s="1805" t="s">
        <v>1903</v>
      </c>
      <c r="AL43" s="1806"/>
      <c r="AM43" s="1807"/>
      <c r="AN43"/>
      <c r="AO43"/>
      <c r="AP43"/>
      <c r="AQ43"/>
      <c r="AR43"/>
      <c r="AS43"/>
      <c r="AT43"/>
      <c r="AU43"/>
      <c r="AV43"/>
      <c r="AW43"/>
      <c r="AX43"/>
      <c r="AY43"/>
    </row>
    <row r="44" spans="1:53" x14ac:dyDescent="0.3">
      <c r="B44" s="1778" t="s">
        <v>51</v>
      </c>
      <c r="C44" s="85"/>
      <c r="D44" s="85"/>
      <c r="E44" s="85"/>
      <c r="F44" s="50">
        <v>1</v>
      </c>
      <c r="G44" s="85"/>
      <c r="H44" s="85"/>
      <c r="I44" s="488"/>
      <c r="J44" s="476"/>
      <c r="K44" s="477"/>
      <c r="L44" s="477"/>
      <c r="M44" s="477"/>
      <c r="N44" s="476">
        <f ca="1">SUMIFS(N$9:N$41,$C$9:$C$41,$F44)</f>
        <v>83040.097299999965</v>
      </c>
      <c r="O44" s="477"/>
      <c r="Q44" s="1779">
        <f t="shared" ref="Q44:Q48" ca="1" si="65">IFERROR(R44/$N44,0)</f>
        <v>1.0699903165937166</v>
      </c>
      <c r="R44" s="476">
        <f t="shared" ca="1" si="58"/>
        <v>88852.099999999991</v>
      </c>
      <c r="S44" s="476">
        <f t="shared" ca="1" si="58"/>
        <v>75879.693400000004</v>
      </c>
      <c r="T44" s="1779">
        <f t="shared" ref="T44:T48" ca="1" si="66">IFERROR(U44/$N44,0)</f>
        <v>0</v>
      </c>
      <c r="U44" s="476">
        <f t="shared" ca="1" si="60"/>
        <v>0</v>
      </c>
      <c r="V44" s="476">
        <f t="shared" ca="1" si="60"/>
        <v>0</v>
      </c>
      <c r="W44" s="1779">
        <f t="shared" ref="W44:W48" ca="1" si="67">IFERROR(X44/$N44,0)</f>
        <v>0.59999809272863203</v>
      </c>
      <c r="X44" s="476">
        <f ca="1">SUMIFS(X$9:X$41,$C$9:$C$41,$F44)</f>
        <v>49823.900000000009</v>
      </c>
      <c r="Y44" s="476">
        <f t="shared" ca="1" si="61"/>
        <v>42549.610600000007</v>
      </c>
      <c r="Z44" s="1779">
        <f ca="1">IFERROR(AA44/$N44,0)</f>
        <v>0.59999809272863203</v>
      </c>
      <c r="AA44" s="476">
        <f ca="1">SUMIFS(AA$9:AA$41,$C$9:$C$41,$F44)</f>
        <v>49823.900000000009</v>
      </c>
      <c r="AB44" s="476">
        <f ca="1">SUMIFS(AB$9:AB$41,$C$9:$C$41,$F44)</f>
        <v>42549.610600000007</v>
      </c>
      <c r="AC44" s="1779">
        <f t="shared" ref="AC44:AC48" ca="1" si="68">IFERROR(AD44/$N44,0)</f>
        <v>0</v>
      </c>
      <c r="AD44" s="1780">
        <f ca="1">SUMIFS(AD$9:AD$41,$C$9:$C$41,$F44)</f>
        <v>0</v>
      </c>
      <c r="AE44" s="62"/>
      <c r="AK44" s="1781"/>
      <c r="AL44" s="1782" t="s">
        <v>42</v>
      </c>
      <c r="AM44" s="1783" t="s">
        <v>259</v>
      </c>
      <c r="AO44"/>
      <c r="AP44"/>
      <c r="AQ44"/>
      <c r="AR44"/>
      <c r="AS44"/>
      <c r="AT44"/>
      <c r="AU44"/>
      <c r="AV44"/>
      <c r="AW44"/>
      <c r="AX44"/>
      <c r="AY44"/>
      <c r="AZ44"/>
      <c r="BA44"/>
    </row>
    <row r="45" spans="1:53" x14ac:dyDescent="0.3">
      <c r="B45" s="1778" t="s">
        <v>100</v>
      </c>
      <c r="C45" s="85"/>
      <c r="D45" s="85"/>
      <c r="E45" s="85"/>
      <c r="F45" s="50">
        <v>6</v>
      </c>
      <c r="G45" s="85"/>
      <c r="H45" s="85"/>
      <c r="I45" s="488"/>
      <c r="J45" s="476"/>
      <c r="K45" s="477"/>
      <c r="L45" s="477"/>
      <c r="M45" s="477"/>
      <c r="N45" s="476">
        <f ca="1">SUMIFS(N$9:N$41,$C$9:$C$41,$F45)</f>
        <v>0</v>
      </c>
      <c r="O45" s="477"/>
      <c r="Q45" s="1779">
        <f t="shared" ref="Q45" ca="1" si="69">IFERROR(R45/$N45,0)</f>
        <v>0</v>
      </c>
      <c r="R45" s="476">
        <f t="shared" ca="1" si="58"/>
        <v>0</v>
      </c>
      <c r="S45" s="476">
        <f t="shared" ca="1" si="58"/>
        <v>0</v>
      </c>
      <c r="T45" s="1779">
        <f t="shared" ref="T45" ca="1" si="70">IFERROR(U45/$N45,0)</f>
        <v>0</v>
      </c>
      <c r="U45" s="476">
        <f t="shared" ca="1" si="60"/>
        <v>0</v>
      </c>
      <c r="V45" s="476">
        <f t="shared" ca="1" si="60"/>
        <v>0</v>
      </c>
      <c r="W45" s="1779">
        <f t="shared" ref="W45" ca="1" si="71">IFERROR(X45/$N45,0)</f>
        <v>0</v>
      </c>
      <c r="X45" s="476">
        <f ca="1">SUMIFS(X$9:X$41,$C$9:$C$41,$F45)</f>
        <v>0</v>
      </c>
      <c r="Y45" s="476">
        <f t="shared" ca="1" si="61"/>
        <v>0</v>
      </c>
      <c r="Z45" s="1779">
        <f t="shared" ref="Z45:Z46" ca="1" si="72">IFERROR(AA45/$N45,0)</f>
        <v>0</v>
      </c>
      <c r="AA45" s="476">
        <f t="shared" ca="1" si="63"/>
        <v>0</v>
      </c>
      <c r="AB45" s="476">
        <f t="shared" ca="1" si="63"/>
        <v>0</v>
      </c>
      <c r="AC45" s="1779">
        <f t="shared" ref="AC45:AC46" ca="1" si="73">IFERROR(AD45/$N45,0)</f>
        <v>0</v>
      </c>
      <c r="AD45" s="1780">
        <f ca="1">SUMIFS(AD$9:AD$41,$C$9:$C$41,$F45)</f>
        <v>0</v>
      </c>
      <c r="AE45" s="62"/>
      <c r="AK45" s="1792" t="s">
        <v>161</v>
      </c>
      <c r="AL45" s="968">
        <v>151172.60999999999</v>
      </c>
      <c r="AM45" s="1809">
        <f ca="1">1-(AL45/$AB$48)</f>
        <v>-3.8728091879436377E-5</v>
      </c>
      <c r="AO45"/>
      <c r="AP45"/>
      <c r="AQ45"/>
      <c r="AR45"/>
      <c r="AS45"/>
      <c r="AT45"/>
      <c r="AU45"/>
      <c r="AV45"/>
      <c r="AW45"/>
      <c r="AX45"/>
      <c r="AY45"/>
      <c r="AZ45"/>
      <c r="BA45"/>
    </row>
    <row r="46" spans="1:53" ht="15" thickBot="1" x14ac:dyDescent="0.35">
      <c r="B46" s="1778" t="s">
        <v>2118</v>
      </c>
      <c r="C46" s="85"/>
      <c r="D46" s="85"/>
      <c r="E46" s="85"/>
      <c r="F46" s="50">
        <v>9</v>
      </c>
      <c r="G46" s="50" t="s">
        <v>871</v>
      </c>
      <c r="H46" s="85"/>
      <c r="I46" s="488"/>
      <c r="J46" s="476"/>
      <c r="K46" s="477"/>
      <c r="L46" s="477"/>
      <c r="M46" s="477"/>
      <c r="N46" s="476">
        <f ca="1">SUMIF($C$9:$C$41,$F46,N$9:N$41)+SUMIF($E$9:$E$41,$G46,N$9:N$41)</f>
        <v>2650.0201999999999</v>
      </c>
      <c r="O46" s="477"/>
      <c r="Q46" s="2196">
        <f ca="1">IFERROR(R46/$N46,0)</f>
        <v>0</v>
      </c>
      <c r="R46" s="476">
        <f ca="1">SUMIF($C$9:$C$41,$F46,R$9:R$41)+SUMIF($E$9:$E$41,$G46,R$9:R$41)</f>
        <v>0</v>
      </c>
      <c r="S46" s="476">
        <f ca="1">SUMIF($C$9:$C$41,$F46,S$9:S$41)+SUMIF($E$9:$E$41,$G46,S$9:S$41)</f>
        <v>0</v>
      </c>
      <c r="T46" s="2196"/>
      <c r="U46" s="476"/>
      <c r="V46" s="476"/>
      <c r="W46" s="2196"/>
      <c r="X46" s="476"/>
      <c r="Y46" s="476"/>
      <c r="Z46" s="2196">
        <f t="shared" ca="1" si="72"/>
        <v>0</v>
      </c>
      <c r="AA46" s="476">
        <f ca="1">SUMIF($C$9:$C$41,$F46,AA$9:AA$41)+SUMIF($E$9:$E$41,$G46,AA$9:AA$41)</f>
        <v>0</v>
      </c>
      <c r="AB46" s="476">
        <f ca="1">SUMIF($C$9:$C$41,$F46,AB$9:AB$41)+SUMIF($E$9:$E$41,$G46,AB$9:AB$41)</f>
        <v>0</v>
      </c>
      <c r="AC46" s="2196">
        <f t="shared" ca="1" si="73"/>
        <v>0</v>
      </c>
      <c r="AD46" s="1780">
        <f ca="1">SUMIF($C$9:$C$41,$F46,AD$9:AD$41)+SUMIF($E$9:$E$41,$G46,AD$9:AD$41)</f>
        <v>0</v>
      </c>
      <c r="AE46" s="62"/>
      <c r="AK46" s="1803" t="s">
        <v>47</v>
      </c>
      <c r="AL46" s="1804">
        <v>285393.71000000002</v>
      </c>
      <c r="AM46" s="1810">
        <f ca="1">1-(AL46/$S$48)</f>
        <v>1.642572945346199E-4</v>
      </c>
      <c r="AO46"/>
      <c r="AP46"/>
      <c r="AQ46"/>
      <c r="AR46"/>
      <c r="AS46"/>
      <c r="AT46"/>
      <c r="AU46"/>
      <c r="AV46"/>
      <c r="AW46"/>
      <c r="AX46"/>
      <c r="AY46"/>
      <c r="AZ46"/>
      <c r="BA46"/>
    </row>
    <row r="47" spans="1:53" ht="15" thickBot="1" x14ac:dyDescent="0.35">
      <c r="A47" s="50"/>
      <c r="B47" s="1784" t="s">
        <v>1904</v>
      </c>
      <c r="C47" s="1785"/>
      <c r="D47" s="1785"/>
      <c r="E47" s="1785"/>
      <c r="F47" s="1785"/>
      <c r="G47" s="1785"/>
      <c r="H47" s="1785"/>
      <c r="I47" s="1786"/>
      <c r="J47" s="1787"/>
      <c r="K47" s="1788"/>
      <c r="L47" s="1788"/>
      <c r="M47" s="1788"/>
      <c r="N47" s="1787">
        <f ca="1">N48-SUM(N43:P46)</f>
        <v>26552.513699999996</v>
      </c>
      <c r="O47" s="1788"/>
      <c r="P47" s="1789"/>
      <c r="Q47" s="1790">
        <f t="shared" ca="1" si="65"/>
        <v>0.84090720194224022</v>
      </c>
      <c r="R47" s="1787">
        <f ca="1">R48-SUM(R43:R45)</f>
        <v>22328.199999999997</v>
      </c>
      <c r="S47" s="1787">
        <f ca="1">S48-SUM(S43:S45)</f>
        <v>191005.64490000007</v>
      </c>
      <c r="T47" s="1790">
        <f t="shared" ca="1" si="66"/>
        <v>0</v>
      </c>
      <c r="U47" s="1787">
        <f ca="1">U48-SUM(U43:U45)</f>
        <v>0</v>
      </c>
      <c r="V47" s="1787">
        <f ca="1">V48-SUM(V43:V45)</f>
        <v>0</v>
      </c>
      <c r="W47" s="1790">
        <f t="shared" ca="1" si="67"/>
        <v>0.40144221825596865</v>
      </c>
      <c r="X47" s="1787">
        <f ca="1">X48-SUM(X43:X45)</f>
        <v>10659.299999999996</v>
      </c>
      <c r="Y47" s="1787">
        <f ca="1">Y48-SUM(Y43:Y45)</f>
        <v>90905.410799999998</v>
      </c>
      <c r="Z47" s="1790">
        <f t="shared" ref="Z47:Z48" ca="1" si="74">IFERROR(AA47/$N47,0)</f>
        <v>0.40144102554026756</v>
      </c>
      <c r="AA47" s="1787">
        <f ca="1">AA48-SUM(AA43:AA45)</f>
        <v>10659.268330400002</v>
      </c>
      <c r="AB47" s="1787">
        <f ca="1">AB48-SUM(AB43:AB45)</f>
        <v>90905.410799999998</v>
      </c>
      <c r="AC47" s="1790">
        <f t="shared" ca="1" si="68"/>
        <v>0</v>
      </c>
      <c r="AD47" s="1791">
        <f ca="1">AD48-SUM(AD43:AD45)</f>
        <v>0</v>
      </c>
      <c r="AO47"/>
      <c r="AP47"/>
      <c r="AQ47"/>
      <c r="AR47"/>
      <c r="AS47"/>
      <c r="AT47"/>
      <c r="AU47"/>
      <c r="AV47"/>
      <c r="AW47"/>
      <c r="AX47"/>
      <c r="AY47"/>
      <c r="AZ47"/>
      <c r="BA47"/>
    </row>
    <row r="48" spans="1:53" ht="15" thickTop="1" x14ac:dyDescent="0.3">
      <c r="A48" s="50"/>
      <c r="B48" s="1793" t="s">
        <v>82</v>
      </c>
      <c r="C48" s="1794"/>
      <c r="D48" s="1794"/>
      <c r="E48" s="1794"/>
      <c r="F48" s="1794"/>
      <c r="G48" s="1794"/>
      <c r="H48" s="1794"/>
      <c r="I48" s="1795"/>
      <c r="J48" s="1796"/>
      <c r="K48" s="1797"/>
      <c r="L48" s="1797"/>
      <c r="M48" s="1797"/>
      <c r="N48" s="1798">
        <f ca="1">SUMIFS(N$9:N$41,$C$9:$C$41,"&lt;&gt;"&amp;"All")</f>
        <v>119729.68709999997</v>
      </c>
      <c r="O48" s="1797"/>
      <c r="P48" s="1799"/>
      <c r="Q48" s="1800">
        <f t="shared" ca="1" si="65"/>
        <v>0.99738087430448175</v>
      </c>
      <c r="R48" s="1798">
        <f ca="1">SUMIFS(R$9:R$41,$C$9:$C$41,"&lt;&gt;"&amp;"All")</f>
        <v>119416.09999999999</v>
      </c>
      <c r="S48" s="1801">
        <f ca="1">SUMIFS(S$9:S$41,$C$9:$C$41,"&lt;&gt;"&amp;"All")</f>
        <v>285440.59570000006</v>
      </c>
      <c r="T48" s="1800">
        <f t="shared" ca="1" si="66"/>
        <v>0</v>
      </c>
      <c r="U48" s="1798">
        <f ca="1">SUMIFS(U$9:U$41,$C$9:$C$41,"&lt;&gt;"&amp;"All")</f>
        <v>0</v>
      </c>
      <c r="V48" s="1798">
        <f ca="1">SUMIFS(V$9:V$41,$C$9:$C$41,"&lt;&gt;"&amp;"All")</f>
        <v>0</v>
      </c>
      <c r="W48" s="1800">
        <f t="shared" ca="1" si="67"/>
        <v>0.57082417615371872</v>
      </c>
      <c r="X48" s="1798">
        <f ca="1">SUMIFS(X$9:X$41,$C$9:$C$41,"&lt;&gt;"&amp;"All")</f>
        <v>68344.600000000006</v>
      </c>
      <c r="Y48" s="1798">
        <f ca="1">SUMIFS(Y$9:Y$41,$C$9:$C$41,"&lt;&gt;"&amp;"All")</f>
        <v>151166.7556</v>
      </c>
      <c r="Z48" s="1800">
        <f t="shared" ca="1" si="74"/>
        <v>0.57082398426647207</v>
      </c>
      <c r="AA48" s="1798">
        <f ca="1">SUMIFS(AA$9:AA$41,$C$9:$C$41,"&lt;&gt;"&amp;"All")</f>
        <v>68344.577025400009</v>
      </c>
      <c r="AB48" s="1801">
        <f ca="1">SUMIFS(AB$9:AB$41,$C$9:$C$41,"&lt;&gt;"&amp;"All")</f>
        <v>151166.7556</v>
      </c>
      <c r="AC48" s="1800">
        <f t="shared" ca="1" si="68"/>
        <v>0</v>
      </c>
      <c r="AD48" s="1802">
        <f ca="1">SUMIFS(AD$9:AD$41,$C$9:$C$41,"&lt;&gt;"&amp;"All")</f>
        <v>0</v>
      </c>
      <c r="AE48" s="62"/>
      <c r="AO48"/>
      <c r="AP48"/>
      <c r="AQ48"/>
      <c r="AR48"/>
      <c r="AS48"/>
      <c r="AT48"/>
      <c r="AV48"/>
      <c r="AW48"/>
      <c r="AX48"/>
      <c r="AY48"/>
      <c r="AZ48"/>
      <c r="BA48"/>
    </row>
    <row r="49" spans="1:45" ht="10.199999999999999" x14ac:dyDescent="0.2">
      <c r="G49" s="62"/>
      <c r="H49" s="62"/>
      <c r="I49" s="62"/>
      <c r="J49" s="62"/>
      <c r="K49" s="62"/>
      <c r="L49" s="62"/>
      <c r="M49" s="62"/>
      <c r="N49" s="62"/>
      <c r="O49" s="62"/>
      <c r="P49" s="62"/>
      <c r="Q49" s="62"/>
      <c r="S49" s="70"/>
      <c r="T49" s="62"/>
      <c r="W49" s="62"/>
      <c r="X49" s="62"/>
      <c r="Y49" s="62"/>
      <c r="AB49" s="70"/>
      <c r="AC49" s="62"/>
      <c r="AD49" s="62"/>
      <c r="AE49" s="62"/>
      <c r="AF49" s="62"/>
      <c r="AG49" s="62"/>
      <c r="AH49" s="62"/>
      <c r="AS49" s="70"/>
    </row>
    <row r="50" spans="1:45" ht="15" x14ac:dyDescent="0.35">
      <c r="A50" s="660">
        <v>0</v>
      </c>
      <c r="B50" s="148">
        <f>A50+1</f>
        <v>1</v>
      </c>
      <c r="C50" s="148">
        <f t="shared" ref="C50:AF50" si="75">B50+1</f>
        <v>2</v>
      </c>
      <c r="D50" s="148">
        <f t="shared" si="75"/>
        <v>3</v>
      </c>
      <c r="E50" s="148">
        <f t="shared" si="75"/>
        <v>4</v>
      </c>
      <c r="F50" s="148">
        <f t="shared" si="75"/>
        <v>5</v>
      </c>
      <c r="G50" s="148">
        <f t="shared" si="75"/>
        <v>6</v>
      </c>
      <c r="H50" s="148">
        <f t="shared" si="75"/>
        <v>7</v>
      </c>
      <c r="I50" s="148">
        <f t="shared" si="75"/>
        <v>8</v>
      </c>
      <c r="J50" s="148">
        <f t="shared" si="75"/>
        <v>9</v>
      </c>
      <c r="K50" s="148">
        <f t="shared" si="75"/>
        <v>10</v>
      </c>
      <c r="L50" s="148">
        <f t="shared" si="75"/>
        <v>11</v>
      </c>
      <c r="M50" s="148">
        <f t="shared" si="75"/>
        <v>12</v>
      </c>
      <c r="N50" s="148">
        <f t="shared" si="75"/>
        <v>13</v>
      </c>
      <c r="O50" s="148">
        <f t="shared" si="75"/>
        <v>14</v>
      </c>
      <c r="P50" s="148">
        <f t="shared" si="75"/>
        <v>15</v>
      </c>
      <c r="Q50" s="148">
        <f t="shared" si="75"/>
        <v>16</v>
      </c>
      <c r="R50" s="148">
        <f t="shared" si="75"/>
        <v>17</v>
      </c>
      <c r="S50" s="148">
        <f t="shared" si="75"/>
        <v>18</v>
      </c>
      <c r="T50" s="148">
        <f t="shared" si="75"/>
        <v>19</v>
      </c>
      <c r="U50" s="148">
        <f t="shared" si="75"/>
        <v>20</v>
      </c>
      <c r="V50" s="148">
        <f t="shared" si="75"/>
        <v>21</v>
      </c>
      <c r="W50" s="148">
        <f t="shared" si="75"/>
        <v>22</v>
      </c>
      <c r="X50" s="148">
        <f t="shared" si="75"/>
        <v>23</v>
      </c>
      <c r="Y50" s="148">
        <f t="shared" si="75"/>
        <v>24</v>
      </c>
      <c r="Z50" s="148">
        <f t="shared" si="75"/>
        <v>25</v>
      </c>
      <c r="AA50" s="148">
        <f t="shared" si="75"/>
        <v>26</v>
      </c>
      <c r="AB50" s="148">
        <f t="shared" si="75"/>
        <v>27</v>
      </c>
      <c r="AC50" s="148">
        <f t="shared" si="75"/>
        <v>28</v>
      </c>
      <c r="AD50" s="148">
        <f t="shared" si="75"/>
        <v>29</v>
      </c>
      <c r="AE50" s="148">
        <f t="shared" si="75"/>
        <v>30</v>
      </c>
      <c r="AF50" s="148">
        <f t="shared" si="75"/>
        <v>31</v>
      </c>
      <c r="AG50" s="62"/>
      <c r="AH50" s="62"/>
    </row>
    <row r="51" spans="1:45" ht="15" x14ac:dyDescent="0.35">
      <c r="A51" s="590"/>
      <c r="B51" s="85"/>
      <c r="C51" s="488"/>
      <c r="D51" s="488"/>
      <c r="E51" s="488"/>
      <c r="F51" s="488"/>
      <c r="G51" s="85"/>
      <c r="H51" s="488">
        <f>'360SpcLdsCSV'!$D$1</f>
        <v>2</v>
      </c>
      <c r="I51" s="488">
        <f>'360SpcLdsCSV'!$E$1</f>
        <v>3</v>
      </c>
      <c r="J51" s="488">
        <f>'360SpcLdsCSV'!$F$1</f>
        <v>4</v>
      </c>
      <c r="K51" s="488">
        <f>'360SpcLdsCSV'!$G$1</f>
        <v>5</v>
      </c>
      <c r="L51" s="488">
        <f>'360SpcLdsCSV'!$H$1</f>
        <v>6</v>
      </c>
      <c r="M51" s="488">
        <f>Spaces_Sum!$AO$50</f>
        <v>40</v>
      </c>
      <c r="N51" s="488">
        <f>Spaces_Sum!$AP$50</f>
        <v>41</v>
      </c>
      <c r="O51" s="488">
        <f>'360SpcLdsCSV'!$F$1</f>
        <v>4</v>
      </c>
      <c r="P51" s="64">
        <f>'360SpcLdsCSV'!$K$1</f>
        <v>9</v>
      </c>
      <c r="R51" s="64">
        <f>'360SpcLdsCSV'!$T$1</f>
        <v>18</v>
      </c>
      <c r="S51" s="62">
        <v>15</v>
      </c>
      <c r="U51" s="64">
        <v>100</v>
      </c>
      <c r="V51" s="62">
        <v>15</v>
      </c>
      <c r="X51" s="64">
        <f>'360SpcLdsCSV'!$P$1</f>
        <v>14</v>
      </c>
      <c r="Y51" s="64">
        <v>15</v>
      </c>
      <c r="AA51" s="62">
        <f>'360SpcLdsCSV'!$O$1</f>
        <v>13</v>
      </c>
      <c r="AB51" s="62">
        <v>15</v>
      </c>
      <c r="AG51" s="62"/>
      <c r="AH51" s="62"/>
    </row>
    <row r="52" spans="1:45" ht="17.399999999999999" x14ac:dyDescent="0.4">
      <c r="A52" s="590"/>
      <c r="B52" s="587"/>
      <c r="C52" s="806" t="s">
        <v>90</v>
      </c>
      <c r="D52" s="806"/>
      <c r="E52" s="806"/>
      <c r="F52" s="806"/>
      <c r="G52" s="806"/>
      <c r="H52" s="806"/>
      <c r="I52" s="806"/>
      <c r="J52" s="806"/>
      <c r="K52" s="806"/>
      <c r="L52" s="806"/>
      <c r="M52" s="806"/>
      <c r="N52" s="806"/>
      <c r="O52" s="806"/>
      <c r="P52" s="67"/>
      <c r="Q52" s="68"/>
      <c r="R52" s="68"/>
      <c r="S52" s="68"/>
      <c r="T52" s="68"/>
      <c r="U52" s="68"/>
      <c r="V52" s="68"/>
      <c r="W52" s="68"/>
      <c r="X52" s="68"/>
      <c r="Y52" s="68"/>
      <c r="Z52" s="629"/>
      <c r="AA52" s="68"/>
      <c r="AB52" s="68"/>
      <c r="AC52" s="68"/>
      <c r="AD52" s="68"/>
      <c r="AE52" s="68"/>
      <c r="AF52" s="68"/>
      <c r="AG52" s="62"/>
      <c r="AH52" s="62"/>
    </row>
    <row r="53" spans="1:45" ht="15" x14ac:dyDescent="0.35">
      <c r="A53" s="590"/>
      <c r="B53" s="587"/>
      <c r="C53" s="704" t="s">
        <v>899</v>
      </c>
      <c r="D53" s="704"/>
      <c r="E53" s="704"/>
      <c r="F53" s="704"/>
      <c r="G53" s="704"/>
      <c r="H53" s="704"/>
      <c r="I53" s="704"/>
      <c r="J53" s="704"/>
      <c r="K53" s="704"/>
      <c r="L53" s="704"/>
      <c r="M53" s="663" t="e">
        <f ca="1">SUBTOTAL(109,M57:M161)</f>
        <v>#N/A</v>
      </c>
      <c r="N53" s="663" t="e">
        <f ca="1">SUBTOTAL(109,N57:N161)</f>
        <v>#N/A</v>
      </c>
      <c r="O53" s="704"/>
      <c r="W53" s="1480" t="e">
        <f ca="1">X53/M53</f>
        <v>#N/A</v>
      </c>
      <c r="X53" s="663" t="e">
        <f ca="1">SUBTOTAL(109,X57:X161)</f>
        <v>#N/A</v>
      </c>
      <c r="Y53" s="663" t="e">
        <f ca="1">SUBTOTAL(109,Y57:Y161)</f>
        <v>#N/A</v>
      </c>
      <c r="AG53" s="62"/>
      <c r="AH53" s="62"/>
    </row>
    <row r="54" spans="1:45" ht="30.6" x14ac:dyDescent="0.35">
      <c r="A54" s="590"/>
      <c r="B54" s="590"/>
      <c r="C54" s="648" t="s">
        <v>33</v>
      </c>
      <c r="D54" s="69" t="s">
        <v>858</v>
      </c>
      <c r="E54" s="69" t="s">
        <v>855</v>
      </c>
      <c r="F54" s="69" t="s">
        <v>856</v>
      </c>
      <c r="G54" s="69" t="s">
        <v>857</v>
      </c>
      <c r="H54" s="69" t="s">
        <v>832</v>
      </c>
      <c r="I54" s="69" t="s">
        <v>833</v>
      </c>
      <c r="J54" s="69" t="s">
        <v>807</v>
      </c>
      <c r="K54" s="69" t="s">
        <v>846</v>
      </c>
      <c r="L54" s="69" t="s">
        <v>134</v>
      </c>
      <c r="M54" s="69" t="s">
        <v>1340</v>
      </c>
      <c r="N54" s="69" t="s">
        <v>1341</v>
      </c>
      <c r="O54" s="69" t="s">
        <v>807</v>
      </c>
      <c r="P54" s="69" t="s">
        <v>162</v>
      </c>
      <c r="Q54" s="2587" t="s">
        <v>750</v>
      </c>
      <c r="R54" s="2588"/>
      <c r="S54" s="2589"/>
      <c r="T54" s="2587" t="s">
        <v>751</v>
      </c>
      <c r="U54" s="2588"/>
      <c r="V54" s="2589"/>
      <c r="W54" s="2603" t="s">
        <v>584</v>
      </c>
      <c r="X54" s="2603"/>
      <c r="Y54" s="2603"/>
      <c r="Z54" s="2602" t="s">
        <v>647</v>
      </c>
      <c r="AA54" s="2602"/>
      <c r="AB54" s="2602"/>
      <c r="AC54" s="432" t="s">
        <v>237</v>
      </c>
      <c r="AD54" s="432" t="s">
        <v>237</v>
      </c>
      <c r="AE54" s="554" t="s">
        <v>719</v>
      </c>
      <c r="AF54" s="555" t="s">
        <v>720</v>
      </c>
      <c r="AG54" s="62"/>
      <c r="AH54" s="62"/>
    </row>
    <row r="55" spans="1:45" ht="15" customHeight="1" x14ac:dyDescent="0.35">
      <c r="A55" s="590" t="s">
        <v>15</v>
      </c>
      <c r="D55" s="427"/>
      <c r="E55" s="427"/>
      <c r="F55" s="427"/>
      <c r="G55" s="427"/>
      <c r="H55" s="427"/>
      <c r="I55" s="427"/>
      <c r="J55" s="427"/>
      <c r="K55" s="427"/>
      <c r="L55" s="427"/>
      <c r="M55" s="427" t="s">
        <v>143</v>
      </c>
      <c r="N55" s="427" t="s">
        <v>108</v>
      </c>
      <c r="O55" s="427"/>
      <c r="P55" s="427"/>
      <c r="Q55" s="428" t="s">
        <v>303</v>
      </c>
      <c r="R55" s="428" t="s">
        <v>119</v>
      </c>
      <c r="S55" s="428" t="s">
        <v>42</v>
      </c>
      <c r="T55" s="428" t="s">
        <v>303</v>
      </c>
      <c r="U55" s="428" t="s">
        <v>119</v>
      </c>
      <c r="V55" s="428" t="s">
        <v>42</v>
      </c>
      <c r="W55" s="430" t="s">
        <v>303</v>
      </c>
      <c r="X55" s="430" t="s">
        <v>119</v>
      </c>
      <c r="Y55" s="430" t="s">
        <v>42</v>
      </c>
      <c r="Z55" s="630" t="s">
        <v>303</v>
      </c>
      <c r="AA55" s="429" t="s">
        <v>119</v>
      </c>
      <c r="AB55" s="429" t="s">
        <v>42</v>
      </c>
      <c r="AC55" s="431" t="s">
        <v>303</v>
      </c>
      <c r="AD55" s="431" t="s">
        <v>119</v>
      </c>
      <c r="AE55" s="556" t="s">
        <v>119</v>
      </c>
      <c r="AF55" s="557" t="s">
        <v>119</v>
      </c>
      <c r="AG55" s="62"/>
      <c r="AH55" s="62"/>
    </row>
    <row r="56" spans="1:45" ht="15" customHeight="1" x14ac:dyDescent="0.35">
      <c r="A56" s="662" t="s">
        <v>289</v>
      </c>
      <c r="C56" s="62">
        <v>3</v>
      </c>
      <c r="G56" s="62"/>
      <c r="H56" s="62"/>
      <c r="I56" s="62"/>
      <c r="J56" s="62"/>
      <c r="K56" s="62"/>
      <c r="L56" s="62"/>
      <c r="M56" s="62"/>
      <c r="N56" s="62"/>
      <c r="O56" s="62"/>
      <c r="P56" s="75"/>
      <c r="Q56" s="75"/>
      <c r="R56" s="75"/>
      <c r="S56" s="75"/>
      <c r="T56" s="75"/>
      <c r="U56" s="75"/>
      <c r="V56" s="75"/>
      <c r="W56" s="75"/>
      <c r="X56" s="75"/>
      <c r="Y56" s="75"/>
      <c r="Z56" s="631"/>
      <c r="AA56" s="75"/>
      <c r="AB56" s="75"/>
      <c r="AC56" s="75"/>
      <c r="AD56" s="75"/>
      <c r="AE56" s="75"/>
      <c r="AF56" s="75"/>
      <c r="AG56" s="62"/>
      <c r="AH56" s="62"/>
      <c r="AJ56" s="50"/>
    </row>
    <row r="57" spans="1:45" ht="15" customHeight="1" x14ac:dyDescent="0.35">
      <c r="A57" s="590"/>
      <c r="B57" s="62">
        <f>MATCH(C57,'360SpcLdsCSV'!$C$6:$C$500,0)</f>
        <v>1</v>
      </c>
      <c r="C57" s="62" t="str">
        <f>'360SpcLdsCSV'!C6</f>
        <v>B01-002_StrsRaccBbrd</v>
      </c>
      <c r="D57" s="62" t="str">
        <f>LEFT(C57,3)</f>
        <v>B01</v>
      </c>
      <c r="E57" s="62" t="str">
        <f>MID(C57,FIND("_",C57,1)+1,4)</f>
        <v>Strs</v>
      </c>
      <c r="F57" s="62" t="str">
        <f>MID(C57,FIND("_",C57,1)+5,4)</f>
        <v>Racc</v>
      </c>
      <c r="G57" s="62" t="str">
        <f t="shared" ref="G57" si="76">RIGHT(C57,4)</f>
        <v>Bbrd</v>
      </c>
      <c r="H57" s="62" t="str">
        <f ca="1">OFFSET('360SpcLdsCSV'!$B$5,$B57,H$51)</f>
        <v>Basement</v>
      </c>
      <c r="I57" s="62" t="str">
        <f ca="1">OFFSET('360SpcLdsCSV'!$B$5,$B57,I$51)</f>
        <v>DirectlyConditioned</v>
      </c>
      <c r="J57" s="62" t="str">
        <f ca="1">OFFSET('360SpcLdsCSV'!$B$5,$B57,J$51)</f>
        <v>Stairwell</v>
      </c>
      <c r="K57" s="62" t="str">
        <f ca="1">OFFSET('360SpcLdsCSV'!$B$5,$B57,K$51)</f>
        <v>Nonresidential</v>
      </c>
      <c r="L57" s="62" t="str">
        <f ca="1">OFFSET('360SpcLdsCSV'!$B$5,$B57,L$51)</f>
        <v>Thermal Zone: B01-002_StrsRaccBbrd</v>
      </c>
      <c r="M57" s="1178">
        <f t="shared" ref="M57:N76" ca="1" si="77">OFFSET(Spaces_Ref,$B57,M$51)</f>
        <v>602.02739999999994</v>
      </c>
      <c r="N57" s="1178">
        <f t="shared" ca="1" si="77"/>
        <v>6020.27</v>
      </c>
      <c r="O57" s="62" t="str">
        <f ca="1">OFFSET('360SpcLdsCSV'!$B$5,$B57,O$51)</f>
        <v>Stairwell</v>
      </c>
      <c r="P57" s="64">
        <f ca="1">OFFSET('360SpcLdsCSV'!$B$5,$B57,P$51)</f>
        <v>1</v>
      </c>
      <c r="Q57" s="84">
        <f ca="1">R57/$M57</f>
        <v>0.59997269227281025</v>
      </c>
      <c r="R57" s="64">
        <f ca="1">OFFSET('360SpcLdsCSV'!$B$5,$B57,R$51)*$P57</f>
        <v>361.2</v>
      </c>
      <c r="S57" s="64">
        <f ca="1">OFFSET('360SpcLdsCSV'!$B$5,$B57,S$51)*$R57/1000</f>
        <v>3164.1120000000001</v>
      </c>
      <c r="T57" s="84">
        <f ca="1">U57/$M57</f>
        <v>0</v>
      </c>
      <c r="U57" s="64">
        <f ca="1">OFFSET('360SpcLdsCSV'!$B$5,$B57,U$51)</f>
        <v>0</v>
      </c>
      <c r="V57" s="64">
        <f ca="1">OFFSET('360SpcLdsCSV'!$B$5,$B57,V$51)*$U57/1000</f>
        <v>0</v>
      </c>
      <c r="W57" s="84">
        <f ca="1">X57/$M57</f>
        <v>0.39200873581501444</v>
      </c>
      <c r="X57" s="64">
        <f ca="1">OFFSET('360SpcLdsCSV'!$B$5,$B57,X$51)*$P57</f>
        <v>236</v>
      </c>
      <c r="Y57" s="64">
        <f ca="1">OFFSET('360SpcLdsCSV'!$B$5,$B57,Y$51)*$X57/1000</f>
        <v>2067.36</v>
      </c>
      <c r="Z57" s="84">
        <f ca="1">AA57/$M57</f>
        <v>0.39200873581501444</v>
      </c>
      <c r="AA57" s="64">
        <f ca="1">OFFSET('360SpcLdsCSV'!$B$5,$B57,AA$51)*$P57</f>
        <v>236</v>
      </c>
      <c r="AB57" s="64">
        <f ca="1">OFFSET('360SpcLdsCSV'!$B$5,$B57,AB$51)*$AA57/1000</f>
        <v>2067.36</v>
      </c>
      <c r="AC57" s="65">
        <f ca="1">'Ltg IntTakeoffs'!EZ12</f>
        <v>0</v>
      </c>
      <c r="AD57" s="64">
        <f ca="1">AC57*M57</f>
        <v>0</v>
      </c>
      <c r="AE57" s="558">
        <f ca="1">'Ltg IntTakeoffs'!FA12*M57</f>
        <v>0</v>
      </c>
      <c r="AF57" s="559">
        <f ca="1">'Ltg IntTakeoffs'!FB12*M57</f>
        <v>0</v>
      </c>
      <c r="AG57" s="62"/>
      <c r="AH57" s="62"/>
      <c r="AJ57" s="50"/>
    </row>
    <row r="58" spans="1:45" ht="15" customHeight="1" x14ac:dyDescent="0.35">
      <c r="A58" s="590"/>
      <c r="B58" s="62">
        <f>MATCH(C58,'360SpcLdsCSV'!$C$6:$C$500,0)</f>
        <v>2</v>
      </c>
      <c r="C58" s="62" t="str">
        <f>'360SpcLdsCSV'!C7</f>
        <v>B01-003_MechRaccBbrd</v>
      </c>
      <c r="D58" s="62" t="str">
        <f t="shared" ref="D58:D121" si="78">LEFT(C58,3)</f>
        <v>B01</v>
      </c>
      <c r="E58" s="62" t="str">
        <f t="shared" ref="E58:E121" si="79">MID(C58,FIND("_",C58,1)+1,4)</f>
        <v>Mech</v>
      </c>
      <c r="F58" s="62" t="str">
        <f t="shared" ref="F58:F121" si="80">MID(C58,FIND("_",C58,1)+5,4)</f>
        <v>Racc</v>
      </c>
      <c r="G58" s="62" t="str">
        <f t="shared" ref="G58:G121" si="81">RIGHT(C58,4)</f>
        <v>Bbrd</v>
      </c>
      <c r="H58" s="62" t="str">
        <f ca="1">OFFSET('360SpcLdsCSV'!$B$5,$B58,H$51)</f>
        <v>Basement</v>
      </c>
      <c r="I58" s="62" t="str">
        <f ca="1">OFFSET('360SpcLdsCSV'!$B$5,$B58,I$51)</f>
        <v>DirectlyConditioned</v>
      </c>
      <c r="J58" s="62" t="str">
        <f ca="1">OFFSET('360SpcLdsCSV'!$B$5,$B58,J$51)</f>
        <v>Electrical/MechanicaI Room</v>
      </c>
      <c r="K58" s="62" t="str">
        <f ca="1">OFFSET('360SpcLdsCSV'!$B$5,$B58,K$51)</f>
        <v>Nonresidential</v>
      </c>
      <c r="L58" s="62" t="str">
        <f ca="1">OFFSET('360SpcLdsCSV'!$B$5,$B58,L$51)</f>
        <v>Thermal Zone: B01-003_MechRaccBbrd</v>
      </c>
      <c r="M58" s="1178">
        <f t="shared" ca="1" si="77"/>
        <v>1031.7492</v>
      </c>
      <c r="N58" s="1178">
        <f t="shared" ca="1" si="77"/>
        <v>10317.5</v>
      </c>
      <c r="O58" s="62" t="str">
        <f ca="1">OFFSET('360SpcLdsCSV'!$B$5,$B58,O$51)</f>
        <v>Electrical/MechanicaI Room</v>
      </c>
      <c r="P58" s="64">
        <f ca="1">OFFSET('360SpcLdsCSV'!$B$5,$B58,P$51)</f>
        <v>1</v>
      </c>
      <c r="Q58" s="84">
        <f t="shared" ref="Q58:Q121" ca="1" si="82">R58/$M58</f>
        <v>1.4999769323785277</v>
      </c>
      <c r="R58" s="64">
        <f ca="1">OFFSET('360SpcLdsCSV'!$B$5,$B58,R$51)*$P58</f>
        <v>1547.6</v>
      </c>
      <c r="S58" s="64">
        <f ca="1">OFFSET('360SpcLdsCSV'!$B$5,$B58,S$51)*$R58/1000</f>
        <v>13556.976000000001</v>
      </c>
      <c r="T58" s="84">
        <f t="shared" ref="T58:T121" ca="1" si="83">U58/$M58</f>
        <v>0</v>
      </c>
      <c r="U58" s="64">
        <f ca="1">OFFSET('360SpcLdsCSV'!$B$5,$B58,U$51)</f>
        <v>0</v>
      </c>
      <c r="V58" s="64">
        <f ca="1">OFFSET('360SpcLdsCSV'!$B$5,$B58,V$51)*$U58/1000</f>
        <v>0</v>
      </c>
      <c r="W58" s="84">
        <f t="shared" ref="W58:W121" ca="1" si="84">X58/$M58</f>
        <v>0.34397894372004356</v>
      </c>
      <c r="X58" s="64">
        <f ca="1">OFFSET('360SpcLdsCSV'!$B$5,$B58,X$51)*$P58</f>
        <v>354.9</v>
      </c>
      <c r="Y58" s="64">
        <f ca="1">OFFSET('360SpcLdsCSV'!$B$5,$B58,Y$51)*$X58/1000</f>
        <v>3108.924</v>
      </c>
      <c r="Z58" s="84">
        <f t="shared" ref="Z58:Z121" ca="1" si="85">AA58/$M58</f>
        <v>0.34397894372004356</v>
      </c>
      <c r="AA58" s="64">
        <f ca="1">OFFSET('360SpcLdsCSV'!$B$5,$B58,AA$51)*$P58</f>
        <v>354.9</v>
      </c>
      <c r="AB58" s="64">
        <f ca="1">OFFSET('360SpcLdsCSV'!$B$5,$B58,AB$51)*$AA58/1000</f>
        <v>3108.924</v>
      </c>
      <c r="AC58" s="65">
        <f ca="1">'Ltg IntTakeoffs'!EZ13</f>
        <v>0</v>
      </c>
      <c r="AD58" s="64">
        <f t="shared" ref="AD58:AD121" ca="1" si="86">AC58*M58</f>
        <v>0</v>
      </c>
      <c r="AE58" s="558">
        <f ca="1">'Ltg IntTakeoffs'!FA13*M58</f>
        <v>0</v>
      </c>
      <c r="AF58" s="559">
        <f ca="1">'Ltg IntTakeoffs'!FB13*M58</f>
        <v>0</v>
      </c>
      <c r="AG58" s="62"/>
      <c r="AH58" s="62"/>
      <c r="AJ58" s="50"/>
    </row>
    <row r="59" spans="1:45" ht="15" customHeight="1" x14ac:dyDescent="0.35">
      <c r="A59" s="590"/>
      <c r="B59" s="62">
        <f>MATCH(C59,'360SpcLdsCSV'!$C$6:$C$500,0)</f>
        <v>3</v>
      </c>
      <c r="C59" s="62" t="str">
        <f>'360SpcLdsCSV'!C8</f>
        <v>L01-101_MprpRaccVrfsHrv1</v>
      </c>
      <c r="D59" s="62" t="str">
        <f t="shared" si="78"/>
        <v>L01</v>
      </c>
      <c r="E59" s="62" t="str">
        <f t="shared" si="79"/>
        <v>Mprp</v>
      </c>
      <c r="F59" s="62" t="str">
        <f t="shared" si="80"/>
        <v>Racc</v>
      </c>
      <c r="G59" s="62" t="str">
        <f t="shared" si="81"/>
        <v>Hrv1</v>
      </c>
      <c r="H59" s="62" t="str">
        <f ca="1">OFFSET('360SpcLdsCSV'!$B$5,$B59,H$51)</f>
        <v>Level 1</v>
      </c>
      <c r="I59" s="62" t="str">
        <f ca="1">OFFSET('360SpcLdsCSV'!$B$5,$B59,I$51)</f>
        <v>DirectlyConditioned</v>
      </c>
      <c r="J59" s="62" t="str">
        <f ca="1">OFFSET('360SpcLdsCSV'!$B$5,$B59,J$51)</f>
        <v>Conference/Meeting/Multipurpose Room</v>
      </c>
      <c r="K59" s="62" t="str">
        <f ca="1">OFFSET('360SpcLdsCSV'!$B$5,$B59,K$51)</f>
        <v>Nonresidential</v>
      </c>
      <c r="L59" s="62" t="str">
        <f ca="1">OFFSET('360SpcLdsCSV'!$B$5,$B59,L$51)</f>
        <v>Thermal Zone: L01-101_MprpRaccVrfsHrv1</v>
      </c>
      <c r="M59" s="1178">
        <f t="shared" ca="1" si="77"/>
        <v>2056.806</v>
      </c>
      <c r="N59" s="1178">
        <f t="shared" ca="1" si="77"/>
        <v>32908.9</v>
      </c>
      <c r="O59" s="62" t="str">
        <f ca="1">OFFSET('360SpcLdsCSV'!$B$5,$B59,O$51)</f>
        <v>Conference/Meeting/Multipurpose Room</v>
      </c>
      <c r="P59" s="64">
        <f ca="1">OFFSET('360SpcLdsCSV'!$B$5,$B59,P$51)</f>
        <v>1</v>
      </c>
      <c r="Q59" s="84">
        <f t="shared" ca="1" si="82"/>
        <v>1.2999767600833525</v>
      </c>
      <c r="R59" s="64">
        <f ca="1">OFFSET('360SpcLdsCSV'!$B$5,$B59,R$51)*$P59</f>
        <v>2673.8</v>
      </c>
      <c r="S59" s="64">
        <f ca="1">OFFSET('360SpcLdsCSV'!$B$5,$B59,S$51)*$R59/1000</f>
        <v>23422.488000000001</v>
      </c>
      <c r="T59" s="84">
        <f t="shared" ca="1" si="83"/>
        <v>0</v>
      </c>
      <c r="U59" s="64">
        <f ca="1">OFFSET('360SpcLdsCSV'!$B$5,$B59,U$51)</f>
        <v>0</v>
      </c>
      <c r="V59" s="64">
        <f ca="1">OFFSET('360SpcLdsCSV'!$B$5,$B59,V$51)*$U59/1000</f>
        <v>0</v>
      </c>
      <c r="W59" s="84">
        <f t="shared" ca="1" si="84"/>
        <v>0.7760090159208014</v>
      </c>
      <c r="X59" s="64">
        <f ca="1">OFFSET('360SpcLdsCSV'!$B$5,$B59,X$51)*$P59</f>
        <v>1596.1</v>
      </c>
      <c r="Y59" s="64">
        <f ca="1">OFFSET('360SpcLdsCSV'!$B$5,$B59,Y$51)*$X59/1000</f>
        <v>13981.835999999999</v>
      </c>
      <c r="Z59" s="84">
        <f t="shared" ca="1" si="85"/>
        <v>0.7760090159208014</v>
      </c>
      <c r="AA59" s="64">
        <f ca="1">OFFSET('360SpcLdsCSV'!$B$5,$B59,AA$51)*$P59</f>
        <v>1596.1</v>
      </c>
      <c r="AB59" s="64">
        <f ca="1">OFFSET('360SpcLdsCSV'!$B$5,$B59,AB$51)*$AA59/1000</f>
        <v>13981.835999999999</v>
      </c>
      <c r="AC59" s="65">
        <f ca="1">'Ltg IntTakeoffs'!EZ14</f>
        <v>0</v>
      </c>
      <c r="AD59" s="64">
        <f t="shared" ca="1" si="86"/>
        <v>0</v>
      </c>
      <c r="AE59" s="558">
        <f ca="1">'Ltg IntTakeoffs'!FA14*M59</f>
        <v>0</v>
      </c>
      <c r="AF59" s="559">
        <f ca="1">'Ltg IntTakeoffs'!FB14*M59</f>
        <v>0</v>
      </c>
      <c r="AG59" s="62"/>
      <c r="AH59" s="62"/>
      <c r="AJ59" s="50"/>
    </row>
    <row r="60" spans="1:45" ht="15" customHeight="1" x14ac:dyDescent="0.35">
      <c r="A60" s="590"/>
      <c r="B60" s="62">
        <f>MATCH(C60,'360SpcLdsCSV'!$C$6:$C$500,0)</f>
        <v>4</v>
      </c>
      <c r="C60" s="62" t="str">
        <f>'360SpcLdsCSV'!C9</f>
        <v>L01-102_LbbyRaccVrfsHrv1</v>
      </c>
      <c r="D60" s="62" t="str">
        <f t="shared" si="78"/>
        <v>L01</v>
      </c>
      <c r="E60" s="62" t="str">
        <f t="shared" si="79"/>
        <v>Lbby</v>
      </c>
      <c r="F60" s="62" t="str">
        <f t="shared" si="80"/>
        <v>Racc</v>
      </c>
      <c r="G60" s="62" t="str">
        <f t="shared" si="81"/>
        <v>Hrv1</v>
      </c>
      <c r="H60" s="62" t="str">
        <f ca="1">OFFSET('360SpcLdsCSV'!$B$5,$B60,H$51)</f>
        <v>Level 1</v>
      </c>
      <c r="I60" s="62" t="str">
        <f ca="1">OFFSET('360SpcLdsCSV'!$B$5,$B60,I$51)</f>
        <v>DirectlyConditioned</v>
      </c>
      <c r="J60" s="62" t="str">
        <f ca="1">OFFSET('360SpcLdsCSV'!$B$5,$B60,J$51)</f>
        <v>Lobby - All other</v>
      </c>
      <c r="K60" s="62" t="str">
        <f ca="1">OFFSET('360SpcLdsCSV'!$B$5,$B60,K$51)</f>
        <v>Nonresidential</v>
      </c>
      <c r="L60" s="62" t="str">
        <f ca="1">OFFSET('360SpcLdsCSV'!$B$5,$B60,L$51)</f>
        <v>Thermal Zone: L01-102_LbbyRaccVrfsHrv1</v>
      </c>
      <c r="M60" s="1178">
        <f t="shared" ca="1" si="77"/>
        <v>1350.7968000000001</v>
      </c>
      <c r="N60" s="1178">
        <f t="shared" ca="1" si="77"/>
        <v>21612.7</v>
      </c>
      <c r="O60" s="62" t="str">
        <f ca="1">OFFSET('360SpcLdsCSV'!$B$5,$B60,O$51)</f>
        <v>Lobby - All other</v>
      </c>
      <c r="P60" s="64">
        <f ca="1">OFFSET('360SpcLdsCSV'!$B$5,$B60,P$51)</f>
        <v>1</v>
      </c>
      <c r="Q60" s="84">
        <f t="shared" ca="1" si="82"/>
        <v>1.2999734675119159</v>
      </c>
      <c r="R60" s="64">
        <f ca="1">OFFSET('360SpcLdsCSV'!$B$5,$B60,R$51)*$P60</f>
        <v>1756</v>
      </c>
      <c r="S60" s="64">
        <f ca="1">OFFSET('360SpcLdsCSV'!$B$5,$B60,S$51)*$R60/1000</f>
        <v>15382.56</v>
      </c>
      <c r="T60" s="84">
        <f t="shared" ca="1" si="83"/>
        <v>0</v>
      </c>
      <c r="U60" s="64">
        <f ca="1">OFFSET('360SpcLdsCSV'!$B$5,$B60,U$51)</f>
        <v>0</v>
      </c>
      <c r="V60" s="64">
        <f ca="1">OFFSET('360SpcLdsCSV'!$B$5,$B60,V$51)*$U60/1000</f>
        <v>0</v>
      </c>
      <c r="W60" s="84">
        <f t="shared" ca="1" si="84"/>
        <v>0.67197375652651825</v>
      </c>
      <c r="X60" s="64">
        <f ca="1">OFFSET('360SpcLdsCSV'!$B$5,$B60,X$51)*$P60</f>
        <v>907.7</v>
      </c>
      <c r="Y60" s="64">
        <f ca="1">OFFSET('360SpcLdsCSV'!$B$5,$B60,Y$51)*$X60/1000</f>
        <v>7951.4520000000002</v>
      </c>
      <c r="Z60" s="84">
        <f t="shared" ca="1" si="85"/>
        <v>0.67197375652651825</v>
      </c>
      <c r="AA60" s="64">
        <f ca="1">OFFSET('360SpcLdsCSV'!$B$5,$B60,AA$51)*$P60</f>
        <v>907.7</v>
      </c>
      <c r="AB60" s="64">
        <f ca="1">OFFSET('360SpcLdsCSV'!$B$5,$B60,AB$51)*$AA60/1000</f>
        <v>7951.4520000000002</v>
      </c>
      <c r="AC60" s="65">
        <f ca="1">'Ltg IntTakeoffs'!EZ15</f>
        <v>0</v>
      </c>
      <c r="AD60" s="64">
        <f t="shared" ca="1" si="86"/>
        <v>0</v>
      </c>
      <c r="AE60" s="558">
        <f ca="1">'Ltg IntTakeoffs'!FA15*M60</f>
        <v>0</v>
      </c>
      <c r="AF60" s="559">
        <f ca="1">'Ltg IntTakeoffs'!FB15*M60</f>
        <v>0</v>
      </c>
      <c r="AG60" s="62"/>
      <c r="AH60" s="62"/>
      <c r="AJ60" s="50"/>
    </row>
    <row r="61" spans="1:45" ht="15" customHeight="1" x14ac:dyDescent="0.35">
      <c r="A61" s="590"/>
      <c r="B61" s="62">
        <f>MATCH(C61,'360SpcLdsCSV'!$C$6:$C$500,0)</f>
        <v>5</v>
      </c>
      <c r="C61" s="62" t="str">
        <f>'360SpcLdsCSV'!C10</f>
        <v>L01-103_CorrRaccBbrdHrv1</v>
      </c>
      <c r="D61" s="62" t="str">
        <f t="shared" si="78"/>
        <v>L01</v>
      </c>
      <c r="E61" s="62" t="str">
        <f t="shared" si="79"/>
        <v>Corr</v>
      </c>
      <c r="F61" s="62" t="str">
        <f t="shared" si="80"/>
        <v>Racc</v>
      </c>
      <c r="G61" s="62" t="str">
        <f t="shared" si="81"/>
        <v>Hrv1</v>
      </c>
      <c r="H61" s="62" t="str">
        <f ca="1">OFFSET('360SpcLdsCSV'!$B$5,$B61,H$51)</f>
        <v>Level 1</v>
      </c>
      <c r="I61" s="62" t="str">
        <f ca="1">OFFSET('360SpcLdsCSV'!$B$5,$B61,I$51)</f>
        <v>DirectlyConditioned</v>
      </c>
      <c r="J61" s="62" t="str">
        <f ca="1">OFFSET('360SpcLdsCSV'!$B$5,$B61,J$51)</f>
        <v>Corridor - All other</v>
      </c>
      <c r="K61" s="62" t="str">
        <f ca="1">OFFSET('360SpcLdsCSV'!$B$5,$B61,K$51)</f>
        <v>Nonresidential</v>
      </c>
      <c r="L61" s="62" t="str">
        <f ca="1">OFFSET('360SpcLdsCSV'!$B$5,$B61,L$51)</f>
        <v>Thermal Zone: L01-103_CorrRaccBbrdHrv1</v>
      </c>
      <c r="M61" s="1178">
        <f t="shared" ca="1" si="77"/>
        <v>337.37290000000002</v>
      </c>
      <c r="N61" s="1178">
        <f t="shared" ca="1" si="77"/>
        <v>5397.97</v>
      </c>
      <c r="O61" s="62" t="str">
        <f ca="1">OFFSET('360SpcLdsCSV'!$B$5,$B61,O$51)</f>
        <v>Corridor - All other</v>
      </c>
      <c r="P61" s="64">
        <f ca="1">OFFSET('360SpcLdsCSV'!$B$5,$B61,P$51)</f>
        <v>1</v>
      </c>
      <c r="Q61" s="84">
        <f t="shared" ca="1" si="82"/>
        <v>0.50004016327333933</v>
      </c>
      <c r="R61" s="64">
        <f ca="1">OFFSET('360SpcLdsCSV'!$B$5,$B61,R$51)*$P61</f>
        <v>168.7</v>
      </c>
      <c r="S61" s="64">
        <f ca="1">OFFSET('360SpcLdsCSV'!$B$5,$B61,S$51)*$R61/1000</f>
        <v>1477.8119999999999</v>
      </c>
      <c r="T61" s="84">
        <f t="shared" ca="1" si="83"/>
        <v>0</v>
      </c>
      <c r="U61" s="64">
        <f ca="1">OFFSET('360SpcLdsCSV'!$B$5,$B61,U$51)</f>
        <v>0</v>
      </c>
      <c r="V61" s="64">
        <f ca="1">OFFSET('360SpcLdsCSV'!$B$5,$B61,V$51)*$U61/1000</f>
        <v>0</v>
      </c>
      <c r="W61" s="84">
        <f t="shared" ca="1" si="84"/>
        <v>0.32812356890550487</v>
      </c>
      <c r="X61" s="64">
        <f ca="1">OFFSET('360SpcLdsCSV'!$B$5,$B61,X$51)*$P61</f>
        <v>110.7</v>
      </c>
      <c r="Y61" s="64">
        <f ca="1">OFFSET('360SpcLdsCSV'!$B$5,$B61,Y$51)*$X61/1000</f>
        <v>969.73199999999997</v>
      </c>
      <c r="Z61" s="84">
        <f t="shared" ca="1" si="85"/>
        <v>0.32812356890550487</v>
      </c>
      <c r="AA61" s="64">
        <f ca="1">OFFSET('360SpcLdsCSV'!$B$5,$B61,AA$51)*$P61</f>
        <v>110.7</v>
      </c>
      <c r="AB61" s="64">
        <f ca="1">OFFSET('360SpcLdsCSV'!$B$5,$B61,AB$51)*$AA61/1000</f>
        <v>969.73199999999997</v>
      </c>
      <c r="AC61" s="65">
        <f ca="1">'Ltg IntTakeoffs'!EZ16</f>
        <v>0</v>
      </c>
      <c r="AD61" s="64">
        <f t="shared" ca="1" si="86"/>
        <v>0</v>
      </c>
      <c r="AE61" s="558">
        <f ca="1">'Ltg IntTakeoffs'!FA16*M61</f>
        <v>0</v>
      </c>
      <c r="AF61" s="559">
        <f ca="1">'Ltg IntTakeoffs'!FB16*M61</f>
        <v>0</v>
      </c>
      <c r="AG61" s="62"/>
      <c r="AH61" s="62"/>
      <c r="AJ61" s="50"/>
    </row>
    <row r="62" spans="1:45" ht="15" customHeight="1" x14ac:dyDescent="0.3">
      <c r="B62" s="62">
        <f>MATCH(C62,'360SpcLdsCSV'!$C$6:$C$500,0)</f>
        <v>6</v>
      </c>
      <c r="C62" s="62" t="str">
        <f>'360SpcLdsCSV'!C11</f>
        <v>L01-104_ElevRaccIncd</v>
      </c>
      <c r="D62" s="62" t="str">
        <f t="shared" si="78"/>
        <v>L01</v>
      </c>
      <c r="E62" s="62" t="str">
        <f t="shared" si="79"/>
        <v>Elev</v>
      </c>
      <c r="F62" s="62" t="str">
        <f t="shared" si="80"/>
        <v>Racc</v>
      </c>
      <c r="G62" s="62" t="str">
        <f t="shared" si="81"/>
        <v>Incd</v>
      </c>
      <c r="H62" s="62" t="str">
        <f ca="1">OFFSET('360SpcLdsCSV'!$B$5,$B62,H$51)</f>
        <v>Level 1</v>
      </c>
      <c r="I62" s="62" t="str">
        <f ca="1">OFFSET('360SpcLdsCSV'!$B$5,$B62,I$51)</f>
        <v>IndirectlyConditioned</v>
      </c>
      <c r="J62" s="62" t="str">
        <f ca="1">OFFSET('360SpcLdsCSV'!$B$5,$B62,J$51)</f>
        <v>Unoccupied-Include in Gross Floor Area</v>
      </c>
      <c r="K62" s="62" t="str">
        <f ca="1">OFFSET('360SpcLdsCSV'!$B$5,$B62,K$51)</f>
        <v>Nonresidential</v>
      </c>
      <c r="L62" s="62" t="str">
        <f ca="1">OFFSET('360SpcLdsCSV'!$B$5,$B62,L$51)</f>
        <v>Thermal Zone: L01-102_LbbyRaccVrfsHrv1</v>
      </c>
      <c r="M62" s="1178">
        <f t="shared" ca="1" si="77"/>
        <v>211.21340000000001</v>
      </c>
      <c r="N62" s="1178">
        <f t="shared" ca="1" si="77"/>
        <v>3379.41</v>
      </c>
      <c r="O62" s="62" t="str">
        <f ca="1">OFFSET('360SpcLdsCSV'!$B$5,$B62,O$51)</f>
        <v>Unoccupied-Include in Gross Floor Area</v>
      </c>
      <c r="P62" s="64">
        <f ca="1">OFFSET('360SpcLdsCSV'!$B$5,$B62,P$51)</f>
        <v>1</v>
      </c>
      <c r="Q62" s="84">
        <f t="shared" ca="1" si="82"/>
        <v>0</v>
      </c>
      <c r="R62" s="64">
        <f ca="1">OFFSET('360SpcLdsCSV'!$B$5,$B62,R$51)*$P62</f>
        <v>0</v>
      </c>
      <c r="S62" s="64">
        <f ca="1">OFFSET('360SpcLdsCSV'!$B$5,$B62,S$51)*$R62/1000</f>
        <v>0</v>
      </c>
      <c r="T62" s="84">
        <f t="shared" ca="1" si="83"/>
        <v>0</v>
      </c>
      <c r="U62" s="64">
        <f ca="1">OFFSET('360SpcLdsCSV'!$B$5,$B62,U$51)</f>
        <v>0</v>
      </c>
      <c r="V62" s="64">
        <f ca="1">OFFSET('360SpcLdsCSV'!$B$5,$B62,V$51)*$U62/1000</f>
        <v>0</v>
      </c>
      <c r="W62" s="84">
        <f t="shared" ca="1" si="84"/>
        <v>0</v>
      </c>
      <c r="X62" s="64">
        <f ca="1">OFFSET('360SpcLdsCSV'!$B$5,$B62,X$51)*$P62</f>
        <v>0</v>
      </c>
      <c r="Y62" s="64">
        <f ca="1">OFFSET('360SpcLdsCSV'!$B$5,$B62,Y$51)*$X62/1000</f>
        <v>0</v>
      </c>
      <c r="Z62" s="84">
        <f t="shared" ca="1" si="85"/>
        <v>-473.43587101954705</v>
      </c>
      <c r="AA62" s="64">
        <f ca="1">OFFSET('360SpcLdsCSV'!$B$5,$B62,AA$51)*$P62</f>
        <v>-99996</v>
      </c>
      <c r="AB62" s="64">
        <f ca="1">OFFSET('360SpcLdsCSV'!$B$5,$B62,AB$51)*$AA62/1000</f>
        <v>0</v>
      </c>
      <c r="AC62" s="65">
        <f ca="1">'Ltg IntTakeoffs'!EZ17</f>
        <v>0</v>
      </c>
      <c r="AD62" s="64">
        <f t="shared" ca="1" si="86"/>
        <v>0</v>
      </c>
      <c r="AE62" s="558">
        <f ca="1">'Ltg IntTakeoffs'!FA17*M62</f>
        <v>0</v>
      </c>
      <c r="AF62" s="559">
        <f ca="1">'Ltg IntTakeoffs'!FB17*M62</f>
        <v>0</v>
      </c>
      <c r="AG62" s="62"/>
      <c r="AH62" s="62"/>
      <c r="AJ62" s="50"/>
    </row>
    <row r="63" spans="1:45" x14ac:dyDescent="0.3">
      <c r="B63" s="62">
        <f>MATCH(C63,'360SpcLdsCSV'!$C$6:$C$500,0)</f>
        <v>7</v>
      </c>
      <c r="C63" s="62" t="str">
        <f>'360SpcLdsCSV'!C12</f>
        <v>L01-105_StrsRaccIncd</v>
      </c>
      <c r="D63" s="62" t="str">
        <f t="shared" si="78"/>
        <v>L01</v>
      </c>
      <c r="E63" s="62" t="str">
        <f t="shared" si="79"/>
        <v>Strs</v>
      </c>
      <c r="F63" s="62" t="str">
        <f t="shared" si="80"/>
        <v>Racc</v>
      </c>
      <c r="G63" s="62" t="str">
        <f t="shared" si="81"/>
        <v>Incd</v>
      </c>
      <c r="H63" s="62" t="str">
        <f ca="1">OFFSET('360SpcLdsCSV'!$B$5,$B63,H$51)</f>
        <v>Level 1</v>
      </c>
      <c r="I63" s="62" t="str">
        <f ca="1">OFFSET('360SpcLdsCSV'!$B$5,$B63,I$51)</f>
        <v>IndirectlyConditioned</v>
      </c>
      <c r="J63" s="62" t="str">
        <f ca="1">OFFSET('360SpcLdsCSV'!$B$5,$B63,J$51)</f>
        <v>Stairwell</v>
      </c>
      <c r="K63" s="62" t="str">
        <f ca="1">OFFSET('360SpcLdsCSV'!$B$5,$B63,K$51)</f>
        <v>Nonresidential</v>
      </c>
      <c r="L63" s="62" t="str">
        <f ca="1">OFFSET('360SpcLdsCSV'!$B$5,$B63,L$51)</f>
        <v>Thermal Zone: L01-102_LbbyRaccVrfsHrv1</v>
      </c>
      <c r="M63" s="1178">
        <f t="shared" ca="1" si="77"/>
        <v>183.64619999999999</v>
      </c>
      <c r="N63" s="1178">
        <f t="shared" ca="1" si="77"/>
        <v>2938.34</v>
      </c>
      <c r="O63" s="62" t="str">
        <f ca="1">OFFSET('360SpcLdsCSV'!$B$5,$B63,O$51)</f>
        <v>Stairwell</v>
      </c>
      <c r="P63" s="64">
        <f ca="1">OFFSET('360SpcLdsCSV'!$B$5,$B63,P$51)</f>
        <v>1</v>
      </c>
      <c r="Q63" s="84">
        <f t="shared" ca="1" si="82"/>
        <v>0.60006686770540318</v>
      </c>
      <c r="R63" s="64">
        <f ca="1">OFFSET('360SpcLdsCSV'!$B$5,$B63,R$51)*$P63</f>
        <v>110.2</v>
      </c>
      <c r="S63" s="64">
        <f ca="1">OFFSET('360SpcLdsCSV'!$B$5,$B63,S$51)*$R63/1000</f>
        <v>965.35199999999998</v>
      </c>
      <c r="T63" s="84">
        <f t="shared" ca="1" si="83"/>
        <v>0</v>
      </c>
      <c r="U63" s="64">
        <f ca="1">OFFSET('360SpcLdsCSV'!$B$5,$B63,U$51)</f>
        <v>0</v>
      </c>
      <c r="V63" s="64">
        <f ca="1">OFFSET('360SpcLdsCSV'!$B$5,$B63,V$51)*$U63/1000</f>
        <v>0</v>
      </c>
      <c r="W63" s="84">
        <f t="shared" ca="1" si="84"/>
        <v>0.39205820757521803</v>
      </c>
      <c r="X63" s="64">
        <f ca="1">OFFSET('360SpcLdsCSV'!$B$5,$B63,X$51)*$P63</f>
        <v>72</v>
      </c>
      <c r="Y63" s="64">
        <f ca="1">OFFSET('360SpcLdsCSV'!$B$5,$B63,Y$51)*$X63/1000</f>
        <v>630.72</v>
      </c>
      <c r="Z63" s="84">
        <f t="shared" ca="1" si="85"/>
        <v>0.39205820757521803</v>
      </c>
      <c r="AA63" s="64">
        <f ca="1">OFFSET('360SpcLdsCSV'!$B$5,$B63,AA$51)*$P63</f>
        <v>72</v>
      </c>
      <c r="AB63" s="64">
        <f ca="1">OFFSET('360SpcLdsCSV'!$B$5,$B63,AB$51)*$AA63/1000</f>
        <v>630.72</v>
      </c>
      <c r="AC63" s="65">
        <f ca="1">'Ltg IntTakeoffs'!EZ18</f>
        <v>0</v>
      </c>
      <c r="AD63" s="64">
        <f t="shared" ca="1" si="86"/>
        <v>0</v>
      </c>
      <c r="AE63" s="558">
        <f ca="1">'Ltg IntTakeoffs'!FA18*M63</f>
        <v>0</v>
      </c>
      <c r="AF63" s="559">
        <f ca="1">'Ltg IntTakeoffs'!FB18*M63</f>
        <v>0</v>
      </c>
      <c r="AG63" s="62"/>
      <c r="AH63" s="62"/>
      <c r="AJ63" s="50"/>
    </row>
    <row r="64" spans="1:45" x14ac:dyDescent="0.3">
      <c r="B64" s="62">
        <f>MATCH(C64,'360SpcLdsCSV'!$C$6:$C$500,0)</f>
        <v>8</v>
      </c>
      <c r="C64" s="62" t="str">
        <f>'360SpcLdsCSV'!C13</f>
        <v>L01-106_ComlComlSphp</v>
      </c>
      <c r="D64" s="62" t="str">
        <f t="shared" si="78"/>
        <v>L01</v>
      </c>
      <c r="E64" s="62" t="str">
        <f t="shared" si="79"/>
        <v>Coml</v>
      </c>
      <c r="F64" s="62" t="str">
        <f t="shared" si="80"/>
        <v>Coml</v>
      </c>
      <c r="G64" s="62" t="str">
        <f t="shared" si="81"/>
        <v>Sphp</v>
      </c>
      <c r="H64" s="62" t="str">
        <f ca="1">OFFSET('360SpcLdsCSV'!$B$5,$B64,H$51)</f>
        <v>Level 1</v>
      </c>
      <c r="I64" s="62" t="str">
        <f ca="1">OFFSET('360SpcLdsCSV'!$B$5,$B64,I$51)</f>
        <v>DirectlyConditioned</v>
      </c>
      <c r="J64" s="62" t="str">
        <f ca="1">OFFSET('360SpcLdsCSV'!$B$5,$B64,J$51)</f>
        <v>Office - Open plan</v>
      </c>
      <c r="K64" s="62" t="str">
        <f ca="1">OFFSET('360SpcLdsCSV'!$B$5,$B64,K$51)</f>
        <v>Nonresidential</v>
      </c>
      <c r="L64" s="62" t="str">
        <f ca="1">OFFSET('360SpcLdsCSV'!$B$5,$B64,L$51)</f>
        <v>Thermal Zone: L01-106_ComlComlSphp</v>
      </c>
      <c r="M64" s="1178">
        <f t="shared" ca="1" si="77"/>
        <v>1232.3525</v>
      </c>
      <c r="N64" s="1178">
        <f t="shared" ca="1" si="77"/>
        <v>19717.599999999999</v>
      </c>
      <c r="O64" s="62" t="str">
        <f ca="1">OFFSET('360SpcLdsCSV'!$B$5,$B64,O$51)</f>
        <v>Office - Open plan</v>
      </c>
      <c r="P64" s="64">
        <f ca="1">OFFSET('360SpcLdsCSV'!$B$5,$B64,P$51)</f>
        <v>1</v>
      </c>
      <c r="Q64" s="84">
        <f t="shared" ca="1" si="82"/>
        <v>1.1000099403376875</v>
      </c>
      <c r="R64" s="64">
        <f ca="1">OFFSET('360SpcLdsCSV'!$B$5,$B64,R$51)*$P64</f>
        <v>1355.6</v>
      </c>
      <c r="S64" s="64">
        <f ca="1">OFFSET('360SpcLdsCSV'!$B$5,$B64,S$51)*$R64/1000</f>
        <v>3054.1668</v>
      </c>
      <c r="T64" s="84">
        <f t="shared" ca="1" si="83"/>
        <v>0</v>
      </c>
      <c r="U64" s="64">
        <f ca="1">OFFSET('360SpcLdsCSV'!$B$5,$B64,U$51)</f>
        <v>0</v>
      </c>
      <c r="V64" s="64">
        <f ca="1">OFFSET('360SpcLdsCSV'!$B$5,$B64,V$51)*$U64/1000</f>
        <v>0</v>
      </c>
      <c r="W64" s="84">
        <f t="shared" ca="1" si="84"/>
        <v>1.0500242422521153</v>
      </c>
      <c r="X64" s="64">
        <f ca="1">OFFSET('360SpcLdsCSV'!$B$5,$B64,X$51)*$P64</f>
        <v>1294</v>
      </c>
      <c r="Y64" s="64">
        <f ca="1">OFFSET('360SpcLdsCSV'!$B$5,$B64,Y$51)*$X64/1000</f>
        <v>2915.3820000000001</v>
      </c>
      <c r="Z64" s="84">
        <f t="shared" ca="1" si="85"/>
        <v>1.0500242422521153</v>
      </c>
      <c r="AA64" s="64">
        <f ca="1">OFFSET('360SpcLdsCSV'!$B$5,$B64,AA$51)*$P64</f>
        <v>1294</v>
      </c>
      <c r="AB64" s="64">
        <f ca="1">OFFSET('360SpcLdsCSV'!$B$5,$B64,AB$51)*$AA64/1000</f>
        <v>2915.3820000000001</v>
      </c>
      <c r="AC64" s="65">
        <f ca="1">'Ltg IntTakeoffs'!EZ19</f>
        <v>0</v>
      </c>
      <c r="AD64" s="64">
        <f t="shared" ca="1" si="86"/>
        <v>0</v>
      </c>
      <c r="AE64" s="558">
        <f ca="1">'Ltg IntTakeoffs'!FA19*M64</f>
        <v>0</v>
      </c>
      <c r="AF64" s="559">
        <f ca="1">'Ltg IntTakeoffs'!FB19*M64</f>
        <v>0</v>
      </c>
      <c r="AG64" s="62"/>
      <c r="AH64" s="62"/>
      <c r="AJ64" s="50"/>
    </row>
    <row r="65" spans="2:37" x14ac:dyDescent="0.3">
      <c r="B65" s="62">
        <f>MATCH(C65,'360SpcLdsCSV'!$C$6:$C$500,0)</f>
        <v>9</v>
      </c>
      <c r="C65" s="62" t="str">
        <f>'360SpcLdsCSV'!C14</f>
        <v>L01-107_ComlComlSphp</v>
      </c>
      <c r="D65" s="62" t="str">
        <f t="shared" si="78"/>
        <v>L01</v>
      </c>
      <c r="E65" s="62" t="str">
        <f t="shared" si="79"/>
        <v>Coml</v>
      </c>
      <c r="F65" s="62" t="str">
        <f t="shared" si="80"/>
        <v>Coml</v>
      </c>
      <c r="G65" s="62" t="str">
        <f t="shared" si="81"/>
        <v>Sphp</v>
      </c>
      <c r="H65" s="62" t="str">
        <f ca="1">OFFSET('360SpcLdsCSV'!$B$5,$B65,H$51)</f>
        <v>Level 1</v>
      </c>
      <c r="I65" s="62" t="str">
        <f ca="1">OFFSET('360SpcLdsCSV'!$B$5,$B65,I$51)</f>
        <v>DirectlyConditioned</v>
      </c>
      <c r="J65" s="62" t="str">
        <f ca="1">OFFSET('360SpcLdsCSV'!$B$5,$B65,J$51)</f>
        <v>Office - Open plan</v>
      </c>
      <c r="K65" s="62" t="str">
        <f ca="1">OFFSET('360SpcLdsCSV'!$B$5,$B65,K$51)</f>
        <v>Nonresidential</v>
      </c>
      <c r="L65" s="62" t="str">
        <f ca="1">OFFSET('360SpcLdsCSV'!$B$5,$B65,L$51)</f>
        <v>Thermal Zone: L01-107_ComlComlSphp</v>
      </c>
      <c r="M65" s="1178">
        <f t="shared" ca="1" si="77"/>
        <v>4173.6235999999999</v>
      </c>
      <c r="N65" s="1178">
        <f t="shared" ca="1" si="77"/>
        <v>66778</v>
      </c>
      <c r="O65" s="62" t="str">
        <f ca="1">OFFSET('360SpcLdsCSV'!$B$5,$B65,O$51)</f>
        <v>Office - Open plan</v>
      </c>
      <c r="P65" s="64">
        <f ca="1">OFFSET('360SpcLdsCSV'!$B$5,$B65,P$51)</f>
        <v>1</v>
      </c>
      <c r="Q65" s="84">
        <f t="shared" ca="1" si="82"/>
        <v>1.1000033639832782</v>
      </c>
      <c r="R65" s="64">
        <f ca="1">OFFSET('360SpcLdsCSV'!$B$5,$B65,R$51)*$P65</f>
        <v>4591</v>
      </c>
      <c r="S65" s="64">
        <f ca="1">OFFSET('360SpcLdsCSV'!$B$5,$B65,S$51)*$R65/1000</f>
        <v>10343.522999999999</v>
      </c>
      <c r="T65" s="84">
        <f t="shared" ca="1" si="83"/>
        <v>0</v>
      </c>
      <c r="U65" s="64">
        <f ca="1">OFFSET('360SpcLdsCSV'!$B$5,$B65,U$51)</f>
        <v>0</v>
      </c>
      <c r="V65" s="64">
        <f ca="1">OFFSET('360SpcLdsCSV'!$B$5,$B65,V$51)*$U65/1000</f>
        <v>0</v>
      </c>
      <c r="W65" s="84">
        <f t="shared" ca="1" si="84"/>
        <v>1.0499988547122459</v>
      </c>
      <c r="X65" s="64">
        <f ca="1">OFFSET('360SpcLdsCSV'!$B$5,$B65,X$51)*$P65</f>
        <v>4382.3</v>
      </c>
      <c r="Y65" s="64">
        <f ca="1">OFFSET('360SpcLdsCSV'!$B$5,$B65,Y$51)*$X65/1000</f>
        <v>9873.3219000000008</v>
      </c>
      <c r="Z65" s="84">
        <f t="shared" ca="1" si="85"/>
        <v>1.0499988547122459</v>
      </c>
      <c r="AA65" s="64">
        <f ca="1">OFFSET('360SpcLdsCSV'!$B$5,$B65,AA$51)*$P65</f>
        <v>4382.3</v>
      </c>
      <c r="AB65" s="64">
        <f ca="1">OFFSET('360SpcLdsCSV'!$B$5,$B65,AB$51)*$AA65/1000</f>
        <v>9873.3219000000008</v>
      </c>
      <c r="AC65" s="65">
        <f ca="1">'Ltg IntTakeoffs'!EZ20</f>
        <v>0</v>
      </c>
      <c r="AD65" s="64">
        <f t="shared" ca="1" si="86"/>
        <v>0</v>
      </c>
      <c r="AE65" s="558">
        <f ca="1">'Ltg IntTakeoffs'!FA20*M65</f>
        <v>0</v>
      </c>
      <c r="AF65" s="559">
        <f ca="1">'Ltg IntTakeoffs'!FB20*M65</f>
        <v>0</v>
      </c>
      <c r="AG65" s="62"/>
      <c r="AH65" s="62"/>
      <c r="AJ65" s="50"/>
      <c r="AK65" s="50"/>
    </row>
    <row r="66" spans="2:37" ht="15" customHeight="1" x14ac:dyDescent="0.3">
      <c r="B66" s="62">
        <f>MATCH(C66,'360SpcLdsCSV'!$C$6:$C$500,0)</f>
        <v>10</v>
      </c>
      <c r="C66" s="62" t="str">
        <f>'360SpcLdsCSV'!C15</f>
        <v>L01-108_ComlComlSphp</v>
      </c>
      <c r="D66" s="62" t="str">
        <f t="shared" si="78"/>
        <v>L01</v>
      </c>
      <c r="E66" s="62" t="str">
        <f t="shared" si="79"/>
        <v>Coml</v>
      </c>
      <c r="F66" s="62" t="str">
        <f t="shared" si="80"/>
        <v>Coml</v>
      </c>
      <c r="G66" s="62" t="str">
        <f t="shared" si="81"/>
        <v>Sphp</v>
      </c>
      <c r="H66" s="62" t="str">
        <f ca="1">OFFSET('360SpcLdsCSV'!$B$5,$B66,H$51)</f>
        <v>Level 1</v>
      </c>
      <c r="I66" s="62" t="str">
        <f ca="1">OFFSET('360SpcLdsCSV'!$B$5,$B66,I$51)</f>
        <v>DirectlyConditioned</v>
      </c>
      <c r="J66" s="62" t="str">
        <f ca="1">OFFSET('360SpcLdsCSV'!$B$5,$B66,J$51)</f>
        <v>Office - Open plan</v>
      </c>
      <c r="K66" s="62" t="str">
        <f ca="1">OFFSET('360SpcLdsCSV'!$B$5,$B66,K$51)</f>
        <v>Nonresidential</v>
      </c>
      <c r="L66" s="62" t="str">
        <f ca="1">OFFSET('360SpcLdsCSV'!$B$5,$B66,L$51)</f>
        <v>Thermal Zone: L01-108_ComlComlSphp</v>
      </c>
      <c r="M66" s="1178">
        <f t="shared" ca="1" si="77"/>
        <v>2081.0798</v>
      </c>
      <c r="N66" s="1178">
        <f t="shared" ca="1" si="77"/>
        <v>33297.300000000003</v>
      </c>
      <c r="O66" s="62" t="str">
        <f ca="1">OFFSET('360SpcLdsCSV'!$B$5,$B66,O$51)</f>
        <v>Office - Open plan</v>
      </c>
      <c r="P66" s="64">
        <f ca="1">OFFSET('360SpcLdsCSV'!$B$5,$B66,P$51)</f>
        <v>1</v>
      </c>
      <c r="Q66" s="84">
        <f t="shared" ca="1" si="82"/>
        <v>1.1000058719516665</v>
      </c>
      <c r="R66" s="64">
        <f ca="1">OFFSET('360SpcLdsCSV'!$B$5,$B66,R$51)*$P66</f>
        <v>2289.1999999999998</v>
      </c>
      <c r="S66" s="64">
        <f ca="1">OFFSET('360SpcLdsCSV'!$B$5,$B66,S$51)*$R66/1000</f>
        <v>5157.5675999999994</v>
      </c>
      <c r="T66" s="84">
        <f t="shared" ca="1" si="83"/>
        <v>0</v>
      </c>
      <c r="U66" s="64">
        <f ca="1">OFFSET('360SpcLdsCSV'!$B$5,$B66,U$51)</f>
        <v>0</v>
      </c>
      <c r="V66" s="64">
        <f ca="1">OFFSET('360SpcLdsCSV'!$B$5,$B66,V$51)*$U66/1000</f>
        <v>0</v>
      </c>
      <c r="W66" s="84">
        <f t="shared" ca="1" si="84"/>
        <v>1.0499837632367581</v>
      </c>
      <c r="X66" s="64">
        <f ca="1">OFFSET('360SpcLdsCSV'!$B$5,$B66,X$51)*$P66</f>
        <v>2185.1</v>
      </c>
      <c r="Y66" s="64">
        <f ca="1">OFFSET('360SpcLdsCSV'!$B$5,$B66,Y$51)*$X66/1000</f>
        <v>4923.0302999999994</v>
      </c>
      <c r="Z66" s="84">
        <f t="shared" ca="1" si="85"/>
        <v>1.0499837632367581</v>
      </c>
      <c r="AA66" s="64">
        <f ca="1">OFFSET('360SpcLdsCSV'!$B$5,$B66,AA$51)*$P66</f>
        <v>2185.1</v>
      </c>
      <c r="AB66" s="64">
        <f ca="1">OFFSET('360SpcLdsCSV'!$B$5,$B66,AB$51)*$AA66/1000</f>
        <v>4923.0302999999994</v>
      </c>
      <c r="AC66" s="65">
        <f ca="1">'Ltg IntTakeoffs'!EZ21</f>
        <v>0</v>
      </c>
      <c r="AD66" s="64">
        <f t="shared" ca="1" si="86"/>
        <v>0</v>
      </c>
      <c r="AE66" s="558">
        <f ca="1">'Ltg IntTakeoffs'!FA21*M66</f>
        <v>0</v>
      </c>
      <c r="AF66" s="559">
        <f ca="1">'Ltg IntTakeoffs'!FB21*M66</f>
        <v>0</v>
      </c>
      <c r="AG66" s="62"/>
      <c r="AH66" s="62"/>
      <c r="AJ66" s="50"/>
      <c r="AK66" s="50"/>
    </row>
    <row r="67" spans="2:37" ht="15" customHeight="1" x14ac:dyDescent="0.3">
      <c r="B67" s="62">
        <f>MATCH(C67,'360SpcLdsCSV'!$C$6:$C$500,0)</f>
        <v>11</v>
      </c>
      <c r="C67" s="62" t="str">
        <f>'360SpcLdsCSV'!C16</f>
        <v>L01-109_MechRaccBbrd</v>
      </c>
      <c r="D67" s="62" t="str">
        <f t="shared" si="78"/>
        <v>L01</v>
      </c>
      <c r="E67" s="62" t="str">
        <f t="shared" si="79"/>
        <v>Mech</v>
      </c>
      <c r="F67" s="62" t="str">
        <f t="shared" si="80"/>
        <v>Racc</v>
      </c>
      <c r="G67" s="62" t="str">
        <f t="shared" si="81"/>
        <v>Bbrd</v>
      </c>
      <c r="H67" s="62" t="str">
        <f ca="1">OFFSET('360SpcLdsCSV'!$B$5,$B67,H$51)</f>
        <v>Level 1</v>
      </c>
      <c r="I67" s="62" t="str">
        <f ca="1">OFFSET('360SpcLdsCSV'!$B$5,$B67,I$51)</f>
        <v>DirectlyConditioned</v>
      </c>
      <c r="J67" s="62" t="str">
        <f ca="1">OFFSET('360SpcLdsCSV'!$B$5,$B67,J$51)</f>
        <v>Electrical/MechanicaI Room</v>
      </c>
      <c r="K67" s="62" t="str">
        <f ca="1">OFFSET('360SpcLdsCSV'!$B$5,$B67,K$51)</f>
        <v>Nonresidential</v>
      </c>
      <c r="L67" s="62" t="str">
        <f ca="1">OFFSET('360SpcLdsCSV'!$B$5,$B67,L$51)</f>
        <v>Thermal Zone: L01-109_MechRaccBbrd</v>
      </c>
      <c r="M67" s="1178">
        <f t="shared" ca="1" si="77"/>
        <v>262.20839999999998</v>
      </c>
      <c r="N67" s="1178">
        <f t="shared" ca="1" si="77"/>
        <v>4195.33</v>
      </c>
      <c r="O67" s="62" t="str">
        <f ca="1">OFFSET('360SpcLdsCSV'!$B$5,$B67,O$51)</f>
        <v>Electrical/MechanicaI Room</v>
      </c>
      <c r="P67" s="64">
        <f ca="1">OFFSET('360SpcLdsCSV'!$B$5,$B67,P$51)</f>
        <v>1</v>
      </c>
      <c r="Q67" s="84">
        <f t="shared" ca="1" si="82"/>
        <v>1.4999519466195592</v>
      </c>
      <c r="R67" s="64">
        <f ca="1">OFFSET('360SpcLdsCSV'!$B$5,$B67,R$51)*$P67</f>
        <v>393.3</v>
      </c>
      <c r="S67" s="64">
        <f ca="1">OFFSET('360SpcLdsCSV'!$B$5,$B67,S$51)*$R67/1000</f>
        <v>3445.308</v>
      </c>
      <c r="T67" s="84">
        <f t="shared" ca="1" si="83"/>
        <v>0</v>
      </c>
      <c r="U67" s="64">
        <f ca="1">OFFSET('360SpcLdsCSV'!$B$5,$B67,U$51)</f>
        <v>0</v>
      </c>
      <c r="V67" s="64">
        <f ca="1">OFFSET('360SpcLdsCSV'!$B$5,$B67,V$51)*$U67/1000</f>
        <v>0</v>
      </c>
      <c r="W67" s="84">
        <f t="shared" ca="1" si="84"/>
        <v>0.34400118379121342</v>
      </c>
      <c r="X67" s="64">
        <f ca="1">OFFSET('360SpcLdsCSV'!$B$5,$B67,X$51)*$P67</f>
        <v>90.2</v>
      </c>
      <c r="Y67" s="64">
        <f ca="1">OFFSET('360SpcLdsCSV'!$B$5,$B67,Y$51)*$X67/1000</f>
        <v>790.15200000000004</v>
      </c>
      <c r="Z67" s="84">
        <f t="shared" ca="1" si="85"/>
        <v>0.34400118379121342</v>
      </c>
      <c r="AA67" s="64">
        <f ca="1">OFFSET('360SpcLdsCSV'!$B$5,$B67,AA$51)*$P67</f>
        <v>90.2</v>
      </c>
      <c r="AB67" s="64">
        <f ca="1">OFFSET('360SpcLdsCSV'!$B$5,$B67,AB$51)*$AA67/1000</f>
        <v>790.15200000000004</v>
      </c>
      <c r="AC67" s="65">
        <f ca="1">'Ltg IntTakeoffs'!EZ22</f>
        <v>0</v>
      </c>
      <c r="AD67" s="64">
        <f t="shared" ca="1" si="86"/>
        <v>0</v>
      </c>
      <c r="AE67" s="558">
        <f ca="1">'Ltg IntTakeoffs'!FA22*M67</f>
        <v>0</v>
      </c>
      <c r="AF67" s="559">
        <f ca="1">'Ltg IntTakeoffs'!FB22*M67</f>
        <v>0</v>
      </c>
      <c r="AG67" s="62"/>
      <c r="AH67" s="62"/>
      <c r="AJ67" s="50"/>
    </row>
    <row r="68" spans="2:37" x14ac:dyDescent="0.3">
      <c r="B68" s="62">
        <f>MATCH(C68,'360SpcLdsCSV'!$C$6:$C$500,0)</f>
        <v>12</v>
      </c>
      <c r="C68" s="62" t="str">
        <f>'360SpcLdsCSV'!C17</f>
        <v>L01-110_StrsRaccIncd</v>
      </c>
      <c r="D68" s="62" t="str">
        <f t="shared" si="78"/>
        <v>L01</v>
      </c>
      <c r="E68" s="62" t="str">
        <f t="shared" si="79"/>
        <v>Strs</v>
      </c>
      <c r="F68" s="62" t="str">
        <f t="shared" si="80"/>
        <v>Racc</v>
      </c>
      <c r="G68" s="62" t="str">
        <f t="shared" si="81"/>
        <v>Incd</v>
      </c>
      <c r="H68" s="62" t="str">
        <f ca="1">OFFSET('360SpcLdsCSV'!$B$5,$B68,H$51)</f>
        <v>Level 1</v>
      </c>
      <c r="I68" s="62" t="str">
        <f ca="1">OFFSET('360SpcLdsCSV'!$B$5,$B68,I$51)</f>
        <v>IndirectlyConditioned</v>
      </c>
      <c r="J68" s="62" t="str">
        <f ca="1">OFFSET('360SpcLdsCSV'!$B$5,$B68,J$51)</f>
        <v>Stairwell</v>
      </c>
      <c r="K68" s="62" t="str">
        <f ca="1">OFFSET('360SpcLdsCSV'!$B$5,$B68,K$51)</f>
        <v>Nonresidential</v>
      </c>
      <c r="L68" s="62" t="str">
        <f ca="1">OFFSET('360SpcLdsCSV'!$B$5,$B68,L$51)</f>
        <v>Thermal Zone: L01-114_CorrRaccBbrdHrv2</v>
      </c>
      <c r="M68" s="1178">
        <f t="shared" ca="1" si="77"/>
        <v>225.3484</v>
      </c>
      <c r="N68" s="1178">
        <f t="shared" ca="1" si="77"/>
        <v>3605.57</v>
      </c>
      <c r="O68" s="62" t="str">
        <f ca="1">OFFSET('360SpcLdsCSV'!$B$5,$B68,O$51)</f>
        <v>Stairwell</v>
      </c>
      <c r="P68" s="64">
        <f ca="1">OFFSET('360SpcLdsCSV'!$B$5,$B68,P$51)</f>
        <v>1</v>
      </c>
      <c r="Q68" s="84">
        <f t="shared" ca="1" si="82"/>
        <v>0.59995988433909442</v>
      </c>
      <c r="R68" s="64">
        <f ca="1">OFFSET('360SpcLdsCSV'!$B$5,$B68,R$51)*$P68</f>
        <v>135.19999999999999</v>
      </c>
      <c r="S68" s="64">
        <f ca="1">OFFSET('360SpcLdsCSV'!$B$5,$B68,S$51)*$R68/1000</f>
        <v>1184.3520000000001</v>
      </c>
      <c r="T68" s="84">
        <f t="shared" ca="1" si="83"/>
        <v>0</v>
      </c>
      <c r="U68" s="64">
        <f ca="1">OFFSET('360SpcLdsCSV'!$B$5,$B68,U$51)</f>
        <v>0</v>
      </c>
      <c r="V68" s="64">
        <f ca="1">OFFSET('360SpcLdsCSV'!$B$5,$B68,V$51)*$U68/1000</f>
        <v>0</v>
      </c>
      <c r="W68" s="84">
        <f t="shared" ca="1" si="84"/>
        <v>0.39183770552619851</v>
      </c>
      <c r="X68" s="64">
        <f ca="1">OFFSET('360SpcLdsCSV'!$B$5,$B68,X$51)*$P68</f>
        <v>88.3</v>
      </c>
      <c r="Y68" s="64">
        <f ca="1">OFFSET('360SpcLdsCSV'!$B$5,$B68,Y$51)*$X68/1000</f>
        <v>773.50800000000004</v>
      </c>
      <c r="Z68" s="84">
        <f t="shared" ca="1" si="85"/>
        <v>0.39183770552619851</v>
      </c>
      <c r="AA68" s="64">
        <f ca="1">OFFSET('360SpcLdsCSV'!$B$5,$B68,AA$51)*$P68</f>
        <v>88.3</v>
      </c>
      <c r="AB68" s="64">
        <f ca="1">OFFSET('360SpcLdsCSV'!$B$5,$B68,AB$51)*$AA68/1000</f>
        <v>773.50800000000004</v>
      </c>
      <c r="AC68" s="65">
        <f ca="1">'Ltg IntTakeoffs'!EZ23</f>
        <v>0</v>
      </c>
      <c r="AD68" s="64">
        <f t="shared" ca="1" si="86"/>
        <v>0</v>
      </c>
      <c r="AE68" s="558">
        <f ca="1">'Ltg IntTakeoffs'!FA23*M68</f>
        <v>0</v>
      </c>
      <c r="AF68" s="559">
        <f ca="1">'Ltg IntTakeoffs'!FB23*M68</f>
        <v>0</v>
      </c>
      <c r="AG68" s="62"/>
      <c r="AH68" s="62"/>
      <c r="AJ68" s="50"/>
    </row>
    <row r="69" spans="2:37" x14ac:dyDescent="0.3">
      <c r="B69" s="62">
        <f>MATCH(C69,'360SpcLdsCSV'!$C$6:$C$500,0)</f>
        <v>13</v>
      </c>
      <c r="C69" s="62" t="str">
        <f>'360SpcLdsCSV'!C18</f>
        <v>L01-111_ElevRaccIncd</v>
      </c>
      <c r="D69" s="62" t="str">
        <f t="shared" si="78"/>
        <v>L01</v>
      </c>
      <c r="E69" s="62" t="str">
        <f t="shared" si="79"/>
        <v>Elev</v>
      </c>
      <c r="F69" s="62" t="str">
        <f t="shared" si="80"/>
        <v>Racc</v>
      </c>
      <c r="G69" s="62" t="str">
        <f t="shared" si="81"/>
        <v>Incd</v>
      </c>
      <c r="H69" s="62" t="str">
        <f ca="1">OFFSET('360SpcLdsCSV'!$B$5,$B69,H$51)</f>
        <v>Level 1</v>
      </c>
      <c r="I69" s="62" t="str">
        <f ca="1">OFFSET('360SpcLdsCSV'!$B$5,$B69,I$51)</f>
        <v>IndirectlyConditioned</v>
      </c>
      <c r="J69" s="62" t="str">
        <f ca="1">OFFSET('360SpcLdsCSV'!$B$5,$B69,J$51)</f>
        <v>Unoccupied-Include in Gross Floor Area</v>
      </c>
      <c r="K69" s="62" t="str">
        <f ca="1">OFFSET('360SpcLdsCSV'!$B$5,$B69,K$51)</f>
        <v>Nonresidential</v>
      </c>
      <c r="L69" s="62" t="str">
        <f ca="1">OFFSET('360SpcLdsCSV'!$B$5,$B69,L$51)</f>
        <v>Thermal Zone: L01-114_CorrRaccBbrdHrv2</v>
      </c>
      <c r="M69" s="1178">
        <f t="shared" ca="1" si="77"/>
        <v>149.10720000000001</v>
      </c>
      <c r="N69" s="1178">
        <f t="shared" ca="1" si="77"/>
        <v>2385.7199999999998</v>
      </c>
      <c r="O69" s="62" t="str">
        <f ca="1">OFFSET('360SpcLdsCSV'!$B$5,$B69,O$51)</f>
        <v>Unoccupied-Include in Gross Floor Area</v>
      </c>
      <c r="P69" s="64">
        <f ca="1">OFFSET('360SpcLdsCSV'!$B$5,$B69,P$51)</f>
        <v>1</v>
      </c>
      <c r="Q69" s="84">
        <f t="shared" ca="1" si="82"/>
        <v>0</v>
      </c>
      <c r="R69" s="64">
        <f ca="1">OFFSET('360SpcLdsCSV'!$B$5,$B69,R$51)*$P69</f>
        <v>0</v>
      </c>
      <c r="S69" s="64">
        <f ca="1">OFFSET('360SpcLdsCSV'!$B$5,$B69,S$51)*$R69/1000</f>
        <v>0</v>
      </c>
      <c r="T69" s="84">
        <f t="shared" ca="1" si="83"/>
        <v>0</v>
      </c>
      <c r="U69" s="64">
        <f ca="1">OFFSET('360SpcLdsCSV'!$B$5,$B69,U$51)</f>
        <v>0</v>
      </c>
      <c r="V69" s="64">
        <f ca="1">OFFSET('360SpcLdsCSV'!$B$5,$B69,V$51)*$U69/1000</f>
        <v>0</v>
      </c>
      <c r="W69" s="84">
        <f t="shared" ca="1" si="84"/>
        <v>0</v>
      </c>
      <c r="X69" s="64">
        <f ca="1">OFFSET('360SpcLdsCSV'!$B$5,$B69,X$51)*$P69</f>
        <v>0</v>
      </c>
      <c r="Y69" s="64">
        <f ca="1">OFFSET('360SpcLdsCSV'!$B$5,$B69,Y$51)*$X69/1000</f>
        <v>0</v>
      </c>
      <c r="Z69" s="84">
        <f t="shared" ca="1" si="85"/>
        <v>-670.63159927890808</v>
      </c>
      <c r="AA69" s="64">
        <f ca="1">OFFSET('360SpcLdsCSV'!$B$5,$B69,AA$51)*$P69</f>
        <v>-99996</v>
      </c>
      <c r="AB69" s="64">
        <f ca="1">OFFSET('360SpcLdsCSV'!$B$5,$B69,AB$51)*$AA69/1000</f>
        <v>0</v>
      </c>
      <c r="AC69" s="65">
        <f ca="1">'Ltg IntTakeoffs'!EZ24</f>
        <v>0</v>
      </c>
      <c r="AD69" s="64">
        <f t="shared" ca="1" si="86"/>
        <v>0</v>
      </c>
      <c r="AE69" s="558">
        <f ca="1">'Ltg IntTakeoffs'!FA24*M69</f>
        <v>0</v>
      </c>
      <c r="AF69" s="559">
        <f ca="1">'Ltg IntTakeoffs'!FB24*M69</f>
        <v>0</v>
      </c>
      <c r="AG69" s="62"/>
      <c r="AH69" s="62"/>
      <c r="AJ69" s="50"/>
    </row>
    <row r="70" spans="2:37" x14ac:dyDescent="0.3">
      <c r="B70" s="62">
        <f>MATCH(C70,'360SpcLdsCSV'!$C$6:$C$500,0)</f>
        <v>14</v>
      </c>
      <c r="C70" s="62" t="str">
        <f>'360SpcLdsCSV'!C19</f>
        <v>L01-112_AstoRaccBbrd</v>
      </c>
      <c r="D70" s="62" t="str">
        <f t="shared" si="78"/>
        <v>L01</v>
      </c>
      <c r="E70" s="62" t="str">
        <f t="shared" si="79"/>
        <v>Asto</v>
      </c>
      <c r="F70" s="62" t="str">
        <f t="shared" si="80"/>
        <v>Racc</v>
      </c>
      <c r="G70" s="62" t="str">
        <f t="shared" si="81"/>
        <v>Bbrd</v>
      </c>
      <c r="H70" s="62" t="str">
        <f ca="1">OFFSET('360SpcLdsCSV'!$B$5,$B70,H$51)</f>
        <v>Level 1</v>
      </c>
      <c r="I70" s="62" t="str">
        <f ca="1">OFFSET('360SpcLdsCSV'!$B$5,$B70,I$51)</f>
        <v>DirectlyConditioned</v>
      </c>
      <c r="J70" s="62" t="str">
        <f ca="1">OFFSET('360SpcLdsCSV'!$B$5,$B70,J$51)</f>
        <v>Storage Room - &lt;50 ft2</v>
      </c>
      <c r="K70" s="62" t="str">
        <f ca="1">OFFSET('360SpcLdsCSV'!$B$5,$B70,K$51)</f>
        <v>Nonresidential</v>
      </c>
      <c r="L70" s="62" t="str">
        <f ca="1">OFFSET('360SpcLdsCSV'!$B$5,$B70,L$51)</f>
        <v>Thermal Zone: L01-112_AstoRaccBbrd</v>
      </c>
      <c r="M70" s="1178">
        <f t="shared" ca="1" si="77"/>
        <v>657.36040000000003</v>
      </c>
      <c r="N70" s="1178">
        <f t="shared" ca="1" si="77"/>
        <v>10517.8</v>
      </c>
      <c r="O70" s="62" t="str">
        <f ca="1">OFFSET('360SpcLdsCSV'!$B$5,$B70,O$51)</f>
        <v>Storage Room - &lt;50 ft2</v>
      </c>
      <c r="P70" s="64">
        <f ca="1">OFFSET('360SpcLdsCSV'!$B$5,$B70,P$51)</f>
        <v>1</v>
      </c>
      <c r="Q70" s="84">
        <f t="shared" ca="1" si="82"/>
        <v>0.80001776803105262</v>
      </c>
      <c r="R70" s="64">
        <f ca="1">OFFSET('360SpcLdsCSV'!$B$5,$B70,R$51)*$P70</f>
        <v>525.9</v>
      </c>
      <c r="S70" s="64">
        <f ca="1">OFFSET('360SpcLdsCSV'!$B$5,$B70,S$51)*$R70/1000</f>
        <v>4606.884</v>
      </c>
      <c r="T70" s="84">
        <f t="shared" ca="1" si="83"/>
        <v>0</v>
      </c>
      <c r="U70" s="64">
        <f ca="1">OFFSET('360SpcLdsCSV'!$B$5,$B70,U$51)</f>
        <v>0</v>
      </c>
      <c r="V70" s="64">
        <f ca="1">OFFSET('360SpcLdsCSV'!$B$5,$B70,V$51)*$U70/1000</f>
        <v>0</v>
      </c>
      <c r="W70" s="84">
        <f t="shared" ca="1" si="84"/>
        <v>0.30394285995931608</v>
      </c>
      <c r="X70" s="64">
        <f ca="1">OFFSET('360SpcLdsCSV'!$B$5,$B70,X$51)*$P70</f>
        <v>199.8</v>
      </c>
      <c r="Y70" s="64">
        <f ca="1">OFFSET('360SpcLdsCSV'!$B$5,$B70,Y$51)*$X70/1000</f>
        <v>1750.248</v>
      </c>
      <c r="Z70" s="84">
        <f t="shared" ca="1" si="85"/>
        <v>0.30394285995931608</v>
      </c>
      <c r="AA70" s="64">
        <f ca="1">OFFSET('360SpcLdsCSV'!$B$5,$B70,AA$51)*$P70</f>
        <v>199.8</v>
      </c>
      <c r="AB70" s="64">
        <f ca="1">OFFSET('360SpcLdsCSV'!$B$5,$B70,AB$51)*$AA70/1000</f>
        <v>1750.248</v>
      </c>
      <c r="AC70" s="65">
        <f ca="1">'Ltg IntTakeoffs'!EZ25</f>
        <v>0</v>
      </c>
      <c r="AD70" s="64">
        <f t="shared" ca="1" si="86"/>
        <v>0</v>
      </c>
      <c r="AE70" s="558">
        <f ca="1">'Ltg IntTakeoffs'!FA25*M70</f>
        <v>0</v>
      </c>
      <c r="AF70" s="559">
        <f ca="1">'Ltg IntTakeoffs'!FB25*M70</f>
        <v>0</v>
      </c>
      <c r="AG70" s="62"/>
      <c r="AH70" s="62"/>
      <c r="AJ70" s="50"/>
    </row>
    <row r="71" spans="2:37" x14ac:dyDescent="0.3">
      <c r="B71" s="62">
        <f>MATCH(C71,'360SpcLdsCSV'!$C$6:$C$500,0)</f>
        <v>15</v>
      </c>
      <c r="C71" s="62" t="str">
        <f>'360SpcLdsCSV'!C20</f>
        <v>L01-113_MechRaccBbrd</v>
      </c>
      <c r="D71" s="62" t="str">
        <f t="shared" si="78"/>
        <v>L01</v>
      </c>
      <c r="E71" s="62" t="str">
        <f t="shared" si="79"/>
        <v>Mech</v>
      </c>
      <c r="F71" s="62" t="str">
        <f t="shared" si="80"/>
        <v>Racc</v>
      </c>
      <c r="G71" s="62" t="str">
        <f t="shared" si="81"/>
        <v>Bbrd</v>
      </c>
      <c r="H71" s="62" t="str">
        <f ca="1">OFFSET('360SpcLdsCSV'!$B$5,$B71,H$51)</f>
        <v>Level 1</v>
      </c>
      <c r="I71" s="62" t="str">
        <f ca="1">OFFSET('360SpcLdsCSV'!$B$5,$B71,I$51)</f>
        <v>DirectlyConditioned</v>
      </c>
      <c r="J71" s="62" t="str">
        <f ca="1">OFFSET('360SpcLdsCSV'!$B$5,$B71,J$51)</f>
        <v>Electrical/MechanicaI Room</v>
      </c>
      <c r="K71" s="62" t="str">
        <f ca="1">OFFSET('360SpcLdsCSV'!$B$5,$B71,K$51)</f>
        <v>Nonresidential</v>
      </c>
      <c r="L71" s="62" t="str">
        <f ca="1">OFFSET('360SpcLdsCSV'!$B$5,$B71,L$51)</f>
        <v>Thermal Zone: L01-113_MechRaccBbrd</v>
      </c>
      <c r="M71" s="1178">
        <f t="shared" ca="1" si="77"/>
        <v>1337.0291</v>
      </c>
      <c r="N71" s="1178">
        <f t="shared" ca="1" si="77"/>
        <v>21392.5</v>
      </c>
      <c r="O71" s="62" t="str">
        <f ca="1">OFFSET('360SpcLdsCSV'!$B$5,$B71,O$51)</f>
        <v>Electrical/MechanicaI Room</v>
      </c>
      <c r="P71" s="64">
        <f ca="1">OFFSET('360SpcLdsCSV'!$B$5,$B71,P$51)</f>
        <v>1</v>
      </c>
      <c r="Q71" s="84">
        <f t="shared" ca="1" si="82"/>
        <v>1.4999673529917936</v>
      </c>
      <c r="R71" s="64">
        <f ca="1">OFFSET('360SpcLdsCSV'!$B$5,$B71,R$51)*$P71</f>
        <v>2005.5</v>
      </c>
      <c r="S71" s="64">
        <f ca="1">OFFSET('360SpcLdsCSV'!$B$5,$B71,S$51)*$R71/1000</f>
        <v>17568.18</v>
      </c>
      <c r="T71" s="84">
        <f t="shared" ca="1" si="83"/>
        <v>0</v>
      </c>
      <c r="U71" s="64">
        <f ca="1">OFFSET('360SpcLdsCSV'!$B$5,$B71,U$51)</f>
        <v>0</v>
      </c>
      <c r="V71" s="64">
        <f ca="1">OFFSET('360SpcLdsCSV'!$B$5,$B71,V$51)*$U71/1000</f>
        <v>0</v>
      </c>
      <c r="W71" s="84">
        <f t="shared" ca="1" si="84"/>
        <v>0.34397157100021231</v>
      </c>
      <c r="X71" s="64">
        <f ca="1">OFFSET('360SpcLdsCSV'!$B$5,$B71,X$51)*$P71</f>
        <v>459.9</v>
      </c>
      <c r="Y71" s="64">
        <f ca="1">OFFSET('360SpcLdsCSV'!$B$5,$B71,Y$51)*$X71/1000</f>
        <v>4028.7240000000002</v>
      </c>
      <c r="Z71" s="84">
        <f t="shared" ca="1" si="85"/>
        <v>0.34397157100021231</v>
      </c>
      <c r="AA71" s="64">
        <f ca="1">OFFSET('360SpcLdsCSV'!$B$5,$B71,AA$51)*$P71</f>
        <v>459.9</v>
      </c>
      <c r="AB71" s="64">
        <f ca="1">OFFSET('360SpcLdsCSV'!$B$5,$B71,AB$51)*$AA71/1000</f>
        <v>4028.7240000000002</v>
      </c>
      <c r="AC71" s="65">
        <f ca="1">'Ltg IntTakeoffs'!EZ26</f>
        <v>0</v>
      </c>
      <c r="AD71" s="64">
        <f t="shared" ca="1" si="86"/>
        <v>0</v>
      </c>
      <c r="AE71" s="558">
        <f ca="1">'Ltg IntTakeoffs'!FA26*M71</f>
        <v>0</v>
      </c>
      <c r="AF71" s="559">
        <f ca="1">'Ltg IntTakeoffs'!FB26*M71</f>
        <v>0</v>
      </c>
      <c r="AG71" s="62"/>
      <c r="AH71" s="62"/>
      <c r="AJ71" s="50"/>
      <c r="AK71" s="50"/>
    </row>
    <row r="72" spans="2:37" x14ac:dyDescent="0.3">
      <c r="B72" s="62">
        <f>MATCH(C72,'360SpcLdsCSV'!$C$6:$C$500,0)</f>
        <v>16</v>
      </c>
      <c r="C72" s="62" t="str">
        <f>'360SpcLdsCSV'!C21</f>
        <v>L01-114_CorrRaccBbrdHrv2</v>
      </c>
      <c r="D72" s="62" t="str">
        <f t="shared" si="78"/>
        <v>L01</v>
      </c>
      <c r="E72" s="62" t="str">
        <f t="shared" si="79"/>
        <v>Corr</v>
      </c>
      <c r="F72" s="62" t="str">
        <f t="shared" si="80"/>
        <v>Racc</v>
      </c>
      <c r="G72" s="62" t="str">
        <f t="shared" si="81"/>
        <v>Hrv2</v>
      </c>
      <c r="H72" s="62" t="str">
        <f ca="1">OFFSET('360SpcLdsCSV'!$B$5,$B72,H$51)</f>
        <v>Level 1</v>
      </c>
      <c r="I72" s="62" t="str">
        <f ca="1">OFFSET('360SpcLdsCSV'!$B$5,$B72,I$51)</f>
        <v>DirectlyConditioned</v>
      </c>
      <c r="J72" s="62" t="str">
        <f ca="1">OFFSET('360SpcLdsCSV'!$B$5,$B72,J$51)</f>
        <v>Corridor - All other</v>
      </c>
      <c r="K72" s="62" t="str">
        <f ca="1">OFFSET('360SpcLdsCSV'!$B$5,$B72,K$51)</f>
        <v>Nonresidential</v>
      </c>
      <c r="L72" s="62" t="str">
        <f ca="1">OFFSET('360SpcLdsCSV'!$B$5,$B72,L$51)</f>
        <v>Thermal Zone: L01-114_CorrRaccBbrdHrv2</v>
      </c>
      <c r="M72" s="1178">
        <f t="shared" ca="1" si="77"/>
        <v>538.16390000000001</v>
      </c>
      <c r="N72" s="1178">
        <f t="shared" ca="1" si="77"/>
        <v>8610.6200000000008</v>
      </c>
      <c r="O72" s="62" t="str">
        <f ca="1">OFFSET('360SpcLdsCSV'!$B$5,$B72,O$51)</f>
        <v>Corridor - All other</v>
      </c>
      <c r="P72" s="64">
        <f ca="1">OFFSET('360SpcLdsCSV'!$B$5,$B72,P$51)</f>
        <v>1</v>
      </c>
      <c r="Q72" s="84">
        <f t="shared" ca="1" si="82"/>
        <v>0.50003353996802835</v>
      </c>
      <c r="R72" s="64">
        <f ca="1">OFFSET('360SpcLdsCSV'!$B$5,$B72,R$51)*$P72</f>
        <v>269.10000000000002</v>
      </c>
      <c r="S72" s="64">
        <f ca="1">OFFSET('360SpcLdsCSV'!$B$5,$B72,S$51)*$R72/1000</f>
        <v>2357.3159999999998</v>
      </c>
      <c r="T72" s="84">
        <f t="shared" ca="1" si="83"/>
        <v>0</v>
      </c>
      <c r="U72" s="64">
        <f ca="1">OFFSET('360SpcLdsCSV'!$B$5,$B72,U$51)</f>
        <v>0</v>
      </c>
      <c r="V72" s="64">
        <f ca="1">OFFSET('360SpcLdsCSV'!$B$5,$B72,V$51)*$U72/1000</f>
        <v>0</v>
      </c>
      <c r="W72" s="84">
        <f t="shared" ca="1" si="84"/>
        <v>0.32796700038780008</v>
      </c>
      <c r="X72" s="64">
        <f ca="1">OFFSET('360SpcLdsCSV'!$B$5,$B72,X$51)*$P72</f>
        <v>176.5</v>
      </c>
      <c r="Y72" s="64">
        <f ca="1">OFFSET('360SpcLdsCSV'!$B$5,$B72,Y$51)*$X72/1000</f>
        <v>1546.14</v>
      </c>
      <c r="Z72" s="84">
        <f t="shared" ca="1" si="85"/>
        <v>0.32796700038780008</v>
      </c>
      <c r="AA72" s="64">
        <f ca="1">OFFSET('360SpcLdsCSV'!$B$5,$B72,AA$51)*$P72</f>
        <v>176.5</v>
      </c>
      <c r="AB72" s="64">
        <f ca="1">OFFSET('360SpcLdsCSV'!$B$5,$B72,AB$51)*$AA72/1000</f>
        <v>1546.14</v>
      </c>
      <c r="AC72" s="65">
        <f ca="1">'Ltg IntTakeoffs'!EZ27</f>
        <v>0</v>
      </c>
      <c r="AD72" s="64">
        <f t="shared" ca="1" si="86"/>
        <v>0</v>
      </c>
      <c r="AE72" s="558">
        <f ca="1">'Ltg IntTakeoffs'!FA27*M72</f>
        <v>0</v>
      </c>
      <c r="AF72" s="559">
        <f ca="1">'Ltg IntTakeoffs'!FB27*M72</f>
        <v>0</v>
      </c>
      <c r="AG72" s="62"/>
      <c r="AH72" s="62"/>
      <c r="AJ72" s="50"/>
      <c r="AK72" s="50"/>
    </row>
    <row r="73" spans="2:37" ht="15" customHeight="1" x14ac:dyDescent="0.3">
      <c r="B73" s="62">
        <f>MATCH(C73,'360SpcLdsCSV'!$C$6:$C$500,0)</f>
        <v>17</v>
      </c>
      <c r="C73" s="62" t="str">
        <f>'360SpcLdsCSV'!C22</f>
        <v>L01-115_TrxfUncd</v>
      </c>
      <c r="D73" s="62" t="str">
        <f t="shared" si="78"/>
        <v>L01</v>
      </c>
      <c r="E73" s="62" t="str">
        <f t="shared" si="79"/>
        <v>Trxf</v>
      </c>
      <c r="F73" s="62" t="str">
        <f t="shared" si="80"/>
        <v>Uncd</v>
      </c>
      <c r="G73" s="62" t="str">
        <f t="shared" si="81"/>
        <v>Uncd</v>
      </c>
      <c r="H73" s="62" t="str">
        <f ca="1">OFFSET('360SpcLdsCSV'!$B$5,$B73,H$51)</f>
        <v>Level 1</v>
      </c>
      <c r="I73" s="62" t="str">
        <f ca="1">OFFSET('360SpcLdsCSV'!$B$5,$B73,I$51)</f>
        <v>Unconditioned</v>
      </c>
      <c r="J73" s="62" t="str">
        <f ca="1">OFFSET('360SpcLdsCSV'!$B$5,$B73,J$51)</f>
        <v>Unoccupied-Exclude from Gross Floor Area</v>
      </c>
      <c r="K73" s="62" t="str">
        <f ca="1">OFFSET('360SpcLdsCSV'!$B$5,$B73,K$51)</f>
        <v>Nonresidential</v>
      </c>
      <c r="L73" s="62" t="str">
        <f ca="1">OFFSET('360SpcLdsCSV'!$B$5,$B73,L$51)</f>
        <v>Thermal Zone: L01-115_TrxfUncd</v>
      </c>
      <c r="M73" s="1178">
        <f t="shared" ca="1" si="77"/>
        <v>0</v>
      </c>
      <c r="N73" s="1178">
        <f t="shared" ca="1" si="77"/>
        <v>5623.76</v>
      </c>
      <c r="O73" s="62" t="str">
        <f ca="1">OFFSET('360SpcLdsCSV'!$B$5,$B73,O$51)</f>
        <v>Unoccupied-Exclude from Gross Floor Area</v>
      </c>
      <c r="P73" s="64">
        <f ca="1">OFFSET('360SpcLdsCSV'!$B$5,$B73,P$51)</f>
        <v>1</v>
      </c>
      <c r="Q73" s="84" t="e">
        <f t="shared" ca="1" si="82"/>
        <v>#DIV/0!</v>
      </c>
      <c r="R73" s="64">
        <f ca="1">OFFSET('360SpcLdsCSV'!$B$5,$B73,R$51)*$P73</f>
        <v>0</v>
      </c>
      <c r="S73" s="64">
        <f ca="1">OFFSET('360SpcLdsCSV'!$B$5,$B73,S$51)*$R73/1000</f>
        <v>0</v>
      </c>
      <c r="T73" s="84" t="e">
        <f t="shared" ca="1" si="83"/>
        <v>#DIV/0!</v>
      </c>
      <c r="U73" s="64">
        <f ca="1">OFFSET('360SpcLdsCSV'!$B$5,$B73,U$51)</f>
        <v>0</v>
      </c>
      <c r="V73" s="64">
        <f ca="1">OFFSET('360SpcLdsCSV'!$B$5,$B73,V$51)*$U73/1000</f>
        <v>0</v>
      </c>
      <c r="W73" s="84" t="e">
        <f t="shared" ca="1" si="84"/>
        <v>#DIV/0!</v>
      </c>
      <c r="X73" s="64">
        <f ca="1">OFFSET('360SpcLdsCSV'!$B$5,$B73,X$51)*$P73</f>
        <v>0</v>
      </c>
      <c r="Y73" s="64">
        <f ca="1">OFFSET('360SpcLdsCSV'!$B$5,$B73,Y$51)*$X73/1000</f>
        <v>0</v>
      </c>
      <c r="Z73" s="84" t="e">
        <f t="shared" ca="1" si="85"/>
        <v>#DIV/0!</v>
      </c>
      <c r="AA73" s="64">
        <f ca="1">OFFSET('360SpcLdsCSV'!$B$5,$B73,AA$51)*$P73</f>
        <v>-99996</v>
      </c>
      <c r="AB73" s="64">
        <f ca="1">OFFSET('360SpcLdsCSV'!$B$5,$B73,AB$51)*$AA73/1000</f>
        <v>0</v>
      </c>
      <c r="AC73" s="65" t="e">
        <f ca="1">'Ltg IntTakeoffs'!EZ28</f>
        <v>#DIV/0!</v>
      </c>
      <c r="AD73" s="64" t="e">
        <f t="shared" ca="1" si="86"/>
        <v>#DIV/0!</v>
      </c>
      <c r="AE73" s="558" t="e">
        <f ca="1">'Ltg IntTakeoffs'!FA28*M73</f>
        <v>#DIV/0!</v>
      </c>
      <c r="AF73" s="559" t="e">
        <f ca="1">'Ltg IntTakeoffs'!FB28*M73</f>
        <v>#DIV/0!</v>
      </c>
      <c r="AG73" s="62"/>
      <c r="AH73" s="62"/>
      <c r="AJ73" s="50"/>
      <c r="AK73" s="50"/>
    </row>
    <row r="74" spans="2:37" ht="10.199999999999999" x14ac:dyDescent="0.2">
      <c r="B74" s="62">
        <f>MATCH(C74,'360SpcLdsCSV'!$C$6:$C$500,0)</f>
        <v>18</v>
      </c>
      <c r="C74" s="62" t="str">
        <f>'360SpcLdsCSV'!C23</f>
        <v>L02-200_CorrRaccSphp</v>
      </c>
      <c r="D74" s="62" t="str">
        <f t="shared" si="78"/>
        <v>L02</v>
      </c>
      <c r="E74" s="62" t="str">
        <f t="shared" si="79"/>
        <v>Corr</v>
      </c>
      <c r="F74" s="62" t="str">
        <f t="shared" si="80"/>
        <v>Racc</v>
      </c>
      <c r="G74" s="62" t="str">
        <f t="shared" si="81"/>
        <v>Sphp</v>
      </c>
      <c r="H74" s="62" t="str">
        <f ca="1">OFFSET('360SpcLdsCSV'!$B$5,$B74,H$51)</f>
        <v>Level 2</v>
      </c>
      <c r="I74" s="62" t="str">
        <f ca="1">OFFSET('360SpcLdsCSV'!$B$5,$B74,I$51)</f>
        <v>DirectlyConditioned</v>
      </c>
      <c r="J74" s="62" t="str">
        <f ca="1">OFFSET('360SpcLdsCSV'!$B$5,$B74,J$51)</f>
        <v>Corridor - All other</v>
      </c>
      <c r="K74" s="62" t="str">
        <f ca="1">OFFSET('360SpcLdsCSV'!$B$5,$B74,K$51)</f>
        <v>Nonresidential</v>
      </c>
      <c r="L74" s="62" t="str">
        <f ca="1">OFFSET('360SpcLdsCSV'!$B$5,$B74,L$51)</f>
        <v>Thermal Zone: L02-200_CorrRaccSphp</v>
      </c>
      <c r="M74" s="1178">
        <f t="shared" ca="1" si="77"/>
        <v>1795.9657999999999</v>
      </c>
      <c r="N74" s="1178">
        <f t="shared" ca="1" si="77"/>
        <v>17959.7</v>
      </c>
      <c r="O74" s="62" t="str">
        <f ca="1">OFFSET('360SpcLdsCSV'!$B$5,$B74,O$51)</f>
        <v>Corridor - All other</v>
      </c>
      <c r="P74" s="64">
        <f ca="1">OFFSET('360SpcLdsCSV'!$B$5,$B74,P$51)</f>
        <v>1</v>
      </c>
      <c r="Q74" s="84">
        <f t="shared" ca="1" si="82"/>
        <v>0.50000952133943755</v>
      </c>
      <c r="R74" s="64">
        <f ca="1">OFFSET('360SpcLdsCSV'!$B$5,$B74,R$51)*$P74</f>
        <v>898</v>
      </c>
      <c r="S74" s="64">
        <f ca="1">OFFSET('360SpcLdsCSV'!$B$5,$B74,S$51)*$R74/1000</f>
        <v>7866.48</v>
      </c>
      <c r="T74" s="84">
        <f t="shared" ca="1" si="83"/>
        <v>0</v>
      </c>
      <c r="U74" s="64">
        <f ca="1">OFFSET('360SpcLdsCSV'!$B$5,$B74,U$51)</f>
        <v>0</v>
      </c>
      <c r="V74" s="64">
        <f ca="1">OFFSET('360SpcLdsCSV'!$B$5,$B74,V$51)*$U74/1000</f>
        <v>0</v>
      </c>
      <c r="W74" s="84">
        <f t="shared" ca="1" si="84"/>
        <v>0.32801292764038159</v>
      </c>
      <c r="X74" s="64">
        <f ca="1">OFFSET('360SpcLdsCSV'!$B$5,$B74,X$51)*$P74</f>
        <v>589.1</v>
      </c>
      <c r="Y74" s="64">
        <f ca="1">OFFSET('360SpcLdsCSV'!$B$5,$B74,Y$51)*$X74/1000</f>
        <v>5160.5159999999996</v>
      </c>
      <c r="Z74" s="84">
        <f t="shared" ca="1" si="85"/>
        <v>0.32801292764038159</v>
      </c>
      <c r="AA74" s="64">
        <f ca="1">OFFSET('360SpcLdsCSV'!$B$5,$B74,AA$51)*$P74</f>
        <v>589.1</v>
      </c>
      <c r="AB74" s="64">
        <f ca="1">OFFSET('360SpcLdsCSV'!$B$5,$B74,AB$51)*$AA74/1000</f>
        <v>5160.5159999999996</v>
      </c>
      <c r="AC74" s="65">
        <f ca="1">'Ltg IntTakeoffs'!EZ29</f>
        <v>0</v>
      </c>
      <c r="AD74" s="64">
        <f t="shared" ca="1" si="86"/>
        <v>0</v>
      </c>
      <c r="AE74" s="558">
        <f ca="1">'Ltg IntTakeoffs'!FA29*M74</f>
        <v>0</v>
      </c>
      <c r="AF74" s="559">
        <f ca="1">'Ltg IntTakeoffs'!FB29*M74</f>
        <v>0</v>
      </c>
      <c r="AG74" s="62"/>
      <c r="AH74" s="62"/>
    </row>
    <row r="75" spans="2:37" ht="10.199999999999999" x14ac:dyDescent="0.2">
      <c r="B75" s="62">
        <f>MATCH(C75,'360SpcLdsCSV'!$C$6:$C$500,0)</f>
        <v>19</v>
      </c>
      <c r="C75" s="62" t="str">
        <f>'360SpcLdsCSV'!C24</f>
        <v>L02-201_OfceRaccPthpHrv3</v>
      </c>
      <c r="D75" s="62" t="str">
        <f t="shared" si="78"/>
        <v>L02</v>
      </c>
      <c r="E75" s="62" t="str">
        <f t="shared" si="79"/>
        <v>Ofce</v>
      </c>
      <c r="F75" s="62" t="str">
        <f t="shared" si="80"/>
        <v>Racc</v>
      </c>
      <c r="G75" s="62" t="str">
        <f t="shared" si="81"/>
        <v>Hrv3</v>
      </c>
      <c r="H75" s="62" t="str">
        <f ca="1">OFFSET('360SpcLdsCSV'!$B$5,$B75,H$51)</f>
        <v>Level 2</v>
      </c>
      <c r="I75" s="62" t="str">
        <f ca="1">OFFSET('360SpcLdsCSV'!$B$5,$B75,I$51)</f>
        <v>DirectlyConditioned</v>
      </c>
      <c r="J75" s="62" t="str">
        <f ca="1">OFFSET('360SpcLdsCSV'!$B$5,$B75,J$51)</f>
        <v>Office - Enclosed</v>
      </c>
      <c r="K75" s="62" t="str">
        <f ca="1">OFFSET('360SpcLdsCSV'!$B$5,$B75,K$51)</f>
        <v>Nonresidential</v>
      </c>
      <c r="L75" s="62" t="str">
        <f ca="1">OFFSET('360SpcLdsCSV'!$B$5,$B75,L$51)</f>
        <v>Thermal Zone: L02-201_OfceRaccPthpHrv3</v>
      </c>
      <c r="M75" s="1178">
        <f t="shared" ca="1" si="77"/>
        <v>641.20320000000004</v>
      </c>
      <c r="N75" s="1178">
        <f t="shared" ca="1" si="77"/>
        <v>6412.03</v>
      </c>
      <c r="O75" s="62" t="str">
        <f ca="1">OFFSET('360SpcLdsCSV'!$B$5,$B75,O$51)</f>
        <v>Office - Enclosed</v>
      </c>
      <c r="P75" s="64">
        <f ca="1">OFFSET('360SpcLdsCSV'!$B$5,$B75,P$51)</f>
        <v>1</v>
      </c>
      <c r="Q75" s="84">
        <f t="shared" ca="1" si="82"/>
        <v>1.0999633189603544</v>
      </c>
      <c r="R75" s="64">
        <f ca="1">OFFSET('360SpcLdsCSV'!$B$5,$B75,R$51)*$P75</f>
        <v>705.3</v>
      </c>
      <c r="S75" s="64">
        <f ca="1">OFFSET('360SpcLdsCSV'!$B$5,$B75,S$51)*$R75/1000</f>
        <v>1589.0409</v>
      </c>
      <c r="T75" s="84">
        <f t="shared" ca="1" si="83"/>
        <v>0</v>
      </c>
      <c r="U75" s="64">
        <f ca="1">OFFSET('360SpcLdsCSV'!$B$5,$B75,U$51)</f>
        <v>0</v>
      </c>
      <c r="V75" s="64">
        <f ca="1">OFFSET('360SpcLdsCSV'!$B$5,$B75,V$51)*$U75/1000</f>
        <v>0</v>
      </c>
      <c r="W75" s="84">
        <f t="shared" ca="1" si="84"/>
        <v>0.59201201740727427</v>
      </c>
      <c r="X75" s="64">
        <f ca="1">OFFSET('360SpcLdsCSV'!$B$5,$B75,X$51)*$P75</f>
        <v>379.6</v>
      </c>
      <c r="Y75" s="64">
        <f ca="1">OFFSET('360SpcLdsCSV'!$B$5,$B75,Y$51)*$X75/1000</f>
        <v>855.23880000000008</v>
      </c>
      <c r="Z75" s="84">
        <f t="shared" ca="1" si="85"/>
        <v>0.59201201740727427</v>
      </c>
      <c r="AA75" s="64">
        <f ca="1">OFFSET('360SpcLdsCSV'!$B$5,$B75,AA$51)*$P75</f>
        <v>379.6</v>
      </c>
      <c r="AB75" s="64">
        <f ca="1">OFFSET('360SpcLdsCSV'!$B$5,$B75,AB$51)*$AA75/1000</f>
        <v>855.23880000000008</v>
      </c>
      <c r="AC75" s="65">
        <f ca="1">'Ltg IntTakeoffs'!EZ30</f>
        <v>0</v>
      </c>
      <c r="AD75" s="64">
        <f t="shared" ca="1" si="86"/>
        <v>0</v>
      </c>
      <c r="AE75" s="558">
        <f ca="1">'Ltg IntTakeoffs'!FA30*M75</f>
        <v>0</v>
      </c>
      <c r="AF75" s="559">
        <f ca="1">'Ltg IntTakeoffs'!FB30*M75</f>
        <v>0</v>
      </c>
      <c r="AG75" s="62"/>
      <c r="AH75" s="62"/>
    </row>
    <row r="76" spans="2:37" ht="10.199999999999999" x14ac:dyDescent="0.2">
      <c r="B76" s="62">
        <f>MATCH(C76,'360SpcLdsCSV'!$C$6:$C$500,0)</f>
        <v>20</v>
      </c>
      <c r="C76" s="62" t="str">
        <f>'360SpcLdsCSV'!C25</f>
        <v>L02-202_MfamResiPthp</v>
      </c>
      <c r="D76" s="62" t="str">
        <f t="shared" si="78"/>
        <v>L02</v>
      </c>
      <c r="E76" s="62" t="str">
        <f t="shared" si="79"/>
        <v>Mfam</v>
      </c>
      <c r="F76" s="62" t="str">
        <f t="shared" si="80"/>
        <v>Resi</v>
      </c>
      <c r="G76" s="62" t="str">
        <f t="shared" si="81"/>
        <v>Pthp</v>
      </c>
      <c r="H76" s="62" t="str">
        <f ca="1">OFFSET('360SpcLdsCSV'!$B$5,$B76,H$51)</f>
        <v>Level 2</v>
      </c>
      <c r="I76" s="62" t="str">
        <f ca="1">OFFSET('360SpcLdsCSV'!$B$5,$B76,I$51)</f>
        <v>DirectlyConditioned</v>
      </c>
      <c r="J76" s="62" t="str">
        <f ca="1">OFFSET('360SpcLdsCSV'!$B$5,$B76,J$51)</f>
        <v>Dwelling Unit</v>
      </c>
      <c r="K76" s="62" t="str">
        <f ca="1">OFFSET('360SpcLdsCSV'!$B$5,$B76,K$51)</f>
        <v>Residential</v>
      </c>
      <c r="L76" s="62" t="str">
        <f ca="1">OFFSET('360SpcLdsCSV'!$B$5,$B76,L$51)</f>
        <v>Thermal Zone: L02-202_MfamResiPthp</v>
      </c>
      <c r="M76" s="1178">
        <f t="shared" ca="1" si="77"/>
        <v>1321.32</v>
      </c>
      <c r="N76" s="1178">
        <f t="shared" ca="1" si="77"/>
        <v>13213.2</v>
      </c>
      <c r="O76" s="62" t="str">
        <f ca="1">OFFSET('360SpcLdsCSV'!$B$5,$B76,O$51)</f>
        <v>Dwelling Unit</v>
      </c>
      <c r="P76" s="64">
        <f ca="1">OFFSET('360SpcLdsCSV'!$B$5,$B76,P$51)</f>
        <v>1</v>
      </c>
      <c r="Q76" s="84">
        <f t="shared" ca="1" si="82"/>
        <v>1.0699906154451608</v>
      </c>
      <c r="R76" s="64">
        <f ca="1">OFFSET('360SpcLdsCSV'!$B$5,$B76,R$51)*$P76</f>
        <v>1413.8</v>
      </c>
      <c r="S76" s="64">
        <f ca="1">OFFSET('360SpcLdsCSV'!$B$5,$B76,S$51)*$R76/1000</f>
        <v>1207.3851999999999</v>
      </c>
      <c r="T76" s="84">
        <f t="shared" ca="1" si="83"/>
        <v>0</v>
      </c>
      <c r="U76" s="64">
        <f ca="1">OFFSET('360SpcLdsCSV'!$B$5,$B76,U$51)</f>
        <v>0</v>
      </c>
      <c r="V76" s="64">
        <f ca="1">OFFSET('360SpcLdsCSV'!$B$5,$B76,V$51)*$U76/1000</f>
        <v>0</v>
      </c>
      <c r="W76" s="84">
        <f t="shared" ca="1" si="84"/>
        <v>0.60000605455150913</v>
      </c>
      <c r="X76" s="64">
        <f ca="1">OFFSET('360SpcLdsCSV'!$B$5,$B76,X$51)*$P76</f>
        <v>792.8</v>
      </c>
      <c r="Y76" s="64">
        <f ca="1">OFFSET('360SpcLdsCSV'!$B$5,$B76,Y$51)*$X76/1000</f>
        <v>677.05119999999999</v>
      </c>
      <c r="Z76" s="84">
        <f t="shared" ca="1" si="85"/>
        <v>0.60000605455150913</v>
      </c>
      <c r="AA76" s="64">
        <f ca="1">OFFSET('360SpcLdsCSV'!$B$5,$B76,AA$51)*$P76</f>
        <v>792.8</v>
      </c>
      <c r="AB76" s="64">
        <f ca="1">OFFSET('360SpcLdsCSV'!$B$5,$B76,AB$51)*$AA76/1000</f>
        <v>677.05119999999999</v>
      </c>
      <c r="AC76" s="65">
        <f ca="1">'Ltg IntTakeoffs'!EZ31</f>
        <v>0</v>
      </c>
      <c r="AD76" s="64">
        <f t="shared" ca="1" si="86"/>
        <v>0</v>
      </c>
      <c r="AE76" s="558">
        <f ca="1">'Ltg IntTakeoffs'!FA31*M76</f>
        <v>0</v>
      </c>
      <c r="AF76" s="559">
        <f ca="1">'Ltg IntTakeoffs'!FB31*M76</f>
        <v>0</v>
      </c>
      <c r="AG76" s="62"/>
      <c r="AH76" s="62"/>
    </row>
    <row r="77" spans="2:37" ht="10.199999999999999" x14ac:dyDescent="0.2">
      <c r="B77" s="62">
        <f>MATCH(C77,'360SpcLdsCSV'!$C$6:$C$500,0)</f>
        <v>21</v>
      </c>
      <c r="C77" s="62" t="str">
        <f>'360SpcLdsCSV'!C26</f>
        <v>L02-203_MfamResiPthp</v>
      </c>
      <c r="D77" s="62" t="str">
        <f t="shared" si="78"/>
        <v>L02</v>
      </c>
      <c r="E77" s="62" t="str">
        <f t="shared" si="79"/>
        <v>Mfam</v>
      </c>
      <c r="F77" s="62" t="str">
        <f t="shared" si="80"/>
        <v>Resi</v>
      </c>
      <c r="G77" s="62" t="str">
        <f t="shared" si="81"/>
        <v>Pthp</v>
      </c>
      <c r="H77" s="62" t="str">
        <f ca="1">OFFSET('360SpcLdsCSV'!$B$5,$B77,H$51)</f>
        <v>Level 2</v>
      </c>
      <c r="I77" s="62" t="str">
        <f ca="1">OFFSET('360SpcLdsCSV'!$B$5,$B77,I$51)</f>
        <v>DirectlyConditioned</v>
      </c>
      <c r="J77" s="62" t="str">
        <f ca="1">OFFSET('360SpcLdsCSV'!$B$5,$B77,J$51)</f>
        <v>Dwelling Unit</v>
      </c>
      <c r="K77" s="62" t="str">
        <f ca="1">OFFSET('360SpcLdsCSV'!$B$5,$B77,K$51)</f>
        <v>Residential</v>
      </c>
      <c r="L77" s="62" t="str">
        <f ca="1">OFFSET('360SpcLdsCSV'!$B$5,$B77,L$51)</f>
        <v>Thermal Zone: L02-203_MfamResiPthp</v>
      </c>
      <c r="M77" s="1178">
        <f t="shared" ref="M77:N96" ca="1" si="87">OFFSET(Spaces_Ref,$B77,M$51)</f>
        <v>1116.5980999999999</v>
      </c>
      <c r="N77" s="1178">
        <f t="shared" ca="1" si="87"/>
        <v>11166</v>
      </c>
      <c r="O77" s="62" t="str">
        <f ca="1">OFFSET('360SpcLdsCSV'!$B$5,$B77,O$51)</f>
        <v>Dwelling Unit</v>
      </c>
      <c r="P77" s="64">
        <f ca="1">OFFSET('360SpcLdsCSV'!$B$5,$B77,P$51)</f>
        <v>1</v>
      </c>
      <c r="Q77" s="84">
        <f t="shared" ca="1" si="82"/>
        <v>1.0700358526492209</v>
      </c>
      <c r="R77" s="64">
        <f ca="1">OFFSET('360SpcLdsCSV'!$B$5,$B77,R$51)*$P77</f>
        <v>1194.8</v>
      </c>
      <c r="S77" s="64">
        <f ca="1">OFFSET('360SpcLdsCSV'!$B$5,$B77,S$51)*$R77/1000</f>
        <v>1020.3592</v>
      </c>
      <c r="T77" s="84">
        <f t="shared" ca="1" si="83"/>
        <v>0</v>
      </c>
      <c r="U77" s="64">
        <f ca="1">OFFSET('360SpcLdsCSV'!$B$5,$B77,U$51)</f>
        <v>0</v>
      </c>
      <c r="V77" s="64">
        <f ca="1">OFFSET('360SpcLdsCSV'!$B$5,$B77,V$51)*$U77/1000</f>
        <v>0</v>
      </c>
      <c r="W77" s="84">
        <f t="shared" ca="1" si="84"/>
        <v>0.60003684405337965</v>
      </c>
      <c r="X77" s="64">
        <f ca="1">OFFSET('360SpcLdsCSV'!$B$5,$B77,X$51)*$P77</f>
        <v>670</v>
      </c>
      <c r="Y77" s="64">
        <f ca="1">OFFSET('360SpcLdsCSV'!$B$5,$B77,Y$51)*$X77/1000</f>
        <v>572.17999999999995</v>
      </c>
      <c r="Z77" s="84">
        <f t="shared" ca="1" si="85"/>
        <v>0.60003684405337965</v>
      </c>
      <c r="AA77" s="64">
        <f ca="1">OFFSET('360SpcLdsCSV'!$B$5,$B77,AA$51)*$P77</f>
        <v>670</v>
      </c>
      <c r="AB77" s="64">
        <f ca="1">OFFSET('360SpcLdsCSV'!$B$5,$B77,AB$51)*$AA77/1000</f>
        <v>572.17999999999995</v>
      </c>
      <c r="AC77" s="65">
        <f ca="1">'Ltg IntTakeoffs'!EZ32</f>
        <v>0</v>
      </c>
      <c r="AD77" s="64">
        <f t="shared" ca="1" si="86"/>
        <v>0</v>
      </c>
      <c r="AE77" s="558">
        <f ca="1">'Ltg IntTakeoffs'!FA32*M77</f>
        <v>0</v>
      </c>
      <c r="AF77" s="559">
        <f ca="1">'Ltg IntTakeoffs'!FB32*M77</f>
        <v>0</v>
      </c>
      <c r="AG77" s="62"/>
      <c r="AH77" s="62"/>
    </row>
    <row r="78" spans="2:37" ht="15" customHeight="1" x14ac:dyDescent="0.2">
      <c r="B78" s="62">
        <f>MATCH(C78,'360SpcLdsCSV'!$C$6:$C$500,0)</f>
        <v>22</v>
      </c>
      <c r="C78" s="62" t="str">
        <f>'360SpcLdsCSV'!C27</f>
        <v>L02-204_AstoRaccIncd</v>
      </c>
      <c r="D78" s="62" t="str">
        <f t="shared" si="78"/>
        <v>L02</v>
      </c>
      <c r="E78" s="62" t="str">
        <f t="shared" si="79"/>
        <v>Asto</v>
      </c>
      <c r="F78" s="62" t="str">
        <f t="shared" si="80"/>
        <v>Racc</v>
      </c>
      <c r="G78" s="62" t="str">
        <f t="shared" si="81"/>
        <v>Incd</v>
      </c>
      <c r="H78" s="62" t="str">
        <f ca="1">OFFSET('360SpcLdsCSV'!$B$5,$B78,H$51)</f>
        <v>Level 2</v>
      </c>
      <c r="I78" s="62" t="str">
        <f ca="1">OFFSET('360SpcLdsCSV'!$B$5,$B78,I$51)</f>
        <v>IndirectlyConditioned</v>
      </c>
      <c r="J78" s="62" t="str">
        <f ca="1">OFFSET('360SpcLdsCSV'!$B$5,$B78,J$51)</f>
        <v>Storage Room - &lt;50 ft2</v>
      </c>
      <c r="K78" s="62" t="str">
        <f ca="1">OFFSET('360SpcLdsCSV'!$B$5,$B78,K$51)</f>
        <v>Nonresidential</v>
      </c>
      <c r="L78" s="62" t="str">
        <f ca="1">OFFSET('360SpcLdsCSV'!$B$5,$B78,L$51)</f>
        <v>Thermal Zone: L02-200_CorrRaccSphp</v>
      </c>
      <c r="M78" s="1178">
        <f t="shared" ca="1" si="87"/>
        <v>135.05760000000001</v>
      </c>
      <c r="N78" s="1178">
        <f t="shared" ca="1" si="87"/>
        <v>1350.58</v>
      </c>
      <c r="O78" s="62" t="str">
        <f ca="1">OFFSET('360SpcLdsCSV'!$B$5,$B78,O$51)</f>
        <v>Storage Room - &lt;50 ft2</v>
      </c>
      <c r="P78" s="64">
        <f ca="1">OFFSET('360SpcLdsCSV'!$B$5,$B78,P$51)</f>
        <v>1</v>
      </c>
      <c r="Q78" s="84">
        <f t="shared" ca="1" si="82"/>
        <v>0.79965881224011082</v>
      </c>
      <c r="R78" s="64">
        <f ca="1">OFFSET('360SpcLdsCSV'!$B$5,$B78,R$51)*$P78</f>
        <v>108</v>
      </c>
      <c r="S78" s="64">
        <f ca="1">OFFSET('360SpcLdsCSV'!$B$5,$B78,S$51)*$R78/1000</f>
        <v>946.08</v>
      </c>
      <c r="T78" s="84">
        <f t="shared" ca="1" si="83"/>
        <v>0</v>
      </c>
      <c r="U78" s="64">
        <f ca="1">OFFSET('360SpcLdsCSV'!$B$5,$B78,U$51)</f>
        <v>0</v>
      </c>
      <c r="V78" s="64">
        <f ca="1">OFFSET('360SpcLdsCSV'!$B$5,$B78,V$51)*$U78/1000</f>
        <v>0</v>
      </c>
      <c r="W78" s="84">
        <f t="shared" ca="1" si="84"/>
        <v>0.30431460354693107</v>
      </c>
      <c r="X78" s="64">
        <f ca="1">OFFSET('360SpcLdsCSV'!$B$5,$B78,X$51)*$P78</f>
        <v>41.1</v>
      </c>
      <c r="Y78" s="64">
        <f ca="1">OFFSET('360SpcLdsCSV'!$B$5,$B78,Y$51)*$X78/1000</f>
        <v>360.036</v>
      </c>
      <c r="Z78" s="84">
        <f t="shared" ca="1" si="85"/>
        <v>0.30431460354693107</v>
      </c>
      <c r="AA78" s="64">
        <f ca="1">OFFSET('360SpcLdsCSV'!$B$5,$B78,AA$51)*$P78</f>
        <v>41.1</v>
      </c>
      <c r="AB78" s="64">
        <f ca="1">OFFSET('360SpcLdsCSV'!$B$5,$B78,AB$51)*$AA78/1000</f>
        <v>360.036</v>
      </c>
      <c r="AC78" s="65">
        <f ca="1">'Ltg IntTakeoffs'!EZ33</f>
        <v>0</v>
      </c>
      <c r="AD78" s="64">
        <f t="shared" ca="1" si="86"/>
        <v>0</v>
      </c>
      <c r="AE78" s="558">
        <f ca="1">'Ltg IntTakeoffs'!FA33*M78</f>
        <v>0</v>
      </c>
      <c r="AF78" s="559">
        <f ca="1">'Ltg IntTakeoffs'!FB33*M78</f>
        <v>0</v>
      </c>
      <c r="AG78" s="62"/>
      <c r="AH78" s="62"/>
    </row>
    <row r="79" spans="2:37" ht="10.199999999999999" x14ac:dyDescent="0.2">
      <c r="B79" s="62">
        <f>MATCH(C79,'360SpcLdsCSV'!$C$6:$C$500,0)</f>
        <v>23</v>
      </c>
      <c r="C79" s="62" t="str">
        <f>'360SpcLdsCSV'!C28</f>
        <v>L02-205_MfamResiPthp</v>
      </c>
      <c r="D79" s="62" t="str">
        <f t="shared" si="78"/>
        <v>L02</v>
      </c>
      <c r="E79" s="62" t="str">
        <f t="shared" si="79"/>
        <v>Mfam</v>
      </c>
      <c r="F79" s="62" t="str">
        <f t="shared" si="80"/>
        <v>Resi</v>
      </c>
      <c r="G79" s="62" t="str">
        <f t="shared" si="81"/>
        <v>Pthp</v>
      </c>
      <c r="H79" s="62" t="str">
        <f ca="1">OFFSET('360SpcLdsCSV'!$B$5,$B79,H$51)</f>
        <v>Level 2</v>
      </c>
      <c r="I79" s="62" t="str">
        <f ca="1">OFFSET('360SpcLdsCSV'!$B$5,$B79,I$51)</f>
        <v>DirectlyConditioned</v>
      </c>
      <c r="J79" s="62" t="str">
        <f ca="1">OFFSET('360SpcLdsCSV'!$B$5,$B79,J$51)</f>
        <v>Dwelling Unit</v>
      </c>
      <c r="K79" s="62" t="str">
        <f ca="1">OFFSET('360SpcLdsCSV'!$B$5,$B79,K$51)</f>
        <v>Residential</v>
      </c>
      <c r="L79" s="62" t="str">
        <f ca="1">OFFSET('360SpcLdsCSV'!$B$5,$B79,L$51)</f>
        <v>Thermal Zone: L02-205_MfamResiPthp</v>
      </c>
      <c r="M79" s="1178">
        <f t="shared" ca="1" si="87"/>
        <v>3678.0304999999998</v>
      </c>
      <c r="N79" s="1178">
        <f t="shared" ca="1" si="87"/>
        <v>36780.300000000003</v>
      </c>
      <c r="O79" s="62" t="str">
        <f ca="1">OFFSET('360SpcLdsCSV'!$B$5,$B79,O$51)</f>
        <v>Dwelling Unit</v>
      </c>
      <c r="P79" s="64">
        <f ca="1">OFFSET('360SpcLdsCSV'!$B$5,$B79,P$51)</f>
        <v>1</v>
      </c>
      <c r="Q79" s="84">
        <f t="shared" ca="1" si="82"/>
        <v>1.0700020024303769</v>
      </c>
      <c r="R79" s="64">
        <f ca="1">OFFSET('360SpcLdsCSV'!$B$5,$B79,R$51)*$P79</f>
        <v>3935.5</v>
      </c>
      <c r="S79" s="64">
        <f ca="1">OFFSET('360SpcLdsCSV'!$B$5,$B79,S$51)*$R79/1000</f>
        <v>3360.9169999999999</v>
      </c>
      <c r="T79" s="84">
        <f t="shared" ca="1" si="83"/>
        <v>0</v>
      </c>
      <c r="U79" s="64">
        <f ca="1">OFFSET('360SpcLdsCSV'!$B$5,$B79,U$51)</f>
        <v>0</v>
      </c>
      <c r="V79" s="64">
        <f ca="1">OFFSET('360SpcLdsCSV'!$B$5,$B79,V$51)*$U79/1000</f>
        <v>0</v>
      </c>
      <c r="W79" s="84">
        <f t="shared" ca="1" si="84"/>
        <v>0.59999502451108011</v>
      </c>
      <c r="X79" s="64">
        <f ca="1">OFFSET('360SpcLdsCSV'!$B$5,$B79,X$51)*$P79</f>
        <v>2206.8000000000002</v>
      </c>
      <c r="Y79" s="64">
        <f ca="1">OFFSET('360SpcLdsCSV'!$B$5,$B79,Y$51)*$X79/1000</f>
        <v>1884.6072000000001</v>
      </c>
      <c r="Z79" s="84">
        <f t="shared" ca="1" si="85"/>
        <v>0.59999502451108011</v>
      </c>
      <c r="AA79" s="64">
        <f ca="1">OFFSET('360SpcLdsCSV'!$B$5,$B79,AA$51)*$P79</f>
        <v>2206.8000000000002</v>
      </c>
      <c r="AB79" s="64">
        <f ca="1">OFFSET('360SpcLdsCSV'!$B$5,$B79,AB$51)*$AA79/1000</f>
        <v>1884.6072000000001</v>
      </c>
      <c r="AC79" s="65">
        <f ca="1">'Ltg IntTakeoffs'!EZ34</f>
        <v>0</v>
      </c>
      <c r="AD79" s="64">
        <f t="shared" ca="1" si="86"/>
        <v>0</v>
      </c>
      <c r="AE79" s="558">
        <f ca="1">'Ltg IntTakeoffs'!FA34*M79</f>
        <v>0</v>
      </c>
      <c r="AF79" s="559">
        <f ca="1">'Ltg IntTakeoffs'!FB34*M79</f>
        <v>0</v>
      </c>
      <c r="AG79" s="62"/>
      <c r="AH79" s="62"/>
    </row>
    <row r="80" spans="2:37" ht="10.199999999999999" x14ac:dyDescent="0.2">
      <c r="B80" s="62">
        <f>MATCH(C80,'360SpcLdsCSV'!$C$6:$C$500,0)</f>
        <v>24</v>
      </c>
      <c r="C80" s="62" t="str">
        <f>'360SpcLdsCSV'!C29</f>
        <v>L02-206_MfamResiPthp</v>
      </c>
      <c r="D80" s="62" t="str">
        <f t="shared" si="78"/>
        <v>L02</v>
      </c>
      <c r="E80" s="62" t="str">
        <f t="shared" si="79"/>
        <v>Mfam</v>
      </c>
      <c r="F80" s="62" t="str">
        <f t="shared" si="80"/>
        <v>Resi</v>
      </c>
      <c r="G80" s="62" t="str">
        <f t="shared" si="81"/>
        <v>Pthp</v>
      </c>
      <c r="H80" s="62" t="str">
        <f ca="1">OFFSET('360SpcLdsCSV'!$B$5,$B80,H$51)</f>
        <v>Level 2</v>
      </c>
      <c r="I80" s="62" t="str">
        <f ca="1">OFFSET('360SpcLdsCSV'!$B$5,$B80,I$51)</f>
        <v>DirectlyConditioned</v>
      </c>
      <c r="J80" s="62" t="str">
        <f ca="1">OFFSET('360SpcLdsCSV'!$B$5,$B80,J$51)</f>
        <v>Dwelling Unit</v>
      </c>
      <c r="K80" s="62" t="str">
        <f ca="1">OFFSET('360SpcLdsCSV'!$B$5,$B80,K$51)</f>
        <v>Residential</v>
      </c>
      <c r="L80" s="62" t="str">
        <f ca="1">OFFSET('360SpcLdsCSV'!$B$5,$B80,L$51)</f>
        <v>Thermal Zone: L02-206_MfamResiPthp</v>
      </c>
      <c r="M80" s="1178">
        <f t="shared" ca="1" si="87"/>
        <v>1160.8827000000001</v>
      </c>
      <c r="N80" s="1178">
        <f t="shared" ca="1" si="87"/>
        <v>11608.8</v>
      </c>
      <c r="O80" s="62" t="str">
        <f ca="1">OFFSET('360SpcLdsCSV'!$B$5,$B80,O$51)</f>
        <v>Dwelling Unit</v>
      </c>
      <c r="P80" s="64">
        <f ca="1">OFFSET('360SpcLdsCSV'!$B$5,$B80,P$51)</f>
        <v>1</v>
      </c>
      <c r="Q80" s="84">
        <f t="shared" ca="1" si="82"/>
        <v>1.0699616765759363</v>
      </c>
      <c r="R80" s="64">
        <f ca="1">OFFSET('360SpcLdsCSV'!$B$5,$B80,R$51)*$P80</f>
        <v>1242.0999999999999</v>
      </c>
      <c r="S80" s="64">
        <f ca="1">OFFSET('360SpcLdsCSV'!$B$5,$B80,S$51)*$R80/1000</f>
        <v>1060.7533999999998</v>
      </c>
      <c r="T80" s="84">
        <f t="shared" ca="1" si="83"/>
        <v>0</v>
      </c>
      <c r="U80" s="64">
        <f ca="1">OFFSET('360SpcLdsCSV'!$B$5,$B80,U$51)</f>
        <v>0</v>
      </c>
      <c r="V80" s="64">
        <f ca="1">OFFSET('360SpcLdsCSV'!$B$5,$B80,V$51)*$U80/1000</f>
        <v>0</v>
      </c>
      <c r="W80" s="84">
        <f t="shared" ca="1" si="84"/>
        <v>0.59997448493288763</v>
      </c>
      <c r="X80" s="64">
        <f ca="1">OFFSET('360SpcLdsCSV'!$B$5,$B80,X$51)*$P80</f>
        <v>696.5</v>
      </c>
      <c r="Y80" s="64">
        <f ca="1">OFFSET('360SpcLdsCSV'!$B$5,$B80,Y$51)*$X80/1000</f>
        <v>594.81100000000004</v>
      </c>
      <c r="Z80" s="84">
        <f t="shared" ca="1" si="85"/>
        <v>0.59997448493288763</v>
      </c>
      <c r="AA80" s="64">
        <f ca="1">OFFSET('360SpcLdsCSV'!$B$5,$B80,AA$51)*$P80</f>
        <v>696.5</v>
      </c>
      <c r="AB80" s="64">
        <f ca="1">OFFSET('360SpcLdsCSV'!$B$5,$B80,AB$51)*$AA80/1000</f>
        <v>594.81100000000004</v>
      </c>
      <c r="AC80" s="65">
        <f ca="1">'Ltg IntTakeoffs'!EZ35</f>
        <v>0</v>
      </c>
      <c r="AD80" s="64">
        <f t="shared" ca="1" si="86"/>
        <v>0</v>
      </c>
      <c r="AE80" s="558">
        <f ca="1">'Ltg IntTakeoffs'!FA35*M80</f>
        <v>0</v>
      </c>
      <c r="AF80" s="559">
        <f ca="1">'Ltg IntTakeoffs'!FB35*M80</f>
        <v>0</v>
      </c>
      <c r="AG80" s="62"/>
      <c r="AH80" s="62"/>
    </row>
    <row r="81" spans="2:34" ht="10.199999999999999" x14ac:dyDescent="0.2">
      <c r="B81" s="62">
        <f>MATCH(C81,'360SpcLdsCSV'!$C$6:$C$500,0)</f>
        <v>25</v>
      </c>
      <c r="C81" s="62" t="str">
        <f>'360SpcLdsCSV'!C30</f>
        <v>L02-207_MfamResiPthp</v>
      </c>
      <c r="D81" s="62" t="str">
        <f t="shared" si="78"/>
        <v>L02</v>
      </c>
      <c r="E81" s="62" t="str">
        <f t="shared" si="79"/>
        <v>Mfam</v>
      </c>
      <c r="F81" s="62" t="str">
        <f t="shared" si="80"/>
        <v>Resi</v>
      </c>
      <c r="G81" s="62" t="str">
        <f t="shared" si="81"/>
        <v>Pthp</v>
      </c>
      <c r="H81" s="62" t="str">
        <f ca="1">OFFSET('360SpcLdsCSV'!$B$5,$B81,H$51)</f>
        <v>Level 2</v>
      </c>
      <c r="I81" s="62" t="str">
        <f ca="1">OFFSET('360SpcLdsCSV'!$B$5,$B81,I$51)</f>
        <v>DirectlyConditioned</v>
      </c>
      <c r="J81" s="62" t="str">
        <f ca="1">OFFSET('360SpcLdsCSV'!$B$5,$B81,J$51)</f>
        <v>Dwelling Unit</v>
      </c>
      <c r="K81" s="62" t="str">
        <f ca="1">OFFSET('360SpcLdsCSV'!$B$5,$B81,K$51)</f>
        <v>Residential</v>
      </c>
      <c r="L81" s="62" t="str">
        <f ca="1">OFFSET('360SpcLdsCSV'!$B$5,$B81,L$51)</f>
        <v>Thermal Zone: L02-207_MfamResiPthp</v>
      </c>
      <c r="M81" s="1178">
        <f t="shared" ca="1" si="87"/>
        <v>1858.692</v>
      </c>
      <c r="N81" s="1178">
        <f t="shared" ca="1" si="87"/>
        <v>18586.900000000001</v>
      </c>
      <c r="O81" s="62" t="str">
        <f ca="1">OFFSET('360SpcLdsCSV'!$B$5,$B81,O$51)</f>
        <v>Dwelling Unit</v>
      </c>
      <c r="P81" s="64">
        <f ca="1">OFFSET('360SpcLdsCSV'!$B$5,$B81,P$51)</f>
        <v>1</v>
      </c>
      <c r="Q81" s="84">
        <f t="shared" ca="1" si="82"/>
        <v>1.0699997632743887</v>
      </c>
      <c r="R81" s="64">
        <f ca="1">OFFSET('360SpcLdsCSV'!$B$5,$B81,R$51)*$P81</f>
        <v>1988.8</v>
      </c>
      <c r="S81" s="64">
        <f ca="1">OFFSET('360SpcLdsCSV'!$B$5,$B81,S$51)*$R81/1000</f>
        <v>1698.4351999999999</v>
      </c>
      <c r="T81" s="84">
        <f t="shared" ca="1" si="83"/>
        <v>0</v>
      </c>
      <c r="U81" s="64">
        <f ca="1">OFFSET('360SpcLdsCSV'!$B$5,$B81,U$51)</f>
        <v>0</v>
      </c>
      <c r="V81" s="64">
        <f ca="1">OFFSET('360SpcLdsCSV'!$B$5,$B81,V$51)*$U81/1000</f>
        <v>0</v>
      </c>
      <c r="W81" s="84">
        <f t="shared" ca="1" si="84"/>
        <v>0.59999182220615355</v>
      </c>
      <c r="X81" s="64">
        <f ca="1">OFFSET('360SpcLdsCSV'!$B$5,$B81,X$51)*$P81</f>
        <v>1115.2</v>
      </c>
      <c r="Y81" s="64">
        <f ca="1">OFFSET('360SpcLdsCSV'!$B$5,$B81,Y$51)*$X81/1000</f>
        <v>952.38080000000002</v>
      </c>
      <c r="Z81" s="84">
        <f t="shared" ca="1" si="85"/>
        <v>0.59999182220615355</v>
      </c>
      <c r="AA81" s="64">
        <f ca="1">OFFSET('360SpcLdsCSV'!$B$5,$B81,AA$51)*$P81</f>
        <v>1115.2</v>
      </c>
      <c r="AB81" s="64">
        <f ca="1">OFFSET('360SpcLdsCSV'!$B$5,$B81,AB$51)*$AA81/1000</f>
        <v>952.38080000000002</v>
      </c>
      <c r="AC81" s="65">
        <f ca="1">'Ltg IntTakeoffs'!EZ36</f>
        <v>0</v>
      </c>
      <c r="AD81" s="64">
        <f t="shared" ca="1" si="86"/>
        <v>0</v>
      </c>
      <c r="AE81" s="558">
        <f ca="1">'Ltg IntTakeoffs'!FA36*M81</f>
        <v>0</v>
      </c>
      <c r="AF81" s="559">
        <f ca="1">'Ltg IntTakeoffs'!FB36*M81</f>
        <v>0</v>
      </c>
      <c r="AG81" s="62"/>
      <c r="AH81" s="62"/>
    </row>
    <row r="82" spans="2:34" ht="10.199999999999999" x14ac:dyDescent="0.2">
      <c r="B82" s="62">
        <f>MATCH(C82,'360SpcLdsCSV'!$C$6:$C$500,0)</f>
        <v>26</v>
      </c>
      <c r="C82" s="62" t="str">
        <f>'360SpcLdsCSV'!C31</f>
        <v>L02-208_MfamResiPthp</v>
      </c>
      <c r="D82" s="62" t="str">
        <f t="shared" si="78"/>
        <v>L02</v>
      </c>
      <c r="E82" s="62" t="str">
        <f t="shared" si="79"/>
        <v>Mfam</v>
      </c>
      <c r="F82" s="62" t="str">
        <f t="shared" si="80"/>
        <v>Resi</v>
      </c>
      <c r="G82" s="62" t="str">
        <f t="shared" si="81"/>
        <v>Pthp</v>
      </c>
      <c r="H82" s="62" t="str">
        <f ca="1">OFFSET('360SpcLdsCSV'!$B$5,$B82,H$51)</f>
        <v>Level 2</v>
      </c>
      <c r="I82" s="62" t="str">
        <f ca="1">OFFSET('360SpcLdsCSV'!$B$5,$B82,I$51)</f>
        <v>DirectlyConditioned</v>
      </c>
      <c r="J82" s="62" t="str">
        <f ca="1">OFFSET('360SpcLdsCSV'!$B$5,$B82,J$51)</f>
        <v>Dwelling Unit</v>
      </c>
      <c r="K82" s="62" t="str">
        <f ca="1">OFFSET('360SpcLdsCSV'!$B$5,$B82,K$51)</f>
        <v>Residential</v>
      </c>
      <c r="L82" s="62" t="str">
        <f ca="1">OFFSET('360SpcLdsCSV'!$B$5,$B82,L$51)</f>
        <v>Thermal Zone: L02-208_MfamResiPthp</v>
      </c>
      <c r="M82" s="1178">
        <f t="shared" ca="1" si="87"/>
        <v>872.66200000000003</v>
      </c>
      <c r="N82" s="1178">
        <f t="shared" ca="1" si="87"/>
        <v>8726.6200000000008</v>
      </c>
      <c r="O82" s="62" t="str">
        <f ca="1">OFFSET('360SpcLdsCSV'!$B$5,$B82,O$51)</f>
        <v>Dwelling Unit</v>
      </c>
      <c r="P82" s="64">
        <f ca="1">OFFSET('360SpcLdsCSV'!$B$5,$B82,P$51)</f>
        <v>1</v>
      </c>
      <c r="Q82" s="84">
        <f t="shared" ca="1" si="82"/>
        <v>1.0699446062736775</v>
      </c>
      <c r="R82" s="64">
        <f ca="1">OFFSET('360SpcLdsCSV'!$B$5,$B82,R$51)*$P82</f>
        <v>933.7</v>
      </c>
      <c r="S82" s="64">
        <f ca="1">OFFSET('360SpcLdsCSV'!$B$5,$B82,S$51)*$R82/1000</f>
        <v>797.37980000000005</v>
      </c>
      <c r="T82" s="84">
        <f t="shared" ca="1" si="83"/>
        <v>0</v>
      </c>
      <c r="U82" s="64">
        <f ca="1">OFFSET('360SpcLdsCSV'!$B$5,$B82,U$51)</f>
        <v>0</v>
      </c>
      <c r="V82" s="64">
        <f ca="1">OFFSET('360SpcLdsCSV'!$B$5,$B82,V$51)*$U82/1000</f>
        <v>0</v>
      </c>
      <c r="W82" s="84">
        <f t="shared" ca="1" si="84"/>
        <v>0.60000320857330791</v>
      </c>
      <c r="X82" s="64">
        <f ca="1">OFFSET('360SpcLdsCSV'!$B$5,$B82,X$51)*$P82</f>
        <v>523.6</v>
      </c>
      <c r="Y82" s="64">
        <f ca="1">OFFSET('360SpcLdsCSV'!$B$5,$B82,Y$51)*$X82/1000</f>
        <v>447.15440000000001</v>
      </c>
      <c r="Z82" s="84">
        <f t="shared" ca="1" si="85"/>
        <v>0.60000320857330791</v>
      </c>
      <c r="AA82" s="64">
        <f ca="1">OFFSET('360SpcLdsCSV'!$B$5,$B82,AA$51)*$P82</f>
        <v>523.6</v>
      </c>
      <c r="AB82" s="64">
        <f ca="1">OFFSET('360SpcLdsCSV'!$B$5,$B82,AB$51)*$AA82/1000</f>
        <v>447.15440000000001</v>
      </c>
      <c r="AC82" s="65">
        <f ca="1">'Ltg IntTakeoffs'!EZ37</f>
        <v>0</v>
      </c>
      <c r="AD82" s="64">
        <f t="shared" ca="1" si="86"/>
        <v>0</v>
      </c>
      <c r="AE82" s="558">
        <f ca="1">'Ltg IntTakeoffs'!FA37*M82</f>
        <v>0</v>
      </c>
      <c r="AF82" s="559">
        <f ca="1">'Ltg IntTakeoffs'!FB37*M82</f>
        <v>0</v>
      </c>
      <c r="AG82" s="62"/>
      <c r="AH82" s="62"/>
    </row>
    <row r="83" spans="2:34" ht="10.199999999999999" x14ac:dyDescent="0.2">
      <c r="B83" s="62">
        <f>MATCH(C83,'360SpcLdsCSV'!$C$6:$C$500,0)</f>
        <v>27</v>
      </c>
      <c r="C83" s="62" t="str">
        <f>'360SpcLdsCSV'!C32</f>
        <v>L02-209_MfamResiPthp</v>
      </c>
      <c r="D83" s="62" t="str">
        <f t="shared" si="78"/>
        <v>L02</v>
      </c>
      <c r="E83" s="62" t="str">
        <f t="shared" si="79"/>
        <v>Mfam</v>
      </c>
      <c r="F83" s="62" t="str">
        <f t="shared" si="80"/>
        <v>Resi</v>
      </c>
      <c r="G83" s="62" t="str">
        <f t="shared" si="81"/>
        <v>Pthp</v>
      </c>
      <c r="H83" s="62" t="str">
        <f ca="1">OFFSET('360SpcLdsCSV'!$B$5,$B83,H$51)</f>
        <v>Level 2</v>
      </c>
      <c r="I83" s="62" t="str">
        <f ca="1">OFFSET('360SpcLdsCSV'!$B$5,$B83,I$51)</f>
        <v>DirectlyConditioned</v>
      </c>
      <c r="J83" s="62" t="str">
        <f ca="1">OFFSET('360SpcLdsCSV'!$B$5,$B83,J$51)</f>
        <v>Dwelling Unit</v>
      </c>
      <c r="K83" s="62" t="str">
        <f ca="1">OFFSET('360SpcLdsCSV'!$B$5,$B83,K$51)</f>
        <v>Residential</v>
      </c>
      <c r="L83" s="62" t="str">
        <f ca="1">OFFSET('360SpcLdsCSV'!$B$5,$B83,L$51)</f>
        <v>Thermal Zone: L02-209_MfamResiPthp</v>
      </c>
      <c r="M83" s="1178">
        <f t="shared" ca="1" si="87"/>
        <v>1347.52</v>
      </c>
      <c r="N83" s="1178">
        <f t="shared" ca="1" si="87"/>
        <v>13475.2</v>
      </c>
      <c r="O83" s="62" t="str">
        <f ca="1">OFFSET('360SpcLdsCSV'!$B$5,$B83,O$51)</f>
        <v>Dwelling Unit</v>
      </c>
      <c r="P83" s="64">
        <f ca="1">OFFSET('360SpcLdsCSV'!$B$5,$B83,P$51)</f>
        <v>1</v>
      </c>
      <c r="Q83" s="84">
        <f t="shared" ca="1" si="82"/>
        <v>1.069965566373783</v>
      </c>
      <c r="R83" s="64">
        <f ca="1">OFFSET('360SpcLdsCSV'!$B$5,$B83,R$51)*$P83</f>
        <v>1441.8</v>
      </c>
      <c r="S83" s="64">
        <f ca="1">OFFSET('360SpcLdsCSV'!$B$5,$B83,S$51)*$R83/1000</f>
        <v>1231.2972</v>
      </c>
      <c r="T83" s="84">
        <f t="shared" ca="1" si="83"/>
        <v>0</v>
      </c>
      <c r="U83" s="64">
        <f ca="1">OFFSET('360SpcLdsCSV'!$B$5,$B83,U$51)</f>
        <v>0</v>
      </c>
      <c r="V83" s="64">
        <f ca="1">OFFSET('360SpcLdsCSV'!$B$5,$B83,V$51)*$U83/1000</f>
        <v>0</v>
      </c>
      <c r="W83" s="84">
        <f t="shared" ca="1" si="84"/>
        <v>0.59999109475184043</v>
      </c>
      <c r="X83" s="64">
        <f ca="1">OFFSET('360SpcLdsCSV'!$B$5,$B83,X$51)*$P83</f>
        <v>808.5</v>
      </c>
      <c r="Y83" s="64">
        <f ca="1">OFFSET('360SpcLdsCSV'!$B$5,$B83,Y$51)*$X83/1000</f>
        <v>690.45899999999995</v>
      </c>
      <c r="Z83" s="84">
        <f t="shared" ca="1" si="85"/>
        <v>0.59999109475184043</v>
      </c>
      <c r="AA83" s="64">
        <f ca="1">OFFSET('360SpcLdsCSV'!$B$5,$B83,AA$51)*$P83</f>
        <v>808.5</v>
      </c>
      <c r="AB83" s="64">
        <f ca="1">OFFSET('360SpcLdsCSV'!$B$5,$B83,AB$51)*$AA83/1000</f>
        <v>690.45899999999995</v>
      </c>
      <c r="AC83" s="65">
        <f ca="1">'Ltg IntTakeoffs'!EZ38</f>
        <v>0</v>
      </c>
      <c r="AD83" s="64">
        <f t="shared" ca="1" si="86"/>
        <v>0</v>
      </c>
      <c r="AE83" s="558">
        <f ca="1">'Ltg IntTakeoffs'!FA38*M83</f>
        <v>0</v>
      </c>
      <c r="AF83" s="559">
        <f ca="1">'Ltg IntTakeoffs'!FB38*M83</f>
        <v>0</v>
      </c>
      <c r="AG83" s="62"/>
      <c r="AH83" s="62"/>
    </row>
    <row r="84" spans="2:34" ht="15" customHeight="1" x14ac:dyDescent="0.2">
      <c r="B84" s="62">
        <f>MATCH(C84,'360SpcLdsCSV'!$C$6:$C$500,0)</f>
        <v>28</v>
      </c>
      <c r="C84" s="62" t="str">
        <f>'360SpcLdsCSV'!C33</f>
        <v>L02-210_LndyRaccBbrd</v>
      </c>
      <c r="D84" s="62" t="str">
        <f t="shared" si="78"/>
        <v>L02</v>
      </c>
      <c r="E84" s="62" t="str">
        <f t="shared" si="79"/>
        <v>Lndy</v>
      </c>
      <c r="F84" s="62" t="str">
        <f t="shared" si="80"/>
        <v>Racc</v>
      </c>
      <c r="G84" s="62" t="str">
        <f t="shared" si="81"/>
        <v>Bbrd</v>
      </c>
      <c r="H84" s="62" t="str">
        <f ca="1">OFFSET('360SpcLdsCSV'!$B$5,$B84,H$51)</f>
        <v>Level 2</v>
      </c>
      <c r="I84" s="62" t="str">
        <f ca="1">OFFSET('360SpcLdsCSV'!$B$5,$B84,I$51)</f>
        <v>DirectlyConditioned</v>
      </c>
      <c r="J84" s="62" t="str">
        <f ca="1">OFFSET('360SpcLdsCSV'!$B$5,$B84,J$51)</f>
        <v>Laundry/Washing Area</v>
      </c>
      <c r="K84" s="62" t="str">
        <f ca="1">OFFSET('360SpcLdsCSV'!$B$5,$B84,K$51)</f>
        <v>Nonresidential</v>
      </c>
      <c r="L84" s="62" t="str">
        <f ca="1">OFFSET('360SpcLdsCSV'!$B$5,$B84,L$51)</f>
        <v>Thermal Zone: L02-210_LndyRaccBbrd</v>
      </c>
      <c r="M84" s="1178">
        <f t="shared" ca="1" si="87"/>
        <v>272.42880000000002</v>
      </c>
      <c r="N84" s="1178">
        <f t="shared" ca="1" si="87"/>
        <v>2724.29</v>
      </c>
      <c r="O84" s="62" t="str">
        <f ca="1">OFFSET('360SpcLdsCSV'!$B$5,$B84,O$51)</f>
        <v>Laundry/Washing Area</v>
      </c>
      <c r="P84" s="64">
        <f ca="1">OFFSET('360SpcLdsCSV'!$B$5,$B84,P$51)</f>
        <v>1</v>
      </c>
      <c r="Q84" s="84">
        <f t="shared" ca="1" si="82"/>
        <v>0.60015681161463097</v>
      </c>
      <c r="R84" s="64">
        <f ca="1">OFFSET('360SpcLdsCSV'!$B$5,$B84,R$51)*$P84</f>
        <v>163.5</v>
      </c>
      <c r="S84" s="64">
        <f ca="1">OFFSET('360SpcLdsCSV'!$B$5,$B84,S$51)*$R84/1000</f>
        <v>1432.26</v>
      </c>
      <c r="T84" s="84">
        <f t="shared" ca="1" si="83"/>
        <v>0</v>
      </c>
      <c r="U84" s="64">
        <f ca="1">OFFSET('360SpcLdsCSV'!$B$5,$B84,U$51)</f>
        <v>0</v>
      </c>
      <c r="V84" s="64">
        <f ca="1">OFFSET('360SpcLdsCSV'!$B$5,$B84,V$51)*$U84/1000</f>
        <v>0</v>
      </c>
      <c r="W84" s="84">
        <f t="shared" ca="1" si="84"/>
        <v>0.42396398618648246</v>
      </c>
      <c r="X84" s="64">
        <f ca="1">OFFSET('360SpcLdsCSV'!$B$5,$B84,X$51)*$P84</f>
        <v>115.5</v>
      </c>
      <c r="Y84" s="64">
        <f ca="1">OFFSET('360SpcLdsCSV'!$B$5,$B84,Y$51)*$X84/1000</f>
        <v>1011.78</v>
      </c>
      <c r="Z84" s="84">
        <f t="shared" ca="1" si="85"/>
        <v>0.42396398618648246</v>
      </c>
      <c r="AA84" s="64">
        <f ca="1">OFFSET('360SpcLdsCSV'!$B$5,$B84,AA$51)*$P84</f>
        <v>115.5</v>
      </c>
      <c r="AB84" s="64">
        <f ca="1">OFFSET('360SpcLdsCSV'!$B$5,$B84,AB$51)*$AA84/1000</f>
        <v>1011.78</v>
      </c>
      <c r="AC84" s="65">
        <f ca="1">'Ltg IntTakeoffs'!EZ39</f>
        <v>0</v>
      </c>
      <c r="AD84" s="64">
        <f t="shared" ca="1" si="86"/>
        <v>0</v>
      </c>
      <c r="AE84" s="558">
        <f ca="1">'Ltg IntTakeoffs'!FA39*M84</f>
        <v>0</v>
      </c>
      <c r="AF84" s="559">
        <f ca="1">'Ltg IntTakeoffs'!FB39*M84</f>
        <v>0</v>
      </c>
      <c r="AG84" s="62"/>
      <c r="AH84" s="62"/>
    </row>
    <row r="85" spans="2:34" ht="10.199999999999999" x14ac:dyDescent="0.2">
      <c r="B85" s="62">
        <f>MATCH(C85,'360SpcLdsCSV'!$C$6:$C$500,0)</f>
        <v>29</v>
      </c>
      <c r="C85" s="62" t="str">
        <f>'360SpcLdsCSV'!C34</f>
        <v>L02-211_ElevRaccIncd</v>
      </c>
      <c r="D85" s="62" t="str">
        <f t="shared" si="78"/>
        <v>L02</v>
      </c>
      <c r="E85" s="62" t="str">
        <f t="shared" si="79"/>
        <v>Elev</v>
      </c>
      <c r="F85" s="62" t="str">
        <f t="shared" si="80"/>
        <v>Racc</v>
      </c>
      <c r="G85" s="62" t="str">
        <f t="shared" si="81"/>
        <v>Incd</v>
      </c>
      <c r="H85" s="62" t="str">
        <f ca="1">OFFSET('360SpcLdsCSV'!$B$5,$B85,H$51)</f>
        <v>Level 2</v>
      </c>
      <c r="I85" s="62" t="str">
        <f ca="1">OFFSET('360SpcLdsCSV'!$B$5,$B85,I$51)</f>
        <v>IndirectlyConditioned</v>
      </c>
      <c r="J85" s="62" t="str">
        <f ca="1">OFFSET('360SpcLdsCSV'!$B$5,$B85,J$51)</f>
        <v>Unoccupied-Include in Gross Floor Area</v>
      </c>
      <c r="K85" s="62" t="str">
        <f ca="1">OFFSET('360SpcLdsCSV'!$B$5,$B85,K$51)</f>
        <v>Residential</v>
      </c>
      <c r="L85" s="62" t="str">
        <f ca="1">OFFSET('360SpcLdsCSV'!$B$5,$B85,L$51)</f>
        <v>Thermal Zone: L02-200_CorrRaccSphp</v>
      </c>
      <c r="M85" s="1178">
        <f t="shared" ca="1" si="87"/>
        <v>211.21340000000001</v>
      </c>
      <c r="N85" s="1178">
        <f t="shared" ca="1" si="87"/>
        <v>2112.13</v>
      </c>
      <c r="O85" s="62" t="str">
        <f ca="1">OFFSET('360SpcLdsCSV'!$B$5,$B85,O$51)</f>
        <v>Unoccupied-Include in Gross Floor Area</v>
      </c>
      <c r="P85" s="64">
        <f ca="1">OFFSET('360SpcLdsCSV'!$B$5,$B85,P$51)</f>
        <v>1</v>
      </c>
      <c r="Q85" s="84">
        <f t="shared" ca="1" si="82"/>
        <v>0</v>
      </c>
      <c r="R85" s="64">
        <f ca="1">OFFSET('360SpcLdsCSV'!$B$5,$B85,R$51)*$P85</f>
        <v>0</v>
      </c>
      <c r="S85" s="64">
        <f ca="1">OFFSET('360SpcLdsCSV'!$B$5,$B85,S$51)*$R85/1000</f>
        <v>0</v>
      </c>
      <c r="T85" s="84">
        <f t="shared" ca="1" si="83"/>
        <v>0</v>
      </c>
      <c r="U85" s="64">
        <f ca="1">OFFSET('360SpcLdsCSV'!$B$5,$B85,U$51)</f>
        <v>0</v>
      </c>
      <c r="V85" s="64">
        <f ca="1">OFFSET('360SpcLdsCSV'!$B$5,$B85,V$51)*$U85/1000</f>
        <v>0</v>
      </c>
      <c r="W85" s="84">
        <f t="shared" ca="1" si="84"/>
        <v>0</v>
      </c>
      <c r="X85" s="64">
        <f ca="1">OFFSET('360SpcLdsCSV'!$B$5,$B85,X$51)*$P85</f>
        <v>0</v>
      </c>
      <c r="Y85" s="64">
        <f ca="1">OFFSET('360SpcLdsCSV'!$B$5,$B85,Y$51)*$X85/1000</f>
        <v>0</v>
      </c>
      <c r="Z85" s="84">
        <f t="shared" ca="1" si="85"/>
        <v>-473.43587101954705</v>
      </c>
      <c r="AA85" s="64">
        <f ca="1">OFFSET('360SpcLdsCSV'!$B$5,$B85,AA$51)*$P85</f>
        <v>-99996</v>
      </c>
      <c r="AB85" s="64">
        <f ca="1">OFFSET('360SpcLdsCSV'!$B$5,$B85,AB$51)*$AA85/1000</f>
        <v>0</v>
      </c>
      <c r="AC85" s="65">
        <f ca="1">'Ltg IntTakeoffs'!EZ40</f>
        <v>0</v>
      </c>
      <c r="AD85" s="64">
        <f t="shared" ca="1" si="86"/>
        <v>0</v>
      </c>
      <c r="AE85" s="558">
        <f ca="1">'Ltg IntTakeoffs'!FA40*M85</f>
        <v>0</v>
      </c>
      <c r="AF85" s="559">
        <f ca="1">'Ltg IntTakeoffs'!FB40*M85</f>
        <v>0</v>
      </c>
      <c r="AG85" s="62"/>
      <c r="AH85" s="62"/>
    </row>
    <row r="86" spans="2:34" ht="10.199999999999999" x14ac:dyDescent="0.2">
      <c r="B86" s="62">
        <f>MATCH(C86,'360SpcLdsCSV'!$C$6:$C$500,0)</f>
        <v>30</v>
      </c>
      <c r="C86" s="62" t="str">
        <f>'360SpcLdsCSV'!C35</f>
        <v>L02-212_StrsRaccIncd</v>
      </c>
      <c r="D86" s="62" t="str">
        <f t="shared" si="78"/>
        <v>L02</v>
      </c>
      <c r="E86" s="62" t="str">
        <f t="shared" si="79"/>
        <v>Strs</v>
      </c>
      <c r="F86" s="62" t="str">
        <f t="shared" si="80"/>
        <v>Racc</v>
      </c>
      <c r="G86" s="62" t="str">
        <f t="shared" si="81"/>
        <v>Incd</v>
      </c>
      <c r="H86" s="62" t="str">
        <f ca="1">OFFSET('360SpcLdsCSV'!$B$5,$B86,H$51)</f>
        <v>Level 2</v>
      </c>
      <c r="I86" s="62" t="str">
        <f ca="1">OFFSET('360SpcLdsCSV'!$B$5,$B86,I$51)</f>
        <v>IndirectlyConditioned</v>
      </c>
      <c r="J86" s="62" t="str">
        <f ca="1">OFFSET('360SpcLdsCSV'!$B$5,$B86,J$51)</f>
        <v>Stairwell</v>
      </c>
      <c r="K86" s="62" t="str">
        <f ca="1">OFFSET('360SpcLdsCSV'!$B$5,$B86,K$51)</f>
        <v>Nonresidential</v>
      </c>
      <c r="L86" s="62" t="str">
        <f ca="1">OFFSET('360SpcLdsCSV'!$B$5,$B86,L$51)</f>
        <v>Thermal Zone: L02-200_CorrRaccSphp</v>
      </c>
      <c r="M86" s="1178">
        <f t="shared" ca="1" si="87"/>
        <v>236.34819999999999</v>
      </c>
      <c r="N86" s="1178">
        <f t="shared" ca="1" si="87"/>
        <v>2363.48</v>
      </c>
      <c r="O86" s="62" t="str">
        <f ca="1">OFFSET('360SpcLdsCSV'!$B$5,$B86,O$51)</f>
        <v>Stairwell</v>
      </c>
      <c r="P86" s="64">
        <f ca="1">OFFSET('360SpcLdsCSV'!$B$5,$B86,P$51)</f>
        <v>1</v>
      </c>
      <c r="Q86" s="84">
        <f t="shared" ca="1" si="82"/>
        <v>0.59996225907368883</v>
      </c>
      <c r="R86" s="64">
        <f ca="1">OFFSET('360SpcLdsCSV'!$B$5,$B86,R$51)*$P86</f>
        <v>141.80000000000001</v>
      </c>
      <c r="S86" s="64">
        <f ca="1">OFFSET('360SpcLdsCSV'!$B$5,$B86,S$51)*$R86/1000</f>
        <v>1242.1679999999999</v>
      </c>
      <c r="T86" s="84">
        <f t="shared" ca="1" si="83"/>
        <v>0</v>
      </c>
      <c r="U86" s="64">
        <f ca="1">OFFSET('360SpcLdsCSV'!$B$5,$B86,U$51)</f>
        <v>0</v>
      </c>
      <c r="V86" s="64">
        <f ca="1">OFFSET('360SpcLdsCSV'!$B$5,$B86,V$51)*$U86/1000</f>
        <v>0</v>
      </c>
      <c r="W86" s="84">
        <f t="shared" ca="1" si="84"/>
        <v>0.39179481798465143</v>
      </c>
      <c r="X86" s="64">
        <f ca="1">OFFSET('360SpcLdsCSV'!$B$5,$B86,X$51)*$P86</f>
        <v>92.6</v>
      </c>
      <c r="Y86" s="64">
        <f ca="1">OFFSET('360SpcLdsCSV'!$B$5,$B86,Y$51)*$X86/1000</f>
        <v>811.17600000000004</v>
      </c>
      <c r="Z86" s="84">
        <f t="shared" ca="1" si="85"/>
        <v>0.39179481798465143</v>
      </c>
      <c r="AA86" s="64">
        <f ca="1">OFFSET('360SpcLdsCSV'!$B$5,$B86,AA$51)*$P86</f>
        <v>92.6</v>
      </c>
      <c r="AB86" s="64">
        <f ca="1">OFFSET('360SpcLdsCSV'!$B$5,$B86,AB$51)*$AA86/1000</f>
        <v>811.17600000000004</v>
      </c>
      <c r="AC86" s="65">
        <f ca="1">'Ltg IntTakeoffs'!EZ41</f>
        <v>0</v>
      </c>
      <c r="AD86" s="64">
        <f t="shared" ca="1" si="86"/>
        <v>0</v>
      </c>
      <c r="AE86" s="558">
        <f ca="1">'Ltg IntTakeoffs'!FA41*M86</f>
        <v>0</v>
      </c>
      <c r="AF86" s="559">
        <f ca="1">'Ltg IntTakeoffs'!FB41*M86</f>
        <v>0</v>
      </c>
      <c r="AG86" s="62"/>
      <c r="AH86" s="62"/>
    </row>
    <row r="87" spans="2:34" ht="10.199999999999999" x14ac:dyDescent="0.2">
      <c r="B87" s="62">
        <f>MATCH(C87,'360SpcLdsCSV'!$C$6:$C$500,0)</f>
        <v>31</v>
      </c>
      <c r="C87" s="62" t="str">
        <f>'360SpcLdsCSV'!C36</f>
        <v>L02-213_MfamResiPthp</v>
      </c>
      <c r="D87" s="62" t="str">
        <f t="shared" si="78"/>
        <v>L02</v>
      </c>
      <c r="E87" s="62" t="str">
        <f t="shared" si="79"/>
        <v>Mfam</v>
      </c>
      <c r="F87" s="62" t="str">
        <f t="shared" si="80"/>
        <v>Resi</v>
      </c>
      <c r="G87" s="62" t="str">
        <f t="shared" si="81"/>
        <v>Pthp</v>
      </c>
      <c r="H87" s="62" t="str">
        <f ca="1">OFFSET('360SpcLdsCSV'!$B$5,$B87,H$51)</f>
        <v>Level 2</v>
      </c>
      <c r="I87" s="62" t="str">
        <f ca="1">OFFSET('360SpcLdsCSV'!$B$5,$B87,I$51)</f>
        <v>DirectlyConditioned</v>
      </c>
      <c r="J87" s="62" t="str">
        <f ca="1">OFFSET('360SpcLdsCSV'!$B$5,$B87,J$51)</f>
        <v>Dwelling Unit</v>
      </c>
      <c r="K87" s="62" t="str">
        <f ca="1">OFFSET('360SpcLdsCSV'!$B$5,$B87,K$51)</f>
        <v>Residential</v>
      </c>
      <c r="L87" s="62" t="str">
        <f ca="1">OFFSET('360SpcLdsCSV'!$B$5,$B87,L$51)</f>
        <v>Thermal Zone: L02-213_MfamResiPthp</v>
      </c>
      <c r="M87" s="1178">
        <f t="shared" ca="1" si="87"/>
        <v>3034.0410000000002</v>
      </c>
      <c r="N87" s="1178">
        <f t="shared" ca="1" si="87"/>
        <v>30340.400000000001</v>
      </c>
      <c r="O87" s="62" t="str">
        <f ca="1">OFFSET('360SpcLdsCSV'!$B$5,$B87,O$51)</f>
        <v>Dwelling Unit</v>
      </c>
      <c r="P87" s="64">
        <f ca="1">OFFSET('360SpcLdsCSV'!$B$5,$B87,P$51)</f>
        <v>1</v>
      </c>
      <c r="Q87" s="84">
        <f t="shared" ca="1" si="82"/>
        <v>1.0699921326046682</v>
      </c>
      <c r="R87" s="64">
        <f ca="1">OFFSET('360SpcLdsCSV'!$B$5,$B87,R$51)*$P87</f>
        <v>3246.4</v>
      </c>
      <c r="S87" s="64">
        <f ca="1">OFFSET('360SpcLdsCSV'!$B$5,$B87,S$51)*$R87/1000</f>
        <v>2772.4256</v>
      </c>
      <c r="T87" s="84">
        <f t="shared" ca="1" si="83"/>
        <v>0</v>
      </c>
      <c r="U87" s="64">
        <f ca="1">OFFSET('360SpcLdsCSV'!$B$5,$B87,U$51)</f>
        <v>0</v>
      </c>
      <c r="V87" s="64">
        <f ca="1">OFFSET('360SpcLdsCSV'!$B$5,$B87,V$51)*$U87/1000</f>
        <v>0</v>
      </c>
      <c r="W87" s="84">
        <f t="shared" ca="1" si="84"/>
        <v>0.59999189200145941</v>
      </c>
      <c r="X87" s="64">
        <f ca="1">OFFSET('360SpcLdsCSV'!$B$5,$B87,X$51)*$P87</f>
        <v>1820.4</v>
      </c>
      <c r="Y87" s="64">
        <f ca="1">OFFSET('360SpcLdsCSV'!$B$5,$B87,Y$51)*$X87/1000</f>
        <v>1554.6216000000002</v>
      </c>
      <c r="Z87" s="84">
        <f t="shared" ca="1" si="85"/>
        <v>0.59999189200145941</v>
      </c>
      <c r="AA87" s="64">
        <f ca="1">OFFSET('360SpcLdsCSV'!$B$5,$B87,AA$51)*$P87</f>
        <v>1820.4</v>
      </c>
      <c r="AB87" s="64">
        <f ca="1">OFFSET('360SpcLdsCSV'!$B$5,$B87,AB$51)*$AA87/1000</f>
        <v>1554.6216000000002</v>
      </c>
      <c r="AC87" s="65">
        <f ca="1">'Ltg IntTakeoffs'!EZ42</f>
        <v>0</v>
      </c>
      <c r="AD87" s="64">
        <f t="shared" ca="1" si="86"/>
        <v>0</v>
      </c>
      <c r="AE87" s="558">
        <f ca="1">'Ltg IntTakeoffs'!FA42*M87</f>
        <v>0</v>
      </c>
      <c r="AF87" s="559">
        <f ca="1">'Ltg IntTakeoffs'!FB42*M87</f>
        <v>0</v>
      </c>
      <c r="AG87" s="62"/>
      <c r="AH87" s="62"/>
    </row>
    <row r="88" spans="2:34" ht="10.199999999999999" x14ac:dyDescent="0.2">
      <c r="B88" s="62">
        <f>MATCH(C88,'360SpcLdsCSV'!$C$6:$C$500,0)</f>
        <v>32</v>
      </c>
      <c r="C88" s="62" t="str">
        <f>'360SpcLdsCSV'!C37</f>
        <v>L02-214_MechRaccIncd</v>
      </c>
      <c r="D88" s="62" t="str">
        <f t="shared" si="78"/>
        <v>L02</v>
      </c>
      <c r="E88" s="62" t="str">
        <f t="shared" si="79"/>
        <v>Mech</v>
      </c>
      <c r="F88" s="62" t="str">
        <f t="shared" si="80"/>
        <v>Racc</v>
      </c>
      <c r="G88" s="62" t="str">
        <f t="shared" si="81"/>
        <v>Incd</v>
      </c>
      <c r="H88" s="62" t="str">
        <f ca="1">OFFSET('360SpcLdsCSV'!$B$5,$B88,H$51)</f>
        <v>Level 2</v>
      </c>
      <c r="I88" s="62" t="str">
        <f ca="1">OFFSET('360SpcLdsCSV'!$B$5,$B88,I$51)</f>
        <v>IndirectlyConditioned</v>
      </c>
      <c r="J88" s="62" t="str">
        <f ca="1">OFFSET('360SpcLdsCSV'!$B$5,$B88,J$51)</f>
        <v>Electrical/MechanicaI Room</v>
      </c>
      <c r="K88" s="62" t="str">
        <f ca="1">OFFSET('360SpcLdsCSV'!$B$5,$B88,K$51)</f>
        <v>Nonresidential</v>
      </c>
      <c r="L88" s="62" t="str">
        <f ca="1">OFFSET('360SpcLdsCSV'!$B$5,$B88,L$51)</f>
        <v>Thermal Zone: L02-200_CorrRaccSphp</v>
      </c>
      <c r="M88" s="1178">
        <f t="shared" ca="1" si="87"/>
        <v>347.74279999999999</v>
      </c>
      <c r="N88" s="1178">
        <f t="shared" ca="1" si="87"/>
        <v>3477.43</v>
      </c>
      <c r="O88" s="62" t="str">
        <f ca="1">OFFSET('360SpcLdsCSV'!$B$5,$B88,O$51)</f>
        <v>Electrical/MechanicaI Room</v>
      </c>
      <c r="P88" s="64">
        <f ca="1">OFFSET('360SpcLdsCSV'!$B$5,$B88,P$51)</f>
        <v>1</v>
      </c>
      <c r="Q88" s="84">
        <f t="shared" ca="1" si="82"/>
        <v>1.4999591652221125</v>
      </c>
      <c r="R88" s="64">
        <f ca="1">OFFSET('360SpcLdsCSV'!$B$5,$B88,R$51)*$P88</f>
        <v>521.6</v>
      </c>
      <c r="S88" s="64">
        <f ca="1">OFFSET('360SpcLdsCSV'!$B$5,$B88,S$51)*$R88/1000</f>
        <v>4569.2160000000003</v>
      </c>
      <c r="T88" s="84">
        <f t="shared" ca="1" si="83"/>
        <v>0</v>
      </c>
      <c r="U88" s="64">
        <f ca="1">OFFSET('360SpcLdsCSV'!$B$5,$B88,U$51)</f>
        <v>0</v>
      </c>
      <c r="V88" s="64">
        <f ca="1">OFFSET('360SpcLdsCSV'!$B$5,$B88,V$51)*$U88/1000</f>
        <v>0</v>
      </c>
      <c r="W88" s="84">
        <f t="shared" ca="1" si="84"/>
        <v>0.34393235460230953</v>
      </c>
      <c r="X88" s="64">
        <f ca="1">OFFSET('360SpcLdsCSV'!$B$5,$B88,X$51)*$P88</f>
        <v>119.6</v>
      </c>
      <c r="Y88" s="64">
        <f ca="1">OFFSET('360SpcLdsCSV'!$B$5,$B88,Y$51)*$X88/1000</f>
        <v>1047.6959999999999</v>
      </c>
      <c r="Z88" s="84">
        <f t="shared" ca="1" si="85"/>
        <v>0.34393235460230953</v>
      </c>
      <c r="AA88" s="64">
        <f ca="1">OFFSET('360SpcLdsCSV'!$B$5,$B88,AA$51)*$P88</f>
        <v>119.6</v>
      </c>
      <c r="AB88" s="64">
        <f ca="1">OFFSET('360SpcLdsCSV'!$B$5,$B88,AB$51)*$AA88/1000</f>
        <v>1047.6959999999999</v>
      </c>
      <c r="AC88" s="65">
        <f ca="1">'Ltg IntTakeoffs'!EZ43</f>
        <v>0</v>
      </c>
      <c r="AD88" s="64">
        <f t="shared" ca="1" si="86"/>
        <v>0</v>
      </c>
      <c r="AE88" s="558">
        <f ca="1">'Ltg IntTakeoffs'!FA43*M88</f>
        <v>0</v>
      </c>
      <c r="AF88" s="559">
        <f ca="1">'Ltg IntTakeoffs'!FB43*M88</f>
        <v>0</v>
      </c>
      <c r="AG88" s="62"/>
      <c r="AH88" s="62"/>
    </row>
    <row r="89" spans="2:34" ht="10.199999999999999" x14ac:dyDescent="0.2">
      <c r="B89" s="62">
        <f>MATCH(C89,'360SpcLdsCSV'!$C$6:$C$500,0)</f>
        <v>33</v>
      </c>
      <c r="C89" s="62" t="str">
        <f>'360SpcLdsCSV'!C38</f>
        <v>L02-215_ElevRaccIncd</v>
      </c>
      <c r="D89" s="62" t="str">
        <f t="shared" si="78"/>
        <v>L02</v>
      </c>
      <c r="E89" s="62" t="str">
        <f t="shared" si="79"/>
        <v>Elev</v>
      </c>
      <c r="F89" s="62" t="str">
        <f t="shared" si="80"/>
        <v>Racc</v>
      </c>
      <c r="G89" s="62" t="str">
        <f t="shared" si="81"/>
        <v>Incd</v>
      </c>
      <c r="H89" s="62" t="str">
        <f ca="1">OFFSET('360SpcLdsCSV'!$B$5,$B89,H$51)</f>
        <v>Level 2</v>
      </c>
      <c r="I89" s="62" t="str">
        <f ca="1">OFFSET('360SpcLdsCSV'!$B$5,$B89,I$51)</f>
        <v>IndirectlyConditioned</v>
      </c>
      <c r="J89" s="62" t="str">
        <f ca="1">OFFSET('360SpcLdsCSV'!$B$5,$B89,J$51)</f>
        <v>Unoccupied-Include in Gross Floor Area</v>
      </c>
      <c r="K89" s="62" t="str">
        <f ca="1">OFFSET('360SpcLdsCSV'!$B$5,$B89,K$51)</f>
        <v>Nonresidential</v>
      </c>
      <c r="L89" s="62" t="str">
        <f ca="1">OFFSET('360SpcLdsCSV'!$B$5,$B89,L$51)</f>
        <v>Thermal Zone: L02-200_CorrRaccSphp</v>
      </c>
      <c r="M89" s="1178">
        <f t="shared" ca="1" si="87"/>
        <v>178.88640000000001</v>
      </c>
      <c r="N89" s="1178">
        <f t="shared" ca="1" si="87"/>
        <v>1788.86</v>
      </c>
      <c r="O89" s="62" t="str">
        <f ca="1">OFFSET('360SpcLdsCSV'!$B$5,$B89,O$51)</f>
        <v>Unoccupied-Include in Gross Floor Area</v>
      </c>
      <c r="P89" s="64">
        <f ca="1">OFFSET('360SpcLdsCSV'!$B$5,$B89,P$51)</f>
        <v>1</v>
      </c>
      <c r="Q89" s="84">
        <f t="shared" ca="1" si="82"/>
        <v>0</v>
      </c>
      <c r="R89" s="64">
        <f ca="1">OFFSET('360SpcLdsCSV'!$B$5,$B89,R$51)*$P89</f>
        <v>0</v>
      </c>
      <c r="S89" s="64">
        <f ca="1">OFFSET('360SpcLdsCSV'!$B$5,$B89,S$51)*$R89/1000</f>
        <v>0</v>
      </c>
      <c r="T89" s="84">
        <f t="shared" ca="1" si="83"/>
        <v>0</v>
      </c>
      <c r="U89" s="64">
        <f ca="1">OFFSET('360SpcLdsCSV'!$B$5,$B89,U$51)</f>
        <v>0</v>
      </c>
      <c r="V89" s="64">
        <f ca="1">OFFSET('360SpcLdsCSV'!$B$5,$B89,V$51)*$U89/1000</f>
        <v>0</v>
      </c>
      <c r="W89" s="84">
        <f t="shared" ca="1" si="84"/>
        <v>0</v>
      </c>
      <c r="X89" s="64">
        <f ca="1">OFFSET('360SpcLdsCSV'!$B$5,$B89,X$51)*$P89</f>
        <v>0</v>
      </c>
      <c r="Y89" s="64">
        <f ca="1">OFFSET('360SpcLdsCSV'!$B$5,$B89,Y$51)*$X89/1000</f>
        <v>0</v>
      </c>
      <c r="Z89" s="84">
        <f t="shared" ca="1" si="85"/>
        <v>-558.99162820650417</v>
      </c>
      <c r="AA89" s="64">
        <f ca="1">OFFSET('360SpcLdsCSV'!$B$5,$B89,AA$51)*$P89</f>
        <v>-99996</v>
      </c>
      <c r="AB89" s="64">
        <f ca="1">OFFSET('360SpcLdsCSV'!$B$5,$B89,AB$51)*$AA89/1000</f>
        <v>0</v>
      </c>
      <c r="AC89" s="65">
        <f ca="1">'Ltg IntTakeoffs'!EZ44</f>
        <v>0</v>
      </c>
      <c r="AD89" s="64">
        <f t="shared" ca="1" si="86"/>
        <v>0</v>
      </c>
      <c r="AE89" s="558">
        <f ca="1">'Ltg IntTakeoffs'!FA44*M89</f>
        <v>0</v>
      </c>
      <c r="AF89" s="559">
        <f ca="1">'Ltg IntTakeoffs'!FB44*M89</f>
        <v>0</v>
      </c>
      <c r="AG89" s="62"/>
      <c r="AH89" s="62"/>
    </row>
    <row r="90" spans="2:34" ht="10.199999999999999" x14ac:dyDescent="0.2">
      <c r="B90" s="62">
        <f>MATCH(C90,'360SpcLdsCSV'!$C$6:$C$500,0)</f>
        <v>34</v>
      </c>
      <c r="C90" s="62" t="str">
        <f>'360SpcLdsCSV'!C39</f>
        <v>L02-216_StrsRaccIncd</v>
      </c>
      <c r="D90" s="62" t="str">
        <f t="shared" si="78"/>
        <v>L02</v>
      </c>
      <c r="E90" s="62" t="str">
        <f t="shared" si="79"/>
        <v>Strs</v>
      </c>
      <c r="F90" s="62" t="str">
        <f t="shared" si="80"/>
        <v>Racc</v>
      </c>
      <c r="G90" s="62" t="str">
        <f t="shared" si="81"/>
        <v>Incd</v>
      </c>
      <c r="H90" s="62" t="str">
        <f ca="1">OFFSET('360SpcLdsCSV'!$B$5,$B90,H$51)</f>
        <v>Level 2</v>
      </c>
      <c r="I90" s="62" t="str">
        <f ca="1">OFFSET('360SpcLdsCSV'!$B$5,$B90,I$51)</f>
        <v>IndirectlyConditioned</v>
      </c>
      <c r="J90" s="62" t="str">
        <f ca="1">OFFSET('360SpcLdsCSV'!$B$5,$B90,J$51)</f>
        <v>Stairwell</v>
      </c>
      <c r="K90" s="62" t="str">
        <f ca="1">OFFSET('360SpcLdsCSV'!$B$5,$B90,K$51)</f>
        <v>Nonresidential</v>
      </c>
      <c r="L90" s="62" t="str">
        <f ca="1">OFFSET('360SpcLdsCSV'!$B$5,$B90,L$51)</f>
        <v>Thermal Zone: L02-200_CorrRaccSphp</v>
      </c>
      <c r="M90" s="1178">
        <f t="shared" ca="1" si="87"/>
        <v>232.53399999999999</v>
      </c>
      <c r="N90" s="1178">
        <f t="shared" ca="1" si="87"/>
        <v>2325.34</v>
      </c>
      <c r="O90" s="62" t="str">
        <f ca="1">OFFSET('360SpcLdsCSV'!$B$5,$B90,O$51)</f>
        <v>Stairwell</v>
      </c>
      <c r="P90" s="64">
        <f ca="1">OFFSET('360SpcLdsCSV'!$B$5,$B90,P$51)</f>
        <v>1</v>
      </c>
      <c r="Q90" s="84">
        <f t="shared" ca="1" si="82"/>
        <v>0.59991227089371879</v>
      </c>
      <c r="R90" s="64">
        <f ca="1">OFFSET('360SpcLdsCSV'!$B$5,$B90,R$51)*$P90</f>
        <v>139.5</v>
      </c>
      <c r="S90" s="64">
        <f ca="1">OFFSET('360SpcLdsCSV'!$B$5,$B90,S$51)*$R90/1000</f>
        <v>1222.02</v>
      </c>
      <c r="T90" s="84">
        <f t="shared" ca="1" si="83"/>
        <v>0</v>
      </c>
      <c r="U90" s="64">
        <f ca="1">OFFSET('360SpcLdsCSV'!$B$5,$B90,U$51)</f>
        <v>0</v>
      </c>
      <c r="V90" s="64">
        <f ca="1">OFFSET('360SpcLdsCSV'!$B$5,$B90,V$51)*$U90/1000</f>
        <v>0</v>
      </c>
      <c r="W90" s="84">
        <f t="shared" ca="1" si="84"/>
        <v>0.39220071043374305</v>
      </c>
      <c r="X90" s="64">
        <f ca="1">OFFSET('360SpcLdsCSV'!$B$5,$B90,X$51)*$P90</f>
        <v>91.2</v>
      </c>
      <c r="Y90" s="64">
        <f ca="1">OFFSET('360SpcLdsCSV'!$B$5,$B90,Y$51)*$X90/1000</f>
        <v>798.91200000000003</v>
      </c>
      <c r="Z90" s="84">
        <f t="shared" ca="1" si="85"/>
        <v>0.39220071043374305</v>
      </c>
      <c r="AA90" s="64">
        <f ca="1">OFFSET('360SpcLdsCSV'!$B$5,$B90,AA$51)*$P90</f>
        <v>91.2</v>
      </c>
      <c r="AB90" s="64">
        <f ca="1">OFFSET('360SpcLdsCSV'!$B$5,$B90,AB$51)*$AA90/1000</f>
        <v>798.91200000000003</v>
      </c>
      <c r="AC90" s="65">
        <f ca="1">'Ltg IntTakeoffs'!EZ45</f>
        <v>0</v>
      </c>
      <c r="AD90" s="64">
        <f t="shared" ca="1" si="86"/>
        <v>0</v>
      </c>
      <c r="AE90" s="558">
        <f ca="1">'Ltg IntTakeoffs'!FA45*M90</f>
        <v>0</v>
      </c>
      <c r="AF90" s="559">
        <f ca="1">'Ltg IntTakeoffs'!FB45*M90</f>
        <v>0</v>
      </c>
      <c r="AG90" s="62"/>
      <c r="AH90" s="62"/>
    </row>
    <row r="91" spans="2:34" ht="10.199999999999999" x14ac:dyDescent="0.2">
      <c r="B91" s="62">
        <f>MATCH(C91,'360SpcLdsCSV'!$C$6:$C$500,0)</f>
        <v>35</v>
      </c>
      <c r="C91" s="62" t="str">
        <f>'360SpcLdsCSV'!C40</f>
        <v>L02-217_MfamResiPthp</v>
      </c>
      <c r="D91" s="62" t="str">
        <f t="shared" si="78"/>
        <v>L02</v>
      </c>
      <c r="E91" s="62" t="str">
        <f t="shared" si="79"/>
        <v>Mfam</v>
      </c>
      <c r="F91" s="62" t="str">
        <f t="shared" si="80"/>
        <v>Resi</v>
      </c>
      <c r="G91" s="62" t="str">
        <f t="shared" si="81"/>
        <v>Pthp</v>
      </c>
      <c r="H91" s="62" t="str">
        <f ca="1">OFFSET('360SpcLdsCSV'!$B$5,$B91,H$51)</f>
        <v>Level 2</v>
      </c>
      <c r="I91" s="62" t="str">
        <f ca="1">OFFSET('360SpcLdsCSV'!$B$5,$B91,I$51)</f>
        <v>DirectlyConditioned</v>
      </c>
      <c r="J91" s="62" t="str">
        <f ca="1">OFFSET('360SpcLdsCSV'!$B$5,$B91,J$51)</f>
        <v>Dwelling Unit</v>
      </c>
      <c r="K91" s="62" t="str">
        <f ca="1">OFFSET('360SpcLdsCSV'!$B$5,$B91,K$51)</f>
        <v>Residential</v>
      </c>
      <c r="L91" s="62" t="str">
        <f ca="1">OFFSET('360SpcLdsCSV'!$B$5,$B91,L$51)</f>
        <v>Thermal Zone: L02-217_MfamResiPthp</v>
      </c>
      <c r="M91" s="1178">
        <f t="shared" ca="1" si="87"/>
        <v>839.5806</v>
      </c>
      <c r="N91" s="1178">
        <f t="shared" ca="1" si="87"/>
        <v>8395.81</v>
      </c>
      <c r="O91" s="62" t="str">
        <f ca="1">OFFSET('360SpcLdsCSV'!$B$5,$B91,O$51)</f>
        <v>Dwelling Unit</v>
      </c>
      <c r="P91" s="64">
        <f ca="1">OFFSET('360SpcLdsCSV'!$B$5,$B91,P$51)</f>
        <v>1</v>
      </c>
      <c r="Q91" s="84">
        <f t="shared" ca="1" si="82"/>
        <v>1.0700580742337304</v>
      </c>
      <c r="R91" s="64">
        <f ca="1">OFFSET('360SpcLdsCSV'!$B$5,$B91,R$51)*$P91</f>
        <v>898.4</v>
      </c>
      <c r="S91" s="64">
        <f ca="1">OFFSET('360SpcLdsCSV'!$B$5,$B91,S$51)*$R91/1000</f>
        <v>767.23360000000002</v>
      </c>
      <c r="T91" s="84">
        <f t="shared" ca="1" si="83"/>
        <v>0</v>
      </c>
      <c r="U91" s="64">
        <f ca="1">OFFSET('360SpcLdsCSV'!$B$5,$B91,U$51)</f>
        <v>0</v>
      </c>
      <c r="V91" s="64">
        <f ca="1">OFFSET('360SpcLdsCSV'!$B$5,$B91,V$51)*$U91/1000</f>
        <v>0</v>
      </c>
      <c r="W91" s="84">
        <f t="shared" ca="1" si="84"/>
        <v>0.59994239981247777</v>
      </c>
      <c r="X91" s="64">
        <f ca="1">OFFSET('360SpcLdsCSV'!$B$5,$B91,X$51)*$P91</f>
        <v>503.7</v>
      </c>
      <c r="Y91" s="64">
        <f ca="1">OFFSET('360SpcLdsCSV'!$B$5,$B91,Y$51)*$X91/1000</f>
        <v>430.15979999999996</v>
      </c>
      <c r="Z91" s="84">
        <f t="shared" ca="1" si="85"/>
        <v>0.59994239981247777</v>
      </c>
      <c r="AA91" s="64">
        <f ca="1">OFFSET('360SpcLdsCSV'!$B$5,$B91,AA$51)*$P91</f>
        <v>503.7</v>
      </c>
      <c r="AB91" s="64">
        <f ca="1">OFFSET('360SpcLdsCSV'!$B$5,$B91,AB$51)*$AA91/1000</f>
        <v>430.15979999999996</v>
      </c>
      <c r="AC91" s="65">
        <f ca="1">'Ltg IntTakeoffs'!EZ46</f>
        <v>0</v>
      </c>
      <c r="AD91" s="64">
        <f t="shared" ca="1" si="86"/>
        <v>0</v>
      </c>
      <c r="AE91" s="558">
        <f ca="1">'Ltg IntTakeoffs'!FA46*M91</f>
        <v>0</v>
      </c>
      <c r="AF91" s="559">
        <f ca="1">'Ltg IntTakeoffs'!FB46*M91</f>
        <v>0</v>
      </c>
      <c r="AG91" s="62"/>
      <c r="AH91" s="62"/>
    </row>
    <row r="92" spans="2:34" ht="10.199999999999999" x14ac:dyDescent="0.2">
      <c r="B92" s="62">
        <f>MATCH(C92,'360SpcLdsCSV'!$C$6:$C$500,0)</f>
        <v>36</v>
      </c>
      <c r="C92" s="62" t="str">
        <f>'360SpcLdsCSV'!C41</f>
        <v>L02-218_TrshRaccIncd</v>
      </c>
      <c r="D92" s="62" t="str">
        <f t="shared" si="78"/>
        <v>L02</v>
      </c>
      <c r="E92" s="62" t="str">
        <f t="shared" si="79"/>
        <v>Trsh</v>
      </c>
      <c r="F92" s="62" t="str">
        <f t="shared" si="80"/>
        <v>Racc</v>
      </c>
      <c r="G92" s="62" t="str">
        <f t="shared" si="81"/>
        <v>Incd</v>
      </c>
      <c r="H92" s="62" t="str">
        <f ca="1">OFFSET('360SpcLdsCSV'!$B$5,$B92,H$51)</f>
        <v>Level 2</v>
      </c>
      <c r="I92" s="62" t="str">
        <f ca="1">OFFSET('360SpcLdsCSV'!$B$5,$B92,I$51)</f>
        <v>IndirectlyConditioned</v>
      </c>
      <c r="J92" s="62" t="str">
        <f ca="1">OFFSET('360SpcLdsCSV'!$B$5,$B92,J$51)</f>
        <v>Storage Room - &lt;50 ft2</v>
      </c>
      <c r="K92" s="62" t="str">
        <f ca="1">OFFSET('360SpcLdsCSV'!$B$5,$B92,K$51)</f>
        <v>Nonresidential</v>
      </c>
      <c r="L92" s="62" t="str">
        <f ca="1">OFFSET('360SpcLdsCSV'!$B$5,$B92,L$51)</f>
        <v>Thermal Zone: L02-200_CorrRaccSphp</v>
      </c>
      <c r="M92" s="1178">
        <f t="shared" ca="1" si="87"/>
        <v>187.88740000000001</v>
      </c>
      <c r="N92" s="1178">
        <f t="shared" ca="1" si="87"/>
        <v>1878.87</v>
      </c>
      <c r="O92" s="62" t="str">
        <f ca="1">OFFSET('360SpcLdsCSV'!$B$5,$B92,O$51)</f>
        <v>Storage Room - &lt;50 ft2</v>
      </c>
      <c r="P92" s="64">
        <f ca="1">OFFSET('360SpcLdsCSV'!$B$5,$B92,P$51)</f>
        <v>1</v>
      </c>
      <c r="Q92" s="84">
        <f t="shared" ca="1" si="82"/>
        <v>0.79994720242017292</v>
      </c>
      <c r="R92" s="64">
        <f ca="1">OFFSET('360SpcLdsCSV'!$B$5,$B92,R$51)*$P92</f>
        <v>150.30000000000001</v>
      </c>
      <c r="S92" s="64">
        <f ca="1">OFFSET('360SpcLdsCSV'!$B$5,$B92,S$51)*$R92/1000</f>
        <v>1316.6279999999999</v>
      </c>
      <c r="T92" s="84">
        <f t="shared" ca="1" si="83"/>
        <v>0</v>
      </c>
      <c r="U92" s="64">
        <f ca="1">OFFSET('360SpcLdsCSV'!$B$5,$B92,U$51)</f>
        <v>0</v>
      </c>
      <c r="V92" s="64">
        <f ca="1">OFFSET('360SpcLdsCSV'!$B$5,$B92,V$51)*$U92/1000</f>
        <v>0</v>
      </c>
      <c r="W92" s="84">
        <f t="shared" ca="1" si="84"/>
        <v>0.30390542420620009</v>
      </c>
      <c r="X92" s="64">
        <f ca="1">OFFSET('360SpcLdsCSV'!$B$5,$B92,X$51)*$P92</f>
        <v>57.1</v>
      </c>
      <c r="Y92" s="64">
        <f ca="1">OFFSET('360SpcLdsCSV'!$B$5,$B92,Y$51)*$X92/1000</f>
        <v>500.19600000000003</v>
      </c>
      <c r="Z92" s="84">
        <f t="shared" ca="1" si="85"/>
        <v>0.30390542420620009</v>
      </c>
      <c r="AA92" s="64">
        <f ca="1">OFFSET('360SpcLdsCSV'!$B$5,$B92,AA$51)*$P92</f>
        <v>57.1</v>
      </c>
      <c r="AB92" s="64">
        <f ca="1">OFFSET('360SpcLdsCSV'!$B$5,$B92,AB$51)*$AA92/1000</f>
        <v>500.19600000000003</v>
      </c>
      <c r="AC92" s="65">
        <f ca="1">'Ltg IntTakeoffs'!EZ47</f>
        <v>0</v>
      </c>
      <c r="AD92" s="64">
        <f t="shared" ca="1" si="86"/>
        <v>0</v>
      </c>
      <c r="AE92" s="558">
        <f ca="1">'Ltg IntTakeoffs'!FA47*M92</f>
        <v>0</v>
      </c>
      <c r="AF92" s="559">
        <f ca="1">'Ltg IntTakeoffs'!FB47*M92</f>
        <v>0</v>
      </c>
      <c r="AG92" s="62"/>
      <c r="AH92" s="62"/>
    </row>
    <row r="93" spans="2:34" ht="10.199999999999999" x14ac:dyDescent="0.2">
      <c r="B93" s="62">
        <f>MATCH(C93,'360SpcLdsCSV'!$C$6:$C$500,0)</f>
        <v>37</v>
      </c>
      <c r="C93" s="62" t="str">
        <f>'360SpcLdsCSV'!C42</f>
        <v>L03-300_CorrRaccSphp</v>
      </c>
      <c r="D93" s="62" t="str">
        <f t="shared" si="78"/>
        <v>L03</v>
      </c>
      <c r="E93" s="62" t="str">
        <f t="shared" si="79"/>
        <v>Corr</v>
      </c>
      <c r="F93" s="62" t="str">
        <f t="shared" si="80"/>
        <v>Racc</v>
      </c>
      <c r="G93" s="62" t="str">
        <f t="shared" si="81"/>
        <v>Sphp</v>
      </c>
      <c r="H93" s="62" t="str">
        <f ca="1">OFFSET('360SpcLdsCSV'!$B$5,$B93,H$51)</f>
        <v>Level 3</v>
      </c>
      <c r="I93" s="62" t="str">
        <f ca="1">OFFSET('360SpcLdsCSV'!$B$5,$B93,I$51)</f>
        <v>DirectlyConditioned</v>
      </c>
      <c r="J93" s="62" t="str">
        <f ca="1">OFFSET('360SpcLdsCSV'!$B$5,$B93,J$51)</f>
        <v>Corridor - All other</v>
      </c>
      <c r="K93" s="62" t="str">
        <f ca="1">OFFSET('360SpcLdsCSV'!$B$5,$B93,K$51)</f>
        <v>Nonresidential</v>
      </c>
      <c r="L93" s="62" t="str">
        <f ca="1">OFFSET('360SpcLdsCSV'!$B$5,$B93,L$51)</f>
        <v>Thermal Zone: L03-300_CorrRaccSphp</v>
      </c>
      <c r="M93" s="1178">
        <f t="shared" ca="1" si="87"/>
        <v>5748.1368000000002</v>
      </c>
      <c r="N93" s="1178">
        <f t="shared" ca="1" si="87"/>
        <v>57481.5</v>
      </c>
      <c r="O93" s="62" t="str">
        <f ca="1">OFFSET('360SpcLdsCSV'!$B$5,$B93,O$51)</f>
        <v>Corridor - All other</v>
      </c>
      <c r="P93" s="64">
        <f ca="1">OFFSET('360SpcLdsCSV'!$B$5,$B93,P$51)</f>
        <v>3</v>
      </c>
      <c r="Q93" s="84">
        <f t="shared" ca="1" si="82"/>
        <v>0.49998810049197157</v>
      </c>
      <c r="R93" s="64">
        <f ca="1">OFFSET('360SpcLdsCSV'!$B$5,$B93,R$51)*$P93</f>
        <v>2874</v>
      </c>
      <c r="S93" s="64">
        <f ca="1">OFFSET('360SpcLdsCSV'!$B$5,$B93,S$51)*$R93/1000</f>
        <v>25176.240000000002</v>
      </c>
      <c r="T93" s="84">
        <f t="shared" ca="1" si="83"/>
        <v>0</v>
      </c>
      <c r="U93" s="64">
        <f ca="1">OFFSET('360SpcLdsCSV'!$B$5,$B93,U$51)</f>
        <v>0</v>
      </c>
      <c r="V93" s="64">
        <f ca="1">OFFSET('360SpcLdsCSV'!$B$5,$B93,V$51)*$U93/1000</f>
        <v>0</v>
      </c>
      <c r="W93" s="84">
        <f t="shared" ca="1" si="84"/>
        <v>0.32801933315157006</v>
      </c>
      <c r="X93" s="64">
        <f ca="1">OFFSET('360SpcLdsCSV'!$B$5,$B93,X$51)*$P93</f>
        <v>1885.5</v>
      </c>
      <c r="Y93" s="64">
        <f ca="1">OFFSET('360SpcLdsCSV'!$B$5,$B93,Y$51)*$X93/1000</f>
        <v>16516.98</v>
      </c>
      <c r="Z93" s="84">
        <f t="shared" ca="1" si="85"/>
        <v>0.32801933315157006</v>
      </c>
      <c r="AA93" s="64">
        <f ca="1">OFFSET('360SpcLdsCSV'!$B$5,$B93,AA$51)*$P93</f>
        <v>1885.5</v>
      </c>
      <c r="AB93" s="64">
        <f ca="1">OFFSET('360SpcLdsCSV'!$B$5,$B93,AB$51)*$AA93/1000</f>
        <v>16516.98</v>
      </c>
      <c r="AC93" s="65">
        <f ca="1">'Ltg IntTakeoffs'!EZ48</f>
        <v>0</v>
      </c>
      <c r="AD93" s="64">
        <f t="shared" ca="1" si="86"/>
        <v>0</v>
      </c>
      <c r="AE93" s="558">
        <f ca="1">'Ltg IntTakeoffs'!FA48*M93</f>
        <v>0</v>
      </c>
      <c r="AF93" s="559">
        <f ca="1">'Ltg IntTakeoffs'!FB48*M93</f>
        <v>0</v>
      </c>
      <c r="AG93" s="62"/>
      <c r="AH93" s="62"/>
    </row>
    <row r="94" spans="2:34" ht="15" customHeight="1" x14ac:dyDescent="0.2">
      <c r="B94" s="62">
        <f>MATCH(C94,'360SpcLdsCSV'!$C$6:$C$500,0)</f>
        <v>38</v>
      </c>
      <c r="C94" s="62" t="str">
        <f>'360SpcLdsCSV'!C43</f>
        <v>L03-301_MfamResiPthp</v>
      </c>
      <c r="D94" s="62" t="str">
        <f t="shared" si="78"/>
        <v>L03</v>
      </c>
      <c r="E94" s="62" t="str">
        <f t="shared" si="79"/>
        <v>Mfam</v>
      </c>
      <c r="F94" s="62" t="str">
        <f t="shared" si="80"/>
        <v>Resi</v>
      </c>
      <c r="G94" s="62" t="str">
        <f t="shared" si="81"/>
        <v>Pthp</v>
      </c>
      <c r="H94" s="62" t="str">
        <f ca="1">OFFSET('360SpcLdsCSV'!$B$5,$B94,H$51)</f>
        <v>Level 3</v>
      </c>
      <c r="I94" s="62" t="str">
        <f ca="1">OFFSET('360SpcLdsCSV'!$B$5,$B94,I$51)</f>
        <v>DirectlyConditioned</v>
      </c>
      <c r="J94" s="62" t="str">
        <f ca="1">OFFSET('360SpcLdsCSV'!$B$5,$B94,J$51)</f>
        <v>Dwelling Unit</v>
      </c>
      <c r="K94" s="62" t="str">
        <f ca="1">OFFSET('360SpcLdsCSV'!$B$5,$B94,K$51)</f>
        <v>Residential</v>
      </c>
      <c r="L94" s="62" t="str">
        <f ca="1">OFFSET('360SpcLdsCSV'!$B$5,$B94,L$51)</f>
        <v>Thermal Zone: L03-301_MfamResiPthp</v>
      </c>
      <c r="M94" s="1178">
        <f t="shared" ca="1" si="87"/>
        <v>2617.0847999999996</v>
      </c>
      <c r="N94" s="1178">
        <f t="shared" ca="1" si="87"/>
        <v>26170.86</v>
      </c>
      <c r="O94" s="62" t="str">
        <f ca="1">OFFSET('360SpcLdsCSV'!$B$5,$B94,O$51)</f>
        <v>Dwelling Unit</v>
      </c>
      <c r="P94" s="64">
        <f ca="1">OFFSET('360SpcLdsCSV'!$B$5,$B94,P$51)</f>
        <v>3</v>
      </c>
      <c r="Q94" s="84">
        <f t="shared" ca="1" si="82"/>
        <v>1.0699691504073541</v>
      </c>
      <c r="R94" s="64">
        <f ca="1">OFFSET('360SpcLdsCSV'!$B$5,$B94,R$51)*$P94</f>
        <v>2800.2</v>
      </c>
      <c r="S94" s="64">
        <f ca="1">OFFSET('360SpcLdsCSV'!$B$5,$B94,S$51)*$R94/1000</f>
        <v>2391.3707999999997</v>
      </c>
      <c r="T94" s="84">
        <f t="shared" ca="1" si="83"/>
        <v>0</v>
      </c>
      <c r="U94" s="64">
        <f ca="1">OFFSET('360SpcLdsCSV'!$B$5,$B94,U$51)</f>
        <v>0</v>
      </c>
      <c r="V94" s="64">
        <f ca="1">OFFSET('360SpcLdsCSV'!$B$5,$B94,V$51)*$U94/1000</f>
        <v>0</v>
      </c>
      <c r="W94" s="84">
        <f t="shared" ca="1" si="84"/>
        <v>0.59998055852068688</v>
      </c>
      <c r="X94" s="64">
        <f ca="1">OFFSET('360SpcLdsCSV'!$B$5,$B94,X$51)*$P94</f>
        <v>1570.1999999999998</v>
      </c>
      <c r="Y94" s="64">
        <f ca="1">OFFSET('360SpcLdsCSV'!$B$5,$B94,Y$51)*$X94/1000</f>
        <v>1340.9507999999998</v>
      </c>
      <c r="Z94" s="84">
        <f t="shared" ca="1" si="85"/>
        <v>0.59998055852068688</v>
      </c>
      <c r="AA94" s="64">
        <f ca="1">OFFSET('360SpcLdsCSV'!$B$5,$B94,AA$51)*$P94</f>
        <v>1570.1999999999998</v>
      </c>
      <c r="AB94" s="64">
        <f ca="1">OFFSET('360SpcLdsCSV'!$B$5,$B94,AB$51)*$AA94/1000</f>
        <v>1340.9507999999998</v>
      </c>
      <c r="AC94" s="65">
        <f ca="1">'Ltg IntTakeoffs'!EZ49</f>
        <v>0</v>
      </c>
      <c r="AD94" s="64">
        <f t="shared" ca="1" si="86"/>
        <v>0</v>
      </c>
      <c r="AE94" s="558">
        <f ca="1">'Ltg IntTakeoffs'!FA49*M94</f>
        <v>0</v>
      </c>
      <c r="AF94" s="559">
        <f ca="1">'Ltg IntTakeoffs'!FB49*M94</f>
        <v>0</v>
      </c>
      <c r="AG94" s="62"/>
      <c r="AH94" s="62"/>
    </row>
    <row r="95" spans="2:34" ht="15" customHeight="1" x14ac:dyDescent="0.2">
      <c r="B95" s="62">
        <f>MATCH(C95,'360SpcLdsCSV'!$C$6:$C$500,0)</f>
        <v>39</v>
      </c>
      <c r="C95" s="62" t="str">
        <f>'360SpcLdsCSV'!C44</f>
        <v>L03-302_MfamResiPthp</v>
      </c>
      <c r="D95" s="62" t="str">
        <f t="shared" si="78"/>
        <v>L03</v>
      </c>
      <c r="E95" s="62" t="str">
        <f t="shared" si="79"/>
        <v>Mfam</v>
      </c>
      <c r="F95" s="62" t="str">
        <f t="shared" si="80"/>
        <v>Resi</v>
      </c>
      <c r="G95" s="62" t="str">
        <f t="shared" si="81"/>
        <v>Pthp</v>
      </c>
      <c r="H95" s="62" t="str">
        <f ca="1">OFFSET('360SpcLdsCSV'!$B$5,$B95,H$51)</f>
        <v>Level 3</v>
      </c>
      <c r="I95" s="62" t="str">
        <f ca="1">OFFSET('360SpcLdsCSV'!$B$5,$B95,I$51)</f>
        <v>DirectlyConditioned</v>
      </c>
      <c r="J95" s="62" t="str">
        <f ca="1">OFFSET('360SpcLdsCSV'!$B$5,$B95,J$51)</f>
        <v>Dwelling Unit</v>
      </c>
      <c r="K95" s="62" t="str">
        <f ca="1">OFFSET('360SpcLdsCSV'!$B$5,$B95,K$51)</f>
        <v>Residential</v>
      </c>
      <c r="L95" s="62" t="str">
        <f ca="1">OFFSET('360SpcLdsCSV'!$B$5,$B95,L$51)</f>
        <v>Thermal Zone: L03-302_MfamResiPthp</v>
      </c>
      <c r="M95" s="1178">
        <f t="shared" ca="1" si="87"/>
        <v>4982.0832</v>
      </c>
      <c r="N95" s="1178">
        <f t="shared" ca="1" si="87"/>
        <v>49820.700000000004</v>
      </c>
      <c r="O95" s="62" t="str">
        <f ca="1">OFFSET('360SpcLdsCSV'!$B$5,$B95,O$51)</f>
        <v>Dwelling Unit</v>
      </c>
      <c r="P95" s="64">
        <f ca="1">OFFSET('360SpcLdsCSV'!$B$5,$B95,P$51)</f>
        <v>3</v>
      </c>
      <c r="Q95" s="84">
        <f t="shared" ca="1" si="82"/>
        <v>1.0699741023995746</v>
      </c>
      <c r="R95" s="64">
        <f ca="1">OFFSET('360SpcLdsCSV'!$B$5,$B95,R$51)*$P95</f>
        <v>5330.7000000000007</v>
      </c>
      <c r="S95" s="64">
        <f ca="1">OFFSET('360SpcLdsCSV'!$B$5,$B95,S$51)*$R95/1000</f>
        <v>4552.4178000000011</v>
      </c>
      <c r="T95" s="84">
        <f t="shared" ca="1" si="83"/>
        <v>0</v>
      </c>
      <c r="U95" s="64">
        <f ca="1">OFFSET('360SpcLdsCSV'!$B$5,$B95,U$51)</f>
        <v>0</v>
      </c>
      <c r="V95" s="64">
        <f ca="1">OFFSET('360SpcLdsCSV'!$B$5,$B95,V$51)*$U95/1000</f>
        <v>0</v>
      </c>
      <c r="W95" s="84">
        <f t="shared" ca="1" si="84"/>
        <v>0.59998998009507343</v>
      </c>
      <c r="X95" s="64">
        <f ca="1">OFFSET('360SpcLdsCSV'!$B$5,$B95,X$51)*$P95</f>
        <v>2989.2</v>
      </c>
      <c r="Y95" s="64">
        <f ca="1">OFFSET('360SpcLdsCSV'!$B$5,$B95,Y$51)*$X95/1000</f>
        <v>2552.7767999999996</v>
      </c>
      <c r="Z95" s="84">
        <f t="shared" ca="1" si="85"/>
        <v>0.59998998009507343</v>
      </c>
      <c r="AA95" s="64">
        <f ca="1">OFFSET('360SpcLdsCSV'!$B$5,$B95,AA$51)*$P95</f>
        <v>2989.2</v>
      </c>
      <c r="AB95" s="64">
        <f ca="1">OFFSET('360SpcLdsCSV'!$B$5,$B95,AB$51)*$AA95/1000</f>
        <v>2552.7767999999996</v>
      </c>
      <c r="AC95" s="65">
        <f ca="1">'Ltg IntTakeoffs'!EZ50</f>
        <v>0</v>
      </c>
      <c r="AD95" s="64">
        <f t="shared" ca="1" si="86"/>
        <v>0</v>
      </c>
      <c r="AE95" s="558">
        <f ca="1">'Ltg IntTakeoffs'!FA50*M95</f>
        <v>0</v>
      </c>
      <c r="AF95" s="559">
        <f ca="1">'Ltg IntTakeoffs'!FB50*M95</f>
        <v>0</v>
      </c>
      <c r="AG95" s="62"/>
      <c r="AH95" s="62"/>
    </row>
    <row r="96" spans="2:34" ht="10.199999999999999" x14ac:dyDescent="0.2">
      <c r="B96" s="62">
        <f>MATCH(C96,'360SpcLdsCSV'!$C$6:$C$500,0)</f>
        <v>40</v>
      </c>
      <c r="C96" s="62" t="str">
        <f>'360SpcLdsCSV'!C45</f>
        <v>L03-303_MfamResiPthp</v>
      </c>
      <c r="D96" s="62" t="str">
        <f t="shared" si="78"/>
        <v>L03</v>
      </c>
      <c r="E96" s="62" t="str">
        <f t="shared" si="79"/>
        <v>Mfam</v>
      </c>
      <c r="F96" s="62" t="str">
        <f t="shared" si="80"/>
        <v>Resi</v>
      </c>
      <c r="G96" s="62" t="str">
        <f t="shared" si="81"/>
        <v>Pthp</v>
      </c>
      <c r="H96" s="62" t="str">
        <f ca="1">OFFSET('360SpcLdsCSV'!$B$5,$B96,H$51)</f>
        <v>Level 3</v>
      </c>
      <c r="I96" s="62" t="str">
        <f ca="1">OFFSET('360SpcLdsCSV'!$B$5,$B96,I$51)</f>
        <v>DirectlyConditioned</v>
      </c>
      <c r="J96" s="62" t="str">
        <f ca="1">OFFSET('360SpcLdsCSV'!$B$5,$B96,J$51)</f>
        <v>Dwelling Unit</v>
      </c>
      <c r="K96" s="62" t="str">
        <f ca="1">OFFSET('360SpcLdsCSV'!$B$5,$B96,K$51)</f>
        <v>Residential</v>
      </c>
      <c r="L96" s="62" t="str">
        <f ca="1">OFFSET('360SpcLdsCSV'!$B$5,$B96,L$51)</f>
        <v>Thermal Zone: L03-303_MfamResiPthp</v>
      </c>
      <c r="M96" s="1178">
        <f t="shared" ca="1" si="87"/>
        <v>3349.7942999999996</v>
      </c>
      <c r="N96" s="1178">
        <f t="shared" ca="1" si="87"/>
        <v>33498</v>
      </c>
      <c r="O96" s="62" t="str">
        <f ca="1">OFFSET('360SpcLdsCSV'!$B$5,$B96,O$51)</f>
        <v>Dwelling Unit</v>
      </c>
      <c r="P96" s="64">
        <f ca="1">OFFSET('360SpcLdsCSV'!$B$5,$B96,P$51)</f>
        <v>3</v>
      </c>
      <c r="Q96" s="84">
        <f t="shared" ca="1" si="82"/>
        <v>1.0700358526492209</v>
      </c>
      <c r="R96" s="64">
        <f ca="1">OFFSET('360SpcLdsCSV'!$B$5,$B96,R$51)*$P96</f>
        <v>3584.3999999999996</v>
      </c>
      <c r="S96" s="64">
        <f ca="1">OFFSET('360SpcLdsCSV'!$B$5,$B96,S$51)*$R96/1000</f>
        <v>3061.0775999999996</v>
      </c>
      <c r="T96" s="84">
        <f t="shared" ca="1" si="83"/>
        <v>0</v>
      </c>
      <c r="U96" s="64">
        <f ca="1">OFFSET('360SpcLdsCSV'!$B$5,$B96,U$51)</f>
        <v>0</v>
      </c>
      <c r="V96" s="64">
        <f ca="1">OFFSET('360SpcLdsCSV'!$B$5,$B96,V$51)*$U96/1000</f>
        <v>0</v>
      </c>
      <c r="W96" s="84">
        <f t="shared" ca="1" si="84"/>
        <v>0.60003684405337976</v>
      </c>
      <c r="X96" s="64">
        <f ca="1">OFFSET('360SpcLdsCSV'!$B$5,$B96,X$51)*$P96</f>
        <v>2010</v>
      </c>
      <c r="Y96" s="64">
        <f ca="1">OFFSET('360SpcLdsCSV'!$B$5,$B96,Y$51)*$X96/1000</f>
        <v>1716.54</v>
      </c>
      <c r="Z96" s="84">
        <f t="shared" ca="1" si="85"/>
        <v>0.60003684405337976</v>
      </c>
      <c r="AA96" s="64">
        <f ca="1">OFFSET('360SpcLdsCSV'!$B$5,$B96,AA$51)*$P96</f>
        <v>2010</v>
      </c>
      <c r="AB96" s="64">
        <f ca="1">OFFSET('360SpcLdsCSV'!$B$5,$B96,AB$51)*$AA96/1000</f>
        <v>1716.54</v>
      </c>
      <c r="AC96" s="65">
        <f ca="1">'Ltg IntTakeoffs'!EZ51</f>
        <v>0</v>
      </c>
      <c r="AD96" s="64">
        <f t="shared" ca="1" si="86"/>
        <v>0</v>
      </c>
      <c r="AE96" s="558">
        <f ca="1">'Ltg IntTakeoffs'!FA51*M96</f>
        <v>0</v>
      </c>
      <c r="AF96" s="559">
        <f ca="1">'Ltg IntTakeoffs'!FB51*M96</f>
        <v>0</v>
      </c>
      <c r="AG96" s="62"/>
      <c r="AH96" s="62"/>
    </row>
    <row r="97" spans="2:37" ht="10.199999999999999" x14ac:dyDescent="0.2">
      <c r="B97" s="62">
        <f>MATCH(C97,'360SpcLdsCSV'!$C$6:$C$500,0)</f>
        <v>41</v>
      </c>
      <c r="C97" s="62" t="str">
        <f>'360SpcLdsCSV'!C46</f>
        <v>L03-304_AstoRaccIncd</v>
      </c>
      <c r="D97" s="62" t="str">
        <f t="shared" si="78"/>
        <v>L03</v>
      </c>
      <c r="E97" s="62" t="str">
        <f t="shared" si="79"/>
        <v>Asto</v>
      </c>
      <c r="F97" s="62" t="str">
        <f t="shared" si="80"/>
        <v>Racc</v>
      </c>
      <c r="G97" s="62" t="str">
        <f t="shared" si="81"/>
        <v>Incd</v>
      </c>
      <c r="H97" s="62" t="str">
        <f ca="1">OFFSET('360SpcLdsCSV'!$B$5,$B97,H$51)</f>
        <v>Level 3</v>
      </c>
      <c r="I97" s="62" t="str">
        <f ca="1">OFFSET('360SpcLdsCSV'!$B$5,$B97,I$51)</f>
        <v>IndirectlyConditioned</v>
      </c>
      <c r="J97" s="62" t="str">
        <f ca="1">OFFSET('360SpcLdsCSV'!$B$5,$B97,J$51)</f>
        <v>Storage Room - &lt;50 ft2</v>
      </c>
      <c r="K97" s="62" t="str">
        <f ca="1">OFFSET('360SpcLdsCSV'!$B$5,$B97,K$51)</f>
        <v>Nonresidential</v>
      </c>
      <c r="L97" s="62" t="str">
        <f ca="1">OFFSET('360SpcLdsCSV'!$B$5,$B97,L$51)</f>
        <v>Thermal Zone: L03-300_CorrRaccSphp</v>
      </c>
      <c r="M97" s="1178">
        <f t="shared" ref="M97:N116" ca="1" si="88">OFFSET(Spaces_Ref,$B97,M$51)</f>
        <v>405.17280000000005</v>
      </c>
      <c r="N97" s="1178">
        <f t="shared" ca="1" si="88"/>
        <v>4051.74</v>
      </c>
      <c r="O97" s="62" t="str">
        <f ca="1">OFFSET('360SpcLdsCSV'!$B$5,$B97,O$51)</f>
        <v>Storage Room - &lt;50 ft2</v>
      </c>
      <c r="P97" s="64">
        <f ca="1">OFFSET('360SpcLdsCSV'!$B$5,$B97,P$51)</f>
        <v>3</v>
      </c>
      <c r="Q97" s="84">
        <f t="shared" ca="1" si="82"/>
        <v>0.79965881224011082</v>
      </c>
      <c r="R97" s="64">
        <f ca="1">OFFSET('360SpcLdsCSV'!$B$5,$B97,R$51)*$P97</f>
        <v>324</v>
      </c>
      <c r="S97" s="64">
        <f ca="1">OFFSET('360SpcLdsCSV'!$B$5,$B97,S$51)*$R97/1000</f>
        <v>2838.24</v>
      </c>
      <c r="T97" s="84">
        <f t="shared" ca="1" si="83"/>
        <v>0</v>
      </c>
      <c r="U97" s="64">
        <f ca="1">OFFSET('360SpcLdsCSV'!$B$5,$B97,U$51)</f>
        <v>0</v>
      </c>
      <c r="V97" s="64">
        <f ca="1">OFFSET('360SpcLdsCSV'!$B$5,$B97,V$51)*$U97/1000</f>
        <v>0</v>
      </c>
      <c r="W97" s="84">
        <f t="shared" ca="1" si="84"/>
        <v>0.30431460354693107</v>
      </c>
      <c r="X97" s="64">
        <f ca="1">OFFSET('360SpcLdsCSV'!$B$5,$B97,X$51)*$P97</f>
        <v>123.30000000000001</v>
      </c>
      <c r="Y97" s="64">
        <f ca="1">OFFSET('360SpcLdsCSV'!$B$5,$B97,Y$51)*$X97/1000</f>
        <v>1080.1079999999999</v>
      </c>
      <c r="Z97" s="84">
        <f t="shared" ca="1" si="85"/>
        <v>0.30431460354693107</v>
      </c>
      <c r="AA97" s="64">
        <f ca="1">OFFSET('360SpcLdsCSV'!$B$5,$B97,AA$51)*$P97</f>
        <v>123.30000000000001</v>
      </c>
      <c r="AB97" s="64">
        <f ca="1">OFFSET('360SpcLdsCSV'!$B$5,$B97,AB$51)*$AA97/1000</f>
        <v>1080.1079999999999</v>
      </c>
      <c r="AC97" s="65">
        <f ca="1">'Ltg IntTakeoffs'!EZ52</f>
        <v>0</v>
      </c>
      <c r="AD97" s="64">
        <f t="shared" ca="1" si="86"/>
        <v>0</v>
      </c>
      <c r="AE97" s="558">
        <f ca="1">'Ltg IntTakeoffs'!FA52*M97</f>
        <v>0</v>
      </c>
      <c r="AF97" s="559">
        <f ca="1">'Ltg IntTakeoffs'!FB52*M97</f>
        <v>0</v>
      </c>
      <c r="AG97" s="62"/>
      <c r="AH97" s="62"/>
    </row>
    <row r="98" spans="2:37" ht="10.199999999999999" x14ac:dyDescent="0.2">
      <c r="B98" s="62">
        <f>MATCH(C98,'360SpcLdsCSV'!$C$6:$C$500,0)</f>
        <v>42</v>
      </c>
      <c r="C98" s="62" t="str">
        <f>'360SpcLdsCSV'!C47</f>
        <v>L03-305_MfamResiPthp</v>
      </c>
      <c r="D98" s="62" t="str">
        <f t="shared" si="78"/>
        <v>L03</v>
      </c>
      <c r="E98" s="62" t="str">
        <f t="shared" si="79"/>
        <v>Mfam</v>
      </c>
      <c r="F98" s="62" t="str">
        <f t="shared" si="80"/>
        <v>Resi</v>
      </c>
      <c r="G98" s="62" t="str">
        <f t="shared" si="81"/>
        <v>Pthp</v>
      </c>
      <c r="H98" s="62" t="str">
        <f ca="1">OFFSET('360SpcLdsCSV'!$B$5,$B98,H$51)</f>
        <v>Level 3</v>
      </c>
      <c r="I98" s="62" t="str">
        <f ca="1">OFFSET('360SpcLdsCSV'!$B$5,$B98,I$51)</f>
        <v>DirectlyConditioned</v>
      </c>
      <c r="J98" s="62" t="str">
        <f ca="1">OFFSET('360SpcLdsCSV'!$B$5,$B98,J$51)</f>
        <v>Dwelling Unit</v>
      </c>
      <c r="K98" s="62" t="str">
        <f ca="1">OFFSET('360SpcLdsCSV'!$B$5,$B98,K$51)</f>
        <v>Residential</v>
      </c>
      <c r="L98" s="62" t="str">
        <f ca="1">OFFSET('360SpcLdsCSV'!$B$5,$B98,L$51)</f>
        <v>Thermal Zone: L03-305_MfamResiPthp</v>
      </c>
      <c r="M98" s="1178">
        <f t="shared" ca="1" si="88"/>
        <v>11034.091499999999</v>
      </c>
      <c r="N98" s="1178">
        <f t="shared" ca="1" si="88"/>
        <v>110340.90000000001</v>
      </c>
      <c r="O98" s="62" t="str">
        <f ca="1">OFFSET('360SpcLdsCSV'!$B$5,$B98,O$51)</f>
        <v>Dwelling Unit</v>
      </c>
      <c r="P98" s="64">
        <f ca="1">OFFSET('360SpcLdsCSV'!$B$5,$B98,P$51)</f>
        <v>3</v>
      </c>
      <c r="Q98" s="84">
        <f t="shared" ca="1" si="82"/>
        <v>1.0700020024303769</v>
      </c>
      <c r="R98" s="64">
        <f ca="1">OFFSET('360SpcLdsCSV'!$B$5,$B98,R$51)*$P98</f>
        <v>11806.5</v>
      </c>
      <c r="S98" s="64">
        <f ca="1">OFFSET('360SpcLdsCSV'!$B$5,$B98,S$51)*$R98/1000</f>
        <v>10082.751</v>
      </c>
      <c r="T98" s="84">
        <f t="shared" ca="1" si="83"/>
        <v>0</v>
      </c>
      <c r="U98" s="64">
        <f ca="1">OFFSET('360SpcLdsCSV'!$B$5,$B98,U$51)</f>
        <v>0</v>
      </c>
      <c r="V98" s="64">
        <f ca="1">OFFSET('360SpcLdsCSV'!$B$5,$B98,V$51)*$U98/1000</f>
        <v>0</v>
      </c>
      <c r="W98" s="84">
        <f t="shared" ca="1" si="84"/>
        <v>0.59999502451108022</v>
      </c>
      <c r="X98" s="64">
        <f ca="1">OFFSET('360SpcLdsCSV'!$B$5,$B98,X$51)*$P98</f>
        <v>6620.4000000000005</v>
      </c>
      <c r="Y98" s="64">
        <f ca="1">OFFSET('360SpcLdsCSV'!$B$5,$B98,Y$51)*$X98/1000</f>
        <v>5653.8216000000002</v>
      </c>
      <c r="Z98" s="84">
        <f t="shared" ca="1" si="85"/>
        <v>0.59999502451108022</v>
      </c>
      <c r="AA98" s="64">
        <f ca="1">OFFSET('360SpcLdsCSV'!$B$5,$B98,AA$51)*$P98</f>
        <v>6620.4000000000005</v>
      </c>
      <c r="AB98" s="64">
        <f ca="1">OFFSET('360SpcLdsCSV'!$B$5,$B98,AB$51)*$AA98/1000</f>
        <v>5653.8216000000002</v>
      </c>
      <c r="AC98" s="65">
        <f ca="1">'Ltg IntTakeoffs'!EZ53</f>
        <v>0</v>
      </c>
      <c r="AD98" s="64">
        <f t="shared" ca="1" si="86"/>
        <v>0</v>
      </c>
      <c r="AE98" s="558">
        <f ca="1">'Ltg IntTakeoffs'!FA53*M98</f>
        <v>0</v>
      </c>
      <c r="AF98" s="559">
        <f ca="1">'Ltg IntTakeoffs'!FB53*M98</f>
        <v>0</v>
      </c>
      <c r="AG98" s="62"/>
      <c r="AH98" s="62"/>
    </row>
    <row r="99" spans="2:37" ht="10.199999999999999" x14ac:dyDescent="0.2">
      <c r="B99" s="62">
        <f>MATCH(C99,'360SpcLdsCSV'!$C$6:$C$500,0)</f>
        <v>43</v>
      </c>
      <c r="C99" s="62" t="str">
        <f>'360SpcLdsCSV'!C48</f>
        <v>L03-306_MfamResiPthp</v>
      </c>
      <c r="D99" s="62" t="str">
        <f t="shared" si="78"/>
        <v>L03</v>
      </c>
      <c r="E99" s="62" t="str">
        <f t="shared" si="79"/>
        <v>Mfam</v>
      </c>
      <c r="F99" s="62" t="str">
        <f t="shared" si="80"/>
        <v>Resi</v>
      </c>
      <c r="G99" s="62" t="str">
        <f t="shared" si="81"/>
        <v>Pthp</v>
      </c>
      <c r="H99" s="62" t="str">
        <f ca="1">OFFSET('360SpcLdsCSV'!$B$5,$B99,H$51)</f>
        <v>Level 3</v>
      </c>
      <c r="I99" s="62" t="str">
        <f ca="1">OFFSET('360SpcLdsCSV'!$B$5,$B99,I$51)</f>
        <v>DirectlyConditioned</v>
      </c>
      <c r="J99" s="62" t="str">
        <f ca="1">OFFSET('360SpcLdsCSV'!$B$5,$B99,J$51)</f>
        <v>Dwelling Unit</v>
      </c>
      <c r="K99" s="62" t="str">
        <f ca="1">OFFSET('360SpcLdsCSV'!$B$5,$B99,K$51)</f>
        <v>Residential</v>
      </c>
      <c r="L99" s="62" t="str">
        <f ca="1">OFFSET('360SpcLdsCSV'!$B$5,$B99,L$51)</f>
        <v>Thermal Zone: L03-306_MfamResiPthp</v>
      </c>
      <c r="M99" s="1178">
        <f t="shared" ca="1" si="88"/>
        <v>3482.6481000000003</v>
      </c>
      <c r="N99" s="1178">
        <f t="shared" ca="1" si="88"/>
        <v>34826.399999999994</v>
      </c>
      <c r="O99" s="62" t="str">
        <f ca="1">OFFSET('360SpcLdsCSV'!$B$5,$B99,O$51)</f>
        <v>Dwelling Unit</v>
      </c>
      <c r="P99" s="64">
        <f ca="1">OFFSET('360SpcLdsCSV'!$B$5,$B99,P$51)</f>
        <v>3</v>
      </c>
      <c r="Q99" s="84">
        <f t="shared" ca="1" si="82"/>
        <v>1.0699616765759363</v>
      </c>
      <c r="R99" s="64">
        <f ca="1">OFFSET('360SpcLdsCSV'!$B$5,$B99,R$51)*$P99</f>
        <v>3726.2999999999997</v>
      </c>
      <c r="S99" s="64">
        <f ca="1">OFFSET('360SpcLdsCSV'!$B$5,$B99,S$51)*$R99/1000</f>
        <v>3182.2601999999997</v>
      </c>
      <c r="T99" s="84">
        <f t="shared" ca="1" si="83"/>
        <v>0</v>
      </c>
      <c r="U99" s="64">
        <f ca="1">OFFSET('360SpcLdsCSV'!$B$5,$B99,U$51)</f>
        <v>0</v>
      </c>
      <c r="V99" s="64">
        <f ca="1">OFFSET('360SpcLdsCSV'!$B$5,$B99,V$51)*$U99/1000</f>
        <v>0</v>
      </c>
      <c r="W99" s="84">
        <f t="shared" ca="1" si="84"/>
        <v>0.59997448493288763</v>
      </c>
      <c r="X99" s="64">
        <f ca="1">OFFSET('360SpcLdsCSV'!$B$5,$B99,X$51)*$P99</f>
        <v>2089.5</v>
      </c>
      <c r="Y99" s="64">
        <f ca="1">OFFSET('360SpcLdsCSV'!$B$5,$B99,Y$51)*$X99/1000</f>
        <v>1784.433</v>
      </c>
      <c r="Z99" s="84">
        <f t="shared" ca="1" si="85"/>
        <v>0.59997448493288763</v>
      </c>
      <c r="AA99" s="64">
        <f ca="1">OFFSET('360SpcLdsCSV'!$B$5,$B99,AA$51)*$P99</f>
        <v>2089.5</v>
      </c>
      <c r="AB99" s="64">
        <f ca="1">OFFSET('360SpcLdsCSV'!$B$5,$B99,AB$51)*$AA99/1000</f>
        <v>1784.433</v>
      </c>
      <c r="AC99" s="65">
        <f ca="1">'Ltg IntTakeoffs'!EZ54</f>
        <v>0</v>
      </c>
      <c r="AD99" s="64">
        <f t="shared" ca="1" si="86"/>
        <v>0</v>
      </c>
      <c r="AE99" s="558">
        <f ca="1">'Ltg IntTakeoffs'!FA54*M99</f>
        <v>0</v>
      </c>
      <c r="AF99" s="559">
        <f ca="1">'Ltg IntTakeoffs'!FB54*M99</f>
        <v>0</v>
      </c>
      <c r="AG99" s="62"/>
      <c r="AH99" s="62"/>
    </row>
    <row r="100" spans="2:37" ht="10.199999999999999" x14ac:dyDescent="0.2">
      <c r="B100" s="62">
        <f>MATCH(C100,'360SpcLdsCSV'!$C$6:$C$500,0)</f>
        <v>44</v>
      </c>
      <c r="C100" s="62" t="str">
        <f>'360SpcLdsCSV'!C49</f>
        <v>L03-307_MfamResiPthp</v>
      </c>
      <c r="D100" s="62" t="str">
        <f t="shared" si="78"/>
        <v>L03</v>
      </c>
      <c r="E100" s="62" t="str">
        <f t="shared" si="79"/>
        <v>Mfam</v>
      </c>
      <c r="F100" s="62" t="str">
        <f t="shared" si="80"/>
        <v>Resi</v>
      </c>
      <c r="G100" s="62" t="str">
        <f t="shared" si="81"/>
        <v>Pthp</v>
      </c>
      <c r="H100" s="62" t="str">
        <f ca="1">OFFSET('360SpcLdsCSV'!$B$5,$B100,H$51)</f>
        <v>Level 3</v>
      </c>
      <c r="I100" s="62" t="str">
        <f ca="1">OFFSET('360SpcLdsCSV'!$B$5,$B100,I$51)</f>
        <v>DirectlyConditioned</v>
      </c>
      <c r="J100" s="62" t="str">
        <f ca="1">OFFSET('360SpcLdsCSV'!$B$5,$B100,J$51)</f>
        <v>Dwelling Unit</v>
      </c>
      <c r="K100" s="62" t="str">
        <f ca="1">OFFSET('360SpcLdsCSV'!$B$5,$B100,K$51)</f>
        <v>Residential</v>
      </c>
      <c r="L100" s="62" t="str">
        <f ca="1">OFFSET('360SpcLdsCSV'!$B$5,$B100,L$51)</f>
        <v>Thermal Zone: L03-307_MfamResiPthp</v>
      </c>
      <c r="M100" s="1178">
        <f t="shared" ca="1" si="88"/>
        <v>5576.076</v>
      </c>
      <c r="N100" s="1178">
        <f t="shared" ca="1" si="88"/>
        <v>55760.700000000004</v>
      </c>
      <c r="O100" s="62" t="str">
        <f ca="1">OFFSET('360SpcLdsCSV'!$B$5,$B100,O$51)</f>
        <v>Dwelling Unit</v>
      </c>
      <c r="P100" s="64">
        <f ca="1">OFFSET('360SpcLdsCSV'!$B$5,$B100,P$51)</f>
        <v>3</v>
      </c>
      <c r="Q100" s="84">
        <f t="shared" ca="1" si="82"/>
        <v>1.0699997632743885</v>
      </c>
      <c r="R100" s="64">
        <f ca="1">OFFSET('360SpcLdsCSV'!$B$5,$B100,R$51)*$P100</f>
        <v>5966.4</v>
      </c>
      <c r="S100" s="64">
        <f ca="1">OFFSET('360SpcLdsCSV'!$B$5,$B100,S$51)*$R100/1000</f>
        <v>5095.3055999999997</v>
      </c>
      <c r="T100" s="84">
        <f t="shared" ca="1" si="83"/>
        <v>0</v>
      </c>
      <c r="U100" s="64">
        <f ca="1">OFFSET('360SpcLdsCSV'!$B$5,$B100,U$51)</f>
        <v>0</v>
      </c>
      <c r="V100" s="64">
        <f ca="1">OFFSET('360SpcLdsCSV'!$B$5,$B100,V$51)*$U100/1000</f>
        <v>0</v>
      </c>
      <c r="W100" s="84">
        <f t="shared" ca="1" si="84"/>
        <v>0.59999182220615366</v>
      </c>
      <c r="X100" s="64">
        <f ca="1">OFFSET('360SpcLdsCSV'!$B$5,$B100,X$51)*$P100</f>
        <v>3345.6000000000004</v>
      </c>
      <c r="Y100" s="64">
        <f ca="1">OFFSET('360SpcLdsCSV'!$B$5,$B100,Y$51)*$X100/1000</f>
        <v>2857.1424000000002</v>
      </c>
      <c r="Z100" s="84">
        <f t="shared" ca="1" si="85"/>
        <v>0.59999182220615366</v>
      </c>
      <c r="AA100" s="64">
        <f ca="1">OFFSET('360SpcLdsCSV'!$B$5,$B100,AA$51)*$P100</f>
        <v>3345.6000000000004</v>
      </c>
      <c r="AB100" s="64">
        <f ca="1">OFFSET('360SpcLdsCSV'!$B$5,$B100,AB$51)*$AA100/1000</f>
        <v>2857.1424000000002</v>
      </c>
      <c r="AC100" s="65">
        <f ca="1">'Ltg IntTakeoffs'!EZ55</f>
        <v>0</v>
      </c>
      <c r="AD100" s="64">
        <f t="shared" ca="1" si="86"/>
        <v>0</v>
      </c>
      <c r="AE100" s="558">
        <f ca="1">'Ltg IntTakeoffs'!FA55*M100</f>
        <v>0</v>
      </c>
      <c r="AF100" s="559">
        <f ca="1">'Ltg IntTakeoffs'!FB55*M100</f>
        <v>0</v>
      </c>
      <c r="AG100" s="62"/>
      <c r="AH100" s="62"/>
    </row>
    <row r="101" spans="2:37" ht="10.199999999999999" x14ac:dyDescent="0.2">
      <c r="B101" s="62">
        <f>MATCH(C101,'360SpcLdsCSV'!$C$6:$C$500,0)</f>
        <v>45</v>
      </c>
      <c r="C101" s="62" t="str">
        <f>'360SpcLdsCSV'!C50</f>
        <v>L03-308_MfamResiPthp</v>
      </c>
      <c r="D101" s="62" t="str">
        <f t="shared" si="78"/>
        <v>L03</v>
      </c>
      <c r="E101" s="62" t="str">
        <f t="shared" si="79"/>
        <v>Mfam</v>
      </c>
      <c r="F101" s="62" t="str">
        <f t="shared" si="80"/>
        <v>Resi</v>
      </c>
      <c r="G101" s="62" t="str">
        <f t="shared" si="81"/>
        <v>Pthp</v>
      </c>
      <c r="H101" s="62" t="str">
        <f ca="1">OFFSET('360SpcLdsCSV'!$B$5,$B101,H$51)</f>
        <v>Level 3</v>
      </c>
      <c r="I101" s="62" t="str">
        <f ca="1">OFFSET('360SpcLdsCSV'!$B$5,$B101,I$51)</f>
        <v>DirectlyConditioned</v>
      </c>
      <c r="J101" s="62" t="str">
        <f ca="1">OFFSET('360SpcLdsCSV'!$B$5,$B101,J$51)</f>
        <v>Dwelling Unit</v>
      </c>
      <c r="K101" s="62" t="str">
        <f ca="1">OFFSET('360SpcLdsCSV'!$B$5,$B101,K$51)</f>
        <v>Residential</v>
      </c>
      <c r="L101" s="62" t="str">
        <f ca="1">OFFSET('360SpcLdsCSV'!$B$5,$B101,L$51)</f>
        <v>Thermal Zone: L03-308_MfamResiPthp</v>
      </c>
      <c r="M101" s="1178">
        <f t="shared" ca="1" si="88"/>
        <v>2617.9859999999999</v>
      </c>
      <c r="N101" s="1178">
        <f t="shared" ca="1" si="88"/>
        <v>26179.86</v>
      </c>
      <c r="O101" s="62" t="str">
        <f ca="1">OFFSET('360SpcLdsCSV'!$B$5,$B101,O$51)</f>
        <v>Dwelling Unit</v>
      </c>
      <c r="P101" s="64">
        <f ca="1">OFFSET('360SpcLdsCSV'!$B$5,$B101,P$51)</f>
        <v>3</v>
      </c>
      <c r="Q101" s="84">
        <f t="shared" ca="1" si="82"/>
        <v>1.0699446062736777</v>
      </c>
      <c r="R101" s="64">
        <f ca="1">OFFSET('360SpcLdsCSV'!$B$5,$B101,R$51)*$P101</f>
        <v>2801.1000000000004</v>
      </c>
      <c r="S101" s="64">
        <f ca="1">OFFSET('360SpcLdsCSV'!$B$5,$B101,S$51)*$R101/1000</f>
        <v>2392.1394000000005</v>
      </c>
      <c r="T101" s="84">
        <f t="shared" ca="1" si="83"/>
        <v>0</v>
      </c>
      <c r="U101" s="64">
        <f ca="1">OFFSET('360SpcLdsCSV'!$B$5,$B101,U$51)</f>
        <v>0</v>
      </c>
      <c r="V101" s="64">
        <f ca="1">OFFSET('360SpcLdsCSV'!$B$5,$B101,V$51)*$U101/1000</f>
        <v>0</v>
      </c>
      <c r="W101" s="84">
        <f t="shared" ca="1" si="84"/>
        <v>0.60000320857330802</v>
      </c>
      <c r="X101" s="64">
        <f ca="1">OFFSET('360SpcLdsCSV'!$B$5,$B101,X$51)*$P101</f>
        <v>1570.8000000000002</v>
      </c>
      <c r="Y101" s="64">
        <f ca="1">OFFSET('360SpcLdsCSV'!$B$5,$B101,Y$51)*$X101/1000</f>
        <v>1341.4632000000001</v>
      </c>
      <c r="Z101" s="84">
        <f t="shared" ca="1" si="85"/>
        <v>0.60000320857330802</v>
      </c>
      <c r="AA101" s="64">
        <f ca="1">OFFSET('360SpcLdsCSV'!$B$5,$B101,AA$51)*$P101</f>
        <v>1570.8000000000002</v>
      </c>
      <c r="AB101" s="64">
        <f ca="1">OFFSET('360SpcLdsCSV'!$B$5,$B101,AB$51)*$AA101/1000</f>
        <v>1341.4632000000001</v>
      </c>
      <c r="AC101" s="65">
        <f ca="1">'Ltg IntTakeoffs'!EZ56</f>
        <v>0</v>
      </c>
      <c r="AD101" s="64">
        <f t="shared" ca="1" si="86"/>
        <v>0</v>
      </c>
      <c r="AE101" s="558">
        <f ca="1">'Ltg IntTakeoffs'!FA56*M101</f>
        <v>0</v>
      </c>
      <c r="AF101" s="559">
        <f ca="1">'Ltg IntTakeoffs'!FB56*M101</f>
        <v>0</v>
      </c>
      <c r="AG101" s="62"/>
      <c r="AH101" s="62"/>
      <c r="AJ101" s="563">
        <f ca="1">Z101*M101</f>
        <v>1570.8000000000004</v>
      </c>
      <c r="AK101" s="62">
        <f ca="1">AB101/(AA101/1000)/365</f>
        <v>2.3397260273972602</v>
      </c>
    </row>
    <row r="102" spans="2:37" ht="10.199999999999999" x14ac:dyDescent="0.2">
      <c r="B102" s="62">
        <f>MATCH(C102,'360SpcLdsCSV'!$C$6:$C$500,0)</f>
        <v>46</v>
      </c>
      <c r="C102" s="62" t="str">
        <f>'360SpcLdsCSV'!C51</f>
        <v>L03-309_MfamResiPthp</v>
      </c>
      <c r="D102" s="62" t="str">
        <f t="shared" si="78"/>
        <v>L03</v>
      </c>
      <c r="E102" s="62" t="str">
        <f t="shared" si="79"/>
        <v>Mfam</v>
      </c>
      <c r="F102" s="62" t="str">
        <f t="shared" si="80"/>
        <v>Resi</v>
      </c>
      <c r="G102" s="62" t="str">
        <f t="shared" si="81"/>
        <v>Pthp</v>
      </c>
      <c r="H102" s="62" t="str">
        <f ca="1">OFFSET('360SpcLdsCSV'!$B$5,$B102,H$51)</f>
        <v>Level 3</v>
      </c>
      <c r="I102" s="62" t="str">
        <f ca="1">OFFSET('360SpcLdsCSV'!$B$5,$B102,I$51)</f>
        <v>DirectlyConditioned</v>
      </c>
      <c r="J102" s="62" t="str">
        <f ca="1">OFFSET('360SpcLdsCSV'!$B$5,$B102,J$51)</f>
        <v>Dwelling Unit</v>
      </c>
      <c r="K102" s="62" t="str">
        <f ca="1">OFFSET('360SpcLdsCSV'!$B$5,$B102,K$51)</f>
        <v>Residential</v>
      </c>
      <c r="L102" s="62" t="str">
        <f ca="1">OFFSET('360SpcLdsCSV'!$B$5,$B102,L$51)</f>
        <v>Thermal Zone: L03-309_MfamResiPthp</v>
      </c>
      <c r="M102" s="1178">
        <f t="shared" ca="1" si="88"/>
        <v>4042.56</v>
      </c>
      <c r="N102" s="1178">
        <f t="shared" ca="1" si="88"/>
        <v>40425.600000000006</v>
      </c>
      <c r="O102" s="62" t="str">
        <f ca="1">OFFSET('360SpcLdsCSV'!$B$5,$B102,O$51)</f>
        <v>Dwelling Unit</v>
      </c>
      <c r="P102" s="64">
        <f ca="1">OFFSET('360SpcLdsCSV'!$B$5,$B102,P$51)</f>
        <v>3</v>
      </c>
      <c r="Q102" s="84">
        <f t="shared" ca="1" si="82"/>
        <v>1.0699655663737828</v>
      </c>
      <c r="R102" s="64">
        <f ca="1">OFFSET('360SpcLdsCSV'!$B$5,$B102,R$51)*$P102</f>
        <v>4325.3999999999996</v>
      </c>
      <c r="S102" s="64">
        <f ca="1">OFFSET('360SpcLdsCSV'!$B$5,$B102,S$51)*$R102/1000</f>
        <v>3693.8915999999995</v>
      </c>
      <c r="T102" s="84">
        <f t="shared" ca="1" si="83"/>
        <v>0</v>
      </c>
      <c r="U102" s="64">
        <f ca="1">OFFSET('360SpcLdsCSV'!$B$5,$B102,U$51)</f>
        <v>0</v>
      </c>
      <c r="V102" s="64">
        <f ca="1">OFFSET('360SpcLdsCSV'!$B$5,$B102,V$51)*$U102/1000</f>
        <v>0</v>
      </c>
      <c r="W102" s="84">
        <f t="shared" ca="1" si="84"/>
        <v>0.59999109475184043</v>
      </c>
      <c r="X102" s="64">
        <f ca="1">OFFSET('360SpcLdsCSV'!$B$5,$B102,X$51)*$P102</f>
        <v>2425.5</v>
      </c>
      <c r="Y102" s="64">
        <f ca="1">OFFSET('360SpcLdsCSV'!$B$5,$B102,Y$51)*$X102/1000</f>
        <v>2071.377</v>
      </c>
      <c r="Z102" s="84">
        <f t="shared" ca="1" si="85"/>
        <v>0.59999109475184043</v>
      </c>
      <c r="AA102" s="64">
        <f ca="1">OFFSET('360SpcLdsCSV'!$B$5,$B102,AA$51)*$P102</f>
        <v>2425.5</v>
      </c>
      <c r="AB102" s="64">
        <f ca="1">OFFSET('360SpcLdsCSV'!$B$5,$B102,AB$51)*$AA102/1000</f>
        <v>2071.377</v>
      </c>
      <c r="AC102" s="65">
        <f ca="1">'Ltg IntTakeoffs'!EZ57</f>
        <v>0</v>
      </c>
      <c r="AD102" s="64">
        <f t="shared" ca="1" si="86"/>
        <v>0</v>
      </c>
      <c r="AE102" s="558">
        <f ca="1">'Ltg IntTakeoffs'!FA57*M102</f>
        <v>0</v>
      </c>
      <c r="AF102" s="559">
        <f ca="1">'Ltg IntTakeoffs'!FB57*M102</f>
        <v>0</v>
      </c>
      <c r="AG102" s="62"/>
      <c r="AH102" s="62"/>
    </row>
    <row r="103" spans="2:37" ht="10.199999999999999" x14ac:dyDescent="0.2">
      <c r="B103" s="62">
        <f>MATCH(C103,'360SpcLdsCSV'!$C$6:$C$500,0)</f>
        <v>47</v>
      </c>
      <c r="C103" s="62" t="str">
        <f>'360SpcLdsCSV'!C52</f>
        <v>L03-310_LndyRaccBbrd</v>
      </c>
      <c r="D103" s="62" t="str">
        <f t="shared" si="78"/>
        <v>L03</v>
      </c>
      <c r="E103" s="62" t="str">
        <f t="shared" si="79"/>
        <v>Lndy</v>
      </c>
      <c r="F103" s="62" t="str">
        <f t="shared" si="80"/>
        <v>Racc</v>
      </c>
      <c r="G103" s="62" t="str">
        <f t="shared" si="81"/>
        <v>Bbrd</v>
      </c>
      <c r="H103" s="62" t="str">
        <f ca="1">OFFSET('360SpcLdsCSV'!$B$5,$B103,H$51)</f>
        <v>Level 3</v>
      </c>
      <c r="I103" s="62" t="str">
        <f ca="1">OFFSET('360SpcLdsCSV'!$B$5,$B103,I$51)</f>
        <v>DirectlyConditioned</v>
      </c>
      <c r="J103" s="62" t="str">
        <f ca="1">OFFSET('360SpcLdsCSV'!$B$5,$B103,J$51)</f>
        <v>Laundry/Washing Area</v>
      </c>
      <c r="K103" s="62" t="str">
        <f ca="1">OFFSET('360SpcLdsCSV'!$B$5,$B103,K$51)</f>
        <v>Nonresidential</v>
      </c>
      <c r="L103" s="62" t="str">
        <f ca="1">OFFSET('360SpcLdsCSV'!$B$5,$B103,L$51)</f>
        <v>Thermal Zone: L03-310_LndyRaccBbrd</v>
      </c>
      <c r="M103" s="1178">
        <f t="shared" ca="1" si="88"/>
        <v>817.28640000000007</v>
      </c>
      <c r="N103" s="1178">
        <f t="shared" ca="1" si="88"/>
        <v>8172.87</v>
      </c>
      <c r="O103" s="62" t="str">
        <f ca="1">OFFSET('360SpcLdsCSV'!$B$5,$B103,O$51)</f>
        <v>Laundry/Washing Area</v>
      </c>
      <c r="P103" s="64">
        <f ca="1">OFFSET('360SpcLdsCSV'!$B$5,$B103,P$51)</f>
        <v>3</v>
      </c>
      <c r="Q103" s="84">
        <f t="shared" ca="1" si="82"/>
        <v>0.60015681161463097</v>
      </c>
      <c r="R103" s="64">
        <f ca="1">OFFSET('360SpcLdsCSV'!$B$5,$B103,R$51)*$P103</f>
        <v>490.5</v>
      </c>
      <c r="S103" s="64">
        <f ca="1">OFFSET('360SpcLdsCSV'!$B$5,$B103,S$51)*$R103/1000</f>
        <v>4296.78</v>
      </c>
      <c r="T103" s="84">
        <f t="shared" ca="1" si="83"/>
        <v>0</v>
      </c>
      <c r="U103" s="64">
        <f ca="1">OFFSET('360SpcLdsCSV'!$B$5,$B103,U$51)</f>
        <v>0</v>
      </c>
      <c r="V103" s="64">
        <f ca="1">OFFSET('360SpcLdsCSV'!$B$5,$B103,V$51)*$U103/1000</f>
        <v>0</v>
      </c>
      <c r="W103" s="84">
        <f t="shared" ca="1" si="84"/>
        <v>0.42396398618648246</v>
      </c>
      <c r="X103" s="64">
        <f ca="1">OFFSET('360SpcLdsCSV'!$B$5,$B103,X$51)*$P103</f>
        <v>346.5</v>
      </c>
      <c r="Y103" s="64">
        <f ca="1">OFFSET('360SpcLdsCSV'!$B$5,$B103,Y$51)*$X103/1000</f>
        <v>3035.34</v>
      </c>
      <c r="Z103" s="84">
        <f t="shared" ca="1" si="85"/>
        <v>0.42396398618648246</v>
      </c>
      <c r="AA103" s="64">
        <f ca="1">OFFSET('360SpcLdsCSV'!$B$5,$B103,AA$51)*$P103</f>
        <v>346.5</v>
      </c>
      <c r="AB103" s="64">
        <f ca="1">OFFSET('360SpcLdsCSV'!$B$5,$B103,AB$51)*$AA103/1000</f>
        <v>3035.34</v>
      </c>
      <c r="AC103" s="65">
        <f ca="1">'Ltg IntTakeoffs'!EZ58</f>
        <v>0</v>
      </c>
      <c r="AD103" s="64">
        <f t="shared" ca="1" si="86"/>
        <v>0</v>
      </c>
      <c r="AE103" s="558">
        <f ca="1">'Ltg IntTakeoffs'!FA58*M103</f>
        <v>0</v>
      </c>
      <c r="AF103" s="559">
        <f ca="1">'Ltg IntTakeoffs'!FB58*M103</f>
        <v>0</v>
      </c>
      <c r="AG103" s="62"/>
      <c r="AH103" s="62"/>
    </row>
    <row r="104" spans="2:37" ht="10.199999999999999" x14ac:dyDescent="0.2">
      <c r="B104" s="62">
        <f>MATCH(C104,'360SpcLdsCSV'!$C$6:$C$500,0)</f>
        <v>48</v>
      </c>
      <c r="C104" s="62" t="str">
        <f>'360SpcLdsCSV'!C53</f>
        <v>L03-311_ElevRaccIncd</v>
      </c>
      <c r="D104" s="62" t="str">
        <f t="shared" si="78"/>
        <v>L03</v>
      </c>
      <c r="E104" s="62" t="str">
        <f t="shared" si="79"/>
        <v>Elev</v>
      </c>
      <c r="F104" s="62" t="str">
        <f t="shared" si="80"/>
        <v>Racc</v>
      </c>
      <c r="G104" s="62" t="str">
        <f t="shared" si="81"/>
        <v>Incd</v>
      </c>
      <c r="H104" s="62" t="str">
        <f ca="1">OFFSET('360SpcLdsCSV'!$B$5,$B104,H$51)</f>
        <v>Level 3</v>
      </c>
      <c r="I104" s="62" t="str">
        <f ca="1">OFFSET('360SpcLdsCSV'!$B$5,$B104,I$51)</f>
        <v>IndirectlyConditioned</v>
      </c>
      <c r="J104" s="62" t="str">
        <f ca="1">OFFSET('360SpcLdsCSV'!$B$5,$B104,J$51)</f>
        <v>Unoccupied-Include in Gross Floor Area</v>
      </c>
      <c r="K104" s="62" t="str">
        <f ca="1">OFFSET('360SpcLdsCSV'!$B$5,$B104,K$51)</f>
        <v>Residential</v>
      </c>
      <c r="L104" s="62" t="str">
        <f ca="1">OFFSET('360SpcLdsCSV'!$B$5,$B104,L$51)</f>
        <v>Thermal Zone: L03-300_CorrRaccSphp</v>
      </c>
      <c r="M104" s="1178">
        <f t="shared" ca="1" si="88"/>
        <v>633.64020000000005</v>
      </c>
      <c r="N104" s="1178">
        <f t="shared" ca="1" si="88"/>
        <v>6336.39</v>
      </c>
      <c r="O104" s="62" t="str">
        <f ca="1">OFFSET('360SpcLdsCSV'!$B$5,$B104,O$51)</f>
        <v>Unoccupied-Include in Gross Floor Area</v>
      </c>
      <c r="P104" s="64">
        <f ca="1">OFFSET('360SpcLdsCSV'!$B$5,$B104,P$51)</f>
        <v>3</v>
      </c>
      <c r="Q104" s="84">
        <f t="shared" ca="1" si="82"/>
        <v>0</v>
      </c>
      <c r="R104" s="64">
        <f ca="1">OFFSET('360SpcLdsCSV'!$B$5,$B104,R$51)*$P104</f>
        <v>0</v>
      </c>
      <c r="S104" s="64">
        <f ca="1">OFFSET('360SpcLdsCSV'!$B$5,$B104,S$51)*$R104/1000</f>
        <v>0</v>
      </c>
      <c r="T104" s="84">
        <f t="shared" ca="1" si="83"/>
        <v>0</v>
      </c>
      <c r="U104" s="64">
        <f ca="1">OFFSET('360SpcLdsCSV'!$B$5,$B104,U$51)</f>
        <v>0</v>
      </c>
      <c r="V104" s="64">
        <f ca="1">OFFSET('360SpcLdsCSV'!$B$5,$B104,V$51)*$U104/1000</f>
        <v>0</v>
      </c>
      <c r="W104" s="84">
        <f t="shared" ca="1" si="84"/>
        <v>0</v>
      </c>
      <c r="X104" s="64">
        <f ca="1">OFFSET('360SpcLdsCSV'!$B$5,$B104,X$51)*$P104</f>
        <v>0</v>
      </c>
      <c r="Y104" s="64">
        <f ca="1">OFFSET('360SpcLdsCSV'!$B$5,$B104,Y$51)*$X104/1000</f>
        <v>0</v>
      </c>
      <c r="Z104" s="84">
        <f t="shared" ca="1" si="85"/>
        <v>-473.43587101954699</v>
      </c>
      <c r="AA104" s="64">
        <f ca="1">OFFSET('360SpcLdsCSV'!$B$5,$B104,AA$51)*$P104</f>
        <v>-299988</v>
      </c>
      <c r="AB104" s="64">
        <f ca="1">OFFSET('360SpcLdsCSV'!$B$5,$B104,AB$51)*$AA104/1000</f>
        <v>0</v>
      </c>
      <c r="AC104" s="65">
        <f ca="1">'Ltg IntTakeoffs'!EZ59</f>
        <v>0</v>
      </c>
      <c r="AD104" s="64">
        <f t="shared" ca="1" si="86"/>
        <v>0</v>
      </c>
      <c r="AE104" s="558">
        <f ca="1">'Ltg IntTakeoffs'!FA59*M104</f>
        <v>0</v>
      </c>
      <c r="AF104" s="559">
        <f ca="1">'Ltg IntTakeoffs'!FB59*M104</f>
        <v>0</v>
      </c>
      <c r="AG104" s="62"/>
      <c r="AH104" s="62"/>
    </row>
    <row r="105" spans="2:37" ht="15" customHeight="1" x14ac:dyDescent="0.2">
      <c r="B105" s="62">
        <f>MATCH(C105,'360SpcLdsCSV'!$C$6:$C$500,0)</f>
        <v>49</v>
      </c>
      <c r="C105" s="62" t="str">
        <f>'360SpcLdsCSV'!C54</f>
        <v>L03-312_StrsRaccIncd</v>
      </c>
      <c r="D105" s="62" t="str">
        <f t="shared" si="78"/>
        <v>L03</v>
      </c>
      <c r="E105" s="62" t="str">
        <f t="shared" si="79"/>
        <v>Strs</v>
      </c>
      <c r="F105" s="62" t="str">
        <f t="shared" si="80"/>
        <v>Racc</v>
      </c>
      <c r="G105" s="62" t="str">
        <f t="shared" si="81"/>
        <v>Incd</v>
      </c>
      <c r="H105" s="62" t="str">
        <f ca="1">OFFSET('360SpcLdsCSV'!$B$5,$B105,H$51)</f>
        <v>Level 3</v>
      </c>
      <c r="I105" s="62" t="str">
        <f ca="1">OFFSET('360SpcLdsCSV'!$B$5,$B105,I$51)</f>
        <v>IndirectlyConditioned</v>
      </c>
      <c r="J105" s="62" t="str">
        <f ca="1">OFFSET('360SpcLdsCSV'!$B$5,$B105,J$51)</f>
        <v>Stairwell</v>
      </c>
      <c r="K105" s="62" t="str">
        <f ca="1">OFFSET('360SpcLdsCSV'!$B$5,$B105,K$51)</f>
        <v>Nonresidential</v>
      </c>
      <c r="L105" s="62" t="str">
        <f ca="1">OFFSET('360SpcLdsCSV'!$B$5,$B105,L$51)</f>
        <v>Thermal Zone: L03-300_CorrRaccSphp</v>
      </c>
      <c r="M105" s="1178">
        <f t="shared" ca="1" si="88"/>
        <v>709.04459999999995</v>
      </c>
      <c r="N105" s="1178">
        <f t="shared" ca="1" si="88"/>
        <v>7090.4400000000005</v>
      </c>
      <c r="O105" s="62" t="str">
        <f ca="1">OFFSET('360SpcLdsCSV'!$B$5,$B105,O$51)</f>
        <v>Stairwell</v>
      </c>
      <c r="P105" s="64">
        <f ca="1">OFFSET('360SpcLdsCSV'!$B$5,$B105,P$51)</f>
        <v>3</v>
      </c>
      <c r="Q105" s="84">
        <f t="shared" ca="1" si="82"/>
        <v>0.59996225907368883</v>
      </c>
      <c r="R105" s="64">
        <f ca="1">OFFSET('360SpcLdsCSV'!$B$5,$B105,R$51)*$P105</f>
        <v>425.40000000000003</v>
      </c>
      <c r="S105" s="64">
        <f ca="1">OFFSET('360SpcLdsCSV'!$B$5,$B105,S$51)*$R105/1000</f>
        <v>3726.5040000000004</v>
      </c>
      <c r="T105" s="84">
        <f t="shared" ca="1" si="83"/>
        <v>0</v>
      </c>
      <c r="U105" s="64">
        <f ca="1">OFFSET('360SpcLdsCSV'!$B$5,$B105,U$51)</f>
        <v>0</v>
      </c>
      <c r="V105" s="64">
        <f ca="1">OFFSET('360SpcLdsCSV'!$B$5,$B105,V$51)*$U105/1000</f>
        <v>0</v>
      </c>
      <c r="W105" s="84">
        <f t="shared" ca="1" si="84"/>
        <v>0.39179481798465143</v>
      </c>
      <c r="X105" s="64">
        <f ca="1">OFFSET('360SpcLdsCSV'!$B$5,$B105,X$51)*$P105</f>
        <v>277.79999999999995</v>
      </c>
      <c r="Y105" s="64">
        <f ca="1">OFFSET('360SpcLdsCSV'!$B$5,$B105,Y$51)*$X105/1000</f>
        <v>2433.5279999999993</v>
      </c>
      <c r="Z105" s="84">
        <f t="shared" ca="1" si="85"/>
        <v>0.39179481798465143</v>
      </c>
      <c r="AA105" s="64">
        <f ca="1">OFFSET('360SpcLdsCSV'!$B$5,$B105,AA$51)*$P105</f>
        <v>277.79999999999995</v>
      </c>
      <c r="AB105" s="64">
        <f ca="1">OFFSET('360SpcLdsCSV'!$B$5,$B105,AB$51)*$AA105/1000</f>
        <v>2433.5279999999993</v>
      </c>
      <c r="AC105" s="65">
        <f ca="1">'Ltg IntTakeoffs'!EZ60</f>
        <v>0</v>
      </c>
      <c r="AD105" s="64">
        <f t="shared" ca="1" si="86"/>
        <v>0</v>
      </c>
      <c r="AE105" s="558">
        <f ca="1">'Ltg IntTakeoffs'!FA60*M105</f>
        <v>0</v>
      </c>
      <c r="AF105" s="559">
        <f ca="1">'Ltg IntTakeoffs'!FB60*M105</f>
        <v>0</v>
      </c>
      <c r="AG105" s="62"/>
      <c r="AH105" s="62"/>
    </row>
    <row r="106" spans="2:37" ht="15" customHeight="1" x14ac:dyDescent="0.2">
      <c r="B106" s="62">
        <f>MATCH(C106,'360SpcLdsCSV'!$C$6:$C$500,0)</f>
        <v>50</v>
      </c>
      <c r="C106" s="62" t="str">
        <f>'360SpcLdsCSV'!C55</f>
        <v>L03-313_MfamResiPthp</v>
      </c>
      <c r="D106" s="62" t="str">
        <f t="shared" si="78"/>
        <v>L03</v>
      </c>
      <c r="E106" s="62" t="str">
        <f t="shared" si="79"/>
        <v>Mfam</v>
      </c>
      <c r="F106" s="62" t="str">
        <f t="shared" si="80"/>
        <v>Resi</v>
      </c>
      <c r="G106" s="62" t="str">
        <f t="shared" si="81"/>
        <v>Pthp</v>
      </c>
      <c r="H106" s="62" t="str">
        <f ca="1">OFFSET('360SpcLdsCSV'!$B$5,$B106,H$51)</f>
        <v>Level 3</v>
      </c>
      <c r="I106" s="62" t="str">
        <f ca="1">OFFSET('360SpcLdsCSV'!$B$5,$B106,I$51)</f>
        <v>DirectlyConditioned</v>
      </c>
      <c r="J106" s="62" t="str">
        <f ca="1">OFFSET('360SpcLdsCSV'!$B$5,$B106,J$51)</f>
        <v>Dwelling Unit</v>
      </c>
      <c r="K106" s="62" t="str">
        <f ca="1">OFFSET('360SpcLdsCSV'!$B$5,$B106,K$51)</f>
        <v>Residential</v>
      </c>
      <c r="L106" s="62" t="str">
        <f ca="1">OFFSET('360SpcLdsCSV'!$B$5,$B106,L$51)</f>
        <v>Thermal Zone: L03-313_MfamResiPthp</v>
      </c>
      <c r="M106" s="1178">
        <f t="shared" ca="1" si="88"/>
        <v>9102.1229999999996</v>
      </c>
      <c r="N106" s="1178">
        <f t="shared" ca="1" si="88"/>
        <v>91021.200000000012</v>
      </c>
      <c r="O106" s="62" t="str">
        <f ca="1">OFFSET('360SpcLdsCSV'!$B$5,$B106,O$51)</f>
        <v>Dwelling Unit</v>
      </c>
      <c r="P106" s="64">
        <f ca="1">OFFSET('360SpcLdsCSV'!$B$5,$B106,P$51)</f>
        <v>3</v>
      </c>
      <c r="Q106" s="84">
        <f t="shared" ca="1" si="82"/>
        <v>1.0699921326046682</v>
      </c>
      <c r="R106" s="64">
        <f ca="1">OFFSET('360SpcLdsCSV'!$B$5,$B106,R$51)*$P106</f>
        <v>9739.2000000000007</v>
      </c>
      <c r="S106" s="64">
        <f ca="1">OFFSET('360SpcLdsCSV'!$B$5,$B106,S$51)*$R106/1000</f>
        <v>8317.2768000000015</v>
      </c>
      <c r="T106" s="84">
        <f t="shared" ca="1" si="83"/>
        <v>0</v>
      </c>
      <c r="U106" s="64">
        <f ca="1">OFFSET('360SpcLdsCSV'!$B$5,$B106,U$51)</f>
        <v>0</v>
      </c>
      <c r="V106" s="64">
        <f ca="1">OFFSET('360SpcLdsCSV'!$B$5,$B106,V$51)*$U106/1000</f>
        <v>0</v>
      </c>
      <c r="W106" s="84">
        <f t="shared" ca="1" si="84"/>
        <v>0.59999189200145953</v>
      </c>
      <c r="X106" s="64">
        <f ca="1">OFFSET('360SpcLdsCSV'!$B$5,$B106,X$51)*$P106</f>
        <v>5461.2000000000007</v>
      </c>
      <c r="Y106" s="64">
        <f ca="1">OFFSET('360SpcLdsCSV'!$B$5,$B106,Y$51)*$X106/1000</f>
        <v>4663.8648000000012</v>
      </c>
      <c r="Z106" s="84">
        <f t="shared" ca="1" si="85"/>
        <v>0.59999189200145953</v>
      </c>
      <c r="AA106" s="64">
        <f ca="1">OFFSET('360SpcLdsCSV'!$B$5,$B106,AA$51)*$P106</f>
        <v>5461.2000000000007</v>
      </c>
      <c r="AB106" s="64">
        <f ca="1">OFFSET('360SpcLdsCSV'!$B$5,$B106,AB$51)*$AA106/1000</f>
        <v>4663.8648000000012</v>
      </c>
      <c r="AC106" s="65">
        <f ca="1">'Ltg IntTakeoffs'!EZ61</f>
        <v>0</v>
      </c>
      <c r="AD106" s="64">
        <f t="shared" ca="1" si="86"/>
        <v>0</v>
      </c>
      <c r="AE106" s="558">
        <f ca="1">'Ltg IntTakeoffs'!FA61*M106</f>
        <v>0</v>
      </c>
      <c r="AF106" s="559">
        <f ca="1">'Ltg IntTakeoffs'!FB61*M106</f>
        <v>0</v>
      </c>
      <c r="AG106" s="62"/>
      <c r="AH106" s="62"/>
    </row>
    <row r="107" spans="2:37" ht="15" customHeight="1" x14ac:dyDescent="0.2">
      <c r="B107" s="62">
        <f>MATCH(C107,'360SpcLdsCSV'!$C$6:$C$500,0)</f>
        <v>51</v>
      </c>
      <c r="C107" s="62" t="str">
        <f>'360SpcLdsCSV'!C56</f>
        <v>L03-314_MechRaccIncd</v>
      </c>
      <c r="D107" s="62" t="str">
        <f t="shared" si="78"/>
        <v>L03</v>
      </c>
      <c r="E107" s="62" t="str">
        <f t="shared" si="79"/>
        <v>Mech</v>
      </c>
      <c r="F107" s="62" t="str">
        <f t="shared" si="80"/>
        <v>Racc</v>
      </c>
      <c r="G107" s="62" t="str">
        <f t="shared" si="81"/>
        <v>Incd</v>
      </c>
      <c r="H107" s="62" t="str">
        <f ca="1">OFFSET('360SpcLdsCSV'!$B$5,$B107,H$51)</f>
        <v>Level 3</v>
      </c>
      <c r="I107" s="62" t="str">
        <f ca="1">OFFSET('360SpcLdsCSV'!$B$5,$B107,I$51)</f>
        <v>IndirectlyConditioned</v>
      </c>
      <c r="J107" s="62" t="str">
        <f ca="1">OFFSET('360SpcLdsCSV'!$B$5,$B107,J$51)</f>
        <v>Electrical/MechanicaI Room</v>
      </c>
      <c r="K107" s="62" t="str">
        <f ca="1">OFFSET('360SpcLdsCSV'!$B$5,$B107,K$51)</f>
        <v>Nonresidential</v>
      </c>
      <c r="L107" s="62" t="str">
        <f ca="1">OFFSET('360SpcLdsCSV'!$B$5,$B107,L$51)</f>
        <v>Thermal Zone: L03-300_CorrRaccSphp</v>
      </c>
      <c r="M107" s="1178">
        <f t="shared" ca="1" si="88"/>
        <v>1043.2284</v>
      </c>
      <c r="N107" s="1178">
        <f t="shared" ca="1" si="88"/>
        <v>10432.289999999999</v>
      </c>
      <c r="O107" s="62" t="str">
        <f ca="1">OFFSET('360SpcLdsCSV'!$B$5,$B107,O$51)</f>
        <v>Electrical/MechanicaI Room</v>
      </c>
      <c r="P107" s="64">
        <f ca="1">OFFSET('360SpcLdsCSV'!$B$5,$B107,P$51)</f>
        <v>3</v>
      </c>
      <c r="Q107" s="84">
        <f t="shared" ca="1" si="82"/>
        <v>1.4999591652221127</v>
      </c>
      <c r="R107" s="64">
        <f ca="1">OFFSET('360SpcLdsCSV'!$B$5,$B107,R$51)*$P107</f>
        <v>1564.8000000000002</v>
      </c>
      <c r="S107" s="64">
        <f ca="1">OFFSET('360SpcLdsCSV'!$B$5,$B107,S$51)*$R107/1000</f>
        <v>13707.648000000001</v>
      </c>
      <c r="T107" s="84">
        <f t="shared" ca="1" si="83"/>
        <v>0</v>
      </c>
      <c r="U107" s="64">
        <f ca="1">OFFSET('360SpcLdsCSV'!$B$5,$B107,U$51)</f>
        <v>0</v>
      </c>
      <c r="V107" s="64">
        <f ca="1">OFFSET('360SpcLdsCSV'!$B$5,$B107,V$51)*$U107/1000</f>
        <v>0</v>
      </c>
      <c r="W107" s="84">
        <f t="shared" ca="1" si="84"/>
        <v>0.34393235460230948</v>
      </c>
      <c r="X107" s="64">
        <f ca="1">OFFSET('360SpcLdsCSV'!$B$5,$B107,X$51)*$P107</f>
        <v>358.79999999999995</v>
      </c>
      <c r="Y107" s="64">
        <f ca="1">OFFSET('360SpcLdsCSV'!$B$5,$B107,Y$51)*$X107/1000</f>
        <v>3143.0879999999997</v>
      </c>
      <c r="Z107" s="84">
        <f t="shared" ca="1" si="85"/>
        <v>0.34393235460230948</v>
      </c>
      <c r="AA107" s="64">
        <f ca="1">OFFSET('360SpcLdsCSV'!$B$5,$B107,AA$51)*$P107</f>
        <v>358.79999999999995</v>
      </c>
      <c r="AB107" s="64">
        <f ca="1">OFFSET('360SpcLdsCSV'!$B$5,$B107,AB$51)*$AA107/1000</f>
        <v>3143.0879999999997</v>
      </c>
      <c r="AC107" s="65">
        <f ca="1">'Ltg IntTakeoffs'!EZ62</f>
        <v>0</v>
      </c>
      <c r="AD107" s="64">
        <f t="shared" ca="1" si="86"/>
        <v>0</v>
      </c>
      <c r="AE107" s="558">
        <f ca="1">'Ltg IntTakeoffs'!FA62*M107</f>
        <v>0</v>
      </c>
      <c r="AF107" s="559">
        <f ca="1">'Ltg IntTakeoffs'!FB62*M107</f>
        <v>0</v>
      </c>
      <c r="AG107" s="62"/>
      <c r="AH107" s="62"/>
    </row>
    <row r="108" spans="2:37" ht="15" customHeight="1" x14ac:dyDescent="0.2">
      <c r="B108" s="62">
        <f>MATCH(C108,'360SpcLdsCSV'!$C$6:$C$500,0)</f>
        <v>52</v>
      </c>
      <c r="C108" s="62" t="str">
        <f>'360SpcLdsCSV'!C57</f>
        <v>L03-315_ElevRaccIncd</v>
      </c>
      <c r="D108" s="62" t="str">
        <f t="shared" si="78"/>
        <v>L03</v>
      </c>
      <c r="E108" s="62" t="str">
        <f t="shared" si="79"/>
        <v>Elev</v>
      </c>
      <c r="F108" s="62" t="str">
        <f t="shared" si="80"/>
        <v>Racc</v>
      </c>
      <c r="G108" s="62" t="str">
        <f t="shared" si="81"/>
        <v>Incd</v>
      </c>
      <c r="H108" s="62" t="str">
        <f ca="1">OFFSET('360SpcLdsCSV'!$B$5,$B108,H$51)</f>
        <v>Level 3</v>
      </c>
      <c r="I108" s="62" t="str">
        <f ca="1">OFFSET('360SpcLdsCSV'!$B$5,$B108,I$51)</f>
        <v>IndirectlyConditioned</v>
      </c>
      <c r="J108" s="62" t="str">
        <f ca="1">OFFSET('360SpcLdsCSV'!$B$5,$B108,J$51)</f>
        <v>Unoccupied-Include in Gross Floor Area</v>
      </c>
      <c r="K108" s="62" t="str">
        <f ca="1">OFFSET('360SpcLdsCSV'!$B$5,$B108,K$51)</f>
        <v>Nonresidential</v>
      </c>
      <c r="L108" s="62" t="str">
        <f ca="1">OFFSET('360SpcLdsCSV'!$B$5,$B108,L$51)</f>
        <v>Thermal Zone: L03-300_CorrRaccSphp</v>
      </c>
      <c r="M108" s="1178">
        <f t="shared" ca="1" si="88"/>
        <v>536.65920000000006</v>
      </c>
      <c r="N108" s="1178">
        <f t="shared" ca="1" si="88"/>
        <v>5366.58</v>
      </c>
      <c r="O108" s="62" t="str">
        <f ca="1">OFFSET('360SpcLdsCSV'!$B$5,$B108,O$51)</f>
        <v>Unoccupied-Include in Gross Floor Area</v>
      </c>
      <c r="P108" s="64">
        <f ca="1">OFFSET('360SpcLdsCSV'!$B$5,$B108,P$51)</f>
        <v>3</v>
      </c>
      <c r="Q108" s="84">
        <f t="shared" ca="1" si="82"/>
        <v>0</v>
      </c>
      <c r="R108" s="64">
        <f ca="1">OFFSET('360SpcLdsCSV'!$B$5,$B108,R$51)*$P108</f>
        <v>0</v>
      </c>
      <c r="S108" s="64">
        <f ca="1">OFFSET('360SpcLdsCSV'!$B$5,$B108,S$51)*$R108/1000</f>
        <v>0</v>
      </c>
      <c r="T108" s="84">
        <f t="shared" ca="1" si="83"/>
        <v>0</v>
      </c>
      <c r="U108" s="64">
        <f ca="1">OFFSET('360SpcLdsCSV'!$B$5,$B108,U$51)</f>
        <v>0</v>
      </c>
      <c r="V108" s="64">
        <f ca="1">OFFSET('360SpcLdsCSV'!$B$5,$B108,V$51)*$U108/1000</f>
        <v>0</v>
      </c>
      <c r="W108" s="84">
        <f t="shared" ca="1" si="84"/>
        <v>0</v>
      </c>
      <c r="X108" s="64">
        <f ca="1">OFFSET('360SpcLdsCSV'!$B$5,$B108,X$51)*$P108</f>
        <v>0</v>
      </c>
      <c r="Y108" s="64">
        <f ca="1">OFFSET('360SpcLdsCSV'!$B$5,$B108,Y$51)*$X108/1000</f>
        <v>0</v>
      </c>
      <c r="Z108" s="84">
        <f t="shared" ca="1" si="85"/>
        <v>-558.99162820650417</v>
      </c>
      <c r="AA108" s="64">
        <f ca="1">OFFSET('360SpcLdsCSV'!$B$5,$B108,AA$51)*$P108</f>
        <v>-299988</v>
      </c>
      <c r="AB108" s="64">
        <f ca="1">OFFSET('360SpcLdsCSV'!$B$5,$B108,AB$51)*$AA108/1000</f>
        <v>0</v>
      </c>
      <c r="AC108" s="65">
        <f ca="1">'Ltg IntTakeoffs'!EZ63</f>
        <v>0</v>
      </c>
      <c r="AD108" s="64">
        <f t="shared" ca="1" si="86"/>
        <v>0</v>
      </c>
      <c r="AE108" s="558">
        <f ca="1">'Ltg IntTakeoffs'!FA63*M108</f>
        <v>0</v>
      </c>
      <c r="AF108" s="559">
        <f ca="1">'Ltg IntTakeoffs'!FB63*M108</f>
        <v>0</v>
      </c>
      <c r="AG108" s="62"/>
      <c r="AH108" s="62"/>
    </row>
    <row r="109" spans="2:37" ht="15" customHeight="1" x14ac:dyDescent="0.2">
      <c r="B109" s="62">
        <f>MATCH(C109,'360SpcLdsCSV'!$C$6:$C$500,0)</f>
        <v>53</v>
      </c>
      <c r="C109" s="62" t="str">
        <f>'360SpcLdsCSV'!C58</f>
        <v>L03-316_StrsRaccIncd</v>
      </c>
      <c r="D109" s="62" t="str">
        <f t="shared" si="78"/>
        <v>L03</v>
      </c>
      <c r="E109" s="62" t="str">
        <f t="shared" si="79"/>
        <v>Strs</v>
      </c>
      <c r="F109" s="62" t="str">
        <f t="shared" si="80"/>
        <v>Racc</v>
      </c>
      <c r="G109" s="62" t="str">
        <f t="shared" si="81"/>
        <v>Incd</v>
      </c>
      <c r="H109" s="62" t="str">
        <f ca="1">OFFSET('360SpcLdsCSV'!$B$5,$B109,H$51)</f>
        <v>Level 3</v>
      </c>
      <c r="I109" s="62" t="str">
        <f ca="1">OFFSET('360SpcLdsCSV'!$B$5,$B109,I$51)</f>
        <v>IndirectlyConditioned</v>
      </c>
      <c r="J109" s="62" t="str">
        <f ca="1">OFFSET('360SpcLdsCSV'!$B$5,$B109,J$51)</f>
        <v>Stairwell</v>
      </c>
      <c r="K109" s="62" t="str">
        <f ca="1">OFFSET('360SpcLdsCSV'!$B$5,$B109,K$51)</f>
        <v>Nonresidential</v>
      </c>
      <c r="L109" s="62" t="str">
        <f ca="1">OFFSET('360SpcLdsCSV'!$B$5,$B109,L$51)</f>
        <v>Thermal Zone: L03-300_CorrRaccSphp</v>
      </c>
      <c r="M109" s="1178">
        <f t="shared" ca="1" si="88"/>
        <v>697.60199999999998</v>
      </c>
      <c r="N109" s="1178">
        <f t="shared" ca="1" si="88"/>
        <v>6976.02</v>
      </c>
      <c r="O109" s="62" t="str">
        <f ca="1">OFFSET('360SpcLdsCSV'!$B$5,$B109,O$51)</f>
        <v>Stairwell</v>
      </c>
      <c r="P109" s="64">
        <f ca="1">OFFSET('360SpcLdsCSV'!$B$5,$B109,P$51)</f>
        <v>3</v>
      </c>
      <c r="Q109" s="84">
        <f t="shared" ca="1" si="82"/>
        <v>0.59991227089371879</v>
      </c>
      <c r="R109" s="64">
        <f ca="1">OFFSET('360SpcLdsCSV'!$B$5,$B109,R$51)*$P109</f>
        <v>418.5</v>
      </c>
      <c r="S109" s="64">
        <f ca="1">OFFSET('360SpcLdsCSV'!$B$5,$B109,S$51)*$R109/1000</f>
        <v>3666.06</v>
      </c>
      <c r="T109" s="84">
        <f t="shared" ca="1" si="83"/>
        <v>0</v>
      </c>
      <c r="U109" s="64">
        <f ca="1">OFFSET('360SpcLdsCSV'!$B$5,$B109,U$51)</f>
        <v>0</v>
      </c>
      <c r="V109" s="64">
        <f ca="1">OFFSET('360SpcLdsCSV'!$B$5,$B109,V$51)*$U109/1000</f>
        <v>0</v>
      </c>
      <c r="W109" s="84">
        <f t="shared" ca="1" si="84"/>
        <v>0.39220071043374305</v>
      </c>
      <c r="X109" s="64">
        <f ca="1">OFFSET('360SpcLdsCSV'!$B$5,$B109,X$51)*$P109</f>
        <v>273.60000000000002</v>
      </c>
      <c r="Y109" s="64">
        <f ca="1">OFFSET('360SpcLdsCSV'!$B$5,$B109,Y$51)*$X109/1000</f>
        <v>2396.7359999999999</v>
      </c>
      <c r="Z109" s="84">
        <f t="shared" ca="1" si="85"/>
        <v>0.39220071043374305</v>
      </c>
      <c r="AA109" s="64">
        <f ca="1">OFFSET('360SpcLdsCSV'!$B$5,$B109,AA$51)*$P109</f>
        <v>273.60000000000002</v>
      </c>
      <c r="AB109" s="64">
        <f ca="1">OFFSET('360SpcLdsCSV'!$B$5,$B109,AB$51)*$AA109/1000</f>
        <v>2396.7359999999999</v>
      </c>
      <c r="AC109" s="65">
        <f ca="1">'Ltg IntTakeoffs'!EZ64</f>
        <v>0</v>
      </c>
      <c r="AD109" s="64">
        <f t="shared" ca="1" si="86"/>
        <v>0</v>
      </c>
      <c r="AE109" s="558">
        <f ca="1">'Ltg IntTakeoffs'!FA64*M109</f>
        <v>0</v>
      </c>
      <c r="AF109" s="559">
        <f ca="1">'Ltg IntTakeoffs'!FB64*M109</f>
        <v>0</v>
      </c>
      <c r="AG109" s="62"/>
      <c r="AH109" s="62"/>
    </row>
    <row r="110" spans="2:37" ht="15" customHeight="1" x14ac:dyDescent="0.2">
      <c r="B110" s="62">
        <f>MATCH(C110,'360SpcLdsCSV'!$C$6:$C$500,0)</f>
        <v>54</v>
      </c>
      <c r="C110" s="62" t="str">
        <f>'360SpcLdsCSV'!C59</f>
        <v>L03-317_MfamResiPthp</v>
      </c>
      <c r="D110" s="62" t="str">
        <f t="shared" si="78"/>
        <v>L03</v>
      </c>
      <c r="E110" s="62" t="str">
        <f t="shared" si="79"/>
        <v>Mfam</v>
      </c>
      <c r="F110" s="62" t="str">
        <f t="shared" si="80"/>
        <v>Resi</v>
      </c>
      <c r="G110" s="62" t="str">
        <f t="shared" si="81"/>
        <v>Pthp</v>
      </c>
      <c r="H110" s="62" t="str">
        <f ca="1">OFFSET('360SpcLdsCSV'!$B$5,$B110,H$51)</f>
        <v>Level 3</v>
      </c>
      <c r="I110" s="62" t="str">
        <f ca="1">OFFSET('360SpcLdsCSV'!$B$5,$B110,I$51)</f>
        <v>DirectlyConditioned</v>
      </c>
      <c r="J110" s="62" t="str">
        <f ca="1">OFFSET('360SpcLdsCSV'!$B$5,$B110,J$51)</f>
        <v>Dwelling Unit</v>
      </c>
      <c r="K110" s="62" t="str">
        <f ca="1">OFFSET('360SpcLdsCSV'!$B$5,$B110,K$51)</f>
        <v>Residential</v>
      </c>
      <c r="L110" s="62" t="str">
        <f ca="1">OFFSET('360SpcLdsCSV'!$B$5,$B110,L$51)</f>
        <v>Thermal Zone: L03-317_MfamResiPthp</v>
      </c>
      <c r="M110" s="1178">
        <f t="shared" ca="1" si="88"/>
        <v>2064.8418000000001</v>
      </c>
      <c r="N110" s="1178">
        <f t="shared" ca="1" si="88"/>
        <v>20648.43</v>
      </c>
      <c r="O110" s="62" t="str">
        <f ca="1">OFFSET('360SpcLdsCSV'!$B$5,$B110,O$51)</f>
        <v>Dwelling Unit</v>
      </c>
      <c r="P110" s="64">
        <f ca="1">OFFSET('360SpcLdsCSV'!$B$5,$B110,P$51)</f>
        <v>3</v>
      </c>
      <c r="Q110" s="84">
        <f t="shared" ca="1" si="82"/>
        <v>1.0700577642316229</v>
      </c>
      <c r="R110" s="64">
        <f ca="1">OFFSET('360SpcLdsCSV'!$B$5,$B110,R$51)*$P110</f>
        <v>2209.5</v>
      </c>
      <c r="S110" s="64">
        <f ca="1">OFFSET('360SpcLdsCSV'!$B$5,$B110,S$51)*$R110/1000</f>
        <v>1886.913</v>
      </c>
      <c r="T110" s="84">
        <f t="shared" ca="1" si="83"/>
        <v>0</v>
      </c>
      <c r="U110" s="64">
        <f ca="1">OFFSET('360SpcLdsCSV'!$B$5,$B110,U$51)</f>
        <v>0</v>
      </c>
      <c r="V110" s="64">
        <f ca="1">OFFSET('360SpcLdsCSV'!$B$5,$B110,V$51)*$U110/1000</f>
        <v>0</v>
      </c>
      <c r="W110" s="84">
        <f t="shared" ca="1" si="84"/>
        <v>0.60004596962343548</v>
      </c>
      <c r="X110" s="64">
        <f ca="1">OFFSET('360SpcLdsCSV'!$B$5,$B110,X$51)*$P110</f>
        <v>1239</v>
      </c>
      <c r="Y110" s="64">
        <f ca="1">OFFSET('360SpcLdsCSV'!$B$5,$B110,Y$51)*$X110/1000</f>
        <v>1058.106</v>
      </c>
      <c r="Z110" s="84">
        <f t="shared" ca="1" si="85"/>
        <v>0.60004596962343548</v>
      </c>
      <c r="AA110" s="64">
        <f ca="1">OFFSET('360SpcLdsCSV'!$B$5,$B110,AA$51)*$P110</f>
        <v>1239</v>
      </c>
      <c r="AB110" s="64">
        <f ca="1">OFFSET('360SpcLdsCSV'!$B$5,$B110,AB$51)*$AA110/1000</f>
        <v>1058.106</v>
      </c>
      <c r="AC110" s="65">
        <f ca="1">'Ltg IntTakeoffs'!EZ65</f>
        <v>0</v>
      </c>
      <c r="AD110" s="64">
        <f t="shared" ca="1" si="86"/>
        <v>0</v>
      </c>
      <c r="AE110" s="558">
        <f ca="1">'Ltg IntTakeoffs'!FA65*M110</f>
        <v>0</v>
      </c>
      <c r="AF110" s="559">
        <f ca="1">'Ltg IntTakeoffs'!FB65*M110</f>
        <v>0</v>
      </c>
      <c r="AG110" s="62"/>
      <c r="AH110" s="62"/>
    </row>
    <row r="111" spans="2:37" ht="15" customHeight="1" x14ac:dyDescent="0.2">
      <c r="B111" s="62">
        <f>MATCH(C111,'360SpcLdsCSV'!$C$6:$C$500,0)</f>
        <v>55</v>
      </c>
      <c r="C111" s="62" t="str">
        <f>'360SpcLdsCSV'!C60</f>
        <v>L03-318_TrshRaccIncd</v>
      </c>
      <c r="D111" s="62" t="str">
        <f t="shared" si="78"/>
        <v>L03</v>
      </c>
      <c r="E111" s="62" t="str">
        <f t="shared" si="79"/>
        <v>Trsh</v>
      </c>
      <c r="F111" s="62" t="str">
        <f t="shared" si="80"/>
        <v>Racc</v>
      </c>
      <c r="G111" s="62" t="str">
        <f t="shared" si="81"/>
        <v>Incd</v>
      </c>
      <c r="H111" s="62" t="str">
        <f ca="1">OFFSET('360SpcLdsCSV'!$B$5,$B111,H$51)</f>
        <v>Level 3</v>
      </c>
      <c r="I111" s="62" t="str">
        <f ca="1">OFFSET('360SpcLdsCSV'!$B$5,$B111,I$51)</f>
        <v>IndirectlyConditioned</v>
      </c>
      <c r="J111" s="62" t="str">
        <f ca="1">OFFSET('360SpcLdsCSV'!$B$5,$B111,J$51)</f>
        <v>Storage Room - &lt;50 ft2</v>
      </c>
      <c r="K111" s="62" t="str">
        <f ca="1">OFFSET('360SpcLdsCSV'!$B$5,$B111,K$51)</f>
        <v>Nonresidential</v>
      </c>
      <c r="L111" s="62" t="str">
        <f ca="1">OFFSET('360SpcLdsCSV'!$B$5,$B111,L$51)</f>
        <v>Thermal Zone: L03-300_CorrRaccSphp</v>
      </c>
      <c r="M111" s="1178">
        <f t="shared" ca="1" si="88"/>
        <v>563.66219999999998</v>
      </c>
      <c r="N111" s="1178">
        <f t="shared" ca="1" si="88"/>
        <v>5636.61</v>
      </c>
      <c r="O111" s="62" t="str">
        <f ca="1">OFFSET('360SpcLdsCSV'!$B$5,$B111,O$51)</f>
        <v>Storage Room - &lt;50 ft2</v>
      </c>
      <c r="P111" s="64">
        <f ca="1">OFFSET('360SpcLdsCSV'!$B$5,$B111,P$51)</f>
        <v>3</v>
      </c>
      <c r="Q111" s="84">
        <f t="shared" ca="1" si="82"/>
        <v>0.79994720242017303</v>
      </c>
      <c r="R111" s="64">
        <f ca="1">OFFSET('360SpcLdsCSV'!$B$5,$B111,R$51)*$P111</f>
        <v>450.90000000000003</v>
      </c>
      <c r="S111" s="64">
        <f ca="1">OFFSET('360SpcLdsCSV'!$B$5,$B111,S$51)*$R111/1000</f>
        <v>3949.8840000000005</v>
      </c>
      <c r="T111" s="84">
        <f t="shared" ca="1" si="83"/>
        <v>0</v>
      </c>
      <c r="U111" s="64">
        <f ca="1">OFFSET('360SpcLdsCSV'!$B$5,$B111,U$51)</f>
        <v>0</v>
      </c>
      <c r="V111" s="64">
        <f ca="1">OFFSET('360SpcLdsCSV'!$B$5,$B111,V$51)*$U111/1000</f>
        <v>0</v>
      </c>
      <c r="W111" s="84">
        <f t="shared" ca="1" si="84"/>
        <v>0.30390542420620015</v>
      </c>
      <c r="X111" s="64">
        <f ca="1">OFFSET('360SpcLdsCSV'!$B$5,$B111,X$51)*$P111</f>
        <v>171.3</v>
      </c>
      <c r="Y111" s="64">
        <f ca="1">OFFSET('360SpcLdsCSV'!$B$5,$B111,Y$51)*$X111/1000</f>
        <v>1500.588</v>
      </c>
      <c r="Z111" s="84">
        <f t="shared" ca="1" si="85"/>
        <v>0.30390542420620015</v>
      </c>
      <c r="AA111" s="64">
        <f ca="1">OFFSET('360SpcLdsCSV'!$B$5,$B111,AA$51)*$P111</f>
        <v>171.3</v>
      </c>
      <c r="AB111" s="64">
        <f ca="1">OFFSET('360SpcLdsCSV'!$B$5,$B111,AB$51)*$AA111/1000</f>
        <v>1500.588</v>
      </c>
      <c r="AC111" s="65">
        <f ca="1">'Ltg IntTakeoffs'!EZ66</f>
        <v>0</v>
      </c>
      <c r="AD111" s="64">
        <f t="shared" ca="1" si="86"/>
        <v>0</v>
      </c>
      <c r="AE111" s="558">
        <f ca="1">'Ltg IntTakeoffs'!FA66*M111</f>
        <v>0</v>
      </c>
      <c r="AF111" s="559">
        <f ca="1">'Ltg IntTakeoffs'!FB66*M111</f>
        <v>0</v>
      </c>
      <c r="AG111" s="62"/>
      <c r="AH111" s="62"/>
    </row>
    <row r="112" spans="2:37" ht="15" customHeight="1" x14ac:dyDescent="0.2">
      <c r="B112" s="62">
        <f>MATCH(C112,'360SpcLdsCSV'!$C$6:$C$500,0)</f>
        <v>56</v>
      </c>
      <c r="C112" s="62" t="str">
        <f>'360SpcLdsCSV'!C61</f>
        <v>L03-319_MfamResiPthp</v>
      </c>
      <c r="D112" s="62" t="str">
        <f t="shared" si="78"/>
        <v>L03</v>
      </c>
      <c r="E112" s="62" t="str">
        <f t="shared" si="79"/>
        <v>Mfam</v>
      </c>
      <c r="F112" s="62" t="str">
        <f t="shared" si="80"/>
        <v>Resi</v>
      </c>
      <c r="G112" s="62" t="str">
        <f t="shared" si="81"/>
        <v>Pthp</v>
      </c>
      <c r="H112" s="62" t="str">
        <f ca="1">OFFSET('360SpcLdsCSV'!$B$5,$B112,H$51)</f>
        <v>Level 3</v>
      </c>
      <c r="I112" s="62" t="str">
        <f ca="1">OFFSET('360SpcLdsCSV'!$B$5,$B112,I$51)</f>
        <v>DirectlyConditioned</v>
      </c>
      <c r="J112" s="62" t="str">
        <f ca="1">OFFSET('360SpcLdsCSV'!$B$5,$B112,J$51)</f>
        <v>Dwelling Unit</v>
      </c>
      <c r="K112" s="62" t="str">
        <f ca="1">OFFSET('360SpcLdsCSV'!$B$5,$B112,K$51)</f>
        <v>Residential</v>
      </c>
      <c r="L112" s="62" t="str">
        <f ca="1">OFFSET('360SpcLdsCSV'!$B$5,$B112,L$51)</f>
        <v>Thermal Zone: L03-319_MfamResiPthp</v>
      </c>
      <c r="M112" s="1178">
        <f t="shared" ca="1" si="88"/>
        <v>1988.7891</v>
      </c>
      <c r="N112" s="1178">
        <f t="shared" ca="1" si="88"/>
        <v>19887.900000000001</v>
      </c>
      <c r="O112" s="62" t="str">
        <f ca="1">OFFSET('360SpcLdsCSV'!$B$5,$B112,O$51)</f>
        <v>Dwelling Unit</v>
      </c>
      <c r="P112" s="64">
        <f ca="1">OFFSET('360SpcLdsCSV'!$B$5,$B112,P$51)</f>
        <v>3</v>
      </c>
      <c r="Q112" s="84">
        <f t="shared" ca="1" si="82"/>
        <v>1.0699475374236513</v>
      </c>
      <c r="R112" s="64">
        <f ca="1">OFFSET('360SpcLdsCSV'!$B$5,$B112,R$51)*$P112</f>
        <v>2127.8999999999996</v>
      </c>
      <c r="S112" s="64">
        <f ca="1">OFFSET('360SpcLdsCSV'!$B$5,$B112,S$51)*$R112/1000</f>
        <v>1817.2265999999997</v>
      </c>
      <c r="T112" s="84">
        <f t="shared" ca="1" si="83"/>
        <v>0</v>
      </c>
      <c r="U112" s="64">
        <f ca="1">OFFSET('360SpcLdsCSV'!$B$5,$B112,U$51)</f>
        <v>0</v>
      </c>
      <c r="V112" s="64">
        <f ca="1">OFFSET('360SpcLdsCSV'!$B$5,$B112,V$51)*$U112/1000</f>
        <v>0</v>
      </c>
      <c r="W112" s="84">
        <f t="shared" ca="1" si="84"/>
        <v>0.60006362665603918</v>
      </c>
      <c r="X112" s="64">
        <f ca="1">OFFSET('360SpcLdsCSV'!$B$5,$B112,X$51)*$P112</f>
        <v>1193.4000000000001</v>
      </c>
      <c r="Y112" s="64">
        <f ca="1">OFFSET('360SpcLdsCSV'!$B$5,$B112,Y$51)*$X112/1000</f>
        <v>1019.1636000000001</v>
      </c>
      <c r="Z112" s="84">
        <f t="shared" ca="1" si="85"/>
        <v>0.60006362665603918</v>
      </c>
      <c r="AA112" s="64">
        <f ca="1">OFFSET('360SpcLdsCSV'!$B$5,$B112,AA$51)*$P112</f>
        <v>1193.4000000000001</v>
      </c>
      <c r="AB112" s="64">
        <f ca="1">OFFSET('360SpcLdsCSV'!$B$5,$B112,AB$51)*$AA112/1000</f>
        <v>1019.1636000000001</v>
      </c>
      <c r="AC112" s="65">
        <f ca="1">'Ltg IntTakeoffs'!EZ67</f>
        <v>0</v>
      </c>
      <c r="AD112" s="64">
        <f t="shared" ca="1" si="86"/>
        <v>0</v>
      </c>
      <c r="AE112" s="558">
        <f ca="1">'Ltg IntTakeoffs'!FA67*M112</f>
        <v>0</v>
      </c>
      <c r="AF112" s="559">
        <f ca="1">'Ltg IntTakeoffs'!FB67*M112</f>
        <v>0</v>
      </c>
      <c r="AG112" s="62"/>
      <c r="AH112" s="62"/>
    </row>
    <row r="113" spans="2:34" ht="15" customHeight="1" x14ac:dyDescent="0.2">
      <c r="B113" s="62">
        <f>MATCH(C113,'360SpcLdsCSV'!$C$6:$C$500,0)</f>
        <v>57</v>
      </c>
      <c r="C113" s="62" t="str">
        <f>'360SpcLdsCSV'!C62</f>
        <v>L06-600_CorrRaccSphp</v>
      </c>
      <c r="D113" s="62" t="str">
        <f t="shared" si="78"/>
        <v>L06</v>
      </c>
      <c r="E113" s="62" t="str">
        <f t="shared" si="79"/>
        <v>Corr</v>
      </c>
      <c r="F113" s="62" t="str">
        <f t="shared" si="80"/>
        <v>Racc</v>
      </c>
      <c r="G113" s="62" t="str">
        <f t="shared" si="81"/>
        <v>Sphp</v>
      </c>
      <c r="H113" s="62" t="str">
        <f ca="1">OFFSET('360SpcLdsCSV'!$B$5,$B113,H$51)</f>
        <v>Level 6</v>
      </c>
      <c r="I113" s="62" t="str">
        <f ca="1">OFFSET('360SpcLdsCSV'!$B$5,$B113,I$51)</f>
        <v>DirectlyConditioned</v>
      </c>
      <c r="J113" s="62" t="str">
        <f ca="1">OFFSET('360SpcLdsCSV'!$B$5,$B113,J$51)</f>
        <v>Corridor - All other</v>
      </c>
      <c r="K113" s="62" t="str">
        <f ca="1">OFFSET('360SpcLdsCSV'!$B$5,$B113,K$51)</f>
        <v>Nonresidential</v>
      </c>
      <c r="L113" s="62" t="str">
        <f ca="1">OFFSET('360SpcLdsCSV'!$B$5,$B113,L$51)</f>
        <v>Thermal Zone: L06-600_CorrRaccSphp</v>
      </c>
      <c r="M113" s="1178">
        <f t="shared" ca="1" si="88"/>
        <v>1916.0455999999999</v>
      </c>
      <c r="N113" s="1178">
        <f t="shared" ca="1" si="88"/>
        <v>19160.5</v>
      </c>
      <c r="O113" s="62" t="str">
        <f ca="1">OFFSET('360SpcLdsCSV'!$B$5,$B113,O$51)</f>
        <v>Corridor - All other</v>
      </c>
      <c r="P113" s="64">
        <f ca="1">OFFSET('360SpcLdsCSV'!$B$5,$B113,P$51)</f>
        <v>1</v>
      </c>
      <c r="Q113" s="84">
        <f t="shared" ca="1" si="82"/>
        <v>0.49998810049197162</v>
      </c>
      <c r="R113" s="64">
        <f ca="1">OFFSET('360SpcLdsCSV'!$B$5,$B113,R$51)*$P113</f>
        <v>958</v>
      </c>
      <c r="S113" s="64">
        <f ca="1">OFFSET('360SpcLdsCSV'!$B$5,$B113,S$51)*$R113/1000</f>
        <v>8392.08</v>
      </c>
      <c r="T113" s="84">
        <f t="shared" ca="1" si="83"/>
        <v>0</v>
      </c>
      <c r="U113" s="64">
        <f ca="1">OFFSET('360SpcLdsCSV'!$B$5,$B113,U$51)</f>
        <v>0</v>
      </c>
      <c r="V113" s="64">
        <f ca="1">OFFSET('360SpcLdsCSV'!$B$5,$B113,V$51)*$U113/1000</f>
        <v>0</v>
      </c>
      <c r="W113" s="84">
        <f t="shared" ca="1" si="84"/>
        <v>0.32801933315157011</v>
      </c>
      <c r="X113" s="64">
        <f ca="1">OFFSET('360SpcLdsCSV'!$B$5,$B113,X$51)*$P113</f>
        <v>628.5</v>
      </c>
      <c r="Y113" s="64">
        <f ca="1">OFFSET('360SpcLdsCSV'!$B$5,$B113,Y$51)*$X113/1000</f>
        <v>5505.66</v>
      </c>
      <c r="Z113" s="84">
        <f t="shared" ca="1" si="85"/>
        <v>0.32801933315157011</v>
      </c>
      <c r="AA113" s="64">
        <f ca="1">OFFSET('360SpcLdsCSV'!$B$5,$B113,AA$51)*$P113</f>
        <v>628.5</v>
      </c>
      <c r="AB113" s="64">
        <f ca="1">OFFSET('360SpcLdsCSV'!$B$5,$B113,AB$51)*$AA113/1000</f>
        <v>5505.66</v>
      </c>
      <c r="AC113" s="65">
        <f ca="1">'Ltg IntTakeoffs'!EZ68</f>
        <v>0</v>
      </c>
      <c r="AD113" s="64">
        <f t="shared" ca="1" si="86"/>
        <v>0</v>
      </c>
      <c r="AE113" s="558">
        <f ca="1">'Ltg IntTakeoffs'!FA68*M113</f>
        <v>0</v>
      </c>
      <c r="AF113" s="559">
        <f ca="1">'Ltg IntTakeoffs'!FB68*M113</f>
        <v>0</v>
      </c>
      <c r="AG113" s="62"/>
      <c r="AH113" s="62"/>
    </row>
    <row r="114" spans="2:34" ht="15" customHeight="1" x14ac:dyDescent="0.2">
      <c r="B114" s="62">
        <f>MATCH(C114,'360SpcLdsCSV'!$C$6:$C$500,0)</f>
        <v>58</v>
      </c>
      <c r="C114" s="62" t="str">
        <f>'360SpcLdsCSV'!C63</f>
        <v>L06-601_MfamResiPthp</v>
      </c>
      <c r="D114" s="62" t="str">
        <f t="shared" si="78"/>
        <v>L06</v>
      </c>
      <c r="E114" s="62" t="str">
        <f t="shared" si="79"/>
        <v>Mfam</v>
      </c>
      <c r="F114" s="62" t="str">
        <f t="shared" si="80"/>
        <v>Resi</v>
      </c>
      <c r="G114" s="62" t="str">
        <f t="shared" si="81"/>
        <v>Pthp</v>
      </c>
      <c r="H114" s="62" t="str">
        <f ca="1">OFFSET('360SpcLdsCSV'!$B$5,$B114,H$51)</f>
        <v>Level 6</v>
      </c>
      <c r="I114" s="62" t="str">
        <f ca="1">OFFSET('360SpcLdsCSV'!$B$5,$B114,I$51)</f>
        <v>DirectlyConditioned</v>
      </c>
      <c r="J114" s="62" t="str">
        <f ca="1">OFFSET('360SpcLdsCSV'!$B$5,$B114,J$51)</f>
        <v>Dwelling Unit</v>
      </c>
      <c r="K114" s="62" t="str">
        <f ca="1">OFFSET('360SpcLdsCSV'!$B$5,$B114,K$51)</f>
        <v>Residential</v>
      </c>
      <c r="L114" s="62" t="str">
        <f ca="1">OFFSET('360SpcLdsCSV'!$B$5,$B114,L$51)</f>
        <v>Thermal Zone: L06-601_MfamResiPthp</v>
      </c>
      <c r="M114" s="1178">
        <f t="shared" ca="1" si="88"/>
        <v>872.36159999999995</v>
      </c>
      <c r="N114" s="1178">
        <f t="shared" ca="1" si="88"/>
        <v>8723.6200000000008</v>
      </c>
      <c r="O114" s="62" t="str">
        <f ca="1">OFFSET('360SpcLdsCSV'!$B$5,$B114,O$51)</f>
        <v>Dwelling Unit</v>
      </c>
      <c r="P114" s="64">
        <f ca="1">OFFSET('360SpcLdsCSV'!$B$5,$B114,P$51)</f>
        <v>1</v>
      </c>
      <c r="Q114" s="84">
        <f t="shared" ca="1" si="82"/>
        <v>1.0699691504073541</v>
      </c>
      <c r="R114" s="64">
        <f ca="1">OFFSET('360SpcLdsCSV'!$B$5,$B114,R$51)*$P114</f>
        <v>933.4</v>
      </c>
      <c r="S114" s="64">
        <f ca="1">OFFSET('360SpcLdsCSV'!$B$5,$B114,S$51)*$R114/1000</f>
        <v>797.12360000000001</v>
      </c>
      <c r="T114" s="84">
        <f t="shared" ca="1" si="83"/>
        <v>0</v>
      </c>
      <c r="U114" s="64">
        <f ca="1">OFFSET('360SpcLdsCSV'!$B$5,$B114,U$51)</f>
        <v>0</v>
      </c>
      <c r="V114" s="64">
        <f ca="1">OFFSET('360SpcLdsCSV'!$B$5,$B114,V$51)*$U114/1000</f>
        <v>0</v>
      </c>
      <c r="W114" s="84">
        <f t="shared" ca="1" si="84"/>
        <v>0.59998055852068688</v>
      </c>
      <c r="X114" s="64">
        <f ca="1">OFFSET('360SpcLdsCSV'!$B$5,$B114,X$51)*$P114</f>
        <v>523.4</v>
      </c>
      <c r="Y114" s="64">
        <f ca="1">OFFSET('360SpcLdsCSV'!$B$5,$B114,Y$51)*$X114/1000</f>
        <v>446.98359999999997</v>
      </c>
      <c r="Z114" s="84">
        <f t="shared" ca="1" si="85"/>
        <v>0.59998055852068688</v>
      </c>
      <c r="AA114" s="64">
        <f ca="1">OFFSET('360SpcLdsCSV'!$B$5,$B114,AA$51)*$P114</f>
        <v>523.4</v>
      </c>
      <c r="AB114" s="64">
        <f ca="1">OFFSET('360SpcLdsCSV'!$B$5,$B114,AB$51)*$AA114/1000</f>
        <v>446.98359999999997</v>
      </c>
      <c r="AC114" s="65">
        <f ca="1">'Ltg IntTakeoffs'!EZ69</f>
        <v>0</v>
      </c>
      <c r="AD114" s="64">
        <f t="shared" ca="1" si="86"/>
        <v>0</v>
      </c>
      <c r="AE114" s="558">
        <f ca="1">'Ltg IntTakeoffs'!FA69*M114</f>
        <v>0</v>
      </c>
      <c r="AF114" s="559">
        <f ca="1">'Ltg IntTakeoffs'!FB69*M114</f>
        <v>0</v>
      </c>
      <c r="AG114" s="62"/>
      <c r="AH114" s="62"/>
    </row>
    <row r="115" spans="2:34" ht="15" customHeight="1" x14ac:dyDescent="0.2">
      <c r="B115" s="62">
        <f>MATCH(C115,'360SpcLdsCSV'!$C$6:$C$500,0)</f>
        <v>59</v>
      </c>
      <c r="C115" s="62" t="str">
        <f>'360SpcLdsCSV'!C64</f>
        <v>L06-602_MfamResiPthp</v>
      </c>
      <c r="D115" s="62" t="str">
        <f t="shared" si="78"/>
        <v>L06</v>
      </c>
      <c r="E115" s="62" t="str">
        <f t="shared" si="79"/>
        <v>Mfam</v>
      </c>
      <c r="F115" s="62" t="str">
        <f t="shared" si="80"/>
        <v>Resi</v>
      </c>
      <c r="G115" s="62" t="str">
        <f t="shared" si="81"/>
        <v>Pthp</v>
      </c>
      <c r="H115" s="62" t="str">
        <f ca="1">OFFSET('360SpcLdsCSV'!$B$5,$B115,H$51)</f>
        <v>Level 6</v>
      </c>
      <c r="I115" s="62" t="str">
        <f ca="1">OFFSET('360SpcLdsCSV'!$B$5,$B115,I$51)</f>
        <v>DirectlyConditioned</v>
      </c>
      <c r="J115" s="62" t="str">
        <f ca="1">OFFSET('360SpcLdsCSV'!$B$5,$B115,J$51)</f>
        <v>Dwelling Unit</v>
      </c>
      <c r="K115" s="62" t="str">
        <f ca="1">OFFSET('360SpcLdsCSV'!$B$5,$B115,K$51)</f>
        <v>Residential</v>
      </c>
      <c r="L115" s="62" t="str">
        <f ca="1">OFFSET('360SpcLdsCSV'!$B$5,$B115,L$51)</f>
        <v>Thermal Zone: L06-602_MfamResiPthp</v>
      </c>
      <c r="M115" s="1178">
        <f t="shared" ca="1" si="88"/>
        <v>1660.6944000000001</v>
      </c>
      <c r="N115" s="1178">
        <f t="shared" ca="1" si="88"/>
        <v>16606.900000000001</v>
      </c>
      <c r="O115" s="62" t="str">
        <f ca="1">OFFSET('360SpcLdsCSV'!$B$5,$B115,O$51)</f>
        <v>Dwelling Unit</v>
      </c>
      <c r="P115" s="64">
        <f ca="1">OFFSET('360SpcLdsCSV'!$B$5,$B115,P$51)</f>
        <v>1</v>
      </c>
      <c r="Q115" s="84">
        <f t="shared" ca="1" si="82"/>
        <v>1.0699741023995746</v>
      </c>
      <c r="R115" s="64">
        <f ca="1">OFFSET('360SpcLdsCSV'!$B$5,$B115,R$51)*$P115</f>
        <v>1776.9</v>
      </c>
      <c r="S115" s="64">
        <f ca="1">OFFSET('360SpcLdsCSV'!$B$5,$B115,S$51)*$R115/1000</f>
        <v>1517.4726000000001</v>
      </c>
      <c r="T115" s="84">
        <f t="shared" ca="1" si="83"/>
        <v>0</v>
      </c>
      <c r="U115" s="64">
        <f ca="1">OFFSET('360SpcLdsCSV'!$B$5,$B115,U$51)</f>
        <v>0</v>
      </c>
      <c r="V115" s="64">
        <f ca="1">OFFSET('360SpcLdsCSV'!$B$5,$B115,V$51)*$U115/1000</f>
        <v>0</v>
      </c>
      <c r="W115" s="84">
        <f t="shared" ca="1" si="84"/>
        <v>0.59998998009507343</v>
      </c>
      <c r="X115" s="64">
        <f ca="1">OFFSET('360SpcLdsCSV'!$B$5,$B115,X$51)*$P115</f>
        <v>996.4</v>
      </c>
      <c r="Y115" s="64">
        <f ca="1">OFFSET('360SpcLdsCSV'!$B$5,$B115,Y$51)*$X115/1000</f>
        <v>850.92560000000003</v>
      </c>
      <c r="Z115" s="84">
        <f t="shared" ca="1" si="85"/>
        <v>0.59998998009507343</v>
      </c>
      <c r="AA115" s="64">
        <f ca="1">OFFSET('360SpcLdsCSV'!$B$5,$B115,AA$51)*$P115</f>
        <v>996.4</v>
      </c>
      <c r="AB115" s="64">
        <f ca="1">OFFSET('360SpcLdsCSV'!$B$5,$B115,AB$51)*$AA115/1000</f>
        <v>850.92560000000003</v>
      </c>
      <c r="AC115" s="65">
        <f ca="1">'Ltg IntTakeoffs'!EZ70</f>
        <v>0</v>
      </c>
      <c r="AD115" s="64">
        <f t="shared" ca="1" si="86"/>
        <v>0</v>
      </c>
      <c r="AE115" s="558">
        <f ca="1">'Ltg IntTakeoffs'!FA70*M115</f>
        <v>0</v>
      </c>
      <c r="AF115" s="559">
        <f ca="1">'Ltg IntTakeoffs'!FB70*M115</f>
        <v>0</v>
      </c>
      <c r="AG115" s="62"/>
      <c r="AH115" s="62"/>
    </row>
    <row r="116" spans="2:34" ht="15" customHeight="1" x14ac:dyDescent="0.2">
      <c r="B116" s="62">
        <f>MATCH(C116,'360SpcLdsCSV'!$C$6:$C$500,0)</f>
        <v>60</v>
      </c>
      <c r="C116" s="62" t="str">
        <f>'360SpcLdsCSV'!C65</f>
        <v>L06-603_MfamResiPthp</v>
      </c>
      <c r="D116" s="62" t="str">
        <f t="shared" si="78"/>
        <v>L06</v>
      </c>
      <c r="E116" s="62" t="str">
        <f t="shared" si="79"/>
        <v>Mfam</v>
      </c>
      <c r="F116" s="62" t="str">
        <f t="shared" si="80"/>
        <v>Resi</v>
      </c>
      <c r="G116" s="62" t="str">
        <f t="shared" si="81"/>
        <v>Pthp</v>
      </c>
      <c r="H116" s="62" t="str">
        <f ca="1">OFFSET('360SpcLdsCSV'!$B$5,$B116,H$51)</f>
        <v>Level 6</v>
      </c>
      <c r="I116" s="62" t="str">
        <f ca="1">OFFSET('360SpcLdsCSV'!$B$5,$B116,I$51)</f>
        <v>DirectlyConditioned</v>
      </c>
      <c r="J116" s="62" t="str">
        <f ca="1">OFFSET('360SpcLdsCSV'!$B$5,$B116,J$51)</f>
        <v>Dwelling Unit</v>
      </c>
      <c r="K116" s="62" t="str">
        <f ca="1">OFFSET('360SpcLdsCSV'!$B$5,$B116,K$51)</f>
        <v>Residential</v>
      </c>
      <c r="L116" s="62" t="str">
        <f ca="1">OFFSET('360SpcLdsCSV'!$B$5,$B116,L$51)</f>
        <v>Thermal Zone: L06-603_MfamResiPthp</v>
      </c>
      <c r="M116" s="1178">
        <f t="shared" ca="1" si="88"/>
        <v>1116.5980999999999</v>
      </c>
      <c r="N116" s="1178">
        <f t="shared" ca="1" si="88"/>
        <v>11166</v>
      </c>
      <c r="O116" s="62" t="str">
        <f ca="1">OFFSET('360SpcLdsCSV'!$B$5,$B116,O$51)</f>
        <v>Dwelling Unit</v>
      </c>
      <c r="P116" s="64">
        <f ca="1">OFFSET('360SpcLdsCSV'!$B$5,$B116,P$51)</f>
        <v>1</v>
      </c>
      <c r="Q116" s="84">
        <f t="shared" ca="1" si="82"/>
        <v>1.0700358526492209</v>
      </c>
      <c r="R116" s="64">
        <f ca="1">OFFSET('360SpcLdsCSV'!$B$5,$B116,R$51)*$P116</f>
        <v>1194.8</v>
      </c>
      <c r="S116" s="64">
        <f ca="1">OFFSET('360SpcLdsCSV'!$B$5,$B116,S$51)*$R116/1000</f>
        <v>1020.3592</v>
      </c>
      <c r="T116" s="84">
        <f t="shared" ca="1" si="83"/>
        <v>0</v>
      </c>
      <c r="U116" s="64">
        <f ca="1">OFFSET('360SpcLdsCSV'!$B$5,$B116,U$51)</f>
        <v>0</v>
      </c>
      <c r="V116" s="64">
        <f ca="1">OFFSET('360SpcLdsCSV'!$B$5,$B116,V$51)*$U116/1000</f>
        <v>0</v>
      </c>
      <c r="W116" s="84">
        <f t="shared" ca="1" si="84"/>
        <v>0.60003684405337965</v>
      </c>
      <c r="X116" s="64">
        <f ca="1">OFFSET('360SpcLdsCSV'!$B$5,$B116,X$51)*$P116</f>
        <v>670</v>
      </c>
      <c r="Y116" s="64">
        <f ca="1">OFFSET('360SpcLdsCSV'!$B$5,$B116,Y$51)*$X116/1000</f>
        <v>572.17999999999995</v>
      </c>
      <c r="Z116" s="84">
        <f t="shared" ca="1" si="85"/>
        <v>0.60003684405337965</v>
      </c>
      <c r="AA116" s="64">
        <f ca="1">OFFSET('360SpcLdsCSV'!$B$5,$B116,AA$51)*$P116</f>
        <v>670</v>
      </c>
      <c r="AB116" s="64">
        <f ca="1">OFFSET('360SpcLdsCSV'!$B$5,$B116,AB$51)*$AA116/1000</f>
        <v>572.17999999999995</v>
      </c>
      <c r="AC116" s="65">
        <f ca="1">'Ltg IntTakeoffs'!EZ71</f>
        <v>0</v>
      </c>
      <c r="AD116" s="64">
        <f t="shared" ca="1" si="86"/>
        <v>0</v>
      </c>
      <c r="AE116" s="558">
        <f ca="1">'Ltg IntTakeoffs'!FA71*M116</f>
        <v>0</v>
      </c>
      <c r="AF116" s="559">
        <f ca="1">'Ltg IntTakeoffs'!FB71*M116</f>
        <v>0</v>
      </c>
      <c r="AG116" s="62"/>
      <c r="AH116" s="62"/>
    </row>
    <row r="117" spans="2:34" ht="15" customHeight="1" x14ac:dyDescent="0.2">
      <c r="B117" s="62">
        <f>MATCH(C117,'360SpcLdsCSV'!$C$6:$C$500,0)</f>
        <v>61</v>
      </c>
      <c r="C117" s="62" t="str">
        <f>'360SpcLdsCSV'!C66</f>
        <v>L06-604_AstoRaccIncd</v>
      </c>
      <c r="D117" s="62" t="str">
        <f t="shared" si="78"/>
        <v>L06</v>
      </c>
      <c r="E117" s="62" t="str">
        <f t="shared" si="79"/>
        <v>Asto</v>
      </c>
      <c r="F117" s="62" t="str">
        <f t="shared" si="80"/>
        <v>Racc</v>
      </c>
      <c r="G117" s="62" t="str">
        <f t="shared" si="81"/>
        <v>Incd</v>
      </c>
      <c r="H117" s="62" t="str">
        <f ca="1">OFFSET('360SpcLdsCSV'!$B$5,$B117,H$51)</f>
        <v>Level 6</v>
      </c>
      <c r="I117" s="62" t="str">
        <f ca="1">OFFSET('360SpcLdsCSV'!$B$5,$B117,I$51)</f>
        <v>IndirectlyConditioned</v>
      </c>
      <c r="J117" s="62" t="str">
        <f ca="1">OFFSET('360SpcLdsCSV'!$B$5,$B117,J$51)</f>
        <v>Storage Room - &lt;50 ft2</v>
      </c>
      <c r="K117" s="62" t="str">
        <f ca="1">OFFSET('360SpcLdsCSV'!$B$5,$B117,K$51)</f>
        <v>Nonresidential</v>
      </c>
      <c r="L117" s="62" t="str">
        <f ca="1">OFFSET('360SpcLdsCSV'!$B$5,$B117,L$51)</f>
        <v>Thermal Zone: L06-600_CorrRaccSphp</v>
      </c>
      <c r="M117" s="1178">
        <f t="shared" ref="M117:N136" ca="1" si="89">OFFSET(Spaces_Ref,$B117,M$51)</f>
        <v>135.05760000000001</v>
      </c>
      <c r="N117" s="1178">
        <f t="shared" ca="1" si="89"/>
        <v>1350.58</v>
      </c>
      <c r="O117" s="62" t="str">
        <f ca="1">OFFSET('360SpcLdsCSV'!$B$5,$B117,O$51)</f>
        <v>Storage Room - &lt;50 ft2</v>
      </c>
      <c r="P117" s="64">
        <f ca="1">OFFSET('360SpcLdsCSV'!$B$5,$B117,P$51)</f>
        <v>1</v>
      </c>
      <c r="Q117" s="84">
        <f t="shared" ca="1" si="82"/>
        <v>0.79965881224011082</v>
      </c>
      <c r="R117" s="64">
        <f ca="1">OFFSET('360SpcLdsCSV'!$B$5,$B117,R$51)*$P117</f>
        <v>108</v>
      </c>
      <c r="S117" s="64">
        <f ca="1">OFFSET('360SpcLdsCSV'!$B$5,$B117,S$51)*$R117/1000</f>
        <v>946.08</v>
      </c>
      <c r="T117" s="84">
        <f t="shared" ca="1" si="83"/>
        <v>0</v>
      </c>
      <c r="U117" s="64">
        <f ca="1">OFFSET('360SpcLdsCSV'!$B$5,$B117,U$51)</f>
        <v>0</v>
      </c>
      <c r="V117" s="64">
        <f ca="1">OFFSET('360SpcLdsCSV'!$B$5,$B117,V$51)*$U117/1000</f>
        <v>0</v>
      </c>
      <c r="W117" s="84">
        <f t="shared" ca="1" si="84"/>
        <v>0.30431460354693107</v>
      </c>
      <c r="X117" s="64">
        <f ca="1">OFFSET('360SpcLdsCSV'!$B$5,$B117,X$51)*$P117</f>
        <v>41.1</v>
      </c>
      <c r="Y117" s="64">
        <f ca="1">OFFSET('360SpcLdsCSV'!$B$5,$B117,Y$51)*$X117/1000</f>
        <v>360.036</v>
      </c>
      <c r="Z117" s="84">
        <f t="shared" ca="1" si="85"/>
        <v>0.30431460354693107</v>
      </c>
      <c r="AA117" s="64">
        <f ca="1">OFFSET('360SpcLdsCSV'!$B$5,$B117,AA$51)*$P117</f>
        <v>41.1</v>
      </c>
      <c r="AB117" s="64">
        <f ca="1">OFFSET('360SpcLdsCSV'!$B$5,$B117,AB$51)*$AA117/1000</f>
        <v>360.036</v>
      </c>
      <c r="AC117" s="65">
        <f ca="1">'Ltg IntTakeoffs'!EZ72</f>
        <v>0</v>
      </c>
      <c r="AD117" s="64">
        <f t="shared" ca="1" si="86"/>
        <v>0</v>
      </c>
      <c r="AE117" s="558">
        <f ca="1">'Ltg IntTakeoffs'!FA72*M117</f>
        <v>0</v>
      </c>
      <c r="AF117" s="559">
        <f ca="1">'Ltg IntTakeoffs'!FB72*M117</f>
        <v>0</v>
      </c>
      <c r="AG117" s="62"/>
      <c r="AH117" s="62"/>
    </row>
    <row r="118" spans="2:34" ht="15" customHeight="1" x14ac:dyDescent="0.2">
      <c r="B118" s="62">
        <f>MATCH(C118,'360SpcLdsCSV'!$C$6:$C$500,0)</f>
        <v>62</v>
      </c>
      <c r="C118" s="62" t="str">
        <f>'360SpcLdsCSV'!C67</f>
        <v>L06-605_MfamResiPthp</v>
      </c>
      <c r="D118" s="62" t="str">
        <f t="shared" si="78"/>
        <v>L06</v>
      </c>
      <c r="E118" s="62" t="str">
        <f t="shared" si="79"/>
        <v>Mfam</v>
      </c>
      <c r="F118" s="62" t="str">
        <f t="shared" si="80"/>
        <v>Resi</v>
      </c>
      <c r="G118" s="62" t="str">
        <f t="shared" si="81"/>
        <v>Pthp</v>
      </c>
      <c r="H118" s="62" t="str">
        <f ca="1">OFFSET('360SpcLdsCSV'!$B$5,$B118,H$51)</f>
        <v>Level 6</v>
      </c>
      <c r="I118" s="62" t="str">
        <f ca="1">OFFSET('360SpcLdsCSV'!$B$5,$B118,I$51)</f>
        <v>DirectlyConditioned</v>
      </c>
      <c r="J118" s="62" t="str">
        <f ca="1">OFFSET('360SpcLdsCSV'!$B$5,$B118,J$51)</f>
        <v>Dwelling Unit</v>
      </c>
      <c r="K118" s="62" t="str">
        <f ca="1">OFFSET('360SpcLdsCSV'!$B$5,$B118,K$51)</f>
        <v>Residential</v>
      </c>
      <c r="L118" s="62" t="str">
        <f ca="1">OFFSET('360SpcLdsCSV'!$B$5,$B118,L$51)</f>
        <v>Thermal Zone: L06-605_MfamResiPthp</v>
      </c>
      <c r="M118" s="1178">
        <f t="shared" ca="1" si="89"/>
        <v>3678.0304999999998</v>
      </c>
      <c r="N118" s="1178">
        <f t="shared" ca="1" si="89"/>
        <v>36780.300000000003</v>
      </c>
      <c r="O118" s="62" t="str">
        <f ca="1">OFFSET('360SpcLdsCSV'!$B$5,$B118,O$51)</f>
        <v>Dwelling Unit</v>
      </c>
      <c r="P118" s="64">
        <f ca="1">OFFSET('360SpcLdsCSV'!$B$5,$B118,P$51)</f>
        <v>1</v>
      </c>
      <c r="Q118" s="84">
        <f t="shared" ca="1" si="82"/>
        <v>1.0700020024303769</v>
      </c>
      <c r="R118" s="64">
        <f ca="1">OFFSET('360SpcLdsCSV'!$B$5,$B118,R$51)*$P118</f>
        <v>3935.5</v>
      </c>
      <c r="S118" s="64">
        <f ca="1">OFFSET('360SpcLdsCSV'!$B$5,$B118,S$51)*$R118/1000</f>
        <v>3360.9169999999999</v>
      </c>
      <c r="T118" s="84">
        <f t="shared" ca="1" si="83"/>
        <v>0</v>
      </c>
      <c r="U118" s="64">
        <f ca="1">OFFSET('360SpcLdsCSV'!$B$5,$B118,U$51)</f>
        <v>0</v>
      </c>
      <c r="V118" s="64">
        <f ca="1">OFFSET('360SpcLdsCSV'!$B$5,$B118,V$51)*$U118/1000</f>
        <v>0</v>
      </c>
      <c r="W118" s="84">
        <f t="shared" ca="1" si="84"/>
        <v>0.59999502451108011</v>
      </c>
      <c r="X118" s="64">
        <f ca="1">OFFSET('360SpcLdsCSV'!$B$5,$B118,X$51)*$P118</f>
        <v>2206.8000000000002</v>
      </c>
      <c r="Y118" s="64">
        <f ca="1">OFFSET('360SpcLdsCSV'!$B$5,$B118,Y$51)*$X118/1000</f>
        <v>1884.6072000000001</v>
      </c>
      <c r="Z118" s="84">
        <f t="shared" ca="1" si="85"/>
        <v>0.59999502451108011</v>
      </c>
      <c r="AA118" s="64">
        <f ca="1">OFFSET('360SpcLdsCSV'!$B$5,$B118,AA$51)*$P118</f>
        <v>2206.8000000000002</v>
      </c>
      <c r="AB118" s="64">
        <f ca="1">OFFSET('360SpcLdsCSV'!$B$5,$B118,AB$51)*$AA118/1000</f>
        <v>1884.6072000000001</v>
      </c>
      <c r="AC118" s="65">
        <f ca="1">'Ltg IntTakeoffs'!EZ73</f>
        <v>0</v>
      </c>
      <c r="AD118" s="64">
        <f t="shared" ca="1" si="86"/>
        <v>0</v>
      </c>
      <c r="AE118" s="558">
        <f ca="1">'Ltg IntTakeoffs'!FA73*M118</f>
        <v>0</v>
      </c>
      <c r="AF118" s="559">
        <f ca="1">'Ltg IntTakeoffs'!FB73*M118</f>
        <v>0</v>
      </c>
      <c r="AG118" s="62"/>
      <c r="AH118" s="62"/>
    </row>
    <row r="119" spans="2:34" ht="15" customHeight="1" x14ac:dyDescent="0.2">
      <c r="B119" s="62">
        <f>MATCH(C119,'360SpcLdsCSV'!$C$6:$C$500,0)</f>
        <v>63</v>
      </c>
      <c r="C119" s="62" t="str">
        <f>'360SpcLdsCSV'!C68</f>
        <v>L06-606_MfamResiPthp</v>
      </c>
      <c r="D119" s="62" t="str">
        <f t="shared" si="78"/>
        <v>L06</v>
      </c>
      <c r="E119" s="62" t="str">
        <f t="shared" si="79"/>
        <v>Mfam</v>
      </c>
      <c r="F119" s="62" t="str">
        <f t="shared" si="80"/>
        <v>Resi</v>
      </c>
      <c r="G119" s="62" t="str">
        <f t="shared" si="81"/>
        <v>Pthp</v>
      </c>
      <c r="H119" s="62" t="str">
        <f ca="1">OFFSET('360SpcLdsCSV'!$B$5,$B119,H$51)</f>
        <v>Level 6</v>
      </c>
      <c r="I119" s="62" t="str">
        <f ca="1">OFFSET('360SpcLdsCSV'!$B$5,$B119,I$51)</f>
        <v>DirectlyConditioned</v>
      </c>
      <c r="J119" s="62" t="str">
        <f ca="1">OFFSET('360SpcLdsCSV'!$B$5,$B119,J$51)</f>
        <v>Dwelling Unit</v>
      </c>
      <c r="K119" s="62" t="str">
        <f ca="1">OFFSET('360SpcLdsCSV'!$B$5,$B119,K$51)</f>
        <v>Residential</v>
      </c>
      <c r="L119" s="62" t="str">
        <f ca="1">OFFSET('360SpcLdsCSV'!$B$5,$B119,L$51)</f>
        <v>Thermal Zone: L06-606_MfamResiPthp</v>
      </c>
      <c r="M119" s="1178">
        <f t="shared" ca="1" si="89"/>
        <v>1160.8827000000001</v>
      </c>
      <c r="N119" s="1178">
        <f t="shared" ca="1" si="89"/>
        <v>11608.8</v>
      </c>
      <c r="O119" s="62" t="str">
        <f ca="1">OFFSET('360SpcLdsCSV'!$B$5,$B119,O$51)</f>
        <v>Dwelling Unit</v>
      </c>
      <c r="P119" s="64">
        <f ca="1">OFFSET('360SpcLdsCSV'!$B$5,$B119,P$51)</f>
        <v>1</v>
      </c>
      <c r="Q119" s="84">
        <f t="shared" ca="1" si="82"/>
        <v>1.0699616765759363</v>
      </c>
      <c r="R119" s="64">
        <f ca="1">OFFSET('360SpcLdsCSV'!$B$5,$B119,R$51)*$P119</f>
        <v>1242.0999999999999</v>
      </c>
      <c r="S119" s="64">
        <f ca="1">OFFSET('360SpcLdsCSV'!$B$5,$B119,S$51)*$R119/1000</f>
        <v>1060.7533999999998</v>
      </c>
      <c r="T119" s="84">
        <f t="shared" ca="1" si="83"/>
        <v>0</v>
      </c>
      <c r="U119" s="64">
        <f ca="1">OFFSET('360SpcLdsCSV'!$B$5,$B119,U$51)</f>
        <v>0</v>
      </c>
      <c r="V119" s="64">
        <f ca="1">OFFSET('360SpcLdsCSV'!$B$5,$B119,V$51)*$U119/1000</f>
        <v>0</v>
      </c>
      <c r="W119" s="84">
        <f t="shared" ca="1" si="84"/>
        <v>0.59997448493288763</v>
      </c>
      <c r="X119" s="64">
        <f ca="1">OFFSET('360SpcLdsCSV'!$B$5,$B119,X$51)*$P119</f>
        <v>696.5</v>
      </c>
      <c r="Y119" s="64">
        <f ca="1">OFFSET('360SpcLdsCSV'!$B$5,$B119,Y$51)*$X119/1000</f>
        <v>594.81100000000004</v>
      </c>
      <c r="Z119" s="84">
        <f t="shared" ca="1" si="85"/>
        <v>0.59997448493288763</v>
      </c>
      <c r="AA119" s="64">
        <f ca="1">OFFSET('360SpcLdsCSV'!$B$5,$B119,AA$51)*$P119</f>
        <v>696.5</v>
      </c>
      <c r="AB119" s="64">
        <f ca="1">OFFSET('360SpcLdsCSV'!$B$5,$B119,AB$51)*$AA119/1000</f>
        <v>594.81100000000004</v>
      </c>
      <c r="AC119" s="65">
        <f ca="1">'Ltg IntTakeoffs'!EZ74</f>
        <v>0</v>
      </c>
      <c r="AD119" s="64">
        <f t="shared" ca="1" si="86"/>
        <v>0</v>
      </c>
      <c r="AE119" s="558">
        <f ca="1">'Ltg IntTakeoffs'!FA74*M119</f>
        <v>0</v>
      </c>
      <c r="AF119" s="559">
        <f ca="1">'Ltg IntTakeoffs'!FB74*M119</f>
        <v>0</v>
      </c>
      <c r="AG119" s="62"/>
      <c r="AH119" s="62"/>
    </row>
    <row r="120" spans="2:34" ht="15" customHeight="1" x14ac:dyDescent="0.2">
      <c r="B120" s="62">
        <f>MATCH(C120,'360SpcLdsCSV'!$C$6:$C$500,0)</f>
        <v>64</v>
      </c>
      <c r="C120" s="62" t="str">
        <f>'360SpcLdsCSV'!C69</f>
        <v>L06-607_MfamResiPthp</v>
      </c>
      <c r="D120" s="62" t="str">
        <f t="shared" si="78"/>
        <v>L06</v>
      </c>
      <c r="E120" s="62" t="str">
        <f t="shared" si="79"/>
        <v>Mfam</v>
      </c>
      <c r="F120" s="62" t="str">
        <f t="shared" si="80"/>
        <v>Resi</v>
      </c>
      <c r="G120" s="62" t="str">
        <f t="shared" si="81"/>
        <v>Pthp</v>
      </c>
      <c r="H120" s="62" t="str">
        <f ca="1">OFFSET('360SpcLdsCSV'!$B$5,$B120,H$51)</f>
        <v>Level 6</v>
      </c>
      <c r="I120" s="62" t="str">
        <f ca="1">OFFSET('360SpcLdsCSV'!$B$5,$B120,I$51)</f>
        <v>DirectlyConditioned</v>
      </c>
      <c r="J120" s="62" t="str">
        <f ca="1">OFFSET('360SpcLdsCSV'!$B$5,$B120,J$51)</f>
        <v>Dwelling Unit</v>
      </c>
      <c r="K120" s="62" t="str">
        <f ca="1">OFFSET('360SpcLdsCSV'!$B$5,$B120,K$51)</f>
        <v>Residential</v>
      </c>
      <c r="L120" s="62" t="str">
        <f ca="1">OFFSET('360SpcLdsCSV'!$B$5,$B120,L$51)</f>
        <v>Thermal Zone: L06-607_MfamResiPthp</v>
      </c>
      <c r="M120" s="1178">
        <f t="shared" ca="1" si="89"/>
        <v>1858.692</v>
      </c>
      <c r="N120" s="1178">
        <f t="shared" ca="1" si="89"/>
        <v>18586.900000000001</v>
      </c>
      <c r="O120" s="62" t="str">
        <f ca="1">OFFSET('360SpcLdsCSV'!$B$5,$B120,O$51)</f>
        <v>Dwelling Unit</v>
      </c>
      <c r="P120" s="64">
        <f ca="1">OFFSET('360SpcLdsCSV'!$B$5,$B120,P$51)</f>
        <v>1</v>
      </c>
      <c r="Q120" s="84">
        <f t="shared" ca="1" si="82"/>
        <v>1.0699997632743887</v>
      </c>
      <c r="R120" s="64">
        <f ca="1">OFFSET('360SpcLdsCSV'!$B$5,$B120,R$51)*$P120</f>
        <v>1988.8</v>
      </c>
      <c r="S120" s="64">
        <f ca="1">OFFSET('360SpcLdsCSV'!$B$5,$B120,S$51)*$R120/1000</f>
        <v>1698.4351999999999</v>
      </c>
      <c r="T120" s="84">
        <f t="shared" ca="1" si="83"/>
        <v>0</v>
      </c>
      <c r="U120" s="64">
        <f ca="1">OFFSET('360SpcLdsCSV'!$B$5,$B120,U$51)</f>
        <v>0</v>
      </c>
      <c r="V120" s="64">
        <f ca="1">OFFSET('360SpcLdsCSV'!$B$5,$B120,V$51)*$U120/1000</f>
        <v>0</v>
      </c>
      <c r="W120" s="84">
        <f t="shared" ca="1" si="84"/>
        <v>0.59999182220615355</v>
      </c>
      <c r="X120" s="64">
        <f ca="1">OFFSET('360SpcLdsCSV'!$B$5,$B120,X$51)*$P120</f>
        <v>1115.2</v>
      </c>
      <c r="Y120" s="64">
        <f ca="1">OFFSET('360SpcLdsCSV'!$B$5,$B120,Y$51)*$X120/1000</f>
        <v>952.38080000000002</v>
      </c>
      <c r="Z120" s="84">
        <f t="shared" ca="1" si="85"/>
        <v>0.59999182220615355</v>
      </c>
      <c r="AA120" s="64">
        <f ca="1">OFFSET('360SpcLdsCSV'!$B$5,$B120,AA$51)*$P120</f>
        <v>1115.2</v>
      </c>
      <c r="AB120" s="64">
        <f ca="1">OFFSET('360SpcLdsCSV'!$B$5,$B120,AB$51)*$AA120/1000</f>
        <v>952.38080000000002</v>
      </c>
      <c r="AC120" s="65">
        <f ca="1">'Ltg IntTakeoffs'!EZ75</f>
        <v>0</v>
      </c>
      <c r="AD120" s="64">
        <f t="shared" ca="1" si="86"/>
        <v>0</v>
      </c>
      <c r="AE120" s="558">
        <f ca="1">'Ltg IntTakeoffs'!FA75*M120</f>
        <v>0</v>
      </c>
      <c r="AF120" s="559">
        <f ca="1">'Ltg IntTakeoffs'!FB75*M120</f>
        <v>0</v>
      </c>
      <c r="AG120" s="62"/>
      <c r="AH120" s="62"/>
    </row>
    <row r="121" spans="2:34" ht="15" customHeight="1" x14ac:dyDescent="0.2">
      <c r="B121" s="62">
        <f>MATCH(C121,'360SpcLdsCSV'!$C$6:$C$500,0)</f>
        <v>65</v>
      </c>
      <c r="C121" s="62" t="str">
        <f>'360SpcLdsCSV'!C70</f>
        <v>L06-608_MfamResiPthp</v>
      </c>
      <c r="D121" s="62" t="str">
        <f t="shared" si="78"/>
        <v>L06</v>
      </c>
      <c r="E121" s="62" t="str">
        <f t="shared" si="79"/>
        <v>Mfam</v>
      </c>
      <c r="F121" s="62" t="str">
        <f t="shared" si="80"/>
        <v>Resi</v>
      </c>
      <c r="G121" s="62" t="str">
        <f t="shared" si="81"/>
        <v>Pthp</v>
      </c>
      <c r="H121" s="62" t="str">
        <f ca="1">OFFSET('360SpcLdsCSV'!$B$5,$B121,H$51)</f>
        <v>Level 6</v>
      </c>
      <c r="I121" s="62" t="str">
        <f ca="1">OFFSET('360SpcLdsCSV'!$B$5,$B121,I$51)</f>
        <v>DirectlyConditioned</v>
      </c>
      <c r="J121" s="62" t="str">
        <f ca="1">OFFSET('360SpcLdsCSV'!$B$5,$B121,J$51)</f>
        <v>Dwelling Unit</v>
      </c>
      <c r="K121" s="62" t="str">
        <f ca="1">OFFSET('360SpcLdsCSV'!$B$5,$B121,K$51)</f>
        <v>Residential</v>
      </c>
      <c r="L121" s="62" t="str">
        <f ca="1">OFFSET('360SpcLdsCSV'!$B$5,$B121,L$51)</f>
        <v>Thermal Zone: L06-608_MfamResiPthp</v>
      </c>
      <c r="M121" s="1178">
        <f t="shared" ca="1" si="89"/>
        <v>872.66200000000003</v>
      </c>
      <c r="N121" s="1178">
        <f t="shared" ca="1" si="89"/>
        <v>8726.6200000000008</v>
      </c>
      <c r="O121" s="62" t="str">
        <f ca="1">OFFSET('360SpcLdsCSV'!$B$5,$B121,O$51)</f>
        <v>Dwelling Unit</v>
      </c>
      <c r="P121" s="64">
        <f ca="1">OFFSET('360SpcLdsCSV'!$B$5,$B121,P$51)</f>
        <v>1</v>
      </c>
      <c r="Q121" s="84">
        <f t="shared" ca="1" si="82"/>
        <v>1.0699446062736775</v>
      </c>
      <c r="R121" s="64">
        <f ca="1">OFFSET('360SpcLdsCSV'!$B$5,$B121,R$51)*$P121</f>
        <v>933.7</v>
      </c>
      <c r="S121" s="64">
        <f ca="1">OFFSET('360SpcLdsCSV'!$B$5,$B121,S$51)*$R121/1000</f>
        <v>797.37980000000005</v>
      </c>
      <c r="T121" s="84">
        <f t="shared" ca="1" si="83"/>
        <v>0</v>
      </c>
      <c r="U121" s="64">
        <f ca="1">OFFSET('360SpcLdsCSV'!$B$5,$B121,U$51)</f>
        <v>0</v>
      </c>
      <c r="V121" s="64">
        <f ca="1">OFFSET('360SpcLdsCSV'!$B$5,$B121,V$51)*$U121/1000</f>
        <v>0</v>
      </c>
      <c r="W121" s="84">
        <f t="shared" ca="1" si="84"/>
        <v>0.60000320857330791</v>
      </c>
      <c r="X121" s="64">
        <f ca="1">OFFSET('360SpcLdsCSV'!$B$5,$B121,X$51)*$P121</f>
        <v>523.6</v>
      </c>
      <c r="Y121" s="64">
        <f ca="1">OFFSET('360SpcLdsCSV'!$B$5,$B121,Y$51)*$X121/1000</f>
        <v>447.15440000000001</v>
      </c>
      <c r="Z121" s="84">
        <f t="shared" ca="1" si="85"/>
        <v>0.60000320857330791</v>
      </c>
      <c r="AA121" s="64">
        <f ca="1">OFFSET('360SpcLdsCSV'!$B$5,$B121,AA$51)*$P121</f>
        <v>523.6</v>
      </c>
      <c r="AB121" s="64">
        <f ca="1">OFFSET('360SpcLdsCSV'!$B$5,$B121,AB$51)*$AA121/1000</f>
        <v>447.15440000000001</v>
      </c>
      <c r="AC121" s="65">
        <f ca="1">'Ltg IntTakeoffs'!EZ76</f>
        <v>0</v>
      </c>
      <c r="AD121" s="64">
        <f t="shared" ca="1" si="86"/>
        <v>0</v>
      </c>
      <c r="AE121" s="558">
        <f ca="1">'Ltg IntTakeoffs'!FA76*M121</f>
        <v>0</v>
      </c>
      <c r="AF121" s="559">
        <f ca="1">'Ltg IntTakeoffs'!FB76*M121</f>
        <v>0</v>
      </c>
      <c r="AG121" s="62"/>
      <c r="AH121" s="62"/>
    </row>
    <row r="122" spans="2:34" ht="15" customHeight="1" x14ac:dyDescent="0.2">
      <c r="B122" s="62">
        <f>MATCH(C122,'360SpcLdsCSV'!$C$6:$C$500,0)</f>
        <v>66</v>
      </c>
      <c r="C122" s="62" t="str">
        <f>'360SpcLdsCSV'!C71</f>
        <v>L06-609_MfamResiPthp</v>
      </c>
      <c r="D122" s="62" t="str">
        <f t="shared" ref="D122:D159" si="90">LEFT(C122,3)</f>
        <v>L06</v>
      </c>
      <c r="E122" s="62" t="str">
        <f t="shared" ref="E122:E185" si="91">MID(C122,FIND("_",C122,1)+1,4)</f>
        <v>Mfam</v>
      </c>
      <c r="F122" s="62" t="str">
        <f t="shared" ref="F122:F185" si="92">MID(C122,FIND("_",C122,1)+5,4)</f>
        <v>Resi</v>
      </c>
      <c r="G122" s="62" t="str">
        <f t="shared" ref="G122:G159" si="93">RIGHT(C122,4)</f>
        <v>Pthp</v>
      </c>
      <c r="H122" s="62" t="str">
        <f ca="1">OFFSET('360SpcLdsCSV'!$B$5,$B122,H$51)</f>
        <v>Level 6</v>
      </c>
      <c r="I122" s="62" t="str">
        <f ca="1">OFFSET('360SpcLdsCSV'!$B$5,$B122,I$51)</f>
        <v>DirectlyConditioned</v>
      </c>
      <c r="J122" s="62" t="str">
        <f ca="1">OFFSET('360SpcLdsCSV'!$B$5,$B122,J$51)</f>
        <v>Dwelling Unit</v>
      </c>
      <c r="K122" s="62" t="str">
        <f ca="1">OFFSET('360SpcLdsCSV'!$B$5,$B122,K$51)</f>
        <v>Residential</v>
      </c>
      <c r="L122" s="62" t="str">
        <f ca="1">OFFSET('360SpcLdsCSV'!$B$5,$B122,L$51)</f>
        <v>Thermal Zone: L06-609_MfamResiPthp</v>
      </c>
      <c r="M122" s="1178">
        <f t="shared" ca="1" si="89"/>
        <v>1347.52</v>
      </c>
      <c r="N122" s="1178">
        <f t="shared" ca="1" si="89"/>
        <v>13475.2</v>
      </c>
      <c r="O122" s="62" t="str">
        <f ca="1">OFFSET('360SpcLdsCSV'!$B$5,$B122,O$51)</f>
        <v>Dwelling Unit</v>
      </c>
      <c r="P122" s="64">
        <f ca="1">OFFSET('360SpcLdsCSV'!$B$5,$B122,P$51)</f>
        <v>1</v>
      </c>
      <c r="Q122" s="84">
        <f t="shared" ref="Q122:Q159" ca="1" si="94">R122/$M122</f>
        <v>1.069965566373783</v>
      </c>
      <c r="R122" s="64">
        <f ca="1">OFFSET('360SpcLdsCSV'!$B$5,$B122,R$51)*$P122</f>
        <v>1441.8</v>
      </c>
      <c r="S122" s="64">
        <f ca="1">OFFSET('360SpcLdsCSV'!$B$5,$B122,S$51)*$R122/1000</f>
        <v>1231.2972</v>
      </c>
      <c r="T122" s="84">
        <f t="shared" ref="T122:T159" ca="1" si="95">U122/$M122</f>
        <v>0</v>
      </c>
      <c r="U122" s="64">
        <f ca="1">OFFSET('360SpcLdsCSV'!$B$5,$B122,U$51)</f>
        <v>0</v>
      </c>
      <c r="V122" s="64">
        <f ca="1">OFFSET('360SpcLdsCSV'!$B$5,$B122,V$51)*$U122/1000</f>
        <v>0</v>
      </c>
      <c r="W122" s="84">
        <f t="shared" ref="W122:W159" ca="1" si="96">X122/$M122</f>
        <v>0.59999109475184043</v>
      </c>
      <c r="X122" s="64">
        <f ca="1">OFFSET('360SpcLdsCSV'!$B$5,$B122,X$51)*$P122</f>
        <v>808.5</v>
      </c>
      <c r="Y122" s="64">
        <f ca="1">OFFSET('360SpcLdsCSV'!$B$5,$B122,Y$51)*$X122/1000</f>
        <v>690.45899999999995</v>
      </c>
      <c r="Z122" s="84">
        <f t="shared" ref="Z122:Z159" ca="1" si="97">AA122/$M122</f>
        <v>0.59999109475184043</v>
      </c>
      <c r="AA122" s="64">
        <f ca="1">OFFSET('360SpcLdsCSV'!$B$5,$B122,AA$51)*$P122</f>
        <v>808.5</v>
      </c>
      <c r="AB122" s="64">
        <f ca="1">OFFSET('360SpcLdsCSV'!$B$5,$B122,AB$51)*$AA122/1000</f>
        <v>690.45899999999995</v>
      </c>
      <c r="AC122" s="65">
        <f ca="1">'Ltg IntTakeoffs'!EZ77</f>
        <v>0</v>
      </c>
      <c r="AD122" s="64">
        <f t="shared" ref="AD122:AD185" ca="1" si="98">AC122*M122</f>
        <v>0</v>
      </c>
      <c r="AE122" s="558">
        <f ca="1">'Ltg IntTakeoffs'!FA77*M122</f>
        <v>0</v>
      </c>
      <c r="AF122" s="559">
        <f ca="1">'Ltg IntTakeoffs'!FB77*M122</f>
        <v>0</v>
      </c>
      <c r="AG122" s="62"/>
      <c r="AH122" s="62"/>
    </row>
    <row r="123" spans="2:34" ht="15" customHeight="1" x14ac:dyDescent="0.2">
      <c r="B123" s="62">
        <f>MATCH(C123,'360SpcLdsCSV'!$C$6:$C$500,0)</f>
        <v>67</v>
      </c>
      <c r="C123" s="62" t="str">
        <f>'360SpcLdsCSV'!C72</f>
        <v>L06-610_LndyRaccBbrd</v>
      </c>
      <c r="D123" s="62" t="str">
        <f t="shared" si="90"/>
        <v>L06</v>
      </c>
      <c r="E123" s="62" t="str">
        <f t="shared" si="91"/>
        <v>Lndy</v>
      </c>
      <c r="F123" s="62" t="str">
        <f t="shared" si="92"/>
        <v>Racc</v>
      </c>
      <c r="G123" s="62" t="str">
        <f t="shared" si="93"/>
        <v>Bbrd</v>
      </c>
      <c r="H123" s="62" t="str">
        <f ca="1">OFFSET('360SpcLdsCSV'!$B$5,$B123,H$51)</f>
        <v>Level 6</v>
      </c>
      <c r="I123" s="62" t="str">
        <f ca="1">OFFSET('360SpcLdsCSV'!$B$5,$B123,I$51)</f>
        <v>DirectlyConditioned</v>
      </c>
      <c r="J123" s="62" t="str">
        <f ca="1">OFFSET('360SpcLdsCSV'!$B$5,$B123,J$51)</f>
        <v>Laundry/Washing Area</v>
      </c>
      <c r="K123" s="62" t="str">
        <f ca="1">OFFSET('360SpcLdsCSV'!$B$5,$B123,K$51)</f>
        <v>Nonresidential</v>
      </c>
      <c r="L123" s="62" t="str">
        <f ca="1">OFFSET('360SpcLdsCSV'!$B$5,$B123,L$51)</f>
        <v>Thermal Zone: L06-610_LndyRaccBbrd</v>
      </c>
      <c r="M123" s="1178">
        <f t="shared" ca="1" si="89"/>
        <v>272.42880000000002</v>
      </c>
      <c r="N123" s="1178">
        <f t="shared" ca="1" si="89"/>
        <v>2724.29</v>
      </c>
      <c r="O123" s="62" t="str">
        <f ca="1">OFFSET('360SpcLdsCSV'!$B$5,$B123,O$51)</f>
        <v>Laundry/Washing Area</v>
      </c>
      <c r="P123" s="64">
        <f ca="1">OFFSET('360SpcLdsCSV'!$B$5,$B123,P$51)</f>
        <v>1</v>
      </c>
      <c r="Q123" s="84">
        <f t="shared" ca="1" si="94"/>
        <v>0.60015681161463097</v>
      </c>
      <c r="R123" s="64">
        <f ca="1">OFFSET('360SpcLdsCSV'!$B$5,$B123,R$51)*$P123</f>
        <v>163.5</v>
      </c>
      <c r="S123" s="64">
        <f ca="1">OFFSET('360SpcLdsCSV'!$B$5,$B123,S$51)*$R123/1000</f>
        <v>1432.26</v>
      </c>
      <c r="T123" s="84">
        <f t="shared" ca="1" si="95"/>
        <v>0</v>
      </c>
      <c r="U123" s="64">
        <f ca="1">OFFSET('360SpcLdsCSV'!$B$5,$B123,U$51)</f>
        <v>0</v>
      </c>
      <c r="V123" s="64">
        <f ca="1">OFFSET('360SpcLdsCSV'!$B$5,$B123,V$51)*$U123/1000</f>
        <v>0</v>
      </c>
      <c r="W123" s="84">
        <f t="shared" ca="1" si="96"/>
        <v>0.42396398618648246</v>
      </c>
      <c r="X123" s="64">
        <f ca="1">OFFSET('360SpcLdsCSV'!$B$5,$B123,X$51)*$P123</f>
        <v>115.5</v>
      </c>
      <c r="Y123" s="64">
        <f ca="1">OFFSET('360SpcLdsCSV'!$B$5,$B123,Y$51)*$X123/1000</f>
        <v>1011.78</v>
      </c>
      <c r="Z123" s="84">
        <f t="shared" ca="1" si="97"/>
        <v>0.42396398618648246</v>
      </c>
      <c r="AA123" s="64">
        <f ca="1">OFFSET('360SpcLdsCSV'!$B$5,$B123,AA$51)*$P123</f>
        <v>115.5</v>
      </c>
      <c r="AB123" s="64">
        <f ca="1">OFFSET('360SpcLdsCSV'!$B$5,$B123,AB$51)*$AA123/1000</f>
        <v>1011.78</v>
      </c>
      <c r="AC123" s="65">
        <f ca="1">'Ltg IntTakeoffs'!EZ78</f>
        <v>0</v>
      </c>
      <c r="AD123" s="64">
        <f t="shared" ca="1" si="98"/>
        <v>0</v>
      </c>
      <c r="AE123" s="558">
        <f ca="1">'Ltg IntTakeoffs'!FA78*M123</f>
        <v>0</v>
      </c>
      <c r="AF123" s="559">
        <f ca="1">'Ltg IntTakeoffs'!FB78*M123</f>
        <v>0</v>
      </c>
      <c r="AG123" s="62"/>
      <c r="AH123" s="62"/>
    </row>
    <row r="124" spans="2:34" ht="15" customHeight="1" x14ac:dyDescent="0.2">
      <c r="B124" s="62">
        <f>MATCH(C124,'360SpcLdsCSV'!$C$6:$C$500,0)</f>
        <v>68</v>
      </c>
      <c r="C124" s="62" t="str">
        <f>'360SpcLdsCSV'!C73</f>
        <v>L06-611_ElevRaccIncd</v>
      </c>
      <c r="D124" s="62" t="str">
        <f t="shared" si="90"/>
        <v>L06</v>
      </c>
      <c r="E124" s="62" t="str">
        <f t="shared" si="91"/>
        <v>Elev</v>
      </c>
      <c r="F124" s="62" t="str">
        <f t="shared" si="92"/>
        <v>Racc</v>
      </c>
      <c r="G124" s="62" t="str">
        <f t="shared" si="93"/>
        <v>Incd</v>
      </c>
      <c r="H124" s="62" t="str">
        <f ca="1">OFFSET('360SpcLdsCSV'!$B$5,$B124,H$51)</f>
        <v>Level 6</v>
      </c>
      <c r="I124" s="62" t="str">
        <f ca="1">OFFSET('360SpcLdsCSV'!$B$5,$B124,I$51)</f>
        <v>IndirectlyConditioned</v>
      </c>
      <c r="J124" s="62" t="str">
        <f ca="1">OFFSET('360SpcLdsCSV'!$B$5,$B124,J$51)</f>
        <v>Unoccupied-Include in Gross Floor Area</v>
      </c>
      <c r="K124" s="62" t="str">
        <f ca="1">OFFSET('360SpcLdsCSV'!$B$5,$B124,K$51)</f>
        <v>Residential</v>
      </c>
      <c r="L124" s="62" t="str">
        <f ca="1">OFFSET('360SpcLdsCSV'!$B$5,$B124,L$51)</f>
        <v>Thermal Zone: L06-600_CorrRaccSphp</v>
      </c>
      <c r="M124" s="1178">
        <f t="shared" ca="1" si="89"/>
        <v>211.21340000000001</v>
      </c>
      <c r="N124" s="1178">
        <f t="shared" ca="1" si="89"/>
        <v>2112.13</v>
      </c>
      <c r="O124" s="62" t="str">
        <f ca="1">OFFSET('360SpcLdsCSV'!$B$5,$B124,O$51)</f>
        <v>Unoccupied-Include in Gross Floor Area</v>
      </c>
      <c r="P124" s="64">
        <f ca="1">OFFSET('360SpcLdsCSV'!$B$5,$B124,P$51)</f>
        <v>1</v>
      </c>
      <c r="Q124" s="84">
        <f t="shared" ca="1" si="94"/>
        <v>0</v>
      </c>
      <c r="R124" s="64">
        <f ca="1">OFFSET('360SpcLdsCSV'!$B$5,$B124,R$51)*$P124</f>
        <v>0</v>
      </c>
      <c r="S124" s="64">
        <f ca="1">OFFSET('360SpcLdsCSV'!$B$5,$B124,S$51)*$R124/1000</f>
        <v>0</v>
      </c>
      <c r="T124" s="84">
        <f t="shared" ca="1" si="95"/>
        <v>0</v>
      </c>
      <c r="U124" s="64">
        <f ca="1">OFFSET('360SpcLdsCSV'!$B$5,$B124,U$51)</f>
        <v>0</v>
      </c>
      <c r="V124" s="64">
        <f ca="1">OFFSET('360SpcLdsCSV'!$B$5,$B124,V$51)*$U124/1000</f>
        <v>0</v>
      </c>
      <c r="W124" s="84">
        <f t="shared" ca="1" si="96"/>
        <v>0</v>
      </c>
      <c r="X124" s="64">
        <f ca="1">OFFSET('360SpcLdsCSV'!$B$5,$B124,X$51)*$P124</f>
        <v>0</v>
      </c>
      <c r="Y124" s="64">
        <f ca="1">OFFSET('360SpcLdsCSV'!$B$5,$B124,Y$51)*$X124/1000</f>
        <v>0</v>
      </c>
      <c r="Z124" s="84">
        <f t="shared" ca="1" si="97"/>
        <v>-473.43587101954705</v>
      </c>
      <c r="AA124" s="64">
        <f ca="1">OFFSET('360SpcLdsCSV'!$B$5,$B124,AA$51)*$P124</f>
        <v>-99996</v>
      </c>
      <c r="AB124" s="64">
        <f ca="1">OFFSET('360SpcLdsCSV'!$B$5,$B124,AB$51)*$AA124/1000</f>
        <v>0</v>
      </c>
      <c r="AC124" s="65">
        <f ca="1">'Ltg IntTakeoffs'!EZ79</f>
        <v>0</v>
      </c>
      <c r="AD124" s="64">
        <f t="shared" ca="1" si="98"/>
        <v>0</v>
      </c>
      <c r="AE124" s="558">
        <f ca="1">'Ltg IntTakeoffs'!FA79*M124</f>
        <v>0</v>
      </c>
      <c r="AF124" s="559">
        <f ca="1">'Ltg IntTakeoffs'!FB79*M124</f>
        <v>0</v>
      </c>
      <c r="AG124" s="62"/>
      <c r="AH124" s="62"/>
    </row>
    <row r="125" spans="2:34" ht="15" customHeight="1" x14ac:dyDescent="0.2">
      <c r="B125" s="62">
        <f>MATCH(C125,'360SpcLdsCSV'!$C$6:$C$500,0)</f>
        <v>69</v>
      </c>
      <c r="C125" s="62" t="str">
        <f>'360SpcLdsCSV'!C74</f>
        <v>L06-612_StrsRaccIncd</v>
      </c>
      <c r="D125" s="62" t="str">
        <f t="shared" si="90"/>
        <v>L06</v>
      </c>
      <c r="E125" s="62" t="str">
        <f t="shared" si="91"/>
        <v>Strs</v>
      </c>
      <c r="F125" s="62" t="str">
        <f t="shared" si="92"/>
        <v>Racc</v>
      </c>
      <c r="G125" s="62" t="str">
        <f t="shared" si="93"/>
        <v>Incd</v>
      </c>
      <c r="H125" s="62" t="str">
        <f ca="1">OFFSET('360SpcLdsCSV'!$B$5,$B125,H$51)</f>
        <v>Level 6</v>
      </c>
      <c r="I125" s="62" t="str">
        <f ca="1">OFFSET('360SpcLdsCSV'!$B$5,$B125,I$51)</f>
        <v>IndirectlyConditioned</v>
      </c>
      <c r="J125" s="62" t="str">
        <f ca="1">OFFSET('360SpcLdsCSV'!$B$5,$B125,J$51)</f>
        <v>Stairwell</v>
      </c>
      <c r="K125" s="62" t="str">
        <f ca="1">OFFSET('360SpcLdsCSV'!$B$5,$B125,K$51)</f>
        <v>Nonresidential</v>
      </c>
      <c r="L125" s="62" t="str">
        <f ca="1">OFFSET('360SpcLdsCSV'!$B$5,$B125,L$51)</f>
        <v>Thermal Zone: L06-600_CorrRaccSphp</v>
      </c>
      <c r="M125" s="1178">
        <f t="shared" ca="1" si="89"/>
        <v>236.34819999999999</v>
      </c>
      <c r="N125" s="1178">
        <f t="shared" ca="1" si="89"/>
        <v>2363.48</v>
      </c>
      <c r="O125" s="62" t="str">
        <f ca="1">OFFSET('360SpcLdsCSV'!$B$5,$B125,O$51)</f>
        <v>Stairwell</v>
      </c>
      <c r="P125" s="64">
        <f ca="1">OFFSET('360SpcLdsCSV'!$B$5,$B125,P$51)</f>
        <v>1</v>
      </c>
      <c r="Q125" s="84">
        <f t="shared" ca="1" si="94"/>
        <v>0.59996225907368883</v>
      </c>
      <c r="R125" s="64">
        <f ca="1">OFFSET('360SpcLdsCSV'!$B$5,$B125,R$51)*$P125</f>
        <v>141.80000000000001</v>
      </c>
      <c r="S125" s="64">
        <f ca="1">OFFSET('360SpcLdsCSV'!$B$5,$B125,S$51)*$R125/1000</f>
        <v>1242.1679999999999</v>
      </c>
      <c r="T125" s="84">
        <f t="shared" ca="1" si="95"/>
        <v>0</v>
      </c>
      <c r="U125" s="64">
        <f ca="1">OFFSET('360SpcLdsCSV'!$B$5,$B125,U$51)</f>
        <v>0</v>
      </c>
      <c r="V125" s="64">
        <f ca="1">OFFSET('360SpcLdsCSV'!$B$5,$B125,V$51)*$U125/1000</f>
        <v>0</v>
      </c>
      <c r="W125" s="84">
        <f t="shared" ca="1" si="96"/>
        <v>0.39179481798465143</v>
      </c>
      <c r="X125" s="64">
        <f ca="1">OFFSET('360SpcLdsCSV'!$B$5,$B125,X$51)*$P125</f>
        <v>92.6</v>
      </c>
      <c r="Y125" s="64">
        <f ca="1">OFFSET('360SpcLdsCSV'!$B$5,$B125,Y$51)*$X125/1000</f>
        <v>811.17600000000004</v>
      </c>
      <c r="Z125" s="84">
        <f t="shared" ca="1" si="97"/>
        <v>0.39179481798465143</v>
      </c>
      <c r="AA125" s="64">
        <f ca="1">OFFSET('360SpcLdsCSV'!$B$5,$B125,AA$51)*$P125</f>
        <v>92.6</v>
      </c>
      <c r="AB125" s="64">
        <f ca="1">OFFSET('360SpcLdsCSV'!$B$5,$B125,AB$51)*$AA125/1000</f>
        <v>811.17600000000004</v>
      </c>
      <c r="AC125" s="65">
        <f ca="1">'Ltg IntTakeoffs'!EZ80</f>
        <v>0</v>
      </c>
      <c r="AD125" s="64">
        <f t="shared" ca="1" si="98"/>
        <v>0</v>
      </c>
      <c r="AE125" s="558">
        <f ca="1">'Ltg IntTakeoffs'!FA80*M125</f>
        <v>0</v>
      </c>
      <c r="AF125" s="559">
        <f ca="1">'Ltg IntTakeoffs'!FB80*M125</f>
        <v>0</v>
      </c>
      <c r="AG125" s="62"/>
      <c r="AH125" s="62"/>
    </row>
    <row r="126" spans="2:34" ht="15" customHeight="1" x14ac:dyDescent="0.2">
      <c r="B126" s="62">
        <f>MATCH(C126,'360SpcLdsCSV'!$C$6:$C$500,0)</f>
        <v>70</v>
      </c>
      <c r="C126" s="62" t="str">
        <f>'360SpcLdsCSV'!C75</f>
        <v>L06-613_MfamResiPthp</v>
      </c>
      <c r="D126" s="62" t="str">
        <f t="shared" si="90"/>
        <v>L06</v>
      </c>
      <c r="E126" s="62" t="str">
        <f t="shared" si="91"/>
        <v>Mfam</v>
      </c>
      <c r="F126" s="62" t="str">
        <f t="shared" si="92"/>
        <v>Resi</v>
      </c>
      <c r="G126" s="62" t="str">
        <f t="shared" si="93"/>
        <v>Pthp</v>
      </c>
      <c r="H126" s="62" t="str">
        <f ca="1">OFFSET('360SpcLdsCSV'!$B$5,$B126,H$51)</f>
        <v>Level 6</v>
      </c>
      <c r="I126" s="62" t="str">
        <f ca="1">OFFSET('360SpcLdsCSV'!$B$5,$B126,I$51)</f>
        <v>DirectlyConditioned</v>
      </c>
      <c r="J126" s="62" t="str">
        <f ca="1">OFFSET('360SpcLdsCSV'!$B$5,$B126,J$51)</f>
        <v>Dwelling Unit</v>
      </c>
      <c r="K126" s="62" t="str">
        <f ca="1">OFFSET('360SpcLdsCSV'!$B$5,$B126,K$51)</f>
        <v>Residential</v>
      </c>
      <c r="L126" s="62" t="str">
        <f ca="1">OFFSET('360SpcLdsCSV'!$B$5,$B126,L$51)</f>
        <v>Thermal Zone: L06-613_MfamResiPthp</v>
      </c>
      <c r="M126" s="1178">
        <f t="shared" ca="1" si="89"/>
        <v>3034.0410000000002</v>
      </c>
      <c r="N126" s="1178">
        <f t="shared" ca="1" si="89"/>
        <v>30340.400000000001</v>
      </c>
      <c r="O126" s="62" t="str">
        <f ca="1">OFFSET('360SpcLdsCSV'!$B$5,$B126,O$51)</f>
        <v>Dwelling Unit</v>
      </c>
      <c r="P126" s="64">
        <f ca="1">OFFSET('360SpcLdsCSV'!$B$5,$B126,P$51)</f>
        <v>1</v>
      </c>
      <c r="Q126" s="84">
        <f t="shared" ca="1" si="94"/>
        <v>1.0699921326046682</v>
      </c>
      <c r="R126" s="64">
        <f ca="1">OFFSET('360SpcLdsCSV'!$B$5,$B126,R$51)*$P126</f>
        <v>3246.4</v>
      </c>
      <c r="S126" s="64">
        <f ca="1">OFFSET('360SpcLdsCSV'!$B$5,$B126,S$51)*$R126/1000</f>
        <v>2772.4256</v>
      </c>
      <c r="T126" s="84">
        <f t="shared" ca="1" si="95"/>
        <v>0</v>
      </c>
      <c r="U126" s="64">
        <f ca="1">OFFSET('360SpcLdsCSV'!$B$5,$B126,U$51)</f>
        <v>0</v>
      </c>
      <c r="V126" s="64">
        <f ca="1">OFFSET('360SpcLdsCSV'!$B$5,$B126,V$51)*$U126/1000</f>
        <v>0</v>
      </c>
      <c r="W126" s="84">
        <f t="shared" ca="1" si="96"/>
        <v>0.59999189200145941</v>
      </c>
      <c r="X126" s="64">
        <f ca="1">OFFSET('360SpcLdsCSV'!$B$5,$B126,X$51)*$P126</f>
        <v>1820.4</v>
      </c>
      <c r="Y126" s="64">
        <f ca="1">OFFSET('360SpcLdsCSV'!$B$5,$B126,Y$51)*$X126/1000</f>
        <v>1554.6216000000002</v>
      </c>
      <c r="Z126" s="84">
        <f t="shared" ca="1" si="97"/>
        <v>0.59999189200145941</v>
      </c>
      <c r="AA126" s="64">
        <f ca="1">OFFSET('360SpcLdsCSV'!$B$5,$B126,AA$51)*$P126</f>
        <v>1820.4</v>
      </c>
      <c r="AB126" s="64">
        <f ca="1">OFFSET('360SpcLdsCSV'!$B$5,$B126,AB$51)*$AA126/1000</f>
        <v>1554.6216000000002</v>
      </c>
      <c r="AC126" s="65">
        <f ca="1">'Ltg IntTakeoffs'!EZ81</f>
        <v>0</v>
      </c>
      <c r="AD126" s="64">
        <f t="shared" ca="1" si="98"/>
        <v>0</v>
      </c>
      <c r="AE126" s="558">
        <f ca="1">'Ltg IntTakeoffs'!FA81*M126</f>
        <v>0</v>
      </c>
      <c r="AF126" s="559">
        <f ca="1">'Ltg IntTakeoffs'!FB81*M126</f>
        <v>0</v>
      </c>
      <c r="AG126" s="62"/>
      <c r="AH126" s="62"/>
    </row>
    <row r="127" spans="2:34" ht="15" customHeight="1" x14ac:dyDescent="0.2">
      <c r="B127" s="62">
        <f>MATCH(C127,'360SpcLdsCSV'!$C$6:$C$500,0)</f>
        <v>71</v>
      </c>
      <c r="C127" s="62" t="str">
        <f>'360SpcLdsCSV'!C76</f>
        <v>L06-614_MechRaccIncd</v>
      </c>
      <c r="D127" s="62" t="str">
        <f t="shared" si="90"/>
        <v>L06</v>
      </c>
      <c r="E127" s="62" t="str">
        <f t="shared" si="91"/>
        <v>Mech</v>
      </c>
      <c r="F127" s="62" t="str">
        <f t="shared" si="92"/>
        <v>Racc</v>
      </c>
      <c r="G127" s="62" t="str">
        <f t="shared" si="93"/>
        <v>Incd</v>
      </c>
      <c r="H127" s="62" t="str">
        <f ca="1">OFFSET('360SpcLdsCSV'!$B$5,$B127,H$51)</f>
        <v>Level 6</v>
      </c>
      <c r="I127" s="62" t="str">
        <f ca="1">OFFSET('360SpcLdsCSV'!$B$5,$B127,I$51)</f>
        <v>IndirectlyConditioned</v>
      </c>
      <c r="J127" s="62" t="str">
        <f ca="1">OFFSET('360SpcLdsCSV'!$B$5,$B127,J$51)</f>
        <v>Electrical/MechanicaI Room</v>
      </c>
      <c r="K127" s="62" t="str">
        <f ca="1">OFFSET('360SpcLdsCSV'!$B$5,$B127,K$51)</f>
        <v>Nonresidential</v>
      </c>
      <c r="L127" s="62" t="str">
        <f ca="1">OFFSET('360SpcLdsCSV'!$B$5,$B127,L$51)</f>
        <v>Thermal Zone: L06-600_CorrRaccSphp</v>
      </c>
      <c r="M127" s="1178">
        <f t="shared" ca="1" si="89"/>
        <v>347.74279999999999</v>
      </c>
      <c r="N127" s="1178">
        <f t="shared" ca="1" si="89"/>
        <v>3477.43</v>
      </c>
      <c r="O127" s="62" t="str">
        <f ca="1">OFFSET('360SpcLdsCSV'!$B$5,$B127,O$51)</f>
        <v>Electrical/MechanicaI Room</v>
      </c>
      <c r="P127" s="64">
        <f ca="1">OFFSET('360SpcLdsCSV'!$B$5,$B127,P$51)</f>
        <v>1</v>
      </c>
      <c r="Q127" s="84">
        <f t="shared" ca="1" si="94"/>
        <v>1.4999591652221125</v>
      </c>
      <c r="R127" s="64">
        <f ca="1">OFFSET('360SpcLdsCSV'!$B$5,$B127,R$51)*$P127</f>
        <v>521.6</v>
      </c>
      <c r="S127" s="64">
        <f ca="1">OFFSET('360SpcLdsCSV'!$B$5,$B127,S$51)*$R127/1000</f>
        <v>4569.2160000000003</v>
      </c>
      <c r="T127" s="84">
        <f t="shared" ca="1" si="95"/>
        <v>0</v>
      </c>
      <c r="U127" s="64">
        <f ca="1">OFFSET('360SpcLdsCSV'!$B$5,$B127,U$51)</f>
        <v>0</v>
      </c>
      <c r="V127" s="64">
        <f ca="1">OFFSET('360SpcLdsCSV'!$B$5,$B127,V$51)*$U127/1000</f>
        <v>0</v>
      </c>
      <c r="W127" s="84">
        <f t="shared" ca="1" si="96"/>
        <v>0.34393235460230953</v>
      </c>
      <c r="X127" s="64">
        <f ca="1">OFFSET('360SpcLdsCSV'!$B$5,$B127,X$51)*$P127</f>
        <v>119.6</v>
      </c>
      <c r="Y127" s="64">
        <f ca="1">OFFSET('360SpcLdsCSV'!$B$5,$B127,Y$51)*$X127/1000</f>
        <v>1047.6959999999999</v>
      </c>
      <c r="Z127" s="84">
        <f t="shared" ca="1" si="97"/>
        <v>0.34393235460230953</v>
      </c>
      <c r="AA127" s="64">
        <f ca="1">OFFSET('360SpcLdsCSV'!$B$5,$B127,AA$51)*$P127</f>
        <v>119.6</v>
      </c>
      <c r="AB127" s="64">
        <f ca="1">OFFSET('360SpcLdsCSV'!$B$5,$B127,AB$51)*$AA127/1000</f>
        <v>1047.6959999999999</v>
      </c>
      <c r="AC127" s="65">
        <f ca="1">'Ltg IntTakeoffs'!EZ82</f>
        <v>0</v>
      </c>
      <c r="AD127" s="64">
        <f t="shared" ca="1" si="98"/>
        <v>0</v>
      </c>
      <c r="AE127" s="558">
        <f ca="1">'Ltg IntTakeoffs'!FA82*M127</f>
        <v>0</v>
      </c>
      <c r="AF127" s="559">
        <f ca="1">'Ltg IntTakeoffs'!FB82*M127</f>
        <v>0</v>
      </c>
      <c r="AG127" s="62"/>
      <c r="AH127" s="62"/>
    </row>
    <row r="128" spans="2:34" ht="15" customHeight="1" x14ac:dyDescent="0.2">
      <c r="B128" s="62">
        <f>MATCH(C128,'360SpcLdsCSV'!$C$6:$C$500,0)</f>
        <v>72</v>
      </c>
      <c r="C128" s="62" t="str">
        <f>'360SpcLdsCSV'!C77</f>
        <v>L06-615_ElevRaccIncd</v>
      </c>
      <c r="D128" s="62" t="str">
        <f t="shared" si="90"/>
        <v>L06</v>
      </c>
      <c r="E128" s="62" t="str">
        <f t="shared" si="91"/>
        <v>Elev</v>
      </c>
      <c r="F128" s="62" t="str">
        <f t="shared" si="92"/>
        <v>Racc</v>
      </c>
      <c r="G128" s="62" t="str">
        <f t="shared" si="93"/>
        <v>Incd</v>
      </c>
      <c r="H128" s="62" t="str">
        <f ca="1">OFFSET('360SpcLdsCSV'!$B$5,$B128,H$51)</f>
        <v>Level 6</v>
      </c>
      <c r="I128" s="62" t="str">
        <f ca="1">OFFSET('360SpcLdsCSV'!$B$5,$B128,I$51)</f>
        <v>IndirectlyConditioned</v>
      </c>
      <c r="J128" s="62" t="str">
        <f ca="1">OFFSET('360SpcLdsCSV'!$B$5,$B128,J$51)</f>
        <v>Unoccupied-Include in Gross Floor Area</v>
      </c>
      <c r="K128" s="62" t="str">
        <f ca="1">OFFSET('360SpcLdsCSV'!$B$5,$B128,K$51)</f>
        <v>Nonresidential</v>
      </c>
      <c r="L128" s="62" t="str">
        <f ca="1">OFFSET('360SpcLdsCSV'!$B$5,$B128,L$51)</f>
        <v>Thermal Zone: L06-600_CorrRaccSphp</v>
      </c>
      <c r="M128" s="1178">
        <f t="shared" ca="1" si="89"/>
        <v>178.88640000000001</v>
      </c>
      <c r="N128" s="1178">
        <f t="shared" ca="1" si="89"/>
        <v>1788.86</v>
      </c>
      <c r="O128" s="62" t="str">
        <f ca="1">OFFSET('360SpcLdsCSV'!$B$5,$B128,O$51)</f>
        <v>Unoccupied-Include in Gross Floor Area</v>
      </c>
      <c r="P128" s="64">
        <f ca="1">OFFSET('360SpcLdsCSV'!$B$5,$B128,P$51)</f>
        <v>1</v>
      </c>
      <c r="Q128" s="84">
        <f t="shared" ca="1" si="94"/>
        <v>0</v>
      </c>
      <c r="R128" s="64">
        <f ca="1">OFFSET('360SpcLdsCSV'!$B$5,$B128,R$51)*$P128</f>
        <v>0</v>
      </c>
      <c r="S128" s="64">
        <f ca="1">OFFSET('360SpcLdsCSV'!$B$5,$B128,S$51)*$R128/1000</f>
        <v>0</v>
      </c>
      <c r="T128" s="84">
        <f t="shared" ca="1" si="95"/>
        <v>0</v>
      </c>
      <c r="U128" s="64">
        <f ca="1">OFFSET('360SpcLdsCSV'!$B$5,$B128,U$51)</f>
        <v>0</v>
      </c>
      <c r="V128" s="64">
        <f ca="1">OFFSET('360SpcLdsCSV'!$B$5,$B128,V$51)*$U128/1000</f>
        <v>0</v>
      </c>
      <c r="W128" s="84">
        <f t="shared" ca="1" si="96"/>
        <v>0</v>
      </c>
      <c r="X128" s="64">
        <f ca="1">OFFSET('360SpcLdsCSV'!$B$5,$B128,X$51)*$P128</f>
        <v>0</v>
      </c>
      <c r="Y128" s="64">
        <f ca="1">OFFSET('360SpcLdsCSV'!$B$5,$B128,Y$51)*$X128/1000</f>
        <v>0</v>
      </c>
      <c r="Z128" s="84">
        <f t="shared" ca="1" si="97"/>
        <v>-558.99162820650417</v>
      </c>
      <c r="AA128" s="64">
        <f ca="1">OFFSET('360SpcLdsCSV'!$B$5,$B128,AA$51)*$P128</f>
        <v>-99996</v>
      </c>
      <c r="AB128" s="64">
        <f ca="1">OFFSET('360SpcLdsCSV'!$B$5,$B128,AB$51)*$AA128/1000</f>
        <v>0</v>
      </c>
      <c r="AC128" s="65">
        <f ca="1">'Ltg IntTakeoffs'!EZ83</f>
        <v>0</v>
      </c>
      <c r="AD128" s="64">
        <f t="shared" ca="1" si="98"/>
        <v>0</v>
      </c>
      <c r="AE128" s="558">
        <f ca="1">'Ltg IntTakeoffs'!FA83*M128</f>
        <v>0</v>
      </c>
      <c r="AF128" s="559">
        <f ca="1">'Ltg IntTakeoffs'!FB83*M128</f>
        <v>0</v>
      </c>
      <c r="AG128" s="62"/>
      <c r="AH128" s="62"/>
    </row>
    <row r="129" spans="2:34" ht="15" customHeight="1" x14ac:dyDescent="0.2">
      <c r="B129" s="62">
        <f>MATCH(C129,'360SpcLdsCSV'!$C$6:$C$500,0)</f>
        <v>73</v>
      </c>
      <c r="C129" s="62" t="str">
        <f>'360SpcLdsCSV'!C78</f>
        <v>L06-616_StrsRaccIncd</v>
      </c>
      <c r="D129" s="62" t="str">
        <f t="shared" si="90"/>
        <v>L06</v>
      </c>
      <c r="E129" s="62" t="str">
        <f t="shared" si="91"/>
        <v>Strs</v>
      </c>
      <c r="F129" s="62" t="str">
        <f t="shared" si="92"/>
        <v>Racc</v>
      </c>
      <c r="G129" s="62" t="str">
        <f t="shared" si="93"/>
        <v>Incd</v>
      </c>
      <c r="H129" s="62" t="str">
        <f ca="1">OFFSET('360SpcLdsCSV'!$B$5,$B129,H$51)</f>
        <v>Level 6</v>
      </c>
      <c r="I129" s="62" t="str">
        <f ca="1">OFFSET('360SpcLdsCSV'!$B$5,$B129,I$51)</f>
        <v>IndirectlyConditioned</v>
      </c>
      <c r="J129" s="62" t="str">
        <f ca="1">OFFSET('360SpcLdsCSV'!$B$5,$B129,J$51)</f>
        <v>Stairwell</v>
      </c>
      <c r="K129" s="62" t="str">
        <f ca="1">OFFSET('360SpcLdsCSV'!$B$5,$B129,K$51)</f>
        <v>Nonresidential</v>
      </c>
      <c r="L129" s="62" t="str">
        <f ca="1">OFFSET('360SpcLdsCSV'!$B$5,$B129,L$51)</f>
        <v>Thermal Zone: L06-600_CorrRaccSphp</v>
      </c>
      <c r="M129" s="1178">
        <f t="shared" ca="1" si="89"/>
        <v>232.53399999999999</v>
      </c>
      <c r="N129" s="1178">
        <f t="shared" ca="1" si="89"/>
        <v>2325.34</v>
      </c>
      <c r="O129" s="62" t="str">
        <f ca="1">OFFSET('360SpcLdsCSV'!$B$5,$B129,O$51)</f>
        <v>Stairwell</v>
      </c>
      <c r="P129" s="64">
        <f ca="1">OFFSET('360SpcLdsCSV'!$B$5,$B129,P$51)</f>
        <v>1</v>
      </c>
      <c r="Q129" s="84">
        <f t="shared" ca="1" si="94"/>
        <v>0.59991227089371879</v>
      </c>
      <c r="R129" s="64">
        <f ca="1">OFFSET('360SpcLdsCSV'!$B$5,$B129,R$51)*$P129</f>
        <v>139.5</v>
      </c>
      <c r="S129" s="64">
        <f ca="1">OFFSET('360SpcLdsCSV'!$B$5,$B129,S$51)*$R129/1000</f>
        <v>1222.02</v>
      </c>
      <c r="T129" s="84">
        <f t="shared" ca="1" si="95"/>
        <v>0</v>
      </c>
      <c r="U129" s="64">
        <f ca="1">OFFSET('360SpcLdsCSV'!$B$5,$B129,U$51)</f>
        <v>0</v>
      </c>
      <c r="V129" s="64">
        <f ca="1">OFFSET('360SpcLdsCSV'!$B$5,$B129,V$51)*$U129/1000</f>
        <v>0</v>
      </c>
      <c r="W129" s="84">
        <f t="shared" ca="1" si="96"/>
        <v>0.39220071043374305</v>
      </c>
      <c r="X129" s="64">
        <f ca="1">OFFSET('360SpcLdsCSV'!$B$5,$B129,X$51)*$P129</f>
        <v>91.2</v>
      </c>
      <c r="Y129" s="64">
        <f ca="1">OFFSET('360SpcLdsCSV'!$B$5,$B129,Y$51)*$X129/1000</f>
        <v>798.91200000000003</v>
      </c>
      <c r="Z129" s="84">
        <f t="shared" ca="1" si="97"/>
        <v>0.39220071043374305</v>
      </c>
      <c r="AA129" s="64">
        <f ca="1">OFFSET('360SpcLdsCSV'!$B$5,$B129,AA$51)*$P129</f>
        <v>91.2</v>
      </c>
      <c r="AB129" s="64">
        <f ca="1">OFFSET('360SpcLdsCSV'!$B$5,$B129,AB$51)*$AA129/1000</f>
        <v>798.91200000000003</v>
      </c>
      <c r="AC129" s="65">
        <f ca="1">'Ltg IntTakeoffs'!EZ84</f>
        <v>0</v>
      </c>
      <c r="AD129" s="64">
        <f t="shared" ca="1" si="98"/>
        <v>0</v>
      </c>
      <c r="AE129" s="558">
        <f ca="1">'Ltg IntTakeoffs'!FA84*M129</f>
        <v>0</v>
      </c>
      <c r="AF129" s="559">
        <f ca="1">'Ltg IntTakeoffs'!FB84*M129</f>
        <v>0</v>
      </c>
      <c r="AG129" s="62"/>
      <c r="AH129" s="62"/>
    </row>
    <row r="130" spans="2:34" ht="15" customHeight="1" x14ac:dyDescent="0.2">
      <c r="B130" s="62">
        <f>MATCH(C130,'360SpcLdsCSV'!$C$6:$C$500,0)</f>
        <v>74</v>
      </c>
      <c r="C130" s="62" t="str">
        <f>'360SpcLdsCSV'!C79</f>
        <v>L06-617_MfamResiPthp</v>
      </c>
      <c r="D130" s="62" t="str">
        <f t="shared" si="90"/>
        <v>L06</v>
      </c>
      <c r="E130" s="62" t="str">
        <f t="shared" si="91"/>
        <v>Mfam</v>
      </c>
      <c r="F130" s="62" t="str">
        <f t="shared" si="92"/>
        <v>Resi</v>
      </c>
      <c r="G130" s="62" t="str">
        <f t="shared" si="93"/>
        <v>Pthp</v>
      </c>
      <c r="H130" s="62" t="str">
        <f ca="1">OFFSET('360SpcLdsCSV'!$B$5,$B130,H$51)</f>
        <v>Level 6</v>
      </c>
      <c r="I130" s="62" t="str">
        <f ca="1">OFFSET('360SpcLdsCSV'!$B$5,$B130,I$51)</f>
        <v>DirectlyConditioned</v>
      </c>
      <c r="J130" s="62" t="str">
        <f ca="1">OFFSET('360SpcLdsCSV'!$B$5,$B130,J$51)</f>
        <v>Dwelling Unit</v>
      </c>
      <c r="K130" s="62" t="str">
        <f ca="1">OFFSET('360SpcLdsCSV'!$B$5,$B130,K$51)</f>
        <v>Residential</v>
      </c>
      <c r="L130" s="62" t="str">
        <f ca="1">OFFSET('360SpcLdsCSV'!$B$5,$B130,L$51)</f>
        <v>Thermal Zone: L06-617_MfamResiPthp</v>
      </c>
      <c r="M130" s="1178">
        <f t="shared" ca="1" si="89"/>
        <v>688.28060000000005</v>
      </c>
      <c r="N130" s="1178">
        <f t="shared" ca="1" si="89"/>
        <v>6882.81</v>
      </c>
      <c r="O130" s="62" t="str">
        <f ca="1">OFFSET('360SpcLdsCSV'!$B$5,$B130,O$51)</f>
        <v>Dwelling Unit</v>
      </c>
      <c r="P130" s="64">
        <f ca="1">OFFSET('360SpcLdsCSV'!$B$5,$B130,P$51)</f>
        <v>1</v>
      </c>
      <c r="Q130" s="84">
        <f t="shared" ca="1" si="94"/>
        <v>1.0700577642316229</v>
      </c>
      <c r="R130" s="64">
        <f ca="1">OFFSET('360SpcLdsCSV'!$B$5,$B130,R$51)*$P130</f>
        <v>736.5</v>
      </c>
      <c r="S130" s="64">
        <f ca="1">OFFSET('360SpcLdsCSV'!$B$5,$B130,S$51)*$R130/1000</f>
        <v>628.971</v>
      </c>
      <c r="T130" s="84">
        <f t="shared" ca="1" si="95"/>
        <v>0</v>
      </c>
      <c r="U130" s="64">
        <f ca="1">OFFSET('360SpcLdsCSV'!$B$5,$B130,U$51)</f>
        <v>0</v>
      </c>
      <c r="V130" s="64">
        <f ca="1">OFFSET('360SpcLdsCSV'!$B$5,$B130,V$51)*$U130/1000</f>
        <v>0</v>
      </c>
      <c r="W130" s="84">
        <f t="shared" ca="1" si="96"/>
        <v>0.60004596962343548</v>
      </c>
      <c r="X130" s="64">
        <f ca="1">OFFSET('360SpcLdsCSV'!$B$5,$B130,X$51)*$P130</f>
        <v>413</v>
      </c>
      <c r="Y130" s="64">
        <f ca="1">OFFSET('360SpcLdsCSV'!$B$5,$B130,Y$51)*$X130/1000</f>
        <v>352.702</v>
      </c>
      <c r="Z130" s="84">
        <f t="shared" ca="1" si="97"/>
        <v>0.60004596962343548</v>
      </c>
      <c r="AA130" s="64">
        <f ca="1">OFFSET('360SpcLdsCSV'!$B$5,$B130,AA$51)*$P130</f>
        <v>413</v>
      </c>
      <c r="AB130" s="64">
        <f ca="1">OFFSET('360SpcLdsCSV'!$B$5,$B130,AB$51)*$AA130/1000</f>
        <v>352.702</v>
      </c>
      <c r="AC130" s="65">
        <f ca="1">'Ltg IntTakeoffs'!EZ85</f>
        <v>0</v>
      </c>
      <c r="AD130" s="64">
        <f t="shared" ca="1" si="98"/>
        <v>0</v>
      </c>
      <c r="AE130" s="558">
        <f ca="1">'Ltg IntTakeoffs'!FA85*M130</f>
        <v>0</v>
      </c>
      <c r="AF130" s="559">
        <f ca="1">'Ltg IntTakeoffs'!FB85*M130</f>
        <v>0</v>
      </c>
      <c r="AG130" s="62"/>
      <c r="AH130" s="62"/>
    </row>
    <row r="131" spans="2:34" ht="15" customHeight="1" x14ac:dyDescent="0.2">
      <c r="B131" s="62">
        <f>MATCH(C131,'360SpcLdsCSV'!$C$6:$C$500,0)</f>
        <v>75</v>
      </c>
      <c r="C131" s="62" t="str">
        <f>'360SpcLdsCSV'!C80</f>
        <v>L06-618_TrshRaccIncd</v>
      </c>
      <c r="D131" s="62" t="str">
        <f t="shared" si="90"/>
        <v>L06</v>
      </c>
      <c r="E131" s="62" t="str">
        <f t="shared" si="91"/>
        <v>Trsh</v>
      </c>
      <c r="F131" s="62" t="str">
        <f t="shared" si="92"/>
        <v>Racc</v>
      </c>
      <c r="G131" s="62" t="str">
        <f t="shared" si="93"/>
        <v>Incd</v>
      </c>
      <c r="H131" s="62" t="str">
        <f ca="1">OFFSET('360SpcLdsCSV'!$B$5,$B131,H$51)</f>
        <v>Level 6</v>
      </c>
      <c r="I131" s="62" t="str">
        <f ca="1">OFFSET('360SpcLdsCSV'!$B$5,$B131,I$51)</f>
        <v>IndirectlyConditioned</v>
      </c>
      <c r="J131" s="62" t="str">
        <f ca="1">OFFSET('360SpcLdsCSV'!$B$5,$B131,J$51)</f>
        <v>Storage Room - &lt;50 ft2</v>
      </c>
      <c r="K131" s="62" t="str">
        <f ca="1">OFFSET('360SpcLdsCSV'!$B$5,$B131,K$51)</f>
        <v>Nonresidential</v>
      </c>
      <c r="L131" s="62" t="str">
        <f ca="1">OFFSET('360SpcLdsCSV'!$B$5,$B131,L$51)</f>
        <v>Thermal Zone: L06-600_CorrRaccSphp</v>
      </c>
      <c r="M131" s="1178">
        <f t="shared" ca="1" si="89"/>
        <v>187.88740000000001</v>
      </c>
      <c r="N131" s="1178">
        <f t="shared" ca="1" si="89"/>
        <v>1878.87</v>
      </c>
      <c r="O131" s="62" t="str">
        <f ca="1">OFFSET('360SpcLdsCSV'!$B$5,$B131,O$51)</f>
        <v>Storage Room - &lt;50 ft2</v>
      </c>
      <c r="P131" s="64">
        <f ca="1">OFFSET('360SpcLdsCSV'!$B$5,$B131,P$51)</f>
        <v>1</v>
      </c>
      <c r="Q131" s="84">
        <f t="shared" ca="1" si="94"/>
        <v>0.79994720242017292</v>
      </c>
      <c r="R131" s="64">
        <f ca="1">OFFSET('360SpcLdsCSV'!$B$5,$B131,R$51)*$P131</f>
        <v>150.30000000000001</v>
      </c>
      <c r="S131" s="64">
        <f ca="1">OFFSET('360SpcLdsCSV'!$B$5,$B131,S$51)*$R131/1000</f>
        <v>1316.6279999999999</v>
      </c>
      <c r="T131" s="84">
        <f t="shared" ca="1" si="95"/>
        <v>0</v>
      </c>
      <c r="U131" s="64">
        <f ca="1">OFFSET('360SpcLdsCSV'!$B$5,$B131,U$51)</f>
        <v>0</v>
      </c>
      <c r="V131" s="64">
        <f ca="1">OFFSET('360SpcLdsCSV'!$B$5,$B131,V$51)*$U131/1000</f>
        <v>0</v>
      </c>
      <c r="W131" s="84">
        <f t="shared" ca="1" si="96"/>
        <v>0.30390542420620009</v>
      </c>
      <c r="X131" s="64">
        <f ca="1">OFFSET('360SpcLdsCSV'!$B$5,$B131,X$51)*$P131</f>
        <v>57.1</v>
      </c>
      <c r="Y131" s="64">
        <f ca="1">OFFSET('360SpcLdsCSV'!$B$5,$B131,Y$51)*$X131/1000</f>
        <v>500.19600000000003</v>
      </c>
      <c r="Z131" s="84">
        <f t="shared" ca="1" si="97"/>
        <v>0.30390542420620009</v>
      </c>
      <c r="AA131" s="64">
        <f ca="1">OFFSET('360SpcLdsCSV'!$B$5,$B131,AA$51)*$P131</f>
        <v>57.1</v>
      </c>
      <c r="AB131" s="64">
        <f ca="1">OFFSET('360SpcLdsCSV'!$B$5,$B131,AB$51)*$AA131/1000</f>
        <v>500.19600000000003</v>
      </c>
      <c r="AC131" s="65">
        <f ca="1">'Ltg IntTakeoffs'!EZ86</f>
        <v>0</v>
      </c>
      <c r="AD131" s="64">
        <f t="shared" ca="1" si="98"/>
        <v>0</v>
      </c>
      <c r="AE131" s="558">
        <f ca="1">'Ltg IntTakeoffs'!FA86*M131</f>
        <v>0</v>
      </c>
      <c r="AF131" s="559">
        <f ca="1">'Ltg IntTakeoffs'!FB86*M131</f>
        <v>0</v>
      </c>
      <c r="AG131" s="62"/>
      <c r="AH131" s="62"/>
    </row>
    <row r="132" spans="2:34" ht="15" customHeight="1" x14ac:dyDescent="0.2">
      <c r="B132" s="62">
        <f>MATCH(C132,'360SpcLdsCSV'!$C$6:$C$500,0)</f>
        <v>76</v>
      </c>
      <c r="C132" s="62" t="str">
        <f>'360SpcLdsCSV'!C81</f>
        <v>L06-619_MfamResiPthp</v>
      </c>
      <c r="D132" s="62" t="str">
        <f t="shared" si="90"/>
        <v>L06</v>
      </c>
      <c r="E132" s="62" t="str">
        <f t="shared" si="91"/>
        <v>Mfam</v>
      </c>
      <c r="F132" s="62" t="str">
        <f t="shared" si="92"/>
        <v>Resi</v>
      </c>
      <c r="G132" s="62" t="str">
        <f t="shared" si="93"/>
        <v>Pthp</v>
      </c>
      <c r="H132" s="62" t="str">
        <f ca="1">OFFSET('360SpcLdsCSV'!$B$5,$B132,H$51)</f>
        <v>Level 6</v>
      </c>
      <c r="I132" s="62" t="str">
        <f ca="1">OFFSET('360SpcLdsCSV'!$B$5,$B132,I$51)</f>
        <v>DirectlyConditioned</v>
      </c>
      <c r="J132" s="62" t="str">
        <f ca="1">OFFSET('360SpcLdsCSV'!$B$5,$B132,J$51)</f>
        <v>Dwelling Unit</v>
      </c>
      <c r="K132" s="62" t="str">
        <f ca="1">OFFSET('360SpcLdsCSV'!$B$5,$B132,K$51)</f>
        <v>Residential</v>
      </c>
      <c r="L132" s="62" t="str">
        <f ca="1">OFFSET('360SpcLdsCSV'!$B$5,$B132,L$51)</f>
        <v>Thermal Zone: L06-619_MfamResiPthp</v>
      </c>
      <c r="M132" s="1178">
        <f t="shared" ca="1" si="89"/>
        <v>662.92970000000003</v>
      </c>
      <c r="N132" s="1178">
        <f t="shared" ca="1" si="89"/>
        <v>6629.3</v>
      </c>
      <c r="O132" s="62" t="str">
        <f ca="1">OFFSET('360SpcLdsCSV'!$B$5,$B132,O$51)</f>
        <v>Dwelling Unit</v>
      </c>
      <c r="P132" s="64">
        <f ca="1">OFFSET('360SpcLdsCSV'!$B$5,$B132,P$51)</f>
        <v>1</v>
      </c>
      <c r="Q132" s="84">
        <f t="shared" ca="1" si="94"/>
        <v>1.0699475374236513</v>
      </c>
      <c r="R132" s="64">
        <f ca="1">OFFSET('360SpcLdsCSV'!$B$5,$B132,R$51)*$P132</f>
        <v>709.3</v>
      </c>
      <c r="S132" s="64">
        <f ca="1">OFFSET('360SpcLdsCSV'!$B$5,$B132,S$51)*$R132/1000</f>
        <v>605.74219999999991</v>
      </c>
      <c r="T132" s="84">
        <f t="shared" ca="1" si="95"/>
        <v>0</v>
      </c>
      <c r="U132" s="64">
        <f ca="1">OFFSET('360SpcLdsCSV'!$B$5,$B132,U$51)</f>
        <v>0</v>
      </c>
      <c r="V132" s="64">
        <f ca="1">OFFSET('360SpcLdsCSV'!$B$5,$B132,V$51)*$U132/1000</f>
        <v>0</v>
      </c>
      <c r="W132" s="84">
        <f t="shared" ca="1" si="96"/>
        <v>0.60006362665603907</v>
      </c>
      <c r="X132" s="64">
        <f ca="1">OFFSET('360SpcLdsCSV'!$B$5,$B132,X$51)*$P132</f>
        <v>397.8</v>
      </c>
      <c r="Y132" s="64">
        <f ca="1">OFFSET('360SpcLdsCSV'!$B$5,$B132,Y$51)*$X132/1000</f>
        <v>339.72120000000001</v>
      </c>
      <c r="Z132" s="84">
        <f t="shared" ca="1" si="97"/>
        <v>0.60006362665603907</v>
      </c>
      <c r="AA132" s="64">
        <f ca="1">OFFSET('360SpcLdsCSV'!$B$5,$B132,AA$51)*$P132</f>
        <v>397.8</v>
      </c>
      <c r="AB132" s="64">
        <f ca="1">OFFSET('360SpcLdsCSV'!$B$5,$B132,AB$51)*$AA132/1000</f>
        <v>339.72120000000001</v>
      </c>
      <c r="AC132" s="65">
        <f ca="1">'Ltg IntTakeoffs'!EZ87</f>
        <v>0</v>
      </c>
      <c r="AD132" s="64">
        <f t="shared" ca="1" si="98"/>
        <v>0</v>
      </c>
      <c r="AE132" s="558">
        <f ca="1">'Ltg IntTakeoffs'!FA87*M132</f>
        <v>0</v>
      </c>
      <c r="AF132" s="559">
        <f ca="1">'Ltg IntTakeoffs'!FB87*M132</f>
        <v>0</v>
      </c>
      <c r="AG132" s="62"/>
      <c r="AH132" s="62"/>
    </row>
    <row r="133" spans="2:34" ht="15" customHeight="1" x14ac:dyDescent="0.2">
      <c r="B133" s="62">
        <f>MATCH(C133,'360SpcLdsCSV'!$C$6:$C$500,0)</f>
        <v>77</v>
      </c>
      <c r="C133" s="62" t="str">
        <f>'360SpcLdsCSV'!C82</f>
        <v>R01-701_StrsRaccBbrd</v>
      </c>
      <c r="D133" s="62" t="str">
        <f t="shared" si="90"/>
        <v>R01</v>
      </c>
      <c r="E133" s="62" t="str">
        <f t="shared" si="91"/>
        <v>Strs</v>
      </c>
      <c r="F133" s="62" t="str">
        <f t="shared" si="92"/>
        <v>Racc</v>
      </c>
      <c r="G133" s="62" t="str">
        <f t="shared" si="93"/>
        <v>Bbrd</v>
      </c>
      <c r="H133" s="62" t="str">
        <f ca="1">OFFSET('360SpcLdsCSV'!$B$5,$B133,H$51)</f>
        <v>Roof</v>
      </c>
      <c r="I133" s="62" t="str">
        <f ca="1">OFFSET('360SpcLdsCSV'!$B$5,$B133,I$51)</f>
        <v>DirectlyConditioned</v>
      </c>
      <c r="J133" s="62" t="str">
        <f ca="1">OFFSET('360SpcLdsCSV'!$B$5,$B133,J$51)</f>
        <v>Stairwell</v>
      </c>
      <c r="K133" s="62" t="str">
        <f ca="1">OFFSET('360SpcLdsCSV'!$B$5,$B133,K$51)</f>
        <v>Nonresidential</v>
      </c>
      <c r="L133" s="62" t="str">
        <f ca="1">OFFSET('360SpcLdsCSV'!$B$5,$B133,L$51)</f>
        <v>Thermal Zone: R01-701_StrsRaccBbrd</v>
      </c>
      <c r="M133" s="1178">
        <f t="shared" ca="1" si="89"/>
        <v>197.10499999999999</v>
      </c>
      <c r="N133" s="1178">
        <f t="shared" ca="1" si="89"/>
        <v>1971.05</v>
      </c>
      <c r="O133" s="62" t="str">
        <f ca="1">OFFSET('360SpcLdsCSV'!$B$5,$B133,O$51)</f>
        <v>Stairwell</v>
      </c>
      <c r="P133" s="64">
        <f ca="1">OFFSET('360SpcLdsCSV'!$B$5,$B133,P$51)</f>
        <v>1</v>
      </c>
      <c r="Q133" s="84">
        <f t="shared" ca="1" si="94"/>
        <v>0.60018771720656505</v>
      </c>
      <c r="R133" s="64">
        <f ca="1">OFFSET('360SpcLdsCSV'!$B$5,$B133,R$51)*$P133</f>
        <v>118.3</v>
      </c>
      <c r="S133" s="64">
        <f ca="1">OFFSET('360SpcLdsCSV'!$B$5,$B133,S$51)*$R133/1000</f>
        <v>1036.308</v>
      </c>
      <c r="T133" s="84">
        <f t="shared" ca="1" si="95"/>
        <v>0</v>
      </c>
      <c r="U133" s="64">
        <f ca="1">OFFSET('360SpcLdsCSV'!$B$5,$B133,U$51)</f>
        <v>0</v>
      </c>
      <c r="V133" s="64">
        <f ca="1">OFFSET('360SpcLdsCSV'!$B$5,$B133,V$51)*$U133/1000</f>
        <v>0</v>
      </c>
      <c r="W133" s="84">
        <f t="shared" ca="1" si="96"/>
        <v>0.39217675858045203</v>
      </c>
      <c r="X133" s="64">
        <f ca="1">OFFSET('360SpcLdsCSV'!$B$5,$B133,X$51)*$P133</f>
        <v>77.3</v>
      </c>
      <c r="Y133" s="64">
        <f ca="1">OFFSET('360SpcLdsCSV'!$B$5,$B133,Y$51)*$X133/1000</f>
        <v>677.14800000000002</v>
      </c>
      <c r="Z133" s="84">
        <f t="shared" ca="1" si="97"/>
        <v>0.39217675858045203</v>
      </c>
      <c r="AA133" s="64">
        <f ca="1">OFFSET('360SpcLdsCSV'!$B$5,$B133,AA$51)*$P133</f>
        <v>77.3</v>
      </c>
      <c r="AB133" s="64">
        <f ca="1">OFFSET('360SpcLdsCSV'!$B$5,$B133,AB$51)*$AA133/1000</f>
        <v>677.14800000000002</v>
      </c>
      <c r="AC133" s="65">
        <f ca="1">'Ltg IntTakeoffs'!EZ88</f>
        <v>0</v>
      </c>
      <c r="AD133" s="64">
        <f t="shared" ca="1" si="98"/>
        <v>0</v>
      </c>
      <c r="AE133" s="558">
        <f ca="1">'Ltg IntTakeoffs'!FA88*M133</f>
        <v>0</v>
      </c>
      <c r="AF133" s="559">
        <f ca="1">'Ltg IntTakeoffs'!FB88*M133</f>
        <v>0</v>
      </c>
      <c r="AG133" s="62"/>
      <c r="AH133" s="62"/>
    </row>
    <row r="134" spans="2:34" ht="15" customHeight="1" x14ac:dyDescent="0.2">
      <c r="B134" s="62">
        <f>MATCH(C134,'360SpcLdsCSV'!$C$6:$C$500,0)</f>
        <v>78</v>
      </c>
      <c r="C134" s="62" t="str">
        <f>'360SpcLdsCSV'!C83</f>
        <v>R01-702_ElevRaccIncd</v>
      </c>
      <c r="D134" s="62" t="str">
        <f t="shared" si="90"/>
        <v>R01</v>
      </c>
      <c r="E134" s="62" t="str">
        <f t="shared" si="91"/>
        <v>Elev</v>
      </c>
      <c r="F134" s="62" t="str">
        <f t="shared" si="92"/>
        <v>Racc</v>
      </c>
      <c r="G134" s="62" t="str">
        <f t="shared" si="93"/>
        <v>Incd</v>
      </c>
      <c r="H134" s="62" t="str">
        <f ca="1">OFFSET('360SpcLdsCSV'!$B$5,$B134,H$51)</f>
        <v>Roof</v>
      </c>
      <c r="I134" s="62" t="str">
        <f ca="1">OFFSET('360SpcLdsCSV'!$B$5,$B134,I$51)</f>
        <v>IndirectlyConditioned</v>
      </c>
      <c r="J134" s="62" t="str">
        <f ca="1">OFFSET('360SpcLdsCSV'!$B$5,$B134,J$51)</f>
        <v>Unoccupied-Include in Gross Floor Area</v>
      </c>
      <c r="K134" s="62" t="str">
        <f ca="1">OFFSET('360SpcLdsCSV'!$B$5,$B134,K$51)</f>
        <v>Nonresidential</v>
      </c>
      <c r="L134" s="62" t="str">
        <f ca="1">OFFSET('360SpcLdsCSV'!$B$5,$B134,L$51)</f>
        <v>Thermal Zone: R01-701_StrsRaccBbrd</v>
      </c>
      <c r="M134" s="1178">
        <f t="shared" ca="1" si="89"/>
        <v>127.9872</v>
      </c>
      <c r="N134" s="1178">
        <f t="shared" ca="1" si="89"/>
        <v>1279.8699999999999</v>
      </c>
      <c r="O134" s="62" t="str">
        <f ca="1">OFFSET('360SpcLdsCSV'!$B$5,$B134,O$51)</f>
        <v>Unoccupied-Include in Gross Floor Area</v>
      </c>
      <c r="P134" s="64">
        <f ca="1">OFFSET('360SpcLdsCSV'!$B$5,$B134,P$51)</f>
        <v>1</v>
      </c>
      <c r="Q134" s="84">
        <f t="shared" ca="1" si="94"/>
        <v>0</v>
      </c>
      <c r="R134" s="64">
        <f ca="1">OFFSET('360SpcLdsCSV'!$B$5,$B134,R$51)*$P134</f>
        <v>0</v>
      </c>
      <c r="S134" s="64">
        <f ca="1">OFFSET('360SpcLdsCSV'!$B$5,$B134,S$51)*$R134/1000</f>
        <v>0</v>
      </c>
      <c r="T134" s="84">
        <f t="shared" ca="1" si="95"/>
        <v>0</v>
      </c>
      <c r="U134" s="64">
        <f ca="1">OFFSET('360SpcLdsCSV'!$B$5,$B134,U$51)</f>
        <v>0</v>
      </c>
      <c r="V134" s="64">
        <f ca="1">OFFSET('360SpcLdsCSV'!$B$5,$B134,V$51)*$U134/1000</f>
        <v>0</v>
      </c>
      <c r="W134" s="84">
        <f t="shared" ca="1" si="96"/>
        <v>0</v>
      </c>
      <c r="X134" s="64">
        <f ca="1">OFFSET('360SpcLdsCSV'!$B$5,$B134,X$51)*$P134</f>
        <v>0</v>
      </c>
      <c r="Y134" s="64">
        <f ca="1">OFFSET('360SpcLdsCSV'!$B$5,$B134,Y$51)*$X134/1000</f>
        <v>0</v>
      </c>
      <c r="Z134" s="84">
        <f t="shared" ca="1" si="97"/>
        <v>-781.29687968796884</v>
      </c>
      <c r="AA134" s="64">
        <f ca="1">OFFSET('360SpcLdsCSV'!$B$5,$B134,AA$51)*$P134</f>
        <v>-99996</v>
      </c>
      <c r="AB134" s="64">
        <f ca="1">OFFSET('360SpcLdsCSV'!$B$5,$B134,AB$51)*$AA134/1000</f>
        <v>0</v>
      </c>
      <c r="AC134" s="65">
        <f ca="1">'Ltg IntTakeoffs'!EZ89</f>
        <v>0</v>
      </c>
      <c r="AD134" s="64">
        <f t="shared" ca="1" si="98"/>
        <v>0</v>
      </c>
      <c r="AE134" s="558">
        <f ca="1">'Ltg IntTakeoffs'!FA89*M134</f>
        <v>0</v>
      </c>
      <c r="AF134" s="559">
        <f ca="1">'Ltg IntTakeoffs'!FB89*M134</f>
        <v>0</v>
      </c>
      <c r="AG134" s="62"/>
      <c r="AH134" s="62"/>
    </row>
    <row r="135" spans="2:34" ht="15" customHeight="1" x14ac:dyDescent="0.2">
      <c r="B135" s="62">
        <f>MATCH(C135,'360SpcLdsCSV'!$C$6:$C$500,0)</f>
        <v>79</v>
      </c>
      <c r="C135" s="62" t="str">
        <f>'360SpcLdsCSV'!C84</f>
        <v>R01-703_MechRaccPtac</v>
      </c>
      <c r="D135" s="62" t="str">
        <f t="shared" si="90"/>
        <v>R01</v>
      </c>
      <c r="E135" s="62" t="str">
        <f t="shared" si="91"/>
        <v>Mech</v>
      </c>
      <c r="F135" s="62" t="str">
        <f t="shared" si="92"/>
        <v>Racc</v>
      </c>
      <c r="G135" s="62" t="str">
        <f t="shared" si="93"/>
        <v>Ptac</v>
      </c>
      <c r="H135" s="62" t="str">
        <f ca="1">OFFSET('360SpcLdsCSV'!$B$5,$B135,H$51)</f>
        <v>Roof</v>
      </c>
      <c r="I135" s="62" t="str">
        <f ca="1">OFFSET('360SpcLdsCSV'!$B$5,$B135,I$51)</f>
        <v>DirectlyConditioned</v>
      </c>
      <c r="J135" s="62" t="str">
        <f ca="1">OFFSET('360SpcLdsCSV'!$B$5,$B135,J$51)</f>
        <v>Electrical/MechanicaI Room</v>
      </c>
      <c r="K135" s="62" t="str">
        <f ca="1">OFFSET('360SpcLdsCSV'!$B$5,$B135,K$51)</f>
        <v>Nonresidential</v>
      </c>
      <c r="L135" s="62" t="str">
        <f ca="1">OFFSET('360SpcLdsCSV'!$B$5,$B135,L$51)</f>
        <v>Thermal Zone: R01-703_MechRaccPtac</v>
      </c>
      <c r="M135" s="1178">
        <f t="shared" ca="1" si="89"/>
        <v>102.77760000000001</v>
      </c>
      <c r="N135" s="1178">
        <f t="shared" ca="1" si="89"/>
        <v>1027.78</v>
      </c>
      <c r="O135" s="62" t="str">
        <f ca="1">OFFSET('360SpcLdsCSV'!$B$5,$B135,O$51)</f>
        <v>Electrical/MechanicaI Room</v>
      </c>
      <c r="P135" s="64">
        <f ca="1">OFFSET('360SpcLdsCSV'!$B$5,$B135,P$51)</f>
        <v>1</v>
      </c>
      <c r="Q135" s="84">
        <f t="shared" ca="1" si="94"/>
        <v>1.5003269194844011</v>
      </c>
      <c r="R135" s="64">
        <f ca="1">OFFSET('360SpcLdsCSV'!$B$5,$B135,R$51)*$P135</f>
        <v>154.19999999999999</v>
      </c>
      <c r="S135" s="64">
        <f ca="1">OFFSET('360SpcLdsCSV'!$B$5,$B135,S$51)*$R135/1000</f>
        <v>1350.7919999999999</v>
      </c>
      <c r="T135" s="84">
        <f t="shared" ca="1" si="95"/>
        <v>0</v>
      </c>
      <c r="U135" s="64">
        <f ca="1">OFFSET('360SpcLdsCSV'!$B$5,$B135,U$51)</f>
        <v>0</v>
      </c>
      <c r="V135" s="64">
        <f ca="1">OFFSET('360SpcLdsCSV'!$B$5,$B135,V$51)*$U135/1000</f>
        <v>0</v>
      </c>
      <c r="W135" s="84">
        <f t="shared" ca="1" si="96"/>
        <v>0.34443302820848121</v>
      </c>
      <c r="X135" s="64">
        <f ca="1">OFFSET('360SpcLdsCSV'!$B$5,$B135,X$51)*$P135</f>
        <v>35.4</v>
      </c>
      <c r="Y135" s="64">
        <f ca="1">OFFSET('360SpcLdsCSV'!$B$5,$B135,Y$51)*$X135/1000</f>
        <v>310.10399999999998</v>
      </c>
      <c r="Z135" s="84">
        <f t="shared" ca="1" si="97"/>
        <v>0.34443302820848121</v>
      </c>
      <c r="AA135" s="64">
        <f ca="1">OFFSET('360SpcLdsCSV'!$B$5,$B135,AA$51)*$P135</f>
        <v>35.4</v>
      </c>
      <c r="AB135" s="64">
        <f ca="1">OFFSET('360SpcLdsCSV'!$B$5,$B135,AB$51)*$AA135/1000</f>
        <v>310.10399999999998</v>
      </c>
      <c r="AC135" s="65">
        <f ca="1">'Ltg IntTakeoffs'!EZ90</f>
        <v>0</v>
      </c>
      <c r="AD135" s="64">
        <f t="shared" ca="1" si="98"/>
        <v>0</v>
      </c>
      <c r="AE135" s="558">
        <f ca="1">'Ltg IntTakeoffs'!FA90*M135</f>
        <v>0</v>
      </c>
      <c r="AF135" s="559">
        <f ca="1">'Ltg IntTakeoffs'!FB90*M135</f>
        <v>0</v>
      </c>
      <c r="AG135" s="62"/>
      <c r="AH135" s="62"/>
    </row>
    <row r="136" spans="2:34" ht="15" customHeight="1" x14ac:dyDescent="0.2">
      <c r="B136" s="62">
        <f>MATCH(C136,'360SpcLdsCSV'!$C$6:$C$500,0)</f>
        <v>80</v>
      </c>
      <c r="C136" s="62" t="str">
        <f>'360SpcLdsCSV'!C85</f>
        <v>R01-704_StrsRaccBbrd</v>
      </c>
      <c r="D136" s="62" t="str">
        <f t="shared" si="90"/>
        <v>R01</v>
      </c>
      <c r="E136" s="62" t="str">
        <f t="shared" si="91"/>
        <v>Strs</v>
      </c>
      <c r="F136" s="62" t="str">
        <f t="shared" si="92"/>
        <v>Racc</v>
      </c>
      <c r="G136" s="62" t="str">
        <f t="shared" si="93"/>
        <v>Bbrd</v>
      </c>
      <c r="H136" s="62" t="str">
        <f ca="1">OFFSET('360SpcLdsCSV'!$B$5,$B136,H$51)</f>
        <v>Roof</v>
      </c>
      <c r="I136" s="62" t="str">
        <f ca="1">OFFSET('360SpcLdsCSV'!$B$5,$B136,I$51)</f>
        <v>DirectlyConditioned</v>
      </c>
      <c r="J136" s="62" t="str">
        <f ca="1">OFFSET('360SpcLdsCSV'!$B$5,$B136,J$51)</f>
        <v>Stairwell</v>
      </c>
      <c r="K136" s="62" t="str">
        <f ca="1">OFFSET('360SpcLdsCSV'!$B$5,$B136,K$51)</f>
        <v>Nonresidential</v>
      </c>
      <c r="L136" s="62" t="str">
        <f ca="1">OFFSET('360SpcLdsCSV'!$B$5,$B136,L$51)</f>
        <v>Thermal Zone: R01-704_StrsRaccBbrd</v>
      </c>
      <c r="M136" s="1178">
        <f t="shared" ca="1" si="89"/>
        <v>236.34819999999999</v>
      </c>
      <c r="N136" s="1178">
        <f t="shared" ca="1" si="89"/>
        <v>2363.48</v>
      </c>
      <c r="O136" s="62" t="str">
        <f ca="1">OFFSET('360SpcLdsCSV'!$B$5,$B136,O$51)</f>
        <v>Stairwell</v>
      </c>
      <c r="P136" s="64">
        <f ca="1">OFFSET('360SpcLdsCSV'!$B$5,$B136,P$51)</f>
        <v>1</v>
      </c>
      <c r="Q136" s="84">
        <f t="shared" ca="1" si="94"/>
        <v>0.59996225907368883</v>
      </c>
      <c r="R136" s="64">
        <f ca="1">OFFSET('360SpcLdsCSV'!$B$5,$B136,R$51)*$P136</f>
        <v>141.80000000000001</v>
      </c>
      <c r="S136" s="64">
        <f ca="1">OFFSET('360SpcLdsCSV'!$B$5,$B136,S$51)*$R136/1000</f>
        <v>1242.1679999999999</v>
      </c>
      <c r="T136" s="84">
        <f t="shared" ca="1" si="95"/>
        <v>0</v>
      </c>
      <c r="U136" s="64">
        <f ca="1">OFFSET('360SpcLdsCSV'!$B$5,$B136,U$51)</f>
        <v>0</v>
      </c>
      <c r="V136" s="64">
        <f ca="1">OFFSET('360SpcLdsCSV'!$B$5,$B136,V$51)*$U136/1000</f>
        <v>0</v>
      </c>
      <c r="W136" s="84">
        <f t="shared" ca="1" si="96"/>
        <v>0.39179481798465143</v>
      </c>
      <c r="X136" s="64">
        <f ca="1">OFFSET('360SpcLdsCSV'!$B$5,$B136,X$51)*$P136</f>
        <v>92.6</v>
      </c>
      <c r="Y136" s="64">
        <f ca="1">OFFSET('360SpcLdsCSV'!$B$5,$B136,Y$51)*$X136/1000</f>
        <v>811.17600000000004</v>
      </c>
      <c r="Z136" s="84">
        <f t="shared" ca="1" si="97"/>
        <v>0.39179481798465143</v>
      </c>
      <c r="AA136" s="64">
        <f ca="1">OFFSET('360SpcLdsCSV'!$B$5,$B136,AA$51)*$P136</f>
        <v>92.6</v>
      </c>
      <c r="AB136" s="64">
        <f ca="1">OFFSET('360SpcLdsCSV'!$B$5,$B136,AB$51)*$AA136/1000</f>
        <v>811.17600000000004</v>
      </c>
      <c r="AC136" s="65">
        <f ca="1">'Ltg IntTakeoffs'!EZ91</f>
        <v>0</v>
      </c>
      <c r="AD136" s="64">
        <f t="shared" ca="1" si="98"/>
        <v>0</v>
      </c>
      <c r="AE136" s="558">
        <f ca="1">'Ltg IntTakeoffs'!FA91*M136</f>
        <v>0</v>
      </c>
      <c r="AF136" s="559">
        <f ca="1">'Ltg IntTakeoffs'!FB91*M136</f>
        <v>0</v>
      </c>
      <c r="AG136" s="62"/>
      <c r="AH136" s="62"/>
    </row>
    <row r="137" spans="2:34" ht="15" customHeight="1" x14ac:dyDescent="0.2">
      <c r="B137" s="62">
        <f>MATCH(C137,'360SpcLdsCSV'!$C$6:$C$500,0)</f>
        <v>81</v>
      </c>
      <c r="C137" s="62" t="str">
        <f>'360SpcLdsCSV'!C86</f>
        <v>R01-705_ElevRaccIncd</v>
      </c>
      <c r="D137" s="62" t="str">
        <f t="shared" si="90"/>
        <v>R01</v>
      </c>
      <c r="E137" s="62" t="str">
        <f t="shared" si="91"/>
        <v>Elev</v>
      </c>
      <c r="F137" s="62" t="str">
        <f t="shared" si="92"/>
        <v>Racc</v>
      </c>
      <c r="G137" s="62" t="str">
        <f t="shared" si="93"/>
        <v>Incd</v>
      </c>
      <c r="H137" s="62" t="str">
        <f ca="1">OFFSET('360SpcLdsCSV'!$B$5,$B137,H$51)</f>
        <v>Roof</v>
      </c>
      <c r="I137" s="62" t="str">
        <f ca="1">OFFSET('360SpcLdsCSV'!$B$5,$B137,I$51)</f>
        <v>IndirectlyConditioned</v>
      </c>
      <c r="J137" s="62" t="str">
        <f ca="1">OFFSET('360SpcLdsCSV'!$B$5,$B137,J$51)</f>
        <v>Unoccupied-Include in Gross Floor Area</v>
      </c>
      <c r="K137" s="62" t="str">
        <f ca="1">OFFSET('360SpcLdsCSV'!$B$5,$B137,K$51)</f>
        <v>Nonresidential</v>
      </c>
      <c r="L137" s="62" t="str">
        <f ca="1">OFFSET('360SpcLdsCSV'!$B$5,$B137,L$51)</f>
        <v>Thermal Zone: R01-704_StrsRaccBbrd</v>
      </c>
      <c r="M137" s="1178">
        <f t="shared" ref="M137:N156" ca="1" si="99">OFFSET(Spaces_Ref,$B137,M$51)</f>
        <v>211.21340000000001</v>
      </c>
      <c r="N137" s="1178">
        <f t="shared" ca="1" si="99"/>
        <v>2112.13</v>
      </c>
      <c r="O137" s="62" t="str">
        <f ca="1">OFFSET('360SpcLdsCSV'!$B$5,$B137,O$51)</f>
        <v>Unoccupied-Include in Gross Floor Area</v>
      </c>
      <c r="P137" s="64">
        <f ca="1">OFFSET('360SpcLdsCSV'!$B$5,$B137,P$51)</f>
        <v>1</v>
      </c>
      <c r="Q137" s="84">
        <f t="shared" ca="1" si="94"/>
        <v>0</v>
      </c>
      <c r="R137" s="64">
        <f ca="1">OFFSET('360SpcLdsCSV'!$B$5,$B137,R$51)*$P137</f>
        <v>0</v>
      </c>
      <c r="S137" s="64">
        <f ca="1">OFFSET('360SpcLdsCSV'!$B$5,$B137,S$51)*$R137/1000</f>
        <v>0</v>
      </c>
      <c r="T137" s="84">
        <f t="shared" ca="1" si="95"/>
        <v>0</v>
      </c>
      <c r="U137" s="64">
        <f ca="1">OFFSET('360SpcLdsCSV'!$B$5,$B137,U$51)</f>
        <v>0</v>
      </c>
      <c r="V137" s="64">
        <f ca="1">OFFSET('360SpcLdsCSV'!$B$5,$B137,V$51)*$U137/1000</f>
        <v>0</v>
      </c>
      <c r="W137" s="84">
        <f t="shared" ca="1" si="96"/>
        <v>0</v>
      </c>
      <c r="X137" s="64">
        <f ca="1">OFFSET('360SpcLdsCSV'!$B$5,$B137,X$51)*$P137</f>
        <v>0</v>
      </c>
      <c r="Y137" s="64">
        <f ca="1">OFFSET('360SpcLdsCSV'!$B$5,$B137,Y$51)*$X137/1000</f>
        <v>0</v>
      </c>
      <c r="Z137" s="84">
        <f t="shared" ca="1" si="97"/>
        <v>-473.43587101954705</v>
      </c>
      <c r="AA137" s="64">
        <f ca="1">OFFSET('360SpcLdsCSV'!$B$5,$B137,AA$51)*$P137</f>
        <v>-99996</v>
      </c>
      <c r="AB137" s="64">
        <f ca="1">OFFSET('360SpcLdsCSV'!$B$5,$B137,AB$51)*$AA137/1000</f>
        <v>0</v>
      </c>
      <c r="AC137" s="65">
        <f ca="1">'Ltg IntTakeoffs'!EZ92</f>
        <v>0</v>
      </c>
      <c r="AD137" s="64">
        <f t="shared" ca="1" si="98"/>
        <v>0</v>
      </c>
      <c r="AE137" s="558">
        <f ca="1">'Ltg IntTakeoffs'!FA92*M137</f>
        <v>0</v>
      </c>
      <c r="AF137" s="559">
        <f ca="1">'Ltg IntTakeoffs'!FB92*M137</f>
        <v>0</v>
      </c>
      <c r="AG137" s="62"/>
      <c r="AH137" s="62"/>
    </row>
    <row r="138" spans="2:34" ht="15" customHeight="1" x14ac:dyDescent="0.2">
      <c r="B138" s="62">
        <f>MATCH(C138,'360SpcLdsCSV'!$C$6:$C$500,0)</f>
        <v>82</v>
      </c>
      <c r="C138" s="62" t="str">
        <f>'360SpcLdsCSV'!C87</f>
        <v>R01-706_MechRaccPtac</v>
      </c>
      <c r="D138" s="62" t="str">
        <f t="shared" si="90"/>
        <v>R01</v>
      </c>
      <c r="E138" s="62" t="str">
        <f t="shared" si="91"/>
        <v>Mech</v>
      </c>
      <c r="F138" s="62" t="str">
        <f t="shared" si="92"/>
        <v>Racc</v>
      </c>
      <c r="G138" s="62" t="str">
        <f t="shared" si="93"/>
        <v>Ptac</v>
      </c>
      <c r="H138" s="62" t="str">
        <f ca="1">OFFSET('360SpcLdsCSV'!$B$5,$B138,H$51)</f>
        <v>Roof</v>
      </c>
      <c r="I138" s="62" t="str">
        <f ca="1">OFFSET('360SpcLdsCSV'!$B$5,$B138,I$51)</f>
        <v>DirectlyConditioned</v>
      </c>
      <c r="J138" s="62" t="str">
        <f ca="1">OFFSET('360SpcLdsCSV'!$B$5,$B138,J$51)</f>
        <v>Electrical/MechanicaI Room</v>
      </c>
      <c r="K138" s="62" t="str">
        <f ca="1">OFFSET('360SpcLdsCSV'!$B$5,$B138,K$51)</f>
        <v>Nonresidential</v>
      </c>
      <c r="L138" s="62" t="str">
        <f ca="1">OFFSET('360SpcLdsCSV'!$B$5,$B138,L$51)</f>
        <v>Thermal Zone: R01-706_MechRaccPtac</v>
      </c>
      <c r="M138" s="1178">
        <f t="shared" ca="1" si="99"/>
        <v>272.42880000000002</v>
      </c>
      <c r="N138" s="1178">
        <f t="shared" ca="1" si="99"/>
        <v>2724.29</v>
      </c>
      <c r="O138" s="62" t="str">
        <f ca="1">OFFSET('360SpcLdsCSV'!$B$5,$B138,O$51)</f>
        <v>Electrical/MechanicaI Room</v>
      </c>
      <c r="P138" s="64">
        <f ca="1">OFFSET('360SpcLdsCSV'!$B$5,$B138,P$51)</f>
        <v>1</v>
      </c>
      <c r="Q138" s="84">
        <f t="shared" ca="1" si="94"/>
        <v>1.4998414264571147</v>
      </c>
      <c r="R138" s="64">
        <f ca="1">OFFSET('360SpcLdsCSV'!$B$5,$B138,R$51)*$P138</f>
        <v>408.6</v>
      </c>
      <c r="S138" s="64">
        <f ca="1">OFFSET('360SpcLdsCSV'!$B$5,$B138,S$51)*$R138/1000</f>
        <v>3579.3359999999998</v>
      </c>
      <c r="T138" s="84">
        <f t="shared" ca="1" si="95"/>
        <v>0</v>
      </c>
      <c r="U138" s="64">
        <f ca="1">OFFSET('360SpcLdsCSV'!$B$5,$B138,U$51)</f>
        <v>0</v>
      </c>
      <c r="V138" s="64">
        <f ca="1">OFFSET('360SpcLdsCSV'!$B$5,$B138,V$51)*$U138/1000</f>
        <v>0</v>
      </c>
      <c r="W138" s="84">
        <f t="shared" ca="1" si="96"/>
        <v>0.34394307797119833</v>
      </c>
      <c r="X138" s="64">
        <f ca="1">OFFSET('360SpcLdsCSV'!$B$5,$B138,X$51)*$P138</f>
        <v>93.7</v>
      </c>
      <c r="Y138" s="64">
        <f ca="1">OFFSET('360SpcLdsCSV'!$B$5,$B138,Y$51)*$X138/1000</f>
        <v>820.81200000000001</v>
      </c>
      <c r="Z138" s="84">
        <f t="shared" ca="1" si="97"/>
        <v>0.34394307797119833</v>
      </c>
      <c r="AA138" s="64">
        <f ca="1">OFFSET('360SpcLdsCSV'!$B$5,$B138,AA$51)*$P138</f>
        <v>93.7</v>
      </c>
      <c r="AB138" s="64">
        <f ca="1">OFFSET('360SpcLdsCSV'!$B$5,$B138,AB$51)*$AA138/1000</f>
        <v>820.81200000000001</v>
      </c>
      <c r="AC138" s="65">
        <f ca="1">'Ltg IntTakeoffs'!EZ93</f>
        <v>0</v>
      </c>
      <c r="AD138" s="64">
        <f t="shared" ca="1" si="98"/>
        <v>0</v>
      </c>
      <c r="AE138" s="558">
        <f ca="1">'Ltg IntTakeoffs'!FA93*M138</f>
        <v>0</v>
      </c>
      <c r="AF138" s="559">
        <f ca="1">'Ltg IntTakeoffs'!FB93*M138</f>
        <v>0</v>
      </c>
      <c r="AG138" s="62"/>
      <c r="AH138" s="62"/>
    </row>
    <row r="139" spans="2:34" ht="15" customHeight="1" x14ac:dyDescent="0.2">
      <c r="B139" s="62" t="e">
        <f>MATCH(C139,'360SpcLdsCSV'!$C$6:$C$500,0)</f>
        <v>#N/A</v>
      </c>
      <c r="C139" s="62">
        <f>'360SpcLdsCSV'!C88</f>
        <v>0</v>
      </c>
      <c r="D139" s="62" t="str">
        <f t="shared" si="90"/>
        <v>0</v>
      </c>
      <c r="E139" s="62" t="e">
        <f t="shared" si="91"/>
        <v>#VALUE!</v>
      </c>
      <c r="F139" s="62" t="e">
        <f t="shared" si="92"/>
        <v>#VALUE!</v>
      </c>
      <c r="G139" s="62" t="str">
        <f t="shared" si="93"/>
        <v>0</v>
      </c>
      <c r="H139" s="62" t="e">
        <f ca="1">OFFSET('360SpcLdsCSV'!$B$5,$B139,H$51)</f>
        <v>#N/A</v>
      </c>
      <c r="I139" s="62" t="e">
        <f ca="1">OFFSET('360SpcLdsCSV'!$B$5,$B139,I$51)</f>
        <v>#N/A</v>
      </c>
      <c r="J139" s="62" t="e">
        <f ca="1">OFFSET('360SpcLdsCSV'!$B$5,$B139,J$51)</f>
        <v>#N/A</v>
      </c>
      <c r="K139" s="62" t="e">
        <f ca="1">OFFSET('360SpcLdsCSV'!$B$5,$B139,K$51)</f>
        <v>#N/A</v>
      </c>
      <c r="L139" s="62" t="e">
        <f ca="1">OFFSET('360SpcLdsCSV'!$B$5,$B139,L$51)</f>
        <v>#N/A</v>
      </c>
      <c r="M139" s="1178" t="e">
        <f t="shared" ca="1" si="99"/>
        <v>#N/A</v>
      </c>
      <c r="N139" s="1178" t="e">
        <f t="shared" ca="1" si="99"/>
        <v>#N/A</v>
      </c>
      <c r="O139" s="62" t="e">
        <f ca="1">OFFSET('360SpcLdsCSV'!$B$5,$B139,O$51)</f>
        <v>#N/A</v>
      </c>
      <c r="P139" s="64" t="e">
        <f ca="1">OFFSET('360SpcLdsCSV'!$B$5,$B139,P$51)</f>
        <v>#N/A</v>
      </c>
      <c r="Q139" s="84" t="e">
        <f t="shared" ca="1" si="94"/>
        <v>#N/A</v>
      </c>
      <c r="R139" s="64" t="e">
        <f ca="1">OFFSET('360SpcLdsCSV'!$B$5,$B139,R$51)*$P139</f>
        <v>#N/A</v>
      </c>
      <c r="S139" s="64" t="e">
        <f ca="1">OFFSET('360SpcLdsCSV'!$B$5,$B139,S$51)*$R139/1000</f>
        <v>#N/A</v>
      </c>
      <c r="T139" s="84" t="e">
        <f t="shared" ca="1" si="95"/>
        <v>#N/A</v>
      </c>
      <c r="U139" s="64" t="e">
        <f ca="1">OFFSET('360SpcLdsCSV'!$B$5,$B139,U$51)</f>
        <v>#N/A</v>
      </c>
      <c r="V139" s="64" t="e">
        <f ca="1">OFFSET('360SpcLdsCSV'!$B$5,$B139,V$51)*$U139/1000</f>
        <v>#N/A</v>
      </c>
      <c r="W139" s="84" t="e">
        <f t="shared" ca="1" si="96"/>
        <v>#N/A</v>
      </c>
      <c r="X139" s="64" t="e">
        <f ca="1">OFFSET('360SpcLdsCSV'!$B$5,$B139,X$51)*$P139</f>
        <v>#N/A</v>
      </c>
      <c r="Y139" s="64" t="e">
        <f ca="1">OFFSET('360SpcLdsCSV'!$B$5,$B139,Y$51)*$X139/1000</f>
        <v>#N/A</v>
      </c>
      <c r="Z139" s="84" t="e">
        <f t="shared" ca="1" si="97"/>
        <v>#N/A</v>
      </c>
      <c r="AA139" s="64" t="e">
        <f ca="1">OFFSET('360SpcLdsCSV'!$B$5,$B139,AA$51)*$P139</f>
        <v>#N/A</v>
      </c>
      <c r="AB139" s="64" t="e">
        <f ca="1">OFFSET('360SpcLdsCSV'!$B$5,$B139,AB$51)*$AA139/1000</f>
        <v>#N/A</v>
      </c>
      <c r="AC139" s="65" t="e">
        <f ca="1">'Ltg IntTakeoffs'!EZ94</f>
        <v>#N/A</v>
      </c>
      <c r="AD139" s="64" t="e">
        <f t="shared" ca="1" si="98"/>
        <v>#N/A</v>
      </c>
      <c r="AE139" s="558" t="e">
        <f ca="1">'Ltg IntTakeoffs'!FA94*M139</f>
        <v>#N/A</v>
      </c>
      <c r="AF139" s="559" t="e">
        <f ca="1">'Ltg IntTakeoffs'!FB94*M139</f>
        <v>#N/A</v>
      </c>
      <c r="AG139" s="62"/>
      <c r="AH139" s="62"/>
    </row>
    <row r="140" spans="2:34" ht="15" customHeight="1" x14ac:dyDescent="0.2">
      <c r="B140" s="62" t="e">
        <f>MATCH(C140,'360SpcLdsCSV'!$C$6:$C$500,0)</f>
        <v>#N/A</v>
      </c>
      <c r="C140" s="62">
        <f>'360SpcLdsCSV'!C89</f>
        <v>0</v>
      </c>
      <c r="D140" s="62" t="str">
        <f t="shared" si="90"/>
        <v>0</v>
      </c>
      <c r="E140" s="62" t="e">
        <f t="shared" si="91"/>
        <v>#VALUE!</v>
      </c>
      <c r="F140" s="62" t="e">
        <f t="shared" si="92"/>
        <v>#VALUE!</v>
      </c>
      <c r="G140" s="62" t="str">
        <f t="shared" si="93"/>
        <v>0</v>
      </c>
      <c r="H140" s="62" t="e">
        <f ca="1">OFFSET('360SpcLdsCSV'!$B$5,$B140,H$51)</f>
        <v>#N/A</v>
      </c>
      <c r="I140" s="62" t="e">
        <f ca="1">OFFSET('360SpcLdsCSV'!$B$5,$B140,I$51)</f>
        <v>#N/A</v>
      </c>
      <c r="J140" s="62" t="e">
        <f ca="1">OFFSET('360SpcLdsCSV'!$B$5,$B140,J$51)</f>
        <v>#N/A</v>
      </c>
      <c r="K140" s="62" t="e">
        <f ca="1">OFFSET('360SpcLdsCSV'!$B$5,$B140,K$51)</f>
        <v>#N/A</v>
      </c>
      <c r="L140" s="62" t="e">
        <f ca="1">OFFSET('360SpcLdsCSV'!$B$5,$B140,L$51)</f>
        <v>#N/A</v>
      </c>
      <c r="M140" s="1178" t="e">
        <f t="shared" ca="1" si="99"/>
        <v>#N/A</v>
      </c>
      <c r="N140" s="1178" t="e">
        <f t="shared" ca="1" si="99"/>
        <v>#N/A</v>
      </c>
      <c r="O140" s="62" t="e">
        <f ca="1">OFFSET('360SpcLdsCSV'!$B$5,$B140,O$51)</f>
        <v>#N/A</v>
      </c>
      <c r="P140" s="64" t="e">
        <f ca="1">OFFSET('360SpcLdsCSV'!$B$5,$B140,P$51)</f>
        <v>#N/A</v>
      </c>
      <c r="Q140" s="84" t="e">
        <f t="shared" ca="1" si="94"/>
        <v>#N/A</v>
      </c>
      <c r="R140" s="64" t="e">
        <f ca="1">OFFSET('360SpcLdsCSV'!$B$5,$B140,R$51)*$P140</f>
        <v>#N/A</v>
      </c>
      <c r="S140" s="64" t="e">
        <f ca="1">OFFSET('360SpcLdsCSV'!$B$5,$B140,S$51)*$R140/1000</f>
        <v>#N/A</v>
      </c>
      <c r="T140" s="84" t="e">
        <f t="shared" ca="1" si="95"/>
        <v>#N/A</v>
      </c>
      <c r="U140" s="64" t="e">
        <f ca="1">OFFSET('360SpcLdsCSV'!$B$5,$B140,U$51)</f>
        <v>#N/A</v>
      </c>
      <c r="V140" s="64" t="e">
        <f ca="1">OFFSET('360SpcLdsCSV'!$B$5,$B140,V$51)*$U140/1000</f>
        <v>#N/A</v>
      </c>
      <c r="W140" s="84" t="e">
        <f t="shared" ca="1" si="96"/>
        <v>#N/A</v>
      </c>
      <c r="X140" s="64" t="e">
        <f ca="1">OFFSET('360SpcLdsCSV'!$B$5,$B140,X$51)*$P140</f>
        <v>#N/A</v>
      </c>
      <c r="Y140" s="64" t="e">
        <f ca="1">OFFSET('360SpcLdsCSV'!$B$5,$B140,Y$51)*$X140/1000</f>
        <v>#N/A</v>
      </c>
      <c r="Z140" s="84" t="e">
        <f t="shared" ca="1" si="97"/>
        <v>#N/A</v>
      </c>
      <c r="AA140" s="64" t="e">
        <f ca="1">OFFSET('360SpcLdsCSV'!$B$5,$B140,AA$51)*$P140</f>
        <v>#N/A</v>
      </c>
      <c r="AB140" s="64" t="e">
        <f ca="1">OFFSET('360SpcLdsCSV'!$B$5,$B140,AB$51)*$AA140/1000</f>
        <v>#N/A</v>
      </c>
      <c r="AC140" s="65" t="e">
        <f ca="1">'Ltg IntTakeoffs'!EZ95</f>
        <v>#N/A</v>
      </c>
      <c r="AD140" s="64" t="e">
        <f t="shared" ca="1" si="98"/>
        <v>#N/A</v>
      </c>
      <c r="AE140" s="558" t="e">
        <f ca="1">'Ltg IntTakeoffs'!FA95*M140</f>
        <v>#N/A</v>
      </c>
      <c r="AF140" s="559" t="e">
        <f ca="1">'Ltg IntTakeoffs'!FB95*M140</f>
        <v>#N/A</v>
      </c>
      <c r="AG140" s="62"/>
      <c r="AH140" s="62"/>
    </row>
    <row r="141" spans="2:34" ht="15" customHeight="1" x14ac:dyDescent="0.2">
      <c r="B141" s="62" t="e">
        <f>MATCH(C141,'360SpcLdsCSV'!$C$6:$C$500,0)</f>
        <v>#N/A</v>
      </c>
      <c r="C141" s="62">
        <f>'360SpcLdsCSV'!C90</f>
        <v>0</v>
      </c>
      <c r="D141" s="62" t="str">
        <f t="shared" si="90"/>
        <v>0</v>
      </c>
      <c r="E141" s="62" t="e">
        <f t="shared" si="91"/>
        <v>#VALUE!</v>
      </c>
      <c r="F141" s="62" t="e">
        <f t="shared" si="92"/>
        <v>#VALUE!</v>
      </c>
      <c r="G141" s="62" t="str">
        <f t="shared" si="93"/>
        <v>0</v>
      </c>
      <c r="H141" s="62" t="e">
        <f ca="1">OFFSET('360SpcLdsCSV'!$B$5,$B141,H$51)</f>
        <v>#N/A</v>
      </c>
      <c r="I141" s="62" t="e">
        <f ca="1">OFFSET('360SpcLdsCSV'!$B$5,$B141,I$51)</f>
        <v>#N/A</v>
      </c>
      <c r="J141" s="62" t="e">
        <f ca="1">OFFSET('360SpcLdsCSV'!$B$5,$B141,J$51)</f>
        <v>#N/A</v>
      </c>
      <c r="K141" s="62" t="e">
        <f ca="1">OFFSET('360SpcLdsCSV'!$B$5,$B141,K$51)</f>
        <v>#N/A</v>
      </c>
      <c r="L141" s="62" t="e">
        <f ca="1">OFFSET('360SpcLdsCSV'!$B$5,$B141,L$51)</f>
        <v>#N/A</v>
      </c>
      <c r="M141" s="1178" t="e">
        <f t="shared" ca="1" si="99"/>
        <v>#N/A</v>
      </c>
      <c r="N141" s="1178" t="e">
        <f t="shared" ca="1" si="99"/>
        <v>#N/A</v>
      </c>
      <c r="O141" s="62" t="e">
        <f ca="1">OFFSET('360SpcLdsCSV'!$B$5,$B141,O$51)</f>
        <v>#N/A</v>
      </c>
      <c r="P141" s="64" t="e">
        <f ca="1">OFFSET('360SpcLdsCSV'!$B$5,$B141,P$51)</f>
        <v>#N/A</v>
      </c>
      <c r="Q141" s="84" t="e">
        <f t="shared" ca="1" si="94"/>
        <v>#N/A</v>
      </c>
      <c r="R141" s="64" t="e">
        <f ca="1">OFFSET('360SpcLdsCSV'!$B$5,$B141,R$51)*$P141</f>
        <v>#N/A</v>
      </c>
      <c r="S141" s="64" t="e">
        <f ca="1">OFFSET('360SpcLdsCSV'!$B$5,$B141,S$51)*$R141/1000</f>
        <v>#N/A</v>
      </c>
      <c r="T141" s="84" t="e">
        <f t="shared" ca="1" si="95"/>
        <v>#N/A</v>
      </c>
      <c r="U141" s="64" t="e">
        <f ca="1">OFFSET('360SpcLdsCSV'!$B$5,$B141,U$51)</f>
        <v>#N/A</v>
      </c>
      <c r="V141" s="64" t="e">
        <f ca="1">OFFSET('360SpcLdsCSV'!$B$5,$B141,V$51)*$U141/1000</f>
        <v>#N/A</v>
      </c>
      <c r="W141" s="84" t="e">
        <f t="shared" ca="1" si="96"/>
        <v>#N/A</v>
      </c>
      <c r="X141" s="64" t="e">
        <f ca="1">OFFSET('360SpcLdsCSV'!$B$5,$B141,X$51)*$P141</f>
        <v>#N/A</v>
      </c>
      <c r="Y141" s="64" t="e">
        <f ca="1">OFFSET('360SpcLdsCSV'!$B$5,$B141,Y$51)*$X141/1000</f>
        <v>#N/A</v>
      </c>
      <c r="Z141" s="84" t="e">
        <f t="shared" ca="1" si="97"/>
        <v>#N/A</v>
      </c>
      <c r="AA141" s="64" t="e">
        <f ca="1">OFFSET('360SpcLdsCSV'!$B$5,$B141,AA$51)*$P141</f>
        <v>#N/A</v>
      </c>
      <c r="AB141" s="64" t="e">
        <f ca="1">OFFSET('360SpcLdsCSV'!$B$5,$B141,AB$51)*$AA141/1000</f>
        <v>#N/A</v>
      </c>
      <c r="AC141" s="65" t="e">
        <f ca="1">'Ltg IntTakeoffs'!EZ96</f>
        <v>#N/A</v>
      </c>
      <c r="AD141" s="64" t="e">
        <f t="shared" ca="1" si="98"/>
        <v>#N/A</v>
      </c>
      <c r="AE141" s="558" t="e">
        <f ca="1">'Ltg IntTakeoffs'!FA96*M141</f>
        <v>#N/A</v>
      </c>
      <c r="AF141" s="559" t="e">
        <f ca="1">'Ltg IntTakeoffs'!FB96*M141</f>
        <v>#N/A</v>
      </c>
      <c r="AG141" s="62"/>
      <c r="AH141" s="62"/>
    </row>
    <row r="142" spans="2:34" ht="15" customHeight="1" x14ac:dyDescent="0.2">
      <c r="B142" s="62" t="e">
        <f>MATCH(C142,'360SpcLdsCSV'!$C$6:$C$500,0)</f>
        <v>#N/A</v>
      </c>
      <c r="C142" s="62">
        <f>'360SpcLdsCSV'!C91</f>
        <v>0</v>
      </c>
      <c r="D142" s="62" t="str">
        <f t="shared" si="90"/>
        <v>0</v>
      </c>
      <c r="E142" s="62" t="e">
        <f t="shared" si="91"/>
        <v>#VALUE!</v>
      </c>
      <c r="F142" s="62" t="e">
        <f t="shared" si="92"/>
        <v>#VALUE!</v>
      </c>
      <c r="G142" s="62" t="str">
        <f t="shared" si="93"/>
        <v>0</v>
      </c>
      <c r="H142" s="62" t="e">
        <f ca="1">OFFSET('360SpcLdsCSV'!$B$5,$B142,H$51)</f>
        <v>#N/A</v>
      </c>
      <c r="I142" s="62" t="e">
        <f ca="1">OFFSET('360SpcLdsCSV'!$B$5,$B142,I$51)</f>
        <v>#N/A</v>
      </c>
      <c r="J142" s="62" t="e">
        <f ca="1">OFFSET('360SpcLdsCSV'!$B$5,$B142,J$51)</f>
        <v>#N/A</v>
      </c>
      <c r="K142" s="62" t="e">
        <f ca="1">OFFSET('360SpcLdsCSV'!$B$5,$B142,K$51)</f>
        <v>#N/A</v>
      </c>
      <c r="L142" s="62" t="e">
        <f ca="1">OFFSET('360SpcLdsCSV'!$B$5,$B142,L$51)</f>
        <v>#N/A</v>
      </c>
      <c r="M142" s="1178" t="e">
        <f t="shared" ca="1" si="99"/>
        <v>#N/A</v>
      </c>
      <c r="N142" s="1178" t="e">
        <f t="shared" ca="1" si="99"/>
        <v>#N/A</v>
      </c>
      <c r="O142" s="62" t="e">
        <f ca="1">OFFSET('360SpcLdsCSV'!$B$5,$B142,O$51)</f>
        <v>#N/A</v>
      </c>
      <c r="P142" s="64" t="e">
        <f ca="1">OFFSET('360SpcLdsCSV'!$B$5,$B142,P$51)</f>
        <v>#N/A</v>
      </c>
      <c r="Q142" s="84" t="e">
        <f t="shared" ca="1" si="94"/>
        <v>#N/A</v>
      </c>
      <c r="R142" s="64" t="e">
        <f ca="1">OFFSET('360SpcLdsCSV'!$B$5,$B142,R$51)*$P142</f>
        <v>#N/A</v>
      </c>
      <c r="S142" s="64" t="e">
        <f ca="1">OFFSET('360SpcLdsCSV'!$B$5,$B142,S$51)*$R142/1000</f>
        <v>#N/A</v>
      </c>
      <c r="T142" s="84" t="e">
        <f t="shared" ca="1" si="95"/>
        <v>#N/A</v>
      </c>
      <c r="U142" s="64" t="e">
        <f ca="1">OFFSET('360SpcLdsCSV'!$B$5,$B142,U$51)</f>
        <v>#N/A</v>
      </c>
      <c r="V142" s="64" t="e">
        <f ca="1">OFFSET('360SpcLdsCSV'!$B$5,$B142,V$51)*$U142/1000</f>
        <v>#N/A</v>
      </c>
      <c r="W142" s="84" t="e">
        <f t="shared" ca="1" si="96"/>
        <v>#N/A</v>
      </c>
      <c r="X142" s="64" t="e">
        <f ca="1">OFFSET('360SpcLdsCSV'!$B$5,$B142,X$51)*$P142</f>
        <v>#N/A</v>
      </c>
      <c r="Y142" s="64" t="e">
        <f ca="1">OFFSET('360SpcLdsCSV'!$B$5,$B142,Y$51)*$X142/1000</f>
        <v>#N/A</v>
      </c>
      <c r="Z142" s="84" t="e">
        <f t="shared" ca="1" si="97"/>
        <v>#N/A</v>
      </c>
      <c r="AA142" s="64" t="e">
        <f ca="1">OFFSET('360SpcLdsCSV'!$B$5,$B142,AA$51)*$P142</f>
        <v>#N/A</v>
      </c>
      <c r="AB142" s="64" t="e">
        <f ca="1">OFFSET('360SpcLdsCSV'!$B$5,$B142,AB$51)*$AA142/1000</f>
        <v>#N/A</v>
      </c>
      <c r="AC142" s="65" t="e">
        <f ca="1">'Ltg IntTakeoffs'!EZ97</f>
        <v>#N/A</v>
      </c>
      <c r="AD142" s="64" t="e">
        <f t="shared" ca="1" si="98"/>
        <v>#N/A</v>
      </c>
      <c r="AE142" s="558" t="e">
        <f ca="1">'Ltg IntTakeoffs'!FA97*M142</f>
        <v>#N/A</v>
      </c>
      <c r="AF142" s="559" t="e">
        <f ca="1">'Ltg IntTakeoffs'!FB97*M142</f>
        <v>#N/A</v>
      </c>
      <c r="AG142" s="62"/>
      <c r="AH142" s="62"/>
    </row>
    <row r="143" spans="2:34" ht="15" customHeight="1" x14ac:dyDescent="0.2">
      <c r="B143" s="62" t="e">
        <f>MATCH(C143,'360SpcLdsCSV'!$C$6:$C$500,0)</f>
        <v>#N/A</v>
      </c>
      <c r="C143" s="62">
        <f>'360SpcLdsCSV'!C92</f>
        <v>0</v>
      </c>
      <c r="D143" s="62" t="str">
        <f t="shared" si="90"/>
        <v>0</v>
      </c>
      <c r="E143" s="62" t="e">
        <f t="shared" si="91"/>
        <v>#VALUE!</v>
      </c>
      <c r="F143" s="62" t="e">
        <f t="shared" si="92"/>
        <v>#VALUE!</v>
      </c>
      <c r="G143" s="62" t="str">
        <f t="shared" si="93"/>
        <v>0</v>
      </c>
      <c r="H143" s="62" t="e">
        <f ca="1">OFFSET('360SpcLdsCSV'!$B$5,$B143,H$51)</f>
        <v>#N/A</v>
      </c>
      <c r="I143" s="62" t="e">
        <f ca="1">OFFSET('360SpcLdsCSV'!$B$5,$B143,I$51)</f>
        <v>#N/A</v>
      </c>
      <c r="J143" s="62" t="e">
        <f ca="1">OFFSET('360SpcLdsCSV'!$B$5,$B143,J$51)</f>
        <v>#N/A</v>
      </c>
      <c r="K143" s="62" t="e">
        <f ca="1">OFFSET('360SpcLdsCSV'!$B$5,$B143,K$51)</f>
        <v>#N/A</v>
      </c>
      <c r="L143" s="62" t="e">
        <f ca="1">OFFSET('360SpcLdsCSV'!$B$5,$B143,L$51)</f>
        <v>#N/A</v>
      </c>
      <c r="M143" s="1178" t="e">
        <f t="shared" ca="1" si="99"/>
        <v>#N/A</v>
      </c>
      <c r="N143" s="1178" t="e">
        <f t="shared" ca="1" si="99"/>
        <v>#N/A</v>
      </c>
      <c r="O143" s="62" t="e">
        <f ca="1">OFFSET('360SpcLdsCSV'!$B$5,$B143,O$51)</f>
        <v>#N/A</v>
      </c>
      <c r="P143" s="64" t="e">
        <f ca="1">OFFSET('360SpcLdsCSV'!$B$5,$B143,P$51)</f>
        <v>#N/A</v>
      </c>
      <c r="Q143" s="84" t="e">
        <f t="shared" ca="1" si="94"/>
        <v>#N/A</v>
      </c>
      <c r="R143" s="64" t="e">
        <f ca="1">OFFSET('360SpcLdsCSV'!$B$5,$B143,R$51)*$P143</f>
        <v>#N/A</v>
      </c>
      <c r="S143" s="64" t="e">
        <f ca="1">OFFSET('360SpcLdsCSV'!$B$5,$B143,S$51)*$R143/1000</f>
        <v>#N/A</v>
      </c>
      <c r="T143" s="84" t="e">
        <f t="shared" ca="1" si="95"/>
        <v>#N/A</v>
      </c>
      <c r="U143" s="64" t="e">
        <f ca="1">OFFSET('360SpcLdsCSV'!$B$5,$B143,U$51)</f>
        <v>#N/A</v>
      </c>
      <c r="V143" s="64" t="e">
        <f ca="1">OFFSET('360SpcLdsCSV'!$B$5,$B143,V$51)*$U143/1000</f>
        <v>#N/A</v>
      </c>
      <c r="W143" s="84" t="e">
        <f t="shared" ca="1" si="96"/>
        <v>#N/A</v>
      </c>
      <c r="X143" s="64" t="e">
        <f ca="1">OFFSET('360SpcLdsCSV'!$B$5,$B143,X$51)*$P143</f>
        <v>#N/A</v>
      </c>
      <c r="Y143" s="64" t="e">
        <f ca="1">OFFSET('360SpcLdsCSV'!$B$5,$B143,Y$51)*$X143/1000</f>
        <v>#N/A</v>
      </c>
      <c r="Z143" s="84" t="e">
        <f t="shared" ca="1" si="97"/>
        <v>#N/A</v>
      </c>
      <c r="AA143" s="64" t="e">
        <f ca="1">OFFSET('360SpcLdsCSV'!$B$5,$B143,AA$51)*$P143</f>
        <v>#N/A</v>
      </c>
      <c r="AB143" s="64" t="e">
        <f ca="1">OFFSET('360SpcLdsCSV'!$B$5,$B143,AB$51)*$AA143/1000</f>
        <v>#N/A</v>
      </c>
      <c r="AC143" s="65" t="e">
        <f ca="1">'Ltg IntTakeoffs'!EZ98</f>
        <v>#N/A</v>
      </c>
      <c r="AD143" s="64" t="e">
        <f t="shared" ca="1" si="98"/>
        <v>#N/A</v>
      </c>
      <c r="AE143" s="558" t="e">
        <f ca="1">'Ltg IntTakeoffs'!FA98*M143</f>
        <v>#N/A</v>
      </c>
      <c r="AF143" s="559" t="e">
        <f ca="1">'Ltg IntTakeoffs'!FB98*M143</f>
        <v>#N/A</v>
      </c>
      <c r="AG143" s="62"/>
      <c r="AH143" s="62"/>
    </row>
    <row r="144" spans="2:34" ht="15" customHeight="1" x14ac:dyDescent="0.2">
      <c r="B144" s="62" t="e">
        <f>MATCH(C144,'360SpcLdsCSV'!$C$6:$C$500,0)</f>
        <v>#N/A</v>
      </c>
      <c r="C144" s="62">
        <f>'360SpcLdsCSV'!C93</f>
        <v>0</v>
      </c>
      <c r="D144" s="62" t="str">
        <f t="shared" si="90"/>
        <v>0</v>
      </c>
      <c r="E144" s="62" t="e">
        <f t="shared" si="91"/>
        <v>#VALUE!</v>
      </c>
      <c r="F144" s="62" t="e">
        <f t="shared" si="92"/>
        <v>#VALUE!</v>
      </c>
      <c r="G144" s="62" t="str">
        <f t="shared" si="93"/>
        <v>0</v>
      </c>
      <c r="H144" s="62" t="e">
        <f ca="1">OFFSET('360SpcLdsCSV'!$B$5,$B144,H$51)</f>
        <v>#N/A</v>
      </c>
      <c r="I144" s="62" t="e">
        <f ca="1">OFFSET('360SpcLdsCSV'!$B$5,$B144,I$51)</f>
        <v>#N/A</v>
      </c>
      <c r="J144" s="62" t="e">
        <f ca="1">OFFSET('360SpcLdsCSV'!$B$5,$B144,J$51)</f>
        <v>#N/A</v>
      </c>
      <c r="K144" s="62" t="e">
        <f ca="1">OFFSET('360SpcLdsCSV'!$B$5,$B144,K$51)</f>
        <v>#N/A</v>
      </c>
      <c r="L144" s="62" t="e">
        <f ca="1">OFFSET('360SpcLdsCSV'!$B$5,$B144,L$51)</f>
        <v>#N/A</v>
      </c>
      <c r="M144" s="1178" t="e">
        <f t="shared" ca="1" si="99"/>
        <v>#N/A</v>
      </c>
      <c r="N144" s="1178" t="e">
        <f t="shared" ca="1" si="99"/>
        <v>#N/A</v>
      </c>
      <c r="O144" s="62" t="e">
        <f ca="1">OFFSET('360SpcLdsCSV'!$B$5,$B144,O$51)</f>
        <v>#N/A</v>
      </c>
      <c r="P144" s="64" t="e">
        <f ca="1">OFFSET('360SpcLdsCSV'!$B$5,$B144,P$51)</f>
        <v>#N/A</v>
      </c>
      <c r="Q144" s="84" t="e">
        <f t="shared" ca="1" si="94"/>
        <v>#N/A</v>
      </c>
      <c r="R144" s="64" t="e">
        <f ca="1">OFFSET('360SpcLdsCSV'!$B$5,$B144,R$51)*$P144</f>
        <v>#N/A</v>
      </c>
      <c r="S144" s="64" t="e">
        <f ca="1">OFFSET('360SpcLdsCSV'!$B$5,$B144,S$51)*$R144/1000</f>
        <v>#N/A</v>
      </c>
      <c r="T144" s="84" t="e">
        <f t="shared" ca="1" si="95"/>
        <v>#N/A</v>
      </c>
      <c r="U144" s="64" t="e">
        <f ca="1">OFFSET('360SpcLdsCSV'!$B$5,$B144,U$51)</f>
        <v>#N/A</v>
      </c>
      <c r="V144" s="64" t="e">
        <f ca="1">OFFSET('360SpcLdsCSV'!$B$5,$B144,V$51)*$U144/1000</f>
        <v>#N/A</v>
      </c>
      <c r="W144" s="84" t="e">
        <f t="shared" ca="1" si="96"/>
        <v>#N/A</v>
      </c>
      <c r="X144" s="64" t="e">
        <f ca="1">OFFSET('360SpcLdsCSV'!$B$5,$B144,X$51)*$P144</f>
        <v>#N/A</v>
      </c>
      <c r="Y144" s="64" t="e">
        <f ca="1">OFFSET('360SpcLdsCSV'!$B$5,$B144,Y$51)*$X144/1000</f>
        <v>#N/A</v>
      </c>
      <c r="Z144" s="84" t="e">
        <f t="shared" ca="1" si="97"/>
        <v>#N/A</v>
      </c>
      <c r="AA144" s="64" t="e">
        <f ca="1">OFFSET('360SpcLdsCSV'!$B$5,$B144,AA$51)*$P144</f>
        <v>#N/A</v>
      </c>
      <c r="AB144" s="64" t="e">
        <f ca="1">OFFSET('360SpcLdsCSV'!$B$5,$B144,AB$51)*$AA144/1000</f>
        <v>#N/A</v>
      </c>
      <c r="AC144" s="65" t="e">
        <f ca="1">'Ltg IntTakeoffs'!EZ99</f>
        <v>#N/A</v>
      </c>
      <c r="AD144" s="64" t="e">
        <f t="shared" ca="1" si="98"/>
        <v>#N/A</v>
      </c>
      <c r="AE144" s="558" t="e">
        <f ca="1">'Ltg IntTakeoffs'!FA99*M144</f>
        <v>#N/A</v>
      </c>
      <c r="AF144" s="559" t="e">
        <f ca="1">'Ltg IntTakeoffs'!FB99*M144</f>
        <v>#N/A</v>
      </c>
      <c r="AG144" s="62"/>
      <c r="AH144" s="62"/>
    </row>
    <row r="145" spans="2:34" ht="15" customHeight="1" x14ac:dyDescent="0.2">
      <c r="B145" s="62" t="e">
        <f>MATCH(C145,'360SpcLdsCSV'!$C$6:$C$500,0)</f>
        <v>#N/A</v>
      </c>
      <c r="C145" s="62">
        <f>'360SpcLdsCSV'!C94</f>
        <v>0</v>
      </c>
      <c r="D145" s="62" t="str">
        <f t="shared" si="90"/>
        <v>0</v>
      </c>
      <c r="E145" s="62" t="e">
        <f t="shared" si="91"/>
        <v>#VALUE!</v>
      </c>
      <c r="F145" s="62" t="e">
        <f t="shared" si="92"/>
        <v>#VALUE!</v>
      </c>
      <c r="G145" s="62" t="str">
        <f t="shared" si="93"/>
        <v>0</v>
      </c>
      <c r="H145" s="62" t="e">
        <f ca="1">OFFSET('360SpcLdsCSV'!$B$5,$B145,H$51)</f>
        <v>#N/A</v>
      </c>
      <c r="I145" s="62" t="e">
        <f ca="1">OFFSET('360SpcLdsCSV'!$B$5,$B145,I$51)</f>
        <v>#N/A</v>
      </c>
      <c r="J145" s="62" t="e">
        <f ca="1">OFFSET('360SpcLdsCSV'!$B$5,$B145,J$51)</f>
        <v>#N/A</v>
      </c>
      <c r="K145" s="62" t="e">
        <f ca="1">OFFSET('360SpcLdsCSV'!$B$5,$B145,K$51)</f>
        <v>#N/A</v>
      </c>
      <c r="L145" s="62" t="e">
        <f ca="1">OFFSET('360SpcLdsCSV'!$B$5,$B145,L$51)</f>
        <v>#N/A</v>
      </c>
      <c r="M145" s="1178" t="e">
        <f t="shared" ca="1" si="99"/>
        <v>#N/A</v>
      </c>
      <c r="N145" s="1178" t="e">
        <f t="shared" ca="1" si="99"/>
        <v>#N/A</v>
      </c>
      <c r="O145" s="62" t="e">
        <f ca="1">OFFSET('360SpcLdsCSV'!$B$5,$B145,O$51)</f>
        <v>#N/A</v>
      </c>
      <c r="P145" s="64" t="e">
        <f ca="1">OFFSET('360SpcLdsCSV'!$B$5,$B145,P$51)</f>
        <v>#N/A</v>
      </c>
      <c r="Q145" s="84" t="e">
        <f t="shared" ca="1" si="94"/>
        <v>#N/A</v>
      </c>
      <c r="R145" s="64" t="e">
        <f ca="1">OFFSET('360SpcLdsCSV'!$B$5,$B145,R$51)*$P145</f>
        <v>#N/A</v>
      </c>
      <c r="S145" s="64" t="e">
        <f ca="1">OFFSET('360SpcLdsCSV'!$B$5,$B145,S$51)*$R145/1000</f>
        <v>#N/A</v>
      </c>
      <c r="T145" s="84" t="e">
        <f t="shared" ca="1" si="95"/>
        <v>#N/A</v>
      </c>
      <c r="U145" s="64" t="e">
        <f ca="1">OFFSET('360SpcLdsCSV'!$B$5,$B145,U$51)</f>
        <v>#N/A</v>
      </c>
      <c r="V145" s="64" t="e">
        <f ca="1">OFFSET('360SpcLdsCSV'!$B$5,$B145,V$51)*$U145/1000</f>
        <v>#N/A</v>
      </c>
      <c r="W145" s="84" t="e">
        <f t="shared" ca="1" si="96"/>
        <v>#N/A</v>
      </c>
      <c r="X145" s="64" t="e">
        <f ca="1">OFFSET('360SpcLdsCSV'!$B$5,$B145,X$51)*$P145</f>
        <v>#N/A</v>
      </c>
      <c r="Y145" s="64" t="e">
        <f ca="1">OFFSET('360SpcLdsCSV'!$B$5,$B145,Y$51)*$X145/1000</f>
        <v>#N/A</v>
      </c>
      <c r="Z145" s="84" t="e">
        <f t="shared" ca="1" si="97"/>
        <v>#N/A</v>
      </c>
      <c r="AA145" s="64" t="e">
        <f ca="1">OFFSET('360SpcLdsCSV'!$B$5,$B145,AA$51)*$P145</f>
        <v>#N/A</v>
      </c>
      <c r="AB145" s="64" t="e">
        <f ca="1">OFFSET('360SpcLdsCSV'!$B$5,$B145,AB$51)*$AA145/1000</f>
        <v>#N/A</v>
      </c>
      <c r="AC145" s="65" t="e">
        <f ca="1">'Ltg IntTakeoffs'!EZ100</f>
        <v>#N/A</v>
      </c>
      <c r="AD145" s="64" t="e">
        <f t="shared" ca="1" si="98"/>
        <v>#N/A</v>
      </c>
      <c r="AE145" s="558" t="e">
        <f ca="1">'Ltg IntTakeoffs'!FA100*M145</f>
        <v>#N/A</v>
      </c>
      <c r="AF145" s="559" t="e">
        <f ca="1">'Ltg IntTakeoffs'!FB100*M145</f>
        <v>#N/A</v>
      </c>
      <c r="AG145" s="62"/>
      <c r="AH145" s="62"/>
    </row>
    <row r="146" spans="2:34" ht="15" customHeight="1" x14ac:dyDescent="0.2">
      <c r="B146" s="62" t="e">
        <f>MATCH(C146,'360SpcLdsCSV'!$C$6:$C$500,0)</f>
        <v>#N/A</v>
      </c>
      <c r="C146" s="62">
        <f>'360SpcLdsCSV'!C95</f>
        <v>0</v>
      </c>
      <c r="D146" s="62" t="str">
        <f t="shared" si="90"/>
        <v>0</v>
      </c>
      <c r="E146" s="62" t="e">
        <f t="shared" si="91"/>
        <v>#VALUE!</v>
      </c>
      <c r="F146" s="62" t="e">
        <f t="shared" si="92"/>
        <v>#VALUE!</v>
      </c>
      <c r="G146" s="62" t="str">
        <f t="shared" si="93"/>
        <v>0</v>
      </c>
      <c r="H146" s="62" t="e">
        <f ca="1">OFFSET('360SpcLdsCSV'!$B$5,$B146,H$51)</f>
        <v>#N/A</v>
      </c>
      <c r="I146" s="62" t="e">
        <f ca="1">OFFSET('360SpcLdsCSV'!$B$5,$B146,I$51)</f>
        <v>#N/A</v>
      </c>
      <c r="J146" s="62" t="e">
        <f ca="1">OFFSET('360SpcLdsCSV'!$B$5,$B146,J$51)</f>
        <v>#N/A</v>
      </c>
      <c r="K146" s="62" t="e">
        <f ca="1">OFFSET('360SpcLdsCSV'!$B$5,$B146,K$51)</f>
        <v>#N/A</v>
      </c>
      <c r="L146" s="62" t="e">
        <f ca="1">OFFSET('360SpcLdsCSV'!$B$5,$B146,L$51)</f>
        <v>#N/A</v>
      </c>
      <c r="M146" s="1178" t="e">
        <f t="shared" ca="1" si="99"/>
        <v>#N/A</v>
      </c>
      <c r="N146" s="1178" t="e">
        <f t="shared" ca="1" si="99"/>
        <v>#N/A</v>
      </c>
      <c r="O146" s="62" t="e">
        <f ca="1">OFFSET('360SpcLdsCSV'!$B$5,$B146,O$51)</f>
        <v>#N/A</v>
      </c>
      <c r="P146" s="64" t="e">
        <f ca="1">OFFSET('360SpcLdsCSV'!$B$5,$B146,P$51)</f>
        <v>#N/A</v>
      </c>
      <c r="Q146" s="84" t="e">
        <f t="shared" ca="1" si="94"/>
        <v>#N/A</v>
      </c>
      <c r="R146" s="64" t="e">
        <f ca="1">OFFSET('360SpcLdsCSV'!$B$5,$B146,R$51)*$P146</f>
        <v>#N/A</v>
      </c>
      <c r="S146" s="64" t="e">
        <f ca="1">OFFSET('360SpcLdsCSV'!$B$5,$B146,S$51)*$R146/1000</f>
        <v>#N/A</v>
      </c>
      <c r="T146" s="84" t="e">
        <f t="shared" ca="1" si="95"/>
        <v>#N/A</v>
      </c>
      <c r="U146" s="64" t="e">
        <f ca="1">OFFSET('360SpcLdsCSV'!$B$5,$B146,U$51)</f>
        <v>#N/A</v>
      </c>
      <c r="V146" s="64" t="e">
        <f ca="1">OFFSET('360SpcLdsCSV'!$B$5,$B146,V$51)*$U146/1000</f>
        <v>#N/A</v>
      </c>
      <c r="W146" s="84" t="e">
        <f t="shared" ca="1" si="96"/>
        <v>#N/A</v>
      </c>
      <c r="X146" s="64" t="e">
        <f ca="1">OFFSET('360SpcLdsCSV'!$B$5,$B146,X$51)*$P146</f>
        <v>#N/A</v>
      </c>
      <c r="Y146" s="64" t="e">
        <f ca="1">OFFSET('360SpcLdsCSV'!$B$5,$B146,Y$51)*$X146/1000</f>
        <v>#N/A</v>
      </c>
      <c r="Z146" s="84" t="e">
        <f t="shared" ca="1" si="97"/>
        <v>#N/A</v>
      </c>
      <c r="AA146" s="64" t="e">
        <f ca="1">OFFSET('360SpcLdsCSV'!$B$5,$B146,AA$51)*$P146</f>
        <v>#N/A</v>
      </c>
      <c r="AB146" s="64" t="e">
        <f ca="1">OFFSET('360SpcLdsCSV'!$B$5,$B146,AB$51)*$AA146/1000</f>
        <v>#N/A</v>
      </c>
      <c r="AC146" s="65" t="e">
        <f ca="1">'Ltg IntTakeoffs'!EZ101</f>
        <v>#N/A</v>
      </c>
      <c r="AD146" s="64" t="e">
        <f t="shared" ca="1" si="98"/>
        <v>#N/A</v>
      </c>
      <c r="AE146" s="558" t="e">
        <f ca="1">'Ltg IntTakeoffs'!FA101*M146</f>
        <v>#N/A</v>
      </c>
      <c r="AF146" s="559" t="e">
        <f ca="1">'Ltg IntTakeoffs'!FB101*M146</f>
        <v>#N/A</v>
      </c>
      <c r="AG146" s="62"/>
      <c r="AH146" s="62"/>
    </row>
    <row r="147" spans="2:34" ht="15" customHeight="1" x14ac:dyDescent="0.2">
      <c r="B147" s="62" t="e">
        <f>MATCH(C147,'360SpcLdsCSV'!$C$6:$C$500,0)</f>
        <v>#N/A</v>
      </c>
      <c r="C147" s="62">
        <f>'360SpcLdsCSV'!C96</f>
        <v>0</v>
      </c>
      <c r="D147" s="62" t="str">
        <f t="shared" si="90"/>
        <v>0</v>
      </c>
      <c r="E147" s="62" t="e">
        <f t="shared" si="91"/>
        <v>#VALUE!</v>
      </c>
      <c r="F147" s="62" t="e">
        <f t="shared" si="92"/>
        <v>#VALUE!</v>
      </c>
      <c r="G147" s="62" t="str">
        <f t="shared" si="93"/>
        <v>0</v>
      </c>
      <c r="H147" s="62" t="e">
        <f ca="1">OFFSET('360SpcLdsCSV'!$B$5,$B147,H$51)</f>
        <v>#N/A</v>
      </c>
      <c r="I147" s="62" t="e">
        <f ca="1">OFFSET('360SpcLdsCSV'!$B$5,$B147,I$51)</f>
        <v>#N/A</v>
      </c>
      <c r="J147" s="62" t="e">
        <f ca="1">OFFSET('360SpcLdsCSV'!$B$5,$B147,J$51)</f>
        <v>#N/A</v>
      </c>
      <c r="K147" s="62" t="e">
        <f ca="1">OFFSET('360SpcLdsCSV'!$B$5,$B147,K$51)</f>
        <v>#N/A</v>
      </c>
      <c r="L147" s="62" t="e">
        <f ca="1">OFFSET('360SpcLdsCSV'!$B$5,$B147,L$51)</f>
        <v>#N/A</v>
      </c>
      <c r="M147" s="1178" t="e">
        <f t="shared" ca="1" si="99"/>
        <v>#N/A</v>
      </c>
      <c r="N147" s="1178" t="e">
        <f t="shared" ca="1" si="99"/>
        <v>#N/A</v>
      </c>
      <c r="O147" s="62" t="e">
        <f ca="1">OFFSET('360SpcLdsCSV'!$B$5,$B147,O$51)</f>
        <v>#N/A</v>
      </c>
      <c r="P147" s="64" t="e">
        <f ca="1">OFFSET('360SpcLdsCSV'!$B$5,$B147,P$51)</f>
        <v>#N/A</v>
      </c>
      <c r="Q147" s="84" t="e">
        <f t="shared" ca="1" si="94"/>
        <v>#N/A</v>
      </c>
      <c r="R147" s="64" t="e">
        <f ca="1">OFFSET('360SpcLdsCSV'!$B$5,$B147,R$51)*$P147</f>
        <v>#N/A</v>
      </c>
      <c r="S147" s="64" t="e">
        <f ca="1">OFFSET('360SpcLdsCSV'!$B$5,$B147,S$51)*$R147/1000</f>
        <v>#N/A</v>
      </c>
      <c r="T147" s="84" t="e">
        <f t="shared" ca="1" si="95"/>
        <v>#N/A</v>
      </c>
      <c r="U147" s="64" t="e">
        <f ca="1">OFFSET('360SpcLdsCSV'!$B$5,$B147,U$51)</f>
        <v>#N/A</v>
      </c>
      <c r="V147" s="64" t="e">
        <f ca="1">OFFSET('360SpcLdsCSV'!$B$5,$B147,V$51)*$U147/1000</f>
        <v>#N/A</v>
      </c>
      <c r="W147" s="84" t="e">
        <f t="shared" ca="1" si="96"/>
        <v>#N/A</v>
      </c>
      <c r="X147" s="64" t="e">
        <f ca="1">OFFSET('360SpcLdsCSV'!$B$5,$B147,X$51)*$P147</f>
        <v>#N/A</v>
      </c>
      <c r="Y147" s="64" t="e">
        <f ca="1">OFFSET('360SpcLdsCSV'!$B$5,$B147,Y$51)*$X147/1000</f>
        <v>#N/A</v>
      </c>
      <c r="Z147" s="84" t="e">
        <f t="shared" ca="1" si="97"/>
        <v>#N/A</v>
      </c>
      <c r="AA147" s="64" t="e">
        <f ca="1">OFFSET('360SpcLdsCSV'!$B$5,$B147,AA$51)*$P147</f>
        <v>#N/A</v>
      </c>
      <c r="AB147" s="64" t="e">
        <f ca="1">OFFSET('360SpcLdsCSV'!$B$5,$B147,AB$51)*$AA147/1000</f>
        <v>#N/A</v>
      </c>
      <c r="AC147" s="65" t="e">
        <f ca="1">'Ltg IntTakeoffs'!EZ102</f>
        <v>#N/A</v>
      </c>
      <c r="AD147" s="64" t="e">
        <f t="shared" ca="1" si="98"/>
        <v>#N/A</v>
      </c>
      <c r="AE147" s="558" t="e">
        <f ca="1">'Ltg IntTakeoffs'!FA102*M147</f>
        <v>#N/A</v>
      </c>
      <c r="AF147" s="559" t="e">
        <f ca="1">'Ltg IntTakeoffs'!FB102*M147</f>
        <v>#N/A</v>
      </c>
      <c r="AG147" s="62"/>
      <c r="AH147" s="62"/>
    </row>
    <row r="148" spans="2:34" ht="15" customHeight="1" x14ac:dyDescent="0.2">
      <c r="B148" s="62" t="e">
        <f>MATCH(C148,'360SpcLdsCSV'!$C$6:$C$500,0)</f>
        <v>#N/A</v>
      </c>
      <c r="C148" s="62">
        <f>'360SpcLdsCSV'!C97</f>
        <v>0</v>
      </c>
      <c r="D148" s="62" t="str">
        <f t="shared" si="90"/>
        <v>0</v>
      </c>
      <c r="E148" s="62" t="e">
        <f t="shared" si="91"/>
        <v>#VALUE!</v>
      </c>
      <c r="F148" s="62" t="e">
        <f t="shared" si="92"/>
        <v>#VALUE!</v>
      </c>
      <c r="G148" s="62" t="str">
        <f t="shared" si="93"/>
        <v>0</v>
      </c>
      <c r="H148" s="62" t="e">
        <f ca="1">OFFSET('360SpcLdsCSV'!$B$5,$B148,H$51)</f>
        <v>#N/A</v>
      </c>
      <c r="I148" s="62" t="e">
        <f ca="1">OFFSET('360SpcLdsCSV'!$B$5,$B148,I$51)</f>
        <v>#N/A</v>
      </c>
      <c r="J148" s="62" t="e">
        <f ca="1">OFFSET('360SpcLdsCSV'!$B$5,$B148,J$51)</f>
        <v>#N/A</v>
      </c>
      <c r="K148" s="62" t="e">
        <f ca="1">OFFSET('360SpcLdsCSV'!$B$5,$B148,K$51)</f>
        <v>#N/A</v>
      </c>
      <c r="L148" s="62" t="e">
        <f ca="1">OFFSET('360SpcLdsCSV'!$B$5,$B148,L$51)</f>
        <v>#N/A</v>
      </c>
      <c r="M148" s="1178" t="e">
        <f t="shared" ca="1" si="99"/>
        <v>#N/A</v>
      </c>
      <c r="N148" s="1178" t="e">
        <f t="shared" ca="1" si="99"/>
        <v>#N/A</v>
      </c>
      <c r="O148" s="62" t="e">
        <f ca="1">OFFSET('360SpcLdsCSV'!$B$5,$B148,O$51)</f>
        <v>#N/A</v>
      </c>
      <c r="P148" s="64" t="e">
        <f ca="1">OFFSET('360SpcLdsCSV'!$B$5,$B148,P$51)</f>
        <v>#N/A</v>
      </c>
      <c r="Q148" s="84" t="e">
        <f t="shared" ca="1" si="94"/>
        <v>#N/A</v>
      </c>
      <c r="R148" s="64" t="e">
        <f ca="1">OFFSET('360SpcLdsCSV'!$B$5,$B148,R$51)*$P148</f>
        <v>#N/A</v>
      </c>
      <c r="S148" s="64" t="e">
        <f ca="1">OFFSET('360SpcLdsCSV'!$B$5,$B148,S$51)*$R148/1000</f>
        <v>#N/A</v>
      </c>
      <c r="T148" s="84" t="e">
        <f t="shared" ca="1" si="95"/>
        <v>#N/A</v>
      </c>
      <c r="U148" s="64" t="e">
        <f ca="1">OFFSET('360SpcLdsCSV'!$B$5,$B148,U$51)</f>
        <v>#N/A</v>
      </c>
      <c r="V148" s="64" t="e">
        <f ca="1">OFFSET('360SpcLdsCSV'!$B$5,$B148,V$51)*$U148/1000</f>
        <v>#N/A</v>
      </c>
      <c r="W148" s="84" t="e">
        <f t="shared" ca="1" si="96"/>
        <v>#N/A</v>
      </c>
      <c r="X148" s="64" t="e">
        <f ca="1">OFFSET('360SpcLdsCSV'!$B$5,$B148,X$51)*$P148</f>
        <v>#N/A</v>
      </c>
      <c r="Y148" s="64" t="e">
        <f ca="1">OFFSET('360SpcLdsCSV'!$B$5,$B148,Y$51)*$X148/1000</f>
        <v>#N/A</v>
      </c>
      <c r="Z148" s="84" t="e">
        <f t="shared" ca="1" si="97"/>
        <v>#N/A</v>
      </c>
      <c r="AA148" s="64" t="e">
        <f ca="1">OFFSET('360SpcLdsCSV'!$B$5,$B148,AA$51)*$P148</f>
        <v>#N/A</v>
      </c>
      <c r="AB148" s="64" t="e">
        <f ca="1">OFFSET('360SpcLdsCSV'!$B$5,$B148,AB$51)*$AA148/1000</f>
        <v>#N/A</v>
      </c>
      <c r="AC148" s="65" t="e">
        <f ca="1">'Ltg IntTakeoffs'!EZ103</f>
        <v>#N/A</v>
      </c>
      <c r="AD148" s="64" t="e">
        <f t="shared" ca="1" si="98"/>
        <v>#N/A</v>
      </c>
      <c r="AE148" s="558" t="e">
        <f ca="1">'Ltg IntTakeoffs'!FA103*M148</f>
        <v>#N/A</v>
      </c>
      <c r="AF148" s="559" t="e">
        <f ca="1">'Ltg IntTakeoffs'!FB103*M148</f>
        <v>#N/A</v>
      </c>
      <c r="AG148" s="62"/>
      <c r="AH148" s="62"/>
    </row>
    <row r="149" spans="2:34" ht="15" customHeight="1" x14ac:dyDescent="0.2">
      <c r="B149" s="62" t="e">
        <f>MATCH(C149,'360SpcLdsCSV'!$C$6:$C$500,0)</f>
        <v>#N/A</v>
      </c>
      <c r="C149" s="62">
        <f>'360SpcLdsCSV'!C98</f>
        <v>0</v>
      </c>
      <c r="D149" s="62" t="str">
        <f t="shared" si="90"/>
        <v>0</v>
      </c>
      <c r="E149" s="62" t="e">
        <f t="shared" si="91"/>
        <v>#VALUE!</v>
      </c>
      <c r="F149" s="62" t="e">
        <f t="shared" si="92"/>
        <v>#VALUE!</v>
      </c>
      <c r="G149" s="62" t="str">
        <f t="shared" si="93"/>
        <v>0</v>
      </c>
      <c r="H149" s="62" t="e">
        <f ca="1">OFFSET('360SpcLdsCSV'!$B$5,$B149,H$51)</f>
        <v>#N/A</v>
      </c>
      <c r="I149" s="62" t="e">
        <f ca="1">OFFSET('360SpcLdsCSV'!$B$5,$B149,I$51)</f>
        <v>#N/A</v>
      </c>
      <c r="J149" s="62" t="e">
        <f ca="1">OFFSET('360SpcLdsCSV'!$B$5,$B149,J$51)</f>
        <v>#N/A</v>
      </c>
      <c r="K149" s="62" t="e">
        <f ca="1">OFFSET('360SpcLdsCSV'!$B$5,$B149,K$51)</f>
        <v>#N/A</v>
      </c>
      <c r="L149" s="62" t="e">
        <f ca="1">OFFSET('360SpcLdsCSV'!$B$5,$B149,L$51)</f>
        <v>#N/A</v>
      </c>
      <c r="M149" s="1178" t="e">
        <f t="shared" ca="1" si="99"/>
        <v>#N/A</v>
      </c>
      <c r="N149" s="1178" t="e">
        <f t="shared" ca="1" si="99"/>
        <v>#N/A</v>
      </c>
      <c r="O149" s="62" t="e">
        <f ca="1">OFFSET('360SpcLdsCSV'!$B$5,$B149,O$51)</f>
        <v>#N/A</v>
      </c>
      <c r="P149" s="64" t="e">
        <f ca="1">OFFSET('360SpcLdsCSV'!$B$5,$B149,P$51)</f>
        <v>#N/A</v>
      </c>
      <c r="Q149" s="84" t="e">
        <f t="shared" ca="1" si="94"/>
        <v>#N/A</v>
      </c>
      <c r="R149" s="64" t="e">
        <f ca="1">OFFSET('360SpcLdsCSV'!$B$5,$B149,R$51)*$P149</f>
        <v>#N/A</v>
      </c>
      <c r="S149" s="64" t="e">
        <f ca="1">OFFSET('360SpcLdsCSV'!$B$5,$B149,S$51)*$R149/1000</f>
        <v>#N/A</v>
      </c>
      <c r="T149" s="84" t="e">
        <f t="shared" ca="1" si="95"/>
        <v>#N/A</v>
      </c>
      <c r="U149" s="64" t="e">
        <f ca="1">OFFSET('360SpcLdsCSV'!$B$5,$B149,U$51)</f>
        <v>#N/A</v>
      </c>
      <c r="V149" s="64" t="e">
        <f ca="1">OFFSET('360SpcLdsCSV'!$B$5,$B149,V$51)*$U149/1000</f>
        <v>#N/A</v>
      </c>
      <c r="W149" s="84" t="e">
        <f t="shared" ca="1" si="96"/>
        <v>#N/A</v>
      </c>
      <c r="X149" s="64" t="e">
        <f ca="1">OFFSET('360SpcLdsCSV'!$B$5,$B149,X$51)*$P149</f>
        <v>#N/A</v>
      </c>
      <c r="Y149" s="64" t="e">
        <f ca="1">OFFSET('360SpcLdsCSV'!$B$5,$B149,Y$51)*$X149/1000</f>
        <v>#N/A</v>
      </c>
      <c r="Z149" s="84" t="e">
        <f t="shared" ca="1" si="97"/>
        <v>#N/A</v>
      </c>
      <c r="AA149" s="64" t="e">
        <f ca="1">OFFSET('360SpcLdsCSV'!$B$5,$B149,AA$51)*$P149</f>
        <v>#N/A</v>
      </c>
      <c r="AB149" s="64" t="e">
        <f ca="1">OFFSET('360SpcLdsCSV'!$B$5,$B149,AB$51)*$AA149/1000</f>
        <v>#N/A</v>
      </c>
      <c r="AC149" s="65" t="e">
        <f ca="1">'Ltg IntTakeoffs'!EZ104</f>
        <v>#N/A</v>
      </c>
      <c r="AD149" s="64" t="e">
        <f t="shared" ca="1" si="98"/>
        <v>#N/A</v>
      </c>
      <c r="AE149" s="558" t="e">
        <f ca="1">'Ltg IntTakeoffs'!FA104*M149</f>
        <v>#N/A</v>
      </c>
      <c r="AF149" s="559" t="e">
        <f ca="1">'Ltg IntTakeoffs'!FB104*M149</f>
        <v>#N/A</v>
      </c>
      <c r="AG149" s="62"/>
      <c r="AH149" s="62"/>
    </row>
    <row r="150" spans="2:34" ht="15" customHeight="1" x14ac:dyDescent="0.2">
      <c r="B150" s="62" t="e">
        <f>MATCH(C150,'360SpcLdsCSV'!$C$6:$C$500,0)</f>
        <v>#N/A</v>
      </c>
      <c r="C150" s="62">
        <f>'360SpcLdsCSV'!C99</f>
        <v>0</v>
      </c>
      <c r="D150" s="62" t="str">
        <f t="shared" si="90"/>
        <v>0</v>
      </c>
      <c r="E150" s="62" t="e">
        <f t="shared" si="91"/>
        <v>#VALUE!</v>
      </c>
      <c r="F150" s="62" t="e">
        <f t="shared" si="92"/>
        <v>#VALUE!</v>
      </c>
      <c r="G150" s="62" t="str">
        <f t="shared" si="93"/>
        <v>0</v>
      </c>
      <c r="H150" s="62" t="e">
        <f ca="1">OFFSET('360SpcLdsCSV'!$B$5,$B150,H$51)</f>
        <v>#N/A</v>
      </c>
      <c r="I150" s="62" t="e">
        <f ca="1">OFFSET('360SpcLdsCSV'!$B$5,$B150,I$51)</f>
        <v>#N/A</v>
      </c>
      <c r="J150" s="62" t="e">
        <f ca="1">OFFSET('360SpcLdsCSV'!$B$5,$B150,J$51)</f>
        <v>#N/A</v>
      </c>
      <c r="K150" s="62" t="e">
        <f ca="1">OFFSET('360SpcLdsCSV'!$B$5,$B150,K$51)</f>
        <v>#N/A</v>
      </c>
      <c r="L150" s="62" t="e">
        <f ca="1">OFFSET('360SpcLdsCSV'!$B$5,$B150,L$51)</f>
        <v>#N/A</v>
      </c>
      <c r="M150" s="1178" t="e">
        <f t="shared" ca="1" si="99"/>
        <v>#N/A</v>
      </c>
      <c r="N150" s="1178" t="e">
        <f t="shared" ca="1" si="99"/>
        <v>#N/A</v>
      </c>
      <c r="O150" s="62" t="e">
        <f ca="1">OFFSET('360SpcLdsCSV'!$B$5,$B150,O$51)</f>
        <v>#N/A</v>
      </c>
      <c r="P150" s="64" t="e">
        <f ca="1">OFFSET('360SpcLdsCSV'!$B$5,$B150,P$51)</f>
        <v>#N/A</v>
      </c>
      <c r="Q150" s="84" t="e">
        <f t="shared" ca="1" si="94"/>
        <v>#N/A</v>
      </c>
      <c r="R150" s="64" t="e">
        <f ca="1">OFFSET('360SpcLdsCSV'!$B$5,$B150,R$51)*$P150</f>
        <v>#N/A</v>
      </c>
      <c r="S150" s="64" t="e">
        <f ca="1">OFFSET('360SpcLdsCSV'!$B$5,$B150,S$51)*$R150/1000</f>
        <v>#N/A</v>
      </c>
      <c r="T150" s="84" t="e">
        <f t="shared" ca="1" si="95"/>
        <v>#N/A</v>
      </c>
      <c r="U150" s="64" t="e">
        <f ca="1">OFFSET('360SpcLdsCSV'!$B$5,$B150,U$51)</f>
        <v>#N/A</v>
      </c>
      <c r="V150" s="64" t="e">
        <f ca="1">OFFSET('360SpcLdsCSV'!$B$5,$B150,V$51)*$U150/1000</f>
        <v>#N/A</v>
      </c>
      <c r="W150" s="84" t="e">
        <f t="shared" ca="1" si="96"/>
        <v>#N/A</v>
      </c>
      <c r="X150" s="64" t="e">
        <f ca="1">OFFSET('360SpcLdsCSV'!$B$5,$B150,X$51)*$P150</f>
        <v>#N/A</v>
      </c>
      <c r="Y150" s="64" t="e">
        <f ca="1">OFFSET('360SpcLdsCSV'!$B$5,$B150,Y$51)*$X150/1000</f>
        <v>#N/A</v>
      </c>
      <c r="Z150" s="84" t="e">
        <f t="shared" ca="1" si="97"/>
        <v>#N/A</v>
      </c>
      <c r="AA150" s="64" t="e">
        <f ca="1">OFFSET('360SpcLdsCSV'!$B$5,$B150,AA$51)*$P150</f>
        <v>#N/A</v>
      </c>
      <c r="AB150" s="64" t="e">
        <f ca="1">OFFSET('360SpcLdsCSV'!$B$5,$B150,AB$51)*$AA150/1000</f>
        <v>#N/A</v>
      </c>
      <c r="AC150" s="65" t="e">
        <f ca="1">'Ltg IntTakeoffs'!EZ105</f>
        <v>#N/A</v>
      </c>
      <c r="AD150" s="64" t="e">
        <f t="shared" ca="1" si="98"/>
        <v>#N/A</v>
      </c>
      <c r="AE150" s="558" t="e">
        <f ca="1">'Ltg IntTakeoffs'!FA105*M150</f>
        <v>#N/A</v>
      </c>
      <c r="AF150" s="559" t="e">
        <f ca="1">'Ltg IntTakeoffs'!FB105*M150</f>
        <v>#N/A</v>
      </c>
      <c r="AG150" s="62"/>
      <c r="AH150" s="62"/>
    </row>
    <row r="151" spans="2:34" ht="15" customHeight="1" x14ac:dyDescent="0.2">
      <c r="B151" s="62" t="e">
        <f>MATCH(C151,'360SpcLdsCSV'!$C$6:$C$500,0)</f>
        <v>#N/A</v>
      </c>
      <c r="C151" s="62">
        <f>'360SpcLdsCSV'!C100</f>
        <v>0</v>
      </c>
      <c r="D151" s="62" t="str">
        <f t="shared" si="90"/>
        <v>0</v>
      </c>
      <c r="E151" s="62" t="e">
        <f t="shared" si="91"/>
        <v>#VALUE!</v>
      </c>
      <c r="F151" s="62" t="e">
        <f t="shared" si="92"/>
        <v>#VALUE!</v>
      </c>
      <c r="G151" s="62" t="str">
        <f t="shared" si="93"/>
        <v>0</v>
      </c>
      <c r="H151" s="62" t="e">
        <f ca="1">OFFSET('360SpcLdsCSV'!$B$5,$B151,H$51)</f>
        <v>#N/A</v>
      </c>
      <c r="I151" s="62" t="e">
        <f ca="1">OFFSET('360SpcLdsCSV'!$B$5,$B151,I$51)</f>
        <v>#N/A</v>
      </c>
      <c r="J151" s="62" t="e">
        <f ca="1">OFFSET('360SpcLdsCSV'!$B$5,$B151,J$51)</f>
        <v>#N/A</v>
      </c>
      <c r="K151" s="62" t="e">
        <f ca="1">OFFSET('360SpcLdsCSV'!$B$5,$B151,K$51)</f>
        <v>#N/A</v>
      </c>
      <c r="L151" s="62" t="e">
        <f ca="1">OFFSET('360SpcLdsCSV'!$B$5,$B151,L$51)</f>
        <v>#N/A</v>
      </c>
      <c r="M151" s="1178" t="e">
        <f t="shared" ca="1" si="99"/>
        <v>#N/A</v>
      </c>
      <c r="N151" s="1178" t="e">
        <f t="shared" ca="1" si="99"/>
        <v>#N/A</v>
      </c>
      <c r="O151" s="62" t="e">
        <f ca="1">OFFSET('360SpcLdsCSV'!$B$5,$B151,O$51)</f>
        <v>#N/A</v>
      </c>
      <c r="P151" s="64" t="e">
        <f ca="1">OFFSET('360SpcLdsCSV'!$B$5,$B151,P$51)</f>
        <v>#N/A</v>
      </c>
      <c r="Q151" s="84" t="e">
        <f t="shared" ca="1" si="94"/>
        <v>#N/A</v>
      </c>
      <c r="R151" s="64" t="e">
        <f ca="1">OFFSET('360SpcLdsCSV'!$B$5,$B151,R$51)*$P151</f>
        <v>#N/A</v>
      </c>
      <c r="S151" s="64" t="e">
        <f ca="1">OFFSET('360SpcLdsCSV'!$B$5,$B151,S$51)*$R151/1000</f>
        <v>#N/A</v>
      </c>
      <c r="T151" s="84" t="e">
        <f t="shared" ca="1" si="95"/>
        <v>#N/A</v>
      </c>
      <c r="U151" s="64" t="e">
        <f ca="1">OFFSET('360SpcLdsCSV'!$B$5,$B151,U$51)</f>
        <v>#N/A</v>
      </c>
      <c r="V151" s="64" t="e">
        <f ca="1">OFFSET('360SpcLdsCSV'!$B$5,$B151,V$51)*$U151/1000</f>
        <v>#N/A</v>
      </c>
      <c r="W151" s="84" t="e">
        <f t="shared" ca="1" si="96"/>
        <v>#N/A</v>
      </c>
      <c r="X151" s="64" t="e">
        <f ca="1">OFFSET('360SpcLdsCSV'!$B$5,$B151,X$51)*$P151</f>
        <v>#N/A</v>
      </c>
      <c r="Y151" s="64" t="e">
        <f ca="1">OFFSET('360SpcLdsCSV'!$B$5,$B151,Y$51)*$X151/1000</f>
        <v>#N/A</v>
      </c>
      <c r="Z151" s="84" t="e">
        <f t="shared" ca="1" si="97"/>
        <v>#N/A</v>
      </c>
      <c r="AA151" s="64" t="e">
        <f ca="1">OFFSET('360SpcLdsCSV'!$B$5,$B151,AA$51)*$P151</f>
        <v>#N/A</v>
      </c>
      <c r="AB151" s="64" t="e">
        <f ca="1">OFFSET('360SpcLdsCSV'!$B$5,$B151,AB$51)*$AA151/1000</f>
        <v>#N/A</v>
      </c>
      <c r="AC151" s="65" t="e">
        <f ca="1">'Ltg IntTakeoffs'!EZ106</f>
        <v>#N/A</v>
      </c>
      <c r="AD151" s="64" t="e">
        <f t="shared" ca="1" si="98"/>
        <v>#N/A</v>
      </c>
      <c r="AE151" s="558" t="e">
        <f ca="1">'Ltg IntTakeoffs'!FA106*M151</f>
        <v>#N/A</v>
      </c>
      <c r="AF151" s="559" t="e">
        <f ca="1">'Ltg IntTakeoffs'!FB106*M151</f>
        <v>#N/A</v>
      </c>
      <c r="AG151" s="62"/>
      <c r="AH151" s="62"/>
    </row>
    <row r="152" spans="2:34" ht="15" customHeight="1" x14ac:dyDescent="0.2">
      <c r="B152" s="62" t="e">
        <f>MATCH(C152,'360SpcLdsCSV'!$C$6:$C$500,0)</f>
        <v>#N/A</v>
      </c>
      <c r="C152" s="62">
        <f>'360SpcLdsCSV'!C101</f>
        <v>0</v>
      </c>
      <c r="D152" s="62" t="str">
        <f t="shared" si="90"/>
        <v>0</v>
      </c>
      <c r="E152" s="62" t="e">
        <f t="shared" si="91"/>
        <v>#VALUE!</v>
      </c>
      <c r="F152" s="62" t="e">
        <f t="shared" si="92"/>
        <v>#VALUE!</v>
      </c>
      <c r="G152" s="62" t="str">
        <f t="shared" si="93"/>
        <v>0</v>
      </c>
      <c r="H152" s="62" t="e">
        <f ca="1">OFFSET('360SpcLdsCSV'!$B$5,$B152,H$51)</f>
        <v>#N/A</v>
      </c>
      <c r="I152" s="62" t="e">
        <f ca="1">OFFSET('360SpcLdsCSV'!$B$5,$B152,I$51)</f>
        <v>#N/A</v>
      </c>
      <c r="J152" s="62" t="e">
        <f ca="1">OFFSET('360SpcLdsCSV'!$B$5,$B152,J$51)</f>
        <v>#N/A</v>
      </c>
      <c r="K152" s="62" t="e">
        <f ca="1">OFFSET('360SpcLdsCSV'!$B$5,$B152,K$51)</f>
        <v>#N/A</v>
      </c>
      <c r="L152" s="62" t="e">
        <f ca="1">OFFSET('360SpcLdsCSV'!$B$5,$B152,L$51)</f>
        <v>#N/A</v>
      </c>
      <c r="M152" s="1178" t="e">
        <f t="shared" ca="1" si="99"/>
        <v>#N/A</v>
      </c>
      <c r="N152" s="1178" t="e">
        <f t="shared" ca="1" si="99"/>
        <v>#N/A</v>
      </c>
      <c r="O152" s="62" t="e">
        <f ca="1">OFFSET('360SpcLdsCSV'!$B$5,$B152,O$51)</f>
        <v>#N/A</v>
      </c>
      <c r="P152" s="64" t="e">
        <f ca="1">OFFSET('360SpcLdsCSV'!$B$5,$B152,P$51)</f>
        <v>#N/A</v>
      </c>
      <c r="Q152" s="84" t="e">
        <f t="shared" ca="1" si="94"/>
        <v>#N/A</v>
      </c>
      <c r="R152" s="64" t="e">
        <f ca="1">OFFSET('360SpcLdsCSV'!$B$5,$B152,R$51)*$P152</f>
        <v>#N/A</v>
      </c>
      <c r="S152" s="64" t="e">
        <f ca="1">OFFSET('360SpcLdsCSV'!$B$5,$B152,S$51)*$R152/1000</f>
        <v>#N/A</v>
      </c>
      <c r="T152" s="84" t="e">
        <f t="shared" ca="1" si="95"/>
        <v>#N/A</v>
      </c>
      <c r="U152" s="64" t="e">
        <f ca="1">OFFSET('360SpcLdsCSV'!$B$5,$B152,U$51)</f>
        <v>#N/A</v>
      </c>
      <c r="V152" s="64" t="e">
        <f ca="1">OFFSET('360SpcLdsCSV'!$B$5,$B152,V$51)*$U152/1000</f>
        <v>#N/A</v>
      </c>
      <c r="W152" s="84" t="e">
        <f t="shared" ca="1" si="96"/>
        <v>#N/A</v>
      </c>
      <c r="X152" s="64" t="e">
        <f ca="1">OFFSET('360SpcLdsCSV'!$B$5,$B152,X$51)*$P152</f>
        <v>#N/A</v>
      </c>
      <c r="Y152" s="64" t="e">
        <f ca="1">OFFSET('360SpcLdsCSV'!$B$5,$B152,Y$51)*$X152/1000</f>
        <v>#N/A</v>
      </c>
      <c r="Z152" s="84" t="e">
        <f t="shared" ca="1" si="97"/>
        <v>#N/A</v>
      </c>
      <c r="AA152" s="64" t="e">
        <f ca="1">OFFSET('360SpcLdsCSV'!$B$5,$B152,AA$51)*$P152</f>
        <v>#N/A</v>
      </c>
      <c r="AB152" s="64" t="e">
        <f ca="1">OFFSET('360SpcLdsCSV'!$B$5,$B152,AB$51)*$AA152/1000</f>
        <v>#N/A</v>
      </c>
      <c r="AC152" s="65" t="e">
        <f ca="1">'Ltg IntTakeoffs'!EZ107</f>
        <v>#N/A</v>
      </c>
      <c r="AD152" s="64" t="e">
        <f t="shared" ca="1" si="98"/>
        <v>#N/A</v>
      </c>
      <c r="AE152" s="558" t="e">
        <f ca="1">'Ltg IntTakeoffs'!FA107*M152</f>
        <v>#N/A</v>
      </c>
      <c r="AF152" s="559" t="e">
        <f ca="1">'Ltg IntTakeoffs'!FB107*M152</f>
        <v>#N/A</v>
      </c>
      <c r="AG152" s="62"/>
      <c r="AH152" s="62"/>
    </row>
    <row r="153" spans="2:34" ht="15" customHeight="1" x14ac:dyDescent="0.2">
      <c r="B153" s="62" t="e">
        <f>MATCH(C153,'360SpcLdsCSV'!$C$6:$C$500,0)</f>
        <v>#N/A</v>
      </c>
      <c r="C153" s="62">
        <f>'360SpcLdsCSV'!C102</f>
        <v>0</v>
      </c>
      <c r="D153" s="62" t="str">
        <f t="shared" si="90"/>
        <v>0</v>
      </c>
      <c r="E153" s="62" t="e">
        <f t="shared" si="91"/>
        <v>#VALUE!</v>
      </c>
      <c r="F153" s="62" t="e">
        <f t="shared" si="92"/>
        <v>#VALUE!</v>
      </c>
      <c r="G153" s="62" t="str">
        <f t="shared" si="93"/>
        <v>0</v>
      </c>
      <c r="H153" s="62" t="e">
        <f ca="1">OFFSET('360SpcLdsCSV'!$B$5,$B153,H$51)</f>
        <v>#N/A</v>
      </c>
      <c r="I153" s="62" t="e">
        <f ca="1">OFFSET('360SpcLdsCSV'!$B$5,$B153,I$51)</f>
        <v>#N/A</v>
      </c>
      <c r="J153" s="62" t="e">
        <f ca="1">OFFSET('360SpcLdsCSV'!$B$5,$B153,J$51)</f>
        <v>#N/A</v>
      </c>
      <c r="K153" s="62" t="e">
        <f ca="1">OFFSET('360SpcLdsCSV'!$B$5,$B153,K$51)</f>
        <v>#N/A</v>
      </c>
      <c r="L153" s="62" t="e">
        <f ca="1">OFFSET('360SpcLdsCSV'!$B$5,$B153,L$51)</f>
        <v>#N/A</v>
      </c>
      <c r="M153" s="1178" t="e">
        <f t="shared" ca="1" si="99"/>
        <v>#N/A</v>
      </c>
      <c r="N153" s="1178" t="e">
        <f t="shared" ca="1" si="99"/>
        <v>#N/A</v>
      </c>
      <c r="O153" s="62" t="e">
        <f ca="1">OFFSET('360SpcLdsCSV'!$B$5,$B153,O$51)</f>
        <v>#N/A</v>
      </c>
      <c r="P153" s="64" t="e">
        <f ca="1">OFFSET('360SpcLdsCSV'!$B$5,$B153,P$51)</f>
        <v>#N/A</v>
      </c>
      <c r="Q153" s="84" t="e">
        <f t="shared" ca="1" si="94"/>
        <v>#N/A</v>
      </c>
      <c r="R153" s="64" t="e">
        <f ca="1">OFFSET('360SpcLdsCSV'!$B$5,$B153,R$51)*$P153</f>
        <v>#N/A</v>
      </c>
      <c r="S153" s="64" t="e">
        <f ca="1">OFFSET('360SpcLdsCSV'!$B$5,$B153,S$51)*$R153/1000</f>
        <v>#N/A</v>
      </c>
      <c r="T153" s="84" t="e">
        <f t="shared" ca="1" si="95"/>
        <v>#N/A</v>
      </c>
      <c r="U153" s="64" t="e">
        <f ca="1">OFFSET('360SpcLdsCSV'!$B$5,$B153,U$51)</f>
        <v>#N/A</v>
      </c>
      <c r="V153" s="64" t="e">
        <f ca="1">OFFSET('360SpcLdsCSV'!$B$5,$B153,V$51)*$U153/1000</f>
        <v>#N/A</v>
      </c>
      <c r="W153" s="84" t="e">
        <f t="shared" ca="1" si="96"/>
        <v>#N/A</v>
      </c>
      <c r="X153" s="64" t="e">
        <f ca="1">OFFSET('360SpcLdsCSV'!$B$5,$B153,X$51)*$P153</f>
        <v>#N/A</v>
      </c>
      <c r="Y153" s="64" t="e">
        <f ca="1">OFFSET('360SpcLdsCSV'!$B$5,$B153,Y$51)*$X153/1000</f>
        <v>#N/A</v>
      </c>
      <c r="Z153" s="84" t="e">
        <f t="shared" ca="1" si="97"/>
        <v>#N/A</v>
      </c>
      <c r="AA153" s="64" t="e">
        <f ca="1">OFFSET('360SpcLdsCSV'!$B$5,$B153,AA$51)*$P153</f>
        <v>#N/A</v>
      </c>
      <c r="AB153" s="64" t="e">
        <f ca="1">OFFSET('360SpcLdsCSV'!$B$5,$B153,AB$51)*$AA153/1000</f>
        <v>#N/A</v>
      </c>
      <c r="AC153" s="65" t="e">
        <f ca="1">'Ltg IntTakeoffs'!EZ108</f>
        <v>#N/A</v>
      </c>
      <c r="AD153" s="64" t="e">
        <f t="shared" ca="1" si="98"/>
        <v>#N/A</v>
      </c>
      <c r="AE153" s="558" t="e">
        <f ca="1">'Ltg IntTakeoffs'!FA108*M153</f>
        <v>#N/A</v>
      </c>
      <c r="AF153" s="559" t="e">
        <f ca="1">'Ltg IntTakeoffs'!FB108*M153</f>
        <v>#N/A</v>
      </c>
      <c r="AG153" s="62"/>
      <c r="AH153" s="62"/>
    </row>
    <row r="154" spans="2:34" ht="15" customHeight="1" x14ac:dyDescent="0.2">
      <c r="B154" s="62" t="e">
        <f>MATCH(C154,'360SpcLdsCSV'!$C$6:$C$500,0)</f>
        <v>#N/A</v>
      </c>
      <c r="C154" s="62">
        <f>'360SpcLdsCSV'!C103</f>
        <v>0</v>
      </c>
      <c r="D154" s="62" t="str">
        <f t="shared" si="90"/>
        <v>0</v>
      </c>
      <c r="E154" s="62" t="e">
        <f t="shared" si="91"/>
        <v>#VALUE!</v>
      </c>
      <c r="F154" s="62" t="e">
        <f t="shared" si="92"/>
        <v>#VALUE!</v>
      </c>
      <c r="G154" s="62" t="str">
        <f t="shared" si="93"/>
        <v>0</v>
      </c>
      <c r="H154" s="62" t="e">
        <f ca="1">OFFSET('360SpcLdsCSV'!$B$5,$B154,H$51)</f>
        <v>#N/A</v>
      </c>
      <c r="I154" s="62" t="e">
        <f ca="1">OFFSET('360SpcLdsCSV'!$B$5,$B154,I$51)</f>
        <v>#N/A</v>
      </c>
      <c r="J154" s="62" t="e">
        <f ca="1">OFFSET('360SpcLdsCSV'!$B$5,$B154,J$51)</f>
        <v>#N/A</v>
      </c>
      <c r="K154" s="62" t="e">
        <f ca="1">OFFSET('360SpcLdsCSV'!$B$5,$B154,K$51)</f>
        <v>#N/A</v>
      </c>
      <c r="L154" s="62" t="e">
        <f ca="1">OFFSET('360SpcLdsCSV'!$B$5,$B154,L$51)</f>
        <v>#N/A</v>
      </c>
      <c r="M154" s="1178" t="e">
        <f t="shared" ca="1" si="99"/>
        <v>#N/A</v>
      </c>
      <c r="N154" s="1178" t="e">
        <f t="shared" ca="1" si="99"/>
        <v>#N/A</v>
      </c>
      <c r="O154" s="62" t="e">
        <f ca="1">OFFSET('360SpcLdsCSV'!$B$5,$B154,O$51)</f>
        <v>#N/A</v>
      </c>
      <c r="P154" s="64" t="e">
        <f ca="1">OFFSET('360SpcLdsCSV'!$B$5,$B154,P$51)</f>
        <v>#N/A</v>
      </c>
      <c r="Q154" s="84" t="e">
        <f t="shared" ca="1" si="94"/>
        <v>#N/A</v>
      </c>
      <c r="R154" s="64" t="e">
        <f ca="1">OFFSET('360SpcLdsCSV'!$B$5,$B154,R$51)*$P154</f>
        <v>#N/A</v>
      </c>
      <c r="S154" s="64" t="e">
        <f ca="1">OFFSET('360SpcLdsCSV'!$B$5,$B154,S$51)*$R154/1000</f>
        <v>#N/A</v>
      </c>
      <c r="T154" s="84" t="e">
        <f t="shared" ca="1" si="95"/>
        <v>#N/A</v>
      </c>
      <c r="U154" s="64" t="e">
        <f ca="1">OFFSET('360SpcLdsCSV'!$B$5,$B154,U$51)</f>
        <v>#N/A</v>
      </c>
      <c r="V154" s="64" t="e">
        <f ca="1">OFFSET('360SpcLdsCSV'!$B$5,$B154,V$51)*$U154/1000</f>
        <v>#N/A</v>
      </c>
      <c r="W154" s="84" t="e">
        <f t="shared" ca="1" si="96"/>
        <v>#N/A</v>
      </c>
      <c r="X154" s="64" t="e">
        <f ca="1">OFFSET('360SpcLdsCSV'!$B$5,$B154,X$51)*$P154</f>
        <v>#N/A</v>
      </c>
      <c r="Y154" s="64" t="e">
        <f ca="1">OFFSET('360SpcLdsCSV'!$B$5,$B154,Y$51)*$X154/1000</f>
        <v>#N/A</v>
      </c>
      <c r="Z154" s="84" t="e">
        <f t="shared" ca="1" si="97"/>
        <v>#N/A</v>
      </c>
      <c r="AA154" s="64" t="e">
        <f ca="1">OFFSET('360SpcLdsCSV'!$B$5,$B154,AA$51)*$P154</f>
        <v>#N/A</v>
      </c>
      <c r="AB154" s="64" t="e">
        <f ca="1">OFFSET('360SpcLdsCSV'!$B$5,$B154,AB$51)*$AA154/1000</f>
        <v>#N/A</v>
      </c>
      <c r="AC154" s="65" t="e">
        <f ca="1">'Ltg IntTakeoffs'!EZ109</f>
        <v>#N/A</v>
      </c>
      <c r="AD154" s="64" t="e">
        <f t="shared" ca="1" si="98"/>
        <v>#N/A</v>
      </c>
      <c r="AE154" s="558" t="e">
        <f ca="1">'Ltg IntTakeoffs'!FA109*M154</f>
        <v>#N/A</v>
      </c>
      <c r="AF154" s="559" t="e">
        <f ca="1">'Ltg IntTakeoffs'!FB109*M154</f>
        <v>#N/A</v>
      </c>
      <c r="AG154" s="62"/>
      <c r="AH154" s="62"/>
    </row>
    <row r="155" spans="2:34" ht="15" customHeight="1" x14ac:dyDescent="0.2">
      <c r="B155" s="62" t="e">
        <f>MATCH(C155,'360SpcLdsCSV'!$C$6:$C$500,0)</f>
        <v>#N/A</v>
      </c>
      <c r="C155" s="62">
        <f>'360SpcLdsCSV'!C104</f>
        <v>0</v>
      </c>
      <c r="D155" s="62" t="str">
        <f t="shared" si="90"/>
        <v>0</v>
      </c>
      <c r="E155" s="62" t="e">
        <f t="shared" si="91"/>
        <v>#VALUE!</v>
      </c>
      <c r="F155" s="62" t="e">
        <f t="shared" si="92"/>
        <v>#VALUE!</v>
      </c>
      <c r="G155" s="62" t="str">
        <f t="shared" si="93"/>
        <v>0</v>
      </c>
      <c r="H155" s="62" t="e">
        <f ca="1">OFFSET('360SpcLdsCSV'!$B$5,$B155,H$51)</f>
        <v>#N/A</v>
      </c>
      <c r="I155" s="62" t="e">
        <f ca="1">OFFSET('360SpcLdsCSV'!$B$5,$B155,I$51)</f>
        <v>#N/A</v>
      </c>
      <c r="J155" s="62" t="e">
        <f ca="1">OFFSET('360SpcLdsCSV'!$B$5,$B155,J$51)</f>
        <v>#N/A</v>
      </c>
      <c r="K155" s="62" t="e">
        <f ca="1">OFFSET('360SpcLdsCSV'!$B$5,$B155,K$51)</f>
        <v>#N/A</v>
      </c>
      <c r="L155" s="62" t="e">
        <f ca="1">OFFSET('360SpcLdsCSV'!$B$5,$B155,L$51)</f>
        <v>#N/A</v>
      </c>
      <c r="M155" s="1178" t="e">
        <f t="shared" ca="1" si="99"/>
        <v>#N/A</v>
      </c>
      <c r="N155" s="1178" t="e">
        <f t="shared" ca="1" si="99"/>
        <v>#N/A</v>
      </c>
      <c r="O155" s="62" t="e">
        <f ca="1">OFFSET('360SpcLdsCSV'!$B$5,$B155,O$51)</f>
        <v>#N/A</v>
      </c>
      <c r="P155" s="64" t="e">
        <f ca="1">OFFSET('360SpcLdsCSV'!$B$5,$B155,P$51)</f>
        <v>#N/A</v>
      </c>
      <c r="Q155" s="84" t="e">
        <f t="shared" ca="1" si="94"/>
        <v>#N/A</v>
      </c>
      <c r="R155" s="64" t="e">
        <f ca="1">OFFSET('360SpcLdsCSV'!$B$5,$B155,R$51)*$P155</f>
        <v>#N/A</v>
      </c>
      <c r="S155" s="64" t="e">
        <f ca="1">OFFSET('360SpcLdsCSV'!$B$5,$B155,S$51)*$R155/1000</f>
        <v>#N/A</v>
      </c>
      <c r="T155" s="84" t="e">
        <f t="shared" ca="1" si="95"/>
        <v>#N/A</v>
      </c>
      <c r="U155" s="64" t="e">
        <f ca="1">OFFSET('360SpcLdsCSV'!$B$5,$B155,U$51)</f>
        <v>#N/A</v>
      </c>
      <c r="V155" s="64" t="e">
        <f ca="1">OFFSET('360SpcLdsCSV'!$B$5,$B155,V$51)*$U155/1000</f>
        <v>#N/A</v>
      </c>
      <c r="W155" s="84" t="e">
        <f t="shared" ca="1" si="96"/>
        <v>#N/A</v>
      </c>
      <c r="X155" s="64" t="e">
        <f ca="1">OFFSET('360SpcLdsCSV'!$B$5,$B155,X$51)*$P155</f>
        <v>#N/A</v>
      </c>
      <c r="Y155" s="64" t="e">
        <f ca="1">OFFSET('360SpcLdsCSV'!$B$5,$B155,Y$51)*$X155/1000</f>
        <v>#N/A</v>
      </c>
      <c r="Z155" s="84" t="e">
        <f t="shared" ca="1" si="97"/>
        <v>#N/A</v>
      </c>
      <c r="AA155" s="64" t="e">
        <f ca="1">OFFSET('360SpcLdsCSV'!$B$5,$B155,AA$51)*$P155</f>
        <v>#N/A</v>
      </c>
      <c r="AB155" s="64" t="e">
        <f ca="1">OFFSET('360SpcLdsCSV'!$B$5,$B155,AB$51)*$AA155/1000</f>
        <v>#N/A</v>
      </c>
      <c r="AC155" s="65" t="e">
        <f ca="1">'Ltg IntTakeoffs'!EZ110</f>
        <v>#N/A</v>
      </c>
      <c r="AD155" s="64" t="e">
        <f t="shared" ca="1" si="98"/>
        <v>#N/A</v>
      </c>
      <c r="AE155" s="558" t="e">
        <f ca="1">'Ltg IntTakeoffs'!FA110*M155</f>
        <v>#N/A</v>
      </c>
      <c r="AF155" s="559" t="e">
        <f ca="1">'Ltg IntTakeoffs'!FB110*M155</f>
        <v>#N/A</v>
      </c>
      <c r="AG155" s="62"/>
      <c r="AH155" s="62"/>
    </row>
    <row r="156" spans="2:34" ht="15" customHeight="1" x14ac:dyDescent="0.2">
      <c r="B156" s="62" t="e">
        <f>MATCH(C156,'360SpcLdsCSV'!$C$6:$C$500,0)</f>
        <v>#N/A</v>
      </c>
      <c r="C156" s="62">
        <f>'360SpcLdsCSV'!C105</f>
        <v>0</v>
      </c>
      <c r="D156" s="62" t="str">
        <f t="shared" si="90"/>
        <v>0</v>
      </c>
      <c r="E156" s="62" t="e">
        <f t="shared" si="91"/>
        <v>#VALUE!</v>
      </c>
      <c r="F156" s="62" t="e">
        <f t="shared" si="92"/>
        <v>#VALUE!</v>
      </c>
      <c r="G156" s="62" t="str">
        <f t="shared" si="93"/>
        <v>0</v>
      </c>
      <c r="H156" s="62" t="e">
        <f ca="1">OFFSET('360SpcLdsCSV'!$B$5,$B156,H$51)</f>
        <v>#N/A</v>
      </c>
      <c r="I156" s="62" t="e">
        <f ca="1">OFFSET('360SpcLdsCSV'!$B$5,$B156,I$51)</f>
        <v>#N/A</v>
      </c>
      <c r="J156" s="62" t="e">
        <f ca="1">OFFSET('360SpcLdsCSV'!$B$5,$B156,J$51)</f>
        <v>#N/A</v>
      </c>
      <c r="K156" s="62" t="e">
        <f ca="1">OFFSET('360SpcLdsCSV'!$B$5,$B156,K$51)</f>
        <v>#N/A</v>
      </c>
      <c r="L156" s="62" t="e">
        <f ca="1">OFFSET('360SpcLdsCSV'!$B$5,$B156,L$51)</f>
        <v>#N/A</v>
      </c>
      <c r="M156" s="1178" t="e">
        <f t="shared" ca="1" si="99"/>
        <v>#N/A</v>
      </c>
      <c r="N156" s="1178" t="e">
        <f t="shared" ca="1" si="99"/>
        <v>#N/A</v>
      </c>
      <c r="O156" s="62" t="e">
        <f ca="1">OFFSET('360SpcLdsCSV'!$B$5,$B156,O$51)</f>
        <v>#N/A</v>
      </c>
      <c r="P156" s="64" t="e">
        <f ca="1">OFFSET('360SpcLdsCSV'!$B$5,$B156,P$51)</f>
        <v>#N/A</v>
      </c>
      <c r="Q156" s="84" t="e">
        <f t="shared" ca="1" si="94"/>
        <v>#N/A</v>
      </c>
      <c r="R156" s="64" t="e">
        <f ca="1">OFFSET('360SpcLdsCSV'!$B$5,$B156,R$51)*$P156</f>
        <v>#N/A</v>
      </c>
      <c r="S156" s="64" t="e">
        <f ca="1">OFFSET('360SpcLdsCSV'!$B$5,$B156,S$51)*$R156/1000</f>
        <v>#N/A</v>
      </c>
      <c r="T156" s="84" t="e">
        <f t="shared" ca="1" si="95"/>
        <v>#N/A</v>
      </c>
      <c r="U156" s="64" t="e">
        <f ca="1">OFFSET('360SpcLdsCSV'!$B$5,$B156,U$51)</f>
        <v>#N/A</v>
      </c>
      <c r="V156" s="64" t="e">
        <f ca="1">OFFSET('360SpcLdsCSV'!$B$5,$B156,V$51)*$U156/1000</f>
        <v>#N/A</v>
      </c>
      <c r="W156" s="84" t="e">
        <f t="shared" ca="1" si="96"/>
        <v>#N/A</v>
      </c>
      <c r="X156" s="64" t="e">
        <f ca="1">OFFSET('360SpcLdsCSV'!$B$5,$B156,X$51)*$P156</f>
        <v>#N/A</v>
      </c>
      <c r="Y156" s="64" t="e">
        <f ca="1">OFFSET('360SpcLdsCSV'!$B$5,$B156,Y$51)*$X156/1000</f>
        <v>#N/A</v>
      </c>
      <c r="Z156" s="84" t="e">
        <f t="shared" ca="1" si="97"/>
        <v>#N/A</v>
      </c>
      <c r="AA156" s="64" t="e">
        <f ca="1">OFFSET('360SpcLdsCSV'!$B$5,$B156,AA$51)*$P156</f>
        <v>#N/A</v>
      </c>
      <c r="AB156" s="64" t="e">
        <f ca="1">OFFSET('360SpcLdsCSV'!$B$5,$B156,AB$51)*$AA156/1000</f>
        <v>#N/A</v>
      </c>
      <c r="AC156" s="65" t="e">
        <f ca="1">'Ltg IntTakeoffs'!EZ111</f>
        <v>#N/A</v>
      </c>
      <c r="AD156" s="64" t="e">
        <f t="shared" ca="1" si="98"/>
        <v>#N/A</v>
      </c>
      <c r="AE156" s="558" t="e">
        <f ca="1">'Ltg IntTakeoffs'!FA111*M156</f>
        <v>#N/A</v>
      </c>
      <c r="AF156" s="559" t="e">
        <f ca="1">'Ltg IntTakeoffs'!FB111*M156</f>
        <v>#N/A</v>
      </c>
      <c r="AG156" s="62"/>
      <c r="AH156" s="62"/>
    </row>
    <row r="157" spans="2:34" ht="15" customHeight="1" x14ac:dyDescent="0.2">
      <c r="B157" s="62" t="e">
        <f>MATCH(C157,'360SpcLdsCSV'!$C$6:$C$500,0)</f>
        <v>#N/A</v>
      </c>
      <c r="C157" s="62">
        <f>'360SpcLdsCSV'!C106</f>
        <v>0</v>
      </c>
      <c r="D157" s="62" t="str">
        <f t="shared" si="90"/>
        <v>0</v>
      </c>
      <c r="E157" s="62" t="e">
        <f t="shared" si="91"/>
        <v>#VALUE!</v>
      </c>
      <c r="F157" s="62" t="e">
        <f t="shared" si="92"/>
        <v>#VALUE!</v>
      </c>
      <c r="G157" s="62" t="str">
        <f t="shared" si="93"/>
        <v>0</v>
      </c>
      <c r="H157" s="62" t="e">
        <f ca="1">OFFSET('360SpcLdsCSV'!$B$5,$B157,H$51)</f>
        <v>#N/A</v>
      </c>
      <c r="I157" s="62" t="e">
        <f ca="1">OFFSET('360SpcLdsCSV'!$B$5,$B157,I$51)</f>
        <v>#N/A</v>
      </c>
      <c r="J157" s="62" t="e">
        <f ca="1">OFFSET('360SpcLdsCSV'!$B$5,$B157,J$51)</f>
        <v>#N/A</v>
      </c>
      <c r="K157" s="62" t="e">
        <f ca="1">OFFSET('360SpcLdsCSV'!$B$5,$B157,K$51)</f>
        <v>#N/A</v>
      </c>
      <c r="L157" s="62" t="e">
        <f ca="1">OFFSET('360SpcLdsCSV'!$B$5,$B157,L$51)</f>
        <v>#N/A</v>
      </c>
      <c r="M157" s="1178" t="e">
        <f t="shared" ref="M157:N172" ca="1" si="100">OFFSET(Spaces_Ref,$B157,M$51)</f>
        <v>#N/A</v>
      </c>
      <c r="N157" s="1178" t="e">
        <f t="shared" ca="1" si="100"/>
        <v>#N/A</v>
      </c>
      <c r="O157" s="62" t="e">
        <f ca="1">OFFSET('360SpcLdsCSV'!$B$5,$B157,O$51)</f>
        <v>#N/A</v>
      </c>
      <c r="P157" s="64" t="e">
        <f ca="1">OFFSET('360SpcLdsCSV'!$B$5,$B157,P$51)</f>
        <v>#N/A</v>
      </c>
      <c r="Q157" s="84" t="e">
        <f t="shared" ca="1" si="94"/>
        <v>#N/A</v>
      </c>
      <c r="R157" s="64" t="e">
        <f ca="1">OFFSET('360SpcLdsCSV'!$B$5,$B157,R$51)*$P157</f>
        <v>#N/A</v>
      </c>
      <c r="S157" s="64" t="e">
        <f ca="1">OFFSET('360SpcLdsCSV'!$B$5,$B157,S$51)*$R157/1000</f>
        <v>#N/A</v>
      </c>
      <c r="T157" s="84" t="e">
        <f t="shared" ca="1" si="95"/>
        <v>#N/A</v>
      </c>
      <c r="U157" s="64" t="e">
        <f ca="1">OFFSET('360SpcLdsCSV'!$B$5,$B157,U$51)</f>
        <v>#N/A</v>
      </c>
      <c r="V157" s="64" t="e">
        <f ca="1">OFFSET('360SpcLdsCSV'!$B$5,$B157,V$51)*$U157/1000</f>
        <v>#N/A</v>
      </c>
      <c r="W157" s="84" t="e">
        <f t="shared" ca="1" si="96"/>
        <v>#N/A</v>
      </c>
      <c r="X157" s="64" t="e">
        <f ca="1">OFFSET('360SpcLdsCSV'!$B$5,$B157,X$51)*$P157</f>
        <v>#N/A</v>
      </c>
      <c r="Y157" s="64" t="e">
        <f ca="1">OFFSET('360SpcLdsCSV'!$B$5,$B157,Y$51)*$X157/1000</f>
        <v>#N/A</v>
      </c>
      <c r="Z157" s="84" t="e">
        <f t="shared" ca="1" si="97"/>
        <v>#N/A</v>
      </c>
      <c r="AA157" s="64" t="e">
        <f ca="1">OFFSET('360SpcLdsCSV'!$B$5,$B157,AA$51)*$P157</f>
        <v>#N/A</v>
      </c>
      <c r="AB157" s="64" t="e">
        <f ca="1">OFFSET('360SpcLdsCSV'!$B$5,$B157,AB$51)*$AA157/1000</f>
        <v>#N/A</v>
      </c>
      <c r="AC157" s="65" t="e">
        <f ca="1">'Ltg IntTakeoffs'!EZ112</f>
        <v>#N/A</v>
      </c>
      <c r="AD157" s="64" t="e">
        <f t="shared" ca="1" si="98"/>
        <v>#N/A</v>
      </c>
      <c r="AE157" s="558" t="e">
        <f ca="1">'Ltg IntTakeoffs'!FA112*M157</f>
        <v>#N/A</v>
      </c>
      <c r="AF157" s="559" t="e">
        <f ca="1">'Ltg IntTakeoffs'!FB112*M157</f>
        <v>#N/A</v>
      </c>
      <c r="AG157" s="62"/>
      <c r="AH157" s="62"/>
    </row>
    <row r="158" spans="2:34" ht="15" customHeight="1" x14ac:dyDescent="0.2">
      <c r="B158" s="62" t="e">
        <f>MATCH(C158,'360SpcLdsCSV'!$C$6:$C$500,0)</f>
        <v>#N/A</v>
      </c>
      <c r="C158" s="62">
        <f>'360SpcLdsCSV'!C107</f>
        <v>0</v>
      </c>
      <c r="D158" s="62" t="str">
        <f t="shared" si="90"/>
        <v>0</v>
      </c>
      <c r="E158" s="62" t="e">
        <f t="shared" si="91"/>
        <v>#VALUE!</v>
      </c>
      <c r="F158" s="62" t="e">
        <f t="shared" si="92"/>
        <v>#VALUE!</v>
      </c>
      <c r="G158" s="62" t="str">
        <f t="shared" si="93"/>
        <v>0</v>
      </c>
      <c r="H158" s="62" t="e">
        <f ca="1">OFFSET('360SpcLdsCSV'!$B$5,$B158,H$51)</f>
        <v>#N/A</v>
      </c>
      <c r="I158" s="62" t="e">
        <f ca="1">OFFSET('360SpcLdsCSV'!$B$5,$B158,I$51)</f>
        <v>#N/A</v>
      </c>
      <c r="J158" s="62" t="e">
        <f ca="1">OFFSET('360SpcLdsCSV'!$B$5,$B158,J$51)</f>
        <v>#N/A</v>
      </c>
      <c r="K158" s="62" t="e">
        <f ca="1">OFFSET('360SpcLdsCSV'!$B$5,$B158,K$51)</f>
        <v>#N/A</v>
      </c>
      <c r="L158" s="62" t="e">
        <f ca="1">OFFSET('360SpcLdsCSV'!$B$5,$B158,L$51)</f>
        <v>#N/A</v>
      </c>
      <c r="M158" s="1178" t="e">
        <f t="shared" ca="1" si="100"/>
        <v>#N/A</v>
      </c>
      <c r="N158" s="1178" t="e">
        <f t="shared" ca="1" si="100"/>
        <v>#N/A</v>
      </c>
      <c r="O158" s="62" t="e">
        <f ca="1">OFFSET('360SpcLdsCSV'!$B$5,$B158,O$51)</f>
        <v>#N/A</v>
      </c>
      <c r="P158" s="64" t="e">
        <f ca="1">OFFSET('360SpcLdsCSV'!$B$5,$B158,P$51)</f>
        <v>#N/A</v>
      </c>
      <c r="Q158" s="84" t="e">
        <f t="shared" ca="1" si="94"/>
        <v>#N/A</v>
      </c>
      <c r="R158" s="64" t="e">
        <f ca="1">OFFSET('360SpcLdsCSV'!$B$5,$B158,R$51)*$P158</f>
        <v>#N/A</v>
      </c>
      <c r="S158" s="64" t="e">
        <f ca="1">OFFSET('360SpcLdsCSV'!$B$5,$B158,S$51)*$R158/1000</f>
        <v>#N/A</v>
      </c>
      <c r="T158" s="84" t="e">
        <f t="shared" ca="1" si="95"/>
        <v>#N/A</v>
      </c>
      <c r="U158" s="64" t="e">
        <f ca="1">OFFSET('360SpcLdsCSV'!$B$5,$B158,U$51)</f>
        <v>#N/A</v>
      </c>
      <c r="V158" s="64" t="e">
        <f ca="1">OFFSET('360SpcLdsCSV'!$B$5,$B158,V$51)*$U158/1000</f>
        <v>#N/A</v>
      </c>
      <c r="W158" s="84" t="e">
        <f t="shared" ca="1" si="96"/>
        <v>#N/A</v>
      </c>
      <c r="X158" s="64" t="e">
        <f ca="1">OFFSET('360SpcLdsCSV'!$B$5,$B158,X$51)*$P158</f>
        <v>#N/A</v>
      </c>
      <c r="Y158" s="64" t="e">
        <f ca="1">OFFSET('360SpcLdsCSV'!$B$5,$B158,Y$51)*$X158/1000</f>
        <v>#N/A</v>
      </c>
      <c r="Z158" s="84" t="e">
        <f t="shared" ca="1" si="97"/>
        <v>#N/A</v>
      </c>
      <c r="AA158" s="64" t="e">
        <f ca="1">OFFSET('360SpcLdsCSV'!$B$5,$B158,AA$51)*$P158</f>
        <v>#N/A</v>
      </c>
      <c r="AB158" s="64" t="e">
        <f ca="1">OFFSET('360SpcLdsCSV'!$B$5,$B158,AB$51)*$AA158/1000</f>
        <v>#N/A</v>
      </c>
      <c r="AC158" s="65" t="e">
        <f ca="1">'Ltg IntTakeoffs'!EZ113</f>
        <v>#N/A</v>
      </c>
      <c r="AD158" s="64" t="e">
        <f t="shared" ca="1" si="98"/>
        <v>#N/A</v>
      </c>
      <c r="AE158" s="558" t="e">
        <f ca="1">'Ltg IntTakeoffs'!FA113*M158</f>
        <v>#N/A</v>
      </c>
      <c r="AF158" s="559" t="e">
        <f ca="1">'Ltg IntTakeoffs'!FB113*M158</f>
        <v>#N/A</v>
      </c>
      <c r="AG158" s="62"/>
      <c r="AH158" s="62"/>
    </row>
    <row r="159" spans="2:34" ht="15" customHeight="1" x14ac:dyDescent="0.2">
      <c r="B159" s="62" t="e">
        <f>MATCH(C159,'360SpcLdsCSV'!$C$6:$C$500,0)</f>
        <v>#N/A</v>
      </c>
      <c r="C159" s="62">
        <f>'360SpcLdsCSV'!C108</f>
        <v>0</v>
      </c>
      <c r="D159" s="62" t="str">
        <f t="shared" si="90"/>
        <v>0</v>
      </c>
      <c r="E159" s="62" t="e">
        <f t="shared" si="91"/>
        <v>#VALUE!</v>
      </c>
      <c r="F159" s="62" t="e">
        <f t="shared" si="92"/>
        <v>#VALUE!</v>
      </c>
      <c r="G159" s="62" t="str">
        <f t="shared" si="93"/>
        <v>0</v>
      </c>
      <c r="H159" s="62" t="e">
        <f ca="1">OFFSET('360SpcLdsCSV'!$B$5,$B159,H$51)</f>
        <v>#N/A</v>
      </c>
      <c r="I159" s="62" t="e">
        <f ca="1">OFFSET('360SpcLdsCSV'!$B$5,$B159,I$51)</f>
        <v>#N/A</v>
      </c>
      <c r="J159" s="62" t="e">
        <f ca="1">OFFSET('360SpcLdsCSV'!$B$5,$B159,J$51)</f>
        <v>#N/A</v>
      </c>
      <c r="K159" s="62" t="e">
        <f ca="1">OFFSET('360SpcLdsCSV'!$B$5,$B159,K$51)</f>
        <v>#N/A</v>
      </c>
      <c r="L159" s="62" t="e">
        <f ca="1">OFFSET('360SpcLdsCSV'!$B$5,$B159,L$51)</f>
        <v>#N/A</v>
      </c>
      <c r="M159" s="1178" t="e">
        <f t="shared" ca="1" si="100"/>
        <v>#N/A</v>
      </c>
      <c r="N159" s="1178" t="e">
        <f t="shared" ca="1" si="100"/>
        <v>#N/A</v>
      </c>
      <c r="O159" s="62" t="e">
        <f ca="1">OFFSET('360SpcLdsCSV'!$B$5,$B159,O$51)</f>
        <v>#N/A</v>
      </c>
      <c r="P159" s="64" t="e">
        <f ca="1">OFFSET('360SpcLdsCSV'!$B$5,$B159,P$51)</f>
        <v>#N/A</v>
      </c>
      <c r="Q159" s="84" t="e">
        <f t="shared" ca="1" si="94"/>
        <v>#N/A</v>
      </c>
      <c r="R159" s="64" t="e">
        <f ca="1">OFFSET('360SpcLdsCSV'!$B$5,$B159,R$51)*$P159</f>
        <v>#N/A</v>
      </c>
      <c r="S159" s="64" t="e">
        <f ca="1">OFFSET('360SpcLdsCSV'!$B$5,$B159,S$51)*$R159/1000</f>
        <v>#N/A</v>
      </c>
      <c r="T159" s="84" t="e">
        <f t="shared" ca="1" si="95"/>
        <v>#N/A</v>
      </c>
      <c r="U159" s="64" t="e">
        <f ca="1">OFFSET('360SpcLdsCSV'!$B$5,$B159,U$51)</f>
        <v>#N/A</v>
      </c>
      <c r="V159" s="64" t="e">
        <f ca="1">OFFSET('360SpcLdsCSV'!$B$5,$B159,V$51)*$U159/1000</f>
        <v>#N/A</v>
      </c>
      <c r="W159" s="84" t="e">
        <f t="shared" ca="1" si="96"/>
        <v>#N/A</v>
      </c>
      <c r="X159" s="64" t="e">
        <f ca="1">OFFSET('360SpcLdsCSV'!$B$5,$B159,X$51)*$P159</f>
        <v>#N/A</v>
      </c>
      <c r="Y159" s="64" t="e">
        <f ca="1">OFFSET('360SpcLdsCSV'!$B$5,$B159,Y$51)*$X159/1000</f>
        <v>#N/A</v>
      </c>
      <c r="Z159" s="84" t="e">
        <f t="shared" ca="1" si="97"/>
        <v>#N/A</v>
      </c>
      <c r="AA159" s="64" t="e">
        <f ca="1">OFFSET('360SpcLdsCSV'!$B$5,$B159,AA$51)*$P159</f>
        <v>#N/A</v>
      </c>
      <c r="AB159" s="64" t="e">
        <f ca="1">OFFSET('360SpcLdsCSV'!$B$5,$B159,AB$51)*$AA159/1000</f>
        <v>#N/A</v>
      </c>
      <c r="AC159" s="65" t="e">
        <f ca="1">'Ltg IntTakeoffs'!EZ114</f>
        <v>#N/A</v>
      </c>
      <c r="AD159" s="64" t="e">
        <f t="shared" ca="1" si="98"/>
        <v>#N/A</v>
      </c>
      <c r="AE159" s="558" t="e">
        <f ca="1">'Ltg IntTakeoffs'!FA114*M159</f>
        <v>#N/A</v>
      </c>
      <c r="AF159" s="559" t="e">
        <f ca="1">'Ltg IntTakeoffs'!FB114*M159</f>
        <v>#N/A</v>
      </c>
      <c r="AG159" s="62"/>
      <c r="AH159" s="62"/>
    </row>
    <row r="160" spans="2:34" ht="15" customHeight="1" x14ac:dyDescent="0.2">
      <c r="B160" s="62" t="e">
        <f>MATCH(C160,'360SpcLdsCSV'!$C$6:$C$500,0)</f>
        <v>#N/A</v>
      </c>
      <c r="C160" s="62">
        <f>'360SpcLdsCSV'!C109</f>
        <v>0</v>
      </c>
      <c r="D160" s="62" t="str">
        <f t="shared" ref="D160:D202" si="101">LEFT(C160,3)</f>
        <v>0</v>
      </c>
      <c r="E160" s="62" t="e">
        <f t="shared" si="91"/>
        <v>#VALUE!</v>
      </c>
      <c r="F160" s="62" t="e">
        <f t="shared" si="92"/>
        <v>#VALUE!</v>
      </c>
      <c r="G160" s="62" t="str">
        <f t="shared" ref="G160:G202" si="102">RIGHT(C160,4)</f>
        <v>0</v>
      </c>
      <c r="H160" s="62" t="e">
        <f ca="1">OFFSET('360SpcLdsCSV'!$B$5,$B160,H$51)</f>
        <v>#N/A</v>
      </c>
      <c r="I160" s="62" t="e">
        <f ca="1">OFFSET('360SpcLdsCSV'!$B$5,$B160,I$51)</f>
        <v>#N/A</v>
      </c>
      <c r="J160" s="62" t="e">
        <f ca="1">OFFSET('360SpcLdsCSV'!$B$5,$B160,J$51)</f>
        <v>#N/A</v>
      </c>
      <c r="K160" s="62" t="e">
        <f ca="1">OFFSET('360SpcLdsCSV'!$B$5,$B160,K$51)</f>
        <v>#N/A</v>
      </c>
      <c r="L160" s="62" t="e">
        <f ca="1">OFFSET('360SpcLdsCSV'!$B$5,$B160,L$51)</f>
        <v>#N/A</v>
      </c>
      <c r="M160" s="1178" t="e">
        <f t="shared" ca="1" si="100"/>
        <v>#N/A</v>
      </c>
      <c r="N160" s="1178" t="e">
        <f t="shared" ca="1" si="100"/>
        <v>#N/A</v>
      </c>
      <c r="O160" s="62" t="e">
        <f ca="1">OFFSET('360SpcLdsCSV'!$B$5,$B160,O$51)</f>
        <v>#N/A</v>
      </c>
      <c r="P160" s="64" t="e">
        <f ca="1">OFFSET('360SpcLdsCSV'!$B$5,$B160,P$51)</f>
        <v>#N/A</v>
      </c>
      <c r="Q160" s="84" t="e">
        <f t="shared" ref="Q160:Q202" ca="1" si="103">R160/$M160</f>
        <v>#N/A</v>
      </c>
      <c r="R160" s="64" t="e">
        <f ca="1">OFFSET('360SpcLdsCSV'!$B$5,$B160,R$51)*$P160</f>
        <v>#N/A</v>
      </c>
      <c r="S160" s="64" t="e">
        <f ca="1">OFFSET('360SpcLdsCSV'!$B$5,$B160,S$51)*$R160/1000</f>
        <v>#N/A</v>
      </c>
      <c r="T160" s="84" t="e">
        <f t="shared" ref="T160:T202" ca="1" si="104">U160/$M160</f>
        <v>#N/A</v>
      </c>
      <c r="U160" s="64" t="e">
        <f ca="1">OFFSET('360SpcLdsCSV'!$B$5,$B160,U$51)</f>
        <v>#N/A</v>
      </c>
      <c r="V160" s="64" t="e">
        <f ca="1">OFFSET('360SpcLdsCSV'!$B$5,$B160,V$51)*$U160/1000</f>
        <v>#N/A</v>
      </c>
      <c r="W160" s="84" t="e">
        <f t="shared" ref="W160:W202" ca="1" si="105">X160/$M160</f>
        <v>#N/A</v>
      </c>
      <c r="X160" s="64" t="e">
        <f ca="1">OFFSET('360SpcLdsCSV'!$B$5,$B160,X$51)*$P160</f>
        <v>#N/A</v>
      </c>
      <c r="Y160" s="64" t="e">
        <f ca="1">OFFSET('360SpcLdsCSV'!$B$5,$B160,Y$51)*$X160/1000</f>
        <v>#N/A</v>
      </c>
      <c r="Z160" s="84" t="e">
        <f t="shared" ref="Z160:Z202" ca="1" si="106">AA160/$M160</f>
        <v>#N/A</v>
      </c>
      <c r="AA160" s="64" t="e">
        <f ca="1">OFFSET('360SpcLdsCSV'!$B$5,$B160,AA$51)*$P160</f>
        <v>#N/A</v>
      </c>
      <c r="AB160" s="64" t="e">
        <f ca="1">OFFSET('360SpcLdsCSV'!$B$5,$B160,AB$51)*$AA160/1000</f>
        <v>#N/A</v>
      </c>
      <c r="AC160" s="65" t="e">
        <f ca="1">'Ltg IntTakeoffs'!EZ115</f>
        <v>#N/A</v>
      </c>
      <c r="AD160" s="64" t="e">
        <f t="shared" ca="1" si="98"/>
        <v>#N/A</v>
      </c>
      <c r="AE160" s="558" t="e">
        <f ca="1">'Ltg IntTakeoffs'!FA115*M160</f>
        <v>#N/A</v>
      </c>
      <c r="AF160" s="559" t="e">
        <f ca="1">'Ltg IntTakeoffs'!FB115*M160</f>
        <v>#N/A</v>
      </c>
      <c r="AG160" s="62"/>
      <c r="AH160" s="62"/>
    </row>
    <row r="161" spans="2:34" ht="15" customHeight="1" x14ac:dyDescent="0.2">
      <c r="B161" s="62" t="e">
        <f>MATCH(C161,'360SpcLdsCSV'!$C$6:$C$500,0)</f>
        <v>#N/A</v>
      </c>
      <c r="C161" s="62">
        <f>'360SpcLdsCSV'!C110</f>
        <v>0</v>
      </c>
      <c r="D161" s="62" t="str">
        <f t="shared" si="101"/>
        <v>0</v>
      </c>
      <c r="E161" s="62" t="e">
        <f t="shared" si="91"/>
        <v>#VALUE!</v>
      </c>
      <c r="F161" s="62" t="e">
        <f t="shared" si="92"/>
        <v>#VALUE!</v>
      </c>
      <c r="G161" s="62" t="str">
        <f t="shared" si="102"/>
        <v>0</v>
      </c>
      <c r="H161" s="62" t="e">
        <f ca="1">OFFSET('360SpcLdsCSV'!$B$5,$B161,H$51)</f>
        <v>#N/A</v>
      </c>
      <c r="I161" s="62" t="e">
        <f ca="1">OFFSET('360SpcLdsCSV'!$B$5,$B161,I$51)</f>
        <v>#N/A</v>
      </c>
      <c r="J161" s="62" t="e">
        <f ca="1">OFFSET('360SpcLdsCSV'!$B$5,$B161,J$51)</f>
        <v>#N/A</v>
      </c>
      <c r="K161" s="62" t="e">
        <f ca="1">OFFSET('360SpcLdsCSV'!$B$5,$B161,K$51)</f>
        <v>#N/A</v>
      </c>
      <c r="L161" s="62" t="e">
        <f ca="1">OFFSET('360SpcLdsCSV'!$B$5,$B161,L$51)</f>
        <v>#N/A</v>
      </c>
      <c r="M161" s="1178" t="e">
        <f t="shared" ca="1" si="100"/>
        <v>#N/A</v>
      </c>
      <c r="N161" s="1178" t="e">
        <f t="shared" ca="1" si="100"/>
        <v>#N/A</v>
      </c>
      <c r="O161" s="62" t="e">
        <f ca="1">OFFSET('360SpcLdsCSV'!$B$5,$B161,O$51)</f>
        <v>#N/A</v>
      </c>
      <c r="P161" s="64" t="e">
        <f ca="1">OFFSET('360SpcLdsCSV'!$B$5,$B161,P$51)</f>
        <v>#N/A</v>
      </c>
      <c r="Q161" s="84" t="e">
        <f t="shared" ca="1" si="103"/>
        <v>#N/A</v>
      </c>
      <c r="R161" s="64" t="e">
        <f ca="1">OFFSET('360SpcLdsCSV'!$B$5,$B161,R$51)*$P161</f>
        <v>#N/A</v>
      </c>
      <c r="S161" s="64" t="e">
        <f ca="1">OFFSET('360SpcLdsCSV'!$B$5,$B161,S$51)*$R161/1000</f>
        <v>#N/A</v>
      </c>
      <c r="T161" s="84" t="e">
        <f t="shared" ca="1" si="104"/>
        <v>#N/A</v>
      </c>
      <c r="U161" s="64" t="e">
        <f ca="1">OFFSET('360SpcLdsCSV'!$B$5,$B161,U$51)</f>
        <v>#N/A</v>
      </c>
      <c r="V161" s="64" t="e">
        <f ca="1">OFFSET('360SpcLdsCSV'!$B$5,$B161,V$51)*$U161/1000</f>
        <v>#N/A</v>
      </c>
      <c r="W161" s="84" t="e">
        <f t="shared" ca="1" si="105"/>
        <v>#N/A</v>
      </c>
      <c r="X161" s="64" t="e">
        <f ca="1">OFFSET('360SpcLdsCSV'!$B$5,$B161,X$51)*$P161</f>
        <v>#N/A</v>
      </c>
      <c r="Y161" s="64" t="e">
        <f ca="1">OFFSET('360SpcLdsCSV'!$B$5,$B161,Y$51)*$X161/1000</f>
        <v>#N/A</v>
      </c>
      <c r="Z161" s="84" t="e">
        <f t="shared" ca="1" si="106"/>
        <v>#N/A</v>
      </c>
      <c r="AA161" s="64" t="e">
        <f ca="1">OFFSET('360SpcLdsCSV'!$B$5,$B161,AA$51)*$P161</f>
        <v>#N/A</v>
      </c>
      <c r="AB161" s="64" t="e">
        <f ca="1">OFFSET('360SpcLdsCSV'!$B$5,$B161,AB$51)*$AA161/1000</f>
        <v>#N/A</v>
      </c>
      <c r="AC161" s="65" t="e">
        <f ca="1">'Ltg IntTakeoffs'!EZ116</f>
        <v>#N/A</v>
      </c>
      <c r="AD161" s="64" t="e">
        <f t="shared" ca="1" si="98"/>
        <v>#N/A</v>
      </c>
      <c r="AE161" s="558" t="e">
        <f ca="1">'Ltg IntTakeoffs'!FA116*M161</f>
        <v>#N/A</v>
      </c>
      <c r="AF161" s="559" t="e">
        <f ca="1">'Ltg IntTakeoffs'!FB116*M161</f>
        <v>#N/A</v>
      </c>
      <c r="AG161" s="62"/>
      <c r="AH161" s="62"/>
    </row>
    <row r="162" spans="2:34" ht="15" customHeight="1" x14ac:dyDescent="0.2">
      <c r="B162" s="62" t="e">
        <f>MATCH(C162,'360SpcLdsCSV'!$C$6:$C$500,0)</f>
        <v>#N/A</v>
      </c>
      <c r="C162" s="62">
        <f>'360SpcLdsCSV'!C111</f>
        <v>0</v>
      </c>
      <c r="D162" s="62" t="str">
        <f t="shared" si="101"/>
        <v>0</v>
      </c>
      <c r="E162" s="62" t="e">
        <f t="shared" si="91"/>
        <v>#VALUE!</v>
      </c>
      <c r="F162" s="62" t="e">
        <f t="shared" si="92"/>
        <v>#VALUE!</v>
      </c>
      <c r="G162" s="62" t="str">
        <f t="shared" si="102"/>
        <v>0</v>
      </c>
      <c r="H162" s="62" t="e">
        <f ca="1">OFFSET('360SpcLdsCSV'!$B$5,$B162,H$51)</f>
        <v>#N/A</v>
      </c>
      <c r="I162" s="62" t="e">
        <f ca="1">OFFSET('360SpcLdsCSV'!$B$5,$B162,I$51)</f>
        <v>#N/A</v>
      </c>
      <c r="J162" s="62" t="e">
        <f ca="1">OFFSET('360SpcLdsCSV'!$B$5,$B162,J$51)</f>
        <v>#N/A</v>
      </c>
      <c r="K162" s="62" t="e">
        <f ca="1">OFFSET('360SpcLdsCSV'!$B$5,$B162,K$51)</f>
        <v>#N/A</v>
      </c>
      <c r="L162" s="62" t="e">
        <f ca="1">OFFSET('360SpcLdsCSV'!$B$5,$B162,L$51)</f>
        <v>#N/A</v>
      </c>
      <c r="M162" s="1178" t="e">
        <f t="shared" ca="1" si="100"/>
        <v>#N/A</v>
      </c>
      <c r="N162" s="1178" t="e">
        <f t="shared" ca="1" si="100"/>
        <v>#N/A</v>
      </c>
      <c r="O162" s="62" t="e">
        <f ca="1">OFFSET('360SpcLdsCSV'!$B$5,$B162,O$51)</f>
        <v>#N/A</v>
      </c>
      <c r="P162" s="64" t="e">
        <f ca="1">OFFSET('360SpcLdsCSV'!$B$5,$B162,P$51)</f>
        <v>#N/A</v>
      </c>
      <c r="Q162" s="84" t="e">
        <f t="shared" ca="1" si="103"/>
        <v>#N/A</v>
      </c>
      <c r="R162" s="64" t="e">
        <f ca="1">OFFSET('360SpcLdsCSV'!$B$5,$B162,R$51)*$P162</f>
        <v>#N/A</v>
      </c>
      <c r="S162" s="64" t="e">
        <f ca="1">OFFSET('360SpcLdsCSV'!$B$5,$B162,S$51)*$R162/1000</f>
        <v>#N/A</v>
      </c>
      <c r="T162" s="84" t="e">
        <f t="shared" ca="1" si="104"/>
        <v>#N/A</v>
      </c>
      <c r="U162" s="64" t="e">
        <f ca="1">OFFSET('360SpcLdsCSV'!$B$5,$B162,U$51)</f>
        <v>#N/A</v>
      </c>
      <c r="V162" s="64" t="e">
        <f ca="1">OFFSET('360SpcLdsCSV'!$B$5,$B162,V$51)*$U162/1000</f>
        <v>#N/A</v>
      </c>
      <c r="W162" s="84" t="e">
        <f t="shared" ca="1" si="105"/>
        <v>#N/A</v>
      </c>
      <c r="X162" s="64" t="e">
        <f ca="1">OFFSET('360SpcLdsCSV'!$B$5,$B162,X$51)*$P162</f>
        <v>#N/A</v>
      </c>
      <c r="Y162" s="64" t="e">
        <f ca="1">OFFSET('360SpcLdsCSV'!$B$5,$B162,Y$51)*$X162/1000</f>
        <v>#N/A</v>
      </c>
      <c r="Z162" s="84" t="e">
        <f t="shared" ca="1" si="106"/>
        <v>#N/A</v>
      </c>
      <c r="AA162" s="64" t="e">
        <f ca="1">OFFSET('360SpcLdsCSV'!$B$5,$B162,AA$51)*$P162</f>
        <v>#N/A</v>
      </c>
      <c r="AB162" s="64" t="e">
        <f ca="1">OFFSET('360SpcLdsCSV'!$B$5,$B162,AB$51)*$AA162/1000</f>
        <v>#N/A</v>
      </c>
      <c r="AC162" s="65" t="e">
        <f ca="1">'Ltg IntTakeoffs'!EZ117</f>
        <v>#N/A</v>
      </c>
      <c r="AD162" s="64" t="e">
        <f t="shared" ca="1" si="98"/>
        <v>#N/A</v>
      </c>
      <c r="AE162" s="558" t="e">
        <f ca="1">'Ltg IntTakeoffs'!FA117*M162</f>
        <v>#N/A</v>
      </c>
      <c r="AF162" s="559" t="e">
        <f ca="1">'Ltg IntTakeoffs'!FB117*M162</f>
        <v>#N/A</v>
      </c>
      <c r="AG162" s="62"/>
      <c r="AH162" s="62"/>
    </row>
    <row r="163" spans="2:34" ht="15" customHeight="1" x14ac:dyDescent="0.2">
      <c r="B163" s="62" t="e">
        <f>MATCH(C163,'360SpcLdsCSV'!$C$6:$C$500,0)</f>
        <v>#N/A</v>
      </c>
      <c r="C163" s="62">
        <f>'360SpcLdsCSV'!C112</f>
        <v>0</v>
      </c>
      <c r="D163" s="62" t="str">
        <f t="shared" si="101"/>
        <v>0</v>
      </c>
      <c r="E163" s="62" t="e">
        <f t="shared" si="91"/>
        <v>#VALUE!</v>
      </c>
      <c r="F163" s="62" t="e">
        <f t="shared" si="92"/>
        <v>#VALUE!</v>
      </c>
      <c r="G163" s="62" t="str">
        <f t="shared" si="102"/>
        <v>0</v>
      </c>
      <c r="H163" s="62" t="e">
        <f ca="1">OFFSET('360SpcLdsCSV'!$B$5,$B163,H$51)</f>
        <v>#N/A</v>
      </c>
      <c r="I163" s="62" t="e">
        <f ca="1">OFFSET('360SpcLdsCSV'!$B$5,$B163,I$51)</f>
        <v>#N/A</v>
      </c>
      <c r="J163" s="62" t="e">
        <f ca="1">OFFSET('360SpcLdsCSV'!$B$5,$B163,J$51)</f>
        <v>#N/A</v>
      </c>
      <c r="K163" s="62" t="e">
        <f ca="1">OFFSET('360SpcLdsCSV'!$B$5,$B163,K$51)</f>
        <v>#N/A</v>
      </c>
      <c r="L163" s="62" t="e">
        <f ca="1">OFFSET('360SpcLdsCSV'!$B$5,$B163,L$51)</f>
        <v>#N/A</v>
      </c>
      <c r="M163" s="1178" t="e">
        <f t="shared" ca="1" si="100"/>
        <v>#N/A</v>
      </c>
      <c r="N163" s="1178" t="e">
        <f t="shared" ca="1" si="100"/>
        <v>#N/A</v>
      </c>
      <c r="O163" s="62" t="e">
        <f ca="1">OFFSET('360SpcLdsCSV'!$B$5,$B163,O$51)</f>
        <v>#N/A</v>
      </c>
      <c r="P163" s="64" t="e">
        <f ca="1">OFFSET('360SpcLdsCSV'!$B$5,$B163,P$51)</f>
        <v>#N/A</v>
      </c>
      <c r="Q163" s="84" t="e">
        <f t="shared" ca="1" si="103"/>
        <v>#N/A</v>
      </c>
      <c r="R163" s="64" t="e">
        <f ca="1">OFFSET('360SpcLdsCSV'!$B$5,$B163,R$51)*$P163</f>
        <v>#N/A</v>
      </c>
      <c r="S163" s="64" t="e">
        <f ca="1">OFFSET('360SpcLdsCSV'!$B$5,$B163,S$51)*$R163/1000</f>
        <v>#N/A</v>
      </c>
      <c r="T163" s="84" t="e">
        <f t="shared" ca="1" si="104"/>
        <v>#N/A</v>
      </c>
      <c r="U163" s="64" t="e">
        <f ca="1">OFFSET('360SpcLdsCSV'!$B$5,$B163,U$51)</f>
        <v>#N/A</v>
      </c>
      <c r="V163" s="64" t="e">
        <f ca="1">OFFSET('360SpcLdsCSV'!$B$5,$B163,V$51)*$U163/1000</f>
        <v>#N/A</v>
      </c>
      <c r="W163" s="84" t="e">
        <f t="shared" ca="1" si="105"/>
        <v>#N/A</v>
      </c>
      <c r="X163" s="64" t="e">
        <f ca="1">OFFSET('360SpcLdsCSV'!$B$5,$B163,X$51)*$P163</f>
        <v>#N/A</v>
      </c>
      <c r="Y163" s="64" t="e">
        <f ca="1">OFFSET('360SpcLdsCSV'!$B$5,$B163,Y$51)*$X163/1000</f>
        <v>#N/A</v>
      </c>
      <c r="Z163" s="84" t="e">
        <f t="shared" ca="1" si="106"/>
        <v>#N/A</v>
      </c>
      <c r="AA163" s="64" t="e">
        <f ca="1">OFFSET('360SpcLdsCSV'!$B$5,$B163,AA$51)*$P163</f>
        <v>#N/A</v>
      </c>
      <c r="AB163" s="64" t="e">
        <f ca="1">OFFSET('360SpcLdsCSV'!$B$5,$B163,AB$51)*$AA163/1000</f>
        <v>#N/A</v>
      </c>
      <c r="AC163" s="65" t="e">
        <f ca="1">'Ltg IntTakeoffs'!EZ118</f>
        <v>#N/A</v>
      </c>
      <c r="AD163" s="64" t="e">
        <f t="shared" ca="1" si="98"/>
        <v>#N/A</v>
      </c>
      <c r="AE163" s="558" t="e">
        <f ca="1">'Ltg IntTakeoffs'!FA118*M163</f>
        <v>#N/A</v>
      </c>
      <c r="AF163" s="559" t="e">
        <f ca="1">'Ltg IntTakeoffs'!FB118*M163</f>
        <v>#N/A</v>
      </c>
      <c r="AG163" s="62"/>
      <c r="AH163" s="62"/>
    </row>
    <row r="164" spans="2:34" ht="15" customHeight="1" x14ac:dyDescent="0.2">
      <c r="B164" s="62" t="e">
        <f>MATCH(C164,'360SpcLdsCSV'!$C$6:$C$500,0)</f>
        <v>#N/A</v>
      </c>
      <c r="C164" s="62">
        <f>'360SpcLdsCSV'!C113</f>
        <v>0</v>
      </c>
      <c r="D164" s="62" t="str">
        <f t="shared" si="101"/>
        <v>0</v>
      </c>
      <c r="E164" s="62" t="e">
        <f t="shared" si="91"/>
        <v>#VALUE!</v>
      </c>
      <c r="F164" s="62" t="e">
        <f t="shared" si="92"/>
        <v>#VALUE!</v>
      </c>
      <c r="G164" s="62" t="str">
        <f t="shared" si="102"/>
        <v>0</v>
      </c>
      <c r="H164" s="62" t="e">
        <f ca="1">OFFSET('360SpcLdsCSV'!$B$5,$B164,H$51)</f>
        <v>#N/A</v>
      </c>
      <c r="I164" s="62" t="e">
        <f ca="1">OFFSET('360SpcLdsCSV'!$B$5,$B164,I$51)</f>
        <v>#N/A</v>
      </c>
      <c r="J164" s="62" t="e">
        <f ca="1">OFFSET('360SpcLdsCSV'!$B$5,$B164,J$51)</f>
        <v>#N/A</v>
      </c>
      <c r="K164" s="62" t="e">
        <f ca="1">OFFSET('360SpcLdsCSV'!$B$5,$B164,K$51)</f>
        <v>#N/A</v>
      </c>
      <c r="L164" s="62" t="e">
        <f ca="1">OFFSET('360SpcLdsCSV'!$B$5,$B164,L$51)</f>
        <v>#N/A</v>
      </c>
      <c r="M164" s="1178" t="e">
        <f t="shared" ca="1" si="100"/>
        <v>#N/A</v>
      </c>
      <c r="N164" s="1178" t="e">
        <f t="shared" ca="1" si="100"/>
        <v>#N/A</v>
      </c>
      <c r="O164" s="62" t="e">
        <f ca="1">OFFSET('360SpcLdsCSV'!$B$5,$B164,O$51)</f>
        <v>#N/A</v>
      </c>
      <c r="P164" s="64" t="e">
        <f ca="1">OFFSET('360SpcLdsCSV'!$B$5,$B164,P$51)</f>
        <v>#N/A</v>
      </c>
      <c r="Q164" s="84" t="e">
        <f t="shared" ca="1" si="103"/>
        <v>#N/A</v>
      </c>
      <c r="R164" s="64" t="e">
        <f ca="1">OFFSET('360SpcLdsCSV'!$B$5,$B164,R$51)*$P164</f>
        <v>#N/A</v>
      </c>
      <c r="S164" s="64" t="e">
        <f ca="1">OFFSET('360SpcLdsCSV'!$B$5,$B164,S$51)*$R164/1000</f>
        <v>#N/A</v>
      </c>
      <c r="T164" s="84" t="e">
        <f t="shared" ca="1" si="104"/>
        <v>#N/A</v>
      </c>
      <c r="U164" s="64" t="e">
        <f ca="1">OFFSET('360SpcLdsCSV'!$B$5,$B164,U$51)</f>
        <v>#N/A</v>
      </c>
      <c r="V164" s="64" t="e">
        <f ca="1">OFFSET('360SpcLdsCSV'!$B$5,$B164,V$51)*$U164/1000</f>
        <v>#N/A</v>
      </c>
      <c r="W164" s="84" t="e">
        <f t="shared" ca="1" si="105"/>
        <v>#N/A</v>
      </c>
      <c r="X164" s="64" t="e">
        <f ca="1">OFFSET('360SpcLdsCSV'!$B$5,$B164,X$51)*$P164</f>
        <v>#N/A</v>
      </c>
      <c r="Y164" s="64" t="e">
        <f ca="1">OFFSET('360SpcLdsCSV'!$B$5,$B164,Y$51)*$X164/1000</f>
        <v>#N/A</v>
      </c>
      <c r="Z164" s="84" t="e">
        <f t="shared" ca="1" si="106"/>
        <v>#N/A</v>
      </c>
      <c r="AA164" s="64" t="e">
        <f ca="1">OFFSET('360SpcLdsCSV'!$B$5,$B164,AA$51)*$P164</f>
        <v>#N/A</v>
      </c>
      <c r="AB164" s="64" t="e">
        <f ca="1">OFFSET('360SpcLdsCSV'!$B$5,$B164,AB$51)*$AA164/1000</f>
        <v>#N/A</v>
      </c>
      <c r="AC164" s="65" t="e">
        <f ca="1">'Ltg IntTakeoffs'!EZ119</f>
        <v>#N/A</v>
      </c>
      <c r="AD164" s="64" t="e">
        <f t="shared" ca="1" si="98"/>
        <v>#N/A</v>
      </c>
      <c r="AE164" s="558" t="e">
        <f ca="1">'Ltg IntTakeoffs'!FA119*M164</f>
        <v>#N/A</v>
      </c>
      <c r="AF164" s="559" t="e">
        <f ca="1">'Ltg IntTakeoffs'!FB119*M164</f>
        <v>#N/A</v>
      </c>
      <c r="AG164" s="62"/>
      <c r="AH164" s="62"/>
    </row>
    <row r="165" spans="2:34" ht="15" customHeight="1" x14ac:dyDescent="0.2">
      <c r="B165" s="62" t="e">
        <f>MATCH(C165,'360SpcLdsCSV'!$C$6:$C$500,0)</f>
        <v>#N/A</v>
      </c>
      <c r="C165" s="62">
        <f>'360SpcLdsCSV'!C114</f>
        <v>0</v>
      </c>
      <c r="D165" s="62" t="str">
        <f t="shared" si="101"/>
        <v>0</v>
      </c>
      <c r="E165" s="62" t="e">
        <f t="shared" si="91"/>
        <v>#VALUE!</v>
      </c>
      <c r="F165" s="62" t="e">
        <f t="shared" si="92"/>
        <v>#VALUE!</v>
      </c>
      <c r="G165" s="62" t="str">
        <f t="shared" si="102"/>
        <v>0</v>
      </c>
      <c r="H165" s="62" t="e">
        <f ca="1">OFFSET('360SpcLdsCSV'!$B$5,$B165,H$51)</f>
        <v>#N/A</v>
      </c>
      <c r="I165" s="62" t="e">
        <f ca="1">OFFSET('360SpcLdsCSV'!$B$5,$B165,I$51)</f>
        <v>#N/A</v>
      </c>
      <c r="J165" s="62" t="e">
        <f ca="1">OFFSET('360SpcLdsCSV'!$B$5,$B165,J$51)</f>
        <v>#N/A</v>
      </c>
      <c r="K165" s="62" t="e">
        <f ca="1">OFFSET('360SpcLdsCSV'!$B$5,$B165,K$51)</f>
        <v>#N/A</v>
      </c>
      <c r="L165" s="62" t="e">
        <f ca="1">OFFSET('360SpcLdsCSV'!$B$5,$B165,L$51)</f>
        <v>#N/A</v>
      </c>
      <c r="M165" s="1178" t="e">
        <f t="shared" ca="1" si="100"/>
        <v>#N/A</v>
      </c>
      <c r="N165" s="1178" t="e">
        <f t="shared" ca="1" si="100"/>
        <v>#N/A</v>
      </c>
      <c r="O165" s="62" t="e">
        <f ca="1">OFFSET('360SpcLdsCSV'!$B$5,$B165,O$51)</f>
        <v>#N/A</v>
      </c>
      <c r="P165" s="64" t="e">
        <f ca="1">OFFSET('360SpcLdsCSV'!$B$5,$B165,P$51)</f>
        <v>#N/A</v>
      </c>
      <c r="Q165" s="84" t="e">
        <f t="shared" ca="1" si="103"/>
        <v>#N/A</v>
      </c>
      <c r="R165" s="64" t="e">
        <f ca="1">OFFSET('360SpcLdsCSV'!$B$5,$B165,R$51)*$P165</f>
        <v>#N/A</v>
      </c>
      <c r="S165" s="64" t="e">
        <f ca="1">OFFSET('360SpcLdsCSV'!$B$5,$B165,S$51)*$R165/1000</f>
        <v>#N/A</v>
      </c>
      <c r="T165" s="84" t="e">
        <f t="shared" ca="1" si="104"/>
        <v>#N/A</v>
      </c>
      <c r="U165" s="64" t="e">
        <f ca="1">OFFSET('360SpcLdsCSV'!$B$5,$B165,U$51)</f>
        <v>#N/A</v>
      </c>
      <c r="V165" s="64" t="e">
        <f ca="1">OFFSET('360SpcLdsCSV'!$B$5,$B165,V$51)*$U165/1000</f>
        <v>#N/A</v>
      </c>
      <c r="W165" s="84" t="e">
        <f t="shared" ca="1" si="105"/>
        <v>#N/A</v>
      </c>
      <c r="X165" s="64" t="e">
        <f ca="1">OFFSET('360SpcLdsCSV'!$B$5,$B165,X$51)*$P165</f>
        <v>#N/A</v>
      </c>
      <c r="Y165" s="64" t="e">
        <f ca="1">OFFSET('360SpcLdsCSV'!$B$5,$B165,Y$51)*$X165/1000</f>
        <v>#N/A</v>
      </c>
      <c r="Z165" s="84" t="e">
        <f t="shared" ca="1" si="106"/>
        <v>#N/A</v>
      </c>
      <c r="AA165" s="64" t="e">
        <f ca="1">OFFSET('360SpcLdsCSV'!$B$5,$B165,AA$51)*$P165</f>
        <v>#N/A</v>
      </c>
      <c r="AB165" s="64" t="e">
        <f ca="1">OFFSET('360SpcLdsCSV'!$B$5,$B165,AB$51)*$AA165/1000</f>
        <v>#N/A</v>
      </c>
      <c r="AC165" s="65" t="e">
        <f ca="1">'Ltg IntTakeoffs'!EZ120</f>
        <v>#N/A</v>
      </c>
      <c r="AD165" s="64" t="e">
        <f t="shared" ca="1" si="98"/>
        <v>#N/A</v>
      </c>
      <c r="AE165" s="558" t="e">
        <f ca="1">'Ltg IntTakeoffs'!FA120*M165</f>
        <v>#N/A</v>
      </c>
      <c r="AF165" s="559" t="e">
        <f ca="1">'Ltg IntTakeoffs'!FB120*M165</f>
        <v>#N/A</v>
      </c>
      <c r="AG165" s="62"/>
      <c r="AH165" s="62"/>
    </row>
    <row r="166" spans="2:34" ht="15" customHeight="1" x14ac:dyDescent="0.2">
      <c r="B166" s="62" t="e">
        <f>MATCH(C166,'360SpcLdsCSV'!$C$6:$C$500,0)</f>
        <v>#N/A</v>
      </c>
      <c r="C166" s="62">
        <f>'360SpcLdsCSV'!C115</f>
        <v>0</v>
      </c>
      <c r="D166" s="62" t="str">
        <f t="shared" si="101"/>
        <v>0</v>
      </c>
      <c r="E166" s="62" t="e">
        <f t="shared" si="91"/>
        <v>#VALUE!</v>
      </c>
      <c r="F166" s="62" t="e">
        <f t="shared" si="92"/>
        <v>#VALUE!</v>
      </c>
      <c r="G166" s="62" t="str">
        <f t="shared" si="102"/>
        <v>0</v>
      </c>
      <c r="H166" s="62" t="e">
        <f ca="1">OFFSET('360SpcLdsCSV'!$B$5,$B166,H$51)</f>
        <v>#N/A</v>
      </c>
      <c r="I166" s="62" t="e">
        <f ca="1">OFFSET('360SpcLdsCSV'!$B$5,$B166,I$51)</f>
        <v>#N/A</v>
      </c>
      <c r="J166" s="62" t="e">
        <f ca="1">OFFSET('360SpcLdsCSV'!$B$5,$B166,J$51)</f>
        <v>#N/A</v>
      </c>
      <c r="K166" s="62" t="e">
        <f ca="1">OFFSET('360SpcLdsCSV'!$B$5,$B166,K$51)</f>
        <v>#N/A</v>
      </c>
      <c r="L166" s="62" t="e">
        <f ca="1">OFFSET('360SpcLdsCSV'!$B$5,$B166,L$51)</f>
        <v>#N/A</v>
      </c>
      <c r="M166" s="1178" t="e">
        <f t="shared" ca="1" si="100"/>
        <v>#N/A</v>
      </c>
      <c r="N166" s="1178" t="e">
        <f t="shared" ca="1" si="100"/>
        <v>#N/A</v>
      </c>
      <c r="O166" s="62" t="e">
        <f ca="1">OFFSET('360SpcLdsCSV'!$B$5,$B166,O$51)</f>
        <v>#N/A</v>
      </c>
      <c r="P166" s="64" t="e">
        <f ca="1">OFFSET('360SpcLdsCSV'!$B$5,$B166,P$51)</f>
        <v>#N/A</v>
      </c>
      <c r="Q166" s="84" t="e">
        <f t="shared" ca="1" si="103"/>
        <v>#N/A</v>
      </c>
      <c r="R166" s="64" t="e">
        <f ca="1">OFFSET('360SpcLdsCSV'!$B$5,$B166,R$51)*$P166</f>
        <v>#N/A</v>
      </c>
      <c r="S166" s="64" t="e">
        <f ca="1">OFFSET('360SpcLdsCSV'!$B$5,$B166,S$51)*$R166/1000</f>
        <v>#N/A</v>
      </c>
      <c r="T166" s="84" t="e">
        <f t="shared" ca="1" si="104"/>
        <v>#N/A</v>
      </c>
      <c r="U166" s="64" t="e">
        <f ca="1">OFFSET('360SpcLdsCSV'!$B$5,$B166,U$51)</f>
        <v>#N/A</v>
      </c>
      <c r="V166" s="64" t="e">
        <f ca="1">OFFSET('360SpcLdsCSV'!$B$5,$B166,V$51)*$U166/1000</f>
        <v>#N/A</v>
      </c>
      <c r="W166" s="84" t="e">
        <f t="shared" ca="1" si="105"/>
        <v>#N/A</v>
      </c>
      <c r="X166" s="64" t="e">
        <f ca="1">OFFSET('360SpcLdsCSV'!$B$5,$B166,X$51)*$P166</f>
        <v>#N/A</v>
      </c>
      <c r="Y166" s="64" t="e">
        <f ca="1">OFFSET('360SpcLdsCSV'!$B$5,$B166,Y$51)*$X166/1000</f>
        <v>#N/A</v>
      </c>
      <c r="Z166" s="84" t="e">
        <f t="shared" ca="1" si="106"/>
        <v>#N/A</v>
      </c>
      <c r="AA166" s="64" t="e">
        <f ca="1">OFFSET('360SpcLdsCSV'!$B$5,$B166,AA$51)*$P166</f>
        <v>#N/A</v>
      </c>
      <c r="AB166" s="64" t="e">
        <f ca="1">OFFSET('360SpcLdsCSV'!$B$5,$B166,AB$51)*$AA166/1000</f>
        <v>#N/A</v>
      </c>
      <c r="AC166" s="65" t="e">
        <f ca="1">'Ltg IntTakeoffs'!EZ121</f>
        <v>#N/A</v>
      </c>
      <c r="AD166" s="64" t="e">
        <f t="shared" ca="1" si="98"/>
        <v>#N/A</v>
      </c>
      <c r="AE166" s="558" t="e">
        <f ca="1">'Ltg IntTakeoffs'!FA121*M166</f>
        <v>#N/A</v>
      </c>
      <c r="AF166" s="559" t="e">
        <f ca="1">'Ltg IntTakeoffs'!FB121*M166</f>
        <v>#N/A</v>
      </c>
      <c r="AG166" s="62"/>
      <c r="AH166" s="62"/>
    </row>
    <row r="167" spans="2:34" ht="15" customHeight="1" x14ac:dyDescent="0.2">
      <c r="B167" s="62" t="e">
        <f>MATCH(C167,'360SpcLdsCSV'!$C$6:$C$500,0)</f>
        <v>#N/A</v>
      </c>
      <c r="C167" s="62">
        <f>'360SpcLdsCSV'!C116</f>
        <v>0</v>
      </c>
      <c r="D167" s="62" t="str">
        <f t="shared" si="101"/>
        <v>0</v>
      </c>
      <c r="E167" s="62" t="e">
        <f t="shared" si="91"/>
        <v>#VALUE!</v>
      </c>
      <c r="F167" s="62" t="e">
        <f t="shared" si="92"/>
        <v>#VALUE!</v>
      </c>
      <c r="G167" s="62" t="str">
        <f t="shared" si="102"/>
        <v>0</v>
      </c>
      <c r="H167" s="62" t="e">
        <f ca="1">OFFSET('360SpcLdsCSV'!$B$5,$B167,H$51)</f>
        <v>#N/A</v>
      </c>
      <c r="I167" s="62" t="e">
        <f ca="1">OFFSET('360SpcLdsCSV'!$B$5,$B167,I$51)</f>
        <v>#N/A</v>
      </c>
      <c r="J167" s="62" t="e">
        <f ca="1">OFFSET('360SpcLdsCSV'!$B$5,$B167,J$51)</f>
        <v>#N/A</v>
      </c>
      <c r="K167" s="62" t="e">
        <f ca="1">OFFSET('360SpcLdsCSV'!$B$5,$B167,K$51)</f>
        <v>#N/A</v>
      </c>
      <c r="L167" s="62" t="e">
        <f ca="1">OFFSET('360SpcLdsCSV'!$B$5,$B167,L$51)</f>
        <v>#N/A</v>
      </c>
      <c r="M167" s="1178" t="e">
        <f t="shared" ca="1" si="100"/>
        <v>#N/A</v>
      </c>
      <c r="N167" s="1178" t="e">
        <f t="shared" ca="1" si="100"/>
        <v>#N/A</v>
      </c>
      <c r="O167" s="62" t="e">
        <f ca="1">OFFSET('360SpcLdsCSV'!$B$5,$B167,O$51)</f>
        <v>#N/A</v>
      </c>
      <c r="P167" s="64" t="e">
        <f ca="1">OFFSET('360SpcLdsCSV'!$B$5,$B167,P$51)</f>
        <v>#N/A</v>
      </c>
      <c r="Q167" s="84" t="e">
        <f t="shared" ca="1" si="103"/>
        <v>#N/A</v>
      </c>
      <c r="R167" s="64" t="e">
        <f ca="1">OFFSET('360SpcLdsCSV'!$B$5,$B167,R$51)*$P167</f>
        <v>#N/A</v>
      </c>
      <c r="S167" s="64" t="e">
        <f ca="1">OFFSET('360SpcLdsCSV'!$B$5,$B167,S$51)*$R167/1000</f>
        <v>#N/A</v>
      </c>
      <c r="T167" s="84" t="e">
        <f t="shared" ca="1" si="104"/>
        <v>#N/A</v>
      </c>
      <c r="U167" s="64" t="e">
        <f ca="1">OFFSET('360SpcLdsCSV'!$B$5,$B167,U$51)</f>
        <v>#N/A</v>
      </c>
      <c r="V167" s="64" t="e">
        <f ca="1">OFFSET('360SpcLdsCSV'!$B$5,$B167,V$51)*$U167/1000</f>
        <v>#N/A</v>
      </c>
      <c r="W167" s="84" t="e">
        <f t="shared" ca="1" si="105"/>
        <v>#N/A</v>
      </c>
      <c r="X167" s="64" t="e">
        <f ca="1">OFFSET('360SpcLdsCSV'!$B$5,$B167,X$51)*$P167</f>
        <v>#N/A</v>
      </c>
      <c r="Y167" s="64" t="e">
        <f ca="1">OFFSET('360SpcLdsCSV'!$B$5,$B167,Y$51)*$X167/1000</f>
        <v>#N/A</v>
      </c>
      <c r="Z167" s="84" t="e">
        <f t="shared" ca="1" si="106"/>
        <v>#N/A</v>
      </c>
      <c r="AA167" s="64" t="e">
        <f ca="1">OFFSET('360SpcLdsCSV'!$B$5,$B167,AA$51)*$P167</f>
        <v>#N/A</v>
      </c>
      <c r="AB167" s="64" t="e">
        <f ca="1">OFFSET('360SpcLdsCSV'!$B$5,$B167,AB$51)*$AA167/1000</f>
        <v>#N/A</v>
      </c>
      <c r="AC167" s="65" t="e">
        <f ca="1">'Ltg IntTakeoffs'!EZ122</f>
        <v>#N/A</v>
      </c>
      <c r="AD167" s="64" t="e">
        <f t="shared" ca="1" si="98"/>
        <v>#N/A</v>
      </c>
      <c r="AE167" s="558" t="e">
        <f ca="1">'Ltg IntTakeoffs'!FA122*M167</f>
        <v>#N/A</v>
      </c>
      <c r="AF167" s="559" t="e">
        <f ca="1">'Ltg IntTakeoffs'!FB122*M167</f>
        <v>#N/A</v>
      </c>
      <c r="AG167" s="62"/>
      <c r="AH167" s="62"/>
    </row>
    <row r="168" spans="2:34" ht="15" customHeight="1" x14ac:dyDescent="0.2">
      <c r="B168" s="62" t="e">
        <f>MATCH(C168,'360SpcLdsCSV'!$C$6:$C$500,0)</f>
        <v>#N/A</v>
      </c>
      <c r="C168" s="62">
        <f>'360SpcLdsCSV'!C117</f>
        <v>0</v>
      </c>
      <c r="D168" s="62" t="str">
        <f t="shared" si="101"/>
        <v>0</v>
      </c>
      <c r="E168" s="62" t="e">
        <f t="shared" si="91"/>
        <v>#VALUE!</v>
      </c>
      <c r="F168" s="62" t="e">
        <f t="shared" si="92"/>
        <v>#VALUE!</v>
      </c>
      <c r="G168" s="62" t="str">
        <f t="shared" si="102"/>
        <v>0</v>
      </c>
      <c r="H168" s="62" t="e">
        <f ca="1">OFFSET('360SpcLdsCSV'!$B$5,$B168,H$51)</f>
        <v>#N/A</v>
      </c>
      <c r="I168" s="62" t="e">
        <f ca="1">OFFSET('360SpcLdsCSV'!$B$5,$B168,I$51)</f>
        <v>#N/A</v>
      </c>
      <c r="J168" s="62" t="e">
        <f ca="1">OFFSET('360SpcLdsCSV'!$B$5,$B168,J$51)</f>
        <v>#N/A</v>
      </c>
      <c r="K168" s="62" t="e">
        <f ca="1">OFFSET('360SpcLdsCSV'!$B$5,$B168,K$51)</f>
        <v>#N/A</v>
      </c>
      <c r="L168" s="62" t="e">
        <f ca="1">OFFSET('360SpcLdsCSV'!$B$5,$B168,L$51)</f>
        <v>#N/A</v>
      </c>
      <c r="M168" s="1178" t="e">
        <f t="shared" ca="1" si="100"/>
        <v>#N/A</v>
      </c>
      <c r="N168" s="1178" t="e">
        <f t="shared" ca="1" si="100"/>
        <v>#N/A</v>
      </c>
      <c r="O168" s="62" t="e">
        <f ca="1">OFFSET('360SpcLdsCSV'!$B$5,$B168,O$51)</f>
        <v>#N/A</v>
      </c>
      <c r="P168" s="64" t="e">
        <f ca="1">OFFSET('360SpcLdsCSV'!$B$5,$B168,P$51)</f>
        <v>#N/A</v>
      </c>
      <c r="Q168" s="84" t="e">
        <f t="shared" ca="1" si="103"/>
        <v>#N/A</v>
      </c>
      <c r="R168" s="64" t="e">
        <f ca="1">OFFSET('360SpcLdsCSV'!$B$5,$B168,R$51)*$P168</f>
        <v>#N/A</v>
      </c>
      <c r="S168" s="64" t="e">
        <f ca="1">OFFSET('360SpcLdsCSV'!$B$5,$B168,S$51)*$R168/1000</f>
        <v>#N/A</v>
      </c>
      <c r="T168" s="84" t="e">
        <f t="shared" ca="1" si="104"/>
        <v>#N/A</v>
      </c>
      <c r="U168" s="64" t="e">
        <f ca="1">OFFSET('360SpcLdsCSV'!$B$5,$B168,U$51)</f>
        <v>#N/A</v>
      </c>
      <c r="V168" s="64" t="e">
        <f ca="1">OFFSET('360SpcLdsCSV'!$B$5,$B168,V$51)*$U168/1000</f>
        <v>#N/A</v>
      </c>
      <c r="W168" s="84" t="e">
        <f t="shared" ca="1" si="105"/>
        <v>#N/A</v>
      </c>
      <c r="X168" s="64" t="e">
        <f ca="1">OFFSET('360SpcLdsCSV'!$B$5,$B168,X$51)*$P168</f>
        <v>#N/A</v>
      </c>
      <c r="Y168" s="64" t="e">
        <f ca="1">OFFSET('360SpcLdsCSV'!$B$5,$B168,Y$51)*$X168/1000</f>
        <v>#N/A</v>
      </c>
      <c r="Z168" s="84" t="e">
        <f t="shared" ca="1" si="106"/>
        <v>#N/A</v>
      </c>
      <c r="AA168" s="64" t="e">
        <f ca="1">OFFSET('360SpcLdsCSV'!$B$5,$B168,AA$51)*$P168</f>
        <v>#N/A</v>
      </c>
      <c r="AB168" s="64" t="e">
        <f ca="1">OFFSET('360SpcLdsCSV'!$B$5,$B168,AB$51)*$AA168/1000</f>
        <v>#N/A</v>
      </c>
      <c r="AC168" s="65" t="e">
        <f ca="1">'Ltg IntTakeoffs'!EZ123</f>
        <v>#N/A</v>
      </c>
      <c r="AD168" s="64" t="e">
        <f t="shared" ca="1" si="98"/>
        <v>#N/A</v>
      </c>
      <c r="AE168" s="558" t="e">
        <f ca="1">'Ltg IntTakeoffs'!FA123*M168</f>
        <v>#N/A</v>
      </c>
      <c r="AF168" s="559" t="e">
        <f ca="1">'Ltg IntTakeoffs'!FB123*M168</f>
        <v>#N/A</v>
      </c>
      <c r="AG168" s="62"/>
      <c r="AH168" s="62"/>
    </row>
    <row r="169" spans="2:34" ht="15" customHeight="1" x14ac:dyDescent="0.2">
      <c r="B169" s="62" t="e">
        <f>MATCH(C169,'360SpcLdsCSV'!$C$6:$C$500,0)</f>
        <v>#N/A</v>
      </c>
      <c r="C169" s="62">
        <f>'360SpcLdsCSV'!C118</f>
        <v>0</v>
      </c>
      <c r="D169" s="62" t="str">
        <f t="shared" si="101"/>
        <v>0</v>
      </c>
      <c r="E169" s="62" t="e">
        <f t="shared" si="91"/>
        <v>#VALUE!</v>
      </c>
      <c r="F169" s="62" t="e">
        <f t="shared" si="92"/>
        <v>#VALUE!</v>
      </c>
      <c r="G169" s="62" t="str">
        <f t="shared" si="102"/>
        <v>0</v>
      </c>
      <c r="H169" s="62" t="e">
        <f ca="1">OFFSET('360SpcLdsCSV'!$B$5,$B169,H$51)</f>
        <v>#N/A</v>
      </c>
      <c r="I169" s="62" t="e">
        <f ca="1">OFFSET('360SpcLdsCSV'!$B$5,$B169,I$51)</f>
        <v>#N/A</v>
      </c>
      <c r="J169" s="62" t="e">
        <f ca="1">OFFSET('360SpcLdsCSV'!$B$5,$B169,J$51)</f>
        <v>#N/A</v>
      </c>
      <c r="K169" s="62" t="e">
        <f ca="1">OFFSET('360SpcLdsCSV'!$B$5,$B169,K$51)</f>
        <v>#N/A</v>
      </c>
      <c r="L169" s="62" t="e">
        <f ca="1">OFFSET('360SpcLdsCSV'!$B$5,$B169,L$51)</f>
        <v>#N/A</v>
      </c>
      <c r="M169" s="1178" t="e">
        <f t="shared" ca="1" si="100"/>
        <v>#N/A</v>
      </c>
      <c r="N169" s="1178" t="e">
        <f t="shared" ca="1" si="100"/>
        <v>#N/A</v>
      </c>
      <c r="O169" s="62" t="e">
        <f ca="1">OFFSET('360SpcLdsCSV'!$B$5,$B169,O$51)</f>
        <v>#N/A</v>
      </c>
      <c r="P169" s="64" t="e">
        <f ca="1">OFFSET('360SpcLdsCSV'!$B$5,$B169,P$51)</f>
        <v>#N/A</v>
      </c>
      <c r="Q169" s="84" t="e">
        <f t="shared" ca="1" si="103"/>
        <v>#N/A</v>
      </c>
      <c r="R169" s="64" t="e">
        <f ca="1">OFFSET('360SpcLdsCSV'!$B$5,$B169,R$51)*$P169</f>
        <v>#N/A</v>
      </c>
      <c r="S169" s="64" t="e">
        <f ca="1">OFFSET('360SpcLdsCSV'!$B$5,$B169,S$51)*$R169/1000</f>
        <v>#N/A</v>
      </c>
      <c r="T169" s="84" t="e">
        <f t="shared" ca="1" si="104"/>
        <v>#N/A</v>
      </c>
      <c r="U169" s="64" t="e">
        <f ca="1">OFFSET('360SpcLdsCSV'!$B$5,$B169,U$51)</f>
        <v>#N/A</v>
      </c>
      <c r="V169" s="64" t="e">
        <f ca="1">OFFSET('360SpcLdsCSV'!$B$5,$B169,V$51)*$U169/1000</f>
        <v>#N/A</v>
      </c>
      <c r="W169" s="84" t="e">
        <f t="shared" ca="1" si="105"/>
        <v>#N/A</v>
      </c>
      <c r="X169" s="64" t="e">
        <f ca="1">OFFSET('360SpcLdsCSV'!$B$5,$B169,X$51)*$P169</f>
        <v>#N/A</v>
      </c>
      <c r="Y169" s="64" t="e">
        <f ca="1">OFFSET('360SpcLdsCSV'!$B$5,$B169,Y$51)*$X169/1000</f>
        <v>#N/A</v>
      </c>
      <c r="Z169" s="84" t="e">
        <f t="shared" ca="1" si="106"/>
        <v>#N/A</v>
      </c>
      <c r="AA169" s="64" t="e">
        <f ca="1">OFFSET('360SpcLdsCSV'!$B$5,$B169,AA$51)*$P169</f>
        <v>#N/A</v>
      </c>
      <c r="AB169" s="64" t="e">
        <f ca="1">OFFSET('360SpcLdsCSV'!$B$5,$B169,AB$51)*$AA169/1000</f>
        <v>#N/A</v>
      </c>
      <c r="AC169" s="65" t="e">
        <f ca="1">'Ltg IntTakeoffs'!EZ124</f>
        <v>#N/A</v>
      </c>
      <c r="AD169" s="64" t="e">
        <f t="shared" ca="1" si="98"/>
        <v>#N/A</v>
      </c>
      <c r="AE169" s="558" t="e">
        <f ca="1">'Ltg IntTakeoffs'!FA124*M169</f>
        <v>#N/A</v>
      </c>
      <c r="AF169" s="559" t="e">
        <f ca="1">'Ltg IntTakeoffs'!FB124*M169</f>
        <v>#N/A</v>
      </c>
      <c r="AG169" s="62"/>
      <c r="AH169" s="62"/>
    </row>
    <row r="170" spans="2:34" ht="15" customHeight="1" x14ac:dyDescent="0.2">
      <c r="B170" s="62" t="e">
        <f>MATCH(C170,'360SpcLdsCSV'!$C$6:$C$500,0)</f>
        <v>#N/A</v>
      </c>
      <c r="C170" s="62">
        <f>'360SpcLdsCSV'!C119</f>
        <v>0</v>
      </c>
      <c r="D170" s="62" t="str">
        <f t="shared" si="101"/>
        <v>0</v>
      </c>
      <c r="E170" s="62" t="e">
        <f t="shared" si="91"/>
        <v>#VALUE!</v>
      </c>
      <c r="F170" s="62" t="e">
        <f t="shared" si="92"/>
        <v>#VALUE!</v>
      </c>
      <c r="G170" s="62" t="str">
        <f t="shared" si="102"/>
        <v>0</v>
      </c>
      <c r="H170" s="62" t="e">
        <f ca="1">OFFSET('360SpcLdsCSV'!$B$5,$B170,H$51)</f>
        <v>#N/A</v>
      </c>
      <c r="I170" s="62" t="e">
        <f ca="1">OFFSET('360SpcLdsCSV'!$B$5,$B170,I$51)</f>
        <v>#N/A</v>
      </c>
      <c r="J170" s="62" t="e">
        <f ca="1">OFFSET('360SpcLdsCSV'!$B$5,$B170,J$51)</f>
        <v>#N/A</v>
      </c>
      <c r="K170" s="62" t="e">
        <f ca="1">OFFSET('360SpcLdsCSV'!$B$5,$B170,K$51)</f>
        <v>#N/A</v>
      </c>
      <c r="L170" s="62" t="e">
        <f ca="1">OFFSET('360SpcLdsCSV'!$B$5,$B170,L$51)</f>
        <v>#N/A</v>
      </c>
      <c r="M170" s="1178" t="e">
        <f t="shared" ca="1" si="100"/>
        <v>#N/A</v>
      </c>
      <c r="N170" s="1178" t="e">
        <f t="shared" ca="1" si="100"/>
        <v>#N/A</v>
      </c>
      <c r="O170" s="62" t="e">
        <f ca="1">OFFSET('360SpcLdsCSV'!$B$5,$B170,O$51)</f>
        <v>#N/A</v>
      </c>
      <c r="P170" s="64" t="e">
        <f ca="1">OFFSET('360SpcLdsCSV'!$B$5,$B170,P$51)</f>
        <v>#N/A</v>
      </c>
      <c r="Q170" s="84" t="e">
        <f t="shared" ca="1" si="103"/>
        <v>#N/A</v>
      </c>
      <c r="R170" s="64" t="e">
        <f ca="1">OFFSET('360SpcLdsCSV'!$B$5,$B170,R$51)*$P170</f>
        <v>#N/A</v>
      </c>
      <c r="S170" s="64" t="e">
        <f ca="1">OFFSET('360SpcLdsCSV'!$B$5,$B170,S$51)*$R170/1000</f>
        <v>#N/A</v>
      </c>
      <c r="T170" s="84" t="e">
        <f t="shared" ca="1" si="104"/>
        <v>#N/A</v>
      </c>
      <c r="U170" s="64" t="e">
        <f ca="1">OFFSET('360SpcLdsCSV'!$B$5,$B170,U$51)</f>
        <v>#N/A</v>
      </c>
      <c r="V170" s="64" t="e">
        <f ca="1">OFFSET('360SpcLdsCSV'!$B$5,$B170,V$51)*$U170/1000</f>
        <v>#N/A</v>
      </c>
      <c r="W170" s="84" t="e">
        <f t="shared" ca="1" si="105"/>
        <v>#N/A</v>
      </c>
      <c r="X170" s="64" t="e">
        <f ca="1">OFFSET('360SpcLdsCSV'!$B$5,$B170,X$51)*$P170</f>
        <v>#N/A</v>
      </c>
      <c r="Y170" s="64" t="e">
        <f ca="1">OFFSET('360SpcLdsCSV'!$B$5,$B170,Y$51)*$X170/1000</f>
        <v>#N/A</v>
      </c>
      <c r="Z170" s="84" t="e">
        <f t="shared" ca="1" si="106"/>
        <v>#N/A</v>
      </c>
      <c r="AA170" s="64" t="e">
        <f ca="1">OFFSET('360SpcLdsCSV'!$B$5,$B170,AA$51)*$P170</f>
        <v>#N/A</v>
      </c>
      <c r="AB170" s="64" t="e">
        <f ca="1">OFFSET('360SpcLdsCSV'!$B$5,$B170,AB$51)*$AA170/1000</f>
        <v>#N/A</v>
      </c>
      <c r="AC170" s="65" t="e">
        <f ca="1">'Ltg IntTakeoffs'!EZ125</f>
        <v>#N/A</v>
      </c>
      <c r="AD170" s="64" t="e">
        <f t="shared" ca="1" si="98"/>
        <v>#N/A</v>
      </c>
      <c r="AE170" s="558" t="e">
        <f ca="1">'Ltg IntTakeoffs'!FA125*M170</f>
        <v>#N/A</v>
      </c>
      <c r="AF170" s="559" t="e">
        <f ca="1">'Ltg IntTakeoffs'!FB125*M170</f>
        <v>#N/A</v>
      </c>
      <c r="AG170" s="62"/>
      <c r="AH170" s="62"/>
    </row>
    <row r="171" spans="2:34" ht="15" customHeight="1" x14ac:dyDescent="0.2">
      <c r="B171" s="62" t="e">
        <f>MATCH(C171,'360SpcLdsCSV'!$C$6:$C$500,0)</f>
        <v>#N/A</v>
      </c>
      <c r="C171" s="62">
        <f>'360SpcLdsCSV'!C120</f>
        <v>0</v>
      </c>
      <c r="D171" s="62" t="str">
        <f t="shared" si="101"/>
        <v>0</v>
      </c>
      <c r="E171" s="62" t="e">
        <f t="shared" si="91"/>
        <v>#VALUE!</v>
      </c>
      <c r="F171" s="62" t="e">
        <f t="shared" si="92"/>
        <v>#VALUE!</v>
      </c>
      <c r="G171" s="62" t="str">
        <f t="shared" si="102"/>
        <v>0</v>
      </c>
      <c r="H171" s="62" t="e">
        <f ca="1">OFFSET('360SpcLdsCSV'!$B$5,$B171,H$51)</f>
        <v>#N/A</v>
      </c>
      <c r="I171" s="62" t="e">
        <f ca="1">OFFSET('360SpcLdsCSV'!$B$5,$B171,I$51)</f>
        <v>#N/A</v>
      </c>
      <c r="J171" s="62" t="e">
        <f ca="1">OFFSET('360SpcLdsCSV'!$B$5,$B171,J$51)</f>
        <v>#N/A</v>
      </c>
      <c r="K171" s="62" t="e">
        <f ca="1">OFFSET('360SpcLdsCSV'!$B$5,$B171,K$51)</f>
        <v>#N/A</v>
      </c>
      <c r="L171" s="62" t="e">
        <f ca="1">OFFSET('360SpcLdsCSV'!$B$5,$B171,L$51)</f>
        <v>#N/A</v>
      </c>
      <c r="M171" s="1178" t="e">
        <f t="shared" ca="1" si="100"/>
        <v>#N/A</v>
      </c>
      <c r="N171" s="1178" t="e">
        <f t="shared" ca="1" si="100"/>
        <v>#N/A</v>
      </c>
      <c r="O171" s="62" t="e">
        <f ca="1">OFFSET('360SpcLdsCSV'!$B$5,$B171,O$51)</f>
        <v>#N/A</v>
      </c>
      <c r="P171" s="64" t="e">
        <f ca="1">OFFSET('360SpcLdsCSV'!$B$5,$B171,P$51)</f>
        <v>#N/A</v>
      </c>
      <c r="Q171" s="84" t="e">
        <f t="shared" ca="1" si="103"/>
        <v>#N/A</v>
      </c>
      <c r="R171" s="64" t="e">
        <f ca="1">OFFSET('360SpcLdsCSV'!$B$5,$B171,R$51)*$P171</f>
        <v>#N/A</v>
      </c>
      <c r="S171" s="64" t="e">
        <f ca="1">OFFSET('360SpcLdsCSV'!$B$5,$B171,S$51)*$R171/1000</f>
        <v>#N/A</v>
      </c>
      <c r="T171" s="84" t="e">
        <f t="shared" ca="1" si="104"/>
        <v>#N/A</v>
      </c>
      <c r="U171" s="64" t="e">
        <f ca="1">OFFSET('360SpcLdsCSV'!$B$5,$B171,U$51)</f>
        <v>#N/A</v>
      </c>
      <c r="V171" s="64" t="e">
        <f ca="1">OFFSET('360SpcLdsCSV'!$B$5,$B171,V$51)*$U171/1000</f>
        <v>#N/A</v>
      </c>
      <c r="W171" s="84" t="e">
        <f t="shared" ca="1" si="105"/>
        <v>#N/A</v>
      </c>
      <c r="X171" s="64" t="e">
        <f ca="1">OFFSET('360SpcLdsCSV'!$B$5,$B171,X$51)*$P171</f>
        <v>#N/A</v>
      </c>
      <c r="Y171" s="64" t="e">
        <f ca="1">OFFSET('360SpcLdsCSV'!$B$5,$B171,Y$51)*$X171/1000</f>
        <v>#N/A</v>
      </c>
      <c r="Z171" s="84" t="e">
        <f t="shared" ca="1" si="106"/>
        <v>#N/A</v>
      </c>
      <c r="AA171" s="64" t="e">
        <f ca="1">OFFSET('360SpcLdsCSV'!$B$5,$B171,AA$51)*$P171</f>
        <v>#N/A</v>
      </c>
      <c r="AB171" s="64" t="e">
        <f ca="1">OFFSET('360SpcLdsCSV'!$B$5,$B171,AB$51)*$AA171/1000</f>
        <v>#N/A</v>
      </c>
      <c r="AC171" s="65" t="e">
        <f ca="1">'Ltg IntTakeoffs'!EZ126</f>
        <v>#N/A</v>
      </c>
      <c r="AD171" s="64" t="e">
        <f t="shared" ca="1" si="98"/>
        <v>#N/A</v>
      </c>
      <c r="AE171" s="558" t="e">
        <f ca="1">'Ltg IntTakeoffs'!FA126*M171</f>
        <v>#N/A</v>
      </c>
      <c r="AF171" s="559" t="e">
        <f ca="1">'Ltg IntTakeoffs'!FB126*M171</f>
        <v>#N/A</v>
      </c>
      <c r="AG171" s="62"/>
      <c r="AH171" s="62"/>
    </row>
    <row r="172" spans="2:34" ht="15" customHeight="1" x14ac:dyDescent="0.2">
      <c r="B172" s="62" t="e">
        <f>MATCH(C172,'360SpcLdsCSV'!$C$6:$C$500,0)</f>
        <v>#N/A</v>
      </c>
      <c r="C172" s="62">
        <f>'360SpcLdsCSV'!C121</f>
        <v>0</v>
      </c>
      <c r="D172" s="62" t="str">
        <f t="shared" si="101"/>
        <v>0</v>
      </c>
      <c r="E172" s="62" t="e">
        <f t="shared" si="91"/>
        <v>#VALUE!</v>
      </c>
      <c r="F172" s="62" t="e">
        <f t="shared" si="92"/>
        <v>#VALUE!</v>
      </c>
      <c r="G172" s="62" t="str">
        <f t="shared" si="102"/>
        <v>0</v>
      </c>
      <c r="H172" s="62" t="e">
        <f ca="1">OFFSET('360SpcLdsCSV'!$B$5,$B172,H$51)</f>
        <v>#N/A</v>
      </c>
      <c r="I172" s="62" t="e">
        <f ca="1">OFFSET('360SpcLdsCSV'!$B$5,$B172,I$51)</f>
        <v>#N/A</v>
      </c>
      <c r="J172" s="62" t="e">
        <f ca="1">OFFSET('360SpcLdsCSV'!$B$5,$B172,J$51)</f>
        <v>#N/A</v>
      </c>
      <c r="K172" s="62" t="e">
        <f ca="1">OFFSET('360SpcLdsCSV'!$B$5,$B172,K$51)</f>
        <v>#N/A</v>
      </c>
      <c r="L172" s="62" t="e">
        <f ca="1">OFFSET('360SpcLdsCSV'!$B$5,$B172,L$51)</f>
        <v>#N/A</v>
      </c>
      <c r="M172" s="1178" t="e">
        <f t="shared" ca="1" si="100"/>
        <v>#N/A</v>
      </c>
      <c r="N172" s="1178" t="e">
        <f t="shared" ca="1" si="100"/>
        <v>#N/A</v>
      </c>
      <c r="O172" s="62" t="e">
        <f ca="1">OFFSET('360SpcLdsCSV'!$B$5,$B172,O$51)</f>
        <v>#N/A</v>
      </c>
      <c r="P172" s="64" t="e">
        <f ca="1">OFFSET('360SpcLdsCSV'!$B$5,$B172,P$51)</f>
        <v>#N/A</v>
      </c>
      <c r="Q172" s="84" t="e">
        <f t="shared" ca="1" si="103"/>
        <v>#N/A</v>
      </c>
      <c r="R172" s="64" t="e">
        <f ca="1">OFFSET('360SpcLdsCSV'!$B$5,$B172,R$51)*$P172</f>
        <v>#N/A</v>
      </c>
      <c r="S172" s="64" t="e">
        <f ca="1">OFFSET('360SpcLdsCSV'!$B$5,$B172,S$51)*$R172/1000</f>
        <v>#N/A</v>
      </c>
      <c r="T172" s="84" t="e">
        <f t="shared" ca="1" si="104"/>
        <v>#N/A</v>
      </c>
      <c r="U172" s="64" t="e">
        <f ca="1">OFFSET('360SpcLdsCSV'!$B$5,$B172,U$51)</f>
        <v>#N/A</v>
      </c>
      <c r="V172" s="64" t="e">
        <f ca="1">OFFSET('360SpcLdsCSV'!$B$5,$B172,V$51)*$U172/1000</f>
        <v>#N/A</v>
      </c>
      <c r="W172" s="84" t="e">
        <f t="shared" ca="1" si="105"/>
        <v>#N/A</v>
      </c>
      <c r="X172" s="64" t="e">
        <f ca="1">OFFSET('360SpcLdsCSV'!$B$5,$B172,X$51)*$P172</f>
        <v>#N/A</v>
      </c>
      <c r="Y172" s="64" t="e">
        <f ca="1">OFFSET('360SpcLdsCSV'!$B$5,$B172,Y$51)*$X172/1000</f>
        <v>#N/A</v>
      </c>
      <c r="Z172" s="84" t="e">
        <f t="shared" ca="1" si="106"/>
        <v>#N/A</v>
      </c>
      <c r="AA172" s="64" t="e">
        <f ca="1">OFFSET('360SpcLdsCSV'!$B$5,$B172,AA$51)*$P172</f>
        <v>#N/A</v>
      </c>
      <c r="AB172" s="64" t="e">
        <f ca="1">OFFSET('360SpcLdsCSV'!$B$5,$B172,AB$51)*$AA172/1000</f>
        <v>#N/A</v>
      </c>
      <c r="AC172" s="65" t="e">
        <f ca="1">'Ltg IntTakeoffs'!EZ127</f>
        <v>#N/A</v>
      </c>
      <c r="AD172" s="64" t="e">
        <f t="shared" ca="1" si="98"/>
        <v>#N/A</v>
      </c>
      <c r="AE172" s="558" t="e">
        <f ca="1">'Ltg IntTakeoffs'!FA127*M172</f>
        <v>#N/A</v>
      </c>
      <c r="AF172" s="559" t="e">
        <f ca="1">'Ltg IntTakeoffs'!FB127*M172</f>
        <v>#N/A</v>
      </c>
      <c r="AG172" s="62"/>
      <c r="AH172" s="62"/>
    </row>
    <row r="173" spans="2:34" ht="15" customHeight="1" x14ac:dyDescent="0.2">
      <c r="B173" s="62" t="e">
        <f>MATCH(C173,'360SpcLdsCSV'!$C$6:$C$500,0)</f>
        <v>#N/A</v>
      </c>
      <c r="C173" s="62">
        <f>'360SpcLdsCSV'!C122</f>
        <v>0</v>
      </c>
      <c r="D173" s="62" t="str">
        <f t="shared" si="101"/>
        <v>0</v>
      </c>
      <c r="E173" s="62" t="e">
        <f t="shared" si="91"/>
        <v>#VALUE!</v>
      </c>
      <c r="F173" s="62" t="e">
        <f t="shared" si="92"/>
        <v>#VALUE!</v>
      </c>
      <c r="G173" s="62" t="str">
        <f t="shared" si="102"/>
        <v>0</v>
      </c>
      <c r="H173" s="62" t="e">
        <f ca="1">OFFSET('360SpcLdsCSV'!$B$5,$B173,H$51)</f>
        <v>#N/A</v>
      </c>
      <c r="I173" s="62" t="e">
        <f ca="1">OFFSET('360SpcLdsCSV'!$B$5,$B173,I$51)</f>
        <v>#N/A</v>
      </c>
      <c r="J173" s="62" t="e">
        <f ca="1">OFFSET('360SpcLdsCSV'!$B$5,$B173,J$51)</f>
        <v>#N/A</v>
      </c>
      <c r="K173" s="62" t="e">
        <f ca="1">OFFSET('360SpcLdsCSV'!$B$5,$B173,K$51)</f>
        <v>#N/A</v>
      </c>
      <c r="L173" s="62" t="e">
        <f ca="1">OFFSET('360SpcLdsCSV'!$B$5,$B173,L$51)</f>
        <v>#N/A</v>
      </c>
      <c r="M173" s="1178" t="e">
        <f t="shared" ref="M173:N203" ca="1" si="107">OFFSET(Spaces_Ref,$B173,M$51)</f>
        <v>#N/A</v>
      </c>
      <c r="N173" s="1178" t="e">
        <f t="shared" ca="1" si="107"/>
        <v>#N/A</v>
      </c>
      <c r="O173" s="62" t="e">
        <f ca="1">OFFSET('360SpcLdsCSV'!$B$5,$B173,O$51)</f>
        <v>#N/A</v>
      </c>
      <c r="P173" s="64" t="e">
        <f ca="1">OFFSET('360SpcLdsCSV'!$B$5,$B173,P$51)</f>
        <v>#N/A</v>
      </c>
      <c r="Q173" s="84" t="e">
        <f t="shared" ca="1" si="103"/>
        <v>#N/A</v>
      </c>
      <c r="R173" s="64" t="e">
        <f ca="1">OFFSET('360SpcLdsCSV'!$B$5,$B173,R$51)*$P173</f>
        <v>#N/A</v>
      </c>
      <c r="S173" s="64" t="e">
        <f ca="1">OFFSET('360SpcLdsCSV'!$B$5,$B173,S$51)*$R173/1000</f>
        <v>#N/A</v>
      </c>
      <c r="T173" s="84" t="e">
        <f t="shared" ca="1" si="104"/>
        <v>#N/A</v>
      </c>
      <c r="U173" s="64" t="e">
        <f ca="1">OFFSET('360SpcLdsCSV'!$B$5,$B173,U$51)</f>
        <v>#N/A</v>
      </c>
      <c r="V173" s="64" t="e">
        <f ca="1">OFFSET('360SpcLdsCSV'!$B$5,$B173,V$51)*$U173/1000</f>
        <v>#N/A</v>
      </c>
      <c r="W173" s="84" t="e">
        <f t="shared" ca="1" si="105"/>
        <v>#N/A</v>
      </c>
      <c r="X173" s="64" t="e">
        <f ca="1">OFFSET('360SpcLdsCSV'!$B$5,$B173,X$51)*$P173</f>
        <v>#N/A</v>
      </c>
      <c r="Y173" s="64" t="e">
        <f ca="1">OFFSET('360SpcLdsCSV'!$B$5,$B173,Y$51)*$X173/1000</f>
        <v>#N/A</v>
      </c>
      <c r="Z173" s="84" t="e">
        <f t="shared" ca="1" si="106"/>
        <v>#N/A</v>
      </c>
      <c r="AA173" s="64" t="e">
        <f ca="1">OFFSET('360SpcLdsCSV'!$B$5,$B173,AA$51)*$P173</f>
        <v>#N/A</v>
      </c>
      <c r="AB173" s="64" t="e">
        <f ca="1">OFFSET('360SpcLdsCSV'!$B$5,$B173,AB$51)*$AA173/1000</f>
        <v>#N/A</v>
      </c>
      <c r="AC173" s="65" t="e">
        <f ca="1">'Ltg IntTakeoffs'!EZ128</f>
        <v>#N/A</v>
      </c>
      <c r="AD173" s="64" t="e">
        <f t="shared" ca="1" si="98"/>
        <v>#N/A</v>
      </c>
      <c r="AE173" s="558" t="e">
        <f ca="1">'Ltg IntTakeoffs'!FA128*M173</f>
        <v>#N/A</v>
      </c>
      <c r="AF173" s="559" t="e">
        <f ca="1">'Ltg IntTakeoffs'!FB128*M173</f>
        <v>#N/A</v>
      </c>
      <c r="AG173" s="62"/>
      <c r="AH173" s="62"/>
    </row>
    <row r="174" spans="2:34" ht="15" customHeight="1" x14ac:dyDescent="0.2">
      <c r="B174" s="62" t="e">
        <f>MATCH(C174,'360SpcLdsCSV'!$C$6:$C$500,0)</f>
        <v>#N/A</v>
      </c>
      <c r="C174" s="62">
        <f>'360SpcLdsCSV'!C123</f>
        <v>0</v>
      </c>
      <c r="D174" s="62" t="str">
        <f t="shared" si="101"/>
        <v>0</v>
      </c>
      <c r="E174" s="62" t="e">
        <f t="shared" si="91"/>
        <v>#VALUE!</v>
      </c>
      <c r="F174" s="62" t="e">
        <f t="shared" si="92"/>
        <v>#VALUE!</v>
      </c>
      <c r="G174" s="62" t="str">
        <f t="shared" si="102"/>
        <v>0</v>
      </c>
      <c r="H174" s="62" t="e">
        <f ca="1">OFFSET('360SpcLdsCSV'!$B$5,$B174,H$51)</f>
        <v>#N/A</v>
      </c>
      <c r="I174" s="62" t="e">
        <f ca="1">OFFSET('360SpcLdsCSV'!$B$5,$B174,I$51)</f>
        <v>#N/A</v>
      </c>
      <c r="J174" s="62" t="e">
        <f ca="1">OFFSET('360SpcLdsCSV'!$B$5,$B174,J$51)</f>
        <v>#N/A</v>
      </c>
      <c r="K174" s="62" t="e">
        <f ca="1">OFFSET('360SpcLdsCSV'!$B$5,$B174,K$51)</f>
        <v>#N/A</v>
      </c>
      <c r="L174" s="62" t="e">
        <f ca="1">OFFSET('360SpcLdsCSV'!$B$5,$B174,L$51)</f>
        <v>#N/A</v>
      </c>
      <c r="M174" s="1178" t="e">
        <f t="shared" ca="1" si="107"/>
        <v>#N/A</v>
      </c>
      <c r="N174" s="1178" t="e">
        <f t="shared" ca="1" si="107"/>
        <v>#N/A</v>
      </c>
      <c r="O174" s="62" t="e">
        <f ca="1">OFFSET('360SpcLdsCSV'!$B$5,$B174,O$51)</f>
        <v>#N/A</v>
      </c>
      <c r="P174" s="64" t="e">
        <f ca="1">OFFSET('360SpcLdsCSV'!$B$5,$B174,P$51)</f>
        <v>#N/A</v>
      </c>
      <c r="Q174" s="84" t="e">
        <f t="shared" ca="1" si="103"/>
        <v>#N/A</v>
      </c>
      <c r="R174" s="64" t="e">
        <f ca="1">OFFSET('360SpcLdsCSV'!$B$5,$B174,R$51)*$P174</f>
        <v>#N/A</v>
      </c>
      <c r="S174" s="64" t="e">
        <f ca="1">OFFSET('360SpcLdsCSV'!$B$5,$B174,S$51)*$R174/1000</f>
        <v>#N/A</v>
      </c>
      <c r="T174" s="84" t="e">
        <f t="shared" ca="1" si="104"/>
        <v>#N/A</v>
      </c>
      <c r="U174" s="64" t="e">
        <f ca="1">OFFSET('360SpcLdsCSV'!$B$5,$B174,U$51)</f>
        <v>#N/A</v>
      </c>
      <c r="V174" s="64" t="e">
        <f ca="1">OFFSET('360SpcLdsCSV'!$B$5,$B174,V$51)*$U174/1000</f>
        <v>#N/A</v>
      </c>
      <c r="W174" s="84" t="e">
        <f t="shared" ca="1" si="105"/>
        <v>#N/A</v>
      </c>
      <c r="X174" s="64" t="e">
        <f ca="1">OFFSET('360SpcLdsCSV'!$B$5,$B174,X$51)*$P174</f>
        <v>#N/A</v>
      </c>
      <c r="Y174" s="64" t="e">
        <f ca="1">OFFSET('360SpcLdsCSV'!$B$5,$B174,Y$51)*$X174/1000</f>
        <v>#N/A</v>
      </c>
      <c r="Z174" s="84" t="e">
        <f t="shared" ca="1" si="106"/>
        <v>#N/A</v>
      </c>
      <c r="AA174" s="64" t="e">
        <f ca="1">OFFSET('360SpcLdsCSV'!$B$5,$B174,AA$51)*$P174</f>
        <v>#N/A</v>
      </c>
      <c r="AB174" s="64" t="e">
        <f ca="1">OFFSET('360SpcLdsCSV'!$B$5,$B174,AB$51)*$AA174/1000</f>
        <v>#N/A</v>
      </c>
      <c r="AC174" s="65" t="e">
        <f ca="1">'Ltg IntTakeoffs'!EZ129</f>
        <v>#N/A</v>
      </c>
      <c r="AD174" s="64" t="e">
        <f t="shared" ca="1" si="98"/>
        <v>#N/A</v>
      </c>
      <c r="AE174" s="558" t="e">
        <f ca="1">'Ltg IntTakeoffs'!FA129*M174</f>
        <v>#N/A</v>
      </c>
      <c r="AF174" s="559" t="e">
        <f ca="1">'Ltg IntTakeoffs'!FB129*M174</f>
        <v>#N/A</v>
      </c>
      <c r="AG174" s="62"/>
      <c r="AH174" s="62"/>
    </row>
    <row r="175" spans="2:34" ht="15" customHeight="1" x14ac:dyDescent="0.2">
      <c r="B175" s="62" t="e">
        <f>MATCH(C175,'360SpcLdsCSV'!$C$6:$C$500,0)</f>
        <v>#N/A</v>
      </c>
      <c r="C175" s="62">
        <f>'360SpcLdsCSV'!C124</f>
        <v>0</v>
      </c>
      <c r="D175" s="62" t="str">
        <f t="shared" si="101"/>
        <v>0</v>
      </c>
      <c r="E175" s="62" t="e">
        <f t="shared" si="91"/>
        <v>#VALUE!</v>
      </c>
      <c r="F175" s="62" t="e">
        <f t="shared" si="92"/>
        <v>#VALUE!</v>
      </c>
      <c r="G175" s="62" t="str">
        <f t="shared" si="102"/>
        <v>0</v>
      </c>
      <c r="H175" s="62" t="e">
        <f ca="1">OFFSET('360SpcLdsCSV'!$B$5,$B175,H$51)</f>
        <v>#N/A</v>
      </c>
      <c r="I175" s="62" t="e">
        <f ca="1">OFFSET('360SpcLdsCSV'!$B$5,$B175,I$51)</f>
        <v>#N/A</v>
      </c>
      <c r="J175" s="62" t="e">
        <f ca="1">OFFSET('360SpcLdsCSV'!$B$5,$B175,J$51)</f>
        <v>#N/A</v>
      </c>
      <c r="K175" s="62" t="e">
        <f ca="1">OFFSET('360SpcLdsCSV'!$B$5,$B175,K$51)</f>
        <v>#N/A</v>
      </c>
      <c r="L175" s="62" t="e">
        <f ca="1">OFFSET('360SpcLdsCSV'!$B$5,$B175,L$51)</f>
        <v>#N/A</v>
      </c>
      <c r="M175" s="1178" t="e">
        <f t="shared" ca="1" si="107"/>
        <v>#N/A</v>
      </c>
      <c r="N175" s="1178" t="e">
        <f t="shared" ca="1" si="107"/>
        <v>#N/A</v>
      </c>
      <c r="O175" s="62" t="e">
        <f ca="1">OFFSET('360SpcLdsCSV'!$B$5,$B175,O$51)</f>
        <v>#N/A</v>
      </c>
      <c r="P175" s="64" t="e">
        <f ca="1">OFFSET('360SpcLdsCSV'!$B$5,$B175,P$51)</f>
        <v>#N/A</v>
      </c>
      <c r="Q175" s="84" t="e">
        <f t="shared" ca="1" si="103"/>
        <v>#N/A</v>
      </c>
      <c r="R175" s="64" t="e">
        <f ca="1">OFFSET('360SpcLdsCSV'!$B$5,$B175,R$51)*$P175</f>
        <v>#N/A</v>
      </c>
      <c r="S175" s="64" t="e">
        <f ca="1">OFFSET('360SpcLdsCSV'!$B$5,$B175,S$51)*$R175/1000</f>
        <v>#N/A</v>
      </c>
      <c r="T175" s="84" t="e">
        <f t="shared" ca="1" si="104"/>
        <v>#N/A</v>
      </c>
      <c r="U175" s="64" t="e">
        <f ca="1">OFFSET('360SpcLdsCSV'!$B$5,$B175,U$51)</f>
        <v>#N/A</v>
      </c>
      <c r="V175" s="64" t="e">
        <f ca="1">OFFSET('360SpcLdsCSV'!$B$5,$B175,V$51)*$U175/1000</f>
        <v>#N/A</v>
      </c>
      <c r="W175" s="84" t="e">
        <f t="shared" ca="1" si="105"/>
        <v>#N/A</v>
      </c>
      <c r="X175" s="64" t="e">
        <f ca="1">OFFSET('360SpcLdsCSV'!$B$5,$B175,X$51)*$P175</f>
        <v>#N/A</v>
      </c>
      <c r="Y175" s="64" t="e">
        <f ca="1">OFFSET('360SpcLdsCSV'!$B$5,$B175,Y$51)*$X175/1000</f>
        <v>#N/A</v>
      </c>
      <c r="Z175" s="84" t="e">
        <f t="shared" ca="1" si="106"/>
        <v>#N/A</v>
      </c>
      <c r="AA175" s="64" t="e">
        <f ca="1">OFFSET('360SpcLdsCSV'!$B$5,$B175,AA$51)*$P175</f>
        <v>#N/A</v>
      </c>
      <c r="AB175" s="64" t="e">
        <f ca="1">OFFSET('360SpcLdsCSV'!$B$5,$B175,AB$51)*$AA175/1000</f>
        <v>#N/A</v>
      </c>
      <c r="AC175" s="65" t="e">
        <f ca="1">'Ltg IntTakeoffs'!EZ130</f>
        <v>#N/A</v>
      </c>
      <c r="AD175" s="64" t="e">
        <f t="shared" ca="1" si="98"/>
        <v>#N/A</v>
      </c>
      <c r="AE175" s="558" t="e">
        <f ca="1">'Ltg IntTakeoffs'!FA130*M175</f>
        <v>#N/A</v>
      </c>
      <c r="AF175" s="559" t="e">
        <f ca="1">'Ltg IntTakeoffs'!FB130*M175</f>
        <v>#N/A</v>
      </c>
      <c r="AG175" s="62"/>
      <c r="AH175" s="62"/>
    </row>
    <row r="176" spans="2:34" ht="15" customHeight="1" x14ac:dyDescent="0.2">
      <c r="B176" s="62" t="e">
        <f>MATCH(C176,'360SpcLdsCSV'!$C$6:$C$500,0)</f>
        <v>#N/A</v>
      </c>
      <c r="C176" s="62">
        <f>'360SpcLdsCSV'!C125</f>
        <v>0</v>
      </c>
      <c r="D176" s="62" t="str">
        <f t="shared" si="101"/>
        <v>0</v>
      </c>
      <c r="E176" s="62" t="e">
        <f t="shared" si="91"/>
        <v>#VALUE!</v>
      </c>
      <c r="F176" s="62" t="e">
        <f t="shared" si="92"/>
        <v>#VALUE!</v>
      </c>
      <c r="G176" s="62" t="str">
        <f t="shared" si="102"/>
        <v>0</v>
      </c>
      <c r="H176" s="62" t="e">
        <f ca="1">OFFSET('360SpcLdsCSV'!$B$5,$B176,H$51)</f>
        <v>#N/A</v>
      </c>
      <c r="I176" s="62" t="e">
        <f ca="1">OFFSET('360SpcLdsCSV'!$B$5,$B176,I$51)</f>
        <v>#N/A</v>
      </c>
      <c r="J176" s="62" t="e">
        <f ca="1">OFFSET('360SpcLdsCSV'!$B$5,$B176,J$51)</f>
        <v>#N/A</v>
      </c>
      <c r="K176" s="62" t="e">
        <f ca="1">OFFSET('360SpcLdsCSV'!$B$5,$B176,K$51)</f>
        <v>#N/A</v>
      </c>
      <c r="L176" s="62" t="e">
        <f ca="1">OFFSET('360SpcLdsCSV'!$B$5,$B176,L$51)</f>
        <v>#N/A</v>
      </c>
      <c r="M176" s="1178" t="e">
        <f t="shared" ca="1" si="107"/>
        <v>#N/A</v>
      </c>
      <c r="N176" s="1178" t="e">
        <f t="shared" ca="1" si="107"/>
        <v>#N/A</v>
      </c>
      <c r="O176" s="62" t="e">
        <f ca="1">OFFSET('360SpcLdsCSV'!$B$5,$B176,O$51)</f>
        <v>#N/A</v>
      </c>
      <c r="P176" s="64" t="e">
        <f ca="1">OFFSET('360SpcLdsCSV'!$B$5,$B176,P$51)</f>
        <v>#N/A</v>
      </c>
      <c r="Q176" s="84" t="e">
        <f t="shared" ca="1" si="103"/>
        <v>#N/A</v>
      </c>
      <c r="R176" s="64" t="e">
        <f ca="1">OFFSET('360SpcLdsCSV'!$B$5,$B176,R$51)*$P176</f>
        <v>#N/A</v>
      </c>
      <c r="S176" s="64" t="e">
        <f ca="1">OFFSET('360SpcLdsCSV'!$B$5,$B176,S$51)*$R176/1000</f>
        <v>#N/A</v>
      </c>
      <c r="T176" s="84" t="e">
        <f t="shared" ca="1" si="104"/>
        <v>#N/A</v>
      </c>
      <c r="U176" s="64" t="e">
        <f ca="1">OFFSET('360SpcLdsCSV'!$B$5,$B176,U$51)</f>
        <v>#N/A</v>
      </c>
      <c r="V176" s="64" t="e">
        <f ca="1">OFFSET('360SpcLdsCSV'!$B$5,$B176,V$51)*$U176/1000</f>
        <v>#N/A</v>
      </c>
      <c r="W176" s="84" t="e">
        <f t="shared" ca="1" si="105"/>
        <v>#N/A</v>
      </c>
      <c r="X176" s="64" t="e">
        <f ca="1">OFFSET('360SpcLdsCSV'!$B$5,$B176,X$51)*$P176</f>
        <v>#N/A</v>
      </c>
      <c r="Y176" s="64" t="e">
        <f ca="1">OFFSET('360SpcLdsCSV'!$B$5,$B176,Y$51)*$X176/1000</f>
        <v>#N/A</v>
      </c>
      <c r="Z176" s="84" t="e">
        <f t="shared" ca="1" si="106"/>
        <v>#N/A</v>
      </c>
      <c r="AA176" s="64" t="e">
        <f ca="1">OFFSET('360SpcLdsCSV'!$B$5,$B176,AA$51)*$P176</f>
        <v>#N/A</v>
      </c>
      <c r="AB176" s="64" t="e">
        <f ca="1">OFFSET('360SpcLdsCSV'!$B$5,$B176,AB$51)*$AA176/1000</f>
        <v>#N/A</v>
      </c>
      <c r="AC176" s="65" t="e">
        <f ca="1">'Ltg IntTakeoffs'!EZ131</f>
        <v>#N/A</v>
      </c>
      <c r="AD176" s="64" t="e">
        <f t="shared" ca="1" si="98"/>
        <v>#N/A</v>
      </c>
      <c r="AE176" s="558" t="e">
        <f ca="1">'Ltg IntTakeoffs'!FA131*M176</f>
        <v>#N/A</v>
      </c>
      <c r="AF176" s="559" t="e">
        <f ca="1">'Ltg IntTakeoffs'!FB131*M176</f>
        <v>#N/A</v>
      </c>
      <c r="AG176" s="62"/>
      <c r="AH176" s="62"/>
    </row>
    <row r="177" spans="2:34" ht="15" customHeight="1" x14ac:dyDescent="0.2">
      <c r="B177" s="62" t="e">
        <f>MATCH(C177,'360SpcLdsCSV'!$C$6:$C$500,0)</f>
        <v>#N/A</v>
      </c>
      <c r="C177" s="62">
        <f>'360SpcLdsCSV'!C126</f>
        <v>0</v>
      </c>
      <c r="D177" s="62" t="str">
        <f t="shared" si="101"/>
        <v>0</v>
      </c>
      <c r="E177" s="62" t="e">
        <f t="shared" si="91"/>
        <v>#VALUE!</v>
      </c>
      <c r="F177" s="62" t="e">
        <f t="shared" si="92"/>
        <v>#VALUE!</v>
      </c>
      <c r="G177" s="62" t="str">
        <f t="shared" si="102"/>
        <v>0</v>
      </c>
      <c r="H177" s="62" t="e">
        <f ca="1">OFFSET('360SpcLdsCSV'!$B$5,$B177,H$51)</f>
        <v>#N/A</v>
      </c>
      <c r="I177" s="62" t="e">
        <f ca="1">OFFSET('360SpcLdsCSV'!$B$5,$B177,I$51)</f>
        <v>#N/A</v>
      </c>
      <c r="J177" s="62" t="e">
        <f ca="1">OFFSET('360SpcLdsCSV'!$B$5,$B177,J$51)</f>
        <v>#N/A</v>
      </c>
      <c r="K177" s="62" t="e">
        <f ca="1">OFFSET('360SpcLdsCSV'!$B$5,$B177,K$51)</f>
        <v>#N/A</v>
      </c>
      <c r="L177" s="62" t="e">
        <f ca="1">OFFSET('360SpcLdsCSV'!$B$5,$B177,L$51)</f>
        <v>#N/A</v>
      </c>
      <c r="M177" s="1178" t="e">
        <f t="shared" ca="1" si="107"/>
        <v>#N/A</v>
      </c>
      <c r="N177" s="1178" t="e">
        <f t="shared" ca="1" si="107"/>
        <v>#N/A</v>
      </c>
      <c r="O177" s="62" t="e">
        <f ca="1">OFFSET('360SpcLdsCSV'!$B$5,$B177,O$51)</f>
        <v>#N/A</v>
      </c>
      <c r="P177" s="64" t="e">
        <f ca="1">OFFSET('360SpcLdsCSV'!$B$5,$B177,P$51)</f>
        <v>#N/A</v>
      </c>
      <c r="Q177" s="84" t="e">
        <f t="shared" ca="1" si="103"/>
        <v>#N/A</v>
      </c>
      <c r="R177" s="64" t="e">
        <f ca="1">OFFSET('360SpcLdsCSV'!$B$5,$B177,R$51)*$P177</f>
        <v>#N/A</v>
      </c>
      <c r="S177" s="64" t="e">
        <f ca="1">OFFSET('360SpcLdsCSV'!$B$5,$B177,S$51)*$R177/1000</f>
        <v>#N/A</v>
      </c>
      <c r="T177" s="84" t="e">
        <f t="shared" ca="1" si="104"/>
        <v>#N/A</v>
      </c>
      <c r="U177" s="64" t="e">
        <f ca="1">OFFSET('360SpcLdsCSV'!$B$5,$B177,U$51)</f>
        <v>#N/A</v>
      </c>
      <c r="V177" s="64" t="e">
        <f ca="1">OFFSET('360SpcLdsCSV'!$B$5,$B177,V$51)*$U177/1000</f>
        <v>#N/A</v>
      </c>
      <c r="W177" s="84" t="e">
        <f t="shared" ca="1" si="105"/>
        <v>#N/A</v>
      </c>
      <c r="X177" s="64" t="e">
        <f ca="1">OFFSET('360SpcLdsCSV'!$B$5,$B177,X$51)*$P177</f>
        <v>#N/A</v>
      </c>
      <c r="Y177" s="64" t="e">
        <f ca="1">OFFSET('360SpcLdsCSV'!$B$5,$B177,Y$51)*$X177/1000</f>
        <v>#N/A</v>
      </c>
      <c r="Z177" s="84" t="e">
        <f t="shared" ca="1" si="106"/>
        <v>#N/A</v>
      </c>
      <c r="AA177" s="64" t="e">
        <f ca="1">OFFSET('360SpcLdsCSV'!$B$5,$B177,AA$51)*$P177</f>
        <v>#N/A</v>
      </c>
      <c r="AB177" s="64" t="e">
        <f ca="1">OFFSET('360SpcLdsCSV'!$B$5,$B177,AB$51)*$AA177/1000</f>
        <v>#N/A</v>
      </c>
      <c r="AC177" s="65" t="e">
        <f ca="1">'Ltg IntTakeoffs'!EZ132</f>
        <v>#N/A</v>
      </c>
      <c r="AD177" s="64" t="e">
        <f t="shared" ca="1" si="98"/>
        <v>#N/A</v>
      </c>
      <c r="AE177" s="558" t="e">
        <f ca="1">'Ltg IntTakeoffs'!FA132*M177</f>
        <v>#N/A</v>
      </c>
      <c r="AF177" s="559" t="e">
        <f ca="1">'Ltg IntTakeoffs'!FB132*M177</f>
        <v>#N/A</v>
      </c>
      <c r="AG177" s="62"/>
      <c r="AH177" s="62"/>
    </row>
    <row r="178" spans="2:34" ht="15" customHeight="1" x14ac:dyDescent="0.2">
      <c r="B178" s="62" t="e">
        <f>MATCH(C178,'360SpcLdsCSV'!$C$6:$C$500,0)</f>
        <v>#N/A</v>
      </c>
      <c r="C178" s="62">
        <f>'360SpcLdsCSV'!C127</f>
        <v>0</v>
      </c>
      <c r="D178" s="62" t="str">
        <f t="shared" si="101"/>
        <v>0</v>
      </c>
      <c r="E178" s="62" t="e">
        <f t="shared" si="91"/>
        <v>#VALUE!</v>
      </c>
      <c r="F178" s="62" t="e">
        <f t="shared" si="92"/>
        <v>#VALUE!</v>
      </c>
      <c r="G178" s="62" t="str">
        <f t="shared" si="102"/>
        <v>0</v>
      </c>
      <c r="H178" s="62" t="e">
        <f ca="1">OFFSET('360SpcLdsCSV'!$B$5,$B178,H$51)</f>
        <v>#N/A</v>
      </c>
      <c r="I178" s="62" t="e">
        <f ca="1">OFFSET('360SpcLdsCSV'!$B$5,$B178,I$51)</f>
        <v>#N/A</v>
      </c>
      <c r="J178" s="62" t="e">
        <f ca="1">OFFSET('360SpcLdsCSV'!$B$5,$B178,J$51)</f>
        <v>#N/A</v>
      </c>
      <c r="K178" s="62" t="e">
        <f ca="1">OFFSET('360SpcLdsCSV'!$B$5,$B178,K$51)</f>
        <v>#N/A</v>
      </c>
      <c r="L178" s="62" t="e">
        <f ca="1">OFFSET('360SpcLdsCSV'!$B$5,$B178,L$51)</f>
        <v>#N/A</v>
      </c>
      <c r="M178" s="1178" t="e">
        <f t="shared" ca="1" si="107"/>
        <v>#N/A</v>
      </c>
      <c r="N178" s="1178" t="e">
        <f t="shared" ca="1" si="107"/>
        <v>#N/A</v>
      </c>
      <c r="O178" s="62" t="e">
        <f ca="1">OFFSET('360SpcLdsCSV'!$B$5,$B178,O$51)</f>
        <v>#N/A</v>
      </c>
      <c r="P178" s="64" t="e">
        <f ca="1">OFFSET('360SpcLdsCSV'!$B$5,$B178,P$51)</f>
        <v>#N/A</v>
      </c>
      <c r="Q178" s="84" t="e">
        <f t="shared" ca="1" si="103"/>
        <v>#N/A</v>
      </c>
      <c r="R178" s="64" t="e">
        <f ca="1">OFFSET('360SpcLdsCSV'!$B$5,$B178,R$51)*$P178</f>
        <v>#N/A</v>
      </c>
      <c r="S178" s="64" t="e">
        <f ca="1">OFFSET('360SpcLdsCSV'!$B$5,$B178,S$51)*$R178/1000</f>
        <v>#N/A</v>
      </c>
      <c r="T178" s="84" t="e">
        <f t="shared" ca="1" si="104"/>
        <v>#N/A</v>
      </c>
      <c r="U178" s="64" t="e">
        <f ca="1">OFFSET('360SpcLdsCSV'!$B$5,$B178,U$51)</f>
        <v>#N/A</v>
      </c>
      <c r="V178" s="64" t="e">
        <f ca="1">OFFSET('360SpcLdsCSV'!$B$5,$B178,V$51)*$U178/1000</f>
        <v>#N/A</v>
      </c>
      <c r="W178" s="84" t="e">
        <f t="shared" ca="1" si="105"/>
        <v>#N/A</v>
      </c>
      <c r="X178" s="64" t="e">
        <f ca="1">OFFSET('360SpcLdsCSV'!$B$5,$B178,X$51)*$P178</f>
        <v>#N/A</v>
      </c>
      <c r="Y178" s="64" t="e">
        <f ca="1">OFFSET('360SpcLdsCSV'!$B$5,$B178,Y$51)*$X178/1000</f>
        <v>#N/A</v>
      </c>
      <c r="Z178" s="84" t="e">
        <f t="shared" ca="1" si="106"/>
        <v>#N/A</v>
      </c>
      <c r="AA178" s="64" t="e">
        <f ca="1">OFFSET('360SpcLdsCSV'!$B$5,$B178,AA$51)*$P178</f>
        <v>#N/A</v>
      </c>
      <c r="AB178" s="64" t="e">
        <f ca="1">OFFSET('360SpcLdsCSV'!$B$5,$B178,AB$51)*$AA178/1000</f>
        <v>#N/A</v>
      </c>
      <c r="AC178" s="65" t="e">
        <f ca="1">'Ltg IntTakeoffs'!EZ133</f>
        <v>#N/A</v>
      </c>
      <c r="AD178" s="64" t="e">
        <f t="shared" ca="1" si="98"/>
        <v>#N/A</v>
      </c>
      <c r="AE178" s="558" t="e">
        <f ca="1">'Ltg IntTakeoffs'!FA133*M178</f>
        <v>#N/A</v>
      </c>
      <c r="AF178" s="559" t="e">
        <f ca="1">'Ltg IntTakeoffs'!FB133*M178</f>
        <v>#N/A</v>
      </c>
      <c r="AG178" s="62"/>
      <c r="AH178" s="62"/>
    </row>
    <row r="179" spans="2:34" ht="15" customHeight="1" x14ac:dyDescent="0.2">
      <c r="B179" s="62" t="e">
        <f>MATCH(C179,'360SpcLdsCSV'!$C$6:$C$500,0)</f>
        <v>#N/A</v>
      </c>
      <c r="C179" s="62">
        <f>'360SpcLdsCSV'!C128</f>
        <v>0</v>
      </c>
      <c r="D179" s="62" t="str">
        <f t="shared" si="101"/>
        <v>0</v>
      </c>
      <c r="E179" s="62" t="e">
        <f t="shared" si="91"/>
        <v>#VALUE!</v>
      </c>
      <c r="F179" s="62" t="e">
        <f t="shared" si="92"/>
        <v>#VALUE!</v>
      </c>
      <c r="G179" s="62" t="str">
        <f t="shared" si="102"/>
        <v>0</v>
      </c>
      <c r="H179" s="62" t="e">
        <f ca="1">OFFSET('360SpcLdsCSV'!$B$5,$B179,H$51)</f>
        <v>#N/A</v>
      </c>
      <c r="I179" s="62" t="e">
        <f ca="1">OFFSET('360SpcLdsCSV'!$B$5,$B179,I$51)</f>
        <v>#N/A</v>
      </c>
      <c r="J179" s="62" t="e">
        <f ca="1">OFFSET('360SpcLdsCSV'!$B$5,$B179,J$51)</f>
        <v>#N/A</v>
      </c>
      <c r="K179" s="62" t="e">
        <f ca="1">OFFSET('360SpcLdsCSV'!$B$5,$B179,K$51)</f>
        <v>#N/A</v>
      </c>
      <c r="L179" s="62" t="e">
        <f ca="1">OFFSET('360SpcLdsCSV'!$B$5,$B179,L$51)</f>
        <v>#N/A</v>
      </c>
      <c r="M179" s="1178" t="e">
        <f t="shared" ca="1" si="107"/>
        <v>#N/A</v>
      </c>
      <c r="N179" s="1178" t="e">
        <f t="shared" ca="1" si="107"/>
        <v>#N/A</v>
      </c>
      <c r="O179" s="62" t="e">
        <f ca="1">OFFSET('360SpcLdsCSV'!$B$5,$B179,O$51)</f>
        <v>#N/A</v>
      </c>
      <c r="P179" s="64" t="e">
        <f ca="1">OFFSET('360SpcLdsCSV'!$B$5,$B179,P$51)</f>
        <v>#N/A</v>
      </c>
      <c r="Q179" s="84" t="e">
        <f t="shared" ca="1" si="103"/>
        <v>#N/A</v>
      </c>
      <c r="R179" s="64" t="e">
        <f ca="1">OFFSET('360SpcLdsCSV'!$B$5,$B179,R$51)*$P179</f>
        <v>#N/A</v>
      </c>
      <c r="S179" s="64" t="e">
        <f ca="1">OFFSET('360SpcLdsCSV'!$B$5,$B179,S$51)*$R179/1000</f>
        <v>#N/A</v>
      </c>
      <c r="T179" s="84" t="e">
        <f t="shared" ca="1" si="104"/>
        <v>#N/A</v>
      </c>
      <c r="U179" s="64" t="e">
        <f ca="1">OFFSET('360SpcLdsCSV'!$B$5,$B179,U$51)</f>
        <v>#N/A</v>
      </c>
      <c r="V179" s="64" t="e">
        <f ca="1">OFFSET('360SpcLdsCSV'!$B$5,$B179,V$51)*$U179/1000</f>
        <v>#N/A</v>
      </c>
      <c r="W179" s="84" t="e">
        <f t="shared" ca="1" si="105"/>
        <v>#N/A</v>
      </c>
      <c r="X179" s="64" t="e">
        <f ca="1">OFFSET('360SpcLdsCSV'!$B$5,$B179,X$51)*$P179</f>
        <v>#N/A</v>
      </c>
      <c r="Y179" s="64" t="e">
        <f ca="1">OFFSET('360SpcLdsCSV'!$B$5,$B179,Y$51)*$X179/1000</f>
        <v>#N/A</v>
      </c>
      <c r="Z179" s="84" t="e">
        <f t="shared" ca="1" si="106"/>
        <v>#N/A</v>
      </c>
      <c r="AA179" s="64" t="e">
        <f ca="1">OFFSET('360SpcLdsCSV'!$B$5,$B179,AA$51)*$P179</f>
        <v>#N/A</v>
      </c>
      <c r="AB179" s="64" t="e">
        <f ca="1">OFFSET('360SpcLdsCSV'!$B$5,$B179,AB$51)*$AA179/1000</f>
        <v>#N/A</v>
      </c>
      <c r="AC179" s="65" t="e">
        <f ca="1">'Ltg IntTakeoffs'!EZ134</f>
        <v>#N/A</v>
      </c>
      <c r="AD179" s="64" t="e">
        <f t="shared" ca="1" si="98"/>
        <v>#N/A</v>
      </c>
      <c r="AE179" s="558" t="e">
        <f ca="1">'Ltg IntTakeoffs'!FA134*M179</f>
        <v>#N/A</v>
      </c>
      <c r="AF179" s="559" t="e">
        <f ca="1">'Ltg IntTakeoffs'!FB134*M179</f>
        <v>#N/A</v>
      </c>
      <c r="AG179" s="62"/>
      <c r="AH179" s="62"/>
    </row>
    <row r="180" spans="2:34" ht="15" customHeight="1" x14ac:dyDescent="0.2">
      <c r="B180" s="62" t="e">
        <f>MATCH(C180,'360SpcLdsCSV'!$C$6:$C$500,0)</f>
        <v>#N/A</v>
      </c>
      <c r="C180" s="62">
        <f>'360SpcLdsCSV'!C129</f>
        <v>0</v>
      </c>
      <c r="D180" s="62" t="str">
        <f t="shared" si="101"/>
        <v>0</v>
      </c>
      <c r="E180" s="62" t="e">
        <f t="shared" si="91"/>
        <v>#VALUE!</v>
      </c>
      <c r="F180" s="62" t="e">
        <f t="shared" si="92"/>
        <v>#VALUE!</v>
      </c>
      <c r="G180" s="62" t="str">
        <f t="shared" si="102"/>
        <v>0</v>
      </c>
      <c r="H180" s="62" t="e">
        <f ca="1">OFFSET('360SpcLdsCSV'!$B$5,$B180,H$51)</f>
        <v>#N/A</v>
      </c>
      <c r="I180" s="62" t="e">
        <f ca="1">OFFSET('360SpcLdsCSV'!$B$5,$B180,I$51)</f>
        <v>#N/A</v>
      </c>
      <c r="J180" s="62" t="e">
        <f ca="1">OFFSET('360SpcLdsCSV'!$B$5,$B180,J$51)</f>
        <v>#N/A</v>
      </c>
      <c r="K180" s="62" t="e">
        <f ca="1">OFFSET('360SpcLdsCSV'!$B$5,$B180,K$51)</f>
        <v>#N/A</v>
      </c>
      <c r="L180" s="62" t="e">
        <f ca="1">OFFSET('360SpcLdsCSV'!$B$5,$B180,L$51)</f>
        <v>#N/A</v>
      </c>
      <c r="M180" s="1178" t="e">
        <f t="shared" ca="1" si="107"/>
        <v>#N/A</v>
      </c>
      <c r="N180" s="1178" t="e">
        <f t="shared" ca="1" si="107"/>
        <v>#N/A</v>
      </c>
      <c r="O180" s="62" t="e">
        <f ca="1">OFFSET('360SpcLdsCSV'!$B$5,$B180,O$51)</f>
        <v>#N/A</v>
      </c>
      <c r="P180" s="64" t="e">
        <f ca="1">OFFSET('360SpcLdsCSV'!$B$5,$B180,P$51)</f>
        <v>#N/A</v>
      </c>
      <c r="Q180" s="84" t="e">
        <f t="shared" ca="1" si="103"/>
        <v>#N/A</v>
      </c>
      <c r="R180" s="64" t="e">
        <f ca="1">OFFSET('360SpcLdsCSV'!$B$5,$B180,R$51)*$P180</f>
        <v>#N/A</v>
      </c>
      <c r="S180" s="64" t="e">
        <f ca="1">OFFSET('360SpcLdsCSV'!$B$5,$B180,S$51)*$R180/1000</f>
        <v>#N/A</v>
      </c>
      <c r="T180" s="84" t="e">
        <f t="shared" ca="1" si="104"/>
        <v>#N/A</v>
      </c>
      <c r="U180" s="64" t="e">
        <f ca="1">OFFSET('360SpcLdsCSV'!$B$5,$B180,U$51)</f>
        <v>#N/A</v>
      </c>
      <c r="V180" s="64" t="e">
        <f ca="1">OFFSET('360SpcLdsCSV'!$B$5,$B180,V$51)*$U180/1000</f>
        <v>#N/A</v>
      </c>
      <c r="W180" s="84" t="e">
        <f t="shared" ca="1" si="105"/>
        <v>#N/A</v>
      </c>
      <c r="X180" s="64" t="e">
        <f ca="1">OFFSET('360SpcLdsCSV'!$B$5,$B180,X$51)*$P180</f>
        <v>#N/A</v>
      </c>
      <c r="Y180" s="64" t="e">
        <f ca="1">OFFSET('360SpcLdsCSV'!$B$5,$B180,Y$51)*$X180/1000</f>
        <v>#N/A</v>
      </c>
      <c r="Z180" s="84" t="e">
        <f t="shared" ca="1" si="106"/>
        <v>#N/A</v>
      </c>
      <c r="AA180" s="64" t="e">
        <f ca="1">OFFSET('360SpcLdsCSV'!$B$5,$B180,AA$51)*$P180</f>
        <v>#N/A</v>
      </c>
      <c r="AB180" s="64" t="e">
        <f ca="1">OFFSET('360SpcLdsCSV'!$B$5,$B180,AB$51)*$AA180/1000</f>
        <v>#N/A</v>
      </c>
      <c r="AC180" s="65" t="e">
        <f ca="1">'Ltg IntTakeoffs'!EZ135</f>
        <v>#N/A</v>
      </c>
      <c r="AD180" s="64" t="e">
        <f t="shared" ca="1" si="98"/>
        <v>#N/A</v>
      </c>
      <c r="AE180" s="558" t="e">
        <f ca="1">'Ltg IntTakeoffs'!FA135*M180</f>
        <v>#N/A</v>
      </c>
      <c r="AF180" s="559" t="e">
        <f ca="1">'Ltg IntTakeoffs'!FB135*M180</f>
        <v>#N/A</v>
      </c>
      <c r="AG180" s="62"/>
      <c r="AH180" s="62"/>
    </row>
    <row r="181" spans="2:34" ht="15" customHeight="1" x14ac:dyDescent="0.2">
      <c r="B181" s="62" t="e">
        <f>MATCH(C181,'360SpcLdsCSV'!$C$6:$C$500,0)</f>
        <v>#N/A</v>
      </c>
      <c r="C181" s="62">
        <f>'360SpcLdsCSV'!C130</f>
        <v>0</v>
      </c>
      <c r="D181" s="62" t="str">
        <f t="shared" si="101"/>
        <v>0</v>
      </c>
      <c r="E181" s="62" t="e">
        <f t="shared" si="91"/>
        <v>#VALUE!</v>
      </c>
      <c r="F181" s="62" t="e">
        <f t="shared" si="92"/>
        <v>#VALUE!</v>
      </c>
      <c r="G181" s="62" t="str">
        <f t="shared" si="102"/>
        <v>0</v>
      </c>
      <c r="H181" s="62" t="e">
        <f ca="1">OFFSET('360SpcLdsCSV'!$B$5,$B181,H$51)</f>
        <v>#N/A</v>
      </c>
      <c r="I181" s="62" t="e">
        <f ca="1">OFFSET('360SpcLdsCSV'!$B$5,$B181,I$51)</f>
        <v>#N/A</v>
      </c>
      <c r="J181" s="62" t="e">
        <f ca="1">OFFSET('360SpcLdsCSV'!$B$5,$B181,J$51)</f>
        <v>#N/A</v>
      </c>
      <c r="K181" s="62" t="e">
        <f ca="1">OFFSET('360SpcLdsCSV'!$B$5,$B181,K$51)</f>
        <v>#N/A</v>
      </c>
      <c r="L181" s="62" t="e">
        <f ca="1">OFFSET('360SpcLdsCSV'!$B$5,$B181,L$51)</f>
        <v>#N/A</v>
      </c>
      <c r="M181" s="1178" t="e">
        <f t="shared" ca="1" si="107"/>
        <v>#N/A</v>
      </c>
      <c r="N181" s="1178" t="e">
        <f t="shared" ca="1" si="107"/>
        <v>#N/A</v>
      </c>
      <c r="O181" s="62" t="e">
        <f ca="1">OFFSET('360SpcLdsCSV'!$B$5,$B181,O$51)</f>
        <v>#N/A</v>
      </c>
      <c r="P181" s="64" t="e">
        <f ca="1">OFFSET('360SpcLdsCSV'!$B$5,$B181,P$51)</f>
        <v>#N/A</v>
      </c>
      <c r="Q181" s="84" t="e">
        <f t="shared" ca="1" si="103"/>
        <v>#N/A</v>
      </c>
      <c r="R181" s="64" t="e">
        <f ca="1">OFFSET('360SpcLdsCSV'!$B$5,$B181,R$51)*$P181</f>
        <v>#N/A</v>
      </c>
      <c r="S181" s="64" t="e">
        <f ca="1">OFFSET('360SpcLdsCSV'!$B$5,$B181,S$51)*$R181/1000</f>
        <v>#N/A</v>
      </c>
      <c r="T181" s="84" t="e">
        <f t="shared" ca="1" si="104"/>
        <v>#N/A</v>
      </c>
      <c r="U181" s="64" t="e">
        <f ca="1">OFFSET('360SpcLdsCSV'!$B$5,$B181,U$51)</f>
        <v>#N/A</v>
      </c>
      <c r="V181" s="64" t="e">
        <f ca="1">OFFSET('360SpcLdsCSV'!$B$5,$B181,V$51)*$U181/1000</f>
        <v>#N/A</v>
      </c>
      <c r="W181" s="84" t="e">
        <f t="shared" ca="1" si="105"/>
        <v>#N/A</v>
      </c>
      <c r="X181" s="64" t="e">
        <f ca="1">OFFSET('360SpcLdsCSV'!$B$5,$B181,X$51)*$P181</f>
        <v>#N/A</v>
      </c>
      <c r="Y181" s="64" t="e">
        <f ca="1">OFFSET('360SpcLdsCSV'!$B$5,$B181,Y$51)*$X181/1000</f>
        <v>#N/A</v>
      </c>
      <c r="Z181" s="84" t="e">
        <f t="shared" ca="1" si="106"/>
        <v>#N/A</v>
      </c>
      <c r="AA181" s="64" t="e">
        <f ca="1">OFFSET('360SpcLdsCSV'!$B$5,$B181,AA$51)*$P181</f>
        <v>#N/A</v>
      </c>
      <c r="AB181" s="64" t="e">
        <f ca="1">OFFSET('360SpcLdsCSV'!$B$5,$B181,AB$51)*$AA181/1000</f>
        <v>#N/A</v>
      </c>
      <c r="AC181" s="65" t="e">
        <f ca="1">'Ltg IntTakeoffs'!EZ136</f>
        <v>#N/A</v>
      </c>
      <c r="AD181" s="64" t="e">
        <f t="shared" ca="1" si="98"/>
        <v>#N/A</v>
      </c>
      <c r="AE181" s="558" t="e">
        <f ca="1">'Ltg IntTakeoffs'!FA136*M181</f>
        <v>#N/A</v>
      </c>
      <c r="AF181" s="559" t="e">
        <f ca="1">'Ltg IntTakeoffs'!FB136*M181</f>
        <v>#N/A</v>
      </c>
      <c r="AG181" s="62"/>
      <c r="AH181" s="62"/>
    </row>
    <row r="182" spans="2:34" ht="15" customHeight="1" x14ac:dyDescent="0.2">
      <c r="B182" s="62" t="e">
        <f>MATCH(C182,'360SpcLdsCSV'!$C$6:$C$500,0)</f>
        <v>#N/A</v>
      </c>
      <c r="C182" s="62">
        <f>'360SpcLdsCSV'!C131</f>
        <v>0</v>
      </c>
      <c r="D182" s="62" t="str">
        <f t="shared" si="101"/>
        <v>0</v>
      </c>
      <c r="E182" s="62" t="e">
        <f t="shared" si="91"/>
        <v>#VALUE!</v>
      </c>
      <c r="F182" s="62" t="e">
        <f t="shared" si="92"/>
        <v>#VALUE!</v>
      </c>
      <c r="G182" s="62" t="str">
        <f t="shared" si="102"/>
        <v>0</v>
      </c>
      <c r="H182" s="62" t="e">
        <f ca="1">OFFSET('360SpcLdsCSV'!$B$5,$B182,H$51)</f>
        <v>#N/A</v>
      </c>
      <c r="I182" s="62" t="e">
        <f ca="1">OFFSET('360SpcLdsCSV'!$B$5,$B182,I$51)</f>
        <v>#N/A</v>
      </c>
      <c r="J182" s="62" t="e">
        <f ca="1">OFFSET('360SpcLdsCSV'!$B$5,$B182,J$51)</f>
        <v>#N/A</v>
      </c>
      <c r="K182" s="62" t="e">
        <f ca="1">OFFSET('360SpcLdsCSV'!$B$5,$B182,K$51)</f>
        <v>#N/A</v>
      </c>
      <c r="L182" s="62" t="e">
        <f ca="1">OFFSET('360SpcLdsCSV'!$B$5,$B182,L$51)</f>
        <v>#N/A</v>
      </c>
      <c r="M182" s="1178" t="e">
        <f t="shared" ca="1" si="107"/>
        <v>#N/A</v>
      </c>
      <c r="N182" s="1178" t="e">
        <f t="shared" ca="1" si="107"/>
        <v>#N/A</v>
      </c>
      <c r="O182" s="62" t="e">
        <f ca="1">OFFSET('360SpcLdsCSV'!$B$5,$B182,O$51)</f>
        <v>#N/A</v>
      </c>
      <c r="P182" s="64" t="e">
        <f ca="1">OFFSET('360SpcLdsCSV'!$B$5,$B182,P$51)</f>
        <v>#N/A</v>
      </c>
      <c r="Q182" s="84" t="e">
        <f t="shared" ca="1" si="103"/>
        <v>#N/A</v>
      </c>
      <c r="R182" s="64" t="e">
        <f ca="1">OFFSET('360SpcLdsCSV'!$B$5,$B182,R$51)*$P182</f>
        <v>#N/A</v>
      </c>
      <c r="S182" s="64" t="e">
        <f ca="1">OFFSET('360SpcLdsCSV'!$B$5,$B182,S$51)*$R182/1000</f>
        <v>#N/A</v>
      </c>
      <c r="T182" s="84" t="e">
        <f t="shared" ca="1" si="104"/>
        <v>#N/A</v>
      </c>
      <c r="U182" s="64" t="e">
        <f ca="1">OFFSET('360SpcLdsCSV'!$B$5,$B182,U$51)</f>
        <v>#N/A</v>
      </c>
      <c r="V182" s="64" t="e">
        <f ca="1">OFFSET('360SpcLdsCSV'!$B$5,$B182,V$51)*$U182/1000</f>
        <v>#N/A</v>
      </c>
      <c r="W182" s="84" t="e">
        <f t="shared" ca="1" si="105"/>
        <v>#N/A</v>
      </c>
      <c r="X182" s="64" t="e">
        <f ca="1">OFFSET('360SpcLdsCSV'!$B$5,$B182,X$51)*$P182</f>
        <v>#N/A</v>
      </c>
      <c r="Y182" s="64" t="e">
        <f ca="1">OFFSET('360SpcLdsCSV'!$B$5,$B182,Y$51)*$X182/1000</f>
        <v>#N/A</v>
      </c>
      <c r="Z182" s="84" t="e">
        <f t="shared" ca="1" si="106"/>
        <v>#N/A</v>
      </c>
      <c r="AA182" s="64" t="e">
        <f ca="1">OFFSET('360SpcLdsCSV'!$B$5,$B182,AA$51)*$P182</f>
        <v>#N/A</v>
      </c>
      <c r="AB182" s="64" t="e">
        <f ca="1">OFFSET('360SpcLdsCSV'!$B$5,$B182,AB$51)*$AA182/1000</f>
        <v>#N/A</v>
      </c>
      <c r="AC182" s="65" t="e">
        <f ca="1">'Ltg IntTakeoffs'!EZ137</f>
        <v>#N/A</v>
      </c>
      <c r="AD182" s="64" t="e">
        <f t="shared" ca="1" si="98"/>
        <v>#N/A</v>
      </c>
      <c r="AE182" s="558" t="e">
        <f ca="1">'Ltg IntTakeoffs'!FA137*M182</f>
        <v>#N/A</v>
      </c>
      <c r="AF182" s="559" t="e">
        <f ca="1">'Ltg IntTakeoffs'!FB137*M182</f>
        <v>#N/A</v>
      </c>
      <c r="AG182" s="62"/>
      <c r="AH182" s="62"/>
    </row>
    <row r="183" spans="2:34" ht="15" customHeight="1" x14ac:dyDescent="0.2">
      <c r="B183" s="62" t="e">
        <f>MATCH(C183,'360SpcLdsCSV'!$C$6:$C$500,0)</f>
        <v>#N/A</v>
      </c>
      <c r="C183" s="62">
        <f>'360SpcLdsCSV'!C132</f>
        <v>0</v>
      </c>
      <c r="D183" s="62" t="str">
        <f t="shared" si="101"/>
        <v>0</v>
      </c>
      <c r="E183" s="62" t="e">
        <f t="shared" si="91"/>
        <v>#VALUE!</v>
      </c>
      <c r="F183" s="62" t="e">
        <f t="shared" si="92"/>
        <v>#VALUE!</v>
      </c>
      <c r="G183" s="62" t="str">
        <f t="shared" si="102"/>
        <v>0</v>
      </c>
      <c r="H183" s="62" t="e">
        <f ca="1">OFFSET('360SpcLdsCSV'!$B$5,$B183,H$51)</f>
        <v>#N/A</v>
      </c>
      <c r="I183" s="62" t="e">
        <f ca="1">OFFSET('360SpcLdsCSV'!$B$5,$B183,I$51)</f>
        <v>#N/A</v>
      </c>
      <c r="J183" s="62" t="e">
        <f ca="1">OFFSET('360SpcLdsCSV'!$B$5,$B183,J$51)</f>
        <v>#N/A</v>
      </c>
      <c r="K183" s="62" t="e">
        <f ca="1">OFFSET('360SpcLdsCSV'!$B$5,$B183,K$51)</f>
        <v>#N/A</v>
      </c>
      <c r="L183" s="62" t="e">
        <f ca="1">OFFSET('360SpcLdsCSV'!$B$5,$B183,L$51)</f>
        <v>#N/A</v>
      </c>
      <c r="M183" s="1178" t="e">
        <f t="shared" ca="1" si="107"/>
        <v>#N/A</v>
      </c>
      <c r="N183" s="1178" t="e">
        <f t="shared" ca="1" si="107"/>
        <v>#N/A</v>
      </c>
      <c r="O183" s="62" t="e">
        <f ca="1">OFFSET('360SpcLdsCSV'!$B$5,$B183,O$51)</f>
        <v>#N/A</v>
      </c>
      <c r="P183" s="64" t="e">
        <f ca="1">OFFSET('360SpcLdsCSV'!$B$5,$B183,P$51)</f>
        <v>#N/A</v>
      </c>
      <c r="Q183" s="84" t="e">
        <f t="shared" ca="1" si="103"/>
        <v>#N/A</v>
      </c>
      <c r="R183" s="64" t="e">
        <f ca="1">OFFSET('360SpcLdsCSV'!$B$5,$B183,R$51)*$P183</f>
        <v>#N/A</v>
      </c>
      <c r="S183" s="64" t="e">
        <f ca="1">OFFSET('360SpcLdsCSV'!$B$5,$B183,S$51)*$R183/1000</f>
        <v>#N/A</v>
      </c>
      <c r="T183" s="84" t="e">
        <f t="shared" ca="1" si="104"/>
        <v>#N/A</v>
      </c>
      <c r="U183" s="64" t="e">
        <f ca="1">OFFSET('360SpcLdsCSV'!$B$5,$B183,U$51)</f>
        <v>#N/A</v>
      </c>
      <c r="V183" s="64" t="e">
        <f ca="1">OFFSET('360SpcLdsCSV'!$B$5,$B183,V$51)*$U183/1000</f>
        <v>#N/A</v>
      </c>
      <c r="W183" s="84" t="e">
        <f t="shared" ca="1" si="105"/>
        <v>#N/A</v>
      </c>
      <c r="X183" s="64" t="e">
        <f ca="1">OFFSET('360SpcLdsCSV'!$B$5,$B183,X$51)*$P183</f>
        <v>#N/A</v>
      </c>
      <c r="Y183" s="64" t="e">
        <f ca="1">OFFSET('360SpcLdsCSV'!$B$5,$B183,Y$51)*$X183/1000</f>
        <v>#N/A</v>
      </c>
      <c r="Z183" s="84" t="e">
        <f t="shared" ca="1" si="106"/>
        <v>#N/A</v>
      </c>
      <c r="AA183" s="64" t="e">
        <f ca="1">OFFSET('360SpcLdsCSV'!$B$5,$B183,AA$51)*$P183</f>
        <v>#N/A</v>
      </c>
      <c r="AB183" s="64" t="e">
        <f ca="1">OFFSET('360SpcLdsCSV'!$B$5,$B183,AB$51)*$AA183/1000</f>
        <v>#N/A</v>
      </c>
      <c r="AC183" s="65" t="e">
        <f ca="1">'Ltg IntTakeoffs'!EZ138</f>
        <v>#N/A</v>
      </c>
      <c r="AD183" s="64" t="e">
        <f t="shared" ca="1" si="98"/>
        <v>#N/A</v>
      </c>
      <c r="AE183" s="558" t="e">
        <f ca="1">'Ltg IntTakeoffs'!FA138*M183</f>
        <v>#N/A</v>
      </c>
      <c r="AF183" s="559" t="e">
        <f ca="1">'Ltg IntTakeoffs'!FB138*M183</f>
        <v>#N/A</v>
      </c>
      <c r="AG183" s="62"/>
      <c r="AH183" s="62"/>
    </row>
    <row r="184" spans="2:34" ht="15" customHeight="1" x14ac:dyDescent="0.2">
      <c r="B184" s="62" t="e">
        <f>MATCH(C184,'360SpcLdsCSV'!$C$6:$C$500,0)</f>
        <v>#N/A</v>
      </c>
      <c r="C184" s="62">
        <f>'360SpcLdsCSV'!C133</f>
        <v>0</v>
      </c>
      <c r="D184" s="62" t="str">
        <f t="shared" si="101"/>
        <v>0</v>
      </c>
      <c r="E184" s="62" t="e">
        <f t="shared" si="91"/>
        <v>#VALUE!</v>
      </c>
      <c r="F184" s="62" t="e">
        <f t="shared" si="92"/>
        <v>#VALUE!</v>
      </c>
      <c r="G184" s="62" t="str">
        <f t="shared" si="102"/>
        <v>0</v>
      </c>
      <c r="H184" s="62" t="e">
        <f ca="1">OFFSET('360SpcLdsCSV'!$B$5,$B184,H$51)</f>
        <v>#N/A</v>
      </c>
      <c r="I184" s="62" t="e">
        <f ca="1">OFFSET('360SpcLdsCSV'!$B$5,$B184,I$51)</f>
        <v>#N/A</v>
      </c>
      <c r="J184" s="62" t="e">
        <f ca="1">OFFSET('360SpcLdsCSV'!$B$5,$B184,J$51)</f>
        <v>#N/A</v>
      </c>
      <c r="K184" s="62" t="e">
        <f ca="1">OFFSET('360SpcLdsCSV'!$B$5,$B184,K$51)</f>
        <v>#N/A</v>
      </c>
      <c r="L184" s="62" t="e">
        <f ca="1">OFFSET('360SpcLdsCSV'!$B$5,$B184,L$51)</f>
        <v>#N/A</v>
      </c>
      <c r="M184" s="1178" t="e">
        <f t="shared" ca="1" si="107"/>
        <v>#N/A</v>
      </c>
      <c r="N184" s="1178" t="e">
        <f t="shared" ca="1" si="107"/>
        <v>#N/A</v>
      </c>
      <c r="O184" s="62" t="e">
        <f ca="1">OFFSET('360SpcLdsCSV'!$B$5,$B184,O$51)</f>
        <v>#N/A</v>
      </c>
      <c r="P184" s="64" t="e">
        <f ca="1">OFFSET('360SpcLdsCSV'!$B$5,$B184,P$51)</f>
        <v>#N/A</v>
      </c>
      <c r="Q184" s="84" t="e">
        <f t="shared" ca="1" si="103"/>
        <v>#N/A</v>
      </c>
      <c r="R184" s="64" t="e">
        <f ca="1">OFFSET('360SpcLdsCSV'!$B$5,$B184,R$51)*$P184</f>
        <v>#N/A</v>
      </c>
      <c r="S184" s="64" t="e">
        <f ca="1">OFFSET('360SpcLdsCSV'!$B$5,$B184,S$51)*$R184/1000</f>
        <v>#N/A</v>
      </c>
      <c r="T184" s="84" t="e">
        <f t="shared" ca="1" si="104"/>
        <v>#N/A</v>
      </c>
      <c r="U184" s="64" t="e">
        <f ca="1">OFFSET('360SpcLdsCSV'!$B$5,$B184,U$51)</f>
        <v>#N/A</v>
      </c>
      <c r="V184" s="64" t="e">
        <f ca="1">OFFSET('360SpcLdsCSV'!$B$5,$B184,V$51)*$U184/1000</f>
        <v>#N/A</v>
      </c>
      <c r="W184" s="84" t="e">
        <f t="shared" ca="1" si="105"/>
        <v>#N/A</v>
      </c>
      <c r="X184" s="64" t="e">
        <f ca="1">OFFSET('360SpcLdsCSV'!$B$5,$B184,X$51)*$P184</f>
        <v>#N/A</v>
      </c>
      <c r="Y184" s="64" t="e">
        <f ca="1">OFFSET('360SpcLdsCSV'!$B$5,$B184,Y$51)*$X184/1000</f>
        <v>#N/A</v>
      </c>
      <c r="Z184" s="84" t="e">
        <f t="shared" ca="1" si="106"/>
        <v>#N/A</v>
      </c>
      <c r="AA184" s="64" t="e">
        <f ca="1">OFFSET('360SpcLdsCSV'!$B$5,$B184,AA$51)*$P184</f>
        <v>#N/A</v>
      </c>
      <c r="AB184" s="64" t="e">
        <f ca="1">OFFSET('360SpcLdsCSV'!$B$5,$B184,AB$51)*$AA184/1000</f>
        <v>#N/A</v>
      </c>
      <c r="AC184" s="65" t="e">
        <f ca="1">'Ltg IntTakeoffs'!EZ139</f>
        <v>#N/A</v>
      </c>
      <c r="AD184" s="64" t="e">
        <f t="shared" ca="1" si="98"/>
        <v>#N/A</v>
      </c>
      <c r="AE184" s="558" t="e">
        <f ca="1">'Ltg IntTakeoffs'!FA139*M184</f>
        <v>#N/A</v>
      </c>
      <c r="AF184" s="559" t="e">
        <f ca="1">'Ltg IntTakeoffs'!FB139*M184</f>
        <v>#N/A</v>
      </c>
      <c r="AG184" s="62"/>
      <c r="AH184" s="62"/>
    </row>
    <row r="185" spans="2:34" ht="15" customHeight="1" x14ac:dyDescent="0.2">
      <c r="B185" s="62" t="e">
        <f>MATCH(C185,'360SpcLdsCSV'!$C$6:$C$500,0)</f>
        <v>#N/A</v>
      </c>
      <c r="C185" s="62">
        <f>'360SpcLdsCSV'!C134</f>
        <v>0</v>
      </c>
      <c r="D185" s="62" t="str">
        <f t="shared" si="101"/>
        <v>0</v>
      </c>
      <c r="E185" s="62" t="e">
        <f t="shared" si="91"/>
        <v>#VALUE!</v>
      </c>
      <c r="F185" s="62" t="e">
        <f t="shared" si="92"/>
        <v>#VALUE!</v>
      </c>
      <c r="G185" s="62" t="str">
        <f t="shared" si="102"/>
        <v>0</v>
      </c>
      <c r="H185" s="62" t="e">
        <f ca="1">OFFSET('360SpcLdsCSV'!$B$5,$B185,H$51)</f>
        <v>#N/A</v>
      </c>
      <c r="I185" s="62" t="e">
        <f ca="1">OFFSET('360SpcLdsCSV'!$B$5,$B185,I$51)</f>
        <v>#N/A</v>
      </c>
      <c r="J185" s="62" t="e">
        <f ca="1">OFFSET('360SpcLdsCSV'!$B$5,$B185,J$51)</f>
        <v>#N/A</v>
      </c>
      <c r="K185" s="62" t="e">
        <f ca="1">OFFSET('360SpcLdsCSV'!$B$5,$B185,K$51)</f>
        <v>#N/A</v>
      </c>
      <c r="L185" s="62" t="e">
        <f ca="1">OFFSET('360SpcLdsCSV'!$B$5,$B185,L$51)</f>
        <v>#N/A</v>
      </c>
      <c r="M185" s="1178" t="e">
        <f t="shared" ca="1" si="107"/>
        <v>#N/A</v>
      </c>
      <c r="N185" s="1178" t="e">
        <f t="shared" ca="1" si="107"/>
        <v>#N/A</v>
      </c>
      <c r="O185" s="62" t="e">
        <f ca="1">OFFSET('360SpcLdsCSV'!$B$5,$B185,O$51)</f>
        <v>#N/A</v>
      </c>
      <c r="P185" s="64" t="e">
        <f ca="1">OFFSET('360SpcLdsCSV'!$B$5,$B185,P$51)</f>
        <v>#N/A</v>
      </c>
      <c r="Q185" s="84" t="e">
        <f t="shared" ca="1" si="103"/>
        <v>#N/A</v>
      </c>
      <c r="R185" s="64" t="e">
        <f ca="1">OFFSET('360SpcLdsCSV'!$B$5,$B185,R$51)*$P185</f>
        <v>#N/A</v>
      </c>
      <c r="S185" s="64" t="e">
        <f ca="1">OFFSET('360SpcLdsCSV'!$B$5,$B185,S$51)*$R185/1000</f>
        <v>#N/A</v>
      </c>
      <c r="T185" s="84" t="e">
        <f t="shared" ca="1" si="104"/>
        <v>#N/A</v>
      </c>
      <c r="U185" s="64" t="e">
        <f ca="1">OFFSET('360SpcLdsCSV'!$B$5,$B185,U$51)</f>
        <v>#N/A</v>
      </c>
      <c r="V185" s="64" t="e">
        <f ca="1">OFFSET('360SpcLdsCSV'!$B$5,$B185,V$51)*$U185/1000</f>
        <v>#N/A</v>
      </c>
      <c r="W185" s="84" t="e">
        <f t="shared" ca="1" si="105"/>
        <v>#N/A</v>
      </c>
      <c r="X185" s="64" t="e">
        <f ca="1">OFFSET('360SpcLdsCSV'!$B$5,$B185,X$51)*$P185</f>
        <v>#N/A</v>
      </c>
      <c r="Y185" s="64" t="e">
        <f ca="1">OFFSET('360SpcLdsCSV'!$B$5,$B185,Y$51)*$X185/1000</f>
        <v>#N/A</v>
      </c>
      <c r="Z185" s="84" t="e">
        <f t="shared" ca="1" si="106"/>
        <v>#N/A</v>
      </c>
      <c r="AA185" s="64" t="e">
        <f ca="1">OFFSET('360SpcLdsCSV'!$B$5,$B185,AA$51)*$P185</f>
        <v>#N/A</v>
      </c>
      <c r="AB185" s="64" t="e">
        <f ca="1">OFFSET('360SpcLdsCSV'!$B$5,$B185,AB$51)*$AA185/1000</f>
        <v>#N/A</v>
      </c>
      <c r="AC185" s="65" t="e">
        <f ca="1">'Ltg IntTakeoffs'!EZ140</f>
        <v>#N/A</v>
      </c>
      <c r="AD185" s="64" t="e">
        <f t="shared" ca="1" si="98"/>
        <v>#N/A</v>
      </c>
      <c r="AE185" s="558" t="e">
        <f ca="1">'Ltg IntTakeoffs'!FA140*M185</f>
        <v>#N/A</v>
      </c>
      <c r="AF185" s="559" t="e">
        <f ca="1">'Ltg IntTakeoffs'!FB140*M185</f>
        <v>#N/A</v>
      </c>
      <c r="AG185" s="62"/>
      <c r="AH185" s="62"/>
    </row>
    <row r="186" spans="2:34" ht="15" customHeight="1" x14ac:dyDescent="0.2">
      <c r="B186" s="62" t="e">
        <f>MATCH(C186,'360SpcLdsCSV'!$C$6:$C$500,0)</f>
        <v>#N/A</v>
      </c>
      <c r="C186" s="62">
        <f>'360SpcLdsCSV'!C135</f>
        <v>0</v>
      </c>
      <c r="D186" s="62" t="str">
        <f t="shared" si="101"/>
        <v>0</v>
      </c>
      <c r="E186" s="62" t="e">
        <f t="shared" ref="E186:E249" si="108">MID(C186,FIND("_",C186,1)+1,4)</f>
        <v>#VALUE!</v>
      </c>
      <c r="F186" s="62" t="e">
        <f t="shared" ref="F186:F249" si="109">MID(C186,FIND("_",C186,1)+5,4)</f>
        <v>#VALUE!</v>
      </c>
      <c r="G186" s="62" t="str">
        <f t="shared" si="102"/>
        <v>0</v>
      </c>
      <c r="H186" s="62" t="e">
        <f ca="1">OFFSET('360SpcLdsCSV'!$B$5,$B186,H$51)</f>
        <v>#N/A</v>
      </c>
      <c r="I186" s="62" t="e">
        <f ca="1">OFFSET('360SpcLdsCSV'!$B$5,$B186,I$51)</f>
        <v>#N/A</v>
      </c>
      <c r="J186" s="62" t="e">
        <f ca="1">OFFSET('360SpcLdsCSV'!$B$5,$B186,J$51)</f>
        <v>#N/A</v>
      </c>
      <c r="K186" s="62" t="e">
        <f ca="1">OFFSET('360SpcLdsCSV'!$B$5,$B186,K$51)</f>
        <v>#N/A</v>
      </c>
      <c r="L186" s="62" t="e">
        <f ca="1">OFFSET('360SpcLdsCSV'!$B$5,$B186,L$51)</f>
        <v>#N/A</v>
      </c>
      <c r="M186" s="1178" t="e">
        <f t="shared" ca="1" si="107"/>
        <v>#N/A</v>
      </c>
      <c r="N186" s="1178" t="e">
        <f t="shared" ca="1" si="107"/>
        <v>#N/A</v>
      </c>
      <c r="O186" s="62" t="e">
        <f ca="1">OFFSET('360SpcLdsCSV'!$B$5,$B186,O$51)</f>
        <v>#N/A</v>
      </c>
      <c r="P186" s="64" t="e">
        <f ca="1">OFFSET('360SpcLdsCSV'!$B$5,$B186,P$51)</f>
        <v>#N/A</v>
      </c>
      <c r="Q186" s="84" t="e">
        <f t="shared" ca="1" si="103"/>
        <v>#N/A</v>
      </c>
      <c r="R186" s="64" t="e">
        <f ca="1">OFFSET('360SpcLdsCSV'!$B$5,$B186,R$51)*$P186</f>
        <v>#N/A</v>
      </c>
      <c r="S186" s="64" t="e">
        <f ca="1">OFFSET('360SpcLdsCSV'!$B$5,$B186,S$51)*$R186/1000</f>
        <v>#N/A</v>
      </c>
      <c r="T186" s="84" t="e">
        <f t="shared" ca="1" si="104"/>
        <v>#N/A</v>
      </c>
      <c r="U186" s="64" t="e">
        <f ca="1">OFFSET('360SpcLdsCSV'!$B$5,$B186,U$51)</f>
        <v>#N/A</v>
      </c>
      <c r="V186" s="64" t="e">
        <f ca="1">OFFSET('360SpcLdsCSV'!$B$5,$B186,V$51)*$U186/1000</f>
        <v>#N/A</v>
      </c>
      <c r="W186" s="84" t="e">
        <f t="shared" ca="1" si="105"/>
        <v>#N/A</v>
      </c>
      <c r="X186" s="64" t="e">
        <f ca="1">OFFSET('360SpcLdsCSV'!$B$5,$B186,X$51)*$P186</f>
        <v>#N/A</v>
      </c>
      <c r="Y186" s="64" t="e">
        <f ca="1">OFFSET('360SpcLdsCSV'!$B$5,$B186,Y$51)*$X186/1000</f>
        <v>#N/A</v>
      </c>
      <c r="Z186" s="84" t="e">
        <f t="shared" ca="1" si="106"/>
        <v>#N/A</v>
      </c>
      <c r="AA186" s="64" t="e">
        <f ca="1">OFFSET('360SpcLdsCSV'!$B$5,$B186,AA$51)*$P186</f>
        <v>#N/A</v>
      </c>
      <c r="AB186" s="64" t="e">
        <f ca="1">OFFSET('360SpcLdsCSV'!$B$5,$B186,AB$51)*$AA186/1000</f>
        <v>#N/A</v>
      </c>
      <c r="AC186" s="65" t="e">
        <f ca="1">'Ltg IntTakeoffs'!EZ141</f>
        <v>#N/A</v>
      </c>
      <c r="AD186" s="64" t="e">
        <f t="shared" ref="AD186:AD249" ca="1" si="110">AC186*M186</f>
        <v>#N/A</v>
      </c>
      <c r="AE186" s="558" t="e">
        <f ca="1">'Ltg IntTakeoffs'!FA141*M186</f>
        <v>#N/A</v>
      </c>
      <c r="AF186" s="559" t="e">
        <f ca="1">'Ltg IntTakeoffs'!FB141*M186</f>
        <v>#N/A</v>
      </c>
      <c r="AG186" s="62"/>
      <c r="AH186" s="62"/>
    </row>
    <row r="187" spans="2:34" ht="15" customHeight="1" x14ac:dyDescent="0.2">
      <c r="B187" s="62" t="e">
        <f>MATCH(C187,'360SpcLdsCSV'!$C$6:$C$500,0)</f>
        <v>#N/A</v>
      </c>
      <c r="C187" s="62">
        <f>'360SpcLdsCSV'!C136</f>
        <v>0</v>
      </c>
      <c r="D187" s="62" t="str">
        <f t="shared" si="101"/>
        <v>0</v>
      </c>
      <c r="E187" s="62" t="e">
        <f t="shared" si="108"/>
        <v>#VALUE!</v>
      </c>
      <c r="F187" s="62" t="e">
        <f t="shared" si="109"/>
        <v>#VALUE!</v>
      </c>
      <c r="G187" s="62" t="str">
        <f t="shared" si="102"/>
        <v>0</v>
      </c>
      <c r="H187" s="62" t="e">
        <f ca="1">OFFSET('360SpcLdsCSV'!$B$5,$B187,H$51)</f>
        <v>#N/A</v>
      </c>
      <c r="I187" s="62" t="e">
        <f ca="1">OFFSET('360SpcLdsCSV'!$B$5,$B187,I$51)</f>
        <v>#N/A</v>
      </c>
      <c r="J187" s="62" t="e">
        <f ca="1">OFFSET('360SpcLdsCSV'!$B$5,$B187,J$51)</f>
        <v>#N/A</v>
      </c>
      <c r="K187" s="62" t="e">
        <f ca="1">OFFSET('360SpcLdsCSV'!$B$5,$B187,K$51)</f>
        <v>#N/A</v>
      </c>
      <c r="L187" s="62" t="e">
        <f ca="1">OFFSET('360SpcLdsCSV'!$B$5,$B187,L$51)</f>
        <v>#N/A</v>
      </c>
      <c r="M187" s="1178" t="e">
        <f t="shared" ca="1" si="107"/>
        <v>#N/A</v>
      </c>
      <c r="N187" s="1178" t="e">
        <f t="shared" ca="1" si="107"/>
        <v>#N/A</v>
      </c>
      <c r="O187" s="62" t="e">
        <f ca="1">OFFSET('360SpcLdsCSV'!$B$5,$B187,O$51)</f>
        <v>#N/A</v>
      </c>
      <c r="P187" s="64" t="e">
        <f ca="1">OFFSET('360SpcLdsCSV'!$B$5,$B187,P$51)</f>
        <v>#N/A</v>
      </c>
      <c r="Q187" s="84" t="e">
        <f t="shared" ca="1" si="103"/>
        <v>#N/A</v>
      </c>
      <c r="R187" s="64" t="e">
        <f ca="1">OFFSET('360SpcLdsCSV'!$B$5,$B187,R$51)*$P187</f>
        <v>#N/A</v>
      </c>
      <c r="S187" s="64" t="e">
        <f ca="1">OFFSET('360SpcLdsCSV'!$B$5,$B187,S$51)*$R187/1000</f>
        <v>#N/A</v>
      </c>
      <c r="T187" s="84" t="e">
        <f t="shared" ca="1" si="104"/>
        <v>#N/A</v>
      </c>
      <c r="U187" s="64" t="e">
        <f ca="1">OFFSET('360SpcLdsCSV'!$B$5,$B187,U$51)</f>
        <v>#N/A</v>
      </c>
      <c r="V187" s="64" t="e">
        <f ca="1">OFFSET('360SpcLdsCSV'!$B$5,$B187,V$51)*$U187/1000</f>
        <v>#N/A</v>
      </c>
      <c r="W187" s="84" t="e">
        <f t="shared" ca="1" si="105"/>
        <v>#N/A</v>
      </c>
      <c r="X187" s="64" t="e">
        <f ca="1">OFFSET('360SpcLdsCSV'!$B$5,$B187,X$51)*$P187</f>
        <v>#N/A</v>
      </c>
      <c r="Y187" s="64" t="e">
        <f ca="1">OFFSET('360SpcLdsCSV'!$B$5,$B187,Y$51)*$X187/1000</f>
        <v>#N/A</v>
      </c>
      <c r="Z187" s="84" t="e">
        <f t="shared" ca="1" si="106"/>
        <v>#N/A</v>
      </c>
      <c r="AA187" s="64" t="e">
        <f ca="1">OFFSET('360SpcLdsCSV'!$B$5,$B187,AA$51)*$P187</f>
        <v>#N/A</v>
      </c>
      <c r="AB187" s="64" t="e">
        <f ca="1">OFFSET('360SpcLdsCSV'!$B$5,$B187,AB$51)*$AA187/1000</f>
        <v>#N/A</v>
      </c>
      <c r="AC187" s="65" t="e">
        <f ca="1">'Ltg IntTakeoffs'!EZ142</f>
        <v>#N/A</v>
      </c>
      <c r="AD187" s="64" t="e">
        <f t="shared" ca="1" si="110"/>
        <v>#N/A</v>
      </c>
      <c r="AE187" s="558" t="e">
        <f ca="1">'Ltg IntTakeoffs'!FA142*M187</f>
        <v>#N/A</v>
      </c>
      <c r="AF187" s="559" t="e">
        <f ca="1">'Ltg IntTakeoffs'!FB142*M187</f>
        <v>#N/A</v>
      </c>
      <c r="AG187" s="62"/>
      <c r="AH187" s="62"/>
    </row>
    <row r="188" spans="2:34" ht="15" customHeight="1" x14ac:dyDescent="0.2">
      <c r="B188" s="62" t="e">
        <f>MATCH(C188,'360SpcLdsCSV'!$C$6:$C$500,0)</f>
        <v>#N/A</v>
      </c>
      <c r="C188" s="62">
        <f>'360SpcLdsCSV'!C137</f>
        <v>0</v>
      </c>
      <c r="D188" s="62" t="str">
        <f t="shared" si="101"/>
        <v>0</v>
      </c>
      <c r="E188" s="62" t="e">
        <f t="shared" si="108"/>
        <v>#VALUE!</v>
      </c>
      <c r="F188" s="62" t="e">
        <f t="shared" si="109"/>
        <v>#VALUE!</v>
      </c>
      <c r="G188" s="62" t="str">
        <f t="shared" si="102"/>
        <v>0</v>
      </c>
      <c r="H188" s="62" t="e">
        <f ca="1">OFFSET('360SpcLdsCSV'!$B$5,$B188,H$51)</f>
        <v>#N/A</v>
      </c>
      <c r="I188" s="62" t="e">
        <f ca="1">OFFSET('360SpcLdsCSV'!$B$5,$B188,I$51)</f>
        <v>#N/A</v>
      </c>
      <c r="J188" s="62" t="e">
        <f ca="1">OFFSET('360SpcLdsCSV'!$B$5,$B188,J$51)</f>
        <v>#N/A</v>
      </c>
      <c r="K188" s="62" t="e">
        <f ca="1">OFFSET('360SpcLdsCSV'!$B$5,$B188,K$51)</f>
        <v>#N/A</v>
      </c>
      <c r="L188" s="62" t="e">
        <f ca="1">OFFSET('360SpcLdsCSV'!$B$5,$B188,L$51)</f>
        <v>#N/A</v>
      </c>
      <c r="M188" s="1178" t="e">
        <f t="shared" ca="1" si="107"/>
        <v>#N/A</v>
      </c>
      <c r="N188" s="1178" t="e">
        <f t="shared" ca="1" si="107"/>
        <v>#N/A</v>
      </c>
      <c r="O188" s="62" t="e">
        <f ca="1">OFFSET('360SpcLdsCSV'!$B$5,$B188,O$51)</f>
        <v>#N/A</v>
      </c>
      <c r="P188" s="64" t="e">
        <f ca="1">OFFSET('360SpcLdsCSV'!$B$5,$B188,P$51)</f>
        <v>#N/A</v>
      </c>
      <c r="Q188" s="84" t="e">
        <f t="shared" ca="1" si="103"/>
        <v>#N/A</v>
      </c>
      <c r="R188" s="64" t="e">
        <f ca="1">OFFSET('360SpcLdsCSV'!$B$5,$B188,R$51)*$P188</f>
        <v>#N/A</v>
      </c>
      <c r="S188" s="64" t="e">
        <f ca="1">OFFSET('360SpcLdsCSV'!$B$5,$B188,S$51)*$R188/1000</f>
        <v>#N/A</v>
      </c>
      <c r="T188" s="84" t="e">
        <f t="shared" ca="1" si="104"/>
        <v>#N/A</v>
      </c>
      <c r="U188" s="64" t="e">
        <f ca="1">OFFSET('360SpcLdsCSV'!$B$5,$B188,U$51)</f>
        <v>#N/A</v>
      </c>
      <c r="V188" s="64" t="e">
        <f ca="1">OFFSET('360SpcLdsCSV'!$B$5,$B188,V$51)*$U188/1000</f>
        <v>#N/A</v>
      </c>
      <c r="W188" s="84" t="e">
        <f t="shared" ca="1" si="105"/>
        <v>#N/A</v>
      </c>
      <c r="X188" s="64" t="e">
        <f ca="1">OFFSET('360SpcLdsCSV'!$B$5,$B188,X$51)*$P188</f>
        <v>#N/A</v>
      </c>
      <c r="Y188" s="64" t="e">
        <f ca="1">OFFSET('360SpcLdsCSV'!$B$5,$B188,Y$51)*$X188/1000</f>
        <v>#N/A</v>
      </c>
      <c r="Z188" s="84" t="e">
        <f t="shared" ca="1" si="106"/>
        <v>#N/A</v>
      </c>
      <c r="AA188" s="64" t="e">
        <f ca="1">OFFSET('360SpcLdsCSV'!$B$5,$B188,AA$51)*$P188</f>
        <v>#N/A</v>
      </c>
      <c r="AB188" s="64" t="e">
        <f ca="1">OFFSET('360SpcLdsCSV'!$B$5,$B188,AB$51)*$AA188/1000</f>
        <v>#N/A</v>
      </c>
      <c r="AC188" s="65" t="e">
        <f ca="1">'Ltg IntTakeoffs'!EZ143</f>
        <v>#N/A</v>
      </c>
      <c r="AD188" s="64" t="e">
        <f t="shared" ca="1" si="110"/>
        <v>#N/A</v>
      </c>
      <c r="AE188" s="558" t="e">
        <f ca="1">'Ltg IntTakeoffs'!FA143*M188</f>
        <v>#N/A</v>
      </c>
      <c r="AF188" s="559" t="e">
        <f ca="1">'Ltg IntTakeoffs'!FB143*M188</f>
        <v>#N/A</v>
      </c>
      <c r="AG188" s="62"/>
      <c r="AH188" s="62"/>
    </row>
    <row r="189" spans="2:34" ht="15" customHeight="1" x14ac:dyDescent="0.2">
      <c r="B189" s="62" t="e">
        <f>MATCH(C189,'360SpcLdsCSV'!$C$6:$C$500,0)</f>
        <v>#N/A</v>
      </c>
      <c r="C189" s="62">
        <f>'360SpcLdsCSV'!C138</f>
        <v>0</v>
      </c>
      <c r="D189" s="62" t="str">
        <f t="shared" si="101"/>
        <v>0</v>
      </c>
      <c r="E189" s="62" t="e">
        <f t="shared" si="108"/>
        <v>#VALUE!</v>
      </c>
      <c r="F189" s="62" t="e">
        <f t="shared" si="109"/>
        <v>#VALUE!</v>
      </c>
      <c r="G189" s="62" t="str">
        <f t="shared" si="102"/>
        <v>0</v>
      </c>
      <c r="H189" s="62" t="e">
        <f ca="1">OFFSET('360SpcLdsCSV'!$B$5,$B189,H$51)</f>
        <v>#N/A</v>
      </c>
      <c r="I189" s="62" t="e">
        <f ca="1">OFFSET('360SpcLdsCSV'!$B$5,$B189,I$51)</f>
        <v>#N/A</v>
      </c>
      <c r="J189" s="62" t="e">
        <f ca="1">OFFSET('360SpcLdsCSV'!$B$5,$B189,J$51)</f>
        <v>#N/A</v>
      </c>
      <c r="K189" s="62" t="e">
        <f ca="1">OFFSET('360SpcLdsCSV'!$B$5,$B189,K$51)</f>
        <v>#N/A</v>
      </c>
      <c r="L189" s="62" t="e">
        <f ca="1">OFFSET('360SpcLdsCSV'!$B$5,$B189,L$51)</f>
        <v>#N/A</v>
      </c>
      <c r="M189" s="1178" t="e">
        <f t="shared" ca="1" si="107"/>
        <v>#N/A</v>
      </c>
      <c r="N189" s="1178" t="e">
        <f t="shared" ca="1" si="107"/>
        <v>#N/A</v>
      </c>
      <c r="O189" s="62" t="e">
        <f ca="1">OFFSET('360SpcLdsCSV'!$B$5,$B189,O$51)</f>
        <v>#N/A</v>
      </c>
      <c r="P189" s="64" t="e">
        <f ca="1">OFFSET('360SpcLdsCSV'!$B$5,$B189,P$51)</f>
        <v>#N/A</v>
      </c>
      <c r="Q189" s="84" t="e">
        <f t="shared" ca="1" si="103"/>
        <v>#N/A</v>
      </c>
      <c r="R189" s="64" t="e">
        <f ca="1">OFFSET('360SpcLdsCSV'!$B$5,$B189,R$51)*$P189</f>
        <v>#N/A</v>
      </c>
      <c r="S189" s="64" t="e">
        <f ca="1">OFFSET('360SpcLdsCSV'!$B$5,$B189,S$51)*$R189/1000</f>
        <v>#N/A</v>
      </c>
      <c r="T189" s="84" t="e">
        <f t="shared" ca="1" si="104"/>
        <v>#N/A</v>
      </c>
      <c r="U189" s="64" t="e">
        <f ca="1">OFFSET('360SpcLdsCSV'!$B$5,$B189,U$51)</f>
        <v>#N/A</v>
      </c>
      <c r="V189" s="64" t="e">
        <f ca="1">OFFSET('360SpcLdsCSV'!$B$5,$B189,V$51)*$U189/1000</f>
        <v>#N/A</v>
      </c>
      <c r="W189" s="84" t="e">
        <f t="shared" ca="1" si="105"/>
        <v>#N/A</v>
      </c>
      <c r="X189" s="64" t="e">
        <f ca="1">OFFSET('360SpcLdsCSV'!$B$5,$B189,X$51)*$P189</f>
        <v>#N/A</v>
      </c>
      <c r="Y189" s="64" t="e">
        <f ca="1">OFFSET('360SpcLdsCSV'!$B$5,$B189,Y$51)*$X189/1000</f>
        <v>#N/A</v>
      </c>
      <c r="Z189" s="84" t="e">
        <f t="shared" ca="1" si="106"/>
        <v>#N/A</v>
      </c>
      <c r="AA189" s="64" t="e">
        <f ca="1">OFFSET('360SpcLdsCSV'!$B$5,$B189,AA$51)*$P189</f>
        <v>#N/A</v>
      </c>
      <c r="AB189" s="64" t="e">
        <f ca="1">OFFSET('360SpcLdsCSV'!$B$5,$B189,AB$51)*$AA189/1000</f>
        <v>#N/A</v>
      </c>
      <c r="AC189" s="65" t="e">
        <f ca="1">'Ltg IntTakeoffs'!EZ144</f>
        <v>#N/A</v>
      </c>
      <c r="AD189" s="64" t="e">
        <f t="shared" ca="1" si="110"/>
        <v>#N/A</v>
      </c>
      <c r="AE189" s="558" t="e">
        <f ca="1">'Ltg IntTakeoffs'!FA144*M189</f>
        <v>#N/A</v>
      </c>
      <c r="AF189" s="559" t="e">
        <f ca="1">'Ltg IntTakeoffs'!FB144*M189</f>
        <v>#N/A</v>
      </c>
      <c r="AG189" s="62"/>
      <c r="AH189" s="62"/>
    </row>
    <row r="190" spans="2:34" ht="15" customHeight="1" x14ac:dyDescent="0.2">
      <c r="B190" s="62" t="e">
        <f>MATCH(C190,'360SpcLdsCSV'!$C$6:$C$500,0)</f>
        <v>#N/A</v>
      </c>
      <c r="C190" s="62">
        <f>'360SpcLdsCSV'!C139</f>
        <v>0</v>
      </c>
      <c r="D190" s="62" t="str">
        <f t="shared" si="101"/>
        <v>0</v>
      </c>
      <c r="E190" s="62" t="e">
        <f t="shared" si="108"/>
        <v>#VALUE!</v>
      </c>
      <c r="F190" s="62" t="e">
        <f t="shared" si="109"/>
        <v>#VALUE!</v>
      </c>
      <c r="G190" s="62" t="str">
        <f t="shared" si="102"/>
        <v>0</v>
      </c>
      <c r="H190" s="62" t="e">
        <f ca="1">OFFSET('360SpcLdsCSV'!$B$5,$B190,H$51)</f>
        <v>#N/A</v>
      </c>
      <c r="I190" s="62" t="e">
        <f ca="1">OFFSET('360SpcLdsCSV'!$B$5,$B190,I$51)</f>
        <v>#N/A</v>
      </c>
      <c r="J190" s="62" t="e">
        <f ca="1">OFFSET('360SpcLdsCSV'!$B$5,$B190,J$51)</f>
        <v>#N/A</v>
      </c>
      <c r="K190" s="62" t="e">
        <f ca="1">OFFSET('360SpcLdsCSV'!$B$5,$B190,K$51)</f>
        <v>#N/A</v>
      </c>
      <c r="L190" s="62" t="e">
        <f ca="1">OFFSET('360SpcLdsCSV'!$B$5,$B190,L$51)</f>
        <v>#N/A</v>
      </c>
      <c r="M190" s="1178" t="e">
        <f t="shared" ca="1" si="107"/>
        <v>#N/A</v>
      </c>
      <c r="N190" s="1178" t="e">
        <f t="shared" ca="1" si="107"/>
        <v>#N/A</v>
      </c>
      <c r="O190" s="62" t="e">
        <f ca="1">OFFSET('360SpcLdsCSV'!$B$5,$B190,O$51)</f>
        <v>#N/A</v>
      </c>
      <c r="P190" s="64" t="e">
        <f ca="1">OFFSET('360SpcLdsCSV'!$B$5,$B190,P$51)</f>
        <v>#N/A</v>
      </c>
      <c r="Q190" s="84" t="e">
        <f t="shared" ca="1" si="103"/>
        <v>#N/A</v>
      </c>
      <c r="R190" s="64" t="e">
        <f ca="1">OFFSET('360SpcLdsCSV'!$B$5,$B190,R$51)*$P190</f>
        <v>#N/A</v>
      </c>
      <c r="S190" s="64" t="e">
        <f ca="1">OFFSET('360SpcLdsCSV'!$B$5,$B190,S$51)*$R190/1000</f>
        <v>#N/A</v>
      </c>
      <c r="T190" s="84" t="e">
        <f t="shared" ca="1" si="104"/>
        <v>#N/A</v>
      </c>
      <c r="U190" s="64" t="e">
        <f ca="1">OFFSET('360SpcLdsCSV'!$B$5,$B190,U$51)</f>
        <v>#N/A</v>
      </c>
      <c r="V190" s="64" t="e">
        <f ca="1">OFFSET('360SpcLdsCSV'!$B$5,$B190,V$51)*$U190/1000</f>
        <v>#N/A</v>
      </c>
      <c r="W190" s="84" t="e">
        <f t="shared" ca="1" si="105"/>
        <v>#N/A</v>
      </c>
      <c r="X190" s="64" t="e">
        <f ca="1">OFFSET('360SpcLdsCSV'!$B$5,$B190,X$51)*$P190</f>
        <v>#N/A</v>
      </c>
      <c r="Y190" s="64" t="e">
        <f ca="1">OFFSET('360SpcLdsCSV'!$B$5,$B190,Y$51)*$X190/1000</f>
        <v>#N/A</v>
      </c>
      <c r="Z190" s="84" t="e">
        <f t="shared" ca="1" si="106"/>
        <v>#N/A</v>
      </c>
      <c r="AA190" s="64" t="e">
        <f ca="1">OFFSET('360SpcLdsCSV'!$B$5,$B190,AA$51)*$P190</f>
        <v>#N/A</v>
      </c>
      <c r="AB190" s="64" t="e">
        <f ca="1">OFFSET('360SpcLdsCSV'!$B$5,$B190,AB$51)*$AA190/1000</f>
        <v>#N/A</v>
      </c>
      <c r="AC190" s="65" t="e">
        <f ca="1">'Ltg IntTakeoffs'!EZ145</f>
        <v>#N/A</v>
      </c>
      <c r="AD190" s="64" t="e">
        <f t="shared" ca="1" si="110"/>
        <v>#N/A</v>
      </c>
      <c r="AE190" s="558" t="e">
        <f ca="1">'Ltg IntTakeoffs'!FA145*M190</f>
        <v>#N/A</v>
      </c>
      <c r="AF190" s="559" t="e">
        <f ca="1">'Ltg IntTakeoffs'!FB145*M190</f>
        <v>#N/A</v>
      </c>
      <c r="AG190" s="62"/>
      <c r="AH190" s="62"/>
    </row>
    <row r="191" spans="2:34" ht="15" customHeight="1" x14ac:dyDescent="0.2">
      <c r="B191" s="62" t="e">
        <f>MATCH(C191,'360SpcLdsCSV'!$C$6:$C$500,0)</f>
        <v>#N/A</v>
      </c>
      <c r="C191" s="62">
        <f>'360SpcLdsCSV'!C140</f>
        <v>0</v>
      </c>
      <c r="D191" s="62" t="str">
        <f t="shared" si="101"/>
        <v>0</v>
      </c>
      <c r="E191" s="62" t="e">
        <f t="shared" si="108"/>
        <v>#VALUE!</v>
      </c>
      <c r="F191" s="62" t="e">
        <f t="shared" si="109"/>
        <v>#VALUE!</v>
      </c>
      <c r="G191" s="62" t="str">
        <f t="shared" si="102"/>
        <v>0</v>
      </c>
      <c r="H191" s="62" t="e">
        <f ca="1">OFFSET('360SpcLdsCSV'!$B$5,$B191,H$51)</f>
        <v>#N/A</v>
      </c>
      <c r="I191" s="62" t="e">
        <f ca="1">OFFSET('360SpcLdsCSV'!$B$5,$B191,I$51)</f>
        <v>#N/A</v>
      </c>
      <c r="J191" s="62" t="e">
        <f ca="1">OFFSET('360SpcLdsCSV'!$B$5,$B191,J$51)</f>
        <v>#N/A</v>
      </c>
      <c r="K191" s="62" t="e">
        <f ca="1">OFFSET('360SpcLdsCSV'!$B$5,$B191,K$51)</f>
        <v>#N/A</v>
      </c>
      <c r="L191" s="62" t="e">
        <f ca="1">OFFSET('360SpcLdsCSV'!$B$5,$B191,L$51)</f>
        <v>#N/A</v>
      </c>
      <c r="M191" s="1178" t="e">
        <f t="shared" ca="1" si="107"/>
        <v>#N/A</v>
      </c>
      <c r="N191" s="1178" t="e">
        <f t="shared" ca="1" si="107"/>
        <v>#N/A</v>
      </c>
      <c r="O191" s="62" t="e">
        <f ca="1">OFFSET('360SpcLdsCSV'!$B$5,$B191,O$51)</f>
        <v>#N/A</v>
      </c>
      <c r="P191" s="64" t="e">
        <f ca="1">OFFSET('360SpcLdsCSV'!$B$5,$B191,P$51)</f>
        <v>#N/A</v>
      </c>
      <c r="Q191" s="84" t="e">
        <f t="shared" ca="1" si="103"/>
        <v>#N/A</v>
      </c>
      <c r="R191" s="64" t="e">
        <f ca="1">OFFSET('360SpcLdsCSV'!$B$5,$B191,R$51)*$P191</f>
        <v>#N/A</v>
      </c>
      <c r="S191" s="64" t="e">
        <f ca="1">OFFSET('360SpcLdsCSV'!$B$5,$B191,S$51)*$R191/1000</f>
        <v>#N/A</v>
      </c>
      <c r="T191" s="84" t="e">
        <f t="shared" ca="1" si="104"/>
        <v>#N/A</v>
      </c>
      <c r="U191" s="64" t="e">
        <f ca="1">OFFSET('360SpcLdsCSV'!$B$5,$B191,U$51)</f>
        <v>#N/A</v>
      </c>
      <c r="V191" s="64" t="e">
        <f ca="1">OFFSET('360SpcLdsCSV'!$B$5,$B191,V$51)*$U191/1000</f>
        <v>#N/A</v>
      </c>
      <c r="W191" s="84" t="e">
        <f t="shared" ca="1" si="105"/>
        <v>#N/A</v>
      </c>
      <c r="X191" s="64" t="e">
        <f ca="1">OFFSET('360SpcLdsCSV'!$B$5,$B191,X$51)*$P191</f>
        <v>#N/A</v>
      </c>
      <c r="Y191" s="64" t="e">
        <f ca="1">OFFSET('360SpcLdsCSV'!$B$5,$B191,Y$51)*$X191/1000</f>
        <v>#N/A</v>
      </c>
      <c r="Z191" s="84" t="e">
        <f t="shared" ca="1" si="106"/>
        <v>#N/A</v>
      </c>
      <c r="AA191" s="64" t="e">
        <f ca="1">OFFSET('360SpcLdsCSV'!$B$5,$B191,AA$51)*$P191</f>
        <v>#N/A</v>
      </c>
      <c r="AB191" s="64" t="e">
        <f ca="1">OFFSET('360SpcLdsCSV'!$B$5,$B191,AB$51)*$AA191/1000</f>
        <v>#N/A</v>
      </c>
      <c r="AC191" s="65" t="e">
        <f ca="1">'Ltg IntTakeoffs'!EZ146</f>
        <v>#N/A</v>
      </c>
      <c r="AD191" s="64" t="e">
        <f t="shared" ca="1" si="110"/>
        <v>#N/A</v>
      </c>
      <c r="AE191" s="558" t="e">
        <f ca="1">'Ltg IntTakeoffs'!FA146*M191</f>
        <v>#N/A</v>
      </c>
      <c r="AF191" s="559" t="e">
        <f ca="1">'Ltg IntTakeoffs'!FB146*M191</f>
        <v>#N/A</v>
      </c>
      <c r="AG191" s="62"/>
      <c r="AH191" s="62"/>
    </row>
    <row r="192" spans="2:34" ht="15" customHeight="1" x14ac:dyDescent="0.2">
      <c r="B192" s="62" t="e">
        <f>MATCH(C192,'360SpcLdsCSV'!$C$6:$C$500,0)</f>
        <v>#N/A</v>
      </c>
      <c r="C192" s="62">
        <f>'360SpcLdsCSV'!C141</f>
        <v>0</v>
      </c>
      <c r="D192" s="62" t="str">
        <f t="shared" si="101"/>
        <v>0</v>
      </c>
      <c r="E192" s="62" t="e">
        <f t="shared" si="108"/>
        <v>#VALUE!</v>
      </c>
      <c r="F192" s="62" t="e">
        <f t="shared" si="109"/>
        <v>#VALUE!</v>
      </c>
      <c r="G192" s="62" t="str">
        <f t="shared" si="102"/>
        <v>0</v>
      </c>
      <c r="H192" s="62" t="e">
        <f ca="1">OFFSET('360SpcLdsCSV'!$B$5,$B192,H$51)</f>
        <v>#N/A</v>
      </c>
      <c r="I192" s="62" t="e">
        <f ca="1">OFFSET('360SpcLdsCSV'!$B$5,$B192,I$51)</f>
        <v>#N/A</v>
      </c>
      <c r="J192" s="62" t="e">
        <f ca="1">OFFSET('360SpcLdsCSV'!$B$5,$B192,J$51)</f>
        <v>#N/A</v>
      </c>
      <c r="K192" s="62" t="e">
        <f ca="1">OFFSET('360SpcLdsCSV'!$B$5,$B192,K$51)</f>
        <v>#N/A</v>
      </c>
      <c r="L192" s="62" t="e">
        <f ca="1">OFFSET('360SpcLdsCSV'!$B$5,$B192,L$51)</f>
        <v>#N/A</v>
      </c>
      <c r="M192" s="1178" t="e">
        <f t="shared" ca="1" si="107"/>
        <v>#N/A</v>
      </c>
      <c r="N192" s="1178" t="e">
        <f t="shared" ca="1" si="107"/>
        <v>#N/A</v>
      </c>
      <c r="O192" s="62" t="e">
        <f ca="1">OFFSET('360SpcLdsCSV'!$B$5,$B192,O$51)</f>
        <v>#N/A</v>
      </c>
      <c r="P192" s="64" t="e">
        <f ca="1">OFFSET('360SpcLdsCSV'!$B$5,$B192,P$51)</f>
        <v>#N/A</v>
      </c>
      <c r="Q192" s="84" t="e">
        <f t="shared" ca="1" si="103"/>
        <v>#N/A</v>
      </c>
      <c r="R192" s="64" t="e">
        <f ca="1">OFFSET('360SpcLdsCSV'!$B$5,$B192,R$51)*$P192</f>
        <v>#N/A</v>
      </c>
      <c r="S192" s="64" t="e">
        <f ca="1">OFFSET('360SpcLdsCSV'!$B$5,$B192,S$51)*$R192/1000</f>
        <v>#N/A</v>
      </c>
      <c r="T192" s="84" t="e">
        <f t="shared" ca="1" si="104"/>
        <v>#N/A</v>
      </c>
      <c r="U192" s="64" t="e">
        <f ca="1">OFFSET('360SpcLdsCSV'!$B$5,$B192,U$51)</f>
        <v>#N/A</v>
      </c>
      <c r="V192" s="64" t="e">
        <f ca="1">OFFSET('360SpcLdsCSV'!$B$5,$B192,V$51)*$U192/1000</f>
        <v>#N/A</v>
      </c>
      <c r="W192" s="84" t="e">
        <f t="shared" ca="1" si="105"/>
        <v>#N/A</v>
      </c>
      <c r="X192" s="64" t="e">
        <f ca="1">OFFSET('360SpcLdsCSV'!$B$5,$B192,X$51)*$P192</f>
        <v>#N/A</v>
      </c>
      <c r="Y192" s="64" t="e">
        <f ca="1">OFFSET('360SpcLdsCSV'!$B$5,$B192,Y$51)*$X192/1000</f>
        <v>#N/A</v>
      </c>
      <c r="Z192" s="84" t="e">
        <f t="shared" ca="1" si="106"/>
        <v>#N/A</v>
      </c>
      <c r="AA192" s="64" t="e">
        <f ca="1">OFFSET('360SpcLdsCSV'!$B$5,$B192,AA$51)*$P192</f>
        <v>#N/A</v>
      </c>
      <c r="AB192" s="64" t="e">
        <f ca="1">OFFSET('360SpcLdsCSV'!$B$5,$B192,AB$51)*$AA192/1000</f>
        <v>#N/A</v>
      </c>
      <c r="AC192" s="65" t="e">
        <f ca="1">'Ltg IntTakeoffs'!EZ147</f>
        <v>#N/A</v>
      </c>
      <c r="AD192" s="64" t="e">
        <f t="shared" ca="1" si="110"/>
        <v>#N/A</v>
      </c>
      <c r="AE192" s="558" t="e">
        <f ca="1">'Ltg IntTakeoffs'!FA147*M192</f>
        <v>#N/A</v>
      </c>
      <c r="AF192" s="559" t="e">
        <f ca="1">'Ltg IntTakeoffs'!FB147*M192</f>
        <v>#N/A</v>
      </c>
      <c r="AG192" s="62"/>
      <c r="AH192" s="62"/>
    </row>
    <row r="193" spans="2:34" ht="15" customHeight="1" x14ac:dyDescent="0.2">
      <c r="B193" s="62" t="e">
        <f>MATCH(C193,'360SpcLdsCSV'!$C$6:$C$500,0)</f>
        <v>#N/A</v>
      </c>
      <c r="C193" s="62">
        <f>'360SpcLdsCSV'!C142</f>
        <v>0</v>
      </c>
      <c r="D193" s="62" t="str">
        <f t="shared" si="101"/>
        <v>0</v>
      </c>
      <c r="E193" s="62" t="e">
        <f t="shared" si="108"/>
        <v>#VALUE!</v>
      </c>
      <c r="F193" s="62" t="e">
        <f t="shared" si="109"/>
        <v>#VALUE!</v>
      </c>
      <c r="G193" s="62" t="str">
        <f t="shared" si="102"/>
        <v>0</v>
      </c>
      <c r="H193" s="62" t="e">
        <f ca="1">OFFSET('360SpcLdsCSV'!$B$5,$B193,H$51)</f>
        <v>#N/A</v>
      </c>
      <c r="I193" s="62" t="e">
        <f ca="1">OFFSET('360SpcLdsCSV'!$B$5,$B193,I$51)</f>
        <v>#N/A</v>
      </c>
      <c r="J193" s="62" t="e">
        <f ca="1">OFFSET('360SpcLdsCSV'!$B$5,$B193,J$51)</f>
        <v>#N/A</v>
      </c>
      <c r="K193" s="62" t="e">
        <f ca="1">OFFSET('360SpcLdsCSV'!$B$5,$B193,K$51)</f>
        <v>#N/A</v>
      </c>
      <c r="L193" s="62" t="e">
        <f ca="1">OFFSET('360SpcLdsCSV'!$B$5,$B193,L$51)</f>
        <v>#N/A</v>
      </c>
      <c r="M193" s="1178" t="e">
        <f t="shared" ca="1" si="107"/>
        <v>#N/A</v>
      </c>
      <c r="N193" s="1178" t="e">
        <f t="shared" ca="1" si="107"/>
        <v>#N/A</v>
      </c>
      <c r="O193" s="62" t="e">
        <f ca="1">OFFSET('360SpcLdsCSV'!$B$5,$B193,O$51)</f>
        <v>#N/A</v>
      </c>
      <c r="P193" s="64" t="e">
        <f ca="1">OFFSET('360SpcLdsCSV'!$B$5,$B193,P$51)</f>
        <v>#N/A</v>
      </c>
      <c r="Q193" s="84" t="e">
        <f t="shared" ca="1" si="103"/>
        <v>#N/A</v>
      </c>
      <c r="R193" s="64" t="e">
        <f ca="1">OFFSET('360SpcLdsCSV'!$B$5,$B193,R$51)*$P193</f>
        <v>#N/A</v>
      </c>
      <c r="S193" s="64" t="e">
        <f ca="1">OFFSET('360SpcLdsCSV'!$B$5,$B193,S$51)*$R193/1000</f>
        <v>#N/A</v>
      </c>
      <c r="T193" s="84" t="e">
        <f t="shared" ca="1" si="104"/>
        <v>#N/A</v>
      </c>
      <c r="U193" s="64" t="e">
        <f ca="1">OFFSET('360SpcLdsCSV'!$B$5,$B193,U$51)</f>
        <v>#N/A</v>
      </c>
      <c r="V193" s="64" t="e">
        <f ca="1">OFFSET('360SpcLdsCSV'!$B$5,$B193,V$51)*$U193/1000</f>
        <v>#N/A</v>
      </c>
      <c r="W193" s="84" t="e">
        <f t="shared" ca="1" si="105"/>
        <v>#N/A</v>
      </c>
      <c r="X193" s="64" t="e">
        <f ca="1">OFFSET('360SpcLdsCSV'!$B$5,$B193,X$51)*$P193</f>
        <v>#N/A</v>
      </c>
      <c r="Y193" s="64" t="e">
        <f ca="1">OFFSET('360SpcLdsCSV'!$B$5,$B193,Y$51)*$X193/1000</f>
        <v>#N/A</v>
      </c>
      <c r="Z193" s="84" t="e">
        <f t="shared" ca="1" si="106"/>
        <v>#N/A</v>
      </c>
      <c r="AA193" s="64" t="e">
        <f ca="1">OFFSET('360SpcLdsCSV'!$B$5,$B193,AA$51)*$P193</f>
        <v>#N/A</v>
      </c>
      <c r="AB193" s="64" t="e">
        <f ca="1">OFFSET('360SpcLdsCSV'!$B$5,$B193,AB$51)*$AA193/1000</f>
        <v>#N/A</v>
      </c>
      <c r="AC193" s="65" t="e">
        <f ca="1">'Ltg IntTakeoffs'!EZ148</f>
        <v>#N/A</v>
      </c>
      <c r="AD193" s="64" t="e">
        <f t="shared" ca="1" si="110"/>
        <v>#N/A</v>
      </c>
      <c r="AE193" s="558" t="e">
        <f ca="1">'Ltg IntTakeoffs'!FA148*M193</f>
        <v>#N/A</v>
      </c>
      <c r="AF193" s="559" t="e">
        <f ca="1">'Ltg IntTakeoffs'!FB148*M193</f>
        <v>#N/A</v>
      </c>
      <c r="AG193" s="62"/>
      <c r="AH193" s="62"/>
    </row>
    <row r="194" spans="2:34" ht="15" customHeight="1" x14ac:dyDescent="0.2">
      <c r="B194" s="62" t="e">
        <f>MATCH(C194,'360SpcLdsCSV'!$C$6:$C$500,0)</f>
        <v>#N/A</v>
      </c>
      <c r="C194" s="62">
        <f>'360SpcLdsCSV'!C143</f>
        <v>0</v>
      </c>
      <c r="D194" s="62" t="str">
        <f t="shared" si="101"/>
        <v>0</v>
      </c>
      <c r="E194" s="62" t="e">
        <f t="shared" si="108"/>
        <v>#VALUE!</v>
      </c>
      <c r="F194" s="62" t="e">
        <f t="shared" si="109"/>
        <v>#VALUE!</v>
      </c>
      <c r="G194" s="62" t="str">
        <f t="shared" si="102"/>
        <v>0</v>
      </c>
      <c r="H194" s="62" t="e">
        <f ca="1">OFFSET('360SpcLdsCSV'!$B$5,$B194,H$51)</f>
        <v>#N/A</v>
      </c>
      <c r="I194" s="62" t="e">
        <f ca="1">OFFSET('360SpcLdsCSV'!$B$5,$B194,I$51)</f>
        <v>#N/A</v>
      </c>
      <c r="J194" s="62" t="e">
        <f ca="1">OFFSET('360SpcLdsCSV'!$B$5,$B194,J$51)</f>
        <v>#N/A</v>
      </c>
      <c r="K194" s="62" t="e">
        <f ca="1">OFFSET('360SpcLdsCSV'!$B$5,$B194,K$51)</f>
        <v>#N/A</v>
      </c>
      <c r="L194" s="62" t="e">
        <f ca="1">OFFSET('360SpcLdsCSV'!$B$5,$B194,L$51)</f>
        <v>#N/A</v>
      </c>
      <c r="M194" s="1178" t="e">
        <f t="shared" ca="1" si="107"/>
        <v>#N/A</v>
      </c>
      <c r="N194" s="1178" t="e">
        <f t="shared" ca="1" si="107"/>
        <v>#N/A</v>
      </c>
      <c r="O194" s="62" t="e">
        <f ca="1">OFFSET('360SpcLdsCSV'!$B$5,$B194,O$51)</f>
        <v>#N/A</v>
      </c>
      <c r="P194" s="64" t="e">
        <f ca="1">OFFSET('360SpcLdsCSV'!$B$5,$B194,P$51)</f>
        <v>#N/A</v>
      </c>
      <c r="Q194" s="84" t="e">
        <f t="shared" ca="1" si="103"/>
        <v>#N/A</v>
      </c>
      <c r="R194" s="64" t="e">
        <f ca="1">OFFSET('360SpcLdsCSV'!$B$5,$B194,R$51)*$P194</f>
        <v>#N/A</v>
      </c>
      <c r="S194" s="64" t="e">
        <f ca="1">OFFSET('360SpcLdsCSV'!$B$5,$B194,S$51)*$R194/1000</f>
        <v>#N/A</v>
      </c>
      <c r="T194" s="84" t="e">
        <f t="shared" ca="1" si="104"/>
        <v>#N/A</v>
      </c>
      <c r="U194" s="64" t="e">
        <f ca="1">OFFSET('360SpcLdsCSV'!$B$5,$B194,U$51)</f>
        <v>#N/A</v>
      </c>
      <c r="V194" s="64" t="e">
        <f ca="1">OFFSET('360SpcLdsCSV'!$B$5,$B194,V$51)*$U194/1000</f>
        <v>#N/A</v>
      </c>
      <c r="W194" s="84" t="e">
        <f t="shared" ca="1" si="105"/>
        <v>#N/A</v>
      </c>
      <c r="X194" s="64" t="e">
        <f ca="1">OFFSET('360SpcLdsCSV'!$B$5,$B194,X$51)*$P194</f>
        <v>#N/A</v>
      </c>
      <c r="Y194" s="64" t="e">
        <f ca="1">OFFSET('360SpcLdsCSV'!$B$5,$B194,Y$51)*$X194/1000</f>
        <v>#N/A</v>
      </c>
      <c r="Z194" s="84" t="e">
        <f t="shared" ca="1" si="106"/>
        <v>#N/A</v>
      </c>
      <c r="AA194" s="64" t="e">
        <f ca="1">OFFSET('360SpcLdsCSV'!$B$5,$B194,AA$51)*$P194</f>
        <v>#N/A</v>
      </c>
      <c r="AB194" s="64" t="e">
        <f ca="1">OFFSET('360SpcLdsCSV'!$B$5,$B194,AB$51)*$AA194/1000</f>
        <v>#N/A</v>
      </c>
      <c r="AC194" s="65" t="e">
        <f ca="1">'Ltg IntTakeoffs'!EZ149</f>
        <v>#N/A</v>
      </c>
      <c r="AD194" s="64" t="e">
        <f t="shared" ca="1" si="110"/>
        <v>#N/A</v>
      </c>
      <c r="AE194" s="558" t="e">
        <f ca="1">'Ltg IntTakeoffs'!FA149*M194</f>
        <v>#N/A</v>
      </c>
      <c r="AF194" s="559" t="e">
        <f ca="1">'Ltg IntTakeoffs'!FB149*M194</f>
        <v>#N/A</v>
      </c>
      <c r="AG194" s="62"/>
      <c r="AH194" s="62"/>
    </row>
    <row r="195" spans="2:34" ht="15" customHeight="1" x14ac:dyDescent="0.2">
      <c r="B195" s="62" t="e">
        <f>MATCH(C195,'360SpcLdsCSV'!$C$6:$C$500,0)</f>
        <v>#N/A</v>
      </c>
      <c r="C195" s="62">
        <f>'360SpcLdsCSV'!C144</f>
        <v>0</v>
      </c>
      <c r="D195" s="62" t="str">
        <f t="shared" si="101"/>
        <v>0</v>
      </c>
      <c r="E195" s="62" t="e">
        <f t="shared" si="108"/>
        <v>#VALUE!</v>
      </c>
      <c r="F195" s="62" t="e">
        <f t="shared" si="109"/>
        <v>#VALUE!</v>
      </c>
      <c r="G195" s="62" t="str">
        <f t="shared" si="102"/>
        <v>0</v>
      </c>
      <c r="H195" s="62" t="e">
        <f ca="1">OFFSET('360SpcLdsCSV'!$B$5,$B195,H$51)</f>
        <v>#N/A</v>
      </c>
      <c r="I195" s="62" t="e">
        <f ca="1">OFFSET('360SpcLdsCSV'!$B$5,$B195,I$51)</f>
        <v>#N/A</v>
      </c>
      <c r="J195" s="62" t="e">
        <f ca="1">OFFSET('360SpcLdsCSV'!$B$5,$B195,J$51)</f>
        <v>#N/A</v>
      </c>
      <c r="K195" s="62" t="e">
        <f ca="1">OFFSET('360SpcLdsCSV'!$B$5,$B195,K$51)</f>
        <v>#N/A</v>
      </c>
      <c r="L195" s="62" t="e">
        <f ca="1">OFFSET('360SpcLdsCSV'!$B$5,$B195,L$51)</f>
        <v>#N/A</v>
      </c>
      <c r="M195" s="1178" t="e">
        <f t="shared" ca="1" si="107"/>
        <v>#N/A</v>
      </c>
      <c r="N195" s="1178" t="e">
        <f t="shared" ca="1" si="107"/>
        <v>#N/A</v>
      </c>
      <c r="O195" s="62" t="e">
        <f ca="1">OFFSET('360SpcLdsCSV'!$B$5,$B195,O$51)</f>
        <v>#N/A</v>
      </c>
      <c r="P195" s="64" t="e">
        <f ca="1">OFFSET('360SpcLdsCSV'!$B$5,$B195,P$51)</f>
        <v>#N/A</v>
      </c>
      <c r="Q195" s="84" t="e">
        <f t="shared" ca="1" si="103"/>
        <v>#N/A</v>
      </c>
      <c r="R195" s="64" t="e">
        <f ca="1">OFFSET('360SpcLdsCSV'!$B$5,$B195,R$51)*$P195</f>
        <v>#N/A</v>
      </c>
      <c r="S195" s="64" t="e">
        <f ca="1">OFFSET('360SpcLdsCSV'!$B$5,$B195,S$51)*$R195/1000</f>
        <v>#N/A</v>
      </c>
      <c r="T195" s="84" t="e">
        <f t="shared" ca="1" si="104"/>
        <v>#N/A</v>
      </c>
      <c r="U195" s="64" t="e">
        <f ca="1">OFFSET('360SpcLdsCSV'!$B$5,$B195,U$51)</f>
        <v>#N/A</v>
      </c>
      <c r="V195" s="64" t="e">
        <f ca="1">OFFSET('360SpcLdsCSV'!$B$5,$B195,V$51)*$U195/1000</f>
        <v>#N/A</v>
      </c>
      <c r="W195" s="84" t="e">
        <f t="shared" ca="1" si="105"/>
        <v>#N/A</v>
      </c>
      <c r="X195" s="64" t="e">
        <f ca="1">OFFSET('360SpcLdsCSV'!$B$5,$B195,X$51)*$P195</f>
        <v>#N/A</v>
      </c>
      <c r="Y195" s="64" t="e">
        <f ca="1">OFFSET('360SpcLdsCSV'!$B$5,$B195,Y$51)*$X195/1000</f>
        <v>#N/A</v>
      </c>
      <c r="Z195" s="84" t="e">
        <f t="shared" ca="1" si="106"/>
        <v>#N/A</v>
      </c>
      <c r="AA195" s="64" t="e">
        <f ca="1">OFFSET('360SpcLdsCSV'!$B$5,$B195,AA$51)*$P195</f>
        <v>#N/A</v>
      </c>
      <c r="AB195" s="64" t="e">
        <f ca="1">OFFSET('360SpcLdsCSV'!$B$5,$B195,AB$51)*$AA195/1000</f>
        <v>#N/A</v>
      </c>
      <c r="AC195" s="65" t="e">
        <f ca="1">'Ltg IntTakeoffs'!EZ150</f>
        <v>#N/A</v>
      </c>
      <c r="AD195" s="64" t="e">
        <f t="shared" ca="1" si="110"/>
        <v>#N/A</v>
      </c>
      <c r="AE195" s="558" t="e">
        <f ca="1">'Ltg IntTakeoffs'!FA150*M195</f>
        <v>#N/A</v>
      </c>
      <c r="AF195" s="559" t="e">
        <f ca="1">'Ltg IntTakeoffs'!FB150*M195</f>
        <v>#N/A</v>
      </c>
      <c r="AG195" s="62"/>
      <c r="AH195" s="62"/>
    </row>
    <row r="196" spans="2:34" ht="15" customHeight="1" x14ac:dyDescent="0.2">
      <c r="B196" s="62" t="e">
        <f>MATCH(C196,'360SpcLdsCSV'!$C$6:$C$500,0)</f>
        <v>#N/A</v>
      </c>
      <c r="C196" s="62">
        <f>'360SpcLdsCSV'!C145</f>
        <v>0</v>
      </c>
      <c r="D196" s="62" t="str">
        <f t="shared" si="101"/>
        <v>0</v>
      </c>
      <c r="E196" s="62" t="e">
        <f t="shared" si="108"/>
        <v>#VALUE!</v>
      </c>
      <c r="F196" s="62" t="e">
        <f t="shared" si="109"/>
        <v>#VALUE!</v>
      </c>
      <c r="G196" s="62" t="str">
        <f t="shared" si="102"/>
        <v>0</v>
      </c>
      <c r="H196" s="62" t="e">
        <f ca="1">OFFSET('360SpcLdsCSV'!$B$5,$B196,H$51)</f>
        <v>#N/A</v>
      </c>
      <c r="I196" s="62" t="e">
        <f ca="1">OFFSET('360SpcLdsCSV'!$B$5,$B196,I$51)</f>
        <v>#N/A</v>
      </c>
      <c r="J196" s="62" t="e">
        <f ca="1">OFFSET('360SpcLdsCSV'!$B$5,$B196,J$51)</f>
        <v>#N/A</v>
      </c>
      <c r="K196" s="62" t="e">
        <f ca="1">OFFSET('360SpcLdsCSV'!$B$5,$B196,K$51)</f>
        <v>#N/A</v>
      </c>
      <c r="L196" s="62" t="e">
        <f ca="1">OFFSET('360SpcLdsCSV'!$B$5,$B196,L$51)</f>
        <v>#N/A</v>
      </c>
      <c r="M196" s="1178" t="e">
        <f t="shared" ca="1" si="107"/>
        <v>#N/A</v>
      </c>
      <c r="N196" s="1178" t="e">
        <f t="shared" ca="1" si="107"/>
        <v>#N/A</v>
      </c>
      <c r="O196" s="62" t="e">
        <f ca="1">OFFSET('360SpcLdsCSV'!$B$5,$B196,O$51)</f>
        <v>#N/A</v>
      </c>
      <c r="P196" s="64" t="e">
        <f ca="1">OFFSET('360SpcLdsCSV'!$B$5,$B196,P$51)</f>
        <v>#N/A</v>
      </c>
      <c r="Q196" s="84" t="e">
        <f t="shared" ca="1" si="103"/>
        <v>#N/A</v>
      </c>
      <c r="R196" s="64" t="e">
        <f ca="1">OFFSET('360SpcLdsCSV'!$B$5,$B196,R$51)*$P196</f>
        <v>#N/A</v>
      </c>
      <c r="S196" s="64" t="e">
        <f ca="1">OFFSET('360SpcLdsCSV'!$B$5,$B196,S$51)*$R196/1000</f>
        <v>#N/A</v>
      </c>
      <c r="T196" s="84" t="e">
        <f t="shared" ca="1" si="104"/>
        <v>#N/A</v>
      </c>
      <c r="U196" s="64" t="e">
        <f ca="1">OFFSET('360SpcLdsCSV'!$B$5,$B196,U$51)</f>
        <v>#N/A</v>
      </c>
      <c r="V196" s="64" t="e">
        <f ca="1">OFFSET('360SpcLdsCSV'!$B$5,$B196,V$51)*$U196/1000</f>
        <v>#N/A</v>
      </c>
      <c r="W196" s="84" t="e">
        <f t="shared" ca="1" si="105"/>
        <v>#N/A</v>
      </c>
      <c r="X196" s="64" t="e">
        <f ca="1">OFFSET('360SpcLdsCSV'!$B$5,$B196,X$51)*$P196</f>
        <v>#N/A</v>
      </c>
      <c r="Y196" s="64" t="e">
        <f ca="1">OFFSET('360SpcLdsCSV'!$B$5,$B196,Y$51)*$X196/1000</f>
        <v>#N/A</v>
      </c>
      <c r="Z196" s="84" t="e">
        <f t="shared" ca="1" si="106"/>
        <v>#N/A</v>
      </c>
      <c r="AA196" s="64" t="e">
        <f ca="1">OFFSET('360SpcLdsCSV'!$B$5,$B196,AA$51)*$P196</f>
        <v>#N/A</v>
      </c>
      <c r="AB196" s="64" t="e">
        <f ca="1">OFFSET('360SpcLdsCSV'!$B$5,$B196,AB$51)*$AA196/1000</f>
        <v>#N/A</v>
      </c>
      <c r="AC196" s="65" t="e">
        <f ca="1">'Ltg IntTakeoffs'!EZ151</f>
        <v>#N/A</v>
      </c>
      <c r="AD196" s="64" t="e">
        <f t="shared" ca="1" si="110"/>
        <v>#N/A</v>
      </c>
      <c r="AE196" s="558" t="e">
        <f ca="1">'Ltg IntTakeoffs'!FA151*M196</f>
        <v>#N/A</v>
      </c>
      <c r="AF196" s="559" t="e">
        <f ca="1">'Ltg IntTakeoffs'!FB151*M196</f>
        <v>#N/A</v>
      </c>
      <c r="AG196" s="62"/>
      <c r="AH196" s="62"/>
    </row>
    <row r="197" spans="2:34" ht="15" customHeight="1" x14ac:dyDescent="0.2">
      <c r="B197" s="62" t="e">
        <f>MATCH(C197,'360SpcLdsCSV'!$C$6:$C$500,0)</f>
        <v>#N/A</v>
      </c>
      <c r="C197" s="62">
        <f>'360SpcLdsCSV'!C146</f>
        <v>0</v>
      </c>
      <c r="D197" s="62" t="str">
        <f t="shared" si="101"/>
        <v>0</v>
      </c>
      <c r="E197" s="62" t="e">
        <f t="shared" si="108"/>
        <v>#VALUE!</v>
      </c>
      <c r="F197" s="62" t="e">
        <f t="shared" si="109"/>
        <v>#VALUE!</v>
      </c>
      <c r="G197" s="62" t="str">
        <f t="shared" si="102"/>
        <v>0</v>
      </c>
      <c r="H197" s="62" t="e">
        <f ca="1">OFFSET('360SpcLdsCSV'!$B$5,$B197,H$51)</f>
        <v>#N/A</v>
      </c>
      <c r="I197" s="62" t="e">
        <f ca="1">OFFSET('360SpcLdsCSV'!$B$5,$B197,I$51)</f>
        <v>#N/A</v>
      </c>
      <c r="J197" s="62" t="e">
        <f ca="1">OFFSET('360SpcLdsCSV'!$B$5,$B197,J$51)</f>
        <v>#N/A</v>
      </c>
      <c r="K197" s="62" t="e">
        <f ca="1">OFFSET('360SpcLdsCSV'!$B$5,$B197,K$51)</f>
        <v>#N/A</v>
      </c>
      <c r="L197" s="62" t="e">
        <f ca="1">OFFSET('360SpcLdsCSV'!$B$5,$B197,L$51)</f>
        <v>#N/A</v>
      </c>
      <c r="M197" s="1178" t="e">
        <f t="shared" ca="1" si="107"/>
        <v>#N/A</v>
      </c>
      <c r="N197" s="1178" t="e">
        <f t="shared" ca="1" si="107"/>
        <v>#N/A</v>
      </c>
      <c r="O197" s="62" t="e">
        <f ca="1">OFFSET('360SpcLdsCSV'!$B$5,$B197,O$51)</f>
        <v>#N/A</v>
      </c>
      <c r="P197" s="64" t="e">
        <f ca="1">OFFSET('360SpcLdsCSV'!$B$5,$B197,P$51)</f>
        <v>#N/A</v>
      </c>
      <c r="Q197" s="84" t="e">
        <f t="shared" ca="1" si="103"/>
        <v>#N/A</v>
      </c>
      <c r="R197" s="64" t="e">
        <f ca="1">OFFSET('360SpcLdsCSV'!$B$5,$B197,R$51)*$P197</f>
        <v>#N/A</v>
      </c>
      <c r="S197" s="64" t="e">
        <f ca="1">OFFSET('360SpcLdsCSV'!$B$5,$B197,S$51)*$R197/1000</f>
        <v>#N/A</v>
      </c>
      <c r="T197" s="84" t="e">
        <f t="shared" ca="1" si="104"/>
        <v>#N/A</v>
      </c>
      <c r="U197" s="64" t="e">
        <f ca="1">OFFSET('360SpcLdsCSV'!$B$5,$B197,U$51)</f>
        <v>#N/A</v>
      </c>
      <c r="V197" s="64" t="e">
        <f ca="1">OFFSET('360SpcLdsCSV'!$B$5,$B197,V$51)*$U197/1000</f>
        <v>#N/A</v>
      </c>
      <c r="W197" s="84" t="e">
        <f t="shared" ca="1" si="105"/>
        <v>#N/A</v>
      </c>
      <c r="X197" s="64" t="e">
        <f ca="1">OFFSET('360SpcLdsCSV'!$B$5,$B197,X$51)*$P197</f>
        <v>#N/A</v>
      </c>
      <c r="Y197" s="64" t="e">
        <f ca="1">OFFSET('360SpcLdsCSV'!$B$5,$B197,Y$51)*$X197/1000</f>
        <v>#N/A</v>
      </c>
      <c r="Z197" s="84" t="e">
        <f t="shared" ca="1" si="106"/>
        <v>#N/A</v>
      </c>
      <c r="AA197" s="64" t="e">
        <f ca="1">OFFSET('360SpcLdsCSV'!$B$5,$B197,AA$51)*$P197</f>
        <v>#N/A</v>
      </c>
      <c r="AB197" s="64" t="e">
        <f ca="1">OFFSET('360SpcLdsCSV'!$B$5,$B197,AB$51)*$AA197/1000</f>
        <v>#N/A</v>
      </c>
      <c r="AC197" s="65" t="e">
        <f ca="1">'Ltg IntTakeoffs'!EZ152</f>
        <v>#N/A</v>
      </c>
      <c r="AD197" s="64" t="e">
        <f t="shared" ca="1" si="110"/>
        <v>#N/A</v>
      </c>
      <c r="AE197" s="558" t="e">
        <f ca="1">'Ltg IntTakeoffs'!FA152*M197</f>
        <v>#N/A</v>
      </c>
      <c r="AF197" s="559" t="e">
        <f ca="1">'Ltg IntTakeoffs'!FB152*M197</f>
        <v>#N/A</v>
      </c>
      <c r="AG197" s="62"/>
      <c r="AH197" s="62"/>
    </row>
    <row r="198" spans="2:34" ht="15" customHeight="1" x14ac:dyDescent="0.2">
      <c r="B198" s="62" t="e">
        <f>MATCH(C198,'360SpcLdsCSV'!$C$6:$C$500,0)</f>
        <v>#N/A</v>
      </c>
      <c r="C198" s="62">
        <f>'360SpcLdsCSV'!C147</f>
        <v>0</v>
      </c>
      <c r="D198" s="62" t="str">
        <f t="shared" si="101"/>
        <v>0</v>
      </c>
      <c r="E198" s="62" t="e">
        <f t="shared" si="108"/>
        <v>#VALUE!</v>
      </c>
      <c r="F198" s="62" t="e">
        <f t="shared" si="109"/>
        <v>#VALUE!</v>
      </c>
      <c r="G198" s="62" t="str">
        <f t="shared" si="102"/>
        <v>0</v>
      </c>
      <c r="H198" s="62" t="e">
        <f ca="1">OFFSET('360SpcLdsCSV'!$B$5,$B198,H$51)</f>
        <v>#N/A</v>
      </c>
      <c r="I198" s="62" t="e">
        <f ca="1">OFFSET('360SpcLdsCSV'!$B$5,$B198,I$51)</f>
        <v>#N/A</v>
      </c>
      <c r="J198" s="62" t="e">
        <f ca="1">OFFSET('360SpcLdsCSV'!$B$5,$B198,J$51)</f>
        <v>#N/A</v>
      </c>
      <c r="K198" s="62" t="e">
        <f ca="1">OFFSET('360SpcLdsCSV'!$B$5,$B198,K$51)</f>
        <v>#N/A</v>
      </c>
      <c r="L198" s="62" t="e">
        <f ca="1">OFFSET('360SpcLdsCSV'!$B$5,$B198,L$51)</f>
        <v>#N/A</v>
      </c>
      <c r="M198" s="1178" t="e">
        <f t="shared" ca="1" si="107"/>
        <v>#N/A</v>
      </c>
      <c r="N198" s="1178" t="e">
        <f t="shared" ca="1" si="107"/>
        <v>#N/A</v>
      </c>
      <c r="O198" s="62" t="e">
        <f ca="1">OFFSET('360SpcLdsCSV'!$B$5,$B198,O$51)</f>
        <v>#N/A</v>
      </c>
      <c r="P198" s="64" t="e">
        <f ca="1">OFFSET('360SpcLdsCSV'!$B$5,$B198,P$51)</f>
        <v>#N/A</v>
      </c>
      <c r="Q198" s="84" t="e">
        <f t="shared" ca="1" si="103"/>
        <v>#N/A</v>
      </c>
      <c r="R198" s="64" t="e">
        <f ca="1">OFFSET('360SpcLdsCSV'!$B$5,$B198,R$51)*$P198</f>
        <v>#N/A</v>
      </c>
      <c r="S198" s="64" t="e">
        <f ca="1">OFFSET('360SpcLdsCSV'!$B$5,$B198,S$51)*$R198/1000</f>
        <v>#N/A</v>
      </c>
      <c r="T198" s="84" t="e">
        <f t="shared" ca="1" si="104"/>
        <v>#N/A</v>
      </c>
      <c r="U198" s="64" t="e">
        <f ca="1">OFFSET('360SpcLdsCSV'!$B$5,$B198,U$51)</f>
        <v>#N/A</v>
      </c>
      <c r="V198" s="64" t="e">
        <f ca="1">OFFSET('360SpcLdsCSV'!$B$5,$B198,V$51)*$U198/1000</f>
        <v>#N/A</v>
      </c>
      <c r="W198" s="84" t="e">
        <f t="shared" ca="1" si="105"/>
        <v>#N/A</v>
      </c>
      <c r="X198" s="64" t="e">
        <f ca="1">OFFSET('360SpcLdsCSV'!$B$5,$B198,X$51)*$P198</f>
        <v>#N/A</v>
      </c>
      <c r="Y198" s="64" t="e">
        <f ca="1">OFFSET('360SpcLdsCSV'!$B$5,$B198,Y$51)*$X198/1000</f>
        <v>#N/A</v>
      </c>
      <c r="Z198" s="84" t="e">
        <f t="shared" ca="1" si="106"/>
        <v>#N/A</v>
      </c>
      <c r="AA198" s="64" t="e">
        <f ca="1">OFFSET('360SpcLdsCSV'!$B$5,$B198,AA$51)*$P198</f>
        <v>#N/A</v>
      </c>
      <c r="AB198" s="64" t="e">
        <f ca="1">OFFSET('360SpcLdsCSV'!$B$5,$B198,AB$51)*$AA198/1000</f>
        <v>#N/A</v>
      </c>
      <c r="AC198" s="65" t="e">
        <f ca="1">'Ltg IntTakeoffs'!EZ153</f>
        <v>#N/A</v>
      </c>
      <c r="AD198" s="64" t="e">
        <f t="shared" ca="1" si="110"/>
        <v>#N/A</v>
      </c>
      <c r="AE198" s="558" t="e">
        <f ca="1">'Ltg IntTakeoffs'!FA153*M198</f>
        <v>#N/A</v>
      </c>
      <c r="AF198" s="559" t="e">
        <f ca="1">'Ltg IntTakeoffs'!FB153*M198</f>
        <v>#N/A</v>
      </c>
      <c r="AG198" s="62"/>
      <c r="AH198" s="62"/>
    </row>
    <row r="199" spans="2:34" ht="15" customHeight="1" x14ac:dyDescent="0.2">
      <c r="B199" s="62" t="e">
        <f>MATCH(C199,'360SpcLdsCSV'!$C$6:$C$500,0)</f>
        <v>#N/A</v>
      </c>
      <c r="C199" s="62">
        <f>'360SpcLdsCSV'!C148</f>
        <v>0</v>
      </c>
      <c r="D199" s="62" t="str">
        <f t="shared" si="101"/>
        <v>0</v>
      </c>
      <c r="E199" s="62" t="e">
        <f t="shared" si="108"/>
        <v>#VALUE!</v>
      </c>
      <c r="F199" s="62" t="e">
        <f t="shared" si="109"/>
        <v>#VALUE!</v>
      </c>
      <c r="G199" s="62" t="str">
        <f t="shared" si="102"/>
        <v>0</v>
      </c>
      <c r="H199" s="62" t="e">
        <f ca="1">OFFSET('360SpcLdsCSV'!$B$5,$B199,H$51)</f>
        <v>#N/A</v>
      </c>
      <c r="I199" s="62" t="e">
        <f ca="1">OFFSET('360SpcLdsCSV'!$B$5,$B199,I$51)</f>
        <v>#N/A</v>
      </c>
      <c r="J199" s="62" t="e">
        <f ca="1">OFFSET('360SpcLdsCSV'!$B$5,$B199,J$51)</f>
        <v>#N/A</v>
      </c>
      <c r="K199" s="62" t="e">
        <f ca="1">OFFSET('360SpcLdsCSV'!$B$5,$B199,K$51)</f>
        <v>#N/A</v>
      </c>
      <c r="L199" s="62" t="e">
        <f ca="1">OFFSET('360SpcLdsCSV'!$B$5,$B199,L$51)</f>
        <v>#N/A</v>
      </c>
      <c r="M199" s="1178" t="e">
        <f t="shared" ca="1" si="107"/>
        <v>#N/A</v>
      </c>
      <c r="N199" s="1178" t="e">
        <f t="shared" ca="1" si="107"/>
        <v>#N/A</v>
      </c>
      <c r="O199" s="62" t="e">
        <f ca="1">OFFSET('360SpcLdsCSV'!$B$5,$B199,O$51)</f>
        <v>#N/A</v>
      </c>
      <c r="P199" s="64" t="e">
        <f ca="1">OFFSET('360SpcLdsCSV'!$B$5,$B199,P$51)</f>
        <v>#N/A</v>
      </c>
      <c r="Q199" s="84" t="e">
        <f t="shared" ca="1" si="103"/>
        <v>#N/A</v>
      </c>
      <c r="R199" s="64" t="e">
        <f ca="1">OFFSET('360SpcLdsCSV'!$B$5,$B199,R$51)*$P199</f>
        <v>#N/A</v>
      </c>
      <c r="S199" s="64" t="e">
        <f ca="1">OFFSET('360SpcLdsCSV'!$B$5,$B199,S$51)*$R199/1000</f>
        <v>#N/A</v>
      </c>
      <c r="T199" s="84" t="e">
        <f t="shared" ca="1" si="104"/>
        <v>#N/A</v>
      </c>
      <c r="U199" s="64" t="e">
        <f ca="1">OFFSET('360SpcLdsCSV'!$B$5,$B199,U$51)</f>
        <v>#N/A</v>
      </c>
      <c r="V199" s="64" t="e">
        <f ca="1">OFFSET('360SpcLdsCSV'!$B$5,$B199,V$51)*$U199/1000</f>
        <v>#N/A</v>
      </c>
      <c r="W199" s="84" t="e">
        <f t="shared" ca="1" si="105"/>
        <v>#N/A</v>
      </c>
      <c r="X199" s="64" t="e">
        <f ca="1">OFFSET('360SpcLdsCSV'!$B$5,$B199,X$51)*$P199</f>
        <v>#N/A</v>
      </c>
      <c r="Y199" s="64" t="e">
        <f ca="1">OFFSET('360SpcLdsCSV'!$B$5,$B199,Y$51)*$X199/1000</f>
        <v>#N/A</v>
      </c>
      <c r="Z199" s="84" t="e">
        <f t="shared" ca="1" si="106"/>
        <v>#N/A</v>
      </c>
      <c r="AA199" s="64" t="e">
        <f ca="1">OFFSET('360SpcLdsCSV'!$B$5,$B199,AA$51)*$P199</f>
        <v>#N/A</v>
      </c>
      <c r="AB199" s="64" t="e">
        <f ca="1">OFFSET('360SpcLdsCSV'!$B$5,$B199,AB$51)*$AA199/1000</f>
        <v>#N/A</v>
      </c>
      <c r="AC199" s="65" t="e">
        <f ca="1">'Ltg IntTakeoffs'!EZ154</f>
        <v>#N/A</v>
      </c>
      <c r="AD199" s="64" t="e">
        <f t="shared" ca="1" si="110"/>
        <v>#N/A</v>
      </c>
      <c r="AE199" s="558" t="e">
        <f ca="1">'Ltg IntTakeoffs'!FA154*M199</f>
        <v>#N/A</v>
      </c>
      <c r="AF199" s="559" t="e">
        <f ca="1">'Ltg IntTakeoffs'!FB154*M199</f>
        <v>#N/A</v>
      </c>
      <c r="AG199" s="62"/>
      <c r="AH199" s="62"/>
    </row>
    <row r="200" spans="2:34" ht="15" customHeight="1" x14ac:dyDescent="0.2">
      <c r="B200" s="62" t="e">
        <f>MATCH(C200,'360SpcLdsCSV'!$C$6:$C$500,0)</f>
        <v>#N/A</v>
      </c>
      <c r="C200" s="62">
        <f>'360SpcLdsCSV'!C149</f>
        <v>0</v>
      </c>
      <c r="D200" s="62" t="str">
        <f t="shared" si="101"/>
        <v>0</v>
      </c>
      <c r="E200" s="62" t="e">
        <f t="shared" si="108"/>
        <v>#VALUE!</v>
      </c>
      <c r="F200" s="62" t="e">
        <f t="shared" si="109"/>
        <v>#VALUE!</v>
      </c>
      <c r="G200" s="62" t="str">
        <f t="shared" si="102"/>
        <v>0</v>
      </c>
      <c r="H200" s="62" t="e">
        <f ca="1">OFFSET('360SpcLdsCSV'!$B$5,$B200,H$51)</f>
        <v>#N/A</v>
      </c>
      <c r="I200" s="62" t="e">
        <f ca="1">OFFSET('360SpcLdsCSV'!$B$5,$B200,I$51)</f>
        <v>#N/A</v>
      </c>
      <c r="J200" s="62" t="e">
        <f ca="1">OFFSET('360SpcLdsCSV'!$B$5,$B200,J$51)</f>
        <v>#N/A</v>
      </c>
      <c r="K200" s="62" t="e">
        <f ca="1">OFFSET('360SpcLdsCSV'!$B$5,$B200,K$51)</f>
        <v>#N/A</v>
      </c>
      <c r="L200" s="62" t="e">
        <f ca="1">OFFSET('360SpcLdsCSV'!$B$5,$B200,L$51)</f>
        <v>#N/A</v>
      </c>
      <c r="M200" s="1178" t="e">
        <f t="shared" ca="1" si="107"/>
        <v>#N/A</v>
      </c>
      <c r="N200" s="1178" t="e">
        <f t="shared" ca="1" si="107"/>
        <v>#N/A</v>
      </c>
      <c r="O200" s="62" t="e">
        <f ca="1">OFFSET('360SpcLdsCSV'!$B$5,$B200,O$51)</f>
        <v>#N/A</v>
      </c>
      <c r="P200" s="64" t="e">
        <f ca="1">OFFSET('360SpcLdsCSV'!$B$5,$B200,P$51)</f>
        <v>#N/A</v>
      </c>
      <c r="Q200" s="84" t="e">
        <f t="shared" ca="1" si="103"/>
        <v>#N/A</v>
      </c>
      <c r="R200" s="64" t="e">
        <f ca="1">OFFSET('360SpcLdsCSV'!$B$5,$B200,R$51)*$P200</f>
        <v>#N/A</v>
      </c>
      <c r="S200" s="64" t="e">
        <f ca="1">OFFSET('360SpcLdsCSV'!$B$5,$B200,S$51)*$R200/1000</f>
        <v>#N/A</v>
      </c>
      <c r="T200" s="84" t="e">
        <f t="shared" ca="1" si="104"/>
        <v>#N/A</v>
      </c>
      <c r="U200" s="64" t="e">
        <f ca="1">OFFSET('360SpcLdsCSV'!$B$5,$B200,U$51)</f>
        <v>#N/A</v>
      </c>
      <c r="V200" s="64" t="e">
        <f ca="1">OFFSET('360SpcLdsCSV'!$B$5,$B200,V$51)*$U200/1000</f>
        <v>#N/A</v>
      </c>
      <c r="W200" s="84" t="e">
        <f t="shared" ca="1" si="105"/>
        <v>#N/A</v>
      </c>
      <c r="X200" s="64" t="e">
        <f ca="1">OFFSET('360SpcLdsCSV'!$B$5,$B200,X$51)*$P200</f>
        <v>#N/A</v>
      </c>
      <c r="Y200" s="64" t="e">
        <f ca="1">OFFSET('360SpcLdsCSV'!$B$5,$B200,Y$51)*$X200/1000</f>
        <v>#N/A</v>
      </c>
      <c r="Z200" s="84" t="e">
        <f t="shared" ca="1" si="106"/>
        <v>#N/A</v>
      </c>
      <c r="AA200" s="64" t="e">
        <f ca="1">OFFSET('360SpcLdsCSV'!$B$5,$B200,AA$51)*$P200</f>
        <v>#N/A</v>
      </c>
      <c r="AB200" s="64" t="e">
        <f ca="1">OFFSET('360SpcLdsCSV'!$B$5,$B200,AB$51)*$AA200/1000</f>
        <v>#N/A</v>
      </c>
      <c r="AC200" s="65" t="e">
        <f ca="1">'Ltg IntTakeoffs'!EZ155</f>
        <v>#N/A</v>
      </c>
      <c r="AD200" s="64" t="e">
        <f t="shared" ca="1" si="110"/>
        <v>#N/A</v>
      </c>
      <c r="AE200" s="558" t="e">
        <f ca="1">'Ltg IntTakeoffs'!FA155*M200</f>
        <v>#N/A</v>
      </c>
      <c r="AF200" s="559" t="e">
        <f ca="1">'Ltg IntTakeoffs'!FB155*M200</f>
        <v>#N/A</v>
      </c>
      <c r="AG200" s="62"/>
      <c r="AH200" s="62"/>
    </row>
    <row r="201" spans="2:34" ht="15" customHeight="1" x14ac:dyDescent="0.2">
      <c r="B201" s="62" t="e">
        <f>MATCH(C201,'360SpcLdsCSV'!$C$6:$C$500,0)</f>
        <v>#N/A</v>
      </c>
      <c r="C201" s="62">
        <f>'360SpcLdsCSV'!C150</f>
        <v>0</v>
      </c>
      <c r="D201" s="62" t="str">
        <f t="shared" si="101"/>
        <v>0</v>
      </c>
      <c r="E201" s="62" t="e">
        <f t="shared" si="108"/>
        <v>#VALUE!</v>
      </c>
      <c r="F201" s="62" t="e">
        <f t="shared" si="109"/>
        <v>#VALUE!</v>
      </c>
      <c r="G201" s="62" t="str">
        <f t="shared" si="102"/>
        <v>0</v>
      </c>
      <c r="H201" s="62" t="e">
        <f ca="1">OFFSET('360SpcLdsCSV'!$B$5,$B201,H$51)</f>
        <v>#N/A</v>
      </c>
      <c r="I201" s="62" t="e">
        <f ca="1">OFFSET('360SpcLdsCSV'!$B$5,$B201,I$51)</f>
        <v>#N/A</v>
      </c>
      <c r="J201" s="62" t="e">
        <f ca="1">OFFSET('360SpcLdsCSV'!$B$5,$B201,J$51)</f>
        <v>#N/A</v>
      </c>
      <c r="K201" s="62" t="e">
        <f ca="1">OFFSET('360SpcLdsCSV'!$B$5,$B201,K$51)</f>
        <v>#N/A</v>
      </c>
      <c r="L201" s="62" t="e">
        <f ca="1">OFFSET('360SpcLdsCSV'!$B$5,$B201,L$51)</f>
        <v>#N/A</v>
      </c>
      <c r="M201" s="1178" t="e">
        <f t="shared" ca="1" si="107"/>
        <v>#N/A</v>
      </c>
      <c r="N201" s="1178" t="e">
        <f t="shared" ca="1" si="107"/>
        <v>#N/A</v>
      </c>
      <c r="O201" s="62" t="e">
        <f ca="1">OFFSET('360SpcLdsCSV'!$B$5,$B201,O$51)</f>
        <v>#N/A</v>
      </c>
      <c r="P201" s="64" t="e">
        <f ca="1">OFFSET('360SpcLdsCSV'!$B$5,$B201,P$51)</f>
        <v>#N/A</v>
      </c>
      <c r="Q201" s="84" t="e">
        <f t="shared" ca="1" si="103"/>
        <v>#N/A</v>
      </c>
      <c r="R201" s="64" t="e">
        <f ca="1">OFFSET('360SpcLdsCSV'!$B$5,$B201,R$51)*$P201</f>
        <v>#N/A</v>
      </c>
      <c r="S201" s="64" t="e">
        <f ca="1">OFFSET('360SpcLdsCSV'!$B$5,$B201,S$51)*$R201/1000</f>
        <v>#N/A</v>
      </c>
      <c r="T201" s="84" t="e">
        <f t="shared" ca="1" si="104"/>
        <v>#N/A</v>
      </c>
      <c r="U201" s="64" t="e">
        <f ca="1">OFFSET('360SpcLdsCSV'!$B$5,$B201,U$51)</f>
        <v>#N/A</v>
      </c>
      <c r="V201" s="64" t="e">
        <f ca="1">OFFSET('360SpcLdsCSV'!$B$5,$B201,V$51)*$U201/1000</f>
        <v>#N/A</v>
      </c>
      <c r="W201" s="84" t="e">
        <f t="shared" ca="1" si="105"/>
        <v>#N/A</v>
      </c>
      <c r="X201" s="64" t="e">
        <f ca="1">OFFSET('360SpcLdsCSV'!$B$5,$B201,X$51)*$P201</f>
        <v>#N/A</v>
      </c>
      <c r="Y201" s="64" t="e">
        <f ca="1">OFFSET('360SpcLdsCSV'!$B$5,$B201,Y$51)*$X201/1000</f>
        <v>#N/A</v>
      </c>
      <c r="Z201" s="84" t="e">
        <f t="shared" ca="1" si="106"/>
        <v>#N/A</v>
      </c>
      <c r="AA201" s="64" t="e">
        <f ca="1">OFFSET('360SpcLdsCSV'!$B$5,$B201,AA$51)*$P201</f>
        <v>#N/A</v>
      </c>
      <c r="AB201" s="64" t="e">
        <f ca="1">OFFSET('360SpcLdsCSV'!$B$5,$B201,AB$51)*$AA201/1000</f>
        <v>#N/A</v>
      </c>
      <c r="AC201" s="65" t="e">
        <f ca="1">'Ltg IntTakeoffs'!EZ156</f>
        <v>#N/A</v>
      </c>
      <c r="AD201" s="64" t="e">
        <f t="shared" ca="1" si="110"/>
        <v>#N/A</v>
      </c>
      <c r="AE201" s="558" t="e">
        <f ca="1">'Ltg IntTakeoffs'!FA156*M201</f>
        <v>#N/A</v>
      </c>
      <c r="AF201" s="559" t="e">
        <f ca="1">'Ltg IntTakeoffs'!FB156*M201</f>
        <v>#N/A</v>
      </c>
      <c r="AG201" s="62"/>
      <c r="AH201" s="62"/>
    </row>
    <row r="202" spans="2:34" ht="15" customHeight="1" x14ac:dyDescent="0.2">
      <c r="B202" s="62" t="e">
        <f>MATCH(C202,'360SpcLdsCSV'!$C$6:$C$500,0)</f>
        <v>#N/A</v>
      </c>
      <c r="C202" s="62">
        <f>'360SpcLdsCSV'!C151</f>
        <v>0</v>
      </c>
      <c r="D202" s="62" t="str">
        <f t="shared" si="101"/>
        <v>0</v>
      </c>
      <c r="E202" s="62" t="e">
        <f t="shared" si="108"/>
        <v>#VALUE!</v>
      </c>
      <c r="F202" s="62" t="e">
        <f t="shared" si="109"/>
        <v>#VALUE!</v>
      </c>
      <c r="G202" s="62" t="str">
        <f t="shared" si="102"/>
        <v>0</v>
      </c>
      <c r="H202" s="62" t="e">
        <f ca="1">OFFSET('360SpcLdsCSV'!$B$5,$B202,H$51)</f>
        <v>#N/A</v>
      </c>
      <c r="I202" s="62" t="e">
        <f ca="1">OFFSET('360SpcLdsCSV'!$B$5,$B202,I$51)</f>
        <v>#N/A</v>
      </c>
      <c r="J202" s="62" t="e">
        <f ca="1">OFFSET('360SpcLdsCSV'!$B$5,$B202,J$51)</f>
        <v>#N/A</v>
      </c>
      <c r="K202" s="62" t="e">
        <f ca="1">OFFSET('360SpcLdsCSV'!$B$5,$B202,K$51)</f>
        <v>#N/A</v>
      </c>
      <c r="L202" s="62" t="e">
        <f ca="1">OFFSET('360SpcLdsCSV'!$B$5,$B202,L$51)</f>
        <v>#N/A</v>
      </c>
      <c r="M202" s="1178" t="e">
        <f t="shared" ca="1" si="107"/>
        <v>#N/A</v>
      </c>
      <c r="N202" s="1178" t="e">
        <f t="shared" ca="1" si="107"/>
        <v>#N/A</v>
      </c>
      <c r="O202" s="62" t="e">
        <f ca="1">OFFSET('360SpcLdsCSV'!$B$5,$B202,O$51)</f>
        <v>#N/A</v>
      </c>
      <c r="P202" s="64" t="e">
        <f ca="1">OFFSET('360SpcLdsCSV'!$B$5,$B202,P$51)</f>
        <v>#N/A</v>
      </c>
      <c r="Q202" s="84" t="e">
        <f t="shared" ca="1" si="103"/>
        <v>#N/A</v>
      </c>
      <c r="R202" s="64" t="e">
        <f ca="1">OFFSET('360SpcLdsCSV'!$B$5,$B202,R$51)*$P202</f>
        <v>#N/A</v>
      </c>
      <c r="S202" s="64" t="e">
        <f ca="1">OFFSET('360SpcLdsCSV'!$B$5,$B202,S$51)*$R202/1000</f>
        <v>#N/A</v>
      </c>
      <c r="T202" s="84" t="e">
        <f t="shared" ca="1" si="104"/>
        <v>#N/A</v>
      </c>
      <c r="U202" s="64" t="e">
        <f ca="1">OFFSET('360SpcLdsCSV'!$B$5,$B202,U$51)</f>
        <v>#N/A</v>
      </c>
      <c r="V202" s="64" t="e">
        <f ca="1">OFFSET('360SpcLdsCSV'!$B$5,$B202,V$51)*$U202/1000</f>
        <v>#N/A</v>
      </c>
      <c r="W202" s="84" t="e">
        <f t="shared" ca="1" si="105"/>
        <v>#N/A</v>
      </c>
      <c r="X202" s="64" t="e">
        <f ca="1">OFFSET('360SpcLdsCSV'!$B$5,$B202,X$51)*$P202</f>
        <v>#N/A</v>
      </c>
      <c r="Y202" s="64" t="e">
        <f ca="1">OFFSET('360SpcLdsCSV'!$B$5,$B202,Y$51)*$X202/1000</f>
        <v>#N/A</v>
      </c>
      <c r="Z202" s="84" t="e">
        <f t="shared" ca="1" si="106"/>
        <v>#N/A</v>
      </c>
      <c r="AA202" s="64" t="e">
        <f ca="1">OFFSET('360SpcLdsCSV'!$B$5,$B202,AA$51)*$P202</f>
        <v>#N/A</v>
      </c>
      <c r="AB202" s="64" t="e">
        <f ca="1">OFFSET('360SpcLdsCSV'!$B$5,$B202,AB$51)*$AA202/1000</f>
        <v>#N/A</v>
      </c>
      <c r="AC202" s="65" t="e">
        <f ca="1">'Ltg IntTakeoffs'!EZ157</f>
        <v>#N/A</v>
      </c>
      <c r="AD202" s="64" t="e">
        <f t="shared" ca="1" si="110"/>
        <v>#N/A</v>
      </c>
      <c r="AE202" s="558" t="e">
        <f ca="1">'Ltg IntTakeoffs'!FA157*M202</f>
        <v>#N/A</v>
      </c>
      <c r="AF202" s="559" t="e">
        <f ca="1">'Ltg IntTakeoffs'!FB157*M202</f>
        <v>#N/A</v>
      </c>
      <c r="AG202" s="62"/>
      <c r="AH202" s="62"/>
    </row>
    <row r="203" spans="2:34" ht="15" customHeight="1" x14ac:dyDescent="0.2">
      <c r="B203" s="62" t="e">
        <f>MATCH(C203,'360SpcLdsCSV'!$C$6:$C$500,0)</f>
        <v>#N/A</v>
      </c>
      <c r="C203" s="62">
        <f>'360SpcLdsCSV'!C152</f>
        <v>0</v>
      </c>
      <c r="D203" s="62" t="str">
        <f t="shared" ref="D203:D266" si="111">LEFT(C203,3)</f>
        <v>0</v>
      </c>
      <c r="E203" s="62" t="e">
        <f t="shared" si="108"/>
        <v>#VALUE!</v>
      </c>
      <c r="F203" s="62" t="e">
        <f t="shared" si="109"/>
        <v>#VALUE!</v>
      </c>
      <c r="G203" s="62" t="str">
        <f t="shared" ref="G203:G266" si="112">RIGHT(C203,4)</f>
        <v>0</v>
      </c>
      <c r="H203" s="62" t="e">
        <f ca="1">OFFSET('360SpcLdsCSV'!$B$5,$B203,H$51)</f>
        <v>#N/A</v>
      </c>
      <c r="I203" s="62" t="e">
        <f ca="1">OFFSET('360SpcLdsCSV'!$B$5,$B203,I$51)</f>
        <v>#N/A</v>
      </c>
      <c r="J203" s="62" t="e">
        <f ca="1">OFFSET('360SpcLdsCSV'!$B$5,$B203,J$51)</f>
        <v>#N/A</v>
      </c>
      <c r="K203" s="62" t="e">
        <f ca="1">OFFSET('360SpcLdsCSV'!$B$5,$B203,K$51)</f>
        <v>#N/A</v>
      </c>
      <c r="L203" s="62" t="e">
        <f ca="1">OFFSET('360SpcLdsCSV'!$B$5,$B203,L$51)</f>
        <v>#N/A</v>
      </c>
      <c r="M203" s="1178" t="e">
        <f t="shared" ca="1" si="107"/>
        <v>#N/A</v>
      </c>
      <c r="N203" s="1178" t="e">
        <f t="shared" ca="1" si="107"/>
        <v>#N/A</v>
      </c>
      <c r="O203" s="62" t="e">
        <f ca="1">OFFSET('360SpcLdsCSV'!$B$5,$B203,O$51)</f>
        <v>#N/A</v>
      </c>
      <c r="P203" s="64" t="e">
        <f ca="1">OFFSET('360SpcLdsCSV'!$B$5,$B203,P$51)</f>
        <v>#N/A</v>
      </c>
      <c r="Q203" s="84" t="e">
        <f t="shared" ref="Q203:Q266" ca="1" si="113">R203/$M203</f>
        <v>#N/A</v>
      </c>
      <c r="R203" s="64" t="e">
        <f ca="1">OFFSET('360SpcLdsCSV'!$B$5,$B203,R$51)*$P203</f>
        <v>#N/A</v>
      </c>
      <c r="S203" s="64" t="e">
        <f ca="1">OFFSET('360SpcLdsCSV'!$B$5,$B203,S$51)*$R203/1000</f>
        <v>#N/A</v>
      </c>
      <c r="T203" s="84" t="e">
        <f t="shared" ref="T203:T266" ca="1" si="114">U203/$M203</f>
        <v>#N/A</v>
      </c>
      <c r="U203" s="64" t="e">
        <f ca="1">OFFSET('360SpcLdsCSV'!$B$5,$B203,U$51)</f>
        <v>#N/A</v>
      </c>
      <c r="V203" s="64" t="e">
        <f ca="1">OFFSET('360SpcLdsCSV'!$B$5,$B203,V$51)*$U203/1000</f>
        <v>#N/A</v>
      </c>
      <c r="W203" s="84" t="e">
        <f t="shared" ref="W203:W266" ca="1" si="115">X203/$M203</f>
        <v>#N/A</v>
      </c>
      <c r="X203" s="64" t="e">
        <f ca="1">OFFSET('360SpcLdsCSV'!$B$5,$B203,X$51)*$P203</f>
        <v>#N/A</v>
      </c>
      <c r="Y203" s="64" t="e">
        <f ca="1">OFFSET('360SpcLdsCSV'!$B$5,$B203,Y$51)*$X203/1000</f>
        <v>#N/A</v>
      </c>
      <c r="Z203" s="84" t="e">
        <f t="shared" ref="Z203:Z266" ca="1" si="116">AA203/$M203</f>
        <v>#N/A</v>
      </c>
      <c r="AA203" s="64" t="e">
        <f ca="1">OFFSET('360SpcLdsCSV'!$B$5,$B203,AA$51)*$P203</f>
        <v>#N/A</v>
      </c>
      <c r="AB203" s="64" t="e">
        <f ca="1">OFFSET('360SpcLdsCSV'!$B$5,$B203,AB$51)*$AA203/1000</f>
        <v>#N/A</v>
      </c>
      <c r="AC203" s="65" t="e">
        <f ca="1">'Ltg IntTakeoffs'!EZ158</f>
        <v>#N/A</v>
      </c>
      <c r="AD203" s="64" t="e">
        <f t="shared" ca="1" si="110"/>
        <v>#N/A</v>
      </c>
      <c r="AE203" s="558" t="e">
        <f ca="1">'Ltg IntTakeoffs'!FA158*M203</f>
        <v>#N/A</v>
      </c>
      <c r="AF203" s="559" t="e">
        <f ca="1">'Ltg IntTakeoffs'!FB158*M203</f>
        <v>#N/A</v>
      </c>
      <c r="AG203" s="62"/>
      <c r="AH203" s="62"/>
    </row>
    <row r="204" spans="2:34" ht="15" customHeight="1" x14ac:dyDescent="0.2">
      <c r="B204" s="62" t="e">
        <f>MATCH(C204,'360SpcLdsCSV'!$C$6:$C$500,0)</f>
        <v>#N/A</v>
      </c>
      <c r="C204" s="62">
        <f>'360SpcLdsCSV'!C153</f>
        <v>0</v>
      </c>
      <c r="D204" s="62" t="str">
        <f t="shared" si="111"/>
        <v>0</v>
      </c>
      <c r="E204" s="62" t="e">
        <f t="shared" si="108"/>
        <v>#VALUE!</v>
      </c>
      <c r="F204" s="62" t="e">
        <f t="shared" si="109"/>
        <v>#VALUE!</v>
      </c>
      <c r="G204" s="62" t="str">
        <f t="shared" si="112"/>
        <v>0</v>
      </c>
      <c r="H204" s="62" t="e">
        <f ca="1">OFFSET('360SpcLdsCSV'!$B$5,$B204,H$51)</f>
        <v>#N/A</v>
      </c>
      <c r="I204" s="62" t="e">
        <f ca="1">OFFSET('360SpcLdsCSV'!$B$5,$B204,I$51)</f>
        <v>#N/A</v>
      </c>
      <c r="J204" s="62" t="e">
        <f ca="1">OFFSET('360SpcLdsCSV'!$B$5,$B204,J$51)</f>
        <v>#N/A</v>
      </c>
      <c r="K204" s="62" t="e">
        <f ca="1">OFFSET('360SpcLdsCSV'!$B$5,$B204,K$51)</f>
        <v>#N/A</v>
      </c>
      <c r="L204" s="62" t="e">
        <f ca="1">OFFSET('360SpcLdsCSV'!$B$5,$B204,L$51)</f>
        <v>#N/A</v>
      </c>
      <c r="M204" s="1178" t="e">
        <f t="shared" ref="M204:N266" ca="1" si="117">OFFSET(Spaces_Ref,$B204,M$51)</f>
        <v>#N/A</v>
      </c>
      <c r="N204" s="1178" t="e">
        <f t="shared" ca="1" si="117"/>
        <v>#N/A</v>
      </c>
      <c r="O204" s="62" t="e">
        <f ca="1">OFFSET('360SpcLdsCSV'!$B$5,$B204,O$51)</f>
        <v>#N/A</v>
      </c>
      <c r="P204" s="64" t="e">
        <f ca="1">OFFSET('360SpcLdsCSV'!$B$5,$B204,P$51)</f>
        <v>#N/A</v>
      </c>
      <c r="Q204" s="84" t="e">
        <f t="shared" ca="1" si="113"/>
        <v>#N/A</v>
      </c>
      <c r="R204" s="64" t="e">
        <f ca="1">OFFSET('360SpcLdsCSV'!$B$5,$B204,R$51)*$P204</f>
        <v>#N/A</v>
      </c>
      <c r="S204" s="64" t="e">
        <f ca="1">OFFSET('360SpcLdsCSV'!$B$5,$B204,S$51)*$R204/1000</f>
        <v>#N/A</v>
      </c>
      <c r="T204" s="84" t="e">
        <f t="shared" ca="1" si="114"/>
        <v>#N/A</v>
      </c>
      <c r="U204" s="64" t="e">
        <f ca="1">OFFSET('360SpcLdsCSV'!$B$5,$B204,U$51)</f>
        <v>#N/A</v>
      </c>
      <c r="V204" s="64" t="e">
        <f ca="1">OFFSET('360SpcLdsCSV'!$B$5,$B204,V$51)*$U204/1000</f>
        <v>#N/A</v>
      </c>
      <c r="W204" s="84" t="e">
        <f t="shared" ca="1" si="115"/>
        <v>#N/A</v>
      </c>
      <c r="X204" s="64" t="e">
        <f ca="1">OFFSET('360SpcLdsCSV'!$B$5,$B204,X$51)*$P204</f>
        <v>#N/A</v>
      </c>
      <c r="Y204" s="64" t="e">
        <f ca="1">OFFSET('360SpcLdsCSV'!$B$5,$B204,Y$51)*$X204/1000</f>
        <v>#N/A</v>
      </c>
      <c r="Z204" s="84" t="e">
        <f t="shared" ca="1" si="116"/>
        <v>#N/A</v>
      </c>
      <c r="AA204" s="64" t="e">
        <f ca="1">OFFSET('360SpcLdsCSV'!$B$5,$B204,AA$51)*$P204</f>
        <v>#N/A</v>
      </c>
      <c r="AB204" s="64" t="e">
        <f ca="1">OFFSET('360SpcLdsCSV'!$B$5,$B204,AB$51)*$AA204/1000</f>
        <v>#N/A</v>
      </c>
      <c r="AC204" s="65" t="e">
        <f ca="1">'Ltg IntTakeoffs'!EZ159</f>
        <v>#N/A</v>
      </c>
      <c r="AD204" s="64" t="e">
        <f t="shared" ca="1" si="110"/>
        <v>#N/A</v>
      </c>
      <c r="AE204" s="558" t="e">
        <f ca="1">'Ltg IntTakeoffs'!FA159*M204</f>
        <v>#N/A</v>
      </c>
      <c r="AF204" s="559" t="e">
        <f ca="1">'Ltg IntTakeoffs'!FB159*M204</f>
        <v>#N/A</v>
      </c>
      <c r="AG204" s="62"/>
      <c r="AH204" s="62"/>
    </row>
    <row r="205" spans="2:34" ht="15" customHeight="1" x14ac:dyDescent="0.2">
      <c r="B205" s="62" t="e">
        <f>MATCH(C205,'360SpcLdsCSV'!$C$6:$C$500,0)</f>
        <v>#N/A</v>
      </c>
      <c r="C205" s="62">
        <f>'360SpcLdsCSV'!C154</f>
        <v>0</v>
      </c>
      <c r="D205" s="62" t="str">
        <f t="shared" si="111"/>
        <v>0</v>
      </c>
      <c r="E205" s="62" t="e">
        <f t="shared" si="108"/>
        <v>#VALUE!</v>
      </c>
      <c r="F205" s="62" t="e">
        <f t="shared" si="109"/>
        <v>#VALUE!</v>
      </c>
      <c r="G205" s="62" t="str">
        <f t="shared" si="112"/>
        <v>0</v>
      </c>
      <c r="H205" s="62" t="e">
        <f ca="1">OFFSET('360SpcLdsCSV'!$B$5,$B205,H$51)</f>
        <v>#N/A</v>
      </c>
      <c r="I205" s="62" t="e">
        <f ca="1">OFFSET('360SpcLdsCSV'!$B$5,$B205,I$51)</f>
        <v>#N/A</v>
      </c>
      <c r="J205" s="62" t="e">
        <f ca="1">OFFSET('360SpcLdsCSV'!$B$5,$B205,J$51)</f>
        <v>#N/A</v>
      </c>
      <c r="K205" s="62" t="e">
        <f ca="1">OFFSET('360SpcLdsCSV'!$B$5,$B205,K$51)</f>
        <v>#N/A</v>
      </c>
      <c r="L205" s="62" t="e">
        <f ca="1">OFFSET('360SpcLdsCSV'!$B$5,$B205,L$51)</f>
        <v>#N/A</v>
      </c>
      <c r="M205" s="1178" t="e">
        <f t="shared" ca="1" si="117"/>
        <v>#N/A</v>
      </c>
      <c r="N205" s="1178" t="e">
        <f t="shared" ca="1" si="117"/>
        <v>#N/A</v>
      </c>
      <c r="O205" s="62" t="e">
        <f ca="1">OFFSET('360SpcLdsCSV'!$B$5,$B205,O$51)</f>
        <v>#N/A</v>
      </c>
      <c r="P205" s="64" t="e">
        <f ca="1">OFFSET('360SpcLdsCSV'!$B$5,$B205,P$51)</f>
        <v>#N/A</v>
      </c>
      <c r="Q205" s="84" t="e">
        <f t="shared" ca="1" si="113"/>
        <v>#N/A</v>
      </c>
      <c r="R205" s="64" t="e">
        <f ca="1">OFFSET('360SpcLdsCSV'!$B$5,$B205,R$51)*$P205</f>
        <v>#N/A</v>
      </c>
      <c r="S205" s="64" t="e">
        <f ca="1">OFFSET('360SpcLdsCSV'!$B$5,$B205,S$51)*$R205/1000</f>
        <v>#N/A</v>
      </c>
      <c r="T205" s="84" t="e">
        <f t="shared" ca="1" si="114"/>
        <v>#N/A</v>
      </c>
      <c r="U205" s="64" t="e">
        <f ca="1">OFFSET('360SpcLdsCSV'!$B$5,$B205,U$51)</f>
        <v>#N/A</v>
      </c>
      <c r="V205" s="64" t="e">
        <f ca="1">OFFSET('360SpcLdsCSV'!$B$5,$B205,V$51)*$U205/1000</f>
        <v>#N/A</v>
      </c>
      <c r="W205" s="84" t="e">
        <f t="shared" ca="1" si="115"/>
        <v>#N/A</v>
      </c>
      <c r="X205" s="64" t="e">
        <f ca="1">OFFSET('360SpcLdsCSV'!$B$5,$B205,X$51)*$P205</f>
        <v>#N/A</v>
      </c>
      <c r="Y205" s="64" t="e">
        <f ca="1">OFFSET('360SpcLdsCSV'!$B$5,$B205,Y$51)*$X205/1000</f>
        <v>#N/A</v>
      </c>
      <c r="Z205" s="84" t="e">
        <f t="shared" ca="1" si="116"/>
        <v>#N/A</v>
      </c>
      <c r="AA205" s="64" t="e">
        <f ca="1">OFFSET('360SpcLdsCSV'!$B$5,$B205,AA$51)*$P205</f>
        <v>#N/A</v>
      </c>
      <c r="AB205" s="64" t="e">
        <f ca="1">OFFSET('360SpcLdsCSV'!$B$5,$B205,AB$51)*$AA205/1000</f>
        <v>#N/A</v>
      </c>
      <c r="AC205" s="65" t="e">
        <f ca="1">'Ltg IntTakeoffs'!EZ160</f>
        <v>#N/A</v>
      </c>
      <c r="AD205" s="64" t="e">
        <f t="shared" ca="1" si="110"/>
        <v>#N/A</v>
      </c>
      <c r="AE205" s="558" t="e">
        <f ca="1">'Ltg IntTakeoffs'!FA160*M205</f>
        <v>#N/A</v>
      </c>
      <c r="AF205" s="559" t="e">
        <f ca="1">'Ltg IntTakeoffs'!FB160*M205</f>
        <v>#N/A</v>
      </c>
      <c r="AG205" s="62"/>
      <c r="AH205" s="62"/>
    </row>
    <row r="206" spans="2:34" ht="15" customHeight="1" x14ac:dyDescent="0.2">
      <c r="B206" s="62" t="e">
        <f>MATCH(C206,'360SpcLdsCSV'!$C$6:$C$500,0)</f>
        <v>#N/A</v>
      </c>
      <c r="C206" s="62">
        <f>'360SpcLdsCSV'!C155</f>
        <v>0</v>
      </c>
      <c r="D206" s="62" t="str">
        <f t="shared" si="111"/>
        <v>0</v>
      </c>
      <c r="E206" s="62" t="e">
        <f t="shared" si="108"/>
        <v>#VALUE!</v>
      </c>
      <c r="F206" s="62" t="e">
        <f t="shared" si="109"/>
        <v>#VALUE!</v>
      </c>
      <c r="G206" s="62" t="str">
        <f t="shared" si="112"/>
        <v>0</v>
      </c>
      <c r="H206" s="62" t="e">
        <f ca="1">OFFSET('360SpcLdsCSV'!$B$5,$B206,H$51)</f>
        <v>#N/A</v>
      </c>
      <c r="I206" s="62" t="e">
        <f ca="1">OFFSET('360SpcLdsCSV'!$B$5,$B206,I$51)</f>
        <v>#N/A</v>
      </c>
      <c r="J206" s="62" t="e">
        <f ca="1">OFFSET('360SpcLdsCSV'!$B$5,$B206,J$51)</f>
        <v>#N/A</v>
      </c>
      <c r="K206" s="62" t="e">
        <f ca="1">OFFSET('360SpcLdsCSV'!$B$5,$B206,K$51)</f>
        <v>#N/A</v>
      </c>
      <c r="L206" s="62" t="e">
        <f ca="1">OFFSET('360SpcLdsCSV'!$B$5,$B206,L$51)</f>
        <v>#N/A</v>
      </c>
      <c r="M206" s="1178" t="e">
        <f t="shared" ca="1" si="117"/>
        <v>#N/A</v>
      </c>
      <c r="N206" s="1178" t="e">
        <f t="shared" ca="1" si="117"/>
        <v>#N/A</v>
      </c>
      <c r="O206" s="62" t="e">
        <f ca="1">OFFSET('360SpcLdsCSV'!$B$5,$B206,O$51)</f>
        <v>#N/A</v>
      </c>
      <c r="P206" s="64" t="e">
        <f ca="1">OFFSET('360SpcLdsCSV'!$B$5,$B206,P$51)</f>
        <v>#N/A</v>
      </c>
      <c r="Q206" s="84" t="e">
        <f t="shared" ca="1" si="113"/>
        <v>#N/A</v>
      </c>
      <c r="R206" s="64" t="e">
        <f ca="1">OFFSET('360SpcLdsCSV'!$B$5,$B206,R$51)*$P206</f>
        <v>#N/A</v>
      </c>
      <c r="S206" s="64" t="e">
        <f ca="1">OFFSET('360SpcLdsCSV'!$B$5,$B206,S$51)*$R206/1000</f>
        <v>#N/A</v>
      </c>
      <c r="T206" s="84" t="e">
        <f t="shared" ca="1" si="114"/>
        <v>#N/A</v>
      </c>
      <c r="U206" s="64" t="e">
        <f ca="1">OFFSET('360SpcLdsCSV'!$B$5,$B206,U$51)</f>
        <v>#N/A</v>
      </c>
      <c r="V206" s="64" t="e">
        <f ca="1">OFFSET('360SpcLdsCSV'!$B$5,$B206,V$51)*$U206/1000</f>
        <v>#N/A</v>
      </c>
      <c r="W206" s="84" t="e">
        <f t="shared" ca="1" si="115"/>
        <v>#N/A</v>
      </c>
      <c r="X206" s="64" t="e">
        <f ca="1">OFFSET('360SpcLdsCSV'!$B$5,$B206,X$51)*$P206</f>
        <v>#N/A</v>
      </c>
      <c r="Y206" s="64" t="e">
        <f ca="1">OFFSET('360SpcLdsCSV'!$B$5,$B206,Y$51)*$X206/1000</f>
        <v>#N/A</v>
      </c>
      <c r="Z206" s="84" t="e">
        <f t="shared" ca="1" si="116"/>
        <v>#N/A</v>
      </c>
      <c r="AA206" s="64" t="e">
        <f ca="1">OFFSET('360SpcLdsCSV'!$B$5,$B206,AA$51)*$P206</f>
        <v>#N/A</v>
      </c>
      <c r="AB206" s="64" t="e">
        <f ca="1">OFFSET('360SpcLdsCSV'!$B$5,$B206,AB$51)*$AA206/1000</f>
        <v>#N/A</v>
      </c>
      <c r="AC206" s="65" t="e">
        <f ca="1">'Ltg IntTakeoffs'!EZ161</f>
        <v>#N/A</v>
      </c>
      <c r="AD206" s="64" t="e">
        <f t="shared" ca="1" si="110"/>
        <v>#N/A</v>
      </c>
      <c r="AE206" s="558" t="e">
        <f ca="1">'Ltg IntTakeoffs'!FA161*M206</f>
        <v>#N/A</v>
      </c>
      <c r="AF206" s="559" t="e">
        <f ca="1">'Ltg IntTakeoffs'!FB161*M206</f>
        <v>#N/A</v>
      </c>
      <c r="AG206" s="62"/>
      <c r="AH206" s="62"/>
    </row>
    <row r="207" spans="2:34" ht="15" customHeight="1" x14ac:dyDescent="0.2">
      <c r="B207" s="62" t="e">
        <f>MATCH(C207,'360SpcLdsCSV'!$C$6:$C$500,0)</f>
        <v>#N/A</v>
      </c>
      <c r="C207" s="62">
        <f>'360SpcLdsCSV'!C156</f>
        <v>0</v>
      </c>
      <c r="D207" s="62" t="str">
        <f t="shared" si="111"/>
        <v>0</v>
      </c>
      <c r="E207" s="62" t="e">
        <f t="shared" si="108"/>
        <v>#VALUE!</v>
      </c>
      <c r="F207" s="62" t="e">
        <f t="shared" si="109"/>
        <v>#VALUE!</v>
      </c>
      <c r="G207" s="62" t="str">
        <f t="shared" si="112"/>
        <v>0</v>
      </c>
      <c r="H207" s="62" t="e">
        <f ca="1">OFFSET('360SpcLdsCSV'!$B$5,$B207,H$51)</f>
        <v>#N/A</v>
      </c>
      <c r="I207" s="62" t="e">
        <f ca="1">OFFSET('360SpcLdsCSV'!$B$5,$B207,I$51)</f>
        <v>#N/A</v>
      </c>
      <c r="J207" s="62" t="e">
        <f ca="1">OFFSET('360SpcLdsCSV'!$B$5,$B207,J$51)</f>
        <v>#N/A</v>
      </c>
      <c r="K207" s="62" t="e">
        <f ca="1">OFFSET('360SpcLdsCSV'!$B$5,$B207,K$51)</f>
        <v>#N/A</v>
      </c>
      <c r="L207" s="62" t="e">
        <f ca="1">OFFSET('360SpcLdsCSV'!$B$5,$B207,L$51)</f>
        <v>#N/A</v>
      </c>
      <c r="M207" s="1178" t="e">
        <f t="shared" ca="1" si="117"/>
        <v>#N/A</v>
      </c>
      <c r="N207" s="1178" t="e">
        <f t="shared" ca="1" si="117"/>
        <v>#N/A</v>
      </c>
      <c r="O207" s="62" t="e">
        <f ca="1">OFFSET('360SpcLdsCSV'!$B$5,$B207,O$51)</f>
        <v>#N/A</v>
      </c>
      <c r="P207" s="64" t="e">
        <f ca="1">OFFSET('360SpcLdsCSV'!$B$5,$B207,P$51)</f>
        <v>#N/A</v>
      </c>
      <c r="Q207" s="84" t="e">
        <f t="shared" ca="1" si="113"/>
        <v>#N/A</v>
      </c>
      <c r="R207" s="64" t="e">
        <f ca="1">OFFSET('360SpcLdsCSV'!$B$5,$B207,R$51)*$P207</f>
        <v>#N/A</v>
      </c>
      <c r="S207" s="64" t="e">
        <f ca="1">OFFSET('360SpcLdsCSV'!$B$5,$B207,S$51)*$R207/1000</f>
        <v>#N/A</v>
      </c>
      <c r="T207" s="84" t="e">
        <f t="shared" ca="1" si="114"/>
        <v>#N/A</v>
      </c>
      <c r="U207" s="64" t="e">
        <f ca="1">OFFSET('360SpcLdsCSV'!$B$5,$B207,U$51)</f>
        <v>#N/A</v>
      </c>
      <c r="V207" s="64" t="e">
        <f ca="1">OFFSET('360SpcLdsCSV'!$B$5,$B207,V$51)*$U207/1000</f>
        <v>#N/A</v>
      </c>
      <c r="W207" s="84" t="e">
        <f t="shared" ca="1" si="115"/>
        <v>#N/A</v>
      </c>
      <c r="X207" s="64" t="e">
        <f ca="1">OFFSET('360SpcLdsCSV'!$B$5,$B207,X$51)*$P207</f>
        <v>#N/A</v>
      </c>
      <c r="Y207" s="64" t="e">
        <f ca="1">OFFSET('360SpcLdsCSV'!$B$5,$B207,Y$51)*$X207/1000</f>
        <v>#N/A</v>
      </c>
      <c r="Z207" s="84" t="e">
        <f t="shared" ca="1" si="116"/>
        <v>#N/A</v>
      </c>
      <c r="AA207" s="64" t="e">
        <f ca="1">OFFSET('360SpcLdsCSV'!$B$5,$B207,AA$51)*$P207</f>
        <v>#N/A</v>
      </c>
      <c r="AB207" s="64" t="e">
        <f ca="1">OFFSET('360SpcLdsCSV'!$B$5,$B207,AB$51)*$AA207/1000</f>
        <v>#N/A</v>
      </c>
      <c r="AC207" s="65" t="e">
        <f ca="1">'Ltg IntTakeoffs'!EZ162</f>
        <v>#N/A</v>
      </c>
      <c r="AD207" s="64" t="e">
        <f t="shared" ca="1" si="110"/>
        <v>#N/A</v>
      </c>
      <c r="AE207" s="558" t="e">
        <f ca="1">'Ltg IntTakeoffs'!FA162*M207</f>
        <v>#N/A</v>
      </c>
      <c r="AF207" s="559" t="e">
        <f ca="1">'Ltg IntTakeoffs'!FB162*M207</f>
        <v>#N/A</v>
      </c>
      <c r="AG207" s="62"/>
      <c r="AH207" s="62"/>
    </row>
    <row r="208" spans="2:34" ht="15" customHeight="1" x14ac:dyDescent="0.2">
      <c r="B208" s="62" t="e">
        <f>MATCH(C208,'360SpcLdsCSV'!$C$6:$C$500,0)</f>
        <v>#N/A</v>
      </c>
      <c r="C208" s="62">
        <f>'360SpcLdsCSV'!C157</f>
        <v>0</v>
      </c>
      <c r="D208" s="62" t="str">
        <f t="shared" si="111"/>
        <v>0</v>
      </c>
      <c r="E208" s="62" t="e">
        <f t="shared" si="108"/>
        <v>#VALUE!</v>
      </c>
      <c r="F208" s="62" t="e">
        <f t="shared" si="109"/>
        <v>#VALUE!</v>
      </c>
      <c r="G208" s="62" t="str">
        <f t="shared" si="112"/>
        <v>0</v>
      </c>
      <c r="H208" s="62" t="e">
        <f ca="1">OFFSET('360SpcLdsCSV'!$B$5,$B208,H$51)</f>
        <v>#N/A</v>
      </c>
      <c r="I208" s="62" t="e">
        <f ca="1">OFFSET('360SpcLdsCSV'!$B$5,$B208,I$51)</f>
        <v>#N/A</v>
      </c>
      <c r="J208" s="62" t="e">
        <f ca="1">OFFSET('360SpcLdsCSV'!$B$5,$B208,J$51)</f>
        <v>#N/A</v>
      </c>
      <c r="K208" s="62" t="e">
        <f ca="1">OFFSET('360SpcLdsCSV'!$B$5,$B208,K$51)</f>
        <v>#N/A</v>
      </c>
      <c r="L208" s="62" t="e">
        <f ca="1">OFFSET('360SpcLdsCSV'!$B$5,$B208,L$51)</f>
        <v>#N/A</v>
      </c>
      <c r="M208" s="1178" t="e">
        <f t="shared" ca="1" si="117"/>
        <v>#N/A</v>
      </c>
      <c r="N208" s="1178" t="e">
        <f t="shared" ca="1" si="117"/>
        <v>#N/A</v>
      </c>
      <c r="O208" s="62" t="e">
        <f ca="1">OFFSET('360SpcLdsCSV'!$B$5,$B208,O$51)</f>
        <v>#N/A</v>
      </c>
      <c r="P208" s="64" t="e">
        <f ca="1">OFFSET('360SpcLdsCSV'!$B$5,$B208,P$51)</f>
        <v>#N/A</v>
      </c>
      <c r="Q208" s="84" t="e">
        <f t="shared" ca="1" si="113"/>
        <v>#N/A</v>
      </c>
      <c r="R208" s="64" t="e">
        <f ca="1">OFFSET('360SpcLdsCSV'!$B$5,$B208,R$51)*$P208</f>
        <v>#N/A</v>
      </c>
      <c r="S208" s="64" t="e">
        <f ca="1">OFFSET('360SpcLdsCSV'!$B$5,$B208,S$51)*$R208/1000</f>
        <v>#N/A</v>
      </c>
      <c r="T208" s="84" t="e">
        <f t="shared" ca="1" si="114"/>
        <v>#N/A</v>
      </c>
      <c r="U208" s="64" t="e">
        <f ca="1">OFFSET('360SpcLdsCSV'!$B$5,$B208,U$51)</f>
        <v>#N/A</v>
      </c>
      <c r="V208" s="64" t="e">
        <f ca="1">OFFSET('360SpcLdsCSV'!$B$5,$B208,V$51)*$U208/1000</f>
        <v>#N/A</v>
      </c>
      <c r="W208" s="84" t="e">
        <f t="shared" ca="1" si="115"/>
        <v>#N/A</v>
      </c>
      <c r="X208" s="64" t="e">
        <f ca="1">OFFSET('360SpcLdsCSV'!$B$5,$B208,X$51)*$P208</f>
        <v>#N/A</v>
      </c>
      <c r="Y208" s="64" t="e">
        <f ca="1">OFFSET('360SpcLdsCSV'!$B$5,$B208,Y$51)*$X208/1000</f>
        <v>#N/A</v>
      </c>
      <c r="Z208" s="84" t="e">
        <f t="shared" ca="1" si="116"/>
        <v>#N/A</v>
      </c>
      <c r="AA208" s="64" t="e">
        <f ca="1">OFFSET('360SpcLdsCSV'!$B$5,$B208,AA$51)*$P208</f>
        <v>#N/A</v>
      </c>
      <c r="AB208" s="64" t="e">
        <f ca="1">OFFSET('360SpcLdsCSV'!$B$5,$B208,AB$51)*$AA208/1000</f>
        <v>#N/A</v>
      </c>
      <c r="AC208" s="65" t="e">
        <f ca="1">'Ltg IntTakeoffs'!EZ163</f>
        <v>#N/A</v>
      </c>
      <c r="AD208" s="64" t="e">
        <f t="shared" ca="1" si="110"/>
        <v>#N/A</v>
      </c>
      <c r="AE208" s="558" t="e">
        <f ca="1">'Ltg IntTakeoffs'!FA163*M208</f>
        <v>#N/A</v>
      </c>
      <c r="AF208" s="559" t="e">
        <f ca="1">'Ltg IntTakeoffs'!FB163*M208</f>
        <v>#N/A</v>
      </c>
      <c r="AG208" s="62"/>
      <c r="AH208" s="62"/>
    </row>
    <row r="209" spans="2:34" ht="15" customHeight="1" x14ac:dyDescent="0.2">
      <c r="B209" s="62" t="e">
        <f>MATCH(C209,'360SpcLdsCSV'!$C$6:$C$500,0)</f>
        <v>#N/A</v>
      </c>
      <c r="C209" s="62">
        <f>'360SpcLdsCSV'!C158</f>
        <v>0</v>
      </c>
      <c r="D209" s="62" t="str">
        <f t="shared" si="111"/>
        <v>0</v>
      </c>
      <c r="E209" s="62" t="e">
        <f t="shared" si="108"/>
        <v>#VALUE!</v>
      </c>
      <c r="F209" s="62" t="e">
        <f t="shared" si="109"/>
        <v>#VALUE!</v>
      </c>
      <c r="G209" s="62" t="str">
        <f t="shared" si="112"/>
        <v>0</v>
      </c>
      <c r="H209" s="62" t="e">
        <f ca="1">OFFSET('360SpcLdsCSV'!$B$5,$B209,H$51)</f>
        <v>#N/A</v>
      </c>
      <c r="I209" s="62" t="e">
        <f ca="1">OFFSET('360SpcLdsCSV'!$B$5,$B209,I$51)</f>
        <v>#N/A</v>
      </c>
      <c r="J209" s="62" t="e">
        <f ca="1">OFFSET('360SpcLdsCSV'!$B$5,$B209,J$51)</f>
        <v>#N/A</v>
      </c>
      <c r="K209" s="62" t="e">
        <f ca="1">OFFSET('360SpcLdsCSV'!$B$5,$B209,K$51)</f>
        <v>#N/A</v>
      </c>
      <c r="L209" s="62" t="e">
        <f ca="1">OFFSET('360SpcLdsCSV'!$B$5,$B209,L$51)</f>
        <v>#N/A</v>
      </c>
      <c r="M209" s="1178" t="e">
        <f t="shared" ca="1" si="117"/>
        <v>#N/A</v>
      </c>
      <c r="N209" s="1178" t="e">
        <f t="shared" ca="1" si="117"/>
        <v>#N/A</v>
      </c>
      <c r="O209" s="62" t="e">
        <f ca="1">OFFSET('360SpcLdsCSV'!$B$5,$B209,O$51)</f>
        <v>#N/A</v>
      </c>
      <c r="P209" s="64" t="e">
        <f ca="1">OFFSET('360SpcLdsCSV'!$B$5,$B209,P$51)</f>
        <v>#N/A</v>
      </c>
      <c r="Q209" s="84" t="e">
        <f t="shared" ca="1" si="113"/>
        <v>#N/A</v>
      </c>
      <c r="R209" s="64" t="e">
        <f ca="1">OFFSET('360SpcLdsCSV'!$B$5,$B209,R$51)*$P209</f>
        <v>#N/A</v>
      </c>
      <c r="S209" s="64" t="e">
        <f ca="1">OFFSET('360SpcLdsCSV'!$B$5,$B209,S$51)*$R209/1000</f>
        <v>#N/A</v>
      </c>
      <c r="T209" s="84" t="e">
        <f t="shared" ca="1" si="114"/>
        <v>#N/A</v>
      </c>
      <c r="U209" s="64" t="e">
        <f ca="1">OFFSET('360SpcLdsCSV'!$B$5,$B209,U$51)</f>
        <v>#N/A</v>
      </c>
      <c r="V209" s="64" t="e">
        <f ca="1">OFFSET('360SpcLdsCSV'!$B$5,$B209,V$51)*$U209/1000</f>
        <v>#N/A</v>
      </c>
      <c r="W209" s="84" t="e">
        <f t="shared" ca="1" si="115"/>
        <v>#N/A</v>
      </c>
      <c r="X209" s="64" t="e">
        <f ca="1">OFFSET('360SpcLdsCSV'!$B$5,$B209,X$51)*$P209</f>
        <v>#N/A</v>
      </c>
      <c r="Y209" s="64" t="e">
        <f ca="1">OFFSET('360SpcLdsCSV'!$B$5,$B209,Y$51)*$X209/1000</f>
        <v>#N/A</v>
      </c>
      <c r="Z209" s="84" t="e">
        <f t="shared" ca="1" si="116"/>
        <v>#N/A</v>
      </c>
      <c r="AA209" s="64" t="e">
        <f ca="1">OFFSET('360SpcLdsCSV'!$B$5,$B209,AA$51)*$P209</f>
        <v>#N/A</v>
      </c>
      <c r="AB209" s="64" t="e">
        <f ca="1">OFFSET('360SpcLdsCSV'!$B$5,$B209,AB$51)*$AA209/1000</f>
        <v>#N/A</v>
      </c>
      <c r="AC209" s="65" t="e">
        <f ca="1">'Ltg IntTakeoffs'!EZ164</f>
        <v>#N/A</v>
      </c>
      <c r="AD209" s="64" t="e">
        <f t="shared" ca="1" si="110"/>
        <v>#N/A</v>
      </c>
      <c r="AE209" s="558" t="e">
        <f ca="1">'Ltg IntTakeoffs'!FA164*M209</f>
        <v>#N/A</v>
      </c>
      <c r="AF209" s="559" t="e">
        <f ca="1">'Ltg IntTakeoffs'!FB164*M209</f>
        <v>#N/A</v>
      </c>
      <c r="AG209" s="62"/>
      <c r="AH209" s="62"/>
    </row>
    <row r="210" spans="2:34" ht="15" customHeight="1" x14ac:dyDescent="0.2">
      <c r="B210" s="62" t="e">
        <f>MATCH(C210,'360SpcLdsCSV'!$C$6:$C$500,0)</f>
        <v>#N/A</v>
      </c>
      <c r="C210" s="62">
        <f>'360SpcLdsCSV'!C159</f>
        <v>0</v>
      </c>
      <c r="D210" s="62" t="str">
        <f t="shared" si="111"/>
        <v>0</v>
      </c>
      <c r="E210" s="62" t="e">
        <f t="shared" si="108"/>
        <v>#VALUE!</v>
      </c>
      <c r="F210" s="62" t="e">
        <f t="shared" si="109"/>
        <v>#VALUE!</v>
      </c>
      <c r="G210" s="62" t="str">
        <f t="shared" si="112"/>
        <v>0</v>
      </c>
      <c r="H210" s="62" t="e">
        <f ca="1">OFFSET('360SpcLdsCSV'!$B$5,$B210,H$51)</f>
        <v>#N/A</v>
      </c>
      <c r="I210" s="62" t="e">
        <f ca="1">OFFSET('360SpcLdsCSV'!$B$5,$B210,I$51)</f>
        <v>#N/A</v>
      </c>
      <c r="J210" s="62" t="e">
        <f ca="1">OFFSET('360SpcLdsCSV'!$B$5,$B210,J$51)</f>
        <v>#N/A</v>
      </c>
      <c r="K210" s="62" t="e">
        <f ca="1">OFFSET('360SpcLdsCSV'!$B$5,$B210,K$51)</f>
        <v>#N/A</v>
      </c>
      <c r="L210" s="62" t="e">
        <f ca="1">OFFSET('360SpcLdsCSV'!$B$5,$B210,L$51)</f>
        <v>#N/A</v>
      </c>
      <c r="M210" s="1178" t="e">
        <f t="shared" ca="1" si="117"/>
        <v>#N/A</v>
      </c>
      <c r="N210" s="1178" t="e">
        <f t="shared" ca="1" si="117"/>
        <v>#N/A</v>
      </c>
      <c r="O210" s="62" t="e">
        <f ca="1">OFFSET('360SpcLdsCSV'!$B$5,$B210,O$51)</f>
        <v>#N/A</v>
      </c>
      <c r="P210" s="64" t="e">
        <f ca="1">OFFSET('360SpcLdsCSV'!$B$5,$B210,P$51)</f>
        <v>#N/A</v>
      </c>
      <c r="Q210" s="84" t="e">
        <f t="shared" ca="1" si="113"/>
        <v>#N/A</v>
      </c>
      <c r="R210" s="64" t="e">
        <f ca="1">OFFSET('360SpcLdsCSV'!$B$5,$B210,R$51)*$P210</f>
        <v>#N/A</v>
      </c>
      <c r="S210" s="64" t="e">
        <f ca="1">OFFSET('360SpcLdsCSV'!$B$5,$B210,S$51)*$R210/1000</f>
        <v>#N/A</v>
      </c>
      <c r="T210" s="84" t="e">
        <f t="shared" ca="1" si="114"/>
        <v>#N/A</v>
      </c>
      <c r="U210" s="64" t="e">
        <f ca="1">OFFSET('360SpcLdsCSV'!$B$5,$B210,U$51)</f>
        <v>#N/A</v>
      </c>
      <c r="V210" s="64" t="e">
        <f ca="1">OFFSET('360SpcLdsCSV'!$B$5,$B210,V$51)*$U210/1000</f>
        <v>#N/A</v>
      </c>
      <c r="W210" s="84" t="e">
        <f t="shared" ca="1" si="115"/>
        <v>#N/A</v>
      </c>
      <c r="X210" s="64" t="e">
        <f ca="1">OFFSET('360SpcLdsCSV'!$B$5,$B210,X$51)*$P210</f>
        <v>#N/A</v>
      </c>
      <c r="Y210" s="64" t="e">
        <f ca="1">OFFSET('360SpcLdsCSV'!$B$5,$B210,Y$51)*$X210/1000</f>
        <v>#N/A</v>
      </c>
      <c r="Z210" s="84" t="e">
        <f t="shared" ca="1" si="116"/>
        <v>#N/A</v>
      </c>
      <c r="AA210" s="64" t="e">
        <f ca="1">OFFSET('360SpcLdsCSV'!$B$5,$B210,AA$51)*$P210</f>
        <v>#N/A</v>
      </c>
      <c r="AB210" s="64" t="e">
        <f ca="1">OFFSET('360SpcLdsCSV'!$B$5,$B210,AB$51)*$AA210/1000</f>
        <v>#N/A</v>
      </c>
      <c r="AC210" s="65" t="e">
        <f ca="1">'Ltg IntTakeoffs'!EZ165</f>
        <v>#N/A</v>
      </c>
      <c r="AD210" s="64" t="e">
        <f t="shared" ca="1" si="110"/>
        <v>#N/A</v>
      </c>
      <c r="AE210" s="558" t="e">
        <f ca="1">'Ltg IntTakeoffs'!FA165*M210</f>
        <v>#N/A</v>
      </c>
      <c r="AF210" s="559" t="e">
        <f ca="1">'Ltg IntTakeoffs'!FB165*M210</f>
        <v>#N/A</v>
      </c>
      <c r="AG210" s="62"/>
      <c r="AH210" s="62"/>
    </row>
    <row r="211" spans="2:34" ht="15" customHeight="1" x14ac:dyDescent="0.2">
      <c r="B211" s="62" t="e">
        <f>MATCH(C211,'360SpcLdsCSV'!$C$6:$C$500,0)</f>
        <v>#N/A</v>
      </c>
      <c r="C211" s="62">
        <f>'360SpcLdsCSV'!C160</f>
        <v>0</v>
      </c>
      <c r="D211" s="62" t="str">
        <f t="shared" si="111"/>
        <v>0</v>
      </c>
      <c r="E211" s="62" t="e">
        <f t="shared" si="108"/>
        <v>#VALUE!</v>
      </c>
      <c r="F211" s="62" t="e">
        <f t="shared" si="109"/>
        <v>#VALUE!</v>
      </c>
      <c r="G211" s="62" t="str">
        <f t="shared" si="112"/>
        <v>0</v>
      </c>
      <c r="H211" s="62" t="e">
        <f ca="1">OFFSET('360SpcLdsCSV'!$B$5,$B211,H$51)</f>
        <v>#N/A</v>
      </c>
      <c r="I211" s="62" t="e">
        <f ca="1">OFFSET('360SpcLdsCSV'!$B$5,$B211,I$51)</f>
        <v>#N/A</v>
      </c>
      <c r="J211" s="62" t="e">
        <f ca="1">OFFSET('360SpcLdsCSV'!$B$5,$B211,J$51)</f>
        <v>#N/A</v>
      </c>
      <c r="K211" s="62" t="e">
        <f ca="1">OFFSET('360SpcLdsCSV'!$B$5,$B211,K$51)</f>
        <v>#N/A</v>
      </c>
      <c r="L211" s="62" t="e">
        <f ca="1">OFFSET('360SpcLdsCSV'!$B$5,$B211,L$51)</f>
        <v>#N/A</v>
      </c>
      <c r="M211" s="1178" t="e">
        <f t="shared" ca="1" si="117"/>
        <v>#N/A</v>
      </c>
      <c r="N211" s="1178" t="e">
        <f t="shared" ca="1" si="117"/>
        <v>#N/A</v>
      </c>
      <c r="O211" s="62" t="e">
        <f ca="1">OFFSET('360SpcLdsCSV'!$B$5,$B211,O$51)</f>
        <v>#N/A</v>
      </c>
      <c r="P211" s="64" t="e">
        <f ca="1">OFFSET('360SpcLdsCSV'!$B$5,$B211,P$51)</f>
        <v>#N/A</v>
      </c>
      <c r="Q211" s="84" t="e">
        <f t="shared" ca="1" si="113"/>
        <v>#N/A</v>
      </c>
      <c r="R211" s="64" t="e">
        <f ca="1">OFFSET('360SpcLdsCSV'!$B$5,$B211,R$51)*$P211</f>
        <v>#N/A</v>
      </c>
      <c r="S211" s="64" t="e">
        <f ca="1">OFFSET('360SpcLdsCSV'!$B$5,$B211,S$51)*$R211/1000</f>
        <v>#N/A</v>
      </c>
      <c r="T211" s="84" t="e">
        <f t="shared" ca="1" si="114"/>
        <v>#N/A</v>
      </c>
      <c r="U211" s="64" t="e">
        <f ca="1">OFFSET('360SpcLdsCSV'!$B$5,$B211,U$51)</f>
        <v>#N/A</v>
      </c>
      <c r="V211" s="64" t="e">
        <f ca="1">OFFSET('360SpcLdsCSV'!$B$5,$B211,V$51)*$U211/1000</f>
        <v>#N/A</v>
      </c>
      <c r="W211" s="84" t="e">
        <f t="shared" ca="1" si="115"/>
        <v>#N/A</v>
      </c>
      <c r="X211" s="64" t="e">
        <f ca="1">OFFSET('360SpcLdsCSV'!$B$5,$B211,X$51)*$P211</f>
        <v>#N/A</v>
      </c>
      <c r="Y211" s="64" t="e">
        <f ca="1">OFFSET('360SpcLdsCSV'!$B$5,$B211,Y$51)*$X211/1000</f>
        <v>#N/A</v>
      </c>
      <c r="Z211" s="84" t="e">
        <f t="shared" ca="1" si="116"/>
        <v>#N/A</v>
      </c>
      <c r="AA211" s="64" t="e">
        <f ca="1">OFFSET('360SpcLdsCSV'!$B$5,$B211,AA$51)*$P211</f>
        <v>#N/A</v>
      </c>
      <c r="AB211" s="64" t="e">
        <f ca="1">OFFSET('360SpcLdsCSV'!$B$5,$B211,AB$51)*$AA211/1000</f>
        <v>#N/A</v>
      </c>
      <c r="AC211" s="65" t="e">
        <f ca="1">'Ltg IntTakeoffs'!EZ166</f>
        <v>#N/A</v>
      </c>
      <c r="AD211" s="64" t="e">
        <f t="shared" ca="1" si="110"/>
        <v>#N/A</v>
      </c>
      <c r="AE211" s="558" t="e">
        <f ca="1">'Ltg IntTakeoffs'!FA166*M211</f>
        <v>#N/A</v>
      </c>
      <c r="AF211" s="559" t="e">
        <f ca="1">'Ltg IntTakeoffs'!FB166*M211</f>
        <v>#N/A</v>
      </c>
      <c r="AG211" s="62"/>
      <c r="AH211" s="62"/>
    </row>
    <row r="212" spans="2:34" ht="15" customHeight="1" x14ac:dyDescent="0.2">
      <c r="B212" s="62" t="e">
        <f>MATCH(C212,'360SpcLdsCSV'!$C$6:$C$500,0)</f>
        <v>#N/A</v>
      </c>
      <c r="C212" s="62">
        <f>'360SpcLdsCSV'!C161</f>
        <v>0</v>
      </c>
      <c r="D212" s="62" t="str">
        <f t="shared" si="111"/>
        <v>0</v>
      </c>
      <c r="E212" s="62" t="e">
        <f t="shared" si="108"/>
        <v>#VALUE!</v>
      </c>
      <c r="F212" s="62" t="e">
        <f t="shared" si="109"/>
        <v>#VALUE!</v>
      </c>
      <c r="G212" s="62" t="str">
        <f t="shared" si="112"/>
        <v>0</v>
      </c>
      <c r="H212" s="62" t="e">
        <f ca="1">OFFSET('360SpcLdsCSV'!$B$5,$B212,H$51)</f>
        <v>#N/A</v>
      </c>
      <c r="I212" s="62" t="e">
        <f ca="1">OFFSET('360SpcLdsCSV'!$B$5,$B212,I$51)</f>
        <v>#N/A</v>
      </c>
      <c r="J212" s="62" t="e">
        <f ca="1">OFFSET('360SpcLdsCSV'!$B$5,$B212,J$51)</f>
        <v>#N/A</v>
      </c>
      <c r="K212" s="62" t="e">
        <f ca="1">OFFSET('360SpcLdsCSV'!$B$5,$B212,K$51)</f>
        <v>#N/A</v>
      </c>
      <c r="L212" s="62" t="e">
        <f ca="1">OFFSET('360SpcLdsCSV'!$B$5,$B212,L$51)</f>
        <v>#N/A</v>
      </c>
      <c r="M212" s="1178" t="e">
        <f t="shared" ca="1" si="117"/>
        <v>#N/A</v>
      </c>
      <c r="N212" s="1178" t="e">
        <f t="shared" ca="1" si="117"/>
        <v>#N/A</v>
      </c>
      <c r="O212" s="62" t="e">
        <f ca="1">OFFSET('360SpcLdsCSV'!$B$5,$B212,O$51)</f>
        <v>#N/A</v>
      </c>
      <c r="P212" s="64" t="e">
        <f ca="1">OFFSET('360SpcLdsCSV'!$B$5,$B212,P$51)</f>
        <v>#N/A</v>
      </c>
      <c r="Q212" s="84" t="e">
        <f t="shared" ca="1" si="113"/>
        <v>#N/A</v>
      </c>
      <c r="R212" s="64" t="e">
        <f ca="1">OFFSET('360SpcLdsCSV'!$B$5,$B212,R$51)*$P212</f>
        <v>#N/A</v>
      </c>
      <c r="S212" s="64" t="e">
        <f ca="1">OFFSET('360SpcLdsCSV'!$B$5,$B212,S$51)*$R212/1000</f>
        <v>#N/A</v>
      </c>
      <c r="T212" s="84" t="e">
        <f t="shared" ca="1" si="114"/>
        <v>#N/A</v>
      </c>
      <c r="U212" s="64" t="e">
        <f ca="1">OFFSET('360SpcLdsCSV'!$B$5,$B212,U$51)</f>
        <v>#N/A</v>
      </c>
      <c r="V212" s="64" t="e">
        <f ca="1">OFFSET('360SpcLdsCSV'!$B$5,$B212,V$51)*$U212/1000</f>
        <v>#N/A</v>
      </c>
      <c r="W212" s="84" t="e">
        <f t="shared" ca="1" si="115"/>
        <v>#N/A</v>
      </c>
      <c r="X212" s="64" t="e">
        <f ca="1">OFFSET('360SpcLdsCSV'!$B$5,$B212,X$51)*$P212</f>
        <v>#N/A</v>
      </c>
      <c r="Y212" s="64" t="e">
        <f ca="1">OFFSET('360SpcLdsCSV'!$B$5,$B212,Y$51)*$X212/1000</f>
        <v>#N/A</v>
      </c>
      <c r="Z212" s="84" t="e">
        <f t="shared" ca="1" si="116"/>
        <v>#N/A</v>
      </c>
      <c r="AA212" s="64" t="e">
        <f ca="1">OFFSET('360SpcLdsCSV'!$B$5,$B212,AA$51)*$P212</f>
        <v>#N/A</v>
      </c>
      <c r="AB212" s="64" t="e">
        <f ca="1">OFFSET('360SpcLdsCSV'!$B$5,$B212,AB$51)*$AA212/1000</f>
        <v>#N/A</v>
      </c>
      <c r="AC212" s="65" t="e">
        <f ca="1">'Ltg IntTakeoffs'!EZ167</f>
        <v>#N/A</v>
      </c>
      <c r="AD212" s="64" t="e">
        <f t="shared" ca="1" si="110"/>
        <v>#N/A</v>
      </c>
      <c r="AE212" s="558" t="e">
        <f ca="1">'Ltg IntTakeoffs'!FA167*M212</f>
        <v>#N/A</v>
      </c>
      <c r="AF212" s="559" t="e">
        <f ca="1">'Ltg IntTakeoffs'!FB167*M212</f>
        <v>#N/A</v>
      </c>
      <c r="AG212" s="62"/>
      <c r="AH212" s="62"/>
    </row>
    <row r="213" spans="2:34" ht="15" customHeight="1" x14ac:dyDescent="0.2">
      <c r="B213" s="62" t="e">
        <f>MATCH(C213,'360SpcLdsCSV'!$C$6:$C$500,0)</f>
        <v>#N/A</v>
      </c>
      <c r="C213" s="62">
        <f>'360SpcLdsCSV'!C162</f>
        <v>0</v>
      </c>
      <c r="D213" s="62" t="str">
        <f t="shared" si="111"/>
        <v>0</v>
      </c>
      <c r="E213" s="62" t="e">
        <f t="shared" si="108"/>
        <v>#VALUE!</v>
      </c>
      <c r="F213" s="62" t="e">
        <f t="shared" si="109"/>
        <v>#VALUE!</v>
      </c>
      <c r="G213" s="62" t="str">
        <f t="shared" si="112"/>
        <v>0</v>
      </c>
      <c r="H213" s="62" t="e">
        <f ca="1">OFFSET('360SpcLdsCSV'!$B$5,$B213,H$51)</f>
        <v>#N/A</v>
      </c>
      <c r="I213" s="62" t="e">
        <f ca="1">OFFSET('360SpcLdsCSV'!$B$5,$B213,I$51)</f>
        <v>#N/A</v>
      </c>
      <c r="J213" s="62" t="e">
        <f ca="1">OFFSET('360SpcLdsCSV'!$B$5,$B213,J$51)</f>
        <v>#N/A</v>
      </c>
      <c r="K213" s="62" t="e">
        <f ca="1">OFFSET('360SpcLdsCSV'!$B$5,$B213,K$51)</f>
        <v>#N/A</v>
      </c>
      <c r="L213" s="62" t="e">
        <f ca="1">OFFSET('360SpcLdsCSV'!$B$5,$B213,L$51)</f>
        <v>#N/A</v>
      </c>
      <c r="M213" s="1178" t="e">
        <f t="shared" ca="1" si="117"/>
        <v>#N/A</v>
      </c>
      <c r="N213" s="1178" t="e">
        <f t="shared" ca="1" si="117"/>
        <v>#N/A</v>
      </c>
      <c r="O213" s="62" t="e">
        <f ca="1">OFFSET('360SpcLdsCSV'!$B$5,$B213,O$51)</f>
        <v>#N/A</v>
      </c>
      <c r="P213" s="64" t="e">
        <f ca="1">OFFSET('360SpcLdsCSV'!$B$5,$B213,P$51)</f>
        <v>#N/A</v>
      </c>
      <c r="Q213" s="84" t="e">
        <f t="shared" ca="1" si="113"/>
        <v>#N/A</v>
      </c>
      <c r="R213" s="64" t="e">
        <f ca="1">OFFSET('360SpcLdsCSV'!$B$5,$B213,R$51)*$P213</f>
        <v>#N/A</v>
      </c>
      <c r="S213" s="64" t="e">
        <f ca="1">OFFSET('360SpcLdsCSV'!$B$5,$B213,S$51)*$R213/1000</f>
        <v>#N/A</v>
      </c>
      <c r="T213" s="84" t="e">
        <f t="shared" ca="1" si="114"/>
        <v>#N/A</v>
      </c>
      <c r="U213" s="64" t="e">
        <f ca="1">OFFSET('360SpcLdsCSV'!$B$5,$B213,U$51)</f>
        <v>#N/A</v>
      </c>
      <c r="V213" s="64" t="e">
        <f ca="1">OFFSET('360SpcLdsCSV'!$B$5,$B213,V$51)*$U213/1000</f>
        <v>#N/A</v>
      </c>
      <c r="W213" s="84" t="e">
        <f t="shared" ca="1" si="115"/>
        <v>#N/A</v>
      </c>
      <c r="X213" s="64" t="e">
        <f ca="1">OFFSET('360SpcLdsCSV'!$B$5,$B213,X$51)*$P213</f>
        <v>#N/A</v>
      </c>
      <c r="Y213" s="64" t="e">
        <f ca="1">OFFSET('360SpcLdsCSV'!$B$5,$B213,Y$51)*$X213/1000</f>
        <v>#N/A</v>
      </c>
      <c r="Z213" s="84" t="e">
        <f t="shared" ca="1" si="116"/>
        <v>#N/A</v>
      </c>
      <c r="AA213" s="64" t="e">
        <f ca="1">OFFSET('360SpcLdsCSV'!$B$5,$B213,AA$51)*$P213</f>
        <v>#N/A</v>
      </c>
      <c r="AB213" s="64" t="e">
        <f ca="1">OFFSET('360SpcLdsCSV'!$B$5,$B213,AB$51)*$AA213/1000</f>
        <v>#N/A</v>
      </c>
      <c r="AC213" s="65" t="e">
        <f ca="1">'Ltg IntTakeoffs'!EZ168</f>
        <v>#N/A</v>
      </c>
      <c r="AD213" s="64" t="e">
        <f t="shared" ca="1" si="110"/>
        <v>#N/A</v>
      </c>
      <c r="AE213" s="558" t="e">
        <f ca="1">'Ltg IntTakeoffs'!FA168*M213</f>
        <v>#N/A</v>
      </c>
      <c r="AF213" s="559" t="e">
        <f ca="1">'Ltg IntTakeoffs'!FB168*M213</f>
        <v>#N/A</v>
      </c>
      <c r="AG213" s="62"/>
      <c r="AH213" s="62"/>
    </row>
    <row r="214" spans="2:34" ht="15" customHeight="1" x14ac:dyDescent="0.2">
      <c r="B214" s="62" t="e">
        <f>MATCH(C214,'360SpcLdsCSV'!$C$6:$C$500,0)</f>
        <v>#N/A</v>
      </c>
      <c r="C214" s="62">
        <f>'360SpcLdsCSV'!C163</f>
        <v>0</v>
      </c>
      <c r="D214" s="62" t="str">
        <f t="shared" si="111"/>
        <v>0</v>
      </c>
      <c r="E214" s="62" t="e">
        <f t="shared" si="108"/>
        <v>#VALUE!</v>
      </c>
      <c r="F214" s="62" t="e">
        <f t="shared" si="109"/>
        <v>#VALUE!</v>
      </c>
      <c r="G214" s="62" t="str">
        <f t="shared" si="112"/>
        <v>0</v>
      </c>
      <c r="H214" s="62" t="e">
        <f ca="1">OFFSET('360SpcLdsCSV'!$B$5,$B214,H$51)</f>
        <v>#N/A</v>
      </c>
      <c r="I214" s="62" t="e">
        <f ca="1">OFFSET('360SpcLdsCSV'!$B$5,$B214,I$51)</f>
        <v>#N/A</v>
      </c>
      <c r="J214" s="62" t="e">
        <f ca="1">OFFSET('360SpcLdsCSV'!$B$5,$B214,J$51)</f>
        <v>#N/A</v>
      </c>
      <c r="K214" s="62" t="e">
        <f ca="1">OFFSET('360SpcLdsCSV'!$B$5,$B214,K$51)</f>
        <v>#N/A</v>
      </c>
      <c r="L214" s="62" t="e">
        <f ca="1">OFFSET('360SpcLdsCSV'!$B$5,$B214,L$51)</f>
        <v>#N/A</v>
      </c>
      <c r="M214" s="1178" t="e">
        <f t="shared" ca="1" si="117"/>
        <v>#N/A</v>
      </c>
      <c r="N214" s="1178" t="e">
        <f t="shared" ca="1" si="117"/>
        <v>#N/A</v>
      </c>
      <c r="O214" s="62" t="e">
        <f ca="1">OFFSET('360SpcLdsCSV'!$B$5,$B214,O$51)</f>
        <v>#N/A</v>
      </c>
      <c r="P214" s="64" t="e">
        <f ca="1">OFFSET('360SpcLdsCSV'!$B$5,$B214,P$51)</f>
        <v>#N/A</v>
      </c>
      <c r="Q214" s="84" t="e">
        <f t="shared" ca="1" si="113"/>
        <v>#N/A</v>
      </c>
      <c r="R214" s="64" t="e">
        <f ca="1">OFFSET('360SpcLdsCSV'!$B$5,$B214,R$51)*$P214</f>
        <v>#N/A</v>
      </c>
      <c r="S214" s="64" t="e">
        <f ca="1">OFFSET('360SpcLdsCSV'!$B$5,$B214,S$51)*$R214/1000</f>
        <v>#N/A</v>
      </c>
      <c r="T214" s="84" t="e">
        <f t="shared" ca="1" si="114"/>
        <v>#N/A</v>
      </c>
      <c r="U214" s="64" t="e">
        <f ca="1">OFFSET('360SpcLdsCSV'!$B$5,$B214,U$51)</f>
        <v>#N/A</v>
      </c>
      <c r="V214" s="64" t="e">
        <f ca="1">OFFSET('360SpcLdsCSV'!$B$5,$B214,V$51)*$U214/1000</f>
        <v>#N/A</v>
      </c>
      <c r="W214" s="84" t="e">
        <f t="shared" ca="1" si="115"/>
        <v>#N/A</v>
      </c>
      <c r="X214" s="64" t="e">
        <f ca="1">OFFSET('360SpcLdsCSV'!$B$5,$B214,X$51)*$P214</f>
        <v>#N/A</v>
      </c>
      <c r="Y214" s="64" t="e">
        <f ca="1">OFFSET('360SpcLdsCSV'!$B$5,$B214,Y$51)*$X214/1000</f>
        <v>#N/A</v>
      </c>
      <c r="Z214" s="84" t="e">
        <f t="shared" ca="1" si="116"/>
        <v>#N/A</v>
      </c>
      <c r="AA214" s="64" t="e">
        <f ca="1">OFFSET('360SpcLdsCSV'!$B$5,$B214,AA$51)*$P214</f>
        <v>#N/A</v>
      </c>
      <c r="AB214" s="64" t="e">
        <f ca="1">OFFSET('360SpcLdsCSV'!$B$5,$B214,AB$51)*$AA214/1000</f>
        <v>#N/A</v>
      </c>
      <c r="AC214" s="65" t="e">
        <f ca="1">'Ltg IntTakeoffs'!EZ169</f>
        <v>#N/A</v>
      </c>
      <c r="AD214" s="64" t="e">
        <f t="shared" ca="1" si="110"/>
        <v>#N/A</v>
      </c>
      <c r="AE214" s="558" t="e">
        <f ca="1">'Ltg IntTakeoffs'!FA169*M214</f>
        <v>#N/A</v>
      </c>
      <c r="AF214" s="559" t="e">
        <f ca="1">'Ltg IntTakeoffs'!FB169*M214</f>
        <v>#N/A</v>
      </c>
      <c r="AG214" s="62"/>
      <c r="AH214" s="62"/>
    </row>
    <row r="215" spans="2:34" ht="15" customHeight="1" x14ac:dyDescent="0.2">
      <c r="B215" s="62" t="e">
        <f>MATCH(C215,'360SpcLdsCSV'!$C$6:$C$500,0)</f>
        <v>#N/A</v>
      </c>
      <c r="C215" s="62">
        <f>'360SpcLdsCSV'!C164</f>
        <v>0</v>
      </c>
      <c r="D215" s="62" t="str">
        <f t="shared" si="111"/>
        <v>0</v>
      </c>
      <c r="E215" s="62" t="e">
        <f t="shared" si="108"/>
        <v>#VALUE!</v>
      </c>
      <c r="F215" s="62" t="e">
        <f t="shared" si="109"/>
        <v>#VALUE!</v>
      </c>
      <c r="G215" s="62" t="str">
        <f t="shared" si="112"/>
        <v>0</v>
      </c>
      <c r="H215" s="62" t="e">
        <f ca="1">OFFSET('360SpcLdsCSV'!$B$5,$B215,H$51)</f>
        <v>#N/A</v>
      </c>
      <c r="I215" s="62" t="e">
        <f ca="1">OFFSET('360SpcLdsCSV'!$B$5,$B215,I$51)</f>
        <v>#N/A</v>
      </c>
      <c r="J215" s="62" t="e">
        <f ca="1">OFFSET('360SpcLdsCSV'!$B$5,$B215,J$51)</f>
        <v>#N/A</v>
      </c>
      <c r="K215" s="62" t="e">
        <f ca="1">OFFSET('360SpcLdsCSV'!$B$5,$B215,K$51)</f>
        <v>#N/A</v>
      </c>
      <c r="L215" s="62" t="e">
        <f ca="1">OFFSET('360SpcLdsCSV'!$B$5,$B215,L$51)</f>
        <v>#N/A</v>
      </c>
      <c r="M215" s="1178" t="e">
        <f t="shared" ca="1" si="117"/>
        <v>#N/A</v>
      </c>
      <c r="N215" s="1178" t="e">
        <f t="shared" ca="1" si="117"/>
        <v>#N/A</v>
      </c>
      <c r="O215" s="62" t="e">
        <f ca="1">OFFSET('360SpcLdsCSV'!$B$5,$B215,O$51)</f>
        <v>#N/A</v>
      </c>
      <c r="P215" s="64" t="e">
        <f ca="1">OFFSET('360SpcLdsCSV'!$B$5,$B215,P$51)</f>
        <v>#N/A</v>
      </c>
      <c r="Q215" s="84" t="e">
        <f t="shared" ca="1" si="113"/>
        <v>#N/A</v>
      </c>
      <c r="R215" s="64" t="e">
        <f ca="1">OFFSET('360SpcLdsCSV'!$B$5,$B215,R$51)*$P215</f>
        <v>#N/A</v>
      </c>
      <c r="S215" s="64" t="e">
        <f ca="1">OFFSET('360SpcLdsCSV'!$B$5,$B215,S$51)*$R215/1000</f>
        <v>#N/A</v>
      </c>
      <c r="T215" s="84" t="e">
        <f t="shared" ca="1" si="114"/>
        <v>#N/A</v>
      </c>
      <c r="U215" s="64" t="e">
        <f ca="1">OFFSET('360SpcLdsCSV'!$B$5,$B215,U$51)</f>
        <v>#N/A</v>
      </c>
      <c r="V215" s="64" t="e">
        <f ca="1">OFFSET('360SpcLdsCSV'!$B$5,$B215,V$51)*$U215/1000</f>
        <v>#N/A</v>
      </c>
      <c r="W215" s="84" t="e">
        <f t="shared" ca="1" si="115"/>
        <v>#N/A</v>
      </c>
      <c r="X215" s="64" t="e">
        <f ca="1">OFFSET('360SpcLdsCSV'!$B$5,$B215,X$51)*$P215</f>
        <v>#N/A</v>
      </c>
      <c r="Y215" s="64" t="e">
        <f ca="1">OFFSET('360SpcLdsCSV'!$B$5,$B215,Y$51)*$X215/1000</f>
        <v>#N/A</v>
      </c>
      <c r="Z215" s="84" t="e">
        <f t="shared" ca="1" si="116"/>
        <v>#N/A</v>
      </c>
      <c r="AA215" s="64" t="e">
        <f ca="1">OFFSET('360SpcLdsCSV'!$B$5,$B215,AA$51)*$P215</f>
        <v>#N/A</v>
      </c>
      <c r="AB215" s="64" t="e">
        <f ca="1">OFFSET('360SpcLdsCSV'!$B$5,$B215,AB$51)*$AA215/1000</f>
        <v>#N/A</v>
      </c>
      <c r="AC215" s="65" t="e">
        <f ca="1">'Ltg IntTakeoffs'!EZ170</f>
        <v>#N/A</v>
      </c>
      <c r="AD215" s="64" t="e">
        <f t="shared" ca="1" si="110"/>
        <v>#N/A</v>
      </c>
      <c r="AE215" s="558" t="e">
        <f ca="1">'Ltg IntTakeoffs'!FA170*M215</f>
        <v>#N/A</v>
      </c>
      <c r="AF215" s="559" t="e">
        <f ca="1">'Ltg IntTakeoffs'!FB170*M215</f>
        <v>#N/A</v>
      </c>
      <c r="AG215" s="62"/>
      <c r="AH215" s="62"/>
    </row>
    <row r="216" spans="2:34" ht="15" customHeight="1" x14ac:dyDescent="0.2">
      <c r="B216" s="62" t="e">
        <f>MATCH(C216,'360SpcLdsCSV'!$C$6:$C$500,0)</f>
        <v>#N/A</v>
      </c>
      <c r="C216" s="62">
        <f>'360SpcLdsCSV'!C165</f>
        <v>0</v>
      </c>
      <c r="D216" s="62" t="str">
        <f t="shared" si="111"/>
        <v>0</v>
      </c>
      <c r="E216" s="62" t="e">
        <f t="shared" si="108"/>
        <v>#VALUE!</v>
      </c>
      <c r="F216" s="62" t="e">
        <f t="shared" si="109"/>
        <v>#VALUE!</v>
      </c>
      <c r="G216" s="62" t="str">
        <f t="shared" si="112"/>
        <v>0</v>
      </c>
      <c r="H216" s="62" t="e">
        <f ca="1">OFFSET('360SpcLdsCSV'!$B$5,$B216,H$51)</f>
        <v>#N/A</v>
      </c>
      <c r="I216" s="62" t="e">
        <f ca="1">OFFSET('360SpcLdsCSV'!$B$5,$B216,I$51)</f>
        <v>#N/A</v>
      </c>
      <c r="J216" s="62" t="e">
        <f ca="1">OFFSET('360SpcLdsCSV'!$B$5,$B216,J$51)</f>
        <v>#N/A</v>
      </c>
      <c r="K216" s="62" t="e">
        <f ca="1">OFFSET('360SpcLdsCSV'!$B$5,$B216,K$51)</f>
        <v>#N/A</v>
      </c>
      <c r="L216" s="62" t="e">
        <f ca="1">OFFSET('360SpcLdsCSV'!$B$5,$B216,L$51)</f>
        <v>#N/A</v>
      </c>
      <c r="M216" s="1178" t="e">
        <f t="shared" ca="1" si="117"/>
        <v>#N/A</v>
      </c>
      <c r="N216" s="1178" t="e">
        <f t="shared" ca="1" si="117"/>
        <v>#N/A</v>
      </c>
      <c r="O216" s="62" t="e">
        <f ca="1">OFFSET('360SpcLdsCSV'!$B$5,$B216,O$51)</f>
        <v>#N/A</v>
      </c>
      <c r="P216" s="64" t="e">
        <f ca="1">OFFSET('360SpcLdsCSV'!$B$5,$B216,P$51)</f>
        <v>#N/A</v>
      </c>
      <c r="Q216" s="84" t="e">
        <f t="shared" ca="1" si="113"/>
        <v>#N/A</v>
      </c>
      <c r="R216" s="64" t="e">
        <f ca="1">OFFSET('360SpcLdsCSV'!$B$5,$B216,R$51)*$P216</f>
        <v>#N/A</v>
      </c>
      <c r="S216" s="64" t="e">
        <f ca="1">OFFSET('360SpcLdsCSV'!$B$5,$B216,S$51)*$R216/1000</f>
        <v>#N/A</v>
      </c>
      <c r="T216" s="84" t="e">
        <f t="shared" ca="1" si="114"/>
        <v>#N/A</v>
      </c>
      <c r="U216" s="64" t="e">
        <f ca="1">OFFSET('360SpcLdsCSV'!$B$5,$B216,U$51)</f>
        <v>#N/A</v>
      </c>
      <c r="V216" s="64" t="e">
        <f ca="1">OFFSET('360SpcLdsCSV'!$B$5,$B216,V$51)*$U216/1000</f>
        <v>#N/A</v>
      </c>
      <c r="W216" s="84" t="e">
        <f t="shared" ca="1" si="115"/>
        <v>#N/A</v>
      </c>
      <c r="X216" s="64" t="e">
        <f ca="1">OFFSET('360SpcLdsCSV'!$B$5,$B216,X$51)*$P216</f>
        <v>#N/A</v>
      </c>
      <c r="Y216" s="64" t="e">
        <f ca="1">OFFSET('360SpcLdsCSV'!$B$5,$B216,Y$51)*$X216/1000</f>
        <v>#N/A</v>
      </c>
      <c r="Z216" s="84" t="e">
        <f t="shared" ca="1" si="116"/>
        <v>#N/A</v>
      </c>
      <c r="AA216" s="64" t="e">
        <f ca="1">OFFSET('360SpcLdsCSV'!$B$5,$B216,AA$51)*$P216</f>
        <v>#N/A</v>
      </c>
      <c r="AB216" s="64" t="e">
        <f ca="1">OFFSET('360SpcLdsCSV'!$B$5,$B216,AB$51)*$AA216/1000</f>
        <v>#N/A</v>
      </c>
      <c r="AC216" s="65" t="e">
        <f ca="1">'Ltg IntTakeoffs'!EZ171</f>
        <v>#N/A</v>
      </c>
      <c r="AD216" s="64" t="e">
        <f t="shared" ca="1" si="110"/>
        <v>#N/A</v>
      </c>
      <c r="AE216" s="558" t="e">
        <f ca="1">'Ltg IntTakeoffs'!FA171*M216</f>
        <v>#N/A</v>
      </c>
      <c r="AF216" s="559" t="e">
        <f ca="1">'Ltg IntTakeoffs'!FB171*M216</f>
        <v>#N/A</v>
      </c>
      <c r="AG216" s="62"/>
      <c r="AH216" s="62"/>
    </row>
    <row r="217" spans="2:34" ht="15" customHeight="1" x14ac:dyDescent="0.2">
      <c r="B217" s="62" t="e">
        <f>MATCH(C217,'360SpcLdsCSV'!$C$6:$C$500,0)</f>
        <v>#N/A</v>
      </c>
      <c r="C217" s="62">
        <f>'360SpcLdsCSV'!C166</f>
        <v>0</v>
      </c>
      <c r="D217" s="62" t="str">
        <f t="shared" si="111"/>
        <v>0</v>
      </c>
      <c r="E217" s="62" t="e">
        <f t="shared" si="108"/>
        <v>#VALUE!</v>
      </c>
      <c r="F217" s="62" t="e">
        <f t="shared" si="109"/>
        <v>#VALUE!</v>
      </c>
      <c r="G217" s="62" t="str">
        <f t="shared" si="112"/>
        <v>0</v>
      </c>
      <c r="H217" s="62" t="e">
        <f ca="1">OFFSET('360SpcLdsCSV'!$B$5,$B217,H$51)</f>
        <v>#N/A</v>
      </c>
      <c r="I217" s="62" t="e">
        <f ca="1">OFFSET('360SpcLdsCSV'!$B$5,$B217,I$51)</f>
        <v>#N/A</v>
      </c>
      <c r="J217" s="62" t="e">
        <f ca="1">OFFSET('360SpcLdsCSV'!$B$5,$B217,J$51)</f>
        <v>#N/A</v>
      </c>
      <c r="K217" s="62" t="e">
        <f ca="1">OFFSET('360SpcLdsCSV'!$B$5,$B217,K$51)</f>
        <v>#N/A</v>
      </c>
      <c r="L217" s="62" t="e">
        <f ca="1">OFFSET('360SpcLdsCSV'!$B$5,$B217,L$51)</f>
        <v>#N/A</v>
      </c>
      <c r="M217" s="1178" t="e">
        <f t="shared" ca="1" si="117"/>
        <v>#N/A</v>
      </c>
      <c r="N217" s="1178" t="e">
        <f t="shared" ca="1" si="117"/>
        <v>#N/A</v>
      </c>
      <c r="O217" s="62" t="e">
        <f ca="1">OFFSET('360SpcLdsCSV'!$B$5,$B217,O$51)</f>
        <v>#N/A</v>
      </c>
      <c r="P217" s="64" t="e">
        <f ca="1">OFFSET('360SpcLdsCSV'!$B$5,$B217,P$51)</f>
        <v>#N/A</v>
      </c>
      <c r="Q217" s="84" t="e">
        <f t="shared" ca="1" si="113"/>
        <v>#N/A</v>
      </c>
      <c r="R217" s="64" t="e">
        <f ca="1">OFFSET('360SpcLdsCSV'!$B$5,$B217,R$51)*$P217</f>
        <v>#N/A</v>
      </c>
      <c r="S217" s="64" t="e">
        <f ca="1">OFFSET('360SpcLdsCSV'!$B$5,$B217,S$51)*$R217/1000</f>
        <v>#N/A</v>
      </c>
      <c r="T217" s="84" t="e">
        <f t="shared" ca="1" si="114"/>
        <v>#N/A</v>
      </c>
      <c r="U217" s="64" t="e">
        <f ca="1">OFFSET('360SpcLdsCSV'!$B$5,$B217,U$51)</f>
        <v>#N/A</v>
      </c>
      <c r="V217" s="64" t="e">
        <f ca="1">OFFSET('360SpcLdsCSV'!$B$5,$B217,V$51)*$U217/1000</f>
        <v>#N/A</v>
      </c>
      <c r="W217" s="84" t="e">
        <f t="shared" ca="1" si="115"/>
        <v>#N/A</v>
      </c>
      <c r="X217" s="64" t="e">
        <f ca="1">OFFSET('360SpcLdsCSV'!$B$5,$B217,X$51)*$P217</f>
        <v>#N/A</v>
      </c>
      <c r="Y217" s="64" t="e">
        <f ca="1">OFFSET('360SpcLdsCSV'!$B$5,$B217,Y$51)*$X217/1000</f>
        <v>#N/A</v>
      </c>
      <c r="Z217" s="84" t="e">
        <f t="shared" ca="1" si="116"/>
        <v>#N/A</v>
      </c>
      <c r="AA217" s="64" t="e">
        <f ca="1">OFFSET('360SpcLdsCSV'!$B$5,$B217,AA$51)*$P217</f>
        <v>#N/A</v>
      </c>
      <c r="AB217" s="64" t="e">
        <f ca="1">OFFSET('360SpcLdsCSV'!$B$5,$B217,AB$51)*$AA217/1000</f>
        <v>#N/A</v>
      </c>
      <c r="AC217" s="65" t="e">
        <f ca="1">'Ltg IntTakeoffs'!EZ172</f>
        <v>#N/A</v>
      </c>
      <c r="AD217" s="64" t="e">
        <f t="shared" ca="1" si="110"/>
        <v>#N/A</v>
      </c>
      <c r="AE217" s="558" t="e">
        <f ca="1">'Ltg IntTakeoffs'!FA172*M217</f>
        <v>#N/A</v>
      </c>
      <c r="AF217" s="559" t="e">
        <f ca="1">'Ltg IntTakeoffs'!FB172*M217</f>
        <v>#N/A</v>
      </c>
      <c r="AG217" s="62"/>
      <c r="AH217" s="62"/>
    </row>
    <row r="218" spans="2:34" ht="15" customHeight="1" x14ac:dyDescent="0.2">
      <c r="B218" s="62" t="e">
        <f>MATCH(C218,'360SpcLdsCSV'!$C$6:$C$500,0)</f>
        <v>#N/A</v>
      </c>
      <c r="C218" s="62">
        <f>'360SpcLdsCSV'!C167</f>
        <v>0</v>
      </c>
      <c r="D218" s="62" t="str">
        <f t="shared" si="111"/>
        <v>0</v>
      </c>
      <c r="E218" s="62" t="e">
        <f t="shared" si="108"/>
        <v>#VALUE!</v>
      </c>
      <c r="F218" s="62" t="e">
        <f t="shared" si="109"/>
        <v>#VALUE!</v>
      </c>
      <c r="G218" s="62" t="str">
        <f t="shared" si="112"/>
        <v>0</v>
      </c>
      <c r="H218" s="62" t="e">
        <f ca="1">OFFSET('360SpcLdsCSV'!$B$5,$B218,H$51)</f>
        <v>#N/A</v>
      </c>
      <c r="I218" s="62" t="e">
        <f ca="1">OFFSET('360SpcLdsCSV'!$B$5,$B218,I$51)</f>
        <v>#N/A</v>
      </c>
      <c r="J218" s="62" t="e">
        <f ca="1">OFFSET('360SpcLdsCSV'!$B$5,$B218,J$51)</f>
        <v>#N/A</v>
      </c>
      <c r="K218" s="62" t="e">
        <f ca="1">OFFSET('360SpcLdsCSV'!$B$5,$B218,K$51)</f>
        <v>#N/A</v>
      </c>
      <c r="L218" s="62" t="e">
        <f ca="1">OFFSET('360SpcLdsCSV'!$B$5,$B218,L$51)</f>
        <v>#N/A</v>
      </c>
      <c r="M218" s="1178" t="e">
        <f t="shared" ca="1" si="117"/>
        <v>#N/A</v>
      </c>
      <c r="N218" s="1178" t="e">
        <f t="shared" ca="1" si="117"/>
        <v>#N/A</v>
      </c>
      <c r="O218" s="62" t="e">
        <f ca="1">OFFSET('360SpcLdsCSV'!$B$5,$B218,O$51)</f>
        <v>#N/A</v>
      </c>
      <c r="P218" s="64" t="e">
        <f ca="1">OFFSET('360SpcLdsCSV'!$B$5,$B218,P$51)</f>
        <v>#N/A</v>
      </c>
      <c r="Q218" s="84" t="e">
        <f t="shared" ca="1" si="113"/>
        <v>#N/A</v>
      </c>
      <c r="R218" s="64" t="e">
        <f ca="1">OFFSET('360SpcLdsCSV'!$B$5,$B218,R$51)*$P218</f>
        <v>#N/A</v>
      </c>
      <c r="S218" s="64" t="e">
        <f ca="1">OFFSET('360SpcLdsCSV'!$B$5,$B218,S$51)*$R218/1000</f>
        <v>#N/A</v>
      </c>
      <c r="T218" s="84" t="e">
        <f t="shared" ca="1" si="114"/>
        <v>#N/A</v>
      </c>
      <c r="U218" s="64" t="e">
        <f ca="1">OFFSET('360SpcLdsCSV'!$B$5,$B218,U$51)</f>
        <v>#N/A</v>
      </c>
      <c r="V218" s="64" t="e">
        <f ca="1">OFFSET('360SpcLdsCSV'!$B$5,$B218,V$51)*$U218/1000</f>
        <v>#N/A</v>
      </c>
      <c r="W218" s="84" t="e">
        <f t="shared" ca="1" si="115"/>
        <v>#N/A</v>
      </c>
      <c r="X218" s="64" t="e">
        <f ca="1">OFFSET('360SpcLdsCSV'!$B$5,$B218,X$51)*$P218</f>
        <v>#N/A</v>
      </c>
      <c r="Y218" s="64" t="e">
        <f ca="1">OFFSET('360SpcLdsCSV'!$B$5,$B218,Y$51)*$X218/1000</f>
        <v>#N/A</v>
      </c>
      <c r="Z218" s="84" t="e">
        <f t="shared" ca="1" si="116"/>
        <v>#N/A</v>
      </c>
      <c r="AA218" s="64" t="e">
        <f ca="1">OFFSET('360SpcLdsCSV'!$B$5,$B218,AA$51)*$P218</f>
        <v>#N/A</v>
      </c>
      <c r="AB218" s="64" t="e">
        <f ca="1">OFFSET('360SpcLdsCSV'!$B$5,$B218,AB$51)*$AA218/1000</f>
        <v>#N/A</v>
      </c>
      <c r="AC218" s="65" t="e">
        <f ca="1">'Ltg IntTakeoffs'!EZ173</f>
        <v>#N/A</v>
      </c>
      <c r="AD218" s="64" t="e">
        <f t="shared" ca="1" si="110"/>
        <v>#N/A</v>
      </c>
      <c r="AE218" s="558" t="e">
        <f ca="1">'Ltg IntTakeoffs'!FA173*M218</f>
        <v>#N/A</v>
      </c>
      <c r="AF218" s="559" t="e">
        <f ca="1">'Ltg IntTakeoffs'!FB173*M218</f>
        <v>#N/A</v>
      </c>
      <c r="AG218" s="62"/>
      <c r="AH218" s="62"/>
    </row>
    <row r="219" spans="2:34" ht="15" customHeight="1" x14ac:dyDescent="0.2">
      <c r="B219" s="62" t="e">
        <f>MATCH(C219,'360SpcLdsCSV'!$C$6:$C$500,0)</f>
        <v>#N/A</v>
      </c>
      <c r="C219" s="62">
        <f>'360SpcLdsCSV'!C168</f>
        <v>0</v>
      </c>
      <c r="D219" s="62" t="str">
        <f t="shared" si="111"/>
        <v>0</v>
      </c>
      <c r="E219" s="62" t="e">
        <f t="shared" si="108"/>
        <v>#VALUE!</v>
      </c>
      <c r="F219" s="62" t="e">
        <f t="shared" si="109"/>
        <v>#VALUE!</v>
      </c>
      <c r="G219" s="62" t="str">
        <f t="shared" si="112"/>
        <v>0</v>
      </c>
      <c r="H219" s="62" t="e">
        <f ca="1">OFFSET('360SpcLdsCSV'!$B$5,$B219,H$51)</f>
        <v>#N/A</v>
      </c>
      <c r="I219" s="62" t="e">
        <f ca="1">OFFSET('360SpcLdsCSV'!$B$5,$B219,I$51)</f>
        <v>#N/A</v>
      </c>
      <c r="J219" s="62" t="e">
        <f ca="1">OFFSET('360SpcLdsCSV'!$B$5,$B219,J$51)</f>
        <v>#N/A</v>
      </c>
      <c r="K219" s="62" t="e">
        <f ca="1">OFFSET('360SpcLdsCSV'!$B$5,$B219,K$51)</f>
        <v>#N/A</v>
      </c>
      <c r="L219" s="62" t="e">
        <f ca="1">OFFSET('360SpcLdsCSV'!$B$5,$B219,L$51)</f>
        <v>#N/A</v>
      </c>
      <c r="M219" s="1178" t="e">
        <f t="shared" ca="1" si="117"/>
        <v>#N/A</v>
      </c>
      <c r="N219" s="1178" t="e">
        <f t="shared" ca="1" si="117"/>
        <v>#N/A</v>
      </c>
      <c r="O219" s="62" t="e">
        <f ca="1">OFFSET('360SpcLdsCSV'!$B$5,$B219,O$51)</f>
        <v>#N/A</v>
      </c>
      <c r="P219" s="64" t="e">
        <f ca="1">OFFSET('360SpcLdsCSV'!$B$5,$B219,P$51)</f>
        <v>#N/A</v>
      </c>
      <c r="Q219" s="84" t="e">
        <f t="shared" ca="1" si="113"/>
        <v>#N/A</v>
      </c>
      <c r="R219" s="64" t="e">
        <f ca="1">OFFSET('360SpcLdsCSV'!$B$5,$B219,R$51)*$P219</f>
        <v>#N/A</v>
      </c>
      <c r="S219" s="64" t="e">
        <f ca="1">OFFSET('360SpcLdsCSV'!$B$5,$B219,S$51)*$R219/1000</f>
        <v>#N/A</v>
      </c>
      <c r="T219" s="84" t="e">
        <f t="shared" ca="1" si="114"/>
        <v>#N/A</v>
      </c>
      <c r="U219" s="64" t="e">
        <f ca="1">OFFSET('360SpcLdsCSV'!$B$5,$B219,U$51)</f>
        <v>#N/A</v>
      </c>
      <c r="V219" s="64" t="e">
        <f ca="1">OFFSET('360SpcLdsCSV'!$B$5,$B219,V$51)*$U219/1000</f>
        <v>#N/A</v>
      </c>
      <c r="W219" s="84" t="e">
        <f t="shared" ca="1" si="115"/>
        <v>#N/A</v>
      </c>
      <c r="X219" s="64" t="e">
        <f ca="1">OFFSET('360SpcLdsCSV'!$B$5,$B219,X$51)*$P219</f>
        <v>#N/A</v>
      </c>
      <c r="Y219" s="64" t="e">
        <f ca="1">OFFSET('360SpcLdsCSV'!$B$5,$B219,Y$51)*$X219/1000</f>
        <v>#N/A</v>
      </c>
      <c r="Z219" s="84" t="e">
        <f t="shared" ca="1" si="116"/>
        <v>#N/A</v>
      </c>
      <c r="AA219" s="64" t="e">
        <f ca="1">OFFSET('360SpcLdsCSV'!$B$5,$B219,AA$51)*$P219</f>
        <v>#N/A</v>
      </c>
      <c r="AB219" s="64" t="e">
        <f ca="1">OFFSET('360SpcLdsCSV'!$B$5,$B219,AB$51)*$AA219/1000</f>
        <v>#N/A</v>
      </c>
      <c r="AC219" s="65" t="e">
        <f ca="1">'Ltg IntTakeoffs'!EZ174</f>
        <v>#N/A</v>
      </c>
      <c r="AD219" s="64" t="e">
        <f t="shared" ca="1" si="110"/>
        <v>#N/A</v>
      </c>
      <c r="AE219" s="558" t="e">
        <f ca="1">'Ltg IntTakeoffs'!FA174*M219</f>
        <v>#N/A</v>
      </c>
      <c r="AF219" s="559" t="e">
        <f ca="1">'Ltg IntTakeoffs'!FB174*M219</f>
        <v>#N/A</v>
      </c>
      <c r="AG219" s="62"/>
      <c r="AH219" s="62"/>
    </row>
    <row r="220" spans="2:34" ht="15" customHeight="1" x14ac:dyDescent="0.2">
      <c r="B220" s="62" t="e">
        <f>MATCH(C220,'360SpcLdsCSV'!$C$6:$C$500,0)</f>
        <v>#N/A</v>
      </c>
      <c r="C220" s="62">
        <f>'360SpcLdsCSV'!C169</f>
        <v>0</v>
      </c>
      <c r="D220" s="62" t="str">
        <f t="shared" si="111"/>
        <v>0</v>
      </c>
      <c r="E220" s="62" t="e">
        <f t="shared" si="108"/>
        <v>#VALUE!</v>
      </c>
      <c r="F220" s="62" t="e">
        <f t="shared" si="109"/>
        <v>#VALUE!</v>
      </c>
      <c r="G220" s="62" t="str">
        <f t="shared" si="112"/>
        <v>0</v>
      </c>
      <c r="H220" s="62" t="e">
        <f ca="1">OFFSET('360SpcLdsCSV'!$B$5,$B220,H$51)</f>
        <v>#N/A</v>
      </c>
      <c r="I220" s="62" t="e">
        <f ca="1">OFFSET('360SpcLdsCSV'!$B$5,$B220,I$51)</f>
        <v>#N/A</v>
      </c>
      <c r="J220" s="62" t="e">
        <f ca="1">OFFSET('360SpcLdsCSV'!$B$5,$B220,J$51)</f>
        <v>#N/A</v>
      </c>
      <c r="K220" s="62" t="e">
        <f ca="1">OFFSET('360SpcLdsCSV'!$B$5,$B220,K$51)</f>
        <v>#N/A</v>
      </c>
      <c r="L220" s="62" t="e">
        <f ca="1">OFFSET('360SpcLdsCSV'!$B$5,$B220,L$51)</f>
        <v>#N/A</v>
      </c>
      <c r="M220" s="1178" t="e">
        <f t="shared" ca="1" si="117"/>
        <v>#N/A</v>
      </c>
      <c r="N220" s="1178" t="e">
        <f t="shared" ca="1" si="117"/>
        <v>#N/A</v>
      </c>
      <c r="O220" s="62" t="e">
        <f ca="1">OFFSET('360SpcLdsCSV'!$B$5,$B220,O$51)</f>
        <v>#N/A</v>
      </c>
      <c r="P220" s="64" t="e">
        <f ca="1">OFFSET('360SpcLdsCSV'!$B$5,$B220,P$51)</f>
        <v>#N/A</v>
      </c>
      <c r="Q220" s="84" t="e">
        <f t="shared" ca="1" si="113"/>
        <v>#N/A</v>
      </c>
      <c r="R220" s="64" t="e">
        <f ca="1">OFFSET('360SpcLdsCSV'!$B$5,$B220,R$51)*$P220</f>
        <v>#N/A</v>
      </c>
      <c r="S220" s="64" t="e">
        <f ca="1">OFFSET('360SpcLdsCSV'!$B$5,$B220,S$51)*$R220/1000</f>
        <v>#N/A</v>
      </c>
      <c r="T220" s="84" t="e">
        <f t="shared" ca="1" si="114"/>
        <v>#N/A</v>
      </c>
      <c r="U220" s="64" t="e">
        <f ca="1">OFFSET('360SpcLdsCSV'!$B$5,$B220,U$51)</f>
        <v>#N/A</v>
      </c>
      <c r="V220" s="64" t="e">
        <f ca="1">OFFSET('360SpcLdsCSV'!$B$5,$B220,V$51)*$U220/1000</f>
        <v>#N/A</v>
      </c>
      <c r="W220" s="84" t="e">
        <f t="shared" ca="1" si="115"/>
        <v>#N/A</v>
      </c>
      <c r="X220" s="64" t="e">
        <f ca="1">OFFSET('360SpcLdsCSV'!$B$5,$B220,X$51)*$P220</f>
        <v>#N/A</v>
      </c>
      <c r="Y220" s="64" t="e">
        <f ca="1">OFFSET('360SpcLdsCSV'!$B$5,$B220,Y$51)*$X220/1000</f>
        <v>#N/A</v>
      </c>
      <c r="Z220" s="84" t="e">
        <f t="shared" ca="1" si="116"/>
        <v>#N/A</v>
      </c>
      <c r="AA220" s="64" t="e">
        <f ca="1">OFFSET('360SpcLdsCSV'!$B$5,$B220,AA$51)*$P220</f>
        <v>#N/A</v>
      </c>
      <c r="AB220" s="64" t="e">
        <f ca="1">OFFSET('360SpcLdsCSV'!$B$5,$B220,AB$51)*$AA220/1000</f>
        <v>#N/A</v>
      </c>
      <c r="AC220" s="65" t="e">
        <f ca="1">'Ltg IntTakeoffs'!EZ175</f>
        <v>#N/A</v>
      </c>
      <c r="AD220" s="64" t="e">
        <f t="shared" ca="1" si="110"/>
        <v>#N/A</v>
      </c>
      <c r="AE220" s="558" t="e">
        <f ca="1">'Ltg IntTakeoffs'!FA175*M220</f>
        <v>#N/A</v>
      </c>
      <c r="AF220" s="559" t="e">
        <f ca="1">'Ltg IntTakeoffs'!FB175*M220</f>
        <v>#N/A</v>
      </c>
      <c r="AG220" s="62"/>
      <c r="AH220" s="62"/>
    </row>
    <row r="221" spans="2:34" ht="15" customHeight="1" x14ac:dyDescent="0.2">
      <c r="B221" s="62" t="e">
        <f>MATCH(C221,'360SpcLdsCSV'!$C$6:$C$500,0)</f>
        <v>#N/A</v>
      </c>
      <c r="C221" s="62">
        <f>'360SpcLdsCSV'!C170</f>
        <v>0</v>
      </c>
      <c r="D221" s="62" t="str">
        <f t="shared" si="111"/>
        <v>0</v>
      </c>
      <c r="E221" s="62" t="e">
        <f t="shared" si="108"/>
        <v>#VALUE!</v>
      </c>
      <c r="F221" s="62" t="e">
        <f t="shared" si="109"/>
        <v>#VALUE!</v>
      </c>
      <c r="G221" s="62" t="str">
        <f t="shared" si="112"/>
        <v>0</v>
      </c>
      <c r="H221" s="62" t="e">
        <f ca="1">OFFSET('360SpcLdsCSV'!$B$5,$B221,H$51)</f>
        <v>#N/A</v>
      </c>
      <c r="I221" s="62" t="e">
        <f ca="1">OFFSET('360SpcLdsCSV'!$B$5,$B221,I$51)</f>
        <v>#N/A</v>
      </c>
      <c r="J221" s="62" t="e">
        <f ca="1">OFFSET('360SpcLdsCSV'!$B$5,$B221,J$51)</f>
        <v>#N/A</v>
      </c>
      <c r="K221" s="62" t="e">
        <f ca="1">OFFSET('360SpcLdsCSV'!$B$5,$B221,K$51)</f>
        <v>#N/A</v>
      </c>
      <c r="L221" s="62" t="e">
        <f ca="1">OFFSET('360SpcLdsCSV'!$B$5,$B221,L$51)</f>
        <v>#N/A</v>
      </c>
      <c r="M221" s="1178" t="e">
        <f t="shared" ca="1" si="117"/>
        <v>#N/A</v>
      </c>
      <c r="N221" s="1178" t="e">
        <f t="shared" ca="1" si="117"/>
        <v>#N/A</v>
      </c>
      <c r="O221" s="62" t="e">
        <f ca="1">OFFSET('360SpcLdsCSV'!$B$5,$B221,O$51)</f>
        <v>#N/A</v>
      </c>
      <c r="P221" s="64" t="e">
        <f ca="1">OFFSET('360SpcLdsCSV'!$B$5,$B221,P$51)</f>
        <v>#N/A</v>
      </c>
      <c r="Q221" s="84" t="e">
        <f t="shared" ca="1" si="113"/>
        <v>#N/A</v>
      </c>
      <c r="R221" s="64" t="e">
        <f ca="1">OFFSET('360SpcLdsCSV'!$B$5,$B221,R$51)*$P221</f>
        <v>#N/A</v>
      </c>
      <c r="S221" s="64" t="e">
        <f ca="1">OFFSET('360SpcLdsCSV'!$B$5,$B221,S$51)*$R221/1000</f>
        <v>#N/A</v>
      </c>
      <c r="T221" s="84" t="e">
        <f t="shared" ca="1" si="114"/>
        <v>#N/A</v>
      </c>
      <c r="U221" s="64" t="e">
        <f ca="1">OFFSET('360SpcLdsCSV'!$B$5,$B221,U$51)</f>
        <v>#N/A</v>
      </c>
      <c r="V221" s="64" t="e">
        <f ca="1">OFFSET('360SpcLdsCSV'!$B$5,$B221,V$51)*$U221/1000</f>
        <v>#N/A</v>
      </c>
      <c r="W221" s="84" t="e">
        <f t="shared" ca="1" si="115"/>
        <v>#N/A</v>
      </c>
      <c r="X221" s="64" t="e">
        <f ca="1">OFFSET('360SpcLdsCSV'!$B$5,$B221,X$51)*$P221</f>
        <v>#N/A</v>
      </c>
      <c r="Y221" s="64" t="e">
        <f ca="1">OFFSET('360SpcLdsCSV'!$B$5,$B221,Y$51)*$X221/1000</f>
        <v>#N/A</v>
      </c>
      <c r="Z221" s="84" t="e">
        <f t="shared" ca="1" si="116"/>
        <v>#N/A</v>
      </c>
      <c r="AA221" s="64" t="e">
        <f ca="1">OFFSET('360SpcLdsCSV'!$B$5,$B221,AA$51)*$P221</f>
        <v>#N/A</v>
      </c>
      <c r="AB221" s="64" t="e">
        <f ca="1">OFFSET('360SpcLdsCSV'!$B$5,$B221,AB$51)*$AA221/1000</f>
        <v>#N/A</v>
      </c>
      <c r="AC221" s="65" t="e">
        <f ca="1">'Ltg IntTakeoffs'!EZ176</f>
        <v>#N/A</v>
      </c>
      <c r="AD221" s="64" t="e">
        <f t="shared" ca="1" si="110"/>
        <v>#N/A</v>
      </c>
      <c r="AE221" s="558" t="e">
        <f ca="1">'Ltg IntTakeoffs'!FA176*M221</f>
        <v>#N/A</v>
      </c>
      <c r="AF221" s="559" t="e">
        <f ca="1">'Ltg IntTakeoffs'!FB176*M221</f>
        <v>#N/A</v>
      </c>
      <c r="AG221" s="62"/>
      <c r="AH221" s="62"/>
    </row>
    <row r="222" spans="2:34" ht="15" customHeight="1" x14ac:dyDescent="0.2">
      <c r="B222" s="62" t="e">
        <f>MATCH(C222,'360SpcLdsCSV'!$C$6:$C$500,0)</f>
        <v>#N/A</v>
      </c>
      <c r="C222" s="62">
        <f>'360SpcLdsCSV'!C171</f>
        <v>0</v>
      </c>
      <c r="D222" s="62" t="str">
        <f t="shared" si="111"/>
        <v>0</v>
      </c>
      <c r="E222" s="62" t="e">
        <f t="shared" si="108"/>
        <v>#VALUE!</v>
      </c>
      <c r="F222" s="62" t="e">
        <f t="shared" si="109"/>
        <v>#VALUE!</v>
      </c>
      <c r="G222" s="62" t="str">
        <f t="shared" si="112"/>
        <v>0</v>
      </c>
      <c r="H222" s="62" t="e">
        <f ca="1">OFFSET('360SpcLdsCSV'!$B$5,$B222,H$51)</f>
        <v>#N/A</v>
      </c>
      <c r="I222" s="62" t="e">
        <f ca="1">OFFSET('360SpcLdsCSV'!$B$5,$B222,I$51)</f>
        <v>#N/A</v>
      </c>
      <c r="J222" s="62" t="e">
        <f ca="1">OFFSET('360SpcLdsCSV'!$B$5,$B222,J$51)</f>
        <v>#N/A</v>
      </c>
      <c r="K222" s="62" t="e">
        <f ca="1">OFFSET('360SpcLdsCSV'!$B$5,$B222,K$51)</f>
        <v>#N/A</v>
      </c>
      <c r="L222" s="62" t="e">
        <f ca="1">OFFSET('360SpcLdsCSV'!$B$5,$B222,L$51)</f>
        <v>#N/A</v>
      </c>
      <c r="M222" s="1178" t="e">
        <f t="shared" ca="1" si="117"/>
        <v>#N/A</v>
      </c>
      <c r="N222" s="1178" t="e">
        <f t="shared" ca="1" si="117"/>
        <v>#N/A</v>
      </c>
      <c r="O222" s="62" t="e">
        <f ca="1">OFFSET('360SpcLdsCSV'!$B$5,$B222,O$51)</f>
        <v>#N/A</v>
      </c>
      <c r="P222" s="64" t="e">
        <f ca="1">OFFSET('360SpcLdsCSV'!$B$5,$B222,P$51)</f>
        <v>#N/A</v>
      </c>
      <c r="Q222" s="84" t="e">
        <f t="shared" ca="1" si="113"/>
        <v>#N/A</v>
      </c>
      <c r="R222" s="64" t="e">
        <f ca="1">OFFSET('360SpcLdsCSV'!$B$5,$B222,R$51)*$P222</f>
        <v>#N/A</v>
      </c>
      <c r="S222" s="64" t="e">
        <f ca="1">OFFSET('360SpcLdsCSV'!$B$5,$B222,S$51)*$R222/1000</f>
        <v>#N/A</v>
      </c>
      <c r="T222" s="84" t="e">
        <f t="shared" ca="1" si="114"/>
        <v>#N/A</v>
      </c>
      <c r="U222" s="64" t="e">
        <f ca="1">OFFSET('360SpcLdsCSV'!$B$5,$B222,U$51)</f>
        <v>#N/A</v>
      </c>
      <c r="V222" s="64" t="e">
        <f ca="1">OFFSET('360SpcLdsCSV'!$B$5,$B222,V$51)*$U222/1000</f>
        <v>#N/A</v>
      </c>
      <c r="W222" s="84" t="e">
        <f t="shared" ca="1" si="115"/>
        <v>#N/A</v>
      </c>
      <c r="X222" s="64" t="e">
        <f ca="1">OFFSET('360SpcLdsCSV'!$B$5,$B222,X$51)*$P222</f>
        <v>#N/A</v>
      </c>
      <c r="Y222" s="64" t="e">
        <f ca="1">OFFSET('360SpcLdsCSV'!$B$5,$B222,Y$51)*$X222/1000</f>
        <v>#N/A</v>
      </c>
      <c r="Z222" s="84" t="e">
        <f t="shared" ca="1" si="116"/>
        <v>#N/A</v>
      </c>
      <c r="AA222" s="64" t="e">
        <f ca="1">OFFSET('360SpcLdsCSV'!$B$5,$B222,AA$51)*$P222</f>
        <v>#N/A</v>
      </c>
      <c r="AB222" s="64" t="e">
        <f ca="1">OFFSET('360SpcLdsCSV'!$B$5,$B222,AB$51)*$AA222/1000</f>
        <v>#N/A</v>
      </c>
      <c r="AC222" s="65" t="e">
        <f ca="1">'Ltg IntTakeoffs'!EZ177</f>
        <v>#N/A</v>
      </c>
      <c r="AD222" s="64" t="e">
        <f t="shared" ca="1" si="110"/>
        <v>#N/A</v>
      </c>
      <c r="AE222" s="558" t="e">
        <f ca="1">'Ltg IntTakeoffs'!FA177*M222</f>
        <v>#N/A</v>
      </c>
      <c r="AF222" s="559" t="e">
        <f ca="1">'Ltg IntTakeoffs'!FB177*M222</f>
        <v>#N/A</v>
      </c>
      <c r="AG222" s="62"/>
      <c r="AH222" s="62"/>
    </row>
    <row r="223" spans="2:34" ht="15" customHeight="1" x14ac:dyDescent="0.2">
      <c r="B223" s="62" t="e">
        <f>MATCH(C223,'360SpcLdsCSV'!$C$6:$C$500,0)</f>
        <v>#N/A</v>
      </c>
      <c r="C223" s="62">
        <f>'360SpcLdsCSV'!C172</f>
        <v>0</v>
      </c>
      <c r="D223" s="62" t="str">
        <f t="shared" si="111"/>
        <v>0</v>
      </c>
      <c r="E223" s="62" t="e">
        <f t="shared" si="108"/>
        <v>#VALUE!</v>
      </c>
      <c r="F223" s="62" t="e">
        <f t="shared" si="109"/>
        <v>#VALUE!</v>
      </c>
      <c r="G223" s="62" t="str">
        <f t="shared" si="112"/>
        <v>0</v>
      </c>
      <c r="H223" s="62" t="e">
        <f ca="1">OFFSET('360SpcLdsCSV'!$B$5,$B223,H$51)</f>
        <v>#N/A</v>
      </c>
      <c r="I223" s="62" t="e">
        <f ca="1">OFFSET('360SpcLdsCSV'!$B$5,$B223,I$51)</f>
        <v>#N/A</v>
      </c>
      <c r="J223" s="62" t="e">
        <f ca="1">OFFSET('360SpcLdsCSV'!$B$5,$B223,J$51)</f>
        <v>#N/A</v>
      </c>
      <c r="K223" s="62" t="e">
        <f ca="1">OFFSET('360SpcLdsCSV'!$B$5,$B223,K$51)</f>
        <v>#N/A</v>
      </c>
      <c r="L223" s="62" t="e">
        <f ca="1">OFFSET('360SpcLdsCSV'!$B$5,$B223,L$51)</f>
        <v>#N/A</v>
      </c>
      <c r="M223" s="1178" t="e">
        <f t="shared" ca="1" si="117"/>
        <v>#N/A</v>
      </c>
      <c r="N223" s="1178" t="e">
        <f t="shared" ca="1" si="117"/>
        <v>#N/A</v>
      </c>
      <c r="O223" s="62" t="e">
        <f ca="1">OFFSET('360SpcLdsCSV'!$B$5,$B223,O$51)</f>
        <v>#N/A</v>
      </c>
      <c r="P223" s="64" t="e">
        <f ca="1">OFFSET('360SpcLdsCSV'!$B$5,$B223,P$51)</f>
        <v>#N/A</v>
      </c>
      <c r="Q223" s="84" t="e">
        <f t="shared" ca="1" si="113"/>
        <v>#N/A</v>
      </c>
      <c r="R223" s="64" t="e">
        <f ca="1">OFFSET('360SpcLdsCSV'!$B$5,$B223,R$51)*$P223</f>
        <v>#N/A</v>
      </c>
      <c r="S223" s="64" t="e">
        <f ca="1">OFFSET('360SpcLdsCSV'!$B$5,$B223,S$51)*$R223/1000</f>
        <v>#N/A</v>
      </c>
      <c r="T223" s="84" t="e">
        <f t="shared" ca="1" si="114"/>
        <v>#N/A</v>
      </c>
      <c r="U223" s="64" t="e">
        <f ca="1">OFFSET('360SpcLdsCSV'!$B$5,$B223,U$51)</f>
        <v>#N/A</v>
      </c>
      <c r="V223" s="64" t="e">
        <f ca="1">OFFSET('360SpcLdsCSV'!$B$5,$B223,V$51)*$U223/1000</f>
        <v>#N/A</v>
      </c>
      <c r="W223" s="84" t="e">
        <f t="shared" ca="1" si="115"/>
        <v>#N/A</v>
      </c>
      <c r="X223" s="64" t="e">
        <f ca="1">OFFSET('360SpcLdsCSV'!$B$5,$B223,X$51)*$P223</f>
        <v>#N/A</v>
      </c>
      <c r="Y223" s="64" t="e">
        <f ca="1">OFFSET('360SpcLdsCSV'!$B$5,$B223,Y$51)*$X223/1000</f>
        <v>#N/A</v>
      </c>
      <c r="Z223" s="84" t="e">
        <f t="shared" ca="1" si="116"/>
        <v>#N/A</v>
      </c>
      <c r="AA223" s="64" t="e">
        <f ca="1">OFFSET('360SpcLdsCSV'!$B$5,$B223,AA$51)*$P223</f>
        <v>#N/A</v>
      </c>
      <c r="AB223" s="64" t="e">
        <f ca="1">OFFSET('360SpcLdsCSV'!$B$5,$B223,AB$51)*$AA223/1000</f>
        <v>#N/A</v>
      </c>
      <c r="AC223" s="65" t="e">
        <f ca="1">'Ltg IntTakeoffs'!EZ178</f>
        <v>#N/A</v>
      </c>
      <c r="AD223" s="64" t="e">
        <f t="shared" ca="1" si="110"/>
        <v>#N/A</v>
      </c>
      <c r="AE223" s="558" t="e">
        <f ca="1">'Ltg IntTakeoffs'!FA178*M223</f>
        <v>#N/A</v>
      </c>
      <c r="AF223" s="559" t="e">
        <f ca="1">'Ltg IntTakeoffs'!FB178*M223</f>
        <v>#N/A</v>
      </c>
      <c r="AG223" s="62"/>
      <c r="AH223" s="62"/>
    </row>
    <row r="224" spans="2:34" ht="15" customHeight="1" x14ac:dyDescent="0.2">
      <c r="B224" s="62" t="e">
        <f>MATCH(C224,'360SpcLdsCSV'!$C$6:$C$500,0)</f>
        <v>#N/A</v>
      </c>
      <c r="C224" s="62">
        <f>'360SpcLdsCSV'!C173</f>
        <v>0</v>
      </c>
      <c r="D224" s="62" t="str">
        <f t="shared" si="111"/>
        <v>0</v>
      </c>
      <c r="E224" s="62" t="e">
        <f t="shared" si="108"/>
        <v>#VALUE!</v>
      </c>
      <c r="F224" s="62" t="e">
        <f t="shared" si="109"/>
        <v>#VALUE!</v>
      </c>
      <c r="G224" s="62" t="str">
        <f t="shared" si="112"/>
        <v>0</v>
      </c>
      <c r="H224" s="62" t="e">
        <f ca="1">OFFSET('360SpcLdsCSV'!$B$5,$B224,H$51)</f>
        <v>#N/A</v>
      </c>
      <c r="I224" s="62" t="e">
        <f ca="1">OFFSET('360SpcLdsCSV'!$B$5,$B224,I$51)</f>
        <v>#N/A</v>
      </c>
      <c r="J224" s="62" t="e">
        <f ca="1">OFFSET('360SpcLdsCSV'!$B$5,$B224,J$51)</f>
        <v>#N/A</v>
      </c>
      <c r="K224" s="62" t="e">
        <f ca="1">OFFSET('360SpcLdsCSV'!$B$5,$B224,K$51)</f>
        <v>#N/A</v>
      </c>
      <c r="L224" s="62" t="e">
        <f ca="1">OFFSET('360SpcLdsCSV'!$B$5,$B224,L$51)</f>
        <v>#N/A</v>
      </c>
      <c r="M224" s="1178" t="e">
        <f t="shared" ca="1" si="117"/>
        <v>#N/A</v>
      </c>
      <c r="N224" s="1178" t="e">
        <f t="shared" ca="1" si="117"/>
        <v>#N/A</v>
      </c>
      <c r="O224" s="62" t="e">
        <f ca="1">OFFSET('360SpcLdsCSV'!$B$5,$B224,O$51)</f>
        <v>#N/A</v>
      </c>
      <c r="P224" s="64" t="e">
        <f ca="1">OFFSET('360SpcLdsCSV'!$B$5,$B224,P$51)</f>
        <v>#N/A</v>
      </c>
      <c r="Q224" s="84" t="e">
        <f t="shared" ca="1" si="113"/>
        <v>#N/A</v>
      </c>
      <c r="R224" s="64" t="e">
        <f ca="1">OFFSET('360SpcLdsCSV'!$B$5,$B224,R$51)*$P224</f>
        <v>#N/A</v>
      </c>
      <c r="S224" s="64" t="e">
        <f ca="1">OFFSET('360SpcLdsCSV'!$B$5,$B224,S$51)*$R224/1000</f>
        <v>#N/A</v>
      </c>
      <c r="T224" s="84" t="e">
        <f t="shared" ca="1" si="114"/>
        <v>#N/A</v>
      </c>
      <c r="U224" s="64" t="e">
        <f ca="1">OFFSET('360SpcLdsCSV'!$B$5,$B224,U$51)</f>
        <v>#N/A</v>
      </c>
      <c r="V224" s="64" t="e">
        <f ca="1">OFFSET('360SpcLdsCSV'!$B$5,$B224,V$51)*$U224/1000</f>
        <v>#N/A</v>
      </c>
      <c r="W224" s="84" t="e">
        <f t="shared" ca="1" si="115"/>
        <v>#N/A</v>
      </c>
      <c r="X224" s="64" t="e">
        <f ca="1">OFFSET('360SpcLdsCSV'!$B$5,$B224,X$51)*$P224</f>
        <v>#N/A</v>
      </c>
      <c r="Y224" s="64" t="e">
        <f ca="1">OFFSET('360SpcLdsCSV'!$B$5,$B224,Y$51)*$X224/1000</f>
        <v>#N/A</v>
      </c>
      <c r="Z224" s="84" t="e">
        <f t="shared" ca="1" si="116"/>
        <v>#N/A</v>
      </c>
      <c r="AA224" s="64" t="e">
        <f ca="1">OFFSET('360SpcLdsCSV'!$B$5,$B224,AA$51)*$P224</f>
        <v>#N/A</v>
      </c>
      <c r="AB224" s="64" t="e">
        <f ca="1">OFFSET('360SpcLdsCSV'!$B$5,$B224,AB$51)*$AA224/1000</f>
        <v>#N/A</v>
      </c>
      <c r="AC224" s="65" t="e">
        <f ca="1">'Ltg IntTakeoffs'!EZ179</f>
        <v>#N/A</v>
      </c>
      <c r="AD224" s="64" t="e">
        <f t="shared" ca="1" si="110"/>
        <v>#N/A</v>
      </c>
      <c r="AE224" s="558" t="e">
        <f ca="1">'Ltg IntTakeoffs'!FA179*M224</f>
        <v>#N/A</v>
      </c>
      <c r="AF224" s="559" t="e">
        <f ca="1">'Ltg IntTakeoffs'!FB179*M224</f>
        <v>#N/A</v>
      </c>
      <c r="AG224" s="62"/>
      <c r="AH224" s="62"/>
    </row>
    <row r="225" spans="2:34" ht="15" customHeight="1" x14ac:dyDescent="0.2">
      <c r="B225" s="62" t="e">
        <f>MATCH(C225,'360SpcLdsCSV'!$C$6:$C$500,0)</f>
        <v>#N/A</v>
      </c>
      <c r="C225" s="62">
        <f>'360SpcLdsCSV'!C174</f>
        <v>0</v>
      </c>
      <c r="D225" s="62" t="str">
        <f t="shared" si="111"/>
        <v>0</v>
      </c>
      <c r="E225" s="62" t="e">
        <f t="shared" si="108"/>
        <v>#VALUE!</v>
      </c>
      <c r="F225" s="62" t="e">
        <f t="shared" si="109"/>
        <v>#VALUE!</v>
      </c>
      <c r="G225" s="62" t="str">
        <f t="shared" si="112"/>
        <v>0</v>
      </c>
      <c r="H225" s="62" t="e">
        <f ca="1">OFFSET('360SpcLdsCSV'!$B$5,$B225,H$51)</f>
        <v>#N/A</v>
      </c>
      <c r="I225" s="62" t="e">
        <f ca="1">OFFSET('360SpcLdsCSV'!$B$5,$B225,I$51)</f>
        <v>#N/A</v>
      </c>
      <c r="J225" s="62" t="e">
        <f ca="1">OFFSET('360SpcLdsCSV'!$B$5,$B225,J$51)</f>
        <v>#N/A</v>
      </c>
      <c r="K225" s="62" t="e">
        <f ca="1">OFFSET('360SpcLdsCSV'!$B$5,$B225,K$51)</f>
        <v>#N/A</v>
      </c>
      <c r="L225" s="62" t="e">
        <f ca="1">OFFSET('360SpcLdsCSV'!$B$5,$B225,L$51)</f>
        <v>#N/A</v>
      </c>
      <c r="M225" s="1178" t="e">
        <f t="shared" ca="1" si="117"/>
        <v>#N/A</v>
      </c>
      <c r="N225" s="1178" t="e">
        <f t="shared" ca="1" si="117"/>
        <v>#N/A</v>
      </c>
      <c r="O225" s="62" t="e">
        <f ca="1">OFFSET('360SpcLdsCSV'!$B$5,$B225,O$51)</f>
        <v>#N/A</v>
      </c>
      <c r="P225" s="64" t="e">
        <f ca="1">OFFSET('360SpcLdsCSV'!$B$5,$B225,P$51)</f>
        <v>#N/A</v>
      </c>
      <c r="Q225" s="84" t="e">
        <f t="shared" ca="1" si="113"/>
        <v>#N/A</v>
      </c>
      <c r="R225" s="64" t="e">
        <f ca="1">OFFSET('360SpcLdsCSV'!$B$5,$B225,R$51)*$P225</f>
        <v>#N/A</v>
      </c>
      <c r="S225" s="64" t="e">
        <f ca="1">OFFSET('360SpcLdsCSV'!$B$5,$B225,S$51)*$R225/1000</f>
        <v>#N/A</v>
      </c>
      <c r="T225" s="84" t="e">
        <f t="shared" ca="1" si="114"/>
        <v>#N/A</v>
      </c>
      <c r="U225" s="64" t="e">
        <f ca="1">OFFSET('360SpcLdsCSV'!$B$5,$B225,U$51)</f>
        <v>#N/A</v>
      </c>
      <c r="V225" s="64" t="e">
        <f ca="1">OFFSET('360SpcLdsCSV'!$B$5,$B225,V$51)*$U225/1000</f>
        <v>#N/A</v>
      </c>
      <c r="W225" s="84" t="e">
        <f t="shared" ca="1" si="115"/>
        <v>#N/A</v>
      </c>
      <c r="X225" s="64" t="e">
        <f ca="1">OFFSET('360SpcLdsCSV'!$B$5,$B225,X$51)*$P225</f>
        <v>#N/A</v>
      </c>
      <c r="Y225" s="64" t="e">
        <f ca="1">OFFSET('360SpcLdsCSV'!$B$5,$B225,Y$51)*$X225/1000</f>
        <v>#N/A</v>
      </c>
      <c r="Z225" s="84" t="e">
        <f t="shared" ca="1" si="116"/>
        <v>#N/A</v>
      </c>
      <c r="AA225" s="64" t="e">
        <f ca="1">OFFSET('360SpcLdsCSV'!$B$5,$B225,AA$51)*$P225</f>
        <v>#N/A</v>
      </c>
      <c r="AB225" s="64" t="e">
        <f ca="1">OFFSET('360SpcLdsCSV'!$B$5,$B225,AB$51)*$AA225/1000</f>
        <v>#N/A</v>
      </c>
      <c r="AC225" s="65" t="e">
        <f ca="1">'Ltg IntTakeoffs'!EZ180</f>
        <v>#N/A</v>
      </c>
      <c r="AD225" s="64" t="e">
        <f t="shared" ca="1" si="110"/>
        <v>#N/A</v>
      </c>
      <c r="AE225" s="558" t="e">
        <f ca="1">'Ltg IntTakeoffs'!FA180*M225</f>
        <v>#N/A</v>
      </c>
      <c r="AF225" s="559" t="e">
        <f ca="1">'Ltg IntTakeoffs'!FB180*M225</f>
        <v>#N/A</v>
      </c>
      <c r="AG225" s="62"/>
      <c r="AH225" s="62"/>
    </row>
    <row r="226" spans="2:34" ht="15" customHeight="1" x14ac:dyDescent="0.2">
      <c r="B226" s="62" t="e">
        <f>MATCH(C226,'360SpcLdsCSV'!$C$6:$C$500,0)</f>
        <v>#N/A</v>
      </c>
      <c r="C226" s="62">
        <f>'360SpcLdsCSV'!C175</f>
        <v>0</v>
      </c>
      <c r="D226" s="62" t="str">
        <f t="shared" si="111"/>
        <v>0</v>
      </c>
      <c r="E226" s="62" t="e">
        <f t="shared" si="108"/>
        <v>#VALUE!</v>
      </c>
      <c r="F226" s="62" t="e">
        <f t="shared" si="109"/>
        <v>#VALUE!</v>
      </c>
      <c r="G226" s="62" t="str">
        <f t="shared" si="112"/>
        <v>0</v>
      </c>
      <c r="H226" s="62" t="e">
        <f ca="1">OFFSET('360SpcLdsCSV'!$B$5,$B226,H$51)</f>
        <v>#N/A</v>
      </c>
      <c r="I226" s="62" t="e">
        <f ca="1">OFFSET('360SpcLdsCSV'!$B$5,$B226,I$51)</f>
        <v>#N/A</v>
      </c>
      <c r="J226" s="62" t="e">
        <f ca="1">OFFSET('360SpcLdsCSV'!$B$5,$B226,J$51)</f>
        <v>#N/A</v>
      </c>
      <c r="K226" s="62" t="e">
        <f ca="1">OFFSET('360SpcLdsCSV'!$B$5,$B226,K$51)</f>
        <v>#N/A</v>
      </c>
      <c r="L226" s="62" t="e">
        <f ca="1">OFFSET('360SpcLdsCSV'!$B$5,$B226,L$51)</f>
        <v>#N/A</v>
      </c>
      <c r="M226" s="1178" t="e">
        <f t="shared" ca="1" si="117"/>
        <v>#N/A</v>
      </c>
      <c r="N226" s="1178" t="e">
        <f t="shared" ca="1" si="117"/>
        <v>#N/A</v>
      </c>
      <c r="O226" s="62" t="e">
        <f ca="1">OFFSET('360SpcLdsCSV'!$B$5,$B226,O$51)</f>
        <v>#N/A</v>
      </c>
      <c r="P226" s="64" t="e">
        <f ca="1">OFFSET('360SpcLdsCSV'!$B$5,$B226,P$51)</f>
        <v>#N/A</v>
      </c>
      <c r="Q226" s="84" t="e">
        <f t="shared" ca="1" si="113"/>
        <v>#N/A</v>
      </c>
      <c r="R226" s="64" t="e">
        <f ca="1">OFFSET('360SpcLdsCSV'!$B$5,$B226,R$51)*$P226</f>
        <v>#N/A</v>
      </c>
      <c r="S226" s="64" t="e">
        <f ca="1">OFFSET('360SpcLdsCSV'!$B$5,$B226,S$51)*$R226/1000</f>
        <v>#N/A</v>
      </c>
      <c r="T226" s="84" t="e">
        <f t="shared" ca="1" si="114"/>
        <v>#N/A</v>
      </c>
      <c r="U226" s="64" t="e">
        <f ca="1">OFFSET('360SpcLdsCSV'!$B$5,$B226,U$51)</f>
        <v>#N/A</v>
      </c>
      <c r="V226" s="64" t="e">
        <f ca="1">OFFSET('360SpcLdsCSV'!$B$5,$B226,V$51)*$U226/1000</f>
        <v>#N/A</v>
      </c>
      <c r="W226" s="84" t="e">
        <f t="shared" ca="1" si="115"/>
        <v>#N/A</v>
      </c>
      <c r="X226" s="64" t="e">
        <f ca="1">OFFSET('360SpcLdsCSV'!$B$5,$B226,X$51)*$P226</f>
        <v>#N/A</v>
      </c>
      <c r="Y226" s="64" t="e">
        <f ca="1">OFFSET('360SpcLdsCSV'!$B$5,$B226,Y$51)*$X226/1000</f>
        <v>#N/A</v>
      </c>
      <c r="Z226" s="84" t="e">
        <f t="shared" ca="1" si="116"/>
        <v>#N/A</v>
      </c>
      <c r="AA226" s="64" t="e">
        <f ca="1">OFFSET('360SpcLdsCSV'!$B$5,$B226,AA$51)*$P226</f>
        <v>#N/A</v>
      </c>
      <c r="AB226" s="64" t="e">
        <f ca="1">OFFSET('360SpcLdsCSV'!$B$5,$B226,AB$51)*$AA226/1000</f>
        <v>#N/A</v>
      </c>
      <c r="AC226" s="65" t="e">
        <f ca="1">'Ltg IntTakeoffs'!EZ181</f>
        <v>#N/A</v>
      </c>
      <c r="AD226" s="64" t="e">
        <f t="shared" ca="1" si="110"/>
        <v>#N/A</v>
      </c>
      <c r="AE226" s="558" t="e">
        <f ca="1">'Ltg IntTakeoffs'!FA181*M226</f>
        <v>#N/A</v>
      </c>
      <c r="AF226" s="559" t="e">
        <f ca="1">'Ltg IntTakeoffs'!FB181*M226</f>
        <v>#N/A</v>
      </c>
      <c r="AG226" s="62"/>
      <c r="AH226" s="62"/>
    </row>
    <row r="227" spans="2:34" ht="15" customHeight="1" x14ac:dyDescent="0.2">
      <c r="B227" s="62" t="e">
        <f>MATCH(C227,'360SpcLdsCSV'!$C$6:$C$500,0)</f>
        <v>#N/A</v>
      </c>
      <c r="C227" s="62">
        <f>'360SpcLdsCSV'!C176</f>
        <v>0</v>
      </c>
      <c r="D227" s="62" t="str">
        <f t="shared" si="111"/>
        <v>0</v>
      </c>
      <c r="E227" s="62" t="e">
        <f t="shared" si="108"/>
        <v>#VALUE!</v>
      </c>
      <c r="F227" s="62" t="e">
        <f t="shared" si="109"/>
        <v>#VALUE!</v>
      </c>
      <c r="G227" s="62" t="str">
        <f t="shared" si="112"/>
        <v>0</v>
      </c>
      <c r="H227" s="62" t="e">
        <f ca="1">OFFSET('360SpcLdsCSV'!$B$5,$B227,H$51)</f>
        <v>#N/A</v>
      </c>
      <c r="I227" s="62" t="e">
        <f ca="1">OFFSET('360SpcLdsCSV'!$B$5,$B227,I$51)</f>
        <v>#N/A</v>
      </c>
      <c r="J227" s="62" t="e">
        <f ca="1">OFFSET('360SpcLdsCSV'!$B$5,$B227,J$51)</f>
        <v>#N/A</v>
      </c>
      <c r="K227" s="62" t="e">
        <f ca="1">OFFSET('360SpcLdsCSV'!$B$5,$B227,K$51)</f>
        <v>#N/A</v>
      </c>
      <c r="L227" s="62" t="e">
        <f ca="1">OFFSET('360SpcLdsCSV'!$B$5,$B227,L$51)</f>
        <v>#N/A</v>
      </c>
      <c r="M227" s="1178" t="e">
        <f t="shared" ca="1" si="117"/>
        <v>#N/A</v>
      </c>
      <c r="N227" s="1178" t="e">
        <f t="shared" ca="1" si="117"/>
        <v>#N/A</v>
      </c>
      <c r="O227" s="62" t="e">
        <f ca="1">OFFSET('360SpcLdsCSV'!$B$5,$B227,O$51)</f>
        <v>#N/A</v>
      </c>
      <c r="P227" s="64" t="e">
        <f ca="1">OFFSET('360SpcLdsCSV'!$B$5,$B227,P$51)</f>
        <v>#N/A</v>
      </c>
      <c r="Q227" s="84" t="e">
        <f t="shared" ca="1" si="113"/>
        <v>#N/A</v>
      </c>
      <c r="R227" s="64" t="e">
        <f ca="1">OFFSET('360SpcLdsCSV'!$B$5,$B227,R$51)*$P227</f>
        <v>#N/A</v>
      </c>
      <c r="S227" s="64" t="e">
        <f ca="1">OFFSET('360SpcLdsCSV'!$B$5,$B227,S$51)*$R227/1000</f>
        <v>#N/A</v>
      </c>
      <c r="T227" s="84" t="e">
        <f t="shared" ca="1" si="114"/>
        <v>#N/A</v>
      </c>
      <c r="U227" s="64" t="e">
        <f ca="1">OFFSET('360SpcLdsCSV'!$B$5,$B227,U$51)</f>
        <v>#N/A</v>
      </c>
      <c r="V227" s="64" t="e">
        <f ca="1">OFFSET('360SpcLdsCSV'!$B$5,$B227,V$51)*$U227/1000</f>
        <v>#N/A</v>
      </c>
      <c r="W227" s="84" t="e">
        <f t="shared" ca="1" si="115"/>
        <v>#N/A</v>
      </c>
      <c r="X227" s="64" t="e">
        <f ca="1">OFFSET('360SpcLdsCSV'!$B$5,$B227,X$51)*$P227</f>
        <v>#N/A</v>
      </c>
      <c r="Y227" s="64" t="e">
        <f ca="1">OFFSET('360SpcLdsCSV'!$B$5,$B227,Y$51)*$X227/1000</f>
        <v>#N/A</v>
      </c>
      <c r="Z227" s="84" t="e">
        <f t="shared" ca="1" si="116"/>
        <v>#N/A</v>
      </c>
      <c r="AA227" s="64" t="e">
        <f ca="1">OFFSET('360SpcLdsCSV'!$B$5,$B227,AA$51)*$P227</f>
        <v>#N/A</v>
      </c>
      <c r="AB227" s="64" t="e">
        <f ca="1">OFFSET('360SpcLdsCSV'!$B$5,$B227,AB$51)*$AA227/1000</f>
        <v>#N/A</v>
      </c>
      <c r="AC227" s="65" t="e">
        <f ca="1">'Ltg IntTakeoffs'!EZ182</f>
        <v>#N/A</v>
      </c>
      <c r="AD227" s="64" t="e">
        <f t="shared" ca="1" si="110"/>
        <v>#N/A</v>
      </c>
      <c r="AE227" s="558" t="e">
        <f ca="1">'Ltg IntTakeoffs'!FA182*M227</f>
        <v>#N/A</v>
      </c>
      <c r="AF227" s="559" t="e">
        <f ca="1">'Ltg IntTakeoffs'!FB182*M227</f>
        <v>#N/A</v>
      </c>
      <c r="AG227" s="62"/>
      <c r="AH227" s="62"/>
    </row>
    <row r="228" spans="2:34" ht="15" customHeight="1" x14ac:dyDescent="0.2">
      <c r="B228" s="62" t="e">
        <f>MATCH(C228,'360SpcLdsCSV'!$C$6:$C$500,0)</f>
        <v>#N/A</v>
      </c>
      <c r="C228" s="62">
        <f>'360SpcLdsCSV'!C177</f>
        <v>0</v>
      </c>
      <c r="D228" s="62" t="str">
        <f t="shared" si="111"/>
        <v>0</v>
      </c>
      <c r="E228" s="62" t="e">
        <f t="shared" si="108"/>
        <v>#VALUE!</v>
      </c>
      <c r="F228" s="62" t="e">
        <f t="shared" si="109"/>
        <v>#VALUE!</v>
      </c>
      <c r="G228" s="62" t="str">
        <f t="shared" si="112"/>
        <v>0</v>
      </c>
      <c r="H228" s="62" t="e">
        <f ca="1">OFFSET('360SpcLdsCSV'!$B$5,$B228,H$51)</f>
        <v>#N/A</v>
      </c>
      <c r="I228" s="62" t="e">
        <f ca="1">OFFSET('360SpcLdsCSV'!$B$5,$B228,I$51)</f>
        <v>#N/A</v>
      </c>
      <c r="J228" s="62" t="e">
        <f ca="1">OFFSET('360SpcLdsCSV'!$B$5,$B228,J$51)</f>
        <v>#N/A</v>
      </c>
      <c r="K228" s="62" t="e">
        <f ca="1">OFFSET('360SpcLdsCSV'!$B$5,$B228,K$51)</f>
        <v>#N/A</v>
      </c>
      <c r="L228" s="62" t="e">
        <f ca="1">OFFSET('360SpcLdsCSV'!$B$5,$B228,L$51)</f>
        <v>#N/A</v>
      </c>
      <c r="M228" s="1178" t="e">
        <f t="shared" ca="1" si="117"/>
        <v>#N/A</v>
      </c>
      <c r="N228" s="1178" t="e">
        <f t="shared" ca="1" si="117"/>
        <v>#N/A</v>
      </c>
      <c r="O228" s="62" t="e">
        <f ca="1">OFFSET('360SpcLdsCSV'!$B$5,$B228,O$51)</f>
        <v>#N/A</v>
      </c>
      <c r="P228" s="64" t="e">
        <f ca="1">OFFSET('360SpcLdsCSV'!$B$5,$B228,P$51)</f>
        <v>#N/A</v>
      </c>
      <c r="Q228" s="84" t="e">
        <f t="shared" ca="1" si="113"/>
        <v>#N/A</v>
      </c>
      <c r="R228" s="64" t="e">
        <f ca="1">OFFSET('360SpcLdsCSV'!$B$5,$B228,R$51)*$P228</f>
        <v>#N/A</v>
      </c>
      <c r="S228" s="64" t="e">
        <f ca="1">OFFSET('360SpcLdsCSV'!$B$5,$B228,S$51)*$R228/1000</f>
        <v>#N/A</v>
      </c>
      <c r="T228" s="84" t="e">
        <f t="shared" ca="1" si="114"/>
        <v>#N/A</v>
      </c>
      <c r="U228" s="64" t="e">
        <f ca="1">OFFSET('360SpcLdsCSV'!$B$5,$B228,U$51)</f>
        <v>#N/A</v>
      </c>
      <c r="V228" s="64" t="e">
        <f ca="1">OFFSET('360SpcLdsCSV'!$B$5,$B228,V$51)*$U228/1000</f>
        <v>#N/A</v>
      </c>
      <c r="W228" s="84" t="e">
        <f t="shared" ca="1" si="115"/>
        <v>#N/A</v>
      </c>
      <c r="X228" s="64" t="e">
        <f ca="1">OFFSET('360SpcLdsCSV'!$B$5,$B228,X$51)*$P228</f>
        <v>#N/A</v>
      </c>
      <c r="Y228" s="64" t="e">
        <f ca="1">OFFSET('360SpcLdsCSV'!$B$5,$B228,Y$51)*$X228/1000</f>
        <v>#N/A</v>
      </c>
      <c r="Z228" s="84" t="e">
        <f t="shared" ca="1" si="116"/>
        <v>#N/A</v>
      </c>
      <c r="AA228" s="64" t="e">
        <f ca="1">OFFSET('360SpcLdsCSV'!$B$5,$B228,AA$51)*$P228</f>
        <v>#N/A</v>
      </c>
      <c r="AB228" s="64" t="e">
        <f ca="1">OFFSET('360SpcLdsCSV'!$B$5,$B228,AB$51)*$AA228/1000</f>
        <v>#N/A</v>
      </c>
      <c r="AC228" s="65" t="e">
        <f ca="1">'Ltg IntTakeoffs'!EZ183</f>
        <v>#N/A</v>
      </c>
      <c r="AD228" s="64" t="e">
        <f t="shared" ca="1" si="110"/>
        <v>#N/A</v>
      </c>
      <c r="AE228" s="558" t="e">
        <f ca="1">'Ltg IntTakeoffs'!FA183*M228</f>
        <v>#N/A</v>
      </c>
      <c r="AF228" s="559" t="e">
        <f ca="1">'Ltg IntTakeoffs'!FB183*M228</f>
        <v>#N/A</v>
      </c>
      <c r="AG228" s="62"/>
      <c r="AH228" s="62"/>
    </row>
    <row r="229" spans="2:34" ht="15" customHeight="1" x14ac:dyDescent="0.2">
      <c r="B229" s="62" t="e">
        <f>MATCH(C229,'360SpcLdsCSV'!$C$6:$C$500,0)</f>
        <v>#N/A</v>
      </c>
      <c r="C229" s="62">
        <f>'360SpcLdsCSV'!C178</f>
        <v>0</v>
      </c>
      <c r="D229" s="62" t="str">
        <f t="shared" si="111"/>
        <v>0</v>
      </c>
      <c r="E229" s="62" t="e">
        <f t="shared" si="108"/>
        <v>#VALUE!</v>
      </c>
      <c r="F229" s="62" t="e">
        <f t="shared" si="109"/>
        <v>#VALUE!</v>
      </c>
      <c r="G229" s="62" t="str">
        <f t="shared" si="112"/>
        <v>0</v>
      </c>
      <c r="H229" s="62" t="e">
        <f ca="1">OFFSET('360SpcLdsCSV'!$B$5,$B229,H$51)</f>
        <v>#N/A</v>
      </c>
      <c r="I229" s="62" t="e">
        <f ca="1">OFFSET('360SpcLdsCSV'!$B$5,$B229,I$51)</f>
        <v>#N/A</v>
      </c>
      <c r="J229" s="62" t="e">
        <f ca="1">OFFSET('360SpcLdsCSV'!$B$5,$B229,J$51)</f>
        <v>#N/A</v>
      </c>
      <c r="K229" s="62" t="e">
        <f ca="1">OFFSET('360SpcLdsCSV'!$B$5,$B229,K$51)</f>
        <v>#N/A</v>
      </c>
      <c r="L229" s="62" t="e">
        <f ca="1">OFFSET('360SpcLdsCSV'!$B$5,$B229,L$51)</f>
        <v>#N/A</v>
      </c>
      <c r="M229" s="1178" t="e">
        <f t="shared" ca="1" si="117"/>
        <v>#N/A</v>
      </c>
      <c r="N229" s="1178" t="e">
        <f t="shared" ca="1" si="117"/>
        <v>#N/A</v>
      </c>
      <c r="O229" s="62" t="e">
        <f ca="1">OFFSET('360SpcLdsCSV'!$B$5,$B229,O$51)</f>
        <v>#N/A</v>
      </c>
      <c r="P229" s="64" t="e">
        <f ca="1">OFFSET('360SpcLdsCSV'!$B$5,$B229,P$51)</f>
        <v>#N/A</v>
      </c>
      <c r="Q229" s="84" t="e">
        <f t="shared" ca="1" si="113"/>
        <v>#N/A</v>
      </c>
      <c r="R229" s="64" t="e">
        <f ca="1">OFFSET('360SpcLdsCSV'!$B$5,$B229,R$51)*$P229</f>
        <v>#N/A</v>
      </c>
      <c r="S229" s="64" t="e">
        <f ca="1">OFFSET('360SpcLdsCSV'!$B$5,$B229,S$51)*$R229/1000</f>
        <v>#N/A</v>
      </c>
      <c r="T229" s="84" t="e">
        <f t="shared" ca="1" si="114"/>
        <v>#N/A</v>
      </c>
      <c r="U229" s="64" t="e">
        <f ca="1">OFFSET('360SpcLdsCSV'!$B$5,$B229,U$51)</f>
        <v>#N/A</v>
      </c>
      <c r="V229" s="64" t="e">
        <f ca="1">OFFSET('360SpcLdsCSV'!$B$5,$B229,V$51)*$U229/1000</f>
        <v>#N/A</v>
      </c>
      <c r="W229" s="84" t="e">
        <f t="shared" ca="1" si="115"/>
        <v>#N/A</v>
      </c>
      <c r="X229" s="64" t="e">
        <f ca="1">OFFSET('360SpcLdsCSV'!$B$5,$B229,X$51)*$P229</f>
        <v>#N/A</v>
      </c>
      <c r="Y229" s="64" t="e">
        <f ca="1">OFFSET('360SpcLdsCSV'!$B$5,$B229,Y$51)*$X229/1000</f>
        <v>#N/A</v>
      </c>
      <c r="Z229" s="84" t="e">
        <f t="shared" ca="1" si="116"/>
        <v>#N/A</v>
      </c>
      <c r="AA229" s="64" t="e">
        <f ca="1">OFFSET('360SpcLdsCSV'!$B$5,$B229,AA$51)*$P229</f>
        <v>#N/A</v>
      </c>
      <c r="AB229" s="64" t="e">
        <f ca="1">OFFSET('360SpcLdsCSV'!$B$5,$B229,AB$51)*$AA229/1000</f>
        <v>#N/A</v>
      </c>
      <c r="AC229" s="65" t="e">
        <f ca="1">'Ltg IntTakeoffs'!EZ184</f>
        <v>#N/A</v>
      </c>
      <c r="AD229" s="64" t="e">
        <f t="shared" ca="1" si="110"/>
        <v>#N/A</v>
      </c>
      <c r="AE229" s="558" t="e">
        <f ca="1">'Ltg IntTakeoffs'!FA184*M229</f>
        <v>#N/A</v>
      </c>
      <c r="AF229" s="559" t="e">
        <f ca="1">'Ltg IntTakeoffs'!FB184*M229</f>
        <v>#N/A</v>
      </c>
      <c r="AG229" s="62"/>
      <c r="AH229" s="62"/>
    </row>
    <row r="230" spans="2:34" ht="15" customHeight="1" x14ac:dyDescent="0.2">
      <c r="B230" s="62" t="e">
        <f>MATCH(C230,'360SpcLdsCSV'!$C$6:$C$500,0)</f>
        <v>#N/A</v>
      </c>
      <c r="C230" s="62">
        <f>'360SpcLdsCSV'!C179</f>
        <v>0</v>
      </c>
      <c r="D230" s="62" t="str">
        <f t="shared" si="111"/>
        <v>0</v>
      </c>
      <c r="E230" s="62" t="e">
        <f t="shared" si="108"/>
        <v>#VALUE!</v>
      </c>
      <c r="F230" s="62" t="e">
        <f t="shared" si="109"/>
        <v>#VALUE!</v>
      </c>
      <c r="G230" s="62" t="str">
        <f t="shared" si="112"/>
        <v>0</v>
      </c>
      <c r="H230" s="62" t="e">
        <f ca="1">OFFSET('360SpcLdsCSV'!$B$5,$B230,H$51)</f>
        <v>#N/A</v>
      </c>
      <c r="I230" s="62" t="e">
        <f ca="1">OFFSET('360SpcLdsCSV'!$B$5,$B230,I$51)</f>
        <v>#N/A</v>
      </c>
      <c r="J230" s="62" t="e">
        <f ca="1">OFFSET('360SpcLdsCSV'!$B$5,$B230,J$51)</f>
        <v>#N/A</v>
      </c>
      <c r="K230" s="62" t="e">
        <f ca="1">OFFSET('360SpcLdsCSV'!$B$5,$B230,K$51)</f>
        <v>#N/A</v>
      </c>
      <c r="L230" s="62" t="e">
        <f ca="1">OFFSET('360SpcLdsCSV'!$B$5,$B230,L$51)</f>
        <v>#N/A</v>
      </c>
      <c r="M230" s="1178" t="e">
        <f t="shared" ca="1" si="117"/>
        <v>#N/A</v>
      </c>
      <c r="N230" s="1178" t="e">
        <f t="shared" ca="1" si="117"/>
        <v>#N/A</v>
      </c>
      <c r="O230" s="62" t="e">
        <f ca="1">OFFSET('360SpcLdsCSV'!$B$5,$B230,O$51)</f>
        <v>#N/A</v>
      </c>
      <c r="P230" s="64" t="e">
        <f ca="1">OFFSET('360SpcLdsCSV'!$B$5,$B230,P$51)</f>
        <v>#N/A</v>
      </c>
      <c r="Q230" s="84" t="e">
        <f t="shared" ca="1" si="113"/>
        <v>#N/A</v>
      </c>
      <c r="R230" s="64" t="e">
        <f ca="1">OFFSET('360SpcLdsCSV'!$B$5,$B230,R$51)*$P230</f>
        <v>#N/A</v>
      </c>
      <c r="S230" s="64" t="e">
        <f ca="1">OFFSET('360SpcLdsCSV'!$B$5,$B230,S$51)*$R230/1000</f>
        <v>#N/A</v>
      </c>
      <c r="T230" s="84" t="e">
        <f t="shared" ca="1" si="114"/>
        <v>#N/A</v>
      </c>
      <c r="U230" s="64" t="e">
        <f ca="1">OFFSET('360SpcLdsCSV'!$B$5,$B230,U$51)</f>
        <v>#N/A</v>
      </c>
      <c r="V230" s="64" t="e">
        <f ca="1">OFFSET('360SpcLdsCSV'!$B$5,$B230,V$51)*$U230/1000</f>
        <v>#N/A</v>
      </c>
      <c r="W230" s="84" t="e">
        <f t="shared" ca="1" si="115"/>
        <v>#N/A</v>
      </c>
      <c r="X230" s="64" t="e">
        <f ca="1">OFFSET('360SpcLdsCSV'!$B$5,$B230,X$51)*$P230</f>
        <v>#N/A</v>
      </c>
      <c r="Y230" s="64" t="e">
        <f ca="1">OFFSET('360SpcLdsCSV'!$B$5,$B230,Y$51)*$X230/1000</f>
        <v>#N/A</v>
      </c>
      <c r="Z230" s="84" t="e">
        <f t="shared" ca="1" si="116"/>
        <v>#N/A</v>
      </c>
      <c r="AA230" s="64" t="e">
        <f ca="1">OFFSET('360SpcLdsCSV'!$B$5,$B230,AA$51)*$P230</f>
        <v>#N/A</v>
      </c>
      <c r="AB230" s="64" t="e">
        <f ca="1">OFFSET('360SpcLdsCSV'!$B$5,$B230,AB$51)*$AA230/1000</f>
        <v>#N/A</v>
      </c>
      <c r="AC230" s="65" t="e">
        <f ca="1">'Ltg IntTakeoffs'!EZ185</f>
        <v>#N/A</v>
      </c>
      <c r="AD230" s="64" t="e">
        <f t="shared" ca="1" si="110"/>
        <v>#N/A</v>
      </c>
      <c r="AE230" s="558" t="e">
        <f ca="1">'Ltg IntTakeoffs'!FA185*M230</f>
        <v>#N/A</v>
      </c>
      <c r="AF230" s="559" t="e">
        <f ca="1">'Ltg IntTakeoffs'!FB185*M230</f>
        <v>#N/A</v>
      </c>
      <c r="AG230" s="62"/>
      <c r="AH230" s="62"/>
    </row>
    <row r="231" spans="2:34" ht="15" customHeight="1" x14ac:dyDescent="0.2">
      <c r="B231" s="62" t="e">
        <f>MATCH(C231,'360SpcLdsCSV'!$C$6:$C$500,0)</f>
        <v>#N/A</v>
      </c>
      <c r="C231" s="62">
        <f>'360SpcLdsCSV'!C180</f>
        <v>0</v>
      </c>
      <c r="D231" s="62" t="str">
        <f t="shared" si="111"/>
        <v>0</v>
      </c>
      <c r="E231" s="62" t="e">
        <f t="shared" si="108"/>
        <v>#VALUE!</v>
      </c>
      <c r="F231" s="62" t="e">
        <f t="shared" si="109"/>
        <v>#VALUE!</v>
      </c>
      <c r="G231" s="62" t="str">
        <f t="shared" si="112"/>
        <v>0</v>
      </c>
      <c r="H231" s="62" t="e">
        <f ca="1">OFFSET('360SpcLdsCSV'!$B$5,$B231,H$51)</f>
        <v>#N/A</v>
      </c>
      <c r="I231" s="62" t="e">
        <f ca="1">OFFSET('360SpcLdsCSV'!$B$5,$B231,I$51)</f>
        <v>#N/A</v>
      </c>
      <c r="J231" s="62" t="e">
        <f ca="1">OFFSET('360SpcLdsCSV'!$B$5,$B231,J$51)</f>
        <v>#N/A</v>
      </c>
      <c r="K231" s="62" t="e">
        <f ca="1">OFFSET('360SpcLdsCSV'!$B$5,$B231,K$51)</f>
        <v>#N/A</v>
      </c>
      <c r="L231" s="62" t="e">
        <f ca="1">OFFSET('360SpcLdsCSV'!$B$5,$B231,L$51)</f>
        <v>#N/A</v>
      </c>
      <c r="M231" s="1178" t="e">
        <f t="shared" ca="1" si="117"/>
        <v>#N/A</v>
      </c>
      <c r="N231" s="1178" t="e">
        <f t="shared" ca="1" si="117"/>
        <v>#N/A</v>
      </c>
      <c r="O231" s="62" t="e">
        <f ca="1">OFFSET('360SpcLdsCSV'!$B$5,$B231,O$51)</f>
        <v>#N/A</v>
      </c>
      <c r="P231" s="64" t="e">
        <f ca="1">OFFSET('360SpcLdsCSV'!$B$5,$B231,P$51)</f>
        <v>#N/A</v>
      </c>
      <c r="Q231" s="84" t="e">
        <f t="shared" ca="1" si="113"/>
        <v>#N/A</v>
      </c>
      <c r="R231" s="64" t="e">
        <f ca="1">OFFSET('360SpcLdsCSV'!$B$5,$B231,R$51)*$P231</f>
        <v>#N/A</v>
      </c>
      <c r="S231" s="64" t="e">
        <f ca="1">OFFSET('360SpcLdsCSV'!$B$5,$B231,S$51)*$R231/1000</f>
        <v>#N/A</v>
      </c>
      <c r="T231" s="84" t="e">
        <f t="shared" ca="1" si="114"/>
        <v>#N/A</v>
      </c>
      <c r="U231" s="64" t="e">
        <f ca="1">OFFSET('360SpcLdsCSV'!$B$5,$B231,U$51)</f>
        <v>#N/A</v>
      </c>
      <c r="V231" s="64" t="e">
        <f ca="1">OFFSET('360SpcLdsCSV'!$B$5,$B231,V$51)*$U231/1000</f>
        <v>#N/A</v>
      </c>
      <c r="W231" s="84" t="e">
        <f t="shared" ca="1" si="115"/>
        <v>#N/A</v>
      </c>
      <c r="X231" s="64" t="e">
        <f ca="1">OFFSET('360SpcLdsCSV'!$B$5,$B231,X$51)*$P231</f>
        <v>#N/A</v>
      </c>
      <c r="Y231" s="64" t="e">
        <f ca="1">OFFSET('360SpcLdsCSV'!$B$5,$B231,Y$51)*$X231/1000</f>
        <v>#N/A</v>
      </c>
      <c r="Z231" s="84" t="e">
        <f t="shared" ca="1" si="116"/>
        <v>#N/A</v>
      </c>
      <c r="AA231" s="64" t="e">
        <f ca="1">OFFSET('360SpcLdsCSV'!$B$5,$B231,AA$51)*$P231</f>
        <v>#N/A</v>
      </c>
      <c r="AB231" s="64" t="e">
        <f ca="1">OFFSET('360SpcLdsCSV'!$B$5,$B231,AB$51)*$AA231/1000</f>
        <v>#N/A</v>
      </c>
      <c r="AC231" s="65" t="e">
        <f ca="1">'Ltg IntTakeoffs'!EZ186</f>
        <v>#N/A</v>
      </c>
      <c r="AD231" s="64" t="e">
        <f t="shared" ca="1" si="110"/>
        <v>#N/A</v>
      </c>
      <c r="AE231" s="558" t="e">
        <f ca="1">'Ltg IntTakeoffs'!FA186*M231</f>
        <v>#N/A</v>
      </c>
      <c r="AF231" s="559" t="e">
        <f ca="1">'Ltg IntTakeoffs'!FB186*M231</f>
        <v>#N/A</v>
      </c>
      <c r="AG231" s="62"/>
      <c r="AH231" s="62"/>
    </row>
    <row r="232" spans="2:34" ht="15" customHeight="1" x14ac:dyDescent="0.2">
      <c r="B232" s="62" t="e">
        <f>MATCH(C232,'360SpcLdsCSV'!$C$6:$C$500,0)</f>
        <v>#N/A</v>
      </c>
      <c r="C232" s="62">
        <f>'360SpcLdsCSV'!C181</f>
        <v>0</v>
      </c>
      <c r="D232" s="62" t="str">
        <f t="shared" si="111"/>
        <v>0</v>
      </c>
      <c r="E232" s="62" t="e">
        <f t="shared" si="108"/>
        <v>#VALUE!</v>
      </c>
      <c r="F232" s="62" t="e">
        <f t="shared" si="109"/>
        <v>#VALUE!</v>
      </c>
      <c r="G232" s="62" t="str">
        <f t="shared" si="112"/>
        <v>0</v>
      </c>
      <c r="H232" s="62" t="e">
        <f ca="1">OFFSET('360SpcLdsCSV'!$B$5,$B232,H$51)</f>
        <v>#N/A</v>
      </c>
      <c r="I232" s="62" t="e">
        <f ca="1">OFFSET('360SpcLdsCSV'!$B$5,$B232,I$51)</f>
        <v>#N/A</v>
      </c>
      <c r="J232" s="62" t="e">
        <f ca="1">OFFSET('360SpcLdsCSV'!$B$5,$B232,J$51)</f>
        <v>#N/A</v>
      </c>
      <c r="K232" s="62" t="e">
        <f ca="1">OFFSET('360SpcLdsCSV'!$B$5,$B232,K$51)</f>
        <v>#N/A</v>
      </c>
      <c r="L232" s="62" t="e">
        <f ca="1">OFFSET('360SpcLdsCSV'!$B$5,$B232,L$51)</f>
        <v>#N/A</v>
      </c>
      <c r="M232" s="1178" t="e">
        <f t="shared" ca="1" si="117"/>
        <v>#N/A</v>
      </c>
      <c r="N232" s="1178" t="e">
        <f t="shared" ca="1" si="117"/>
        <v>#N/A</v>
      </c>
      <c r="O232" s="62" t="e">
        <f ca="1">OFFSET('360SpcLdsCSV'!$B$5,$B232,O$51)</f>
        <v>#N/A</v>
      </c>
      <c r="P232" s="64" t="e">
        <f ca="1">OFFSET('360SpcLdsCSV'!$B$5,$B232,P$51)</f>
        <v>#N/A</v>
      </c>
      <c r="Q232" s="84" t="e">
        <f t="shared" ca="1" si="113"/>
        <v>#N/A</v>
      </c>
      <c r="R232" s="64" t="e">
        <f ca="1">OFFSET('360SpcLdsCSV'!$B$5,$B232,R$51)*$P232</f>
        <v>#N/A</v>
      </c>
      <c r="S232" s="64" t="e">
        <f ca="1">OFFSET('360SpcLdsCSV'!$B$5,$B232,S$51)*$R232/1000</f>
        <v>#N/A</v>
      </c>
      <c r="T232" s="84" t="e">
        <f t="shared" ca="1" si="114"/>
        <v>#N/A</v>
      </c>
      <c r="U232" s="64" t="e">
        <f ca="1">OFFSET('360SpcLdsCSV'!$B$5,$B232,U$51)</f>
        <v>#N/A</v>
      </c>
      <c r="V232" s="64" t="e">
        <f ca="1">OFFSET('360SpcLdsCSV'!$B$5,$B232,V$51)*$U232/1000</f>
        <v>#N/A</v>
      </c>
      <c r="W232" s="84" t="e">
        <f t="shared" ca="1" si="115"/>
        <v>#N/A</v>
      </c>
      <c r="X232" s="64" t="e">
        <f ca="1">OFFSET('360SpcLdsCSV'!$B$5,$B232,X$51)*$P232</f>
        <v>#N/A</v>
      </c>
      <c r="Y232" s="64" t="e">
        <f ca="1">OFFSET('360SpcLdsCSV'!$B$5,$B232,Y$51)*$X232/1000</f>
        <v>#N/A</v>
      </c>
      <c r="Z232" s="84" t="e">
        <f t="shared" ca="1" si="116"/>
        <v>#N/A</v>
      </c>
      <c r="AA232" s="64" t="e">
        <f ca="1">OFFSET('360SpcLdsCSV'!$B$5,$B232,AA$51)*$P232</f>
        <v>#N/A</v>
      </c>
      <c r="AB232" s="64" t="e">
        <f ca="1">OFFSET('360SpcLdsCSV'!$B$5,$B232,AB$51)*$AA232/1000</f>
        <v>#N/A</v>
      </c>
      <c r="AC232" s="65" t="e">
        <f ca="1">'Ltg IntTakeoffs'!EZ187</f>
        <v>#N/A</v>
      </c>
      <c r="AD232" s="64" t="e">
        <f t="shared" ca="1" si="110"/>
        <v>#N/A</v>
      </c>
      <c r="AE232" s="558" t="e">
        <f ca="1">'Ltg IntTakeoffs'!FA187*M232</f>
        <v>#N/A</v>
      </c>
      <c r="AF232" s="559" t="e">
        <f ca="1">'Ltg IntTakeoffs'!FB187*M232</f>
        <v>#N/A</v>
      </c>
      <c r="AG232" s="62"/>
      <c r="AH232" s="62"/>
    </row>
    <row r="233" spans="2:34" ht="15" customHeight="1" x14ac:dyDescent="0.2">
      <c r="B233" s="62" t="e">
        <f>MATCH(C233,'360SpcLdsCSV'!$C$6:$C$500,0)</f>
        <v>#N/A</v>
      </c>
      <c r="C233" s="62">
        <f>'360SpcLdsCSV'!C182</f>
        <v>0</v>
      </c>
      <c r="D233" s="62" t="str">
        <f t="shared" si="111"/>
        <v>0</v>
      </c>
      <c r="E233" s="62" t="e">
        <f t="shared" si="108"/>
        <v>#VALUE!</v>
      </c>
      <c r="F233" s="62" t="e">
        <f t="shared" si="109"/>
        <v>#VALUE!</v>
      </c>
      <c r="G233" s="62" t="str">
        <f t="shared" si="112"/>
        <v>0</v>
      </c>
      <c r="H233" s="62" t="e">
        <f ca="1">OFFSET('360SpcLdsCSV'!$B$5,$B233,H$51)</f>
        <v>#N/A</v>
      </c>
      <c r="I233" s="62" t="e">
        <f ca="1">OFFSET('360SpcLdsCSV'!$B$5,$B233,I$51)</f>
        <v>#N/A</v>
      </c>
      <c r="J233" s="62" t="e">
        <f ca="1">OFFSET('360SpcLdsCSV'!$B$5,$B233,J$51)</f>
        <v>#N/A</v>
      </c>
      <c r="K233" s="62" t="e">
        <f ca="1">OFFSET('360SpcLdsCSV'!$B$5,$B233,K$51)</f>
        <v>#N/A</v>
      </c>
      <c r="L233" s="62" t="e">
        <f ca="1">OFFSET('360SpcLdsCSV'!$B$5,$B233,L$51)</f>
        <v>#N/A</v>
      </c>
      <c r="M233" s="1178" t="e">
        <f t="shared" ca="1" si="117"/>
        <v>#N/A</v>
      </c>
      <c r="N233" s="1178" t="e">
        <f t="shared" ca="1" si="117"/>
        <v>#N/A</v>
      </c>
      <c r="O233" s="62" t="e">
        <f ca="1">OFFSET('360SpcLdsCSV'!$B$5,$B233,O$51)</f>
        <v>#N/A</v>
      </c>
      <c r="P233" s="64" t="e">
        <f ca="1">OFFSET('360SpcLdsCSV'!$B$5,$B233,P$51)</f>
        <v>#N/A</v>
      </c>
      <c r="Q233" s="84" t="e">
        <f t="shared" ca="1" si="113"/>
        <v>#N/A</v>
      </c>
      <c r="R233" s="64" t="e">
        <f ca="1">OFFSET('360SpcLdsCSV'!$B$5,$B233,R$51)*$P233</f>
        <v>#N/A</v>
      </c>
      <c r="S233" s="64" t="e">
        <f ca="1">OFFSET('360SpcLdsCSV'!$B$5,$B233,S$51)*$R233/1000</f>
        <v>#N/A</v>
      </c>
      <c r="T233" s="84" t="e">
        <f t="shared" ca="1" si="114"/>
        <v>#N/A</v>
      </c>
      <c r="U233" s="64" t="e">
        <f ca="1">OFFSET('360SpcLdsCSV'!$B$5,$B233,U$51)</f>
        <v>#N/A</v>
      </c>
      <c r="V233" s="64" t="e">
        <f ca="1">OFFSET('360SpcLdsCSV'!$B$5,$B233,V$51)*$U233/1000</f>
        <v>#N/A</v>
      </c>
      <c r="W233" s="84" t="e">
        <f t="shared" ca="1" si="115"/>
        <v>#N/A</v>
      </c>
      <c r="X233" s="64" t="e">
        <f ca="1">OFFSET('360SpcLdsCSV'!$B$5,$B233,X$51)*$P233</f>
        <v>#N/A</v>
      </c>
      <c r="Y233" s="64" t="e">
        <f ca="1">OFFSET('360SpcLdsCSV'!$B$5,$B233,Y$51)*$X233/1000</f>
        <v>#N/A</v>
      </c>
      <c r="Z233" s="84" t="e">
        <f t="shared" ca="1" si="116"/>
        <v>#N/A</v>
      </c>
      <c r="AA233" s="64" t="e">
        <f ca="1">OFFSET('360SpcLdsCSV'!$B$5,$B233,AA$51)*$P233</f>
        <v>#N/A</v>
      </c>
      <c r="AB233" s="64" t="e">
        <f ca="1">OFFSET('360SpcLdsCSV'!$B$5,$B233,AB$51)*$AA233/1000</f>
        <v>#N/A</v>
      </c>
      <c r="AC233" s="65" t="e">
        <f ca="1">'Ltg IntTakeoffs'!EZ188</f>
        <v>#N/A</v>
      </c>
      <c r="AD233" s="64" t="e">
        <f t="shared" ca="1" si="110"/>
        <v>#N/A</v>
      </c>
      <c r="AE233" s="558" t="e">
        <f ca="1">'Ltg IntTakeoffs'!FA188*M233</f>
        <v>#N/A</v>
      </c>
      <c r="AF233" s="559" t="e">
        <f ca="1">'Ltg IntTakeoffs'!FB188*M233</f>
        <v>#N/A</v>
      </c>
      <c r="AG233" s="62"/>
      <c r="AH233" s="62"/>
    </row>
    <row r="234" spans="2:34" ht="15" customHeight="1" x14ac:dyDescent="0.2">
      <c r="B234" s="62" t="e">
        <f>MATCH(C234,'360SpcLdsCSV'!$C$6:$C$500,0)</f>
        <v>#N/A</v>
      </c>
      <c r="C234" s="62">
        <f>'360SpcLdsCSV'!C183</f>
        <v>0</v>
      </c>
      <c r="D234" s="62" t="str">
        <f t="shared" si="111"/>
        <v>0</v>
      </c>
      <c r="E234" s="62" t="e">
        <f t="shared" si="108"/>
        <v>#VALUE!</v>
      </c>
      <c r="F234" s="62" t="e">
        <f t="shared" si="109"/>
        <v>#VALUE!</v>
      </c>
      <c r="G234" s="62" t="str">
        <f t="shared" si="112"/>
        <v>0</v>
      </c>
      <c r="H234" s="62" t="e">
        <f ca="1">OFFSET('360SpcLdsCSV'!$B$5,$B234,H$51)</f>
        <v>#N/A</v>
      </c>
      <c r="I234" s="62" t="e">
        <f ca="1">OFFSET('360SpcLdsCSV'!$B$5,$B234,I$51)</f>
        <v>#N/A</v>
      </c>
      <c r="J234" s="62" t="e">
        <f ca="1">OFFSET('360SpcLdsCSV'!$B$5,$B234,J$51)</f>
        <v>#N/A</v>
      </c>
      <c r="K234" s="62" t="e">
        <f ca="1">OFFSET('360SpcLdsCSV'!$B$5,$B234,K$51)</f>
        <v>#N/A</v>
      </c>
      <c r="L234" s="62" t="e">
        <f ca="1">OFFSET('360SpcLdsCSV'!$B$5,$B234,L$51)</f>
        <v>#N/A</v>
      </c>
      <c r="M234" s="1178" t="e">
        <f t="shared" ca="1" si="117"/>
        <v>#N/A</v>
      </c>
      <c r="N234" s="1178" t="e">
        <f t="shared" ca="1" si="117"/>
        <v>#N/A</v>
      </c>
      <c r="O234" s="62" t="e">
        <f ca="1">OFFSET('360SpcLdsCSV'!$B$5,$B234,O$51)</f>
        <v>#N/A</v>
      </c>
      <c r="P234" s="64" t="e">
        <f ca="1">OFFSET('360SpcLdsCSV'!$B$5,$B234,P$51)</f>
        <v>#N/A</v>
      </c>
      <c r="Q234" s="84" t="e">
        <f t="shared" ca="1" si="113"/>
        <v>#N/A</v>
      </c>
      <c r="R234" s="64" t="e">
        <f ca="1">OFFSET('360SpcLdsCSV'!$B$5,$B234,R$51)*$P234</f>
        <v>#N/A</v>
      </c>
      <c r="S234" s="64" t="e">
        <f ca="1">OFFSET('360SpcLdsCSV'!$B$5,$B234,S$51)*$R234/1000</f>
        <v>#N/A</v>
      </c>
      <c r="T234" s="84" t="e">
        <f t="shared" ca="1" si="114"/>
        <v>#N/A</v>
      </c>
      <c r="U234" s="64" t="e">
        <f ca="1">OFFSET('360SpcLdsCSV'!$B$5,$B234,U$51)</f>
        <v>#N/A</v>
      </c>
      <c r="V234" s="64" t="e">
        <f ca="1">OFFSET('360SpcLdsCSV'!$B$5,$B234,V$51)*$U234/1000</f>
        <v>#N/A</v>
      </c>
      <c r="W234" s="84" t="e">
        <f t="shared" ca="1" si="115"/>
        <v>#N/A</v>
      </c>
      <c r="X234" s="64" t="e">
        <f ca="1">OFFSET('360SpcLdsCSV'!$B$5,$B234,X$51)*$P234</f>
        <v>#N/A</v>
      </c>
      <c r="Y234" s="64" t="e">
        <f ca="1">OFFSET('360SpcLdsCSV'!$B$5,$B234,Y$51)*$X234/1000</f>
        <v>#N/A</v>
      </c>
      <c r="Z234" s="84" t="e">
        <f t="shared" ca="1" si="116"/>
        <v>#N/A</v>
      </c>
      <c r="AA234" s="64" t="e">
        <f ca="1">OFFSET('360SpcLdsCSV'!$B$5,$B234,AA$51)*$P234</f>
        <v>#N/A</v>
      </c>
      <c r="AB234" s="64" t="e">
        <f ca="1">OFFSET('360SpcLdsCSV'!$B$5,$B234,AB$51)*$AA234/1000</f>
        <v>#N/A</v>
      </c>
      <c r="AC234" s="65" t="e">
        <f ca="1">'Ltg IntTakeoffs'!EZ189</f>
        <v>#N/A</v>
      </c>
      <c r="AD234" s="64" t="e">
        <f t="shared" ca="1" si="110"/>
        <v>#N/A</v>
      </c>
      <c r="AE234" s="558" t="e">
        <f ca="1">'Ltg IntTakeoffs'!FA189*M234</f>
        <v>#N/A</v>
      </c>
      <c r="AF234" s="559" t="e">
        <f ca="1">'Ltg IntTakeoffs'!FB189*M234</f>
        <v>#N/A</v>
      </c>
      <c r="AG234" s="62"/>
      <c r="AH234" s="62"/>
    </row>
    <row r="235" spans="2:34" ht="15" customHeight="1" x14ac:dyDescent="0.2">
      <c r="B235" s="62" t="e">
        <f>MATCH(C235,'360SpcLdsCSV'!$C$6:$C$500,0)</f>
        <v>#N/A</v>
      </c>
      <c r="C235" s="62">
        <f>'360SpcLdsCSV'!C184</f>
        <v>0</v>
      </c>
      <c r="D235" s="62" t="str">
        <f t="shared" si="111"/>
        <v>0</v>
      </c>
      <c r="E235" s="62" t="e">
        <f t="shared" si="108"/>
        <v>#VALUE!</v>
      </c>
      <c r="F235" s="62" t="e">
        <f t="shared" si="109"/>
        <v>#VALUE!</v>
      </c>
      <c r="G235" s="62" t="str">
        <f t="shared" si="112"/>
        <v>0</v>
      </c>
      <c r="H235" s="62" t="e">
        <f ca="1">OFFSET('360SpcLdsCSV'!$B$5,$B235,H$51)</f>
        <v>#N/A</v>
      </c>
      <c r="I235" s="62" t="e">
        <f ca="1">OFFSET('360SpcLdsCSV'!$B$5,$B235,I$51)</f>
        <v>#N/A</v>
      </c>
      <c r="J235" s="62" t="e">
        <f ca="1">OFFSET('360SpcLdsCSV'!$B$5,$B235,J$51)</f>
        <v>#N/A</v>
      </c>
      <c r="K235" s="62" t="e">
        <f ca="1">OFFSET('360SpcLdsCSV'!$B$5,$B235,K$51)</f>
        <v>#N/A</v>
      </c>
      <c r="L235" s="62" t="e">
        <f ca="1">OFFSET('360SpcLdsCSV'!$B$5,$B235,L$51)</f>
        <v>#N/A</v>
      </c>
      <c r="M235" s="1178" t="e">
        <f t="shared" ca="1" si="117"/>
        <v>#N/A</v>
      </c>
      <c r="N235" s="1178" t="e">
        <f t="shared" ca="1" si="117"/>
        <v>#N/A</v>
      </c>
      <c r="O235" s="62" t="e">
        <f ca="1">OFFSET('360SpcLdsCSV'!$B$5,$B235,O$51)</f>
        <v>#N/A</v>
      </c>
      <c r="P235" s="64" t="e">
        <f ca="1">OFFSET('360SpcLdsCSV'!$B$5,$B235,P$51)</f>
        <v>#N/A</v>
      </c>
      <c r="Q235" s="84" t="e">
        <f t="shared" ca="1" si="113"/>
        <v>#N/A</v>
      </c>
      <c r="R235" s="64" t="e">
        <f ca="1">OFFSET('360SpcLdsCSV'!$B$5,$B235,R$51)*$P235</f>
        <v>#N/A</v>
      </c>
      <c r="S235" s="64" t="e">
        <f ca="1">OFFSET('360SpcLdsCSV'!$B$5,$B235,S$51)*$R235/1000</f>
        <v>#N/A</v>
      </c>
      <c r="T235" s="84" t="e">
        <f t="shared" ca="1" si="114"/>
        <v>#N/A</v>
      </c>
      <c r="U235" s="64" t="e">
        <f ca="1">OFFSET('360SpcLdsCSV'!$B$5,$B235,U$51)</f>
        <v>#N/A</v>
      </c>
      <c r="V235" s="64" t="e">
        <f ca="1">OFFSET('360SpcLdsCSV'!$B$5,$B235,V$51)*$U235/1000</f>
        <v>#N/A</v>
      </c>
      <c r="W235" s="84" t="e">
        <f t="shared" ca="1" si="115"/>
        <v>#N/A</v>
      </c>
      <c r="X235" s="64" t="e">
        <f ca="1">OFFSET('360SpcLdsCSV'!$B$5,$B235,X$51)*$P235</f>
        <v>#N/A</v>
      </c>
      <c r="Y235" s="64" t="e">
        <f ca="1">OFFSET('360SpcLdsCSV'!$B$5,$B235,Y$51)*$X235/1000</f>
        <v>#N/A</v>
      </c>
      <c r="Z235" s="84" t="e">
        <f t="shared" ca="1" si="116"/>
        <v>#N/A</v>
      </c>
      <c r="AA235" s="64" t="e">
        <f ca="1">OFFSET('360SpcLdsCSV'!$B$5,$B235,AA$51)*$P235</f>
        <v>#N/A</v>
      </c>
      <c r="AB235" s="64" t="e">
        <f ca="1">OFFSET('360SpcLdsCSV'!$B$5,$B235,AB$51)*$AA235/1000</f>
        <v>#N/A</v>
      </c>
      <c r="AC235" s="65" t="e">
        <f ca="1">'Ltg IntTakeoffs'!EZ190</f>
        <v>#N/A</v>
      </c>
      <c r="AD235" s="64" t="e">
        <f t="shared" ca="1" si="110"/>
        <v>#N/A</v>
      </c>
      <c r="AE235" s="558" t="e">
        <f ca="1">'Ltg IntTakeoffs'!FA190*M235</f>
        <v>#N/A</v>
      </c>
      <c r="AF235" s="559" t="e">
        <f ca="1">'Ltg IntTakeoffs'!FB190*M235</f>
        <v>#N/A</v>
      </c>
      <c r="AG235" s="62"/>
      <c r="AH235" s="62"/>
    </row>
    <row r="236" spans="2:34" ht="15" customHeight="1" x14ac:dyDescent="0.2">
      <c r="B236" s="62" t="e">
        <f>MATCH(C236,'360SpcLdsCSV'!$C$6:$C$500,0)</f>
        <v>#N/A</v>
      </c>
      <c r="C236" s="62">
        <f>'360SpcLdsCSV'!C185</f>
        <v>0</v>
      </c>
      <c r="D236" s="62" t="str">
        <f t="shared" si="111"/>
        <v>0</v>
      </c>
      <c r="E236" s="62" t="e">
        <f t="shared" si="108"/>
        <v>#VALUE!</v>
      </c>
      <c r="F236" s="62" t="e">
        <f t="shared" si="109"/>
        <v>#VALUE!</v>
      </c>
      <c r="G236" s="62" t="str">
        <f t="shared" si="112"/>
        <v>0</v>
      </c>
      <c r="H236" s="62" t="e">
        <f ca="1">OFFSET('360SpcLdsCSV'!$B$5,$B236,H$51)</f>
        <v>#N/A</v>
      </c>
      <c r="I236" s="62" t="e">
        <f ca="1">OFFSET('360SpcLdsCSV'!$B$5,$B236,I$51)</f>
        <v>#N/A</v>
      </c>
      <c r="J236" s="62" t="e">
        <f ca="1">OFFSET('360SpcLdsCSV'!$B$5,$B236,J$51)</f>
        <v>#N/A</v>
      </c>
      <c r="K236" s="62" t="e">
        <f ca="1">OFFSET('360SpcLdsCSV'!$B$5,$B236,K$51)</f>
        <v>#N/A</v>
      </c>
      <c r="L236" s="62" t="e">
        <f ca="1">OFFSET('360SpcLdsCSV'!$B$5,$B236,L$51)</f>
        <v>#N/A</v>
      </c>
      <c r="M236" s="1178" t="e">
        <f t="shared" ca="1" si="117"/>
        <v>#N/A</v>
      </c>
      <c r="N236" s="1178" t="e">
        <f t="shared" ca="1" si="117"/>
        <v>#N/A</v>
      </c>
      <c r="O236" s="62" t="e">
        <f ca="1">OFFSET('360SpcLdsCSV'!$B$5,$B236,O$51)</f>
        <v>#N/A</v>
      </c>
      <c r="P236" s="64" t="e">
        <f ca="1">OFFSET('360SpcLdsCSV'!$B$5,$B236,P$51)</f>
        <v>#N/A</v>
      </c>
      <c r="Q236" s="84" t="e">
        <f t="shared" ca="1" si="113"/>
        <v>#N/A</v>
      </c>
      <c r="R236" s="64" t="e">
        <f ca="1">OFFSET('360SpcLdsCSV'!$B$5,$B236,R$51)*$P236</f>
        <v>#N/A</v>
      </c>
      <c r="S236" s="64" t="e">
        <f ca="1">OFFSET('360SpcLdsCSV'!$B$5,$B236,S$51)*$R236/1000</f>
        <v>#N/A</v>
      </c>
      <c r="T236" s="84" t="e">
        <f t="shared" ca="1" si="114"/>
        <v>#N/A</v>
      </c>
      <c r="U236" s="64" t="e">
        <f ca="1">OFFSET('360SpcLdsCSV'!$B$5,$B236,U$51)</f>
        <v>#N/A</v>
      </c>
      <c r="V236" s="64" t="e">
        <f ca="1">OFFSET('360SpcLdsCSV'!$B$5,$B236,V$51)*$U236/1000</f>
        <v>#N/A</v>
      </c>
      <c r="W236" s="84" t="e">
        <f t="shared" ca="1" si="115"/>
        <v>#N/A</v>
      </c>
      <c r="X236" s="64" t="e">
        <f ca="1">OFFSET('360SpcLdsCSV'!$B$5,$B236,X$51)*$P236</f>
        <v>#N/A</v>
      </c>
      <c r="Y236" s="64" t="e">
        <f ca="1">OFFSET('360SpcLdsCSV'!$B$5,$B236,Y$51)*$X236/1000</f>
        <v>#N/A</v>
      </c>
      <c r="Z236" s="84" t="e">
        <f t="shared" ca="1" si="116"/>
        <v>#N/A</v>
      </c>
      <c r="AA236" s="64" t="e">
        <f ca="1">OFFSET('360SpcLdsCSV'!$B$5,$B236,AA$51)*$P236</f>
        <v>#N/A</v>
      </c>
      <c r="AB236" s="64" t="e">
        <f ca="1">OFFSET('360SpcLdsCSV'!$B$5,$B236,AB$51)*$AA236/1000</f>
        <v>#N/A</v>
      </c>
      <c r="AC236" s="65" t="e">
        <f ca="1">'Ltg IntTakeoffs'!EZ191</f>
        <v>#N/A</v>
      </c>
      <c r="AD236" s="64" t="e">
        <f t="shared" ca="1" si="110"/>
        <v>#N/A</v>
      </c>
      <c r="AE236" s="558" t="e">
        <f ca="1">'Ltg IntTakeoffs'!FA191*M236</f>
        <v>#N/A</v>
      </c>
      <c r="AF236" s="559" t="e">
        <f ca="1">'Ltg IntTakeoffs'!FB191*M236</f>
        <v>#N/A</v>
      </c>
      <c r="AG236" s="62"/>
      <c r="AH236" s="62"/>
    </row>
    <row r="237" spans="2:34" ht="15" customHeight="1" x14ac:dyDescent="0.2">
      <c r="B237" s="62" t="e">
        <f>MATCH(C237,'360SpcLdsCSV'!$C$6:$C$500,0)</f>
        <v>#N/A</v>
      </c>
      <c r="C237" s="62">
        <f>'360SpcLdsCSV'!C186</f>
        <v>0</v>
      </c>
      <c r="D237" s="62" t="str">
        <f t="shared" si="111"/>
        <v>0</v>
      </c>
      <c r="E237" s="62" t="e">
        <f t="shared" si="108"/>
        <v>#VALUE!</v>
      </c>
      <c r="F237" s="62" t="e">
        <f t="shared" si="109"/>
        <v>#VALUE!</v>
      </c>
      <c r="G237" s="62" t="str">
        <f t="shared" si="112"/>
        <v>0</v>
      </c>
      <c r="H237" s="62" t="e">
        <f ca="1">OFFSET('360SpcLdsCSV'!$B$5,$B237,H$51)</f>
        <v>#N/A</v>
      </c>
      <c r="I237" s="62" t="e">
        <f ca="1">OFFSET('360SpcLdsCSV'!$B$5,$B237,I$51)</f>
        <v>#N/A</v>
      </c>
      <c r="J237" s="62" t="e">
        <f ca="1">OFFSET('360SpcLdsCSV'!$B$5,$B237,J$51)</f>
        <v>#N/A</v>
      </c>
      <c r="K237" s="62" t="e">
        <f ca="1">OFFSET('360SpcLdsCSV'!$B$5,$B237,K$51)</f>
        <v>#N/A</v>
      </c>
      <c r="L237" s="62" t="e">
        <f ca="1">OFFSET('360SpcLdsCSV'!$B$5,$B237,L$51)</f>
        <v>#N/A</v>
      </c>
      <c r="M237" s="1178" t="e">
        <f t="shared" ca="1" si="117"/>
        <v>#N/A</v>
      </c>
      <c r="N237" s="1178" t="e">
        <f t="shared" ca="1" si="117"/>
        <v>#N/A</v>
      </c>
      <c r="O237" s="62" t="e">
        <f ca="1">OFFSET('360SpcLdsCSV'!$B$5,$B237,O$51)</f>
        <v>#N/A</v>
      </c>
      <c r="P237" s="64" t="e">
        <f ca="1">OFFSET('360SpcLdsCSV'!$B$5,$B237,P$51)</f>
        <v>#N/A</v>
      </c>
      <c r="Q237" s="84" t="e">
        <f t="shared" ca="1" si="113"/>
        <v>#N/A</v>
      </c>
      <c r="R237" s="64" t="e">
        <f ca="1">OFFSET('360SpcLdsCSV'!$B$5,$B237,R$51)*$P237</f>
        <v>#N/A</v>
      </c>
      <c r="S237" s="64" t="e">
        <f ca="1">OFFSET('360SpcLdsCSV'!$B$5,$B237,S$51)*$R237/1000</f>
        <v>#N/A</v>
      </c>
      <c r="T237" s="84" t="e">
        <f t="shared" ca="1" si="114"/>
        <v>#N/A</v>
      </c>
      <c r="U237" s="64" t="e">
        <f ca="1">OFFSET('360SpcLdsCSV'!$B$5,$B237,U$51)</f>
        <v>#N/A</v>
      </c>
      <c r="V237" s="64" t="e">
        <f ca="1">OFFSET('360SpcLdsCSV'!$B$5,$B237,V$51)*$U237/1000</f>
        <v>#N/A</v>
      </c>
      <c r="W237" s="84" t="e">
        <f t="shared" ca="1" si="115"/>
        <v>#N/A</v>
      </c>
      <c r="X237" s="64" t="e">
        <f ca="1">OFFSET('360SpcLdsCSV'!$B$5,$B237,X$51)*$P237</f>
        <v>#N/A</v>
      </c>
      <c r="Y237" s="64" t="e">
        <f ca="1">OFFSET('360SpcLdsCSV'!$B$5,$B237,Y$51)*$X237/1000</f>
        <v>#N/A</v>
      </c>
      <c r="Z237" s="84" t="e">
        <f t="shared" ca="1" si="116"/>
        <v>#N/A</v>
      </c>
      <c r="AA237" s="64" t="e">
        <f ca="1">OFFSET('360SpcLdsCSV'!$B$5,$B237,AA$51)*$P237</f>
        <v>#N/A</v>
      </c>
      <c r="AB237" s="64" t="e">
        <f ca="1">OFFSET('360SpcLdsCSV'!$B$5,$B237,AB$51)*$AA237/1000</f>
        <v>#N/A</v>
      </c>
      <c r="AC237" s="65" t="e">
        <f ca="1">'Ltg IntTakeoffs'!EZ192</f>
        <v>#N/A</v>
      </c>
      <c r="AD237" s="64" t="e">
        <f t="shared" ca="1" si="110"/>
        <v>#N/A</v>
      </c>
      <c r="AE237" s="558" t="e">
        <f ca="1">'Ltg IntTakeoffs'!FA192*M237</f>
        <v>#N/A</v>
      </c>
      <c r="AF237" s="559" t="e">
        <f ca="1">'Ltg IntTakeoffs'!FB192*M237</f>
        <v>#N/A</v>
      </c>
      <c r="AG237" s="62"/>
      <c r="AH237" s="62"/>
    </row>
    <row r="238" spans="2:34" ht="15" customHeight="1" x14ac:dyDescent="0.2">
      <c r="B238" s="62" t="e">
        <f>MATCH(C238,'360SpcLdsCSV'!$C$6:$C$500,0)</f>
        <v>#N/A</v>
      </c>
      <c r="C238" s="62">
        <f>'360SpcLdsCSV'!C187</f>
        <v>0</v>
      </c>
      <c r="D238" s="62" t="str">
        <f t="shared" si="111"/>
        <v>0</v>
      </c>
      <c r="E238" s="62" t="e">
        <f t="shared" si="108"/>
        <v>#VALUE!</v>
      </c>
      <c r="F238" s="62" t="e">
        <f t="shared" si="109"/>
        <v>#VALUE!</v>
      </c>
      <c r="G238" s="62" t="str">
        <f t="shared" si="112"/>
        <v>0</v>
      </c>
      <c r="H238" s="62" t="e">
        <f ca="1">OFFSET('360SpcLdsCSV'!$B$5,$B238,H$51)</f>
        <v>#N/A</v>
      </c>
      <c r="I238" s="62" t="e">
        <f ca="1">OFFSET('360SpcLdsCSV'!$B$5,$B238,I$51)</f>
        <v>#N/A</v>
      </c>
      <c r="J238" s="62" t="e">
        <f ca="1">OFFSET('360SpcLdsCSV'!$B$5,$B238,J$51)</f>
        <v>#N/A</v>
      </c>
      <c r="K238" s="62" t="e">
        <f ca="1">OFFSET('360SpcLdsCSV'!$B$5,$B238,K$51)</f>
        <v>#N/A</v>
      </c>
      <c r="L238" s="62" t="e">
        <f ca="1">OFFSET('360SpcLdsCSV'!$B$5,$B238,L$51)</f>
        <v>#N/A</v>
      </c>
      <c r="M238" s="1178" t="e">
        <f t="shared" ca="1" si="117"/>
        <v>#N/A</v>
      </c>
      <c r="N238" s="1178" t="e">
        <f t="shared" ca="1" si="117"/>
        <v>#N/A</v>
      </c>
      <c r="O238" s="62" t="e">
        <f ca="1">OFFSET('360SpcLdsCSV'!$B$5,$B238,O$51)</f>
        <v>#N/A</v>
      </c>
      <c r="P238" s="64" t="e">
        <f ca="1">OFFSET('360SpcLdsCSV'!$B$5,$B238,P$51)</f>
        <v>#N/A</v>
      </c>
      <c r="Q238" s="84" t="e">
        <f t="shared" ca="1" si="113"/>
        <v>#N/A</v>
      </c>
      <c r="R238" s="64" t="e">
        <f ca="1">OFFSET('360SpcLdsCSV'!$B$5,$B238,R$51)*$P238</f>
        <v>#N/A</v>
      </c>
      <c r="S238" s="64" t="e">
        <f ca="1">OFFSET('360SpcLdsCSV'!$B$5,$B238,S$51)*$R238/1000</f>
        <v>#N/A</v>
      </c>
      <c r="T238" s="84" t="e">
        <f t="shared" ca="1" si="114"/>
        <v>#N/A</v>
      </c>
      <c r="U238" s="64" t="e">
        <f ca="1">OFFSET('360SpcLdsCSV'!$B$5,$B238,U$51)</f>
        <v>#N/A</v>
      </c>
      <c r="V238" s="64" t="e">
        <f ca="1">OFFSET('360SpcLdsCSV'!$B$5,$B238,V$51)*$U238/1000</f>
        <v>#N/A</v>
      </c>
      <c r="W238" s="84" t="e">
        <f t="shared" ca="1" si="115"/>
        <v>#N/A</v>
      </c>
      <c r="X238" s="64" t="e">
        <f ca="1">OFFSET('360SpcLdsCSV'!$B$5,$B238,X$51)*$P238</f>
        <v>#N/A</v>
      </c>
      <c r="Y238" s="64" t="e">
        <f ca="1">OFFSET('360SpcLdsCSV'!$B$5,$B238,Y$51)*$X238/1000</f>
        <v>#N/A</v>
      </c>
      <c r="Z238" s="84" t="e">
        <f t="shared" ca="1" si="116"/>
        <v>#N/A</v>
      </c>
      <c r="AA238" s="64" t="e">
        <f ca="1">OFFSET('360SpcLdsCSV'!$B$5,$B238,AA$51)*$P238</f>
        <v>#N/A</v>
      </c>
      <c r="AB238" s="64" t="e">
        <f ca="1">OFFSET('360SpcLdsCSV'!$B$5,$B238,AB$51)*$AA238/1000</f>
        <v>#N/A</v>
      </c>
      <c r="AC238" s="65" t="e">
        <f ca="1">'Ltg IntTakeoffs'!EZ193</f>
        <v>#N/A</v>
      </c>
      <c r="AD238" s="64" t="e">
        <f t="shared" ca="1" si="110"/>
        <v>#N/A</v>
      </c>
      <c r="AE238" s="558" t="e">
        <f ca="1">'Ltg IntTakeoffs'!FA193*M238</f>
        <v>#N/A</v>
      </c>
      <c r="AF238" s="559" t="e">
        <f ca="1">'Ltg IntTakeoffs'!FB193*M238</f>
        <v>#N/A</v>
      </c>
      <c r="AG238" s="62"/>
      <c r="AH238" s="62"/>
    </row>
    <row r="239" spans="2:34" ht="15" customHeight="1" x14ac:dyDescent="0.2">
      <c r="B239" s="62" t="e">
        <f>MATCH(C239,'360SpcLdsCSV'!$C$6:$C$500,0)</f>
        <v>#N/A</v>
      </c>
      <c r="C239" s="62">
        <f>'360SpcLdsCSV'!C188</f>
        <v>0</v>
      </c>
      <c r="D239" s="62" t="str">
        <f t="shared" si="111"/>
        <v>0</v>
      </c>
      <c r="E239" s="62" t="e">
        <f t="shared" si="108"/>
        <v>#VALUE!</v>
      </c>
      <c r="F239" s="62" t="e">
        <f t="shared" si="109"/>
        <v>#VALUE!</v>
      </c>
      <c r="G239" s="62" t="str">
        <f t="shared" si="112"/>
        <v>0</v>
      </c>
      <c r="H239" s="62" t="e">
        <f ca="1">OFFSET('360SpcLdsCSV'!$B$5,$B239,H$51)</f>
        <v>#N/A</v>
      </c>
      <c r="I239" s="62" t="e">
        <f ca="1">OFFSET('360SpcLdsCSV'!$B$5,$B239,I$51)</f>
        <v>#N/A</v>
      </c>
      <c r="J239" s="62" t="e">
        <f ca="1">OFFSET('360SpcLdsCSV'!$B$5,$B239,J$51)</f>
        <v>#N/A</v>
      </c>
      <c r="K239" s="62" t="e">
        <f ca="1">OFFSET('360SpcLdsCSV'!$B$5,$B239,K$51)</f>
        <v>#N/A</v>
      </c>
      <c r="L239" s="62" t="e">
        <f ca="1">OFFSET('360SpcLdsCSV'!$B$5,$B239,L$51)</f>
        <v>#N/A</v>
      </c>
      <c r="M239" s="1178" t="e">
        <f t="shared" ca="1" si="117"/>
        <v>#N/A</v>
      </c>
      <c r="N239" s="1178" t="e">
        <f t="shared" ca="1" si="117"/>
        <v>#N/A</v>
      </c>
      <c r="O239" s="62" t="e">
        <f ca="1">OFFSET('360SpcLdsCSV'!$B$5,$B239,O$51)</f>
        <v>#N/A</v>
      </c>
      <c r="P239" s="64" t="e">
        <f ca="1">OFFSET('360SpcLdsCSV'!$B$5,$B239,P$51)</f>
        <v>#N/A</v>
      </c>
      <c r="Q239" s="84" t="e">
        <f t="shared" ca="1" si="113"/>
        <v>#N/A</v>
      </c>
      <c r="R239" s="64" t="e">
        <f ca="1">OFFSET('360SpcLdsCSV'!$B$5,$B239,R$51)*$P239</f>
        <v>#N/A</v>
      </c>
      <c r="S239" s="64" t="e">
        <f ca="1">OFFSET('360SpcLdsCSV'!$B$5,$B239,S$51)*$R239/1000</f>
        <v>#N/A</v>
      </c>
      <c r="T239" s="84" t="e">
        <f t="shared" ca="1" si="114"/>
        <v>#N/A</v>
      </c>
      <c r="U239" s="64" t="e">
        <f ca="1">OFFSET('360SpcLdsCSV'!$B$5,$B239,U$51)</f>
        <v>#N/A</v>
      </c>
      <c r="V239" s="64" t="e">
        <f ca="1">OFFSET('360SpcLdsCSV'!$B$5,$B239,V$51)*$U239/1000</f>
        <v>#N/A</v>
      </c>
      <c r="W239" s="84" t="e">
        <f t="shared" ca="1" si="115"/>
        <v>#N/A</v>
      </c>
      <c r="X239" s="64" t="e">
        <f ca="1">OFFSET('360SpcLdsCSV'!$B$5,$B239,X$51)*$P239</f>
        <v>#N/A</v>
      </c>
      <c r="Y239" s="64" t="e">
        <f ca="1">OFFSET('360SpcLdsCSV'!$B$5,$B239,Y$51)*$X239/1000</f>
        <v>#N/A</v>
      </c>
      <c r="Z239" s="84" t="e">
        <f t="shared" ca="1" si="116"/>
        <v>#N/A</v>
      </c>
      <c r="AA239" s="64" t="e">
        <f ca="1">OFFSET('360SpcLdsCSV'!$B$5,$B239,AA$51)*$P239</f>
        <v>#N/A</v>
      </c>
      <c r="AB239" s="64" t="e">
        <f ca="1">OFFSET('360SpcLdsCSV'!$B$5,$B239,AB$51)*$AA239/1000</f>
        <v>#N/A</v>
      </c>
      <c r="AC239" s="65" t="e">
        <f ca="1">'Ltg IntTakeoffs'!EZ194</f>
        <v>#N/A</v>
      </c>
      <c r="AD239" s="64" t="e">
        <f t="shared" ca="1" si="110"/>
        <v>#N/A</v>
      </c>
      <c r="AE239" s="558" t="e">
        <f ca="1">'Ltg IntTakeoffs'!FA194*M239</f>
        <v>#N/A</v>
      </c>
      <c r="AF239" s="559" t="e">
        <f ca="1">'Ltg IntTakeoffs'!FB194*M239</f>
        <v>#N/A</v>
      </c>
      <c r="AG239" s="62"/>
      <c r="AH239" s="62"/>
    </row>
    <row r="240" spans="2:34" ht="15" customHeight="1" x14ac:dyDescent="0.2">
      <c r="B240" s="62" t="e">
        <f>MATCH(C240,'360SpcLdsCSV'!$C$6:$C$500,0)</f>
        <v>#N/A</v>
      </c>
      <c r="C240" s="62">
        <f>'360SpcLdsCSV'!C189</f>
        <v>0</v>
      </c>
      <c r="D240" s="62" t="str">
        <f t="shared" si="111"/>
        <v>0</v>
      </c>
      <c r="E240" s="62" t="e">
        <f t="shared" si="108"/>
        <v>#VALUE!</v>
      </c>
      <c r="F240" s="62" t="e">
        <f t="shared" si="109"/>
        <v>#VALUE!</v>
      </c>
      <c r="G240" s="62" t="str">
        <f t="shared" si="112"/>
        <v>0</v>
      </c>
      <c r="H240" s="62" t="e">
        <f ca="1">OFFSET('360SpcLdsCSV'!$B$5,$B240,H$51)</f>
        <v>#N/A</v>
      </c>
      <c r="I240" s="62" t="e">
        <f ca="1">OFFSET('360SpcLdsCSV'!$B$5,$B240,I$51)</f>
        <v>#N/A</v>
      </c>
      <c r="J240" s="62" t="e">
        <f ca="1">OFFSET('360SpcLdsCSV'!$B$5,$B240,J$51)</f>
        <v>#N/A</v>
      </c>
      <c r="K240" s="62" t="e">
        <f ca="1">OFFSET('360SpcLdsCSV'!$B$5,$B240,K$51)</f>
        <v>#N/A</v>
      </c>
      <c r="L240" s="62" t="e">
        <f ca="1">OFFSET('360SpcLdsCSV'!$B$5,$B240,L$51)</f>
        <v>#N/A</v>
      </c>
      <c r="M240" s="1178" t="e">
        <f t="shared" ca="1" si="117"/>
        <v>#N/A</v>
      </c>
      <c r="N240" s="1178" t="e">
        <f t="shared" ca="1" si="117"/>
        <v>#N/A</v>
      </c>
      <c r="O240" s="62" t="e">
        <f ca="1">OFFSET('360SpcLdsCSV'!$B$5,$B240,O$51)</f>
        <v>#N/A</v>
      </c>
      <c r="P240" s="64" t="e">
        <f ca="1">OFFSET('360SpcLdsCSV'!$B$5,$B240,P$51)</f>
        <v>#N/A</v>
      </c>
      <c r="Q240" s="84" t="e">
        <f t="shared" ca="1" si="113"/>
        <v>#N/A</v>
      </c>
      <c r="R240" s="64" t="e">
        <f ca="1">OFFSET('360SpcLdsCSV'!$B$5,$B240,R$51)*$P240</f>
        <v>#N/A</v>
      </c>
      <c r="S240" s="64" t="e">
        <f ca="1">OFFSET('360SpcLdsCSV'!$B$5,$B240,S$51)*$R240/1000</f>
        <v>#N/A</v>
      </c>
      <c r="T240" s="84" t="e">
        <f t="shared" ca="1" si="114"/>
        <v>#N/A</v>
      </c>
      <c r="U240" s="64" t="e">
        <f ca="1">OFFSET('360SpcLdsCSV'!$B$5,$B240,U$51)</f>
        <v>#N/A</v>
      </c>
      <c r="V240" s="64" t="e">
        <f ca="1">OFFSET('360SpcLdsCSV'!$B$5,$B240,V$51)*$U240/1000</f>
        <v>#N/A</v>
      </c>
      <c r="W240" s="84" t="e">
        <f t="shared" ca="1" si="115"/>
        <v>#N/A</v>
      </c>
      <c r="X240" s="64" t="e">
        <f ca="1">OFFSET('360SpcLdsCSV'!$B$5,$B240,X$51)*$P240</f>
        <v>#N/A</v>
      </c>
      <c r="Y240" s="64" t="e">
        <f ca="1">OFFSET('360SpcLdsCSV'!$B$5,$B240,Y$51)*$X240/1000</f>
        <v>#N/A</v>
      </c>
      <c r="Z240" s="84" t="e">
        <f t="shared" ca="1" si="116"/>
        <v>#N/A</v>
      </c>
      <c r="AA240" s="64" t="e">
        <f ca="1">OFFSET('360SpcLdsCSV'!$B$5,$B240,AA$51)*$P240</f>
        <v>#N/A</v>
      </c>
      <c r="AB240" s="64" t="e">
        <f ca="1">OFFSET('360SpcLdsCSV'!$B$5,$B240,AB$51)*$AA240/1000</f>
        <v>#N/A</v>
      </c>
      <c r="AC240" s="65" t="e">
        <f ca="1">'Ltg IntTakeoffs'!EZ195</f>
        <v>#N/A</v>
      </c>
      <c r="AD240" s="64" t="e">
        <f t="shared" ca="1" si="110"/>
        <v>#N/A</v>
      </c>
      <c r="AE240" s="558" t="e">
        <f ca="1">'Ltg IntTakeoffs'!FA195*M240</f>
        <v>#N/A</v>
      </c>
      <c r="AF240" s="559" t="e">
        <f ca="1">'Ltg IntTakeoffs'!FB195*M240</f>
        <v>#N/A</v>
      </c>
      <c r="AG240" s="62"/>
      <c r="AH240" s="62"/>
    </row>
    <row r="241" spans="2:34" ht="15" customHeight="1" x14ac:dyDescent="0.2">
      <c r="B241" s="62" t="e">
        <f>MATCH(C241,'360SpcLdsCSV'!$C$6:$C$500,0)</f>
        <v>#N/A</v>
      </c>
      <c r="C241" s="62">
        <f>'360SpcLdsCSV'!C190</f>
        <v>0</v>
      </c>
      <c r="D241" s="62" t="str">
        <f t="shared" si="111"/>
        <v>0</v>
      </c>
      <c r="E241" s="62" t="e">
        <f t="shared" si="108"/>
        <v>#VALUE!</v>
      </c>
      <c r="F241" s="62" t="e">
        <f t="shared" si="109"/>
        <v>#VALUE!</v>
      </c>
      <c r="G241" s="62" t="str">
        <f t="shared" si="112"/>
        <v>0</v>
      </c>
      <c r="H241" s="62" t="e">
        <f ca="1">OFFSET('360SpcLdsCSV'!$B$5,$B241,H$51)</f>
        <v>#N/A</v>
      </c>
      <c r="I241" s="62" t="e">
        <f ca="1">OFFSET('360SpcLdsCSV'!$B$5,$B241,I$51)</f>
        <v>#N/A</v>
      </c>
      <c r="J241" s="62" t="e">
        <f ca="1">OFFSET('360SpcLdsCSV'!$B$5,$B241,J$51)</f>
        <v>#N/A</v>
      </c>
      <c r="K241" s="62" t="e">
        <f ca="1">OFFSET('360SpcLdsCSV'!$B$5,$B241,K$51)</f>
        <v>#N/A</v>
      </c>
      <c r="L241" s="62" t="e">
        <f ca="1">OFFSET('360SpcLdsCSV'!$B$5,$B241,L$51)</f>
        <v>#N/A</v>
      </c>
      <c r="M241" s="1178" t="e">
        <f t="shared" ca="1" si="117"/>
        <v>#N/A</v>
      </c>
      <c r="N241" s="1178" t="e">
        <f t="shared" ca="1" si="117"/>
        <v>#N/A</v>
      </c>
      <c r="O241" s="62" t="e">
        <f ca="1">OFFSET('360SpcLdsCSV'!$B$5,$B241,O$51)</f>
        <v>#N/A</v>
      </c>
      <c r="P241" s="64" t="e">
        <f ca="1">OFFSET('360SpcLdsCSV'!$B$5,$B241,P$51)</f>
        <v>#N/A</v>
      </c>
      <c r="Q241" s="84" t="e">
        <f t="shared" ca="1" si="113"/>
        <v>#N/A</v>
      </c>
      <c r="R241" s="64" t="e">
        <f ca="1">OFFSET('360SpcLdsCSV'!$B$5,$B241,R$51)*$P241</f>
        <v>#N/A</v>
      </c>
      <c r="S241" s="64" t="e">
        <f ca="1">OFFSET('360SpcLdsCSV'!$B$5,$B241,S$51)*$R241/1000</f>
        <v>#N/A</v>
      </c>
      <c r="T241" s="84" t="e">
        <f t="shared" ca="1" si="114"/>
        <v>#N/A</v>
      </c>
      <c r="U241" s="64" t="e">
        <f ca="1">OFFSET('360SpcLdsCSV'!$B$5,$B241,U$51)</f>
        <v>#N/A</v>
      </c>
      <c r="V241" s="64" t="e">
        <f ca="1">OFFSET('360SpcLdsCSV'!$B$5,$B241,V$51)*$U241/1000</f>
        <v>#N/A</v>
      </c>
      <c r="W241" s="84" t="e">
        <f t="shared" ca="1" si="115"/>
        <v>#N/A</v>
      </c>
      <c r="X241" s="64" t="e">
        <f ca="1">OFFSET('360SpcLdsCSV'!$B$5,$B241,X$51)*$P241</f>
        <v>#N/A</v>
      </c>
      <c r="Y241" s="64" t="e">
        <f ca="1">OFFSET('360SpcLdsCSV'!$B$5,$B241,Y$51)*$X241/1000</f>
        <v>#N/A</v>
      </c>
      <c r="Z241" s="84" t="e">
        <f t="shared" ca="1" si="116"/>
        <v>#N/A</v>
      </c>
      <c r="AA241" s="64" t="e">
        <f ca="1">OFFSET('360SpcLdsCSV'!$B$5,$B241,AA$51)*$P241</f>
        <v>#N/A</v>
      </c>
      <c r="AB241" s="64" t="e">
        <f ca="1">OFFSET('360SpcLdsCSV'!$B$5,$B241,AB$51)*$AA241/1000</f>
        <v>#N/A</v>
      </c>
      <c r="AC241" s="65" t="e">
        <f ca="1">'Ltg IntTakeoffs'!EZ196</f>
        <v>#N/A</v>
      </c>
      <c r="AD241" s="64" t="e">
        <f t="shared" ca="1" si="110"/>
        <v>#N/A</v>
      </c>
      <c r="AE241" s="558" t="e">
        <f ca="1">'Ltg IntTakeoffs'!FA196*M241</f>
        <v>#N/A</v>
      </c>
      <c r="AF241" s="559" t="e">
        <f ca="1">'Ltg IntTakeoffs'!FB196*M241</f>
        <v>#N/A</v>
      </c>
      <c r="AG241" s="62"/>
      <c r="AH241" s="62"/>
    </row>
    <row r="242" spans="2:34" ht="15" customHeight="1" x14ac:dyDescent="0.2">
      <c r="B242" s="62" t="e">
        <f>MATCH(C242,'360SpcLdsCSV'!$C$6:$C$500,0)</f>
        <v>#N/A</v>
      </c>
      <c r="C242" s="62">
        <f>'360SpcLdsCSV'!C191</f>
        <v>0</v>
      </c>
      <c r="D242" s="62" t="str">
        <f t="shared" si="111"/>
        <v>0</v>
      </c>
      <c r="E242" s="62" t="e">
        <f t="shared" si="108"/>
        <v>#VALUE!</v>
      </c>
      <c r="F242" s="62" t="e">
        <f t="shared" si="109"/>
        <v>#VALUE!</v>
      </c>
      <c r="G242" s="62" t="str">
        <f t="shared" si="112"/>
        <v>0</v>
      </c>
      <c r="H242" s="62" t="e">
        <f ca="1">OFFSET('360SpcLdsCSV'!$B$5,$B242,H$51)</f>
        <v>#N/A</v>
      </c>
      <c r="I242" s="62" t="e">
        <f ca="1">OFFSET('360SpcLdsCSV'!$B$5,$B242,I$51)</f>
        <v>#N/A</v>
      </c>
      <c r="J242" s="62" t="e">
        <f ca="1">OFFSET('360SpcLdsCSV'!$B$5,$B242,J$51)</f>
        <v>#N/A</v>
      </c>
      <c r="K242" s="62" t="e">
        <f ca="1">OFFSET('360SpcLdsCSV'!$B$5,$B242,K$51)</f>
        <v>#N/A</v>
      </c>
      <c r="L242" s="62" t="e">
        <f ca="1">OFFSET('360SpcLdsCSV'!$B$5,$B242,L$51)</f>
        <v>#N/A</v>
      </c>
      <c r="M242" s="1178" t="e">
        <f t="shared" ca="1" si="117"/>
        <v>#N/A</v>
      </c>
      <c r="N242" s="1178" t="e">
        <f t="shared" ca="1" si="117"/>
        <v>#N/A</v>
      </c>
      <c r="O242" s="62" t="e">
        <f ca="1">OFFSET('360SpcLdsCSV'!$B$5,$B242,O$51)</f>
        <v>#N/A</v>
      </c>
      <c r="P242" s="64" t="e">
        <f ca="1">OFFSET('360SpcLdsCSV'!$B$5,$B242,P$51)</f>
        <v>#N/A</v>
      </c>
      <c r="Q242" s="84" t="e">
        <f t="shared" ca="1" si="113"/>
        <v>#N/A</v>
      </c>
      <c r="R242" s="64" t="e">
        <f ca="1">OFFSET('360SpcLdsCSV'!$B$5,$B242,R$51)*$P242</f>
        <v>#N/A</v>
      </c>
      <c r="S242" s="64" t="e">
        <f ca="1">OFFSET('360SpcLdsCSV'!$B$5,$B242,S$51)*$R242/1000</f>
        <v>#N/A</v>
      </c>
      <c r="T242" s="84" t="e">
        <f t="shared" ca="1" si="114"/>
        <v>#N/A</v>
      </c>
      <c r="U242" s="64" t="e">
        <f ca="1">OFFSET('360SpcLdsCSV'!$B$5,$B242,U$51)</f>
        <v>#N/A</v>
      </c>
      <c r="V242" s="64" t="e">
        <f ca="1">OFFSET('360SpcLdsCSV'!$B$5,$B242,V$51)*$U242/1000</f>
        <v>#N/A</v>
      </c>
      <c r="W242" s="84" t="e">
        <f t="shared" ca="1" si="115"/>
        <v>#N/A</v>
      </c>
      <c r="X242" s="64" t="e">
        <f ca="1">OFFSET('360SpcLdsCSV'!$B$5,$B242,X$51)*$P242</f>
        <v>#N/A</v>
      </c>
      <c r="Y242" s="64" t="e">
        <f ca="1">OFFSET('360SpcLdsCSV'!$B$5,$B242,Y$51)*$X242/1000</f>
        <v>#N/A</v>
      </c>
      <c r="Z242" s="84" t="e">
        <f t="shared" ca="1" si="116"/>
        <v>#N/A</v>
      </c>
      <c r="AA242" s="64" t="e">
        <f ca="1">OFFSET('360SpcLdsCSV'!$B$5,$B242,AA$51)*$P242</f>
        <v>#N/A</v>
      </c>
      <c r="AB242" s="64" t="e">
        <f ca="1">OFFSET('360SpcLdsCSV'!$B$5,$B242,AB$51)*$AA242/1000</f>
        <v>#N/A</v>
      </c>
      <c r="AC242" s="65" t="e">
        <f ca="1">'Ltg IntTakeoffs'!EZ197</f>
        <v>#N/A</v>
      </c>
      <c r="AD242" s="64" t="e">
        <f t="shared" ca="1" si="110"/>
        <v>#N/A</v>
      </c>
      <c r="AE242" s="558" t="e">
        <f ca="1">'Ltg IntTakeoffs'!FA197*M242</f>
        <v>#N/A</v>
      </c>
      <c r="AF242" s="559" t="e">
        <f ca="1">'Ltg IntTakeoffs'!FB197*M242</f>
        <v>#N/A</v>
      </c>
      <c r="AG242" s="62"/>
      <c r="AH242" s="62"/>
    </row>
    <row r="243" spans="2:34" ht="15" customHeight="1" x14ac:dyDescent="0.2">
      <c r="B243" s="62" t="e">
        <f>MATCH(C243,'360SpcLdsCSV'!$C$6:$C$500,0)</f>
        <v>#N/A</v>
      </c>
      <c r="C243" s="62">
        <f>'360SpcLdsCSV'!C192</f>
        <v>0</v>
      </c>
      <c r="D243" s="62" t="str">
        <f t="shared" si="111"/>
        <v>0</v>
      </c>
      <c r="E243" s="62" t="e">
        <f t="shared" si="108"/>
        <v>#VALUE!</v>
      </c>
      <c r="F243" s="62" t="e">
        <f t="shared" si="109"/>
        <v>#VALUE!</v>
      </c>
      <c r="G243" s="62" t="str">
        <f t="shared" si="112"/>
        <v>0</v>
      </c>
      <c r="H243" s="62" t="e">
        <f ca="1">OFFSET('360SpcLdsCSV'!$B$5,$B243,H$51)</f>
        <v>#N/A</v>
      </c>
      <c r="I243" s="62" t="e">
        <f ca="1">OFFSET('360SpcLdsCSV'!$B$5,$B243,I$51)</f>
        <v>#N/A</v>
      </c>
      <c r="J243" s="62" t="e">
        <f ca="1">OFFSET('360SpcLdsCSV'!$B$5,$B243,J$51)</f>
        <v>#N/A</v>
      </c>
      <c r="K243" s="62" t="e">
        <f ca="1">OFFSET('360SpcLdsCSV'!$B$5,$B243,K$51)</f>
        <v>#N/A</v>
      </c>
      <c r="L243" s="62" t="e">
        <f ca="1">OFFSET('360SpcLdsCSV'!$B$5,$B243,L$51)</f>
        <v>#N/A</v>
      </c>
      <c r="M243" s="1178" t="e">
        <f t="shared" ca="1" si="117"/>
        <v>#N/A</v>
      </c>
      <c r="N243" s="1178" t="e">
        <f t="shared" ca="1" si="117"/>
        <v>#N/A</v>
      </c>
      <c r="O243" s="62" t="e">
        <f ca="1">OFFSET('360SpcLdsCSV'!$B$5,$B243,O$51)</f>
        <v>#N/A</v>
      </c>
      <c r="P243" s="64" t="e">
        <f ca="1">OFFSET('360SpcLdsCSV'!$B$5,$B243,P$51)</f>
        <v>#N/A</v>
      </c>
      <c r="Q243" s="84" t="e">
        <f t="shared" ca="1" si="113"/>
        <v>#N/A</v>
      </c>
      <c r="R243" s="64" t="e">
        <f ca="1">OFFSET('360SpcLdsCSV'!$B$5,$B243,R$51)*$P243</f>
        <v>#N/A</v>
      </c>
      <c r="S243" s="64" t="e">
        <f ca="1">OFFSET('360SpcLdsCSV'!$B$5,$B243,S$51)*$R243/1000</f>
        <v>#N/A</v>
      </c>
      <c r="T243" s="84" t="e">
        <f t="shared" ca="1" si="114"/>
        <v>#N/A</v>
      </c>
      <c r="U243" s="64" t="e">
        <f ca="1">OFFSET('360SpcLdsCSV'!$B$5,$B243,U$51)</f>
        <v>#N/A</v>
      </c>
      <c r="V243" s="64" t="e">
        <f ca="1">OFFSET('360SpcLdsCSV'!$B$5,$B243,V$51)*$U243/1000</f>
        <v>#N/A</v>
      </c>
      <c r="W243" s="84" t="e">
        <f t="shared" ca="1" si="115"/>
        <v>#N/A</v>
      </c>
      <c r="X243" s="64" t="e">
        <f ca="1">OFFSET('360SpcLdsCSV'!$B$5,$B243,X$51)*$P243</f>
        <v>#N/A</v>
      </c>
      <c r="Y243" s="64" t="e">
        <f ca="1">OFFSET('360SpcLdsCSV'!$B$5,$B243,Y$51)*$X243/1000</f>
        <v>#N/A</v>
      </c>
      <c r="Z243" s="84" t="e">
        <f t="shared" ca="1" si="116"/>
        <v>#N/A</v>
      </c>
      <c r="AA243" s="64" t="e">
        <f ca="1">OFFSET('360SpcLdsCSV'!$B$5,$B243,AA$51)*$P243</f>
        <v>#N/A</v>
      </c>
      <c r="AB243" s="64" t="e">
        <f ca="1">OFFSET('360SpcLdsCSV'!$B$5,$B243,AB$51)*$AA243/1000</f>
        <v>#N/A</v>
      </c>
      <c r="AC243" s="65" t="e">
        <f ca="1">'Ltg IntTakeoffs'!EZ198</f>
        <v>#N/A</v>
      </c>
      <c r="AD243" s="64" t="e">
        <f t="shared" ca="1" si="110"/>
        <v>#N/A</v>
      </c>
      <c r="AE243" s="558" t="e">
        <f ca="1">'Ltg IntTakeoffs'!FA198*M243</f>
        <v>#N/A</v>
      </c>
      <c r="AF243" s="559" t="e">
        <f ca="1">'Ltg IntTakeoffs'!FB198*M243</f>
        <v>#N/A</v>
      </c>
      <c r="AG243" s="62"/>
      <c r="AH243" s="62"/>
    </row>
    <row r="244" spans="2:34" ht="15" customHeight="1" x14ac:dyDescent="0.2">
      <c r="B244" s="62" t="e">
        <f>MATCH(C244,'360SpcLdsCSV'!$C$6:$C$500,0)</f>
        <v>#N/A</v>
      </c>
      <c r="C244" s="62">
        <f>'360SpcLdsCSV'!C193</f>
        <v>0</v>
      </c>
      <c r="D244" s="62" t="str">
        <f t="shared" si="111"/>
        <v>0</v>
      </c>
      <c r="E244" s="62" t="e">
        <f t="shared" si="108"/>
        <v>#VALUE!</v>
      </c>
      <c r="F244" s="62" t="e">
        <f t="shared" si="109"/>
        <v>#VALUE!</v>
      </c>
      <c r="G244" s="62" t="str">
        <f t="shared" si="112"/>
        <v>0</v>
      </c>
      <c r="H244" s="62" t="e">
        <f ca="1">OFFSET('360SpcLdsCSV'!$B$5,$B244,H$51)</f>
        <v>#N/A</v>
      </c>
      <c r="I244" s="62" t="e">
        <f ca="1">OFFSET('360SpcLdsCSV'!$B$5,$B244,I$51)</f>
        <v>#N/A</v>
      </c>
      <c r="J244" s="62" t="e">
        <f ca="1">OFFSET('360SpcLdsCSV'!$B$5,$B244,J$51)</f>
        <v>#N/A</v>
      </c>
      <c r="K244" s="62" t="e">
        <f ca="1">OFFSET('360SpcLdsCSV'!$B$5,$B244,K$51)</f>
        <v>#N/A</v>
      </c>
      <c r="L244" s="62" t="e">
        <f ca="1">OFFSET('360SpcLdsCSV'!$B$5,$B244,L$51)</f>
        <v>#N/A</v>
      </c>
      <c r="M244" s="1178" t="e">
        <f t="shared" ca="1" si="117"/>
        <v>#N/A</v>
      </c>
      <c r="N244" s="1178" t="e">
        <f t="shared" ca="1" si="117"/>
        <v>#N/A</v>
      </c>
      <c r="O244" s="62" t="e">
        <f ca="1">OFFSET('360SpcLdsCSV'!$B$5,$B244,O$51)</f>
        <v>#N/A</v>
      </c>
      <c r="P244" s="64" t="e">
        <f ca="1">OFFSET('360SpcLdsCSV'!$B$5,$B244,P$51)</f>
        <v>#N/A</v>
      </c>
      <c r="Q244" s="84" t="e">
        <f t="shared" ca="1" si="113"/>
        <v>#N/A</v>
      </c>
      <c r="R244" s="64" t="e">
        <f ca="1">OFFSET('360SpcLdsCSV'!$B$5,$B244,R$51)*$P244</f>
        <v>#N/A</v>
      </c>
      <c r="S244" s="64" t="e">
        <f ca="1">OFFSET('360SpcLdsCSV'!$B$5,$B244,S$51)*$R244/1000</f>
        <v>#N/A</v>
      </c>
      <c r="T244" s="84" t="e">
        <f t="shared" ca="1" si="114"/>
        <v>#N/A</v>
      </c>
      <c r="U244" s="64" t="e">
        <f ca="1">OFFSET('360SpcLdsCSV'!$B$5,$B244,U$51)</f>
        <v>#N/A</v>
      </c>
      <c r="V244" s="64" t="e">
        <f ca="1">OFFSET('360SpcLdsCSV'!$B$5,$B244,V$51)*$U244/1000</f>
        <v>#N/A</v>
      </c>
      <c r="W244" s="84" t="e">
        <f t="shared" ca="1" si="115"/>
        <v>#N/A</v>
      </c>
      <c r="X244" s="64" t="e">
        <f ca="1">OFFSET('360SpcLdsCSV'!$B$5,$B244,X$51)*$P244</f>
        <v>#N/A</v>
      </c>
      <c r="Y244" s="64" t="e">
        <f ca="1">OFFSET('360SpcLdsCSV'!$B$5,$B244,Y$51)*$X244/1000</f>
        <v>#N/A</v>
      </c>
      <c r="Z244" s="84" t="e">
        <f t="shared" ca="1" si="116"/>
        <v>#N/A</v>
      </c>
      <c r="AA244" s="64" t="e">
        <f ca="1">OFFSET('360SpcLdsCSV'!$B$5,$B244,AA$51)*$P244</f>
        <v>#N/A</v>
      </c>
      <c r="AB244" s="64" t="e">
        <f ca="1">OFFSET('360SpcLdsCSV'!$B$5,$B244,AB$51)*$AA244/1000</f>
        <v>#N/A</v>
      </c>
      <c r="AC244" s="65" t="e">
        <f ca="1">'Ltg IntTakeoffs'!EZ199</f>
        <v>#N/A</v>
      </c>
      <c r="AD244" s="64" t="e">
        <f t="shared" ca="1" si="110"/>
        <v>#N/A</v>
      </c>
      <c r="AE244" s="558" t="e">
        <f ca="1">'Ltg IntTakeoffs'!FA199*M244</f>
        <v>#N/A</v>
      </c>
      <c r="AF244" s="559" t="e">
        <f ca="1">'Ltg IntTakeoffs'!FB199*M244</f>
        <v>#N/A</v>
      </c>
      <c r="AG244" s="62"/>
      <c r="AH244" s="62"/>
    </row>
    <row r="245" spans="2:34" ht="15" customHeight="1" x14ac:dyDescent="0.2">
      <c r="B245" s="62" t="e">
        <f>MATCH(C245,'360SpcLdsCSV'!$C$6:$C$500,0)</f>
        <v>#N/A</v>
      </c>
      <c r="C245" s="62">
        <f>'360SpcLdsCSV'!C194</f>
        <v>0</v>
      </c>
      <c r="D245" s="62" t="str">
        <f t="shared" si="111"/>
        <v>0</v>
      </c>
      <c r="E245" s="62" t="e">
        <f t="shared" si="108"/>
        <v>#VALUE!</v>
      </c>
      <c r="F245" s="62" t="e">
        <f t="shared" si="109"/>
        <v>#VALUE!</v>
      </c>
      <c r="G245" s="62" t="str">
        <f t="shared" si="112"/>
        <v>0</v>
      </c>
      <c r="H245" s="62" t="e">
        <f ca="1">OFFSET('360SpcLdsCSV'!$B$5,$B245,H$51)</f>
        <v>#N/A</v>
      </c>
      <c r="I245" s="62" t="e">
        <f ca="1">OFFSET('360SpcLdsCSV'!$B$5,$B245,I$51)</f>
        <v>#N/A</v>
      </c>
      <c r="J245" s="62" t="e">
        <f ca="1">OFFSET('360SpcLdsCSV'!$B$5,$B245,J$51)</f>
        <v>#N/A</v>
      </c>
      <c r="K245" s="62" t="e">
        <f ca="1">OFFSET('360SpcLdsCSV'!$B$5,$B245,K$51)</f>
        <v>#N/A</v>
      </c>
      <c r="L245" s="62" t="e">
        <f ca="1">OFFSET('360SpcLdsCSV'!$B$5,$B245,L$51)</f>
        <v>#N/A</v>
      </c>
      <c r="M245" s="1178" t="e">
        <f t="shared" ca="1" si="117"/>
        <v>#N/A</v>
      </c>
      <c r="N245" s="1178" t="e">
        <f t="shared" ca="1" si="117"/>
        <v>#N/A</v>
      </c>
      <c r="O245" s="62" t="e">
        <f ca="1">OFFSET('360SpcLdsCSV'!$B$5,$B245,O$51)</f>
        <v>#N/A</v>
      </c>
      <c r="P245" s="64" t="e">
        <f ca="1">OFFSET('360SpcLdsCSV'!$B$5,$B245,P$51)</f>
        <v>#N/A</v>
      </c>
      <c r="Q245" s="84" t="e">
        <f t="shared" ca="1" si="113"/>
        <v>#N/A</v>
      </c>
      <c r="R245" s="64" t="e">
        <f ca="1">OFFSET('360SpcLdsCSV'!$B$5,$B245,R$51)*$P245</f>
        <v>#N/A</v>
      </c>
      <c r="S245" s="64" t="e">
        <f ca="1">OFFSET('360SpcLdsCSV'!$B$5,$B245,S$51)*$R245/1000</f>
        <v>#N/A</v>
      </c>
      <c r="T245" s="84" t="e">
        <f t="shared" ca="1" si="114"/>
        <v>#N/A</v>
      </c>
      <c r="U245" s="64" t="e">
        <f ca="1">OFFSET('360SpcLdsCSV'!$B$5,$B245,U$51)</f>
        <v>#N/A</v>
      </c>
      <c r="V245" s="64" t="e">
        <f ca="1">OFFSET('360SpcLdsCSV'!$B$5,$B245,V$51)*$U245/1000</f>
        <v>#N/A</v>
      </c>
      <c r="W245" s="84" t="e">
        <f t="shared" ca="1" si="115"/>
        <v>#N/A</v>
      </c>
      <c r="X245" s="64" t="e">
        <f ca="1">OFFSET('360SpcLdsCSV'!$B$5,$B245,X$51)*$P245</f>
        <v>#N/A</v>
      </c>
      <c r="Y245" s="64" t="e">
        <f ca="1">OFFSET('360SpcLdsCSV'!$B$5,$B245,Y$51)*$X245/1000</f>
        <v>#N/A</v>
      </c>
      <c r="Z245" s="84" t="e">
        <f t="shared" ca="1" si="116"/>
        <v>#N/A</v>
      </c>
      <c r="AA245" s="64" t="e">
        <f ca="1">OFFSET('360SpcLdsCSV'!$B$5,$B245,AA$51)*$P245</f>
        <v>#N/A</v>
      </c>
      <c r="AB245" s="64" t="e">
        <f ca="1">OFFSET('360SpcLdsCSV'!$B$5,$B245,AB$51)*$AA245/1000</f>
        <v>#N/A</v>
      </c>
      <c r="AC245" s="65" t="e">
        <f ca="1">'Ltg IntTakeoffs'!EZ200</f>
        <v>#N/A</v>
      </c>
      <c r="AD245" s="64" t="e">
        <f t="shared" ca="1" si="110"/>
        <v>#N/A</v>
      </c>
      <c r="AE245" s="558" t="e">
        <f ca="1">'Ltg IntTakeoffs'!FA200*M245</f>
        <v>#N/A</v>
      </c>
      <c r="AF245" s="559" t="e">
        <f ca="1">'Ltg IntTakeoffs'!FB200*M245</f>
        <v>#N/A</v>
      </c>
      <c r="AG245" s="62"/>
      <c r="AH245" s="62"/>
    </row>
    <row r="246" spans="2:34" ht="15" customHeight="1" x14ac:dyDescent="0.2">
      <c r="B246" s="62" t="e">
        <f>MATCH(C246,'360SpcLdsCSV'!$C$6:$C$500,0)</f>
        <v>#N/A</v>
      </c>
      <c r="C246" s="62">
        <f>'360SpcLdsCSV'!C195</f>
        <v>0</v>
      </c>
      <c r="D246" s="62" t="str">
        <f t="shared" si="111"/>
        <v>0</v>
      </c>
      <c r="E246" s="62" t="e">
        <f t="shared" si="108"/>
        <v>#VALUE!</v>
      </c>
      <c r="F246" s="62" t="e">
        <f t="shared" si="109"/>
        <v>#VALUE!</v>
      </c>
      <c r="G246" s="62" t="str">
        <f t="shared" si="112"/>
        <v>0</v>
      </c>
      <c r="H246" s="62" t="e">
        <f ca="1">OFFSET('360SpcLdsCSV'!$B$5,$B246,H$51)</f>
        <v>#N/A</v>
      </c>
      <c r="I246" s="62" t="e">
        <f ca="1">OFFSET('360SpcLdsCSV'!$B$5,$B246,I$51)</f>
        <v>#N/A</v>
      </c>
      <c r="J246" s="62" t="e">
        <f ca="1">OFFSET('360SpcLdsCSV'!$B$5,$B246,J$51)</f>
        <v>#N/A</v>
      </c>
      <c r="K246" s="62" t="e">
        <f ca="1">OFFSET('360SpcLdsCSV'!$B$5,$B246,K$51)</f>
        <v>#N/A</v>
      </c>
      <c r="L246" s="62" t="e">
        <f ca="1">OFFSET('360SpcLdsCSV'!$B$5,$B246,L$51)</f>
        <v>#N/A</v>
      </c>
      <c r="M246" s="1178" t="e">
        <f t="shared" ca="1" si="117"/>
        <v>#N/A</v>
      </c>
      <c r="N246" s="1178" t="e">
        <f t="shared" ca="1" si="117"/>
        <v>#N/A</v>
      </c>
      <c r="O246" s="62" t="e">
        <f ca="1">OFFSET('360SpcLdsCSV'!$B$5,$B246,O$51)</f>
        <v>#N/A</v>
      </c>
      <c r="P246" s="64" t="e">
        <f ca="1">OFFSET('360SpcLdsCSV'!$B$5,$B246,P$51)</f>
        <v>#N/A</v>
      </c>
      <c r="Q246" s="84" t="e">
        <f t="shared" ca="1" si="113"/>
        <v>#N/A</v>
      </c>
      <c r="R246" s="64" t="e">
        <f ca="1">OFFSET('360SpcLdsCSV'!$B$5,$B246,R$51)*$P246</f>
        <v>#N/A</v>
      </c>
      <c r="S246" s="64" t="e">
        <f ca="1">OFFSET('360SpcLdsCSV'!$B$5,$B246,S$51)*$R246/1000</f>
        <v>#N/A</v>
      </c>
      <c r="T246" s="84" t="e">
        <f t="shared" ca="1" si="114"/>
        <v>#N/A</v>
      </c>
      <c r="U246" s="64" t="e">
        <f ca="1">OFFSET('360SpcLdsCSV'!$B$5,$B246,U$51)</f>
        <v>#N/A</v>
      </c>
      <c r="V246" s="64" t="e">
        <f ca="1">OFFSET('360SpcLdsCSV'!$B$5,$B246,V$51)*$U246/1000</f>
        <v>#N/A</v>
      </c>
      <c r="W246" s="84" t="e">
        <f t="shared" ca="1" si="115"/>
        <v>#N/A</v>
      </c>
      <c r="X246" s="64" t="e">
        <f ca="1">OFFSET('360SpcLdsCSV'!$B$5,$B246,X$51)*$P246</f>
        <v>#N/A</v>
      </c>
      <c r="Y246" s="64" t="e">
        <f ca="1">OFFSET('360SpcLdsCSV'!$B$5,$B246,Y$51)*$X246/1000</f>
        <v>#N/A</v>
      </c>
      <c r="Z246" s="84" t="e">
        <f t="shared" ca="1" si="116"/>
        <v>#N/A</v>
      </c>
      <c r="AA246" s="64" t="e">
        <f ca="1">OFFSET('360SpcLdsCSV'!$B$5,$B246,AA$51)*$P246</f>
        <v>#N/A</v>
      </c>
      <c r="AB246" s="64" t="e">
        <f ca="1">OFFSET('360SpcLdsCSV'!$B$5,$B246,AB$51)*$AA246/1000</f>
        <v>#N/A</v>
      </c>
      <c r="AC246" s="65" t="e">
        <f ca="1">'Ltg IntTakeoffs'!EZ201</f>
        <v>#N/A</v>
      </c>
      <c r="AD246" s="64" t="e">
        <f t="shared" ca="1" si="110"/>
        <v>#N/A</v>
      </c>
      <c r="AE246" s="558" t="e">
        <f ca="1">'Ltg IntTakeoffs'!FA201*M246</f>
        <v>#N/A</v>
      </c>
      <c r="AF246" s="559" t="e">
        <f ca="1">'Ltg IntTakeoffs'!FB201*M246</f>
        <v>#N/A</v>
      </c>
      <c r="AG246" s="62"/>
      <c r="AH246" s="62"/>
    </row>
    <row r="247" spans="2:34" ht="15" customHeight="1" x14ac:dyDescent="0.2">
      <c r="B247" s="62" t="e">
        <f>MATCH(C247,'360SpcLdsCSV'!$C$6:$C$500,0)</f>
        <v>#N/A</v>
      </c>
      <c r="C247" s="62">
        <f>'360SpcLdsCSV'!C196</f>
        <v>0</v>
      </c>
      <c r="D247" s="62" t="str">
        <f t="shared" si="111"/>
        <v>0</v>
      </c>
      <c r="E247" s="62" t="e">
        <f t="shared" si="108"/>
        <v>#VALUE!</v>
      </c>
      <c r="F247" s="62" t="e">
        <f t="shared" si="109"/>
        <v>#VALUE!</v>
      </c>
      <c r="G247" s="62" t="str">
        <f t="shared" si="112"/>
        <v>0</v>
      </c>
      <c r="H247" s="62" t="e">
        <f ca="1">OFFSET('360SpcLdsCSV'!$B$5,$B247,H$51)</f>
        <v>#N/A</v>
      </c>
      <c r="I247" s="62" t="e">
        <f ca="1">OFFSET('360SpcLdsCSV'!$B$5,$B247,I$51)</f>
        <v>#N/A</v>
      </c>
      <c r="J247" s="62" t="e">
        <f ca="1">OFFSET('360SpcLdsCSV'!$B$5,$B247,J$51)</f>
        <v>#N/A</v>
      </c>
      <c r="K247" s="62" t="e">
        <f ca="1">OFFSET('360SpcLdsCSV'!$B$5,$B247,K$51)</f>
        <v>#N/A</v>
      </c>
      <c r="L247" s="62" t="e">
        <f ca="1">OFFSET('360SpcLdsCSV'!$B$5,$B247,L$51)</f>
        <v>#N/A</v>
      </c>
      <c r="M247" s="1178" t="e">
        <f t="shared" ca="1" si="117"/>
        <v>#N/A</v>
      </c>
      <c r="N247" s="1178" t="e">
        <f t="shared" ca="1" si="117"/>
        <v>#N/A</v>
      </c>
      <c r="O247" s="62" t="e">
        <f ca="1">OFFSET('360SpcLdsCSV'!$B$5,$B247,O$51)</f>
        <v>#N/A</v>
      </c>
      <c r="P247" s="64" t="e">
        <f ca="1">OFFSET('360SpcLdsCSV'!$B$5,$B247,P$51)</f>
        <v>#N/A</v>
      </c>
      <c r="Q247" s="84" t="e">
        <f t="shared" ca="1" si="113"/>
        <v>#N/A</v>
      </c>
      <c r="R247" s="64" t="e">
        <f ca="1">OFFSET('360SpcLdsCSV'!$B$5,$B247,R$51)*$P247</f>
        <v>#N/A</v>
      </c>
      <c r="S247" s="64" t="e">
        <f ca="1">OFFSET('360SpcLdsCSV'!$B$5,$B247,S$51)*$R247/1000</f>
        <v>#N/A</v>
      </c>
      <c r="T247" s="84" t="e">
        <f t="shared" ca="1" si="114"/>
        <v>#N/A</v>
      </c>
      <c r="U247" s="64" t="e">
        <f ca="1">OFFSET('360SpcLdsCSV'!$B$5,$B247,U$51)</f>
        <v>#N/A</v>
      </c>
      <c r="V247" s="64" t="e">
        <f ca="1">OFFSET('360SpcLdsCSV'!$B$5,$B247,V$51)*$U247/1000</f>
        <v>#N/A</v>
      </c>
      <c r="W247" s="84" t="e">
        <f t="shared" ca="1" si="115"/>
        <v>#N/A</v>
      </c>
      <c r="X247" s="64" t="e">
        <f ca="1">OFFSET('360SpcLdsCSV'!$B$5,$B247,X$51)*$P247</f>
        <v>#N/A</v>
      </c>
      <c r="Y247" s="64" t="e">
        <f ca="1">OFFSET('360SpcLdsCSV'!$B$5,$B247,Y$51)*$X247/1000</f>
        <v>#N/A</v>
      </c>
      <c r="Z247" s="84" t="e">
        <f t="shared" ca="1" si="116"/>
        <v>#N/A</v>
      </c>
      <c r="AA247" s="64" t="e">
        <f ca="1">OFFSET('360SpcLdsCSV'!$B$5,$B247,AA$51)*$P247</f>
        <v>#N/A</v>
      </c>
      <c r="AB247" s="64" t="e">
        <f ca="1">OFFSET('360SpcLdsCSV'!$B$5,$B247,AB$51)*$AA247/1000</f>
        <v>#N/A</v>
      </c>
      <c r="AC247" s="65" t="e">
        <f ca="1">'Ltg IntTakeoffs'!EZ202</f>
        <v>#N/A</v>
      </c>
      <c r="AD247" s="64" t="e">
        <f t="shared" ca="1" si="110"/>
        <v>#N/A</v>
      </c>
      <c r="AE247" s="558" t="e">
        <f ca="1">'Ltg IntTakeoffs'!FA202*M247</f>
        <v>#N/A</v>
      </c>
      <c r="AF247" s="559" t="e">
        <f ca="1">'Ltg IntTakeoffs'!FB202*M247</f>
        <v>#N/A</v>
      </c>
      <c r="AG247" s="62"/>
      <c r="AH247" s="62"/>
    </row>
    <row r="248" spans="2:34" ht="15" customHeight="1" x14ac:dyDescent="0.2">
      <c r="B248" s="62" t="e">
        <f>MATCH(C248,'360SpcLdsCSV'!$C$6:$C$500,0)</f>
        <v>#N/A</v>
      </c>
      <c r="C248" s="62">
        <f>'360SpcLdsCSV'!C197</f>
        <v>0</v>
      </c>
      <c r="D248" s="62" t="str">
        <f t="shared" si="111"/>
        <v>0</v>
      </c>
      <c r="E248" s="62" t="e">
        <f t="shared" si="108"/>
        <v>#VALUE!</v>
      </c>
      <c r="F248" s="62" t="e">
        <f t="shared" si="109"/>
        <v>#VALUE!</v>
      </c>
      <c r="G248" s="62" t="str">
        <f t="shared" si="112"/>
        <v>0</v>
      </c>
      <c r="H248" s="62" t="e">
        <f ca="1">OFFSET('360SpcLdsCSV'!$B$5,$B248,H$51)</f>
        <v>#N/A</v>
      </c>
      <c r="I248" s="62" t="e">
        <f ca="1">OFFSET('360SpcLdsCSV'!$B$5,$B248,I$51)</f>
        <v>#N/A</v>
      </c>
      <c r="J248" s="62" t="e">
        <f ca="1">OFFSET('360SpcLdsCSV'!$B$5,$B248,J$51)</f>
        <v>#N/A</v>
      </c>
      <c r="K248" s="62" t="e">
        <f ca="1">OFFSET('360SpcLdsCSV'!$B$5,$B248,K$51)</f>
        <v>#N/A</v>
      </c>
      <c r="L248" s="62" t="e">
        <f ca="1">OFFSET('360SpcLdsCSV'!$B$5,$B248,L$51)</f>
        <v>#N/A</v>
      </c>
      <c r="M248" s="1178" t="e">
        <f t="shared" ca="1" si="117"/>
        <v>#N/A</v>
      </c>
      <c r="N248" s="1178" t="e">
        <f t="shared" ca="1" si="117"/>
        <v>#N/A</v>
      </c>
      <c r="O248" s="62" t="e">
        <f ca="1">OFFSET('360SpcLdsCSV'!$B$5,$B248,O$51)</f>
        <v>#N/A</v>
      </c>
      <c r="P248" s="64" t="e">
        <f ca="1">OFFSET('360SpcLdsCSV'!$B$5,$B248,P$51)</f>
        <v>#N/A</v>
      </c>
      <c r="Q248" s="84" t="e">
        <f t="shared" ca="1" si="113"/>
        <v>#N/A</v>
      </c>
      <c r="R248" s="64" t="e">
        <f ca="1">OFFSET('360SpcLdsCSV'!$B$5,$B248,R$51)*$P248</f>
        <v>#N/A</v>
      </c>
      <c r="S248" s="64" t="e">
        <f ca="1">OFFSET('360SpcLdsCSV'!$B$5,$B248,S$51)*$R248/1000</f>
        <v>#N/A</v>
      </c>
      <c r="T248" s="84" t="e">
        <f t="shared" ca="1" si="114"/>
        <v>#N/A</v>
      </c>
      <c r="U248" s="64" t="e">
        <f ca="1">OFFSET('360SpcLdsCSV'!$B$5,$B248,U$51)</f>
        <v>#N/A</v>
      </c>
      <c r="V248" s="64" t="e">
        <f ca="1">OFFSET('360SpcLdsCSV'!$B$5,$B248,V$51)*$U248/1000</f>
        <v>#N/A</v>
      </c>
      <c r="W248" s="84" t="e">
        <f t="shared" ca="1" si="115"/>
        <v>#N/A</v>
      </c>
      <c r="X248" s="64" t="e">
        <f ca="1">OFFSET('360SpcLdsCSV'!$B$5,$B248,X$51)*$P248</f>
        <v>#N/A</v>
      </c>
      <c r="Y248" s="64" t="e">
        <f ca="1">OFFSET('360SpcLdsCSV'!$B$5,$B248,Y$51)*$X248/1000</f>
        <v>#N/A</v>
      </c>
      <c r="Z248" s="84" t="e">
        <f t="shared" ca="1" si="116"/>
        <v>#N/A</v>
      </c>
      <c r="AA248" s="64" t="e">
        <f ca="1">OFFSET('360SpcLdsCSV'!$B$5,$B248,AA$51)*$P248</f>
        <v>#N/A</v>
      </c>
      <c r="AB248" s="64" t="e">
        <f ca="1">OFFSET('360SpcLdsCSV'!$B$5,$B248,AB$51)*$AA248/1000</f>
        <v>#N/A</v>
      </c>
      <c r="AC248" s="65" t="e">
        <f ca="1">'Ltg IntTakeoffs'!EZ203</f>
        <v>#N/A</v>
      </c>
      <c r="AD248" s="64" t="e">
        <f t="shared" ca="1" si="110"/>
        <v>#N/A</v>
      </c>
      <c r="AE248" s="558" t="e">
        <f ca="1">'Ltg IntTakeoffs'!FA203*M248</f>
        <v>#N/A</v>
      </c>
      <c r="AF248" s="559" t="e">
        <f ca="1">'Ltg IntTakeoffs'!FB203*M248</f>
        <v>#N/A</v>
      </c>
      <c r="AG248" s="62"/>
      <c r="AH248" s="62"/>
    </row>
    <row r="249" spans="2:34" ht="15" customHeight="1" x14ac:dyDescent="0.2">
      <c r="B249" s="62" t="e">
        <f>MATCH(C249,'360SpcLdsCSV'!$C$6:$C$500,0)</f>
        <v>#N/A</v>
      </c>
      <c r="C249" s="62">
        <f>'360SpcLdsCSV'!C198</f>
        <v>0</v>
      </c>
      <c r="D249" s="62" t="str">
        <f t="shared" si="111"/>
        <v>0</v>
      </c>
      <c r="E249" s="62" t="e">
        <f t="shared" si="108"/>
        <v>#VALUE!</v>
      </c>
      <c r="F249" s="62" t="e">
        <f t="shared" si="109"/>
        <v>#VALUE!</v>
      </c>
      <c r="G249" s="62" t="str">
        <f t="shared" si="112"/>
        <v>0</v>
      </c>
      <c r="H249" s="62" t="e">
        <f ca="1">OFFSET('360SpcLdsCSV'!$B$5,$B249,H$51)</f>
        <v>#N/A</v>
      </c>
      <c r="I249" s="62" t="e">
        <f ca="1">OFFSET('360SpcLdsCSV'!$B$5,$B249,I$51)</f>
        <v>#N/A</v>
      </c>
      <c r="J249" s="62" t="e">
        <f ca="1">OFFSET('360SpcLdsCSV'!$B$5,$B249,J$51)</f>
        <v>#N/A</v>
      </c>
      <c r="K249" s="62" t="e">
        <f ca="1">OFFSET('360SpcLdsCSV'!$B$5,$B249,K$51)</f>
        <v>#N/A</v>
      </c>
      <c r="L249" s="62" t="e">
        <f ca="1">OFFSET('360SpcLdsCSV'!$B$5,$B249,L$51)</f>
        <v>#N/A</v>
      </c>
      <c r="M249" s="1178" t="e">
        <f t="shared" ca="1" si="117"/>
        <v>#N/A</v>
      </c>
      <c r="N249" s="1178" t="e">
        <f t="shared" ca="1" si="117"/>
        <v>#N/A</v>
      </c>
      <c r="O249" s="62" t="e">
        <f ca="1">OFFSET('360SpcLdsCSV'!$B$5,$B249,O$51)</f>
        <v>#N/A</v>
      </c>
      <c r="P249" s="64" t="e">
        <f ca="1">OFFSET('360SpcLdsCSV'!$B$5,$B249,P$51)</f>
        <v>#N/A</v>
      </c>
      <c r="Q249" s="84" t="e">
        <f t="shared" ca="1" si="113"/>
        <v>#N/A</v>
      </c>
      <c r="R249" s="64" t="e">
        <f ca="1">OFFSET('360SpcLdsCSV'!$B$5,$B249,R$51)*$P249</f>
        <v>#N/A</v>
      </c>
      <c r="S249" s="64" t="e">
        <f ca="1">OFFSET('360SpcLdsCSV'!$B$5,$B249,S$51)*$R249/1000</f>
        <v>#N/A</v>
      </c>
      <c r="T249" s="84" t="e">
        <f t="shared" ca="1" si="114"/>
        <v>#N/A</v>
      </c>
      <c r="U249" s="64" t="e">
        <f ca="1">OFFSET('360SpcLdsCSV'!$B$5,$B249,U$51)</f>
        <v>#N/A</v>
      </c>
      <c r="V249" s="64" t="e">
        <f ca="1">OFFSET('360SpcLdsCSV'!$B$5,$B249,V$51)*$U249/1000</f>
        <v>#N/A</v>
      </c>
      <c r="W249" s="84" t="e">
        <f t="shared" ca="1" si="115"/>
        <v>#N/A</v>
      </c>
      <c r="X249" s="64" t="e">
        <f ca="1">OFFSET('360SpcLdsCSV'!$B$5,$B249,X$51)*$P249</f>
        <v>#N/A</v>
      </c>
      <c r="Y249" s="64" t="e">
        <f ca="1">OFFSET('360SpcLdsCSV'!$B$5,$B249,Y$51)*$X249/1000</f>
        <v>#N/A</v>
      </c>
      <c r="Z249" s="84" t="e">
        <f t="shared" ca="1" si="116"/>
        <v>#N/A</v>
      </c>
      <c r="AA249" s="64" t="e">
        <f ca="1">OFFSET('360SpcLdsCSV'!$B$5,$B249,AA$51)*$P249</f>
        <v>#N/A</v>
      </c>
      <c r="AB249" s="64" t="e">
        <f ca="1">OFFSET('360SpcLdsCSV'!$B$5,$B249,AB$51)*$AA249/1000</f>
        <v>#N/A</v>
      </c>
      <c r="AC249" s="65" t="e">
        <f ca="1">'Ltg IntTakeoffs'!EZ204</f>
        <v>#N/A</v>
      </c>
      <c r="AD249" s="64" t="e">
        <f t="shared" ca="1" si="110"/>
        <v>#N/A</v>
      </c>
      <c r="AE249" s="558" t="e">
        <f ca="1">'Ltg IntTakeoffs'!FA204*M249</f>
        <v>#N/A</v>
      </c>
      <c r="AF249" s="559" t="e">
        <f ca="1">'Ltg IntTakeoffs'!FB204*M249</f>
        <v>#N/A</v>
      </c>
      <c r="AG249" s="62"/>
      <c r="AH249" s="62"/>
    </row>
    <row r="250" spans="2:34" ht="15" customHeight="1" x14ac:dyDescent="0.2">
      <c r="B250" s="62" t="e">
        <f>MATCH(C250,'360SpcLdsCSV'!$C$6:$C$500,0)</f>
        <v>#N/A</v>
      </c>
      <c r="C250" s="62">
        <f>'360SpcLdsCSV'!C199</f>
        <v>0</v>
      </c>
      <c r="D250" s="62" t="str">
        <f t="shared" si="111"/>
        <v>0</v>
      </c>
      <c r="E250" s="62" t="e">
        <f t="shared" ref="E250:E266" si="118">MID(C250,FIND("_",C250,1)+1,4)</f>
        <v>#VALUE!</v>
      </c>
      <c r="F250" s="62" t="e">
        <f t="shared" ref="F250:F266" si="119">MID(C250,FIND("_",C250,1)+5,4)</f>
        <v>#VALUE!</v>
      </c>
      <c r="G250" s="62" t="str">
        <f t="shared" si="112"/>
        <v>0</v>
      </c>
      <c r="H250" s="62" t="e">
        <f ca="1">OFFSET('360SpcLdsCSV'!$B$5,$B250,H$51)</f>
        <v>#N/A</v>
      </c>
      <c r="I250" s="62" t="e">
        <f ca="1">OFFSET('360SpcLdsCSV'!$B$5,$B250,I$51)</f>
        <v>#N/A</v>
      </c>
      <c r="J250" s="62" t="e">
        <f ca="1">OFFSET('360SpcLdsCSV'!$B$5,$B250,J$51)</f>
        <v>#N/A</v>
      </c>
      <c r="K250" s="62" t="e">
        <f ca="1">OFFSET('360SpcLdsCSV'!$B$5,$B250,K$51)</f>
        <v>#N/A</v>
      </c>
      <c r="L250" s="62" t="e">
        <f ca="1">OFFSET('360SpcLdsCSV'!$B$5,$B250,L$51)</f>
        <v>#N/A</v>
      </c>
      <c r="M250" s="1178" t="e">
        <f t="shared" ca="1" si="117"/>
        <v>#N/A</v>
      </c>
      <c r="N250" s="1178" t="e">
        <f t="shared" ca="1" si="117"/>
        <v>#N/A</v>
      </c>
      <c r="O250" s="62" t="e">
        <f ca="1">OFFSET('360SpcLdsCSV'!$B$5,$B250,O$51)</f>
        <v>#N/A</v>
      </c>
      <c r="P250" s="64" t="e">
        <f ca="1">OFFSET('360SpcLdsCSV'!$B$5,$B250,P$51)</f>
        <v>#N/A</v>
      </c>
      <c r="Q250" s="84" t="e">
        <f t="shared" ca="1" si="113"/>
        <v>#N/A</v>
      </c>
      <c r="R250" s="64" t="e">
        <f ca="1">OFFSET('360SpcLdsCSV'!$B$5,$B250,R$51)*$P250</f>
        <v>#N/A</v>
      </c>
      <c r="S250" s="64" t="e">
        <f ca="1">OFFSET('360SpcLdsCSV'!$B$5,$B250,S$51)*$R250/1000</f>
        <v>#N/A</v>
      </c>
      <c r="T250" s="84" t="e">
        <f t="shared" ca="1" si="114"/>
        <v>#N/A</v>
      </c>
      <c r="U250" s="64" t="e">
        <f ca="1">OFFSET('360SpcLdsCSV'!$B$5,$B250,U$51)</f>
        <v>#N/A</v>
      </c>
      <c r="V250" s="64" t="e">
        <f ca="1">OFFSET('360SpcLdsCSV'!$B$5,$B250,V$51)*$U250/1000</f>
        <v>#N/A</v>
      </c>
      <c r="W250" s="84" t="e">
        <f t="shared" ca="1" si="115"/>
        <v>#N/A</v>
      </c>
      <c r="X250" s="64" t="e">
        <f ca="1">OFFSET('360SpcLdsCSV'!$B$5,$B250,X$51)*$P250</f>
        <v>#N/A</v>
      </c>
      <c r="Y250" s="64" t="e">
        <f ca="1">OFFSET('360SpcLdsCSV'!$B$5,$B250,Y$51)*$X250/1000</f>
        <v>#N/A</v>
      </c>
      <c r="Z250" s="84" t="e">
        <f t="shared" ca="1" si="116"/>
        <v>#N/A</v>
      </c>
      <c r="AA250" s="64" t="e">
        <f ca="1">OFFSET('360SpcLdsCSV'!$B$5,$B250,AA$51)*$P250</f>
        <v>#N/A</v>
      </c>
      <c r="AB250" s="64" t="e">
        <f ca="1">OFFSET('360SpcLdsCSV'!$B$5,$B250,AB$51)*$AA250/1000</f>
        <v>#N/A</v>
      </c>
      <c r="AC250" s="65" t="e">
        <f ca="1">'Ltg IntTakeoffs'!EZ205</f>
        <v>#N/A</v>
      </c>
      <c r="AD250" s="64" t="e">
        <f t="shared" ref="AD250:AD266" ca="1" si="120">AC250*M250</f>
        <v>#N/A</v>
      </c>
      <c r="AE250" s="558" t="e">
        <f ca="1">'Ltg IntTakeoffs'!FA205*M250</f>
        <v>#N/A</v>
      </c>
      <c r="AF250" s="559" t="e">
        <f ca="1">'Ltg IntTakeoffs'!FB205*M250</f>
        <v>#N/A</v>
      </c>
      <c r="AG250" s="62"/>
      <c r="AH250" s="62"/>
    </row>
    <row r="251" spans="2:34" ht="15" customHeight="1" x14ac:dyDescent="0.2">
      <c r="B251" s="62" t="e">
        <f>MATCH(C251,'360SpcLdsCSV'!$C$6:$C$500,0)</f>
        <v>#N/A</v>
      </c>
      <c r="C251" s="62">
        <f>'360SpcLdsCSV'!C200</f>
        <v>0</v>
      </c>
      <c r="D251" s="62" t="str">
        <f t="shared" si="111"/>
        <v>0</v>
      </c>
      <c r="E251" s="62" t="e">
        <f t="shared" si="118"/>
        <v>#VALUE!</v>
      </c>
      <c r="F251" s="62" t="e">
        <f t="shared" si="119"/>
        <v>#VALUE!</v>
      </c>
      <c r="G251" s="62" t="str">
        <f t="shared" si="112"/>
        <v>0</v>
      </c>
      <c r="H251" s="62" t="e">
        <f ca="1">OFFSET('360SpcLdsCSV'!$B$5,$B251,H$51)</f>
        <v>#N/A</v>
      </c>
      <c r="I251" s="62" t="e">
        <f ca="1">OFFSET('360SpcLdsCSV'!$B$5,$B251,I$51)</f>
        <v>#N/A</v>
      </c>
      <c r="J251" s="62" t="e">
        <f ca="1">OFFSET('360SpcLdsCSV'!$B$5,$B251,J$51)</f>
        <v>#N/A</v>
      </c>
      <c r="K251" s="62" t="e">
        <f ca="1">OFFSET('360SpcLdsCSV'!$B$5,$B251,K$51)</f>
        <v>#N/A</v>
      </c>
      <c r="L251" s="62" t="e">
        <f ca="1">OFFSET('360SpcLdsCSV'!$B$5,$B251,L$51)</f>
        <v>#N/A</v>
      </c>
      <c r="M251" s="1178" t="e">
        <f t="shared" ca="1" si="117"/>
        <v>#N/A</v>
      </c>
      <c r="N251" s="1178" t="e">
        <f t="shared" ca="1" si="117"/>
        <v>#N/A</v>
      </c>
      <c r="O251" s="62" t="e">
        <f ca="1">OFFSET('360SpcLdsCSV'!$B$5,$B251,O$51)</f>
        <v>#N/A</v>
      </c>
      <c r="P251" s="64" t="e">
        <f ca="1">OFFSET('360SpcLdsCSV'!$B$5,$B251,P$51)</f>
        <v>#N/A</v>
      </c>
      <c r="Q251" s="84" t="e">
        <f t="shared" ca="1" si="113"/>
        <v>#N/A</v>
      </c>
      <c r="R251" s="64" t="e">
        <f ca="1">OFFSET('360SpcLdsCSV'!$B$5,$B251,R$51)*$P251</f>
        <v>#N/A</v>
      </c>
      <c r="S251" s="64" t="e">
        <f ca="1">OFFSET('360SpcLdsCSV'!$B$5,$B251,S$51)*$R251/1000</f>
        <v>#N/A</v>
      </c>
      <c r="T251" s="84" t="e">
        <f t="shared" ca="1" si="114"/>
        <v>#N/A</v>
      </c>
      <c r="U251" s="64" t="e">
        <f ca="1">OFFSET('360SpcLdsCSV'!$B$5,$B251,U$51)</f>
        <v>#N/A</v>
      </c>
      <c r="V251" s="64" t="e">
        <f ca="1">OFFSET('360SpcLdsCSV'!$B$5,$B251,V$51)*$U251/1000</f>
        <v>#N/A</v>
      </c>
      <c r="W251" s="84" t="e">
        <f t="shared" ca="1" si="115"/>
        <v>#N/A</v>
      </c>
      <c r="X251" s="64" t="e">
        <f ca="1">OFFSET('360SpcLdsCSV'!$B$5,$B251,X$51)*$P251</f>
        <v>#N/A</v>
      </c>
      <c r="Y251" s="64" t="e">
        <f ca="1">OFFSET('360SpcLdsCSV'!$B$5,$B251,Y$51)*$X251/1000</f>
        <v>#N/A</v>
      </c>
      <c r="Z251" s="84" t="e">
        <f t="shared" ca="1" si="116"/>
        <v>#N/A</v>
      </c>
      <c r="AA251" s="64" t="e">
        <f ca="1">OFFSET('360SpcLdsCSV'!$B$5,$B251,AA$51)*$P251</f>
        <v>#N/A</v>
      </c>
      <c r="AB251" s="64" t="e">
        <f ca="1">OFFSET('360SpcLdsCSV'!$B$5,$B251,AB$51)*$AA251/1000</f>
        <v>#N/A</v>
      </c>
      <c r="AC251" s="65" t="e">
        <f ca="1">'Ltg IntTakeoffs'!EZ206</f>
        <v>#N/A</v>
      </c>
      <c r="AD251" s="64" t="e">
        <f t="shared" ca="1" si="120"/>
        <v>#N/A</v>
      </c>
      <c r="AE251" s="558" t="e">
        <f ca="1">'Ltg IntTakeoffs'!FA206*M251</f>
        <v>#N/A</v>
      </c>
      <c r="AF251" s="559" t="e">
        <f ca="1">'Ltg IntTakeoffs'!FB206*M251</f>
        <v>#N/A</v>
      </c>
      <c r="AG251" s="62"/>
      <c r="AH251" s="62"/>
    </row>
    <row r="252" spans="2:34" ht="15" customHeight="1" x14ac:dyDescent="0.2">
      <c r="B252" s="62" t="e">
        <f>MATCH(C252,'360SpcLdsCSV'!$C$6:$C$500,0)</f>
        <v>#N/A</v>
      </c>
      <c r="C252" s="62">
        <f>'360SpcLdsCSV'!C201</f>
        <v>0</v>
      </c>
      <c r="D252" s="62" t="str">
        <f t="shared" si="111"/>
        <v>0</v>
      </c>
      <c r="E252" s="62" t="e">
        <f t="shared" si="118"/>
        <v>#VALUE!</v>
      </c>
      <c r="F252" s="62" t="e">
        <f t="shared" si="119"/>
        <v>#VALUE!</v>
      </c>
      <c r="G252" s="62" t="str">
        <f t="shared" si="112"/>
        <v>0</v>
      </c>
      <c r="H252" s="62" t="e">
        <f ca="1">OFFSET('360SpcLdsCSV'!$B$5,$B252,H$51)</f>
        <v>#N/A</v>
      </c>
      <c r="I252" s="62" t="e">
        <f ca="1">OFFSET('360SpcLdsCSV'!$B$5,$B252,I$51)</f>
        <v>#N/A</v>
      </c>
      <c r="J252" s="62" t="e">
        <f ca="1">OFFSET('360SpcLdsCSV'!$B$5,$B252,J$51)</f>
        <v>#N/A</v>
      </c>
      <c r="K252" s="62" t="e">
        <f ca="1">OFFSET('360SpcLdsCSV'!$B$5,$B252,K$51)</f>
        <v>#N/A</v>
      </c>
      <c r="L252" s="62" t="e">
        <f ca="1">OFFSET('360SpcLdsCSV'!$B$5,$B252,L$51)</f>
        <v>#N/A</v>
      </c>
      <c r="M252" s="1178" t="e">
        <f t="shared" ca="1" si="117"/>
        <v>#N/A</v>
      </c>
      <c r="N252" s="1178" t="e">
        <f t="shared" ca="1" si="117"/>
        <v>#N/A</v>
      </c>
      <c r="O252" s="62" t="e">
        <f ca="1">OFFSET('360SpcLdsCSV'!$B$5,$B252,O$51)</f>
        <v>#N/A</v>
      </c>
      <c r="P252" s="64" t="e">
        <f ca="1">OFFSET('360SpcLdsCSV'!$B$5,$B252,P$51)</f>
        <v>#N/A</v>
      </c>
      <c r="Q252" s="84" t="e">
        <f t="shared" ca="1" si="113"/>
        <v>#N/A</v>
      </c>
      <c r="R252" s="64" t="e">
        <f ca="1">OFFSET('360SpcLdsCSV'!$B$5,$B252,R$51)*$P252</f>
        <v>#N/A</v>
      </c>
      <c r="S252" s="64" t="e">
        <f ca="1">OFFSET('360SpcLdsCSV'!$B$5,$B252,S$51)*$R252/1000</f>
        <v>#N/A</v>
      </c>
      <c r="T252" s="84" t="e">
        <f t="shared" ca="1" si="114"/>
        <v>#N/A</v>
      </c>
      <c r="U252" s="64" t="e">
        <f ca="1">OFFSET('360SpcLdsCSV'!$B$5,$B252,U$51)</f>
        <v>#N/A</v>
      </c>
      <c r="V252" s="64" t="e">
        <f ca="1">OFFSET('360SpcLdsCSV'!$B$5,$B252,V$51)*$U252/1000</f>
        <v>#N/A</v>
      </c>
      <c r="W252" s="84" t="e">
        <f t="shared" ca="1" si="115"/>
        <v>#N/A</v>
      </c>
      <c r="X252" s="64" t="e">
        <f ca="1">OFFSET('360SpcLdsCSV'!$B$5,$B252,X$51)*$P252</f>
        <v>#N/A</v>
      </c>
      <c r="Y252" s="64" t="e">
        <f ca="1">OFFSET('360SpcLdsCSV'!$B$5,$B252,Y$51)*$X252/1000</f>
        <v>#N/A</v>
      </c>
      <c r="Z252" s="84" t="e">
        <f t="shared" ca="1" si="116"/>
        <v>#N/A</v>
      </c>
      <c r="AA252" s="64" t="e">
        <f ca="1">OFFSET('360SpcLdsCSV'!$B$5,$B252,AA$51)*$P252</f>
        <v>#N/A</v>
      </c>
      <c r="AB252" s="64" t="e">
        <f ca="1">OFFSET('360SpcLdsCSV'!$B$5,$B252,AB$51)*$AA252/1000</f>
        <v>#N/A</v>
      </c>
      <c r="AC252" s="65" t="e">
        <f ca="1">'Ltg IntTakeoffs'!EZ207</f>
        <v>#N/A</v>
      </c>
      <c r="AD252" s="64" t="e">
        <f t="shared" ca="1" si="120"/>
        <v>#N/A</v>
      </c>
      <c r="AE252" s="558" t="e">
        <f ca="1">'Ltg IntTakeoffs'!FA207*M252</f>
        <v>#N/A</v>
      </c>
      <c r="AF252" s="559" t="e">
        <f ca="1">'Ltg IntTakeoffs'!FB207*M252</f>
        <v>#N/A</v>
      </c>
      <c r="AG252" s="62"/>
      <c r="AH252" s="62"/>
    </row>
    <row r="253" spans="2:34" ht="15" customHeight="1" x14ac:dyDescent="0.2">
      <c r="B253" s="62" t="e">
        <f>MATCH(C253,'360SpcLdsCSV'!$C$6:$C$500,0)</f>
        <v>#N/A</v>
      </c>
      <c r="C253" s="62">
        <f>'360SpcLdsCSV'!C202</f>
        <v>0</v>
      </c>
      <c r="D253" s="62" t="str">
        <f t="shared" si="111"/>
        <v>0</v>
      </c>
      <c r="E253" s="62" t="e">
        <f t="shared" si="118"/>
        <v>#VALUE!</v>
      </c>
      <c r="F253" s="62" t="e">
        <f t="shared" si="119"/>
        <v>#VALUE!</v>
      </c>
      <c r="G253" s="62" t="str">
        <f t="shared" si="112"/>
        <v>0</v>
      </c>
      <c r="H253" s="62" t="e">
        <f ca="1">OFFSET('360SpcLdsCSV'!$B$5,$B253,H$51)</f>
        <v>#N/A</v>
      </c>
      <c r="I253" s="62" t="e">
        <f ca="1">OFFSET('360SpcLdsCSV'!$B$5,$B253,I$51)</f>
        <v>#N/A</v>
      </c>
      <c r="J253" s="62" t="e">
        <f ca="1">OFFSET('360SpcLdsCSV'!$B$5,$B253,J$51)</f>
        <v>#N/A</v>
      </c>
      <c r="K253" s="62" t="e">
        <f ca="1">OFFSET('360SpcLdsCSV'!$B$5,$B253,K$51)</f>
        <v>#N/A</v>
      </c>
      <c r="L253" s="62" t="e">
        <f ca="1">OFFSET('360SpcLdsCSV'!$B$5,$B253,L$51)</f>
        <v>#N/A</v>
      </c>
      <c r="M253" s="1178" t="e">
        <f t="shared" ca="1" si="117"/>
        <v>#N/A</v>
      </c>
      <c r="N253" s="1178" t="e">
        <f t="shared" ca="1" si="117"/>
        <v>#N/A</v>
      </c>
      <c r="O253" s="62" t="e">
        <f ca="1">OFFSET('360SpcLdsCSV'!$B$5,$B253,O$51)</f>
        <v>#N/A</v>
      </c>
      <c r="P253" s="64" t="e">
        <f ca="1">OFFSET('360SpcLdsCSV'!$B$5,$B253,P$51)</f>
        <v>#N/A</v>
      </c>
      <c r="Q253" s="84" t="e">
        <f t="shared" ca="1" si="113"/>
        <v>#N/A</v>
      </c>
      <c r="R253" s="64" t="e">
        <f ca="1">OFFSET('360SpcLdsCSV'!$B$5,$B253,R$51)*$P253</f>
        <v>#N/A</v>
      </c>
      <c r="S253" s="64" t="e">
        <f ca="1">OFFSET('360SpcLdsCSV'!$B$5,$B253,S$51)*$R253/1000</f>
        <v>#N/A</v>
      </c>
      <c r="T253" s="84" t="e">
        <f t="shared" ca="1" si="114"/>
        <v>#N/A</v>
      </c>
      <c r="U253" s="64" t="e">
        <f ca="1">OFFSET('360SpcLdsCSV'!$B$5,$B253,U$51)</f>
        <v>#N/A</v>
      </c>
      <c r="V253" s="64" t="e">
        <f ca="1">OFFSET('360SpcLdsCSV'!$B$5,$B253,V$51)*$U253/1000</f>
        <v>#N/A</v>
      </c>
      <c r="W253" s="84" t="e">
        <f t="shared" ca="1" si="115"/>
        <v>#N/A</v>
      </c>
      <c r="X253" s="64" t="e">
        <f ca="1">OFFSET('360SpcLdsCSV'!$B$5,$B253,X$51)*$P253</f>
        <v>#N/A</v>
      </c>
      <c r="Y253" s="64" t="e">
        <f ca="1">OFFSET('360SpcLdsCSV'!$B$5,$B253,Y$51)*$X253/1000</f>
        <v>#N/A</v>
      </c>
      <c r="Z253" s="84" t="e">
        <f t="shared" ca="1" si="116"/>
        <v>#N/A</v>
      </c>
      <c r="AA253" s="64" t="e">
        <f ca="1">OFFSET('360SpcLdsCSV'!$B$5,$B253,AA$51)*$P253</f>
        <v>#N/A</v>
      </c>
      <c r="AB253" s="64" t="e">
        <f ca="1">OFFSET('360SpcLdsCSV'!$B$5,$B253,AB$51)*$AA253/1000</f>
        <v>#N/A</v>
      </c>
      <c r="AC253" s="65" t="e">
        <f ca="1">'Ltg IntTakeoffs'!EZ208</f>
        <v>#N/A</v>
      </c>
      <c r="AD253" s="64" t="e">
        <f t="shared" ca="1" si="120"/>
        <v>#N/A</v>
      </c>
      <c r="AE253" s="558" t="e">
        <f ca="1">'Ltg IntTakeoffs'!FA208*M253</f>
        <v>#N/A</v>
      </c>
      <c r="AF253" s="559" t="e">
        <f ca="1">'Ltg IntTakeoffs'!FB208*M253</f>
        <v>#N/A</v>
      </c>
      <c r="AG253" s="62"/>
      <c r="AH253" s="62"/>
    </row>
    <row r="254" spans="2:34" ht="15" customHeight="1" x14ac:dyDescent="0.2">
      <c r="B254" s="62" t="e">
        <f>MATCH(C254,'360SpcLdsCSV'!$C$6:$C$500,0)</f>
        <v>#N/A</v>
      </c>
      <c r="C254" s="62">
        <f>'360SpcLdsCSV'!C203</f>
        <v>0</v>
      </c>
      <c r="D254" s="62" t="str">
        <f t="shared" si="111"/>
        <v>0</v>
      </c>
      <c r="E254" s="62" t="e">
        <f t="shared" si="118"/>
        <v>#VALUE!</v>
      </c>
      <c r="F254" s="62" t="e">
        <f t="shared" si="119"/>
        <v>#VALUE!</v>
      </c>
      <c r="G254" s="62" t="str">
        <f t="shared" si="112"/>
        <v>0</v>
      </c>
      <c r="H254" s="62" t="e">
        <f ca="1">OFFSET('360SpcLdsCSV'!$B$5,$B254,H$51)</f>
        <v>#N/A</v>
      </c>
      <c r="I254" s="62" t="e">
        <f ca="1">OFFSET('360SpcLdsCSV'!$B$5,$B254,I$51)</f>
        <v>#N/A</v>
      </c>
      <c r="J254" s="62" t="e">
        <f ca="1">OFFSET('360SpcLdsCSV'!$B$5,$B254,J$51)</f>
        <v>#N/A</v>
      </c>
      <c r="K254" s="62" t="e">
        <f ca="1">OFFSET('360SpcLdsCSV'!$B$5,$B254,K$51)</f>
        <v>#N/A</v>
      </c>
      <c r="L254" s="62" t="e">
        <f ca="1">OFFSET('360SpcLdsCSV'!$B$5,$B254,L$51)</f>
        <v>#N/A</v>
      </c>
      <c r="M254" s="1178" t="e">
        <f t="shared" ca="1" si="117"/>
        <v>#N/A</v>
      </c>
      <c r="N254" s="1178" t="e">
        <f t="shared" ca="1" si="117"/>
        <v>#N/A</v>
      </c>
      <c r="O254" s="62" t="e">
        <f ca="1">OFFSET('360SpcLdsCSV'!$B$5,$B254,O$51)</f>
        <v>#N/A</v>
      </c>
      <c r="P254" s="64" t="e">
        <f ca="1">OFFSET('360SpcLdsCSV'!$B$5,$B254,P$51)</f>
        <v>#N/A</v>
      </c>
      <c r="Q254" s="84" t="e">
        <f t="shared" ca="1" si="113"/>
        <v>#N/A</v>
      </c>
      <c r="R254" s="64" t="e">
        <f ca="1">OFFSET('360SpcLdsCSV'!$B$5,$B254,R$51)*$P254</f>
        <v>#N/A</v>
      </c>
      <c r="S254" s="64" t="e">
        <f ca="1">OFFSET('360SpcLdsCSV'!$B$5,$B254,S$51)*$R254/1000</f>
        <v>#N/A</v>
      </c>
      <c r="T254" s="84" t="e">
        <f t="shared" ca="1" si="114"/>
        <v>#N/A</v>
      </c>
      <c r="U254" s="64" t="e">
        <f ca="1">OFFSET('360SpcLdsCSV'!$B$5,$B254,U$51)</f>
        <v>#N/A</v>
      </c>
      <c r="V254" s="64" t="e">
        <f ca="1">OFFSET('360SpcLdsCSV'!$B$5,$B254,V$51)*$U254/1000</f>
        <v>#N/A</v>
      </c>
      <c r="W254" s="84" t="e">
        <f t="shared" ca="1" si="115"/>
        <v>#N/A</v>
      </c>
      <c r="X254" s="64" t="e">
        <f ca="1">OFFSET('360SpcLdsCSV'!$B$5,$B254,X$51)*$P254</f>
        <v>#N/A</v>
      </c>
      <c r="Y254" s="64" t="e">
        <f ca="1">OFFSET('360SpcLdsCSV'!$B$5,$B254,Y$51)*$X254/1000</f>
        <v>#N/A</v>
      </c>
      <c r="Z254" s="84" t="e">
        <f t="shared" ca="1" si="116"/>
        <v>#N/A</v>
      </c>
      <c r="AA254" s="64" t="e">
        <f ca="1">OFFSET('360SpcLdsCSV'!$B$5,$B254,AA$51)*$P254</f>
        <v>#N/A</v>
      </c>
      <c r="AB254" s="64" t="e">
        <f ca="1">OFFSET('360SpcLdsCSV'!$B$5,$B254,AB$51)*$AA254/1000</f>
        <v>#N/A</v>
      </c>
      <c r="AC254" s="65" t="e">
        <f ca="1">'Ltg IntTakeoffs'!EZ209</f>
        <v>#N/A</v>
      </c>
      <c r="AD254" s="64" t="e">
        <f t="shared" ca="1" si="120"/>
        <v>#N/A</v>
      </c>
      <c r="AE254" s="558" t="e">
        <f ca="1">'Ltg IntTakeoffs'!FA209*M254</f>
        <v>#N/A</v>
      </c>
      <c r="AF254" s="559" t="e">
        <f ca="1">'Ltg IntTakeoffs'!FB209*M254</f>
        <v>#N/A</v>
      </c>
      <c r="AG254" s="62"/>
      <c r="AH254" s="62"/>
    </row>
    <row r="255" spans="2:34" ht="15" customHeight="1" x14ac:dyDescent="0.2">
      <c r="B255" s="62" t="e">
        <f>MATCH(C255,'360SpcLdsCSV'!$C$6:$C$500,0)</f>
        <v>#N/A</v>
      </c>
      <c r="C255" s="62">
        <f>'360SpcLdsCSV'!C204</f>
        <v>0</v>
      </c>
      <c r="D255" s="62" t="str">
        <f t="shared" si="111"/>
        <v>0</v>
      </c>
      <c r="E255" s="62" t="e">
        <f t="shared" si="118"/>
        <v>#VALUE!</v>
      </c>
      <c r="F255" s="62" t="e">
        <f t="shared" si="119"/>
        <v>#VALUE!</v>
      </c>
      <c r="G255" s="62" t="str">
        <f t="shared" si="112"/>
        <v>0</v>
      </c>
      <c r="H255" s="62" t="e">
        <f ca="1">OFFSET('360SpcLdsCSV'!$B$5,$B255,H$51)</f>
        <v>#N/A</v>
      </c>
      <c r="I255" s="62" t="e">
        <f ca="1">OFFSET('360SpcLdsCSV'!$B$5,$B255,I$51)</f>
        <v>#N/A</v>
      </c>
      <c r="J255" s="62" t="e">
        <f ca="1">OFFSET('360SpcLdsCSV'!$B$5,$B255,J$51)</f>
        <v>#N/A</v>
      </c>
      <c r="K255" s="62" t="e">
        <f ca="1">OFFSET('360SpcLdsCSV'!$B$5,$B255,K$51)</f>
        <v>#N/A</v>
      </c>
      <c r="L255" s="62" t="e">
        <f ca="1">OFFSET('360SpcLdsCSV'!$B$5,$B255,L$51)</f>
        <v>#N/A</v>
      </c>
      <c r="M255" s="1178" t="e">
        <f t="shared" ca="1" si="117"/>
        <v>#N/A</v>
      </c>
      <c r="N255" s="1178" t="e">
        <f t="shared" ca="1" si="117"/>
        <v>#N/A</v>
      </c>
      <c r="O255" s="62" t="e">
        <f ca="1">OFFSET('360SpcLdsCSV'!$B$5,$B255,O$51)</f>
        <v>#N/A</v>
      </c>
      <c r="P255" s="64" t="e">
        <f ca="1">OFFSET('360SpcLdsCSV'!$B$5,$B255,P$51)</f>
        <v>#N/A</v>
      </c>
      <c r="Q255" s="84" t="e">
        <f t="shared" ca="1" si="113"/>
        <v>#N/A</v>
      </c>
      <c r="R255" s="64" t="e">
        <f ca="1">OFFSET('360SpcLdsCSV'!$B$5,$B255,R$51)*$P255</f>
        <v>#N/A</v>
      </c>
      <c r="S255" s="64" t="e">
        <f ca="1">OFFSET('360SpcLdsCSV'!$B$5,$B255,S$51)*$R255/1000</f>
        <v>#N/A</v>
      </c>
      <c r="T255" s="84" t="e">
        <f t="shared" ca="1" si="114"/>
        <v>#N/A</v>
      </c>
      <c r="U255" s="64" t="e">
        <f ca="1">OFFSET('360SpcLdsCSV'!$B$5,$B255,U$51)</f>
        <v>#N/A</v>
      </c>
      <c r="V255" s="64" t="e">
        <f ca="1">OFFSET('360SpcLdsCSV'!$B$5,$B255,V$51)*$U255/1000</f>
        <v>#N/A</v>
      </c>
      <c r="W255" s="84" t="e">
        <f t="shared" ca="1" si="115"/>
        <v>#N/A</v>
      </c>
      <c r="X255" s="64" t="e">
        <f ca="1">OFFSET('360SpcLdsCSV'!$B$5,$B255,X$51)*$P255</f>
        <v>#N/A</v>
      </c>
      <c r="Y255" s="64" t="e">
        <f ca="1">OFFSET('360SpcLdsCSV'!$B$5,$B255,Y$51)*$X255/1000</f>
        <v>#N/A</v>
      </c>
      <c r="Z255" s="84" t="e">
        <f t="shared" ca="1" si="116"/>
        <v>#N/A</v>
      </c>
      <c r="AA255" s="64" t="e">
        <f ca="1">OFFSET('360SpcLdsCSV'!$B$5,$B255,AA$51)*$P255</f>
        <v>#N/A</v>
      </c>
      <c r="AB255" s="64" t="e">
        <f ca="1">OFFSET('360SpcLdsCSV'!$B$5,$B255,AB$51)*$AA255/1000</f>
        <v>#N/A</v>
      </c>
      <c r="AC255" s="65" t="e">
        <f ca="1">'Ltg IntTakeoffs'!EZ210</f>
        <v>#N/A</v>
      </c>
      <c r="AD255" s="64" t="e">
        <f t="shared" ca="1" si="120"/>
        <v>#N/A</v>
      </c>
      <c r="AE255" s="558" t="e">
        <f ca="1">'Ltg IntTakeoffs'!FA210*M255</f>
        <v>#N/A</v>
      </c>
      <c r="AF255" s="559" t="e">
        <f ca="1">'Ltg IntTakeoffs'!FB210*M255</f>
        <v>#N/A</v>
      </c>
      <c r="AG255" s="62"/>
      <c r="AH255" s="62"/>
    </row>
    <row r="256" spans="2:34" ht="15" customHeight="1" x14ac:dyDescent="0.2">
      <c r="B256" s="62" t="e">
        <f>MATCH(C256,'360SpcLdsCSV'!$C$6:$C$500,0)</f>
        <v>#N/A</v>
      </c>
      <c r="C256" s="62">
        <f>'360SpcLdsCSV'!C205</f>
        <v>0</v>
      </c>
      <c r="D256" s="62" t="str">
        <f t="shared" si="111"/>
        <v>0</v>
      </c>
      <c r="E256" s="62" t="e">
        <f t="shared" si="118"/>
        <v>#VALUE!</v>
      </c>
      <c r="F256" s="62" t="e">
        <f t="shared" si="119"/>
        <v>#VALUE!</v>
      </c>
      <c r="G256" s="62" t="str">
        <f t="shared" si="112"/>
        <v>0</v>
      </c>
      <c r="H256" s="62" t="e">
        <f ca="1">OFFSET('360SpcLdsCSV'!$B$5,$B256,H$51)</f>
        <v>#N/A</v>
      </c>
      <c r="I256" s="62" t="e">
        <f ca="1">OFFSET('360SpcLdsCSV'!$B$5,$B256,I$51)</f>
        <v>#N/A</v>
      </c>
      <c r="J256" s="62" t="e">
        <f ca="1">OFFSET('360SpcLdsCSV'!$B$5,$B256,J$51)</f>
        <v>#N/A</v>
      </c>
      <c r="K256" s="62" t="e">
        <f ca="1">OFFSET('360SpcLdsCSV'!$B$5,$B256,K$51)</f>
        <v>#N/A</v>
      </c>
      <c r="L256" s="62" t="e">
        <f ca="1">OFFSET('360SpcLdsCSV'!$B$5,$B256,L$51)</f>
        <v>#N/A</v>
      </c>
      <c r="M256" s="1178" t="e">
        <f t="shared" ca="1" si="117"/>
        <v>#N/A</v>
      </c>
      <c r="N256" s="1178" t="e">
        <f t="shared" ca="1" si="117"/>
        <v>#N/A</v>
      </c>
      <c r="O256" s="62" t="e">
        <f ca="1">OFFSET('360SpcLdsCSV'!$B$5,$B256,O$51)</f>
        <v>#N/A</v>
      </c>
      <c r="P256" s="64" t="e">
        <f ca="1">OFFSET('360SpcLdsCSV'!$B$5,$B256,P$51)</f>
        <v>#N/A</v>
      </c>
      <c r="Q256" s="84" t="e">
        <f t="shared" ca="1" si="113"/>
        <v>#N/A</v>
      </c>
      <c r="R256" s="64" t="e">
        <f ca="1">OFFSET('360SpcLdsCSV'!$B$5,$B256,R$51)*$P256</f>
        <v>#N/A</v>
      </c>
      <c r="S256" s="64" t="e">
        <f ca="1">OFFSET('360SpcLdsCSV'!$B$5,$B256,S$51)*$R256/1000</f>
        <v>#N/A</v>
      </c>
      <c r="T256" s="84" t="e">
        <f t="shared" ca="1" si="114"/>
        <v>#N/A</v>
      </c>
      <c r="U256" s="64" t="e">
        <f ca="1">OFFSET('360SpcLdsCSV'!$B$5,$B256,U$51)</f>
        <v>#N/A</v>
      </c>
      <c r="V256" s="64" t="e">
        <f ca="1">OFFSET('360SpcLdsCSV'!$B$5,$B256,V$51)*$U256/1000</f>
        <v>#N/A</v>
      </c>
      <c r="W256" s="84" t="e">
        <f t="shared" ca="1" si="115"/>
        <v>#N/A</v>
      </c>
      <c r="X256" s="64" t="e">
        <f ca="1">OFFSET('360SpcLdsCSV'!$B$5,$B256,X$51)*$P256</f>
        <v>#N/A</v>
      </c>
      <c r="Y256" s="64" t="e">
        <f ca="1">OFFSET('360SpcLdsCSV'!$B$5,$B256,Y$51)*$X256/1000</f>
        <v>#N/A</v>
      </c>
      <c r="Z256" s="84" t="e">
        <f t="shared" ca="1" si="116"/>
        <v>#N/A</v>
      </c>
      <c r="AA256" s="64" t="e">
        <f ca="1">OFFSET('360SpcLdsCSV'!$B$5,$B256,AA$51)*$P256</f>
        <v>#N/A</v>
      </c>
      <c r="AB256" s="64" t="e">
        <f ca="1">OFFSET('360SpcLdsCSV'!$B$5,$B256,AB$51)*$AA256/1000</f>
        <v>#N/A</v>
      </c>
      <c r="AC256" s="65" t="e">
        <f ca="1">'Ltg IntTakeoffs'!EZ211</f>
        <v>#N/A</v>
      </c>
      <c r="AD256" s="64" t="e">
        <f t="shared" ca="1" si="120"/>
        <v>#N/A</v>
      </c>
      <c r="AE256" s="558" t="e">
        <f ca="1">'Ltg IntTakeoffs'!FA211*M256</f>
        <v>#N/A</v>
      </c>
      <c r="AF256" s="559" t="e">
        <f ca="1">'Ltg IntTakeoffs'!FB211*M256</f>
        <v>#N/A</v>
      </c>
      <c r="AG256" s="62"/>
      <c r="AH256" s="62"/>
    </row>
    <row r="257" spans="2:34" ht="15" customHeight="1" x14ac:dyDescent="0.2">
      <c r="B257" s="62" t="e">
        <f>MATCH(C257,'360SpcLdsCSV'!$C$6:$C$500,0)</f>
        <v>#N/A</v>
      </c>
      <c r="C257" s="62">
        <f>'360SpcLdsCSV'!C206</f>
        <v>0</v>
      </c>
      <c r="D257" s="62" t="str">
        <f t="shared" si="111"/>
        <v>0</v>
      </c>
      <c r="E257" s="62" t="e">
        <f t="shared" si="118"/>
        <v>#VALUE!</v>
      </c>
      <c r="F257" s="62" t="e">
        <f t="shared" si="119"/>
        <v>#VALUE!</v>
      </c>
      <c r="G257" s="62" t="str">
        <f t="shared" si="112"/>
        <v>0</v>
      </c>
      <c r="H257" s="62" t="e">
        <f ca="1">OFFSET('360SpcLdsCSV'!$B$5,$B257,H$51)</f>
        <v>#N/A</v>
      </c>
      <c r="I257" s="62" t="e">
        <f ca="1">OFFSET('360SpcLdsCSV'!$B$5,$B257,I$51)</f>
        <v>#N/A</v>
      </c>
      <c r="J257" s="62" t="e">
        <f ca="1">OFFSET('360SpcLdsCSV'!$B$5,$B257,J$51)</f>
        <v>#N/A</v>
      </c>
      <c r="K257" s="62" t="e">
        <f ca="1">OFFSET('360SpcLdsCSV'!$B$5,$B257,K$51)</f>
        <v>#N/A</v>
      </c>
      <c r="L257" s="62" t="e">
        <f ca="1">OFFSET('360SpcLdsCSV'!$B$5,$B257,L$51)</f>
        <v>#N/A</v>
      </c>
      <c r="M257" s="1178" t="e">
        <f t="shared" ca="1" si="117"/>
        <v>#N/A</v>
      </c>
      <c r="N257" s="1178" t="e">
        <f t="shared" ca="1" si="117"/>
        <v>#N/A</v>
      </c>
      <c r="O257" s="62" t="e">
        <f ca="1">OFFSET('360SpcLdsCSV'!$B$5,$B257,O$51)</f>
        <v>#N/A</v>
      </c>
      <c r="P257" s="64" t="e">
        <f ca="1">OFFSET('360SpcLdsCSV'!$B$5,$B257,P$51)</f>
        <v>#N/A</v>
      </c>
      <c r="Q257" s="84" t="e">
        <f t="shared" ca="1" si="113"/>
        <v>#N/A</v>
      </c>
      <c r="R257" s="64" t="e">
        <f ca="1">OFFSET('360SpcLdsCSV'!$B$5,$B257,R$51)*$P257</f>
        <v>#N/A</v>
      </c>
      <c r="S257" s="64" t="e">
        <f ca="1">OFFSET('360SpcLdsCSV'!$B$5,$B257,S$51)*$R257/1000</f>
        <v>#N/A</v>
      </c>
      <c r="T257" s="84" t="e">
        <f t="shared" ca="1" si="114"/>
        <v>#N/A</v>
      </c>
      <c r="U257" s="64" t="e">
        <f ca="1">OFFSET('360SpcLdsCSV'!$B$5,$B257,U$51)</f>
        <v>#N/A</v>
      </c>
      <c r="V257" s="64" t="e">
        <f ca="1">OFFSET('360SpcLdsCSV'!$B$5,$B257,V$51)*$U257/1000</f>
        <v>#N/A</v>
      </c>
      <c r="W257" s="84" t="e">
        <f t="shared" ca="1" si="115"/>
        <v>#N/A</v>
      </c>
      <c r="X257" s="64" t="e">
        <f ca="1">OFFSET('360SpcLdsCSV'!$B$5,$B257,X$51)*$P257</f>
        <v>#N/A</v>
      </c>
      <c r="Y257" s="64" t="e">
        <f ca="1">OFFSET('360SpcLdsCSV'!$B$5,$B257,Y$51)*$X257/1000</f>
        <v>#N/A</v>
      </c>
      <c r="Z257" s="84" t="e">
        <f t="shared" ca="1" si="116"/>
        <v>#N/A</v>
      </c>
      <c r="AA257" s="64" t="e">
        <f ca="1">OFFSET('360SpcLdsCSV'!$B$5,$B257,AA$51)*$P257</f>
        <v>#N/A</v>
      </c>
      <c r="AB257" s="64" t="e">
        <f ca="1">OFFSET('360SpcLdsCSV'!$B$5,$B257,AB$51)*$AA257/1000</f>
        <v>#N/A</v>
      </c>
      <c r="AC257" s="65" t="e">
        <f ca="1">'Ltg IntTakeoffs'!EZ212</f>
        <v>#N/A</v>
      </c>
      <c r="AD257" s="64" t="e">
        <f t="shared" ca="1" si="120"/>
        <v>#N/A</v>
      </c>
      <c r="AE257" s="558" t="e">
        <f ca="1">'Ltg IntTakeoffs'!FA212*M257</f>
        <v>#N/A</v>
      </c>
      <c r="AF257" s="559" t="e">
        <f ca="1">'Ltg IntTakeoffs'!FB212*M257</f>
        <v>#N/A</v>
      </c>
      <c r="AG257" s="62"/>
      <c r="AH257" s="62"/>
    </row>
    <row r="258" spans="2:34" ht="15" customHeight="1" x14ac:dyDescent="0.2">
      <c r="B258" s="62" t="e">
        <f>MATCH(C258,'360SpcLdsCSV'!$C$6:$C$500,0)</f>
        <v>#N/A</v>
      </c>
      <c r="C258" s="62">
        <f>'360SpcLdsCSV'!C207</f>
        <v>0</v>
      </c>
      <c r="D258" s="62" t="str">
        <f t="shared" si="111"/>
        <v>0</v>
      </c>
      <c r="E258" s="62" t="e">
        <f t="shared" si="118"/>
        <v>#VALUE!</v>
      </c>
      <c r="F258" s="62" t="e">
        <f t="shared" si="119"/>
        <v>#VALUE!</v>
      </c>
      <c r="G258" s="62" t="str">
        <f t="shared" si="112"/>
        <v>0</v>
      </c>
      <c r="H258" s="62" t="e">
        <f ca="1">OFFSET('360SpcLdsCSV'!$B$5,$B258,H$51)</f>
        <v>#N/A</v>
      </c>
      <c r="I258" s="62" t="e">
        <f ca="1">OFFSET('360SpcLdsCSV'!$B$5,$B258,I$51)</f>
        <v>#N/A</v>
      </c>
      <c r="J258" s="62" t="e">
        <f ca="1">OFFSET('360SpcLdsCSV'!$B$5,$B258,J$51)</f>
        <v>#N/A</v>
      </c>
      <c r="K258" s="62" t="e">
        <f ca="1">OFFSET('360SpcLdsCSV'!$B$5,$B258,K$51)</f>
        <v>#N/A</v>
      </c>
      <c r="L258" s="62" t="e">
        <f ca="1">OFFSET('360SpcLdsCSV'!$B$5,$B258,L$51)</f>
        <v>#N/A</v>
      </c>
      <c r="M258" s="1178" t="e">
        <f t="shared" ca="1" si="117"/>
        <v>#N/A</v>
      </c>
      <c r="N258" s="1178" t="e">
        <f t="shared" ca="1" si="117"/>
        <v>#N/A</v>
      </c>
      <c r="O258" s="62" t="e">
        <f ca="1">OFFSET('360SpcLdsCSV'!$B$5,$B258,O$51)</f>
        <v>#N/A</v>
      </c>
      <c r="P258" s="64" t="e">
        <f ca="1">OFFSET('360SpcLdsCSV'!$B$5,$B258,P$51)</f>
        <v>#N/A</v>
      </c>
      <c r="Q258" s="84" t="e">
        <f t="shared" ca="1" si="113"/>
        <v>#N/A</v>
      </c>
      <c r="R258" s="64" t="e">
        <f ca="1">OFFSET('360SpcLdsCSV'!$B$5,$B258,R$51)*$P258</f>
        <v>#N/A</v>
      </c>
      <c r="S258" s="64" t="e">
        <f ca="1">OFFSET('360SpcLdsCSV'!$B$5,$B258,S$51)*$R258/1000</f>
        <v>#N/A</v>
      </c>
      <c r="T258" s="84" t="e">
        <f t="shared" ca="1" si="114"/>
        <v>#N/A</v>
      </c>
      <c r="U258" s="64" t="e">
        <f ca="1">OFFSET('360SpcLdsCSV'!$B$5,$B258,U$51)</f>
        <v>#N/A</v>
      </c>
      <c r="V258" s="64" t="e">
        <f ca="1">OFFSET('360SpcLdsCSV'!$B$5,$B258,V$51)*$U258/1000</f>
        <v>#N/A</v>
      </c>
      <c r="W258" s="84" t="e">
        <f t="shared" ca="1" si="115"/>
        <v>#N/A</v>
      </c>
      <c r="X258" s="64" t="e">
        <f ca="1">OFFSET('360SpcLdsCSV'!$B$5,$B258,X$51)*$P258</f>
        <v>#N/A</v>
      </c>
      <c r="Y258" s="64" t="e">
        <f ca="1">OFFSET('360SpcLdsCSV'!$B$5,$B258,Y$51)*$X258/1000</f>
        <v>#N/A</v>
      </c>
      <c r="Z258" s="84" t="e">
        <f t="shared" ca="1" si="116"/>
        <v>#N/A</v>
      </c>
      <c r="AA258" s="64" t="e">
        <f ca="1">OFFSET('360SpcLdsCSV'!$B$5,$B258,AA$51)*$P258</f>
        <v>#N/A</v>
      </c>
      <c r="AB258" s="64" t="e">
        <f ca="1">OFFSET('360SpcLdsCSV'!$B$5,$B258,AB$51)*$AA258/1000</f>
        <v>#N/A</v>
      </c>
      <c r="AC258" s="65" t="e">
        <f ca="1">'Ltg IntTakeoffs'!EZ213</f>
        <v>#N/A</v>
      </c>
      <c r="AD258" s="64" t="e">
        <f t="shared" ca="1" si="120"/>
        <v>#N/A</v>
      </c>
      <c r="AE258" s="558" t="e">
        <f ca="1">'Ltg IntTakeoffs'!FA213*M258</f>
        <v>#N/A</v>
      </c>
      <c r="AF258" s="559" t="e">
        <f ca="1">'Ltg IntTakeoffs'!FB213*M258</f>
        <v>#N/A</v>
      </c>
      <c r="AG258" s="62"/>
      <c r="AH258" s="62"/>
    </row>
    <row r="259" spans="2:34" ht="15" customHeight="1" x14ac:dyDescent="0.2">
      <c r="B259" s="62" t="e">
        <f>MATCH(C259,'360SpcLdsCSV'!$C$6:$C$500,0)</f>
        <v>#N/A</v>
      </c>
      <c r="C259" s="62">
        <f>'360SpcLdsCSV'!C208</f>
        <v>0</v>
      </c>
      <c r="D259" s="62" t="str">
        <f t="shared" si="111"/>
        <v>0</v>
      </c>
      <c r="E259" s="62" t="e">
        <f t="shared" si="118"/>
        <v>#VALUE!</v>
      </c>
      <c r="F259" s="62" t="e">
        <f t="shared" si="119"/>
        <v>#VALUE!</v>
      </c>
      <c r="G259" s="62" t="str">
        <f t="shared" si="112"/>
        <v>0</v>
      </c>
      <c r="H259" s="62" t="e">
        <f ca="1">OFFSET('360SpcLdsCSV'!$B$5,$B259,H$51)</f>
        <v>#N/A</v>
      </c>
      <c r="I259" s="62" t="e">
        <f ca="1">OFFSET('360SpcLdsCSV'!$B$5,$B259,I$51)</f>
        <v>#N/A</v>
      </c>
      <c r="J259" s="62" t="e">
        <f ca="1">OFFSET('360SpcLdsCSV'!$B$5,$B259,J$51)</f>
        <v>#N/A</v>
      </c>
      <c r="K259" s="62" t="e">
        <f ca="1">OFFSET('360SpcLdsCSV'!$B$5,$B259,K$51)</f>
        <v>#N/A</v>
      </c>
      <c r="L259" s="62" t="e">
        <f ca="1">OFFSET('360SpcLdsCSV'!$B$5,$B259,L$51)</f>
        <v>#N/A</v>
      </c>
      <c r="M259" s="1178" t="e">
        <f t="shared" ca="1" si="117"/>
        <v>#N/A</v>
      </c>
      <c r="N259" s="1178" t="e">
        <f t="shared" ca="1" si="117"/>
        <v>#N/A</v>
      </c>
      <c r="O259" s="62" t="e">
        <f ca="1">OFFSET('360SpcLdsCSV'!$B$5,$B259,O$51)</f>
        <v>#N/A</v>
      </c>
      <c r="P259" s="64" t="e">
        <f ca="1">OFFSET('360SpcLdsCSV'!$B$5,$B259,P$51)</f>
        <v>#N/A</v>
      </c>
      <c r="Q259" s="84" t="e">
        <f t="shared" ca="1" si="113"/>
        <v>#N/A</v>
      </c>
      <c r="R259" s="64" t="e">
        <f ca="1">OFFSET('360SpcLdsCSV'!$B$5,$B259,R$51)*$P259</f>
        <v>#N/A</v>
      </c>
      <c r="S259" s="64" t="e">
        <f ca="1">OFFSET('360SpcLdsCSV'!$B$5,$B259,S$51)*$R259/1000</f>
        <v>#N/A</v>
      </c>
      <c r="T259" s="84" t="e">
        <f t="shared" ca="1" si="114"/>
        <v>#N/A</v>
      </c>
      <c r="U259" s="64" t="e">
        <f ca="1">OFFSET('360SpcLdsCSV'!$B$5,$B259,U$51)</f>
        <v>#N/A</v>
      </c>
      <c r="V259" s="64" t="e">
        <f ca="1">OFFSET('360SpcLdsCSV'!$B$5,$B259,V$51)*$U259/1000</f>
        <v>#N/A</v>
      </c>
      <c r="W259" s="84" t="e">
        <f t="shared" ca="1" si="115"/>
        <v>#N/A</v>
      </c>
      <c r="X259" s="64" t="e">
        <f ca="1">OFFSET('360SpcLdsCSV'!$B$5,$B259,X$51)*$P259</f>
        <v>#N/A</v>
      </c>
      <c r="Y259" s="64" t="e">
        <f ca="1">OFFSET('360SpcLdsCSV'!$B$5,$B259,Y$51)*$X259/1000</f>
        <v>#N/A</v>
      </c>
      <c r="Z259" s="84" t="e">
        <f t="shared" ca="1" si="116"/>
        <v>#N/A</v>
      </c>
      <c r="AA259" s="64" t="e">
        <f ca="1">OFFSET('360SpcLdsCSV'!$B$5,$B259,AA$51)*$P259</f>
        <v>#N/A</v>
      </c>
      <c r="AB259" s="64" t="e">
        <f ca="1">OFFSET('360SpcLdsCSV'!$B$5,$B259,AB$51)*$AA259/1000</f>
        <v>#N/A</v>
      </c>
      <c r="AC259" s="65" t="e">
        <f ca="1">'Ltg IntTakeoffs'!EZ214</f>
        <v>#N/A</v>
      </c>
      <c r="AD259" s="64" t="e">
        <f t="shared" ca="1" si="120"/>
        <v>#N/A</v>
      </c>
      <c r="AE259" s="558" t="e">
        <f ca="1">'Ltg IntTakeoffs'!FA214*M259</f>
        <v>#N/A</v>
      </c>
      <c r="AF259" s="559" t="e">
        <f ca="1">'Ltg IntTakeoffs'!FB214*M259</f>
        <v>#N/A</v>
      </c>
      <c r="AG259" s="62"/>
      <c r="AH259" s="62"/>
    </row>
    <row r="260" spans="2:34" ht="15" customHeight="1" x14ac:dyDescent="0.2">
      <c r="B260" s="62" t="e">
        <f>MATCH(C260,'360SpcLdsCSV'!$C$6:$C$500,0)</f>
        <v>#N/A</v>
      </c>
      <c r="C260" s="62">
        <f>'360SpcLdsCSV'!C209</f>
        <v>0</v>
      </c>
      <c r="D260" s="62" t="str">
        <f t="shared" si="111"/>
        <v>0</v>
      </c>
      <c r="E260" s="62" t="e">
        <f t="shared" si="118"/>
        <v>#VALUE!</v>
      </c>
      <c r="F260" s="62" t="e">
        <f t="shared" si="119"/>
        <v>#VALUE!</v>
      </c>
      <c r="G260" s="62" t="str">
        <f t="shared" si="112"/>
        <v>0</v>
      </c>
      <c r="H260" s="62" t="e">
        <f ca="1">OFFSET('360SpcLdsCSV'!$B$5,$B260,H$51)</f>
        <v>#N/A</v>
      </c>
      <c r="I260" s="62" t="e">
        <f ca="1">OFFSET('360SpcLdsCSV'!$B$5,$B260,I$51)</f>
        <v>#N/A</v>
      </c>
      <c r="J260" s="62" t="e">
        <f ca="1">OFFSET('360SpcLdsCSV'!$B$5,$B260,J$51)</f>
        <v>#N/A</v>
      </c>
      <c r="K260" s="62" t="e">
        <f ca="1">OFFSET('360SpcLdsCSV'!$B$5,$B260,K$51)</f>
        <v>#N/A</v>
      </c>
      <c r="L260" s="62" t="e">
        <f ca="1">OFFSET('360SpcLdsCSV'!$B$5,$B260,L$51)</f>
        <v>#N/A</v>
      </c>
      <c r="M260" s="1178" t="e">
        <f t="shared" ca="1" si="117"/>
        <v>#N/A</v>
      </c>
      <c r="N260" s="1178" t="e">
        <f t="shared" ca="1" si="117"/>
        <v>#N/A</v>
      </c>
      <c r="O260" s="62" t="e">
        <f ca="1">OFFSET('360SpcLdsCSV'!$B$5,$B260,O$51)</f>
        <v>#N/A</v>
      </c>
      <c r="P260" s="64" t="e">
        <f ca="1">OFFSET('360SpcLdsCSV'!$B$5,$B260,P$51)</f>
        <v>#N/A</v>
      </c>
      <c r="Q260" s="84" t="e">
        <f t="shared" ca="1" si="113"/>
        <v>#N/A</v>
      </c>
      <c r="R260" s="64" t="e">
        <f ca="1">OFFSET('360SpcLdsCSV'!$B$5,$B260,R$51)*$P260</f>
        <v>#N/A</v>
      </c>
      <c r="S260" s="64" t="e">
        <f ca="1">OFFSET('360SpcLdsCSV'!$B$5,$B260,S$51)*$R260/1000</f>
        <v>#N/A</v>
      </c>
      <c r="T260" s="84" t="e">
        <f t="shared" ca="1" si="114"/>
        <v>#N/A</v>
      </c>
      <c r="U260" s="64" t="e">
        <f ca="1">OFFSET('360SpcLdsCSV'!$B$5,$B260,U$51)</f>
        <v>#N/A</v>
      </c>
      <c r="V260" s="64" t="e">
        <f ca="1">OFFSET('360SpcLdsCSV'!$B$5,$B260,V$51)*$U260/1000</f>
        <v>#N/A</v>
      </c>
      <c r="W260" s="84" t="e">
        <f t="shared" ca="1" si="115"/>
        <v>#N/A</v>
      </c>
      <c r="X260" s="64" t="e">
        <f ca="1">OFFSET('360SpcLdsCSV'!$B$5,$B260,X$51)*$P260</f>
        <v>#N/A</v>
      </c>
      <c r="Y260" s="64" t="e">
        <f ca="1">OFFSET('360SpcLdsCSV'!$B$5,$B260,Y$51)*$X260/1000</f>
        <v>#N/A</v>
      </c>
      <c r="Z260" s="84" t="e">
        <f t="shared" ca="1" si="116"/>
        <v>#N/A</v>
      </c>
      <c r="AA260" s="64" t="e">
        <f ca="1">OFFSET('360SpcLdsCSV'!$B$5,$B260,AA$51)*$P260</f>
        <v>#N/A</v>
      </c>
      <c r="AB260" s="64" t="e">
        <f ca="1">OFFSET('360SpcLdsCSV'!$B$5,$B260,AB$51)*$AA260/1000</f>
        <v>#N/A</v>
      </c>
      <c r="AC260" s="65" t="e">
        <f ca="1">'Ltg IntTakeoffs'!EZ215</f>
        <v>#N/A</v>
      </c>
      <c r="AD260" s="64" t="e">
        <f t="shared" ca="1" si="120"/>
        <v>#N/A</v>
      </c>
      <c r="AE260" s="558" t="e">
        <f ca="1">'Ltg IntTakeoffs'!FA215*M260</f>
        <v>#N/A</v>
      </c>
      <c r="AF260" s="559" t="e">
        <f ca="1">'Ltg IntTakeoffs'!FB215*M260</f>
        <v>#N/A</v>
      </c>
      <c r="AG260" s="62"/>
      <c r="AH260" s="62"/>
    </row>
    <row r="261" spans="2:34" ht="15" customHeight="1" x14ac:dyDescent="0.2">
      <c r="B261" s="62" t="e">
        <f>MATCH(C261,'360SpcLdsCSV'!$C$6:$C$500,0)</f>
        <v>#N/A</v>
      </c>
      <c r="C261" s="62">
        <f>'360SpcLdsCSV'!C210</f>
        <v>0</v>
      </c>
      <c r="D261" s="62" t="str">
        <f t="shared" si="111"/>
        <v>0</v>
      </c>
      <c r="E261" s="62" t="e">
        <f t="shared" si="118"/>
        <v>#VALUE!</v>
      </c>
      <c r="F261" s="62" t="e">
        <f t="shared" si="119"/>
        <v>#VALUE!</v>
      </c>
      <c r="G261" s="62" t="str">
        <f t="shared" si="112"/>
        <v>0</v>
      </c>
      <c r="H261" s="62" t="e">
        <f ca="1">OFFSET('360SpcLdsCSV'!$B$5,$B261,H$51)</f>
        <v>#N/A</v>
      </c>
      <c r="I261" s="62" t="e">
        <f ca="1">OFFSET('360SpcLdsCSV'!$B$5,$B261,I$51)</f>
        <v>#N/A</v>
      </c>
      <c r="J261" s="62" t="e">
        <f ca="1">OFFSET('360SpcLdsCSV'!$B$5,$B261,J$51)</f>
        <v>#N/A</v>
      </c>
      <c r="K261" s="62" t="e">
        <f ca="1">OFFSET('360SpcLdsCSV'!$B$5,$B261,K$51)</f>
        <v>#N/A</v>
      </c>
      <c r="L261" s="62" t="e">
        <f ca="1">OFFSET('360SpcLdsCSV'!$B$5,$B261,L$51)</f>
        <v>#N/A</v>
      </c>
      <c r="M261" s="1178" t="e">
        <f t="shared" ca="1" si="117"/>
        <v>#N/A</v>
      </c>
      <c r="N261" s="1178" t="e">
        <f t="shared" ca="1" si="117"/>
        <v>#N/A</v>
      </c>
      <c r="O261" s="62" t="e">
        <f ca="1">OFFSET('360SpcLdsCSV'!$B$5,$B261,O$51)</f>
        <v>#N/A</v>
      </c>
      <c r="P261" s="64" t="e">
        <f ca="1">OFFSET('360SpcLdsCSV'!$B$5,$B261,P$51)</f>
        <v>#N/A</v>
      </c>
      <c r="Q261" s="84" t="e">
        <f t="shared" ca="1" si="113"/>
        <v>#N/A</v>
      </c>
      <c r="R261" s="64" t="e">
        <f ca="1">OFFSET('360SpcLdsCSV'!$B$5,$B261,R$51)*$P261</f>
        <v>#N/A</v>
      </c>
      <c r="S261" s="64" t="e">
        <f ca="1">OFFSET('360SpcLdsCSV'!$B$5,$B261,S$51)*$R261/1000</f>
        <v>#N/A</v>
      </c>
      <c r="T261" s="84" t="e">
        <f t="shared" ca="1" si="114"/>
        <v>#N/A</v>
      </c>
      <c r="U261" s="64" t="e">
        <f ca="1">OFFSET('360SpcLdsCSV'!$B$5,$B261,U$51)</f>
        <v>#N/A</v>
      </c>
      <c r="V261" s="64" t="e">
        <f ca="1">OFFSET('360SpcLdsCSV'!$B$5,$B261,V$51)*$U261/1000</f>
        <v>#N/A</v>
      </c>
      <c r="W261" s="84" t="e">
        <f t="shared" ca="1" si="115"/>
        <v>#N/A</v>
      </c>
      <c r="X261" s="64" t="e">
        <f ca="1">OFFSET('360SpcLdsCSV'!$B$5,$B261,X$51)*$P261</f>
        <v>#N/A</v>
      </c>
      <c r="Y261" s="64" t="e">
        <f ca="1">OFFSET('360SpcLdsCSV'!$B$5,$B261,Y$51)*$X261/1000</f>
        <v>#N/A</v>
      </c>
      <c r="Z261" s="84" t="e">
        <f t="shared" ca="1" si="116"/>
        <v>#N/A</v>
      </c>
      <c r="AA261" s="64" t="e">
        <f ca="1">OFFSET('360SpcLdsCSV'!$B$5,$B261,AA$51)*$P261</f>
        <v>#N/A</v>
      </c>
      <c r="AB261" s="64" t="e">
        <f ca="1">OFFSET('360SpcLdsCSV'!$B$5,$B261,AB$51)*$AA261/1000</f>
        <v>#N/A</v>
      </c>
      <c r="AC261" s="65" t="e">
        <f ca="1">'Ltg IntTakeoffs'!EZ216</f>
        <v>#N/A</v>
      </c>
      <c r="AD261" s="64" t="e">
        <f t="shared" ca="1" si="120"/>
        <v>#N/A</v>
      </c>
      <c r="AE261" s="558" t="e">
        <f ca="1">'Ltg IntTakeoffs'!FA216*M261</f>
        <v>#N/A</v>
      </c>
      <c r="AF261" s="559" t="e">
        <f ca="1">'Ltg IntTakeoffs'!FB216*M261</f>
        <v>#N/A</v>
      </c>
      <c r="AG261" s="62"/>
      <c r="AH261" s="62"/>
    </row>
    <row r="262" spans="2:34" ht="15" customHeight="1" x14ac:dyDescent="0.2">
      <c r="B262" s="62" t="e">
        <f>MATCH(C262,'360SpcLdsCSV'!$C$6:$C$500,0)</f>
        <v>#N/A</v>
      </c>
      <c r="C262" s="62">
        <f>'360SpcLdsCSV'!C211</f>
        <v>0</v>
      </c>
      <c r="D262" s="62" t="str">
        <f t="shared" si="111"/>
        <v>0</v>
      </c>
      <c r="E262" s="62" t="e">
        <f t="shared" si="118"/>
        <v>#VALUE!</v>
      </c>
      <c r="F262" s="62" t="e">
        <f t="shared" si="119"/>
        <v>#VALUE!</v>
      </c>
      <c r="G262" s="62" t="str">
        <f t="shared" si="112"/>
        <v>0</v>
      </c>
      <c r="H262" s="62" t="e">
        <f ca="1">OFFSET('360SpcLdsCSV'!$B$5,$B262,H$51)</f>
        <v>#N/A</v>
      </c>
      <c r="I262" s="62" t="e">
        <f ca="1">OFFSET('360SpcLdsCSV'!$B$5,$B262,I$51)</f>
        <v>#N/A</v>
      </c>
      <c r="J262" s="62" t="e">
        <f ca="1">OFFSET('360SpcLdsCSV'!$B$5,$B262,J$51)</f>
        <v>#N/A</v>
      </c>
      <c r="K262" s="62" t="e">
        <f ca="1">OFFSET('360SpcLdsCSV'!$B$5,$B262,K$51)</f>
        <v>#N/A</v>
      </c>
      <c r="L262" s="62" t="e">
        <f ca="1">OFFSET('360SpcLdsCSV'!$B$5,$B262,L$51)</f>
        <v>#N/A</v>
      </c>
      <c r="M262" s="1178" t="e">
        <f t="shared" ca="1" si="117"/>
        <v>#N/A</v>
      </c>
      <c r="N262" s="1178" t="e">
        <f t="shared" ca="1" si="117"/>
        <v>#N/A</v>
      </c>
      <c r="O262" s="62" t="e">
        <f ca="1">OFFSET('360SpcLdsCSV'!$B$5,$B262,O$51)</f>
        <v>#N/A</v>
      </c>
      <c r="P262" s="64" t="e">
        <f ca="1">OFFSET('360SpcLdsCSV'!$B$5,$B262,P$51)</f>
        <v>#N/A</v>
      </c>
      <c r="Q262" s="84" t="e">
        <f t="shared" ca="1" si="113"/>
        <v>#N/A</v>
      </c>
      <c r="R262" s="64" t="e">
        <f ca="1">OFFSET('360SpcLdsCSV'!$B$5,$B262,R$51)*$P262</f>
        <v>#N/A</v>
      </c>
      <c r="S262" s="64" t="e">
        <f ca="1">OFFSET('360SpcLdsCSV'!$B$5,$B262,S$51)*$R262/1000</f>
        <v>#N/A</v>
      </c>
      <c r="T262" s="84" t="e">
        <f t="shared" ca="1" si="114"/>
        <v>#N/A</v>
      </c>
      <c r="U262" s="64" t="e">
        <f ca="1">OFFSET('360SpcLdsCSV'!$B$5,$B262,U$51)</f>
        <v>#N/A</v>
      </c>
      <c r="V262" s="64" t="e">
        <f ca="1">OFFSET('360SpcLdsCSV'!$B$5,$B262,V$51)*$U262/1000</f>
        <v>#N/A</v>
      </c>
      <c r="W262" s="84" t="e">
        <f t="shared" ca="1" si="115"/>
        <v>#N/A</v>
      </c>
      <c r="X262" s="64" t="e">
        <f ca="1">OFFSET('360SpcLdsCSV'!$B$5,$B262,X$51)*$P262</f>
        <v>#N/A</v>
      </c>
      <c r="Y262" s="64" t="e">
        <f ca="1">OFFSET('360SpcLdsCSV'!$B$5,$B262,Y$51)*$X262/1000</f>
        <v>#N/A</v>
      </c>
      <c r="Z262" s="84" t="e">
        <f t="shared" ca="1" si="116"/>
        <v>#N/A</v>
      </c>
      <c r="AA262" s="64" t="e">
        <f ca="1">OFFSET('360SpcLdsCSV'!$B$5,$B262,AA$51)*$P262</f>
        <v>#N/A</v>
      </c>
      <c r="AB262" s="64" t="e">
        <f ca="1">OFFSET('360SpcLdsCSV'!$B$5,$B262,AB$51)*$AA262/1000</f>
        <v>#N/A</v>
      </c>
      <c r="AC262" s="65" t="e">
        <f ca="1">'Ltg IntTakeoffs'!EZ217</f>
        <v>#N/A</v>
      </c>
      <c r="AD262" s="64" t="e">
        <f t="shared" ca="1" si="120"/>
        <v>#N/A</v>
      </c>
      <c r="AE262" s="558" t="e">
        <f ca="1">'Ltg IntTakeoffs'!FA217*M262</f>
        <v>#N/A</v>
      </c>
      <c r="AF262" s="559" t="e">
        <f ca="1">'Ltg IntTakeoffs'!FB217*M262</f>
        <v>#N/A</v>
      </c>
      <c r="AG262" s="62"/>
      <c r="AH262" s="62"/>
    </row>
    <row r="263" spans="2:34" ht="15" customHeight="1" x14ac:dyDescent="0.2">
      <c r="B263" s="62" t="e">
        <f>MATCH(C263,'360SpcLdsCSV'!$C$6:$C$500,0)</f>
        <v>#N/A</v>
      </c>
      <c r="C263" s="62">
        <f>'360SpcLdsCSV'!C212</f>
        <v>0</v>
      </c>
      <c r="D263" s="62" t="str">
        <f t="shared" si="111"/>
        <v>0</v>
      </c>
      <c r="E263" s="62" t="e">
        <f t="shared" si="118"/>
        <v>#VALUE!</v>
      </c>
      <c r="F263" s="62" t="e">
        <f t="shared" si="119"/>
        <v>#VALUE!</v>
      </c>
      <c r="G263" s="62" t="str">
        <f t="shared" si="112"/>
        <v>0</v>
      </c>
      <c r="H263" s="62" t="e">
        <f ca="1">OFFSET('360SpcLdsCSV'!$B$5,$B263,H$51)</f>
        <v>#N/A</v>
      </c>
      <c r="I263" s="62" t="e">
        <f ca="1">OFFSET('360SpcLdsCSV'!$B$5,$B263,I$51)</f>
        <v>#N/A</v>
      </c>
      <c r="J263" s="62" t="e">
        <f ca="1">OFFSET('360SpcLdsCSV'!$B$5,$B263,J$51)</f>
        <v>#N/A</v>
      </c>
      <c r="K263" s="62" t="e">
        <f ca="1">OFFSET('360SpcLdsCSV'!$B$5,$B263,K$51)</f>
        <v>#N/A</v>
      </c>
      <c r="L263" s="62" t="e">
        <f ca="1">OFFSET('360SpcLdsCSV'!$B$5,$B263,L$51)</f>
        <v>#N/A</v>
      </c>
      <c r="M263" s="1178" t="e">
        <f t="shared" ca="1" si="117"/>
        <v>#N/A</v>
      </c>
      <c r="N263" s="1178" t="e">
        <f t="shared" ca="1" si="117"/>
        <v>#N/A</v>
      </c>
      <c r="O263" s="62" t="e">
        <f ca="1">OFFSET('360SpcLdsCSV'!$B$5,$B263,O$51)</f>
        <v>#N/A</v>
      </c>
      <c r="P263" s="64" t="e">
        <f ca="1">OFFSET('360SpcLdsCSV'!$B$5,$B263,P$51)</f>
        <v>#N/A</v>
      </c>
      <c r="Q263" s="84" t="e">
        <f t="shared" ca="1" si="113"/>
        <v>#N/A</v>
      </c>
      <c r="R263" s="64" t="e">
        <f ca="1">OFFSET('360SpcLdsCSV'!$B$5,$B263,R$51)*$P263</f>
        <v>#N/A</v>
      </c>
      <c r="S263" s="64" t="e">
        <f ca="1">OFFSET('360SpcLdsCSV'!$B$5,$B263,S$51)*$R263/1000</f>
        <v>#N/A</v>
      </c>
      <c r="T263" s="84" t="e">
        <f t="shared" ca="1" si="114"/>
        <v>#N/A</v>
      </c>
      <c r="U263" s="64" t="e">
        <f ca="1">OFFSET('360SpcLdsCSV'!$B$5,$B263,U$51)</f>
        <v>#N/A</v>
      </c>
      <c r="V263" s="64" t="e">
        <f ca="1">OFFSET('360SpcLdsCSV'!$B$5,$B263,V$51)*$U263/1000</f>
        <v>#N/A</v>
      </c>
      <c r="W263" s="84" t="e">
        <f t="shared" ca="1" si="115"/>
        <v>#N/A</v>
      </c>
      <c r="X263" s="64" t="e">
        <f ca="1">OFFSET('360SpcLdsCSV'!$B$5,$B263,X$51)*$P263</f>
        <v>#N/A</v>
      </c>
      <c r="Y263" s="64" t="e">
        <f ca="1">OFFSET('360SpcLdsCSV'!$B$5,$B263,Y$51)*$X263/1000</f>
        <v>#N/A</v>
      </c>
      <c r="Z263" s="84" t="e">
        <f t="shared" ca="1" si="116"/>
        <v>#N/A</v>
      </c>
      <c r="AA263" s="64" t="e">
        <f ca="1">OFFSET('360SpcLdsCSV'!$B$5,$B263,AA$51)*$P263</f>
        <v>#N/A</v>
      </c>
      <c r="AB263" s="64" t="e">
        <f ca="1">OFFSET('360SpcLdsCSV'!$B$5,$B263,AB$51)*$AA263/1000</f>
        <v>#N/A</v>
      </c>
      <c r="AC263" s="65" t="e">
        <f ca="1">'Ltg IntTakeoffs'!EZ218</f>
        <v>#N/A</v>
      </c>
      <c r="AD263" s="64" t="e">
        <f t="shared" ca="1" si="120"/>
        <v>#N/A</v>
      </c>
      <c r="AE263" s="558" t="e">
        <f ca="1">'Ltg IntTakeoffs'!FA218*M263</f>
        <v>#N/A</v>
      </c>
      <c r="AF263" s="559" t="e">
        <f ca="1">'Ltg IntTakeoffs'!FB218*M263</f>
        <v>#N/A</v>
      </c>
      <c r="AG263" s="62"/>
      <c r="AH263" s="62"/>
    </row>
    <row r="264" spans="2:34" ht="15" customHeight="1" x14ac:dyDescent="0.2">
      <c r="B264" s="62" t="e">
        <f>MATCH(C264,'360SpcLdsCSV'!$C$6:$C$500,0)</f>
        <v>#N/A</v>
      </c>
      <c r="C264" s="62">
        <f>'360SpcLdsCSV'!C213</f>
        <v>0</v>
      </c>
      <c r="D264" s="62" t="str">
        <f t="shared" si="111"/>
        <v>0</v>
      </c>
      <c r="E264" s="62" t="e">
        <f t="shared" si="118"/>
        <v>#VALUE!</v>
      </c>
      <c r="F264" s="62" t="e">
        <f t="shared" si="119"/>
        <v>#VALUE!</v>
      </c>
      <c r="G264" s="62" t="str">
        <f t="shared" si="112"/>
        <v>0</v>
      </c>
      <c r="H264" s="62" t="e">
        <f ca="1">OFFSET('360SpcLdsCSV'!$B$5,$B264,H$51)</f>
        <v>#N/A</v>
      </c>
      <c r="I264" s="62" t="e">
        <f ca="1">OFFSET('360SpcLdsCSV'!$B$5,$B264,I$51)</f>
        <v>#N/A</v>
      </c>
      <c r="J264" s="62" t="e">
        <f ca="1">OFFSET('360SpcLdsCSV'!$B$5,$B264,J$51)</f>
        <v>#N/A</v>
      </c>
      <c r="K264" s="62" t="e">
        <f ca="1">OFFSET('360SpcLdsCSV'!$B$5,$B264,K$51)</f>
        <v>#N/A</v>
      </c>
      <c r="L264" s="62" t="e">
        <f ca="1">OFFSET('360SpcLdsCSV'!$B$5,$B264,L$51)</f>
        <v>#N/A</v>
      </c>
      <c r="M264" s="1178" t="e">
        <f t="shared" ca="1" si="117"/>
        <v>#N/A</v>
      </c>
      <c r="N264" s="1178" t="e">
        <f t="shared" ca="1" si="117"/>
        <v>#N/A</v>
      </c>
      <c r="O264" s="62" t="e">
        <f ca="1">OFFSET('360SpcLdsCSV'!$B$5,$B264,O$51)</f>
        <v>#N/A</v>
      </c>
      <c r="P264" s="64" t="e">
        <f ca="1">OFFSET('360SpcLdsCSV'!$B$5,$B264,P$51)</f>
        <v>#N/A</v>
      </c>
      <c r="Q264" s="84" t="e">
        <f t="shared" ca="1" si="113"/>
        <v>#N/A</v>
      </c>
      <c r="R264" s="64" t="e">
        <f ca="1">OFFSET('360SpcLdsCSV'!$B$5,$B264,R$51)*$P264</f>
        <v>#N/A</v>
      </c>
      <c r="S264" s="64" t="e">
        <f ca="1">OFFSET('360SpcLdsCSV'!$B$5,$B264,S$51)*$R264/1000</f>
        <v>#N/A</v>
      </c>
      <c r="T264" s="84" t="e">
        <f t="shared" ca="1" si="114"/>
        <v>#N/A</v>
      </c>
      <c r="U264" s="64" t="e">
        <f ca="1">OFFSET('360SpcLdsCSV'!$B$5,$B264,U$51)</f>
        <v>#N/A</v>
      </c>
      <c r="V264" s="64" t="e">
        <f ca="1">OFFSET('360SpcLdsCSV'!$B$5,$B264,V$51)*$U264/1000</f>
        <v>#N/A</v>
      </c>
      <c r="W264" s="84" t="e">
        <f t="shared" ca="1" si="115"/>
        <v>#N/A</v>
      </c>
      <c r="X264" s="64" t="e">
        <f ca="1">OFFSET('360SpcLdsCSV'!$B$5,$B264,X$51)*$P264</f>
        <v>#N/A</v>
      </c>
      <c r="Y264" s="64" t="e">
        <f ca="1">OFFSET('360SpcLdsCSV'!$B$5,$B264,Y$51)*$X264/1000</f>
        <v>#N/A</v>
      </c>
      <c r="Z264" s="84" t="e">
        <f t="shared" ca="1" si="116"/>
        <v>#N/A</v>
      </c>
      <c r="AA264" s="64" t="e">
        <f ca="1">OFFSET('360SpcLdsCSV'!$B$5,$B264,AA$51)*$P264</f>
        <v>#N/A</v>
      </c>
      <c r="AB264" s="64" t="e">
        <f ca="1">OFFSET('360SpcLdsCSV'!$B$5,$B264,AB$51)*$AA264/1000</f>
        <v>#N/A</v>
      </c>
      <c r="AC264" s="65" t="e">
        <f ca="1">'Ltg IntTakeoffs'!EZ219</f>
        <v>#N/A</v>
      </c>
      <c r="AD264" s="64" t="e">
        <f t="shared" ca="1" si="120"/>
        <v>#N/A</v>
      </c>
      <c r="AE264" s="558" t="e">
        <f ca="1">'Ltg IntTakeoffs'!FA219*M264</f>
        <v>#N/A</v>
      </c>
      <c r="AF264" s="559" t="e">
        <f ca="1">'Ltg IntTakeoffs'!FB219*M264</f>
        <v>#N/A</v>
      </c>
      <c r="AG264" s="62"/>
      <c r="AH264" s="62"/>
    </row>
    <row r="265" spans="2:34" ht="15" customHeight="1" x14ac:dyDescent="0.2">
      <c r="B265" s="62" t="e">
        <f>MATCH(C265,'360SpcLdsCSV'!$C$6:$C$500,0)</f>
        <v>#N/A</v>
      </c>
      <c r="C265" s="62">
        <f>'360SpcLdsCSV'!C214</f>
        <v>0</v>
      </c>
      <c r="D265" s="62" t="str">
        <f t="shared" si="111"/>
        <v>0</v>
      </c>
      <c r="E265" s="62" t="e">
        <f t="shared" si="118"/>
        <v>#VALUE!</v>
      </c>
      <c r="F265" s="62" t="e">
        <f t="shared" si="119"/>
        <v>#VALUE!</v>
      </c>
      <c r="G265" s="62" t="str">
        <f t="shared" si="112"/>
        <v>0</v>
      </c>
      <c r="H265" s="62" t="e">
        <f ca="1">OFFSET('360SpcLdsCSV'!$B$5,$B265,H$51)</f>
        <v>#N/A</v>
      </c>
      <c r="I265" s="62" t="e">
        <f ca="1">OFFSET('360SpcLdsCSV'!$B$5,$B265,I$51)</f>
        <v>#N/A</v>
      </c>
      <c r="J265" s="62" t="e">
        <f ca="1">OFFSET('360SpcLdsCSV'!$B$5,$B265,J$51)</f>
        <v>#N/A</v>
      </c>
      <c r="K265" s="62" t="e">
        <f ca="1">OFFSET('360SpcLdsCSV'!$B$5,$B265,K$51)</f>
        <v>#N/A</v>
      </c>
      <c r="L265" s="62" t="e">
        <f ca="1">OFFSET('360SpcLdsCSV'!$B$5,$B265,L$51)</f>
        <v>#N/A</v>
      </c>
      <c r="M265" s="1178" t="e">
        <f t="shared" ca="1" si="117"/>
        <v>#N/A</v>
      </c>
      <c r="N265" s="1178" t="e">
        <f t="shared" ca="1" si="117"/>
        <v>#N/A</v>
      </c>
      <c r="O265" s="62" t="e">
        <f ca="1">OFFSET('360SpcLdsCSV'!$B$5,$B265,O$51)</f>
        <v>#N/A</v>
      </c>
      <c r="P265" s="64" t="e">
        <f ca="1">OFFSET('360SpcLdsCSV'!$B$5,$B265,P$51)</f>
        <v>#N/A</v>
      </c>
      <c r="Q265" s="84" t="e">
        <f t="shared" ca="1" si="113"/>
        <v>#N/A</v>
      </c>
      <c r="R265" s="64" t="e">
        <f ca="1">OFFSET('360SpcLdsCSV'!$B$5,$B265,R$51)*$P265</f>
        <v>#N/A</v>
      </c>
      <c r="S265" s="64" t="e">
        <f ca="1">OFFSET('360SpcLdsCSV'!$B$5,$B265,S$51)*$R265/1000</f>
        <v>#N/A</v>
      </c>
      <c r="T265" s="84" t="e">
        <f t="shared" ca="1" si="114"/>
        <v>#N/A</v>
      </c>
      <c r="U265" s="64" t="e">
        <f ca="1">OFFSET('360SpcLdsCSV'!$B$5,$B265,U$51)</f>
        <v>#N/A</v>
      </c>
      <c r="V265" s="64" t="e">
        <f ca="1">OFFSET('360SpcLdsCSV'!$B$5,$B265,V$51)*$U265/1000</f>
        <v>#N/A</v>
      </c>
      <c r="W265" s="84" t="e">
        <f t="shared" ca="1" si="115"/>
        <v>#N/A</v>
      </c>
      <c r="X265" s="64" t="e">
        <f ca="1">OFFSET('360SpcLdsCSV'!$B$5,$B265,X$51)*$P265</f>
        <v>#N/A</v>
      </c>
      <c r="Y265" s="64" t="e">
        <f ca="1">OFFSET('360SpcLdsCSV'!$B$5,$B265,Y$51)*$X265/1000</f>
        <v>#N/A</v>
      </c>
      <c r="Z265" s="84" t="e">
        <f t="shared" ca="1" si="116"/>
        <v>#N/A</v>
      </c>
      <c r="AA265" s="64" t="e">
        <f ca="1">OFFSET('360SpcLdsCSV'!$B$5,$B265,AA$51)*$P265</f>
        <v>#N/A</v>
      </c>
      <c r="AB265" s="64" t="e">
        <f ca="1">OFFSET('360SpcLdsCSV'!$B$5,$B265,AB$51)*$AA265/1000</f>
        <v>#N/A</v>
      </c>
      <c r="AC265" s="65" t="e">
        <f ca="1">'Ltg IntTakeoffs'!EZ220</f>
        <v>#N/A</v>
      </c>
      <c r="AD265" s="64" t="e">
        <f t="shared" ca="1" si="120"/>
        <v>#N/A</v>
      </c>
      <c r="AE265" s="558" t="e">
        <f ca="1">'Ltg IntTakeoffs'!FA220*M265</f>
        <v>#N/A</v>
      </c>
      <c r="AF265" s="559" t="e">
        <f ca="1">'Ltg IntTakeoffs'!FB220*M265</f>
        <v>#N/A</v>
      </c>
      <c r="AG265" s="62"/>
      <c r="AH265" s="62"/>
    </row>
    <row r="266" spans="2:34" ht="15" customHeight="1" x14ac:dyDescent="0.2">
      <c r="B266" s="62" t="e">
        <f>MATCH(C266,'360SpcLdsCSV'!$C$6:$C$500,0)</f>
        <v>#N/A</v>
      </c>
      <c r="C266" s="62">
        <f>'360SpcLdsCSV'!C215</f>
        <v>0</v>
      </c>
      <c r="D266" s="62" t="str">
        <f t="shared" si="111"/>
        <v>0</v>
      </c>
      <c r="E266" s="62" t="e">
        <f t="shared" si="118"/>
        <v>#VALUE!</v>
      </c>
      <c r="F266" s="62" t="e">
        <f t="shared" si="119"/>
        <v>#VALUE!</v>
      </c>
      <c r="G266" s="62" t="str">
        <f t="shared" si="112"/>
        <v>0</v>
      </c>
      <c r="H266" s="62" t="e">
        <f ca="1">OFFSET('360SpcLdsCSV'!$B$5,$B266,H$51)</f>
        <v>#N/A</v>
      </c>
      <c r="I266" s="62" t="e">
        <f ca="1">OFFSET('360SpcLdsCSV'!$B$5,$B266,I$51)</f>
        <v>#N/A</v>
      </c>
      <c r="J266" s="62" t="e">
        <f ca="1">OFFSET('360SpcLdsCSV'!$B$5,$B266,J$51)</f>
        <v>#N/A</v>
      </c>
      <c r="K266" s="62" t="e">
        <f ca="1">OFFSET('360SpcLdsCSV'!$B$5,$B266,K$51)</f>
        <v>#N/A</v>
      </c>
      <c r="L266" s="62" t="e">
        <f ca="1">OFFSET('360SpcLdsCSV'!$B$5,$B266,L$51)</f>
        <v>#N/A</v>
      </c>
      <c r="M266" s="1178" t="e">
        <f t="shared" ca="1" si="117"/>
        <v>#N/A</v>
      </c>
      <c r="N266" s="1178" t="e">
        <f t="shared" ca="1" si="117"/>
        <v>#N/A</v>
      </c>
      <c r="O266" s="62" t="e">
        <f ca="1">OFFSET('360SpcLdsCSV'!$B$5,$B266,O$51)</f>
        <v>#N/A</v>
      </c>
      <c r="P266" s="64" t="e">
        <f ca="1">OFFSET('360SpcLdsCSV'!$B$5,$B266,P$51)</f>
        <v>#N/A</v>
      </c>
      <c r="Q266" s="84" t="e">
        <f t="shared" ca="1" si="113"/>
        <v>#N/A</v>
      </c>
      <c r="R266" s="64" t="e">
        <f ca="1">OFFSET('360SpcLdsCSV'!$B$5,$B266,R$51)*$P266</f>
        <v>#N/A</v>
      </c>
      <c r="S266" s="64" t="e">
        <f ca="1">OFFSET('360SpcLdsCSV'!$B$5,$B266,S$51)*$R266/1000</f>
        <v>#N/A</v>
      </c>
      <c r="T266" s="84" t="e">
        <f t="shared" ca="1" si="114"/>
        <v>#N/A</v>
      </c>
      <c r="U266" s="64" t="e">
        <f ca="1">OFFSET('360SpcLdsCSV'!$B$5,$B266,U$51)</f>
        <v>#N/A</v>
      </c>
      <c r="V266" s="64" t="e">
        <f ca="1">OFFSET('360SpcLdsCSV'!$B$5,$B266,V$51)*$U266/1000</f>
        <v>#N/A</v>
      </c>
      <c r="W266" s="84" t="e">
        <f t="shared" ca="1" si="115"/>
        <v>#N/A</v>
      </c>
      <c r="X266" s="64" t="e">
        <f ca="1">OFFSET('360SpcLdsCSV'!$B$5,$B266,X$51)*$P266</f>
        <v>#N/A</v>
      </c>
      <c r="Y266" s="64" t="e">
        <f ca="1">OFFSET('360SpcLdsCSV'!$B$5,$B266,Y$51)*$X266/1000</f>
        <v>#N/A</v>
      </c>
      <c r="Z266" s="84" t="e">
        <f t="shared" ca="1" si="116"/>
        <v>#N/A</v>
      </c>
      <c r="AA266" s="64" t="e">
        <f ca="1">OFFSET('360SpcLdsCSV'!$B$5,$B266,AA$51)*$P266</f>
        <v>#N/A</v>
      </c>
      <c r="AB266" s="64" t="e">
        <f ca="1">OFFSET('360SpcLdsCSV'!$B$5,$B266,AB$51)*$AA266/1000</f>
        <v>#N/A</v>
      </c>
      <c r="AC266" s="65" t="e">
        <f ca="1">'Ltg IntTakeoffs'!EZ221</f>
        <v>#N/A</v>
      </c>
      <c r="AD266" s="64" t="e">
        <f t="shared" ca="1" si="120"/>
        <v>#N/A</v>
      </c>
      <c r="AE266" s="558" t="e">
        <f ca="1">'Ltg IntTakeoffs'!FA221*M266</f>
        <v>#N/A</v>
      </c>
      <c r="AF266" s="559" t="e">
        <f ca="1">'Ltg IntTakeoffs'!FB221*M266</f>
        <v>#N/A</v>
      </c>
      <c r="AG266" s="62"/>
      <c r="AH266" s="62"/>
    </row>
  </sheetData>
  <autoFilter ref="A54:AF266" xr:uid="{00000000-0009-0000-0000-00000C000000}"/>
  <mergeCells count="20">
    <mergeCell ref="T54:V54"/>
    <mergeCell ref="Z54:AB54"/>
    <mergeCell ref="W54:Y54"/>
    <mergeCell ref="AF43:AG43"/>
    <mergeCell ref="B9:B11"/>
    <mergeCell ref="B12:B17"/>
    <mergeCell ref="B18:B22"/>
    <mergeCell ref="B28:B31"/>
    <mergeCell ref="B32:B36"/>
    <mergeCell ref="Q54:S54"/>
    <mergeCell ref="B23:B25"/>
    <mergeCell ref="W7:Y7"/>
    <mergeCell ref="Q7:S7"/>
    <mergeCell ref="B37:B40"/>
    <mergeCell ref="AN7:AO7"/>
    <mergeCell ref="AI7:AJ7"/>
    <mergeCell ref="AC7:AD7"/>
    <mergeCell ref="T7:V7"/>
    <mergeCell ref="Z7:AB7"/>
    <mergeCell ref="C7:D7"/>
  </mergeCells>
  <phoneticPr fontId="22" type="noConversion"/>
  <conditionalFormatting sqref="B55:C55">
    <cfRule type="expression" dxfId="44" priority="60">
      <formula>$E55="MFAM"</formula>
    </cfRule>
  </conditionalFormatting>
  <conditionalFormatting sqref="B56:O266">
    <cfRule type="expression" dxfId="43" priority="13">
      <formula>$E56="MFAM"</formula>
    </cfRule>
  </conditionalFormatting>
  <conditionalFormatting sqref="E43">
    <cfRule type="expression" dxfId="42" priority="10">
      <formula>$E31="MFAM"</formula>
    </cfRule>
  </conditionalFormatting>
  <conditionalFormatting sqref="E44:E45">
    <cfRule type="expression" dxfId="41" priority="9">
      <formula>$E36="MFAM"</formula>
    </cfRule>
  </conditionalFormatting>
  <conditionalFormatting sqref="E46">
    <cfRule type="expression" dxfId="40" priority="3">
      <formula>$E33="MFAM"</formula>
    </cfRule>
  </conditionalFormatting>
  <conditionalFormatting sqref="E47">
    <cfRule type="expression" dxfId="39" priority="8">
      <formula>$E33="MFAM"</formula>
    </cfRule>
  </conditionalFormatting>
  <conditionalFormatting sqref="P57:AD266 A62:A266 A267:AD1345">
    <cfRule type="expression" dxfId="38" priority="89">
      <formula>$E57="MFAM"</formula>
    </cfRule>
  </conditionalFormatting>
  <conditionalFormatting sqref="AF9:AF40">
    <cfRule type="expression" dxfId="37" priority="5">
      <formula>$L9=1</formula>
    </cfRule>
  </conditionalFormatting>
  <conditionalFormatting sqref="AK56">
    <cfRule type="expression" dxfId="36" priority="77">
      <formula>$E20="MFAM"</formula>
    </cfRule>
  </conditionalFormatting>
  <conditionalFormatting sqref="AK57">
    <cfRule type="expression" dxfId="35" priority="82">
      <formula>$E15="MFAM"</formula>
    </cfRule>
  </conditionalFormatting>
  <conditionalFormatting sqref="AK58">
    <cfRule type="expression" dxfId="34" priority="207">
      <formula>$E33="MFAM"</formula>
    </cfRule>
  </conditionalFormatting>
  <conditionalFormatting sqref="AK59">
    <cfRule type="expression" dxfId="33" priority="183">
      <formula>$E35="MFAM"</formula>
    </cfRule>
  </conditionalFormatting>
  <conditionalFormatting sqref="AK60">
    <cfRule type="expression" dxfId="32" priority="187">
      <formula>$E37="MFAM"</formula>
    </cfRule>
  </conditionalFormatting>
  <conditionalFormatting sqref="AK61">
    <cfRule type="expression" dxfId="31" priority="172">
      <formula>#REF!="MFAM"</formula>
    </cfRule>
  </conditionalFormatting>
  <conditionalFormatting sqref="AK62">
    <cfRule type="expression" dxfId="30" priority="178">
      <formula>$E28="MFAM"</formula>
    </cfRule>
  </conditionalFormatting>
  <conditionalFormatting sqref="AK63">
    <cfRule type="expression" dxfId="29" priority="184">
      <formula>$E35="MFAM"</formula>
    </cfRule>
  </conditionalFormatting>
  <conditionalFormatting sqref="AK64">
    <cfRule type="expression" dxfId="28" priority="177">
      <formula>$E27="MFAM"</formula>
    </cfRule>
  </conditionalFormatting>
  <conditionalFormatting sqref="AK67">
    <cfRule type="expression" dxfId="27" priority="83">
      <formula>$E12="MFAM"</formula>
    </cfRule>
  </conditionalFormatting>
  <conditionalFormatting sqref="AK68">
    <cfRule type="expression" dxfId="26" priority="84">
      <formula>$E10="MFAM"</formula>
    </cfRule>
  </conditionalFormatting>
  <conditionalFormatting sqref="AK69">
    <cfRule type="expression" dxfId="25" priority="167">
      <formula>#REF!="MFAM"</formula>
    </cfRule>
  </conditionalFormatting>
  <conditionalFormatting sqref="AK70">
    <cfRule type="expression" dxfId="24" priority="168">
      <formula>$E18="MFAM"</formula>
    </cfRule>
  </conditionalFormatting>
  <conditionalFormatting sqref="AM45:AM46">
    <cfRule type="expression" dxfId="23" priority="6">
      <formula>ABS(AM45)&gt;0.02</formula>
    </cfRule>
    <cfRule type="expression" dxfId="22" priority="7">
      <formula>ABS(AM45)&lt;0.02</formula>
    </cfRule>
  </conditionalFormatting>
  <dataValidations disablePrompts="1" count="2">
    <dataValidation type="list" allowBlank="1" showInputMessage="1" showErrorMessage="1" sqref="L7" xr:uid="{0086097F-E94C-441B-B297-3183F7F498B4}">
      <formula1>$AS$7:$AT$7</formula1>
    </dataValidation>
    <dataValidation type="list" allowBlank="1" showInputMessage="1" showErrorMessage="1" sqref="AI7:AJ7" xr:uid="{E21D781F-04E7-481B-B179-7341BC754E89}">
      <formula1>$AW$7:$AZ$7</formula1>
    </dataValidation>
  </dataValidations>
  <pageMargins left="0.7" right="0.7" top="0.75" bottom="0.75" header="0.3" footer="0.3"/>
  <pageSetup orientation="portrait" horizontalDpi="1200" verticalDpi="1200" r:id="rId1"/>
  <ignoredErrors>
    <ignoredError sqref="N11:S11 N22:S22 AI22:AL22 N17:S17 N36:R36 N31:R31 O16:Q16 AI17:AL17 AJ35:AK35 O30:Q30 O35:Q35 O21:Q21 O38:Q38 AI31 AK31 AI36:AJ36 AI11:AJ11 AJ12:AL12 AJ15:AL16 AJ18:AL21 AJ26:AL26 AJ32:AK34 O12:Q12 AI38:AL38 AL11 AJ27:AK30 AJ23:AL23 O23:Q23 AJ37:AL37 O15:Q15 O18:Q18 O19:Q19 O20:Q20 O26:Q26 O27:Q27 O28:Q28 O29:Q29 O32:Q32 O33:Q33 O34:Q34 O37:Q37" formula="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tabColor theme="6" tint="-0.499984740745262"/>
  </sheetPr>
  <dimension ref="A1:AJ250"/>
  <sheetViews>
    <sheetView workbookViewId="0"/>
  </sheetViews>
  <sheetFormatPr defaultColWidth="9.109375" defaultRowHeight="10.199999999999999" outlineLevelCol="1" x14ac:dyDescent="0.2"/>
  <cols>
    <col min="1" max="1" width="7.33203125" style="62" customWidth="1"/>
    <col min="2" max="2" width="27.33203125" style="62" customWidth="1"/>
    <col min="3" max="3" width="6.88671875" style="62" customWidth="1"/>
    <col min="4" max="4" width="12.6640625" style="62" customWidth="1"/>
    <col min="5" max="6" width="8.5546875" style="62" customWidth="1"/>
    <col min="7" max="7" width="8.5546875" style="63" customWidth="1"/>
    <col min="8" max="8" width="8.5546875" style="64" customWidth="1"/>
    <col min="9" max="9" width="9.5546875" style="64" customWidth="1" outlineLevel="1"/>
    <col min="10" max="10" width="9.88671875" style="64" customWidth="1" outlineLevel="1"/>
    <col min="11" max="13" width="9.33203125" style="64" customWidth="1" outlineLevel="1"/>
    <col min="14" max="14" width="12.6640625" style="64" customWidth="1" outlineLevel="1"/>
    <col min="15" max="15" width="10.109375" style="64" customWidth="1" outlineLevel="1"/>
    <col min="16" max="16" width="11.109375" style="64" customWidth="1"/>
    <col min="17" max="17" width="11.88671875" style="64" bestFit="1" customWidth="1" outlineLevel="1"/>
    <col min="18" max="18" width="12.33203125" style="64" customWidth="1" outlineLevel="1"/>
    <col min="19" max="19" width="13" style="64" customWidth="1"/>
    <col min="20" max="21" width="13" style="64" customWidth="1" outlineLevel="1"/>
    <col min="22" max="22" width="13" style="64" customWidth="1"/>
    <col min="23" max="24" width="13" style="64" customWidth="1" outlineLevel="1"/>
    <col min="25" max="25" width="13" style="64" customWidth="1"/>
    <col min="26" max="26" width="13" style="62" customWidth="1"/>
    <col min="27" max="27" width="12" style="64" customWidth="1" collapsed="1"/>
    <col min="28" max="28" width="12" style="64" customWidth="1"/>
    <col min="29" max="29" width="8" style="64" customWidth="1"/>
    <col min="30" max="31" width="11" style="62" customWidth="1"/>
    <col min="32" max="32" width="7.33203125" style="62" customWidth="1"/>
    <col min="33" max="35" width="9.109375" style="62"/>
    <col min="36" max="36" width="9.109375" style="22"/>
    <col min="37" max="16384" width="9.109375" style="62"/>
  </cols>
  <sheetData>
    <row r="1" spans="1:21" ht="18" x14ac:dyDescent="0.35">
      <c r="B1" s="9" t="s">
        <v>760</v>
      </c>
      <c r="C1"/>
    </row>
    <row r="2" spans="1:21" x14ac:dyDescent="0.2">
      <c r="B2" s="621" t="s">
        <v>752</v>
      </c>
      <c r="D2" s="622">
        <v>42465</v>
      </c>
    </row>
    <row r="3" spans="1:21" x14ac:dyDescent="0.2">
      <c r="B3" s="621" t="s">
        <v>753</v>
      </c>
      <c r="D3" s="621" t="s">
        <v>792</v>
      </c>
    </row>
    <row r="5" spans="1:21" ht="15.6" x14ac:dyDescent="0.3">
      <c r="A5" s="66" t="s">
        <v>249</v>
      </c>
      <c r="I5" s="140"/>
    </row>
    <row r="6" spans="1:21" ht="14.4" x14ac:dyDescent="0.3">
      <c r="A6" s="50" t="s">
        <v>248</v>
      </c>
    </row>
    <row r="7" spans="1:21" ht="15.75" customHeight="1" x14ac:dyDescent="0.2"/>
    <row r="8" spans="1:21" ht="15.75" customHeight="1" x14ac:dyDescent="0.3">
      <c r="B8" s="184" t="s">
        <v>350</v>
      </c>
    </row>
    <row r="9" spans="1:21" ht="15.75" customHeight="1" x14ac:dyDescent="0.3">
      <c r="B9" s="167" t="s">
        <v>319</v>
      </c>
      <c r="C9" s="2611" t="s">
        <v>320</v>
      </c>
      <c r="D9" s="2611"/>
      <c r="E9" s="2611"/>
      <c r="F9" s="2611"/>
      <c r="G9" s="2611"/>
      <c r="H9" s="2611"/>
      <c r="I9" s="2611"/>
      <c r="J9" s="2611"/>
      <c r="K9" s="2611"/>
      <c r="L9" s="2611"/>
      <c r="M9" s="2611"/>
      <c r="N9" s="2611"/>
      <c r="O9" s="2611"/>
      <c r="P9" s="2611"/>
      <c r="Q9" s="2611"/>
      <c r="R9" s="2611"/>
      <c r="S9" s="2611"/>
      <c r="T9" s="2611"/>
      <c r="U9" s="168" t="s">
        <v>321</v>
      </c>
    </row>
    <row r="10" spans="1:21" ht="15.75" customHeight="1" x14ac:dyDescent="0.3">
      <c r="B10" s="169"/>
      <c r="C10" s="170"/>
      <c r="D10" s="170"/>
      <c r="E10" s="171" t="s">
        <v>322</v>
      </c>
      <c r="F10" s="171"/>
      <c r="G10" s="171"/>
      <c r="H10" s="171" t="s">
        <v>68</v>
      </c>
      <c r="I10" s="171"/>
      <c r="J10" s="171"/>
      <c r="K10" s="171" t="s">
        <v>142</v>
      </c>
      <c r="L10" s="171"/>
      <c r="M10" s="171"/>
      <c r="N10" s="171" t="s">
        <v>323</v>
      </c>
      <c r="O10" s="171"/>
      <c r="P10" s="171"/>
      <c r="Q10" s="171" t="s">
        <v>41</v>
      </c>
      <c r="R10" s="170"/>
      <c r="S10" s="170"/>
      <c r="T10" s="170"/>
      <c r="U10" s="172"/>
    </row>
    <row r="11" spans="1:21" ht="15.75" customHeight="1" x14ac:dyDescent="0.3">
      <c r="B11" s="173" t="s">
        <v>324</v>
      </c>
      <c r="C11" s="171" t="s">
        <v>325</v>
      </c>
      <c r="D11" s="171" t="s">
        <v>326</v>
      </c>
      <c r="E11" s="171" t="s">
        <v>11</v>
      </c>
      <c r="F11" s="171" t="s">
        <v>327</v>
      </c>
      <c r="G11" s="171" t="s">
        <v>328</v>
      </c>
      <c r="H11" s="171" t="s">
        <v>11</v>
      </c>
      <c r="I11" s="171" t="s">
        <v>327</v>
      </c>
      <c r="J11" s="171" t="s">
        <v>328</v>
      </c>
      <c r="K11" s="171" t="s">
        <v>11</v>
      </c>
      <c r="L11" s="171" t="s">
        <v>327</v>
      </c>
      <c r="M11" s="171" t="s">
        <v>328</v>
      </c>
      <c r="N11" s="171" t="s">
        <v>11</v>
      </c>
      <c r="O11" s="171" t="s">
        <v>327</v>
      </c>
      <c r="P11" s="171" t="s">
        <v>328</v>
      </c>
      <c r="Q11" s="171" t="s">
        <v>328</v>
      </c>
      <c r="R11" s="171" t="s">
        <v>329</v>
      </c>
      <c r="S11" s="171" t="s">
        <v>330</v>
      </c>
      <c r="T11" s="171" t="s">
        <v>109</v>
      </c>
      <c r="U11" s="172"/>
    </row>
    <row r="12" spans="1:21" ht="15.75" customHeight="1" x14ac:dyDescent="0.2">
      <c r="B12" s="174"/>
      <c r="C12" s="170" t="s">
        <v>331</v>
      </c>
      <c r="D12" s="170" t="s">
        <v>331</v>
      </c>
      <c r="E12" s="170" t="s">
        <v>332</v>
      </c>
      <c r="F12" s="170" t="s">
        <v>332</v>
      </c>
      <c r="G12" s="170" t="s">
        <v>333</v>
      </c>
      <c r="H12" s="170" t="s">
        <v>332</v>
      </c>
      <c r="I12" s="170" t="s">
        <v>332</v>
      </c>
      <c r="J12" s="170" t="s">
        <v>333</v>
      </c>
      <c r="K12" s="170" t="s">
        <v>332</v>
      </c>
      <c r="L12" s="170" t="s">
        <v>332</v>
      </c>
      <c r="M12" s="170" t="s">
        <v>333</v>
      </c>
      <c r="N12" s="170" t="s">
        <v>332</v>
      </c>
      <c r="O12" s="170" t="s">
        <v>332</v>
      </c>
      <c r="P12" s="170" t="s">
        <v>333</v>
      </c>
      <c r="Q12" s="170" t="s">
        <v>333</v>
      </c>
      <c r="R12" s="170" t="s">
        <v>334</v>
      </c>
      <c r="S12" s="170" t="s">
        <v>333</v>
      </c>
      <c r="T12" s="170" t="s">
        <v>333</v>
      </c>
      <c r="U12" s="172"/>
    </row>
    <row r="13" spans="1:21" ht="15.75" customHeight="1" x14ac:dyDescent="0.3">
      <c r="B13" s="174"/>
      <c r="C13" s="170" t="s">
        <v>335</v>
      </c>
      <c r="D13" s="170" t="s">
        <v>335</v>
      </c>
      <c r="E13" s="170" t="s">
        <v>136</v>
      </c>
      <c r="F13" s="175" t="s">
        <v>336</v>
      </c>
      <c r="G13" s="170" t="s">
        <v>138</v>
      </c>
      <c r="H13" s="170" t="s">
        <v>136</v>
      </c>
      <c r="I13" s="175" t="s">
        <v>336</v>
      </c>
      <c r="J13" s="170" t="s">
        <v>138</v>
      </c>
      <c r="K13" s="170" t="s">
        <v>136</v>
      </c>
      <c r="L13" s="175" t="s">
        <v>336</v>
      </c>
      <c r="M13" s="170" t="s">
        <v>138</v>
      </c>
      <c r="N13" s="170" t="s">
        <v>136</v>
      </c>
      <c r="O13" s="175" t="s">
        <v>336</v>
      </c>
      <c r="P13" s="170" t="s">
        <v>138</v>
      </c>
      <c r="Q13" s="170" t="s">
        <v>138</v>
      </c>
      <c r="R13" s="171"/>
      <c r="S13" s="170" t="s">
        <v>138</v>
      </c>
      <c r="T13" s="170" t="s">
        <v>337</v>
      </c>
      <c r="U13" s="172"/>
    </row>
    <row r="14" spans="1:21" ht="15.75" customHeight="1" x14ac:dyDescent="0.3">
      <c r="B14" s="173" t="s">
        <v>338</v>
      </c>
      <c r="C14" s="176">
        <v>4554</v>
      </c>
      <c r="D14" s="176">
        <f>365*10.5</f>
        <v>3832.5</v>
      </c>
      <c r="E14" s="176"/>
      <c r="F14" s="171"/>
      <c r="G14" s="176">
        <f>$C14*24*E14*F14/1000</f>
        <v>0</v>
      </c>
      <c r="H14" s="176"/>
      <c r="I14" s="171"/>
      <c r="J14" s="176">
        <f>$C14*24*H14*I14/1000</f>
        <v>0</v>
      </c>
      <c r="K14" s="176"/>
      <c r="L14" s="171"/>
      <c r="M14" s="176">
        <f>$C14*24*K14*L14/1000</f>
        <v>0</v>
      </c>
      <c r="N14" s="171"/>
      <c r="O14" s="171"/>
      <c r="P14" s="176">
        <f>$D14*24*N14*O14/1000</f>
        <v>0</v>
      </c>
      <c r="Q14" s="176">
        <f>SUM(G14,J14,M14,P14)</f>
        <v>0</v>
      </c>
      <c r="R14" s="171">
        <v>1</v>
      </c>
      <c r="S14" s="176">
        <f>Q14/R14</f>
        <v>0</v>
      </c>
      <c r="T14" s="170"/>
      <c r="U14" s="172"/>
    </row>
    <row r="15" spans="1:21" ht="15.75" customHeight="1" x14ac:dyDescent="0.3">
      <c r="B15" s="173" t="s">
        <v>339</v>
      </c>
      <c r="C15" s="176">
        <v>4554</v>
      </c>
      <c r="D15" s="176">
        <f>365*10.5</f>
        <v>3832.5</v>
      </c>
      <c r="E15" s="176"/>
      <c r="F15" s="171"/>
      <c r="G15" s="176">
        <f>$C15*24*E15*F15/1000</f>
        <v>0</v>
      </c>
      <c r="H15" s="176"/>
      <c r="I15" s="171"/>
      <c r="J15" s="176">
        <f>$C15*24*H15*I15/1000</f>
        <v>0</v>
      </c>
      <c r="K15" s="176"/>
      <c r="L15" s="171"/>
      <c r="M15" s="176">
        <f>$C15*24*K15*L15/1000</f>
        <v>0</v>
      </c>
      <c r="N15" s="171"/>
      <c r="O15" s="171"/>
      <c r="P15" s="176">
        <f>$D15*24*N15*O15/1000</f>
        <v>0</v>
      </c>
      <c r="Q15" s="176">
        <f>SUM(G15,J15,M15,P15)</f>
        <v>0</v>
      </c>
      <c r="R15" s="171">
        <v>1</v>
      </c>
      <c r="S15" s="176">
        <f>Q15/R15</f>
        <v>0</v>
      </c>
      <c r="T15" s="177">
        <f>(S15-S$14)/1000</f>
        <v>0</v>
      </c>
      <c r="U15" s="178"/>
    </row>
    <row r="16" spans="1:21" ht="15.75" customHeight="1" x14ac:dyDescent="0.3">
      <c r="B16" s="179" t="s">
        <v>340</v>
      </c>
      <c r="C16" s="180">
        <v>4554</v>
      </c>
      <c r="D16" s="180">
        <f>365*10.5</f>
        <v>3832.5</v>
      </c>
      <c r="E16" s="180"/>
      <c r="F16" s="181"/>
      <c r="G16" s="180">
        <f>$C16*24*E16*F16/1000</f>
        <v>0</v>
      </c>
      <c r="H16" s="180"/>
      <c r="I16" s="181"/>
      <c r="J16" s="180">
        <f>$C16*24*H16*I16/1000</f>
        <v>0</v>
      </c>
      <c r="K16" s="180"/>
      <c r="L16" s="181"/>
      <c r="M16" s="180">
        <f>$C16*24*K16*L16/1000</f>
        <v>0</v>
      </c>
      <c r="N16" s="181"/>
      <c r="O16" s="181"/>
      <c r="P16" s="180">
        <f>$D16*24*N16*O16/1000</f>
        <v>0</v>
      </c>
      <c r="Q16" s="180">
        <f>SUM(G16,J16,M16,P16)</f>
        <v>0</v>
      </c>
      <c r="R16" s="181">
        <v>1</v>
      </c>
      <c r="S16" s="180">
        <f>Q16/R16</f>
        <v>0</v>
      </c>
      <c r="T16" s="182">
        <f>(S16-S$14)/1000</f>
        <v>0</v>
      </c>
      <c r="U16" s="183"/>
    </row>
    <row r="17" spans="1:36" ht="15.75" customHeight="1" x14ac:dyDescent="0.2"/>
    <row r="18" spans="1:36" ht="15.75" customHeight="1" x14ac:dyDescent="0.2"/>
    <row r="19" spans="1:36" ht="14.4" x14ac:dyDescent="0.3">
      <c r="A19" s="50"/>
      <c r="B19" s="50"/>
      <c r="C19" s="50"/>
      <c r="D19" s="50"/>
      <c r="E19" s="50"/>
      <c r="F19" s="50"/>
      <c r="G19" s="50"/>
      <c r="H19" s="50"/>
      <c r="I19" s="123"/>
      <c r="J19" s="130"/>
      <c r="K19" s="124"/>
      <c r="L19" s="50"/>
      <c r="M19" s="50"/>
      <c r="N19" s="130" t="s">
        <v>247</v>
      </c>
      <c r="O19" s="50"/>
      <c r="P19" s="50"/>
      <c r="Q19" s="50"/>
      <c r="R19" s="50"/>
      <c r="S19" s="50"/>
      <c r="T19" s="50"/>
      <c r="U19" s="50"/>
      <c r="V19" s="50"/>
      <c r="W19" s="50"/>
      <c r="X19" s="50"/>
      <c r="Y19" s="50"/>
      <c r="Z19" s="50"/>
      <c r="AA19" s="50"/>
      <c r="AB19" s="50"/>
      <c r="AC19" s="50"/>
      <c r="AD19" s="50"/>
      <c r="AE19" s="50"/>
      <c r="AF19" s="50"/>
      <c r="AG19" s="50"/>
      <c r="AH19" s="50"/>
      <c r="AJ19" s="62"/>
    </row>
    <row r="20" spans="1:36" ht="28.8" x14ac:dyDescent="0.3">
      <c r="A20" s="50"/>
      <c r="B20" s="125" t="s">
        <v>245</v>
      </c>
      <c r="C20" s="126"/>
      <c r="D20" s="126"/>
      <c r="E20" s="125" t="s">
        <v>244</v>
      </c>
      <c r="F20" s="126"/>
      <c r="G20" s="126"/>
      <c r="H20" s="126"/>
      <c r="I20" s="127"/>
      <c r="J20" s="128"/>
      <c r="K20" s="128"/>
      <c r="L20" s="128"/>
      <c r="M20" s="128"/>
      <c r="N20" s="128" t="s">
        <v>143</v>
      </c>
      <c r="O20" s="128"/>
      <c r="P20" s="128"/>
      <c r="Q20" s="128"/>
      <c r="R20" s="128"/>
      <c r="S20" s="131" t="str">
        <f>S55</f>
        <v>Gross AG Wall Area</v>
      </c>
      <c r="T20" s="128"/>
      <c r="U20" s="131"/>
      <c r="V20" s="131" t="str">
        <f>T55</f>
        <v>Exterior Floor Area</v>
      </c>
      <c r="W20" s="131"/>
      <c r="X20" s="131"/>
      <c r="Y20" s="131" t="str">
        <f>Y55</f>
        <v>Gross Roof Area</v>
      </c>
      <c r="Z20" s="131" t="str">
        <f>Z55</f>
        <v>AG Envelope Area</v>
      </c>
      <c r="AA20" s="131" t="str">
        <f>AA55</f>
        <v>Vertical Glazing Area</v>
      </c>
      <c r="AB20" s="128" t="s">
        <v>228</v>
      </c>
      <c r="AC20" s="124"/>
      <c r="AD20" s="50"/>
      <c r="AE20" s="50"/>
      <c r="AF20" s="50"/>
      <c r="AG20" s="50"/>
      <c r="AH20" s="50"/>
      <c r="AJ20" s="62"/>
    </row>
    <row r="21" spans="1:36" ht="14.4" x14ac:dyDescent="0.3">
      <c r="A21" s="50"/>
      <c r="B21" s="50" t="str">
        <f>Spaces_Sum!C23</f>
        <v>Mfam</v>
      </c>
      <c r="C21" s="50"/>
      <c r="D21" s="50"/>
      <c r="E21" s="50" t="str">
        <f>Spaces_Sum!E23</f>
        <v>Mfam</v>
      </c>
      <c r="F21" s="50"/>
      <c r="G21" s="50"/>
      <c r="H21" s="50"/>
      <c r="I21" s="123"/>
      <c r="J21" s="121"/>
      <c r="K21" s="124"/>
      <c r="L21" s="50"/>
      <c r="M21" s="124"/>
      <c r="N21" s="121">
        <f ca="1">Spaces_Sum!H23</f>
        <v>83040.097299999965</v>
      </c>
      <c r="O21" s="124"/>
      <c r="P21" s="124"/>
      <c r="Q21" s="124"/>
      <c r="R21" s="124"/>
      <c r="S21" s="121">
        <f t="shared" ref="S21:S37" ca="1" si="0">SUMIFS(OFFSET(Envelope_Ref,$A$58,S$57,2000),OFFSET(Envelope_Ref,$A$58,$E$57,2000),$E21)</f>
        <v>0</v>
      </c>
      <c r="T21" s="124"/>
      <c r="U21" s="124"/>
      <c r="V21" s="121">
        <f t="shared" ref="V21:V37" ca="1" si="1">SUMIFS(OFFSET(Envelope_Ref,$A$58,V$57,2000),OFFSET(Envelope_Ref,$A$58,$E$57,2000),$E21)</f>
        <v>0</v>
      </c>
      <c r="W21" s="124"/>
      <c r="X21" s="124"/>
      <c r="Y21" s="121">
        <f t="shared" ref="Y21:Y37" ca="1" si="2">SUMIFS(OFFSET(Envelope_Ref,$A$58,Y$57,2000),OFFSET(Envelope_Ref,$A$58,$E$57,2000),$E21)</f>
        <v>0</v>
      </c>
      <c r="Z21" s="121">
        <f t="shared" ref="Z21:Z37" ca="1" si="3">SUM(S21+V21+Y21)</f>
        <v>0</v>
      </c>
      <c r="AA21" s="124"/>
      <c r="AB21" s="124"/>
      <c r="AC21" s="124"/>
      <c r="AD21" s="50"/>
      <c r="AE21" s="50"/>
      <c r="AF21" s="50"/>
      <c r="AG21" s="50"/>
      <c r="AH21" s="50"/>
      <c r="AJ21" s="62"/>
    </row>
    <row r="22" spans="1:36" ht="14.4" x14ac:dyDescent="0.3">
      <c r="A22" s="50"/>
      <c r="B22" s="50" t="str">
        <f>Spaces_Sum!C25</f>
        <v>Lnge</v>
      </c>
      <c r="C22" s="50"/>
      <c r="D22" s="50"/>
      <c r="E22" s="50" t="str">
        <f>Spaces_Sum!E25</f>
        <v>Lnge</v>
      </c>
      <c r="F22" s="50"/>
      <c r="G22" s="50"/>
      <c r="H22" s="50"/>
      <c r="I22" s="123"/>
      <c r="J22" s="121"/>
      <c r="K22" s="124"/>
      <c r="L22" s="50"/>
      <c r="M22" s="124"/>
      <c r="N22" s="121">
        <f ca="1">Spaces_Sum!H24</f>
        <v>0</v>
      </c>
      <c r="O22" s="124"/>
      <c r="P22" s="124"/>
      <c r="Q22" s="124"/>
      <c r="R22" s="124"/>
      <c r="S22" s="121">
        <f t="shared" ca="1" si="0"/>
        <v>0</v>
      </c>
      <c r="T22" s="124"/>
      <c r="U22" s="124"/>
      <c r="V22" s="121">
        <f t="shared" ca="1" si="1"/>
        <v>0</v>
      </c>
      <c r="W22" s="124"/>
      <c r="X22" s="124"/>
      <c r="Y22" s="121">
        <f t="shared" ca="1" si="2"/>
        <v>0</v>
      </c>
      <c r="Z22" s="121">
        <f t="shared" ca="1" si="3"/>
        <v>0</v>
      </c>
      <c r="AA22" s="124"/>
      <c r="AB22" s="124"/>
      <c r="AC22" s="124"/>
      <c r="AD22" s="50"/>
      <c r="AE22" s="50"/>
      <c r="AF22" s="50"/>
      <c r="AG22" s="50"/>
      <c r="AH22" s="50"/>
      <c r="AJ22" s="62"/>
    </row>
    <row r="23" spans="1:36" ht="14.4" x14ac:dyDescent="0.3">
      <c r="A23" s="50"/>
      <c r="B23" s="50" t="str">
        <f>Spaces_Sum!C26</f>
        <v>Mprp</v>
      </c>
      <c r="C23" s="50"/>
      <c r="D23" s="50"/>
      <c r="E23" s="50" t="str">
        <f>Spaces_Sum!E26</f>
        <v>Mprp</v>
      </c>
      <c r="F23" s="50"/>
      <c r="G23" s="50"/>
      <c r="H23" s="50"/>
      <c r="I23" s="123"/>
      <c r="J23" s="121"/>
      <c r="K23" s="124"/>
      <c r="L23" s="124"/>
      <c r="M23" s="124"/>
      <c r="N23" s="121">
        <f ca="1">Spaces_Sum!H25</f>
        <v>0</v>
      </c>
      <c r="O23" s="124"/>
      <c r="P23" s="124"/>
      <c r="Q23" s="124"/>
      <c r="R23" s="124"/>
      <c r="S23" s="121">
        <f t="shared" ca="1" si="0"/>
        <v>0</v>
      </c>
      <c r="T23" s="124"/>
      <c r="U23" s="124"/>
      <c r="V23" s="121">
        <f t="shared" ca="1" si="1"/>
        <v>0</v>
      </c>
      <c r="W23" s="124"/>
      <c r="X23" s="124"/>
      <c r="Y23" s="121">
        <f t="shared" ca="1" si="2"/>
        <v>0</v>
      </c>
      <c r="Z23" s="121">
        <f t="shared" ca="1" si="3"/>
        <v>0</v>
      </c>
      <c r="AA23" s="124"/>
      <c r="AB23" s="124"/>
      <c r="AC23" s="124"/>
      <c r="AD23" s="50"/>
      <c r="AE23" s="50"/>
      <c r="AF23" s="50"/>
      <c r="AG23" s="50"/>
      <c r="AH23" s="50"/>
      <c r="AJ23" s="62"/>
    </row>
    <row r="24" spans="1:36" ht="14.4" x14ac:dyDescent="0.3">
      <c r="A24" s="50"/>
      <c r="B24" s="50" t="str">
        <f>Spaces_Sum!C27</f>
        <v>Lndy</v>
      </c>
      <c r="C24" s="50"/>
      <c r="D24" s="50"/>
      <c r="E24" s="50" t="str">
        <f>Spaces_Sum!E27</f>
        <v>Lndy</v>
      </c>
      <c r="F24" s="50"/>
      <c r="G24" s="50"/>
      <c r="H24" s="50"/>
      <c r="I24" s="123"/>
      <c r="J24" s="121"/>
      <c r="K24" s="124"/>
      <c r="L24" s="124"/>
      <c r="M24" s="124"/>
      <c r="N24" s="121">
        <f ca="1">Spaces_Sum!H26</f>
        <v>2056.806</v>
      </c>
      <c r="O24" s="124"/>
      <c r="P24" s="124"/>
      <c r="Q24" s="124"/>
      <c r="R24" s="124"/>
      <c r="S24" s="121">
        <f t="shared" ca="1" si="0"/>
        <v>0</v>
      </c>
      <c r="T24" s="124"/>
      <c r="U24" s="124"/>
      <c r="V24" s="121">
        <f t="shared" ca="1" si="1"/>
        <v>0</v>
      </c>
      <c r="W24" s="124"/>
      <c r="X24" s="124"/>
      <c r="Y24" s="121">
        <f t="shared" ca="1" si="2"/>
        <v>0</v>
      </c>
      <c r="Z24" s="121">
        <f t="shared" ca="1" si="3"/>
        <v>0</v>
      </c>
      <c r="AA24" s="124"/>
      <c r="AB24" s="124"/>
      <c r="AC24" s="124"/>
      <c r="AD24" s="50"/>
      <c r="AE24" s="50"/>
      <c r="AF24" s="50"/>
      <c r="AG24" s="50"/>
      <c r="AH24" s="50"/>
      <c r="AJ24" s="62"/>
    </row>
    <row r="25" spans="1:36" ht="14.4" x14ac:dyDescent="0.3">
      <c r="A25" s="50"/>
      <c r="B25" s="160" t="str">
        <f>Spaces_Sum!C28</f>
        <v>Fitn</v>
      </c>
      <c r="C25" s="50"/>
      <c r="D25" s="50"/>
      <c r="E25" s="50" t="str">
        <f>Spaces_Sum!E28</f>
        <v>Fitn</v>
      </c>
      <c r="F25" s="50"/>
      <c r="G25" s="50"/>
      <c r="H25" s="50"/>
      <c r="I25" s="123"/>
      <c r="J25" s="121"/>
      <c r="K25" s="124"/>
      <c r="L25" s="124"/>
      <c r="M25" s="124"/>
      <c r="N25" s="121">
        <f ca="1">Spaces_Sum!H27</f>
        <v>1362.1440000000002</v>
      </c>
      <c r="O25" s="124"/>
      <c r="P25" s="124"/>
      <c r="Q25" s="124"/>
      <c r="R25" s="124"/>
      <c r="S25" s="121">
        <f t="shared" ca="1" si="0"/>
        <v>0</v>
      </c>
      <c r="T25" s="124"/>
      <c r="U25" s="124"/>
      <c r="V25" s="121">
        <f t="shared" ca="1" si="1"/>
        <v>0</v>
      </c>
      <c r="W25" s="124"/>
      <c r="X25" s="124"/>
      <c r="Y25" s="121">
        <f t="shared" ca="1" si="2"/>
        <v>0</v>
      </c>
      <c r="Z25" s="121">
        <f t="shared" ca="1" si="3"/>
        <v>0</v>
      </c>
      <c r="AA25" s="124"/>
      <c r="AB25" s="124"/>
      <c r="AC25" s="124"/>
      <c r="AD25" s="50"/>
      <c r="AE25" s="50"/>
      <c r="AF25" s="50"/>
      <c r="AG25" s="50"/>
      <c r="AH25" s="50"/>
      <c r="AJ25" s="62"/>
    </row>
    <row r="26" spans="1:36" ht="14.4" x14ac:dyDescent="0.3">
      <c r="A26" s="50"/>
      <c r="B26" s="50" t="str">
        <f>Spaces_Sum!C29</f>
        <v>Rest</v>
      </c>
      <c r="C26" s="50"/>
      <c r="D26" s="50"/>
      <c r="E26" s="50" t="str">
        <f>Spaces_Sum!E29</f>
        <v>Rest</v>
      </c>
      <c r="F26" s="50"/>
      <c r="G26" s="50"/>
      <c r="H26" s="50"/>
      <c r="I26" s="123"/>
      <c r="J26" s="121"/>
      <c r="K26" s="124"/>
      <c r="L26" s="124"/>
      <c r="M26" s="124"/>
      <c r="N26" s="121">
        <f ca="1">Spaces_Sum!H28</f>
        <v>0</v>
      </c>
      <c r="O26" s="124"/>
      <c r="P26" s="124"/>
      <c r="Q26" s="124"/>
      <c r="R26" s="124"/>
      <c r="S26" s="121">
        <f t="shared" ca="1" si="0"/>
        <v>0</v>
      </c>
      <c r="T26" s="124"/>
      <c r="U26" s="124"/>
      <c r="V26" s="121">
        <f t="shared" ca="1" si="1"/>
        <v>0</v>
      </c>
      <c r="W26" s="124"/>
      <c r="X26" s="124"/>
      <c r="Y26" s="121">
        <f t="shared" ca="1" si="2"/>
        <v>0</v>
      </c>
      <c r="Z26" s="121">
        <f t="shared" ca="1" si="3"/>
        <v>0</v>
      </c>
      <c r="AA26" s="124"/>
      <c r="AB26" s="129"/>
      <c r="AC26" s="129"/>
      <c r="AD26" s="50"/>
      <c r="AE26" s="50"/>
      <c r="AF26" s="50"/>
      <c r="AG26" s="50"/>
      <c r="AH26" s="50"/>
      <c r="AJ26" s="62"/>
    </row>
    <row r="27" spans="1:36" ht="14.4" x14ac:dyDescent="0.3">
      <c r="A27" s="50"/>
      <c r="B27" s="160" t="str">
        <f>Spaces_Sum!C30</f>
        <v>Corr</v>
      </c>
      <c r="C27" s="50"/>
      <c r="D27" s="50"/>
      <c r="E27" s="50" t="str">
        <f>Spaces_Sum!E30</f>
        <v>Corr</v>
      </c>
      <c r="F27" s="50"/>
      <c r="G27" s="50"/>
      <c r="H27" s="50"/>
      <c r="I27" s="123"/>
      <c r="J27" s="121"/>
      <c r="K27" s="124"/>
      <c r="L27" s="124"/>
      <c r="M27" s="124"/>
      <c r="N27" s="121">
        <f ca="1">Spaces_Sum!H29</f>
        <v>0</v>
      </c>
      <c r="O27" s="124"/>
      <c r="P27" s="124"/>
      <c r="Q27" s="124"/>
      <c r="R27" s="124"/>
      <c r="S27" s="121">
        <f t="shared" ca="1" si="0"/>
        <v>0</v>
      </c>
      <c r="T27" s="124"/>
      <c r="U27" s="124"/>
      <c r="V27" s="121">
        <f t="shared" ca="1" si="1"/>
        <v>0</v>
      </c>
      <c r="W27" s="124"/>
      <c r="X27" s="124"/>
      <c r="Y27" s="121">
        <f t="shared" ca="1" si="2"/>
        <v>0</v>
      </c>
      <c r="Z27" s="121">
        <f t="shared" ca="1" si="3"/>
        <v>0</v>
      </c>
      <c r="AA27" s="124"/>
      <c r="AB27" s="124"/>
      <c r="AC27" s="124"/>
      <c r="AD27" s="50"/>
      <c r="AE27" s="50"/>
      <c r="AF27" s="50"/>
      <c r="AG27" s="50"/>
      <c r="AH27" s="50"/>
      <c r="AJ27" s="62"/>
    </row>
    <row r="28" spans="1:36" ht="14.4" x14ac:dyDescent="0.3">
      <c r="A28" s="50"/>
      <c r="B28" s="50" t="str">
        <f>Spaces_Sum!C32</f>
        <v>Lbby</v>
      </c>
      <c r="C28" s="50"/>
      <c r="D28" s="50"/>
      <c r="E28" s="50" t="str">
        <f>Spaces_Sum!E32</f>
        <v>Lbby</v>
      </c>
      <c r="F28" s="50"/>
      <c r="G28" s="50"/>
      <c r="H28" s="50"/>
      <c r="I28" s="123"/>
      <c r="J28" s="121"/>
      <c r="K28" s="124"/>
      <c r="L28" s="50"/>
      <c r="M28" s="50"/>
      <c r="N28" s="121">
        <f ca="1">Spaces_Sum!H31</f>
        <v>3788.8861999999999</v>
      </c>
      <c r="O28" s="50"/>
      <c r="P28" s="50"/>
      <c r="Q28" s="50"/>
      <c r="R28" s="50"/>
      <c r="S28" s="121">
        <f t="shared" ca="1" si="0"/>
        <v>0</v>
      </c>
      <c r="T28" s="50"/>
      <c r="U28" s="50"/>
      <c r="V28" s="121">
        <f t="shared" ca="1" si="1"/>
        <v>0</v>
      </c>
      <c r="W28" s="50"/>
      <c r="X28" s="50"/>
      <c r="Y28" s="121">
        <f t="shared" ca="1" si="2"/>
        <v>0</v>
      </c>
      <c r="Z28" s="121">
        <f t="shared" ca="1" si="3"/>
        <v>0</v>
      </c>
      <c r="AA28" s="50"/>
      <c r="AB28" s="50"/>
      <c r="AC28" s="50"/>
      <c r="AD28" s="50"/>
      <c r="AE28" s="50"/>
      <c r="AF28" s="50"/>
      <c r="AG28" s="50"/>
      <c r="AH28" s="50"/>
      <c r="AJ28" s="62"/>
    </row>
    <row r="29" spans="1:36" ht="14.4" x14ac:dyDescent="0.3">
      <c r="A29" s="50"/>
      <c r="B29" s="50" t="str">
        <f>Spaces_Sum!C33</f>
        <v>Vest</v>
      </c>
      <c r="C29" s="50"/>
      <c r="D29" s="50"/>
      <c r="E29" s="50" t="str">
        <f>Spaces_Sum!E33</f>
        <v>Vest</v>
      </c>
      <c r="F29" s="50"/>
      <c r="G29" s="50"/>
      <c r="H29" s="50"/>
      <c r="I29" s="123"/>
      <c r="J29" s="121"/>
      <c r="K29" s="124"/>
      <c r="L29" s="50"/>
      <c r="M29" s="50"/>
      <c r="N29" s="121">
        <f ca="1">Spaces_Sum!H32</f>
        <v>1350.7968000000001</v>
      </c>
      <c r="O29" s="50"/>
      <c r="P29" s="50"/>
      <c r="Q29" s="50"/>
      <c r="R29" s="50"/>
      <c r="S29" s="121">
        <f t="shared" ca="1" si="0"/>
        <v>0</v>
      </c>
      <c r="T29" s="50"/>
      <c r="U29" s="50"/>
      <c r="V29" s="121">
        <f t="shared" ca="1" si="1"/>
        <v>0</v>
      </c>
      <c r="W29" s="50"/>
      <c r="X29" s="50"/>
      <c r="Y29" s="121">
        <f t="shared" ca="1" si="2"/>
        <v>0</v>
      </c>
      <c r="Z29" s="121">
        <f t="shared" ca="1" si="3"/>
        <v>0</v>
      </c>
      <c r="AA29" s="50"/>
      <c r="AB29" s="133"/>
      <c r="AC29" s="50"/>
      <c r="AD29" s="50"/>
      <c r="AE29" s="50"/>
      <c r="AF29" s="50"/>
      <c r="AG29" s="50"/>
      <c r="AH29" s="50"/>
      <c r="AJ29" s="62"/>
    </row>
    <row r="30" spans="1:36" ht="14.4" x14ac:dyDescent="0.3">
      <c r="A30" s="50"/>
      <c r="B30" s="160" t="str">
        <f>Spaces_Sum!C34</f>
        <v>Ofce</v>
      </c>
      <c r="C30" s="50"/>
      <c r="D30" s="50"/>
      <c r="E30" s="50" t="str">
        <f>Spaces_Sum!E34</f>
        <v>Ofce</v>
      </c>
      <c r="F30" s="50"/>
      <c r="G30" s="50"/>
      <c r="H30" s="50"/>
      <c r="I30" s="123"/>
      <c r="J30" s="121"/>
      <c r="K30" s="124"/>
      <c r="L30" s="50"/>
      <c r="M30" s="50"/>
      <c r="N30" s="121">
        <f ca="1">Spaces_Sum!H33</f>
        <v>0</v>
      </c>
      <c r="O30" s="50"/>
      <c r="P30" s="50"/>
      <c r="Q30" s="50"/>
      <c r="R30" s="50"/>
      <c r="S30" s="121">
        <f t="shared" ca="1" si="0"/>
        <v>0</v>
      </c>
      <c r="T30" s="50"/>
      <c r="U30" s="50"/>
      <c r="V30" s="121">
        <f t="shared" ca="1" si="1"/>
        <v>0</v>
      </c>
      <c r="W30" s="50"/>
      <c r="X30" s="50"/>
      <c r="Y30" s="121">
        <f t="shared" ca="1" si="2"/>
        <v>0</v>
      </c>
      <c r="Z30" s="121">
        <f t="shared" ca="1" si="3"/>
        <v>0</v>
      </c>
      <c r="AA30" s="50"/>
      <c r="AB30" s="50"/>
      <c r="AC30" s="50"/>
      <c r="AD30" s="50"/>
      <c r="AE30" s="50"/>
      <c r="AF30" s="50"/>
      <c r="AG30" s="50"/>
      <c r="AH30" s="50"/>
      <c r="AJ30" s="62"/>
    </row>
    <row r="31" spans="1:36" ht="14.4" x14ac:dyDescent="0.3">
      <c r="A31" s="50"/>
      <c r="B31" s="50" t="str">
        <f>Spaces_Sum!C35</f>
        <v>Ofco</v>
      </c>
      <c r="C31" s="50"/>
      <c r="D31" s="50"/>
      <c r="E31" s="50" t="str">
        <f>Spaces_Sum!E35</f>
        <v>Ofco</v>
      </c>
      <c r="F31" s="50"/>
      <c r="G31" s="50"/>
      <c r="H31" s="50"/>
      <c r="I31" s="123"/>
      <c r="J31" s="121"/>
      <c r="K31" s="124"/>
      <c r="L31" s="124"/>
      <c r="M31" s="124"/>
      <c r="N31" s="121">
        <f ca="1">Spaces_Sum!H34</f>
        <v>641.20320000000004</v>
      </c>
      <c r="O31" s="124"/>
      <c r="P31" s="124"/>
      <c r="Q31" s="124"/>
      <c r="R31" s="124"/>
      <c r="S31" s="121">
        <f t="shared" ca="1" si="0"/>
        <v>0</v>
      </c>
      <c r="T31" s="124"/>
      <c r="U31" s="124"/>
      <c r="V31" s="121">
        <f t="shared" ca="1" si="1"/>
        <v>0</v>
      </c>
      <c r="W31" s="124"/>
      <c r="X31" s="124"/>
      <c r="Y31" s="121">
        <f t="shared" ca="1" si="2"/>
        <v>0</v>
      </c>
      <c r="Z31" s="121">
        <f t="shared" ca="1" si="3"/>
        <v>0</v>
      </c>
      <c r="AA31" s="124"/>
      <c r="AB31" s="124"/>
      <c r="AC31" s="124"/>
      <c r="AD31" s="50"/>
      <c r="AE31" s="50"/>
      <c r="AF31" s="50"/>
      <c r="AG31" s="50"/>
      <c r="AH31" s="50"/>
      <c r="AJ31" s="62"/>
    </row>
    <row r="32" spans="1:36" ht="14.4" x14ac:dyDescent="0.3">
      <c r="A32" s="50"/>
      <c r="B32" s="160" t="str">
        <f>Spaces_Sum!C36</f>
        <v>Coml</v>
      </c>
      <c r="C32" s="50"/>
      <c r="D32" s="50"/>
      <c r="E32" s="50" t="str">
        <f>Spaces_Sum!E36</f>
        <v>Coml</v>
      </c>
      <c r="F32" s="50"/>
      <c r="G32" s="50"/>
      <c r="H32" s="50"/>
      <c r="I32" s="123"/>
      <c r="J32" s="121"/>
      <c r="K32" s="124"/>
      <c r="L32" s="124"/>
      <c r="M32" s="124"/>
      <c r="N32" s="121">
        <f ca="1">Spaces_Sum!H35</f>
        <v>0</v>
      </c>
      <c r="O32" s="124"/>
      <c r="P32" s="124"/>
      <c r="Q32" s="124"/>
      <c r="R32" s="124"/>
      <c r="S32" s="121">
        <f t="shared" ca="1" si="0"/>
        <v>0</v>
      </c>
      <c r="T32" s="124"/>
      <c r="U32" s="124"/>
      <c r="V32" s="121">
        <f t="shared" ca="1" si="1"/>
        <v>0</v>
      </c>
      <c r="W32" s="124"/>
      <c r="X32" s="124"/>
      <c r="Y32" s="121">
        <f t="shared" ca="1" si="2"/>
        <v>0</v>
      </c>
      <c r="Z32" s="121">
        <f t="shared" ca="1" si="3"/>
        <v>0</v>
      </c>
      <c r="AA32" s="124"/>
      <c r="AB32" s="124"/>
      <c r="AC32" s="124"/>
      <c r="AD32" s="50"/>
      <c r="AE32" s="50"/>
      <c r="AF32" s="50"/>
      <c r="AG32" s="50"/>
      <c r="AH32" s="50"/>
      <c r="AJ32" s="62"/>
    </row>
    <row r="33" spans="1:36" ht="14.4" x14ac:dyDescent="0.3">
      <c r="A33" s="50"/>
      <c r="B33" s="50" t="str">
        <f>Spaces_Sum!C37</f>
        <v>Prkg</v>
      </c>
      <c r="C33" s="50"/>
      <c r="D33" s="50"/>
      <c r="E33" s="50" t="str">
        <f>Spaces_Sum!E37</f>
        <v>Prkg</v>
      </c>
      <c r="F33" s="50"/>
      <c r="G33" s="50"/>
      <c r="H33" s="50"/>
      <c r="I33" s="123"/>
      <c r="J33" s="121"/>
      <c r="K33" s="124"/>
      <c r="L33" s="124"/>
      <c r="M33" s="124"/>
      <c r="N33" s="121">
        <f ca="1">Spaces_Sum!H36</f>
        <v>7487.0558999999994</v>
      </c>
      <c r="O33" s="124"/>
      <c r="P33" s="124"/>
      <c r="Q33" s="124"/>
      <c r="R33" s="124"/>
      <c r="S33" s="121">
        <f t="shared" ca="1" si="0"/>
        <v>0</v>
      </c>
      <c r="T33" s="124"/>
      <c r="U33" s="124"/>
      <c r="V33" s="121">
        <f t="shared" ca="1" si="1"/>
        <v>0</v>
      </c>
      <c r="W33" s="124"/>
      <c r="X33" s="124"/>
      <c r="Y33" s="121">
        <f t="shared" ca="1" si="2"/>
        <v>0</v>
      </c>
      <c r="Z33" s="121">
        <f t="shared" ca="1" si="3"/>
        <v>0</v>
      </c>
      <c r="AA33" s="124"/>
      <c r="AB33" s="124"/>
      <c r="AC33" s="124"/>
      <c r="AD33" s="50"/>
      <c r="AE33" s="50"/>
      <c r="AF33" s="50"/>
      <c r="AG33" s="50"/>
      <c r="AH33" s="50"/>
      <c r="AJ33" s="62"/>
    </row>
    <row r="34" spans="1:36" ht="14.4" x14ac:dyDescent="0.3">
      <c r="A34" s="50"/>
      <c r="B34" s="50" t="str">
        <f>Spaces_Sum!C38</f>
        <v>Asto</v>
      </c>
      <c r="C34" s="50"/>
      <c r="D34" s="50"/>
      <c r="E34" s="50" t="str">
        <f>Spaces_Sum!E38</f>
        <v>Asto</v>
      </c>
      <c r="F34" s="50"/>
      <c r="G34" s="50"/>
      <c r="H34" s="50"/>
      <c r="I34" s="123"/>
      <c r="J34" s="121"/>
      <c r="K34" s="124"/>
      <c r="L34" s="124"/>
      <c r="M34" s="124"/>
      <c r="N34" s="121">
        <f ca="1">Spaces_Sum!H37</f>
        <v>0</v>
      </c>
      <c r="O34" s="124"/>
      <c r="P34" s="124"/>
      <c r="Q34" s="124"/>
      <c r="R34" s="124"/>
      <c r="S34" s="121">
        <f t="shared" ca="1" si="0"/>
        <v>0</v>
      </c>
      <c r="T34" s="124"/>
      <c r="U34" s="124"/>
      <c r="V34" s="121">
        <f t="shared" ca="1" si="1"/>
        <v>0</v>
      </c>
      <c r="W34" s="124"/>
      <c r="X34" s="124"/>
      <c r="Y34" s="121">
        <f t="shared" ca="1" si="2"/>
        <v>0</v>
      </c>
      <c r="Z34" s="121">
        <f t="shared" ca="1" si="3"/>
        <v>0</v>
      </c>
      <c r="AA34" s="124"/>
      <c r="AB34" s="124"/>
      <c r="AC34" s="124"/>
      <c r="AD34" s="50"/>
      <c r="AE34" s="50"/>
      <c r="AF34" s="50"/>
      <c r="AG34" s="50"/>
      <c r="AH34" s="50"/>
      <c r="AJ34" s="62"/>
    </row>
    <row r="35" spans="1:36" ht="14.4" x14ac:dyDescent="0.3">
      <c r="A35" s="50"/>
      <c r="B35" s="50" t="str">
        <f>Spaces_Sum!C39</f>
        <v>Util</v>
      </c>
      <c r="C35" s="50"/>
      <c r="D35" s="50"/>
      <c r="E35" s="50" t="str">
        <f>Spaces_Sum!E39</f>
        <v>Util</v>
      </c>
      <c r="F35" s="50"/>
      <c r="G35" s="50"/>
      <c r="H35" s="50"/>
      <c r="I35" s="123"/>
      <c r="J35" s="121"/>
      <c r="K35" s="124"/>
      <c r="L35" s="124"/>
      <c r="M35" s="124"/>
      <c r="N35" s="121">
        <f ca="1">Spaces_Sum!H38</f>
        <v>1332.6484</v>
      </c>
      <c r="O35" s="124"/>
      <c r="P35" s="124"/>
      <c r="Q35" s="124"/>
      <c r="R35" s="124"/>
      <c r="S35" s="121">
        <f t="shared" ca="1" si="0"/>
        <v>0</v>
      </c>
      <c r="T35" s="124"/>
      <c r="U35" s="124"/>
      <c r="V35" s="121">
        <f t="shared" ca="1" si="1"/>
        <v>0</v>
      </c>
      <c r="W35" s="124"/>
      <c r="X35" s="124"/>
      <c r="Y35" s="121">
        <f t="shared" ca="1" si="2"/>
        <v>0</v>
      </c>
      <c r="Z35" s="121">
        <f t="shared" ca="1" si="3"/>
        <v>0</v>
      </c>
      <c r="AA35" s="124"/>
      <c r="AB35" s="124"/>
      <c r="AC35" s="124"/>
      <c r="AD35" s="50"/>
      <c r="AE35" s="50"/>
      <c r="AF35" s="50"/>
      <c r="AG35" s="50"/>
      <c r="AH35" s="50"/>
      <c r="AJ35" s="62"/>
    </row>
    <row r="36" spans="1:36" ht="14.4" x14ac:dyDescent="0.3">
      <c r="A36" s="50"/>
      <c r="B36" s="50" t="str">
        <f>Spaces_Sum!C24</f>
        <v>Loft</v>
      </c>
      <c r="C36" s="50"/>
      <c r="D36" s="50"/>
      <c r="E36" s="50" t="str">
        <f>Spaces_Sum!E24</f>
        <v>Loft</v>
      </c>
      <c r="F36" s="50"/>
      <c r="G36" s="50"/>
      <c r="H36" s="50"/>
      <c r="I36" s="123"/>
      <c r="J36" s="121"/>
      <c r="K36" s="124"/>
      <c r="L36" s="124"/>
      <c r="M36" s="124"/>
      <c r="N36" s="121">
        <f ca="1">Spaces_Sum!H39</f>
        <v>0</v>
      </c>
      <c r="O36" s="124"/>
      <c r="P36" s="124"/>
      <c r="Q36" s="124"/>
      <c r="R36" s="124"/>
      <c r="S36" s="121">
        <f t="shared" ca="1" si="0"/>
        <v>0</v>
      </c>
      <c r="T36" s="124"/>
      <c r="U36" s="124"/>
      <c r="V36" s="121">
        <f t="shared" ca="1" si="1"/>
        <v>0</v>
      </c>
      <c r="W36" s="124"/>
      <c r="X36" s="124"/>
      <c r="Y36" s="121">
        <f t="shared" ca="1" si="2"/>
        <v>0</v>
      </c>
      <c r="Z36" s="121">
        <f t="shared" ca="1" si="3"/>
        <v>0</v>
      </c>
      <c r="AA36" s="124"/>
      <c r="AB36" s="124"/>
      <c r="AC36" s="124"/>
      <c r="AD36" s="50"/>
      <c r="AE36" s="50"/>
      <c r="AF36" s="50"/>
      <c r="AG36" s="50"/>
      <c r="AH36" s="50"/>
      <c r="AJ36" s="62"/>
    </row>
    <row r="37" spans="1:36" ht="14.4" x14ac:dyDescent="0.3">
      <c r="A37" s="50"/>
      <c r="B37" s="50" t="e">
        <f>Spaces_Sum!#REF!</f>
        <v>#REF!</v>
      </c>
      <c r="C37" s="50"/>
      <c r="D37" s="50"/>
      <c r="E37" s="50" t="e">
        <f>Spaces_Sum!#REF!</f>
        <v>#REF!</v>
      </c>
      <c r="F37" s="50"/>
      <c r="G37" s="50"/>
      <c r="H37" s="50"/>
      <c r="I37" s="123"/>
      <c r="J37" s="121"/>
      <c r="K37" s="124"/>
      <c r="L37" s="124"/>
      <c r="M37" s="124"/>
      <c r="N37" s="121">
        <f ca="1">Spaces_Sum!H40</f>
        <v>0</v>
      </c>
      <c r="O37" s="124"/>
      <c r="P37" s="124"/>
      <c r="Q37" s="124"/>
      <c r="R37" s="124"/>
      <c r="S37" s="121" t="e">
        <f t="shared" ca="1" si="0"/>
        <v>#REF!</v>
      </c>
      <c r="T37" s="124"/>
      <c r="U37" s="124"/>
      <c r="V37" s="121" t="e">
        <f t="shared" ca="1" si="1"/>
        <v>#REF!</v>
      </c>
      <c r="W37" s="124"/>
      <c r="X37" s="124"/>
      <c r="Y37" s="121" t="e">
        <f t="shared" ca="1" si="2"/>
        <v>#REF!</v>
      </c>
      <c r="Z37" s="121" t="e">
        <f t="shared" ca="1" si="3"/>
        <v>#REF!</v>
      </c>
      <c r="AA37" s="124"/>
      <c r="AB37" s="124"/>
      <c r="AC37" s="124"/>
      <c r="AD37" s="50"/>
      <c r="AE37" s="50"/>
      <c r="AF37" s="50"/>
      <c r="AG37" s="50"/>
      <c r="AH37" s="50"/>
      <c r="AJ37" s="62"/>
    </row>
    <row r="38" spans="1:36" ht="14.4" x14ac:dyDescent="0.3">
      <c r="A38" s="50"/>
      <c r="B38" s="50"/>
      <c r="C38" s="50"/>
      <c r="D38" s="50"/>
      <c r="E38" s="50"/>
      <c r="F38" s="50"/>
      <c r="G38" s="50"/>
      <c r="H38" s="50"/>
      <c r="I38" s="123"/>
      <c r="J38" s="124"/>
      <c r="K38" s="124"/>
      <c r="L38" s="124"/>
      <c r="M38" s="124"/>
      <c r="N38" s="121"/>
      <c r="O38" s="124"/>
      <c r="P38" s="124"/>
      <c r="Q38" s="124"/>
      <c r="R38" s="124"/>
      <c r="S38" s="124"/>
      <c r="T38" s="124"/>
      <c r="U38" s="124"/>
      <c r="V38" s="124"/>
      <c r="W38" s="124"/>
      <c r="X38" s="124"/>
      <c r="Y38" s="124"/>
      <c r="Z38" s="124"/>
      <c r="AA38" s="124"/>
      <c r="AB38" s="124"/>
      <c r="AC38" s="124"/>
      <c r="AD38" s="50"/>
      <c r="AE38" s="50"/>
      <c r="AF38" s="50"/>
      <c r="AG38" s="50"/>
      <c r="AH38" s="50"/>
      <c r="AJ38" s="62"/>
    </row>
    <row r="39" spans="1:36" ht="14.4" x14ac:dyDescent="0.3">
      <c r="A39" s="50"/>
      <c r="B39" s="50"/>
      <c r="C39" s="50"/>
      <c r="D39" s="50"/>
      <c r="E39" s="50"/>
      <c r="F39" s="50"/>
      <c r="G39" s="50"/>
      <c r="H39" s="50"/>
      <c r="I39" s="123"/>
      <c r="J39" s="124"/>
      <c r="K39" s="124"/>
      <c r="L39" s="124"/>
      <c r="M39" s="124"/>
      <c r="N39" s="121"/>
      <c r="O39" s="119"/>
      <c r="P39" s="124"/>
      <c r="Q39" s="124"/>
      <c r="R39" s="124"/>
      <c r="S39" s="124"/>
      <c r="T39" s="124"/>
      <c r="U39" s="124"/>
      <c r="V39" s="124"/>
      <c r="W39" s="124"/>
      <c r="X39" s="124"/>
      <c r="Y39" s="124"/>
      <c r="Z39" s="124"/>
      <c r="AA39" s="124"/>
      <c r="AB39" s="124"/>
      <c r="AC39" s="124"/>
      <c r="AD39" s="50"/>
      <c r="AE39" s="50"/>
      <c r="AF39" s="50"/>
      <c r="AG39" s="50"/>
      <c r="AH39" s="50"/>
      <c r="AJ39" s="62"/>
    </row>
    <row r="40" spans="1:36" ht="14.4" x14ac:dyDescent="0.3">
      <c r="A40" s="50"/>
      <c r="B40" s="50"/>
      <c r="C40" s="50"/>
      <c r="D40" s="50"/>
      <c r="E40" s="50"/>
      <c r="F40" s="50"/>
      <c r="G40" s="50"/>
      <c r="H40" s="50"/>
      <c r="I40" s="123"/>
      <c r="J40" s="124"/>
      <c r="K40" s="124"/>
      <c r="L40" s="124"/>
      <c r="M40" s="121" t="s">
        <v>305</v>
      </c>
      <c r="N40" s="124" t="s">
        <v>304</v>
      </c>
      <c r="O40" s="124" t="s">
        <v>638</v>
      </c>
      <c r="P40" s="124"/>
      <c r="Q40" s="124"/>
      <c r="R40" s="124"/>
      <c r="S40" s="124"/>
      <c r="T40" s="124"/>
      <c r="U40" s="124"/>
      <c r="V40" s="124"/>
      <c r="W40" s="124"/>
      <c r="X40" s="124"/>
      <c r="Y40" s="124"/>
      <c r="Z40" s="124"/>
      <c r="AA40" s="124"/>
      <c r="AB40" s="124"/>
      <c r="AC40" s="124"/>
      <c r="AD40" s="50"/>
      <c r="AE40" s="50"/>
      <c r="AF40" s="50"/>
      <c r="AG40" s="50"/>
      <c r="AH40" s="50"/>
      <c r="AJ40" s="62"/>
    </row>
    <row r="41" spans="1:36" ht="14.4" x14ac:dyDescent="0.3">
      <c r="A41" s="50"/>
      <c r="B41" s="50"/>
      <c r="C41" s="50"/>
      <c r="D41" s="50"/>
      <c r="E41" s="50"/>
      <c r="F41" s="50"/>
      <c r="G41" s="50"/>
      <c r="H41" s="50"/>
      <c r="I41" s="123"/>
      <c r="J41" s="124"/>
      <c r="K41" s="124"/>
      <c r="L41" s="124">
        <v>1</v>
      </c>
      <c r="M41" s="121">
        <f ca="1">SUMIFS(OFFSET(Envelope_Ref,$A$58,$N$57,2000),OFFSET(Envelope_Ref,$A$58,$M$57,2000),$L41)</f>
        <v>22</v>
      </c>
      <c r="N41" s="121">
        <f ca="1">SUMIFS(OFFSET(Envelope_Ref,$A$58,$N$57,2000),OFFSET(Envelope_Ref,$A$58,$M$57,2000),$L41,OFFSET(Envelope_Ref,$A$58,$L$57,2000),1)</f>
        <v>0</v>
      </c>
      <c r="O41" s="121">
        <f ca="1">SUMIFS(OFFSET(Envelope_Ref,$A$58,$O$57,2000),OFFSET(Envelope_Ref,$A$58,$M$57,2000),$L41,OFFSET(Envelope_Ref,$A$58,$L$57,2000),1)</f>
        <v>0</v>
      </c>
      <c r="P41" s="124" t="s">
        <v>165</v>
      </c>
      <c r="Q41" s="124"/>
      <c r="R41" s="124"/>
      <c r="S41" s="121" t="e">
        <f ca="1">SUMIFS(OFFSET(Envelope_Ref,$A$58,$S$57,2000),OFFSET(Envelope_Ref,$A$58,$M$57,2000),$L41)</f>
        <v>#REF!</v>
      </c>
      <c r="T41" s="124"/>
      <c r="U41" s="121"/>
      <c r="V41" s="121" t="e">
        <f ca="1">SUMIFS(OFFSET(Envelope_Ref,$A$58,$V$57,2000),OFFSET(Envelope_Ref,$A$58,$M$57,2000),$L41)</f>
        <v>#REF!</v>
      </c>
      <c r="W41" s="121"/>
      <c r="X41" s="121"/>
      <c r="Y41" s="121" t="e">
        <f ca="1">SUMIFS(OFFSET(Envelope_Ref,$A$58,$Y$57,2000),OFFSET(Envelope_Ref,$A$58,$M$57,2000),$L41)</f>
        <v>#REF!</v>
      </c>
      <c r="Z41" s="121" t="e">
        <f ca="1">SUM(S41+V41+Y41)</f>
        <v>#REF!</v>
      </c>
      <c r="AA41" s="121" t="e">
        <f ca="1">SUMIFS(OFFSET(Envelope_Ref,$A$58,$AA$57,2000),OFFSET(Envelope_Ref,$A$58,$M$57,2000),$L41)</f>
        <v>#REF!</v>
      </c>
      <c r="AB41" s="121" t="e">
        <f ca="1">SUMIFS(OFFSET(Envelope_Ref,$A$58,$AB$57,2000),OFFSET(Envelope_Ref,$A$58,$M$57,2000),$L41)</f>
        <v>#REF!</v>
      </c>
      <c r="AC41" s="129" t="e">
        <f ca="1">AA41/S41</f>
        <v>#REF!</v>
      </c>
      <c r="AD41" s="121" t="e">
        <f ca="1">SUMIFS(OFFSET(Envelope_Ref,$A$58,$AD$57,2000),OFFSET(Envelope_Ref,$A$58,$M$57,2000),$L41)</f>
        <v>#REF!</v>
      </c>
      <c r="AE41" s="121" t="e">
        <f ca="1">SUMIFS(OFFSET(Envelope_Ref,$A$58,$AE$57,2000),OFFSET(Envelope_Ref,$A$58,$M$57,2000),$L41)</f>
        <v>#REF!</v>
      </c>
      <c r="AF41" s="129" t="e">
        <f ca="1">AD41/S41</f>
        <v>#REF!</v>
      </c>
      <c r="AG41" s="154" t="e">
        <f ca="1">Z41/N41</f>
        <v>#REF!</v>
      </c>
      <c r="AH41" s="50"/>
      <c r="AJ41" s="62"/>
    </row>
    <row r="42" spans="1:36" ht="14.4" x14ac:dyDescent="0.3">
      <c r="A42" s="50"/>
      <c r="B42" s="50"/>
      <c r="C42" s="50"/>
      <c r="D42" s="50"/>
      <c r="E42" s="50"/>
      <c r="F42" s="50"/>
      <c r="G42" s="50"/>
      <c r="H42" s="50"/>
      <c r="I42" s="123"/>
      <c r="J42" s="124"/>
      <c r="K42" s="124"/>
      <c r="L42" s="124">
        <v>2</v>
      </c>
      <c r="M42" s="121">
        <f ca="1">SUMIFS(OFFSET(Envelope_Ref,$A$58,$N$57,2000),OFFSET(Envelope_Ref,$A$58,$M$57,2000),$L42)</f>
        <v>0</v>
      </c>
      <c r="N42" s="121">
        <f ca="1">SUMIFS(OFFSET(Envelope_Ref,$A$58,$N$57,2000),OFFSET(Envelope_Ref,$A$58,$M$57,2000),$L42,OFFSET(Envelope_Ref,$A$58,$L$57,2000),1)</f>
        <v>0</v>
      </c>
      <c r="O42" s="121">
        <f ca="1">SUMIFS(OFFSET(Envelope_Ref,$A$58,$O$57,2000),OFFSET(Envelope_Ref,$A$58,$M$57,2000),$L42,OFFSET(Envelope_Ref,$A$58,$L$57,2000),1)</f>
        <v>0</v>
      </c>
      <c r="P42" s="124" t="s">
        <v>166</v>
      </c>
      <c r="Q42" s="124"/>
      <c r="R42" s="124"/>
      <c r="S42" s="121">
        <f ca="1">SUMIFS(OFFSET(Envelope_Ref,$A$58,$S$57,2000),OFFSET(Envelope_Ref,$A$58,$M$57,2000),$L42)</f>
        <v>0</v>
      </c>
      <c r="T42" s="124"/>
      <c r="U42" s="121"/>
      <c r="V42" s="121">
        <f ca="1">SUMIFS(OFFSET(Envelope_Ref,$A$58,$V$57,2000),OFFSET(Envelope_Ref,$A$58,$M$57,2000),$L42)</f>
        <v>0</v>
      </c>
      <c r="W42" s="121"/>
      <c r="X42" s="121"/>
      <c r="Y42" s="121">
        <f ca="1">SUMIFS(OFFSET(Envelope_Ref,$A$58,$Y$57,2000),OFFSET(Envelope_Ref,$A$58,$M$57,2000),$L42)</f>
        <v>0</v>
      </c>
      <c r="Z42" s="121">
        <f ca="1">SUM(S42+V42+Y42)</f>
        <v>0</v>
      </c>
      <c r="AA42" s="121">
        <f ca="1">SUMIFS(OFFSET(Envelope_Ref,$A$58,$AA$57,2000),OFFSET(Envelope_Ref,$A$58,$M$57,2000),$L42)</f>
        <v>0</v>
      </c>
      <c r="AB42" s="121">
        <f ca="1">SUMIFS(OFFSET(Envelope_Ref,$A$58,$AB$57,2000),OFFSET(Envelope_Ref,$A$58,$M$57,2000),$L42)</f>
        <v>0</v>
      </c>
      <c r="AC42" s="129" t="e">
        <f ca="1">AA42/S42</f>
        <v>#DIV/0!</v>
      </c>
      <c r="AD42" s="121">
        <f ca="1">SUMIFS(OFFSET(Envelope_Ref,$A$58,$AD$57,2000),OFFSET(Envelope_Ref,$A$58,$M$57,2000),$L42)</f>
        <v>0</v>
      </c>
      <c r="AE42" s="121">
        <f ca="1">SUMIFS(OFFSET(Envelope_Ref,$A$58,$AE$57,2000),OFFSET(Envelope_Ref,$A$58,$M$57,2000),$L42)</f>
        <v>0</v>
      </c>
      <c r="AF42" s="129" t="e">
        <f ca="1">AD42/S42</f>
        <v>#DIV/0!</v>
      </c>
      <c r="AG42" s="154" t="e">
        <f ca="1">Z42/N42</f>
        <v>#DIV/0!</v>
      </c>
      <c r="AH42" s="50"/>
      <c r="AJ42" s="62"/>
    </row>
    <row r="43" spans="1:36" ht="14.4" x14ac:dyDescent="0.3">
      <c r="A43" s="50"/>
      <c r="B43" s="50"/>
      <c r="C43" s="50"/>
      <c r="D43" s="50"/>
      <c r="E43" s="50"/>
      <c r="F43" s="50"/>
      <c r="G43" s="50"/>
      <c r="H43" s="50"/>
      <c r="I43" s="123"/>
      <c r="J43" s="124"/>
      <c r="K43" s="124"/>
      <c r="L43" s="50"/>
      <c r="M43" s="121">
        <f ca="1">SUM(M41:M42)</f>
        <v>22</v>
      </c>
      <c r="N43" s="121">
        <f ca="1">SUM(N41:N42)</f>
        <v>0</v>
      </c>
      <c r="O43" s="121">
        <f ca="1">SUM(O41:O42)</f>
        <v>0</v>
      </c>
      <c r="P43" s="124" t="s">
        <v>41</v>
      </c>
      <c r="Q43" s="124"/>
      <c r="R43" s="124"/>
      <c r="S43" s="121" t="e">
        <f ca="1">SUM(S41:S42)</f>
        <v>#REF!</v>
      </c>
      <c r="T43" s="124"/>
      <c r="U43" s="121"/>
      <c r="V43" s="121" t="e">
        <f ca="1">SUM(V41:V42)</f>
        <v>#REF!</v>
      </c>
      <c r="W43" s="121"/>
      <c r="X43" s="121"/>
      <c r="Y43" s="121" t="e">
        <f ca="1">SUM(Y41:Y42)</f>
        <v>#REF!</v>
      </c>
      <c r="Z43" s="121" t="e">
        <f ca="1">SUM(Z41:Z42)</f>
        <v>#REF!</v>
      </c>
      <c r="AA43" s="121" t="e">
        <f ca="1">SUM(AA41:AA42)</f>
        <v>#REF!</v>
      </c>
      <c r="AB43" s="121" t="e">
        <f ca="1">SUM(AB41:AB42)</f>
        <v>#REF!</v>
      </c>
      <c r="AC43" s="129" t="e">
        <f ca="1">AA43/S43</f>
        <v>#REF!</v>
      </c>
      <c r="AD43" s="121" t="e">
        <f ca="1">SUM(AD41:AD42)</f>
        <v>#REF!</v>
      </c>
      <c r="AE43" s="121" t="e">
        <f ca="1">SUM(AE41:AE42)</f>
        <v>#REF!</v>
      </c>
      <c r="AF43" s="129" t="e">
        <f ca="1">AD43/S43</f>
        <v>#REF!</v>
      </c>
      <c r="AG43" s="154" t="e">
        <f ca="1">Z43/N43</f>
        <v>#REF!</v>
      </c>
      <c r="AH43" s="50"/>
      <c r="AJ43" s="62"/>
    </row>
    <row r="44" spans="1:36" ht="14.4" x14ac:dyDescent="0.3">
      <c r="A44" s="50"/>
      <c r="B44" s="50"/>
      <c r="C44" s="50"/>
      <c r="D44" s="50"/>
      <c r="E44" s="50"/>
      <c r="F44" s="50"/>
      <c r="G44" s="50"/>
      <c r="H44" s="50"/>
      <c r="I44" s="123"/>
      <c r="J44" s="124"/>
      <c r="K44" s="124"/>
      <c r="L44" s="124"/>
      <c r="M44" s="502">
        <f ca="1">SUMIFS(OFFSET(Envelope_Ref,$A$58,$N$57,2000),OFFSET(Envelope_Ref,$A$58,$E$57,2000),$P44)</f>
        <v>0</v>
      </c>
      <c r="N44" s="503">
        <f ca="1">SUMIFS(OFFSET(Envelope_Ref,$A$58,$N$57,2000),OFFSET(Envelope_Ref,$A$58,$E$57,2000),$P44,OFFSET(Envelope_Ref,$A$58,$L$57,2000),1)</f>
        <v>0</v>
      </c>
      <c r="O44" s="503">
        <f ca="1">SUMIFS(OFFSET(Envelope_Ref,$A$58,$O$57,2000),OFFSET(Envelope_Ref,$A$58,$E$57,2000),$P44,OFFSET(Envelope_Ref,$A$58,$L$57,2000),1)</f>
        <v>0</v>
      </c>
      <c r="P44" s="504" t="s">
        <v>49</v>
      </c>
      <c r="Q44" s="124"/>
      <c r="R44" s="124"/>
      <c r="S44" s="503">
        <f ca="1">SUMIFS(OFFSET(Envelope_Ref,$A$58,$S$57,2000),OFFSET(Envelope_Ref,$A$58,$E$57,2000),$P44,OFFSET(Envelope_Ref,$A$58,$L$57,2000),1)</f>
        <v>0</v>
      </c>
      <c r="V44" s="503">
        <f ca="1">SUMIFS(OFFSET(Envelope_Ref,$A$58,$V$57,2000),OFFSET(Envelope_Ref,$A$58,$E$57,2000),$P44,OFFSET(Envelope_Ref,$A$58,$L$57,2000),1)</f>
        <v>0</v>
      </c>
      <c r="Y44" s="503">
        <f ca="1">SUMIFS(OFFSET(Envelope_Ref,$A$58,$Y$57,2000),OFFSET(Envelope_Ref,$A$58,$E$57,2000),$P44,OFFSET(Envelope_Ref,$A$58,$L$57,2000),1)</f>
        <v>0</v>
      </c>
      <c r="Z44" s="121">
        <f ca="1">SUM(S44+V44+Y44)</f>
        <v>0</v>
      </c>
      <c r="AA44" s="503">
        <f ca="1">SUMIFS(OFFSET(Envelope_Ref,$A$58,$AA$57,2000),OFFSET(Envelope_Ref,$A$58,$E$57,2000),$P44,OFFSET(Envelope_Ref,$A$58,$L$57,2000),1)</f>
        <v>0</v>
      </c>
      <c r="AD44" s="70">
        <f ca="1">10447-AA42</f>
        <v>10447</v>
      </c>
      <c r="AE44" s="50"/>
      <c r="AF44" s="50"/>
      <c r="AG44" s="50"/>
      <c r="AH44" s="50"/>
      <c r="AJ44" s="62"/>
    </row>
    <row r="45" spans="1:36" ht="14.4" x14ac:dyDescent="0.3">
      <c r="G45" s="62"/>
      <c r="H45" s="62"/>
      <c r="I45" s="63"/>
      <c r="M45" s="502">
        <f ca="1">SUMIFS(OFFSET(Envelope_Ref,$A$58,$N$57,2000),OFFSET(Envelope_Ref,$A$58,$E$57,2000),$P45)</f>
        <v>0</v>
      </c>
      <c r="N45" s="503">
        <f ca="1">SUMIFS(OFFSET(Envelope_Ref,$A$58,$N$57,2000),OFFSET(Envelope_Ref,$A$58,$E$57,2000),$P45,OFFSET(Envelope_Ref,$A$58,$L$57,2000),1)</f>
        <v>0</v>
      </c>
      <c r="O45" s="503">
        <f ca="1">SUMIFS(OFFSET(Envelope_Ref,$A$58,$O$57,2000),OFFSET(Envelope_Ref,$A$58,$E$57,2000),$P45,OFFSET(Envelope_Ref,$A$58,$L$57,2000),1)</f>
        <v>0</v>
      </c>
      <c r="P45" s="504" t="s">
        <v>56</v>
      </c>
      <c r="S45" s="503">
        <f ca="1">SUMIFS(OFFSET(Envelope_Ref,$A$58,$S$57,2000),OFFSET(Envelope_Ref,$A$58,$E$57,2000),$P45,OFFSET(Envelope_Ref,$A$58,$L$57,2000),1)</f>
        <v>0</v>
      </c>
      <c r="V45" s="503">
        <f ca="1">SUMIFS(OFFSET(Envelope_Ref,$A$58,$V$57,2000),OFFSET(Envelope_Ref,$A$58,$E$57,2000),$P45,OFFSET(Envelope_Ref,$A$58,$L$57,2000),1)</f>
        <v>0</v>
      </c>
      <c r="Y45" s="503">
        <f ca="1">SUMIFS(OFFSET(Envelope_Ref,$A$58,$Y$57,2000),OFFSET(Envelope_Ref,$A$58,$E$57,2000),$P45,OFFSET(Envelope_Ref,$A$58,$L$57,2000),1)</f>
        <v>0</v>
      </c>
      <c r="Z45" s="121">
        <f ca="1">SUM(S45+V45+Y45)</f>
        <v>0</v>
      </c>
      <c r="AA45" s="503">
        <f ca="1">SUMIFS(OFFSET(Envelope_Ref,$A$58,$AA$57,2000),OFFSET(Envelope_Ref,$A$58,$E$57,2000),$P45,OFFSET(Envelope_Ref,$A$58,$L$57,2000),1)</f>
        <v>0</v>
      </c>
      <c r="AD45" s="70" t="e">
        <f ca="1">10447-AA43</f>
        <v>#REF!</v>
      </c>
      <c r="AJ45" s="62"/>
    </row>
    <row r="46" spans="1:36" ht="10.8" thickBot="1" x14ac:dyDescent="0.25">
      <c r="G46" s="62"/>
      <c r="H46" s="62"/>
      <c r="I46" s="63"/>
      <c r="Z46" s="64"/>
      <c r="AJ46" s="62"/>
    </row>
    <row r="47" spans="1:36" x14ac:dyDescent="0.2">
      <c r="G47" s="62"/>
      <c r="H47" s="62"/>
      <c r="I47" s="63"/>
      <c r="P47" s="571" t="s">
        <v>294</v>
      </c>
      <c r="Q47" s="572" t="s">
        <v>288</v>
      </c>
      <c r="R47" s="572" t="s">
        <v>266</v>
      </c>
      <c r="S47" s="572"/>
      <c r="T47" s="572" t="s">
        <v>288</v>
      </c>
      <c r="U47" s="572" t="s">
        <v>266</v>
      </c>
      <c r="V47" s="572"/>
      <c r="W47" s="572" t="s">
        <v>288</v>
      </c>
      <c r="X47" s="572" t="s">
        <v>266</v>
      </c>
      <c r="Y47" s="572"/>
      <c r="Z47" s="572"/>
      <c r="AA47" s="572" t="s">
        <v>288</v>
      </c>
      <c r="AB47" s="572" t="s">
        <v>288</v>
      </c>
      <c r="AC47" s="572"/>
      <c r="AD47" s="572" t="s">
        <v>295</v>
      </c>
      <c r="AE47" s="573" t="s">
        <v>295</v>
      </c>
      <c r="AJ47" s="62"/>
    </row>
    <row r="48" spans="1:36" x14ac:dyDescent="0.2">
      <c r="G48" s="62"/>
      <c r="H48" s="62"/>
      <c r="I48" s="63"/>
      <c r="P48" s="574" t="s">
        <v>280</v>
      </c>
      <c r="Q48" s="575">
        <v>5</v>
      </c>
      <c r="R48" s="575">
        <v>2</v>
      </c>
      <c r="S48" s="575"/>
      <c r="T48" s="575">
        <v>5</v>
      </c>
      <c r="U48" s="575">
        <v>2</v>
      </c>
      <c r="V48" s="575"/>
      <c r="W48" s="575">
        <v>5</v>
      </c>
      <c r="X48" s="575">
        <v>2</v>
      </c>
      <c r="Y48" s="575"/>
      <c r="Z48" s="575"/>
      <c r="AA48" s="575">
        <v>5</v>
      </c>
      <c r="AB48" s="575">
        <v>5</v>
      </c>
      <c r="AC48" s="575"/>
      <c r="AD48" s="575">
        <v>5</v>
      </c>
      <c r="AE48" s="576">
        <v>5</v>
      </c>
      <c r="AJ48" s="62"/>
    </row>
    <row r="49" spans="1:36" x14ac:dyDescent="0.2">
      <c r="G49" s="62"/>
      <c r="H49" s="62"/>
      <c r="I49" s="63"/>
      <c r="P49" s="574" t="s">
        <v>281</v>
      </c>
      <c r="Q49" s="575" t="e">
        <f>#REF!</f>
        <v>#REF!</v>
      </c>
      <c r="R49" s="575" t="e">
        <f>#REF!</f>
        <v>#REF!</v>
      </c>
      <c r="S49" s="575"/>
      <c r="T49" s="575" t="e">
        <f>#REF!</f>
        <v>#REF!</v>
      </c>
      <c r="U49" s="575" t="e">
        <f>#REF!</f>
        <v>#REF!</v>
      </c>
      <c r="V49" s="575"/>
      <c r="W49" s="575" t="e">
        <f>#REF!</f>
        <v>#REF!</v>
      </c>
      <c r="X49" s="575" t="e">
        <f>#REF!</f>
        <v>#REF!</v>
      </c>
      <c r="Y49" s="575"/>
      <c r="Z49" s="575"/>
      <c r="AA49" s="575" t="e">
        <f>#REF!</f>
        <v>#REF!</v>
      </c>
      <c r="AB49" s="575" t="e">
        <f>#REF!</f>
        <v>#REF!</v>
      </c>
      <c r="AC49" s="575"/>
      <c r="AD49" s="575" t="e">
        <f>#REF!</f>
        <v>#REF!</v>
      </c>
      <c r="AE49" s="576" t="e">
        <f>#REF!</f>
        <v>#REF!</v>
      </c>
      <c r="AJ49" s="62"/>
    </row>
    <row r="50" spans="1:36" x14ac:dyDescent="0.2">
      <c r="G50" s="62"/>
      <c r="H50" s="62"/>
      <c r="I50" s="63"/>
      <c r="P50" s="574" t="s">
        <v>282</v>
      </c>
      <c r="Q50" s="575" t="e">
        <f>#REF!</f>
        <v>#REF!</v>
      </c>
      <c r="R50" s="575" t="e">
        <f>#REF!</f>
        <v>#REF!</v>
      </c>
      <c r="S50" s="575"/>
      <c r="T50" s="575" t="e">
        <f>#REF!</f>
        <v>#REF!</v>
      </c>
      <c r="U50" s="575" t="e">
        <f>#REF!</f>
        <v>#REF!</v>
      </c>
      <c r="V50" s="575"/>
      <c r="W50" s="575" t="e">
        <f>#REF!</f>
        <v>#REF!</v>
      </c>
      <c r="X50" s="575" t="e">
        <f>#REF!</f>
        <v>#REF!</v>
      </c>
      <c r="Y50" s="575"/>
      <c r="Z50" s="575"/>
      <c r="AA50" s="575" t="e">
        <f>#REF!</f>
        <v>#REF!</v>
      </c>
      <c r="AB50" s="575" t="e">
        <f>#REF!</f>
        <v>#REF!</v>
      </c>
      <c r="AC50" s="575"/>
      <c r="AD50" s="575" t="e">
        <f>#REF!</f>
        <v>#REF!</v>
      </c>
      <c r="AE50" s="576" t="e">
        <f>#REF!</f>
        <v>#REF!</v>
      </c>
      <c r="AJ50" s="62"/>
    </row>
    <row r="51" spans="1:36" ht="10.8" thickBot="1" x14ac:dyDescent="0.25">
      <c r="G51" s="62"/>
      <c r="H51" s="62"/>
      <c r="I51" s="63"/>
      <c r="K51" s="64" t="e">
        <f>SUBTOTAL(9,K59:K248)</f>
        <v>#REF!</v>
      </c>
      <c r="P51" s="577" t="s">
        <v>283</v>
      </c>
      <c r="Q51" s="578"/>
      <c r="R51" s="578"/>
      <c r="S51" s="578"/>
      <c r="T51" s="578"/>
      <c r="U51" s="578"/>
      <c r="V51" s="578"/>
      <c r="W51" s="578"/>
      <c r="X51" s="578"/>
      <c r="Y51" s="578"/>
      <c r="Z51" s="578"/>
      <c r="AA51" s="578"/>
      <c r="AB51" s="578"/>
      <c r="AC51" s="578"/>
      <c r="AD51" s="579"/>
      <c r="AE51" s="580"/>
      <c r="AJ51" s="62"/>
    </row>
    <row r="52" spans="1:36" x14ac:dyDescent="0.2">
      <c r="G52" s="62"/>
      <c r="H52" s="62"/>
      <c r="I52" s="63"/>
      <c r="P52" s="64" t="e">
        <f ca="1">SUBTOTAL(9,P59:P249)</f>
        <v>#REF!</v>
      </c>
      <c r="Q52" s="64" t="e">
        <f ca="1">SUBTOTAL(9,Q59:Q249)</f>
        <v>#REF!</v>
      </c>
      <c r="R52" s="64" t="e">
        <f ca="1">SUBTOTAL(9,R59:R249)</f>
        <v>#REF!</v>
      </c>
      <c r="S52" s="64" t="e">
        <f ca="1">SUBTOTAL(9,S59:S249)</f>
        <v>#REF!</v>
      </c>
      <c r="Z52" s="64"/>
      <c r="AJ52" s="62"/>
    </row>
    <row r="53" spans="1:36" x14ac:dyDescent="0.2">
      <c r="G53" s="62"/>
      <c r="H53" s="62"/>
      <c r="I53" s="62"/>
      <c r="J53" s="62"/>
      <c r="K53" s="62"/>
      <c r="L53" s="62"/>
      <c r="M53" s="62"/>
      <c r="N53" s="62"/>
      <c r="O53" s="62"/>
      <c r="P53" s="62"/>
      <c r="Q53" s="64">
        <v>1349.6399999999994</v>
      </c>
      <c r="R53" s="62"/>
      <c r="S53" s="62"/>
      <c r="W53" s="62"/>
      <c r="X53" s="62"/>
      <c r="Y53" s="62"/>
      <c r="AJ53" s="62"/>
    </row>
    <row r="54" spans="1:36" ht="15.6" x14ac:dyDescent="0.3">
      <c r="B54" s="139" t="s">
        <v>90</v>
      </c>
      <c r="C54" s="139"/>
      <c r="D54" s="139"/>
      <c r="E54" s="139"/>
      <c r="F54" s="139"/>
      <c r="G54" s="139"/>
      <c r="H54" s="139"/>
      <c r="I54" s="139"/>
      <c r="J54" s="139"/>
      <c r="K54" s="139"/>
      <c r="L54" s="139"/>
      <c r="M54" s="139"/>
      <c r="N54" s="139"/>
      <c r="O54" s="139"/>
      <c r="P54" s="68" t="s">
        <v>284</v>
      </c>
      <c r="Q54" s="68"/>
      <c r="R54" s="68"/>
      <c r="S54" s="68"/>
      <c r="T54" s="68"/>
      <c r="U54" s="68"/>
      <c r="V54" s="68"/>
      <c r="W54" s="68"/>
      <c r="X54" s="68"/>
      <c r="Y54" s="68"/>
      <c r="Z54" s="68"/>
      <c r="AA54" s="150" t="s">
        <v>81</v>
      </c>
      <c r="AB54" s="150"/>
      <c r="AC54" s="66"/>
      <c r="AD54" s="151" t="s">
        <v>47</v>
      </c>
      <c r="AE54" s="151"/>
      <c r="AJ54" s="62"/>
    </row>
    <row r="55" spans="1:36" ht="36" x14ac:dyDescent="0.2">
      <c r="B55" s="69" t="s">
        <v>37</v>
      </c>
      <c r="C55" s="69" t="s">
        <v>14</v>
      </c>
      <c r="D55" s="69" t="s">
        <v>13</v>
      </c>
      <c r="E55" s="69" t="s">
        <v>75</v>
      </c>
      <c r="F55" s="69" t="s">
        <v>88</v>
      </c>
      <c r="G55" s="69" t="s">
        <v>145</v>
      </c>
      <c r="H55" s="69" t="s">
        <v>146</v>
      </c>
      <c r="I55" s="69" t="s">
        <v>36</v>
      </c>
      <c r="J55" s="69" t="s">
        <v>11</v>
      </c>
      <c r="K55" s="69" t="s">
        <v>147</v>
      </c>
      <c r="L55" s="69" t="s">
        <v>261</v>
      </c>
      <c r="M55" s="69" t="s">
        <v>260</v>
      </c>
      <c r="N55" s="69" t="s">
        <v>93</v>
      </c>
      <c r="O55" s="69" t="s">
        <v>92</v>
      </c>
      <c r="P55" s="69" t="s">
        <v>650</v>
      </c>
      <c r="Q55" s="69" t="s">
        <v>262</v>
      </c>
      <c r="R55" s="69" t="s">
        <v>263</v>
      </c>
      <c r="S55" s="69" t="s">
        <v>149</v>
      </c>
      <c r="T55" s="69" t="s">
        <v>250</v>
      </c>
      <c r="U55" s="69" t="s">
        <v>251</v>
      </c>
      <c r="V55" s="69" t="s">
        <v>252</v>
      </c>
      <c r="W55" s="69" t="s">
        <v>285</v>
      </c>
      <c r="X55" s="69" t="s">
        <v>286</v>
      </c>
      <c r="Y55" s="69" t="s">
        <v>287</v>
      </c>
      <c r="Z55" s="69" t="s">
        <v>151</v>
      </c>
      <c r="AA55" s="69" t="s">
        <v>148</v>
      </c>
      <c r="AB55" s="69" t="s">
        <v>150</v>
      </c>
      <c r="AC55" s="69"/>
      <c r="AD55" s="69" t="s">
        <v>148</v>
      </c>
      <c r="AE55" s="69" t="s">
        <v>150</v>
      </c>
      <c r="AJ55" s="62"/>
    </row>
    <row r="56" spans="1:36" x14ac:dyDescent="0.2">
      <c r="B56" s="75"/>
      <c r="C56" s="75"/>
      <c r="D56" s="75"/>
      <c r="E56" s="75"/>
      <c r="F56" s="75"/>
      <c r="G56" s="75"/>
      <c r="H56" s="75"/>
      <c r="I56" s="75"/>
      <c r="J56" s="75" t="s">
        <v>143</v>
      </c>
      <c r="K56" s="75" t="s">
        <v>108</v>
      </c>
      <c r="L56" s="75"/>
      <c r="M56" s="75"/>
      <c r="N56" s="75" t="s">
        <v>143</v>
      </c>
      <c r="O56" s="75" t="s">
        <v>108</v>
      </c>
      <c r="P56" s="75"/>
      <c r="Q56" s="75" t="s">
        <v>143</v>
      </c>
      <c r="R56" s="75" t="s">
        <v>143</v>
      </c>
      <c r="S56" s="75" t="s">
        <v>143</v>
      </c>
      <c r="T56" s="75" t="s">
        <v>143</v>
      </c>
      <c r="U56" s="75" t="s">
        <v>143</v>
      </c>
      <c r="V56" s="75" t="s">
        <v>143</v>
      </c>
      <c r="W56" s="75" t="s">
        <v>143</v>
      </c>
      <c r="X56" s="75" t="s">
        <v>143</v>
      </c>
      <c r="Y56" s="75" t="s">
        <v>143</v>
      </c>
      <c r="Z56" s="75" t="s">
        <v>143</v>
      </c>
      <c r="AA56" s="75" t="s">
        <v>143</v>
      </c>
      <c r="AB56" s="75" t="s">
        <v>143</v>
      </c>
      <c r="AC56" s="75"/>
      <c r="AD56" s="75" t="s">
        <v>143</v>
      </c>
      <c r="AE56" s="75" t="s">
        <v>143</v>
      </c>
      <c r="AJ56" s="62"/>
    </row>
    <row r="57" spans="1:36" x14ac:dyDescent="0.2">
      <c r="A57" s="83" t="s">
        <v>265</v>
      </c>
      <c r="B57" s="75">
        <v>1</v>
      </c>
      <c r="C57" s="75">
        <f>B57+1</f>
        <v>2</v>
      </c>
      <c r="D57" s="75">
        <f t="shared" ref="D57:AB57" si="4">C57+1</f>
        <v>3</v>
      </c>
      <c r="E57" s="75">
        <f t="shared" si="4"/>
        <v>4</v>
      </c>
      <c r="F57" s="75">
        <f t="shared" si="4"/>
        <v>5</v>
      </c>
      <c r="G57" s="75">
        <f t="shared" si="4"/>
        <v>6</v>
      </c>
      <c r="H57" s="75">
        <f t="shared" si="4"/>
        <v>7</v>
      </c>
      <c r="I57" s="75">
        <f t="shared" si="4"/>
        <v>8</v>
      </c>
      <c r="J57" s="75">
        <f t="shared" si="4"/>
        <v>9</v>
      </c>
      <c r="K57" s="75">
        <f t="shared" si="4"/>
        <v>10</v>
      </c>
      <c r="L57" s="75">
        <f t="shared" si="4"/>
        <v>11</v>
      </c>
      <c r="M57" s="75">
        <f t="shared" si="4"/>
        <v>12</v>
      </c>
      <c r="N57" s="75">
        <f t="shared" si="4"/>
        <v>13</v>
      </c>
      <c r="O57" s="75">
        <f t="shared" si="4"/>
        <v>14</v>
      </c>
      <c r="P57" s="75">
        <f t="shared" si="4"/>
        <v>15</v>
      </c>
      <c r="Q57" s="75">
        <f t="shared" si="4"/>
        <v>16</v>
      </c>
      <c r="R57" s="75">
        <f t="shared" si="4"/>
        <v>17</v>
      </c>
      <c r="S57" s="75">
        <f t="shared" si="4"/>
        <v>18</v>
      </c>
      <c r="T57" s="75">
        <f t="shared" si="4"/>
        <v>19</v>
      </c>
      <c r="U57" s="75">
        <f t="shared" si="4"/>
        <v>20</v>
      </c>
      <c r="V57" s="75">
        <f t="shared" si="4"/>
        <v>21</v>
      </c>
      <c r="W57" s="75">
        <f t="shared" si="4"/>
        <v>22</v>
      </c>
      <c r="X57" s="75">
        <f t="shared" si="4"/>
        <v>23</v>
      </c>
      <c r="Y57" s="75">
        <f t="shared" si="4"/>
        <v>24</v>
      </c>
      <c r="Z57" s="75">
        <f t="shared" si="4"/>
        <v>25</v>
      </c>
      <c r="AA57" s="75">
        <f t="shared" si="4"/>
        <v>26</v>
      </c>
      <c r="AB57" s="75">
        <f t="shared" si="4"/>
        <v>27</v>
      </c>
      <c r="AC57" s="75">
        <f>AB57+1</f>
        <v>28</v>
      </c>
      <c r="AD57" s="75">
        <f>AC57+1</f>
        <v>29</v>
      </c>
      <c r="AE57" s="75">
        <f>AD57+1</f>
        <v>30</v>
      </c>
      <c r="AJ57" s="62"/>
    </row>
    <row r="58" spans="1:36" x14ac:dyDescent="0.2">
      <c r="A58" s="62">
        <v>2</v>
      </c>
      <c r="B58" s="75"/>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J58" s="62"/>
    </row>
    <row r="59" spans="1:36" x14ac:dyDescent="0.2">
      <c r="A59" s="62">
        <v>1</v>
      </c>
      <c r="B59" s="62" t="str">
        <f>Spaces_Sum!C57</f>
        <v>B01-002_StrsRaccBbrd</v>
      </c>
      <c r="C59" s="62" t="str">
        <f ca="1">Spaces_Sum!H57</f>
        <v>Basement</v>
      </c>
      <c r="D59" s="62" t="str">
        <f ca="1">Spaces_Sum!I57</f>
        <v>DirectlyConditioned</v>
      </c>
      <c r="E59" s="62" t="str">
        <f ca="1">Spaces_Sum!J57</f>
        <v>Stairwell</v>
      </c>
      <c r="F59" s="62" t="str">
        <f ca="1">Spaces_Sum!K57</f>
        <v>Nonresidential</v>
      </c>
      <c r="G59" s="62" t="str">
        <f ca="1">Spaces_Sum!L57</f>
        <v>Thermal Zone: B01-002_StrsRaccBbrd</v>
      </c>
      <c r="H59" s="62">
        <f ca="1">Spaces_Sum!M57</f>
        <v>602.02739999999994</v>
      </c>
      <c r="I59" s="62">
        <f ca="1">Spaces_Sum!O57</f>
        <v>0</v>
      </c>
      <c r="J59" s="62" t="e">
        <f>Spaces_Sum!#REF!</f>
        <v>#REF!</v>
      </c>
      <c r="K59" s="62" t="e">
        <f>Spaces_Sum!#REF!</f>
        <v>#REF!</v>
      </c>
      <c r="L59" s="62">
        <f>Spaces_Sum!AK57</f>
        <v>0</v>
      </c>
      <c r="M59" s="62">
        <f ca="1">Spaces_Sum!AL57</f>
        <v>1</v>
      </c>
      <c r="N59" s="62">
        <f ca="1">Spaces_Sum!AN57</f>
        <v>0</v>
      </c>
      <c r="O59" s="62">
        <f ca="1">Spaces_Sum!AO57</f>
        <v>602.02739999999994</v>
      </c>
      <c r="P59" s="537" t="e">
        <f ca="1">IF(L59=0,SUMIFS(OFFSET(INDIRECT(Q$47),Q$48,Q$49,2000),OFFSET(INDIRECT(Q$47),Q$48,Q$50,2000),$B59),0)</f>
        <v>#REF!</v>
      </c>
      <c r="Q59" s="70" t="e">
        <f ca="1">SUMIFS(OFFSET(INDIRECT(Q$47),Q$48,Q$49,2000),OFFSET(INDIRECT(Q$47),Q$48,Q$50,2000),$B59)*$L59</f>
        <v>#REF!</v>
      </c>
      <c r="R59" s="70" t="e">
        <f ca="1">SUMIFS(OFFSET(INDIRECT(R$47),R$48,R$49,2000),OFFSET(INDIRECT(R$47),R$48,R$50,2000),$B59)*$I59</f>
        <v>#REF!</v>
      </c>
      <c r="S59" s="70" t="e">
        <f ca="1">SUM(Q59:R59)</f>
        <v>#REF!</v>
      </c>
      <c r="T59" s="70" t="e">
        <f ca="1">SUMIFS(OFFSET(INDIRECT(T$47),T$48,T$49,2000),OFFSET(INDIRECT(T$47),T$48,T$50,2000),$B59)*$L59</f>
        <v>#REF!</v>
      </c>
      <c r="U59" s="70" t="e">
        <f ca="1">SUMIFS(OFFSET(INDIRECT(U$47),U$48,U$49,2000),OFFSET(INDIRECT(U$47),U$48,U$50,2000),$B59)*$I59</f>
        <v>#REF!</v>
      </c>
      <c r="V59" s="70" t="e">
        <f ca="1">SUM(T59:U59)</f>
        <v>#REF!</v>
      </c>
      <c r="W59" s="70" t="e">
        <f ca="1">SUMIFS(OFFSET(INDIRECT(W$47),W$48,W$49,2000),OFFSET(INDIRECT(W$47),W$48,W$50,2000),$B59)*$L59</f>
        <v>#REF!</v>
      </c>
      <c r="X59" s="70" t="e">
        <f ca="1">SUMIFS(OFFSET(INDIRECT(X$47),X$48,X$49,2000),OFFSET(INDIRECT(X$47),X$48,X$50,2000),$B59)*$I59</f>
        <v>#REF!</v>
      </c>
      <c r="Y59" s="70" t="e">
        <f ca="1">SUM(W59:X59)</f>
        <v>#REF!</v>
      </c>
      <c r="Z59" s="70" t="e">
        <f ca="1">SUM(S59,V59,Y59)</f>
        <v>#REF!</v>
      </c>
      <c r="AA59" s="70" t="e">
        <f ca="1">SUMIFS(OFFSET(INDIRECT(AA$47),AA$48,AA$49,2000),OFFSET(INDIRECT(AA$47),AA$48,AA$50,2000),$B59)*$L59</f>
        <v>#REF!</v>
      </c>
      <c r="AB59" s="70" t="e">
        <f ca="1">SUMIFS(OFFSET(INDIRECT(AB$47),AB$48,AB$49,2000),OFFSET(INDIRECT(AB$47),AB$48,AB$50,2000),$B59)*$L59</f>
        <v>#REF!</v>
      </c>
      <c r="AC59" s="70"/>
      <c r="AD59" s="70" t="e">
        <f ca="1">SUMIFS(OFFSET(INDIRECT(AD$47),AD$48,AD$49,2000),OFFSET(INDIRECT(AD$47),AD$48,AD$50,2000),$B59)*$L59</f>
        <v>#REF!</v>
      </c>
      <c r="AE59" s="70" t="e">
        <f ca="1">SUMIFS(OFFSET(INDIRECT(AE$47),AE$48,AE$49,2000),OFFSET(INDIRECT(AE$47),AE$48,AE$50,2000),$B59)*$L59</f>
        <v>#REF!</v>
      </c>
      <c r="AJ59" s="62"/>
    </row>
    <row r="60" spans="1:36" x14ac:dyDescent="0.2">
      <c r="A60" s="62">
        <f>A59+1</f>
        <v>2</v>
      </c>
      <c r="B60" s="62" t="str">
        <f>Spaces_Sum!C58</f>
        <v>B01-003_MechRaccBbrd</v>
      </c>
      <c r="C60" s="62" t="str">
        <f ca="1">Spaces_Sum!H58</f>
        <v>Basement</v>
      </c>
      <c r="D60" s="62" t="str">
        <f ca="1">Spaces_Sum!I58</f>
        <v>DirectlyConditioned</v>
      </c>
      <c r="E60" s="62" t="str">
        <f ca="1">Spaces_Sum!J58</f>
        <v>Electrical/MechanicaI Room</v>
      </c>
      <c r="F60" s="62" t="str">
        <f ca="1">Spaces_Sum!K58</f>
        <v>Nonresidential</v>
      </c>
      <c r="G60" s="62" t="str">
        <f ca="1">Spaces_Sum!L58</f>
        <v>Thermal Zone: B01-003_MechRaccBbrd</v>
      </c>
      <c r="H60" s="62">
        <f ca="1">Spaces_Sum!M58</f>
        <v>1031.7492</v>
      </c>
      <c r="I60" s="62">
        <f ca="1">Spaces_Sum!O58</f>
        <v>0</v>
      </c>
      <c r="J60" s="62" t="e">
        <f>Spaces_Sum!#REF!</f>
        <v>#REF!</v>
      </c>
      <c r="K60" s="62" t="e">
        <f>Spaces_Sum!#REF!</f>
        <v>#REF!</v>
      </c>
      <c r="L60" s="62">
        <f>Spaces_Sum!AK58</f>
        <v>0</v>
      </c>
      <c r="M60" s="62">
        <f ca="1">Spaces_Sum!AL58</f>
        <v>1</v>
      </c>
      <c r="N60" s="62">
        <f ca="1">Spaces_Sum!AN58</f>
        <v>0</v>
      </c>
      <c r="O60" s="62">
        <f ca="1">Spaces_Sum!AO58</f>
        <v>1031.7492</v>
      </c>
      <c r="P60" s="537" t="e">
        <f t="shared" ref="P60:P123" ca="1" si="5">IF(L60=0,SUMIFS(OFFSET(INDIRECT(Q$47),Q$48,Q$49,2000),OFFSET(INDIRECT(Q$47),Q$48,Q$50,2000),$B60),0)</f>
        <v>#REF!</v>
      </c>
      <c r="Q60" s="70" t="e">
        <f t="shared" ref="Q60:Q123" ca="1" si="6">SUMIFS(OFFSET(INDIRECT(Q$47),Q$48,Q$49,2000),OFFSET(INDIRECT(Q$47),Q$48,Q$50,2000),$B60)*$L60</f>
        <v>#REF!</v>
      </c>
      <c r="R60" s="70" t="e">
        <f t="shared" ref="R60:R123" ca="1" si="7">SUMIFS(OFFSET(INDIRECT(R$47),R$48,R$49,2000),OFFSET(INDIRECT(R$47),R$48,R$50,2000),$B60)*$I60</f>
        <v>#REF!</v>
      </c>
      <c r="S60" s="70" t="e">
        <f t="shared" ref="S60:S96" ca="1" si="8">SUM(Q60:R60)</f>
        <v>#REF!</v>
      </c>
      <c r="T60" s="70" t="e">
        <f t="shared" ref="T60:T123" ca="1" si="9">SUMIFS(OFFSET(INDIRECT(T$47),T$48,T$49,2000),OFFSET(INDIRECT(T$47),T$48,T$50,2000),$B60)*$L60</f>
        <v>#REF!</v>
      </c>
      <c r="U60" s="70" t="e">
        <f t="shared" ref="U60:U123" ca="1" si="10">SUMIFS(OFFSET(INDIRECT(U$47),U$48,U$49,2000),OFFSET(INDIRECT(U$47),U$48,U$50,2000),$B60)*$I60</f>
        <v>#REF!</v>
      </c>
      <c r="V60" s="70" t="e">
        <f t="shared" ref="V60:V96" ca="1" si="11">SUM(T60:U60)</f>
        <v>#REF!</v>
      </c>
      <c r="W60" s="70" t="e">
        <f t="shared" ref="W60:W123" ca="1" si="12">SUMIFS(OFFSET(INDIRECT(W$47),W$48,W$49,2000),OFFSET(INDIRECT(W$47),W$48,W$50,2000),$B60)*$L60</f>
        <v>#REF!</v>
      </c>
      <c r="X60" s="70" t="e">
        <f t="shared" ref="X60:X123" ca="1" si="13">SUMIFS(OFFSET(INDIRECT(X$47),X$48,X$49,2000),OFFSET(INDIRECT(X$47),X$48,X$50,2000),$B60)*$I60</f>
        <v>#REF!</v>
      </c>
      <c r="Y60" s="70" t="e">
        <f t="shared" ref="Y60:Y96" ca="1" si="14">SUM(W60:X60)</f>
        <v>#REF!</v>
      </c>
      <c r="Z60" s="70" t="e">
        <f t="shared" ref="Z60:Z96" ca="1" si="15">SUM(S60,V60,Y60)</f>
        <v>#REF!</v>
      </c>
      <c r="AA60" s="70" t="e">
        <f t="shared" ref="AA60:AB97" ca="1" si="16">SUMIFS(OFFSET(INDIRECT(AA$47),AA$48,AA$49,2000),OFFSET(INDIRECT(AA$47),AA$48,AA$50,2000),$B60)*$L60</f>
        <v>#REF!</v>
      </c>
      <c r="AB60" s="70" t="e">
        <f t="shared" ca="1" si="16"/>
        <v>#REF!</v>
      </c>
      <c r="AC60" s="70"/>
      <c r="AD60" s="70" t="e">
        <f t="shared" ref="AD60:AE97" ca="1" si="17">SUMIFS(OFFSET(INDIRECT(AD$47),AD$48,AD$49,2000),OFFSET(INDIRECT(AD$47),AD$48,AD$50,2000),$B60)*$L60</f>
        <v>#REF!</v>
      </c>
      <c r="AE60" s="70" t="e">
        <f t="shared" ca="1" si="17"/>
        <v>#REF!</v>
      </c>
      <c r="AJ60" s="62"/>
    </row>
    <row r="61" spans="1:36" x14ac:dyDescent="0.2">
      <c r="A61" s="62">
        <f t="shared" ref="A61:A124" si="18">A60+1</f>
        <v>3</v>
      </c>
      <c r="B61" s="62" t="str">
        <f>Spaces_Sum!C59</f>
        <v>L01-101_MprpRaccVrfsHrv1</v>
      </c>
      <c r="C61" s="62" t="str">
        <f ca="1">Spaces_Sum!H59</f>
        <v>Level 1</v>
      </c>
      <c r="D61" s="62" t="str">
        <f ca="1">Spaces_Sum!I59</f>
        <v>DirectlyConditioned</v>
      </c>
      <c r="E61" s="62" t="str">
        <f ca="1">Spaces_Sum!J59</f>
        <v>Conference/Meeting/Multipurpose Room</v>
      </c>
      <c r="F61" s="62" t="str">
        <f ca="1">Spaces_Sum!K59</f>
        <v>Nonresidential</v>
      </c>
      <c r="G61" s="62" t="str">
        <f ca="1">Spaces_Sum!L59</f>
        <v>Thermal Zone: L01-101_MprpRaccVrfsHrv1</v>
      </c>
      <c r="H61" s="62">
        <f ca="1">Spaces_Sum!M59</f>
        <v>2056.806</v>
      </c>
      <c r="I61" s="62">
        <f ca="1">Spaces_Sum!O59</f>
        <v>0</v>
      </c>
      <c r="J61" s="62" t="e">
        <f>Spaces_Sum!#REF!</f>
        <v>#REF!</v>
      </c>
      <c r="K61" s="62" t="e">
        <f>Spaces_Sum!#REF!</f>
        <v>#REF!</v>
      </c>
      <c r="L61" s="62">
        <f>Spaces_Sum!AK59</f>
        <v>0</v>
      </c>
      <c r="M61" s="62">
        <f ca="1">Spaces_Sum!AL59</f>
        <v>1</v>
      </c>
      <c r="N61" s="62">
        <f ca="1">Spaces_Sum!AN59</f>
        <v>0</v>
      </c>
      <c r="O61" s="62">
        <f ca="1">Spaces_Sum!AO59</f>
        <v>2056.806</v>
      </c>
      <c r="P61" s="537" t="e">
        <f t="shared" ca="1" si="5"/>
        <v>#REF!</v>
      </c>
      <c r="Q61" s="70" t="e">
        <f t="shared" ca="1" si="6"/>
        <v>#REF!</v>
      </c>
      <c r="R61" s="70" t="e">
        <f t="shared" ca="1" si="7"/>
        <v>#REF!</v>
      </c>
      <c r="S61" s="70" t="e">
        <f t="shared" ca="1" si="8"/>
        <v>#REF!</v>
      </c>
      <c r="T61" s="70" t="e">
        <f t="shared" ca="1" si="9"/>
        <v>#REF!</v>
      </c>
      <c r="U61" s="70" t="e">
        <f t="shared" ca="1" si="10"/>
        <v>#REF!</v>
      </c>
      <c r="V61" s="70" t="e">
        <f t="shared" ca="1" si="11"/>
        <v>#REF!</v>
      </c>
      <c r="W61" s="70" t="e">
        <f t="shared" ca="1" si="12"/>
        <v>#REF!</v>
      </c>
      <c r="X61" s="70" t="e">
        <f t="shared" ca="1" si="13"/>
        <v>#REF!</v>
      </c>
      <c r="Y61" s="70" t="e">
        <f t="shared" ca="1" si="14"/>
        <v>#REF!</v>
      </c>
      <c r="Z61" s="70" t="e">
        <f t="shared" ca="1" si="15"/>
        <v>#REF!</v>
      </c>
      <c r="AA61" s="70" t="e">
        <f t="shared" ca="1" si="16"/>
        <v>#REF!</v>
      </c>
      <c r="AB61" s="70" t="e">
        <f t="shared" ca="1" si="16"/>
        <v>#REF!</v>
      </c>
      <c r="AC61" s="70"/>
      <c r="AD61" s="70" t="e">
        <f t="shared" ca="1" si="17"/>
        <v>#REF!</v>
      </c>
      <c r="AE61" s="70" t="e">
        <f t="shared" ca="1" si="17"/>
        <v>#REF!</v>
      </c>
      <c r="AJ61" s="62"/>
    </row>
    <row r="62" spans="1:36" ht="12" customHeight="1" x14ac:dyDescent="0.2">
      <c r="A62" s="62">
        <f t="shared" si="18"/>
        <v>4</v>
      </c>
      <c r="B62" s="62" t="str">
        <f>Spaces_Sum!C60</f>
        <v>L01-102_LbbyRaccVrfsHrv1</v>
      </c>
      <c r="C62" s="62" t="str">
        <f ca="1">Spaces_Sum!H60</f>
        <v>Level 1</v>
      </c>
      <c r="D62" s="62" t="str">
        <f ca="1">Spaces_Sum!I60</f>
        <v>DirectlyConditioned</v>
      </c>
      <c r="E62" s="62" t="str">
        <f ca="1">Spaces_Sum!J60</f>
        <v>Lobby - All other</v>
      </c>
      <c r="F62" s="62" t="str">
        <f ca="1">Spaces_Sum!K60</f>
        <v>Nonresidential</v>
      </c>
      <c r="G62" s="62" t="str">
        <f ca="1">Spaces_Sum!L60</f>
        <v>Thermal Zone: L01-102_LbbyRaccVrfsHrv1</v>
      </c>
      <c r="H62" s="62">
        <f ca="1">Spaces_Sum!M60</f>
        <v>1350.7968000000001</v>
      </c>
      <c r="I62" s="62">
        <f ca="1">Spaces_Sum!O60</f>
        <v>0</v>
      </c>
      <c r="J62" s="62" t="e">
        <f>Spaces_Sum!#REF!</f>
        <v>#REF!</v>
      </c>
      <c r="K62" s="62" t="e">
        <f>Spaces_Sum!#REF!</f>
        <v>#REF!</v>
      </c>
      <c r="L62" s="62">
        <f>Spaces_Sum!AK60</f>
        <v>0</v>
      </c>
      <c r="M62" s="62">
        <f ca="1">Spaces_Sum!AL60</f>
        <v>1</v>
      </c>
      <c r="N62" s="62">
        <f ca="1">Spaces_Sum!AN60</f>
        <v>0</v>
      </c>
      <c r="O62" s="62">
        <f ca="1">Spaces_Sum!AO60</f>
        <v>1350.7968000000001</v>
      </c>
      <c r="P62" s="537" t="e">
        <f t="shared" ca="1" si="5"/>
        <v>#REF!</v>
      </c>
      <c r="Q62" s="70" t="e">
        <f t="shared" ca="1" si="6"/>
        <v>#REF!</v>
      </c>
      <c r="R62" s="70" t="e">
        <f t="shared" ca="1" si="7"/>
        <v>#REF!</v>
      </c>
      <c r="S62" s="70" t="e">
        <f t="shared" ca="1" si="8"/>
        <v>#REF!</v>
      </c>
      <c r="T62" s="70" t="e">
        <f t="shared" ca="1" si="9"/>
        <v>#REF!</v>
      </c>
      <c r="U62" s="70" t="e">
        <f t="shared" ca="1" si="10"/>
        <v>#REF!</v>
      </c>
      <c r="V62" s="70" t="e">
        <f t="shared" ca="1" si="11"/>
        <v>#REF!</v>
      </c>
      <c r="W62" s="70" t="e">
        <f t="shared" ca="1" si="12"/>
        <v>#REF!</v>
      </c>
      <c r="X62" s="70" t="e">
        <f t="shared" ca="1" si="13"/>
        <v>#REF!</v>
      </c>
      <c r="Y62" s="70" t="e">
        <f t="shared" ca="1" si="14"/>
        <v>#REF!</v>
      </c>
      <c r="Z62" s="70" t="e">
        <f t="shared" ca="1" si="15"/>
        <v>#REF!</v>
      </c>
      <c r="AA62" s="70" t="e">
        <f t="shared" ca="1" si="16"/>
        <v>#REF!</v>
      </c>
      <c r="AB62" s="70" t="e">
        <f t="shared" ca="1" si="16"/>
        <v>#REF!</v>
      </c>
      <c r="AC62" s="70"/>
      <c r="AD62" s="70" t="e">
        <f t="shared" ca="1" si="17"/>
        <v>#REF!</v>
      </c>
      <c r="AE62" s="70" t="e">
        <f t="shared" ca="1" si="17"/>
        <v>#REF!</v>
      </c>
      <c r="AJ62" s="62"/>
    </row>
    <row r="63" spans="1:36" ht="12" customHeight="1" x14ac:dyDescent="0.2">
      <c r="A63" s="62">
        <f t="shared" si="18"/>
        <v>5</v>
      </c>
      <c r="B63" s="62" t="str">
        <f>Spaces_Sum!C61</f>
        <v>L01-103_CorrRaccBbrdHrv1</v>
      </c>
      <c r="C63" s="62" t="str">
        <f ca="1">Spaces_Sum!H61</f>
        <v>Level 1</v>
      </c>
      <c r="D63" s="62" t="str">
        <f ca="1">Spaces_Sum!I61</f>
        <v>DirectlyConditioned</v>
      </c>
      <c r="E63" s="62" t="str">
        <f ca="1">Spaces_Sum!J61</f>
        <v>Corridor - All other</v>
      </c>
      <c r="F63" s="62" t="str">
        <f ca="1">Spaces_Sum!K61</f>
        <v>Nonresidential</v>
      </c>
      <c r="G63" s="62" t="str">
        <f ca="1">Spaces_Sum!L61</f>
        <v>Thermal Zone: L01-103_CorrRaccBbrdHrv1</v>
      </c>
      <c r="H63" s="62">
        <f ca="1">Spaces_Sum!M61</f>
        <v>337.37290000000002</v>
      </c>
      <c r="I63" s="62">
        <f ca="1">Spaces_Sum!O61</f>
        <v>0</v>
      </c>
      <c r="J63" s="62" t="e">
        <f>Spaces_Sum!#REF!</f>
        <v>#REF!</v>
      </c>
      <c r="K63" s="62" t="e">
        <f>Spaces_Sum!#REF!</f>
        <v>#REF!</v>
      </c>
      <c r="L63" s="62">
        <f>Spaces_Sum!AK61</f>
        <v>0</v>
      </c>
      <c r="M63" s="62">
        <f ca="1">Spaces_Sum!AL61</f>
        <v>1</v>
      </c>
      <c r="N63" s="62">
        <f ca="1">Spaces_Sum!AN61</f>
        <v>0</v>
      </c>
      <c r="O63" s="62">
        <f ca="1">Spaces_Sum!AO61</f>
        <v>337.37290000000002</v>
      </c>
      <c r="P63" s="537" t="e">
        <f t="shared" ca="1" si="5"/>
        <v>#REF!</v>
      </c>
      <c r="Q63" s="70" t="e">
        <f t="shared" ca="1" si="6"/>
        <v>#REF!</v>
      </c>
      <c r="R63" s="70" t="e">
        <f t="shared" ca="1" si="7"/>
        <v>#REF!</v>
      </c>
      <c r="S63" s="70" t="e">
        <f t="shared" ca="1" si="8"/>
        <v>#REF!</v>
      </c>
      <c r="T63" s="70" t="e">
        <f t="shared" ca="1" si="9"/>
        <v>#REF!</v>
      </c>
      <c r="U63" s="70" t="e">
        <f t="shared" ca="1" si="10"/>
        <v>#REF!</v>
      </c>
      <c r="V63" s="70" t="e">
        <f t="shared" ca="1" si="11"/>
        <v>#REF!</v>
      </c>
      <c r="W63" s="70" t="e">
        <f t="shared" ca="1" si="12"/>
        <v>#REF!</v>
      </c>
      <c r="X63" s="70" t="e">
        <f t="shared" ca="1" si="13"/>
        <v>#REF!</v>
      </c>
      <c r="Y63" s="70" t="e">
        <f t="shared" ca="1" si="14"/>
        <v>#REF!</v>
      </c>
      <c r="Z63" s="70" t="e">
        <f t="shared" ca="1" si="15"/>
        <v>#REF!</v>
      </c>
      <c r="AA63" s="70" t="e">
        <f t="shared" ca="1" si="16"/>
        <v>#REF!</v>
      </c>
      <c r="AB63" s="70" t="e">
        <f t="shared" ca="1" si="16"/>
        <v>#REF!</v>
      </c>
      <c r="AC63" s="70"/>
      <c r="AD63" s="70" t="e">
        <f t="shared" ca="1" si="17"/>
        <v>#REF!</v>
      </c>
      <c r="AE63" s="70" t="e">
        <f t="shared" ca="1" si="17"/>
        <v>#REF!</v>
      </c>
      <c r="AJ63" s="62"/>
    </row>
    <row r="64" spans="1:36" x14ac:dyDescent="0.2">
      <c r="A64" s="62">
        <f t="shared" si="18"/>
        <v>6</v>
      </c>
      <c r="B64" s="62" t="str">
        <f>Spaces_Sum!C62</f>
        <v>L01-104_ElevRaccIncd</v>
      </c>
      <c r="C64" s="62" t="str">
        <f ca="1">Spaces_Sum!H62</f>
        <v>Level 1</v>
      </c>
      <c r="D64" s="62" t="str">
        <f ca="1">Spaces_Sum!I62</f>
        <v>IndirectlyConditioned</v>
      </c>
      <c r="E64" s="62" t="str">
        <f ca="1">Spaces_Sum!J62</f>
        <v>Unoccupied-Include in Gross Floor Area</v>
      </c>
      <c r="F64" s="62" t="str">
        <f ca="1">Spaces_Sum!K62</f>
        <v>Nonresidential</v>
      </c>
      <c r="G64" s="62" t="str">
        <f ca="1">Spaces_Sum!L62</f>
        <v>Thermal Zone: L01-102_LbbyRaccVrfsHrv1</v>
      </c>
      <c r="H64" s="62">
        <f ca="1">Spaces_Sum!M62</f>
        <v>211.21340000000001</v>
      </c>
      <c r="I64" s="62">
        <f ca="1">Spaces_Sum!O62</f>
        <v>0</v>
      </c>
      <c r="J64" s="62" t="e">
        <f>Spaces_Sum!#REF!</f>
        <v>#REF!</v>
      </c>
      <c r="K64" s="62" t="e">
        <f>Spaces_Sum!#REF!</f>
        <v>#REF!</v>
      </c>
      <c r="L64" s="62">
        <f>Spaces_Sum!AK62</f>
        <v>0</v>
      </c>
      <c r="M64" s="62">
        <f ca="1">Spaces_Sum!AL62</f>
        <v>1</v>
      </c>
      <c r="N64" s="62">
        <f ca="1">Spaces_Sum!AN62</f>
        <v>0</v>
      </c>
      <c r="O64" s="62">
        <f ca="1">Spaces_Sum!AO62</f>
        <v>211.21340000000001</v>
      </c>
      <c r="P64" s="537" t="e">
        <f t="shared" ca="1" si="5"/>
        <v>#REF!</v>
      </c>
      <c r="Q64" s="70" t="e">
        <f t="shared" ca="1" si="6"/>
        <v>#REF!</v>
      </c>
      <c r="R64" s="70" t="e">
        <f t="shared" ca="1" si="7"/>
        <v>#REF!</v>
      </c>
      <c r="S64" s="70" t="e">
        <f t="shared" ca="1" si="8"/>
        <v>#REF!</v>
      </c>
      <c r="T64" s="70" t="e">
        <f t="shared" ca="1" si="9"/>
        <v>#REF!</v>
      </c>
      <c r="U64" s="70" t="e">
        <f t="shared" ca="1" si="10"/>
        <v>#REF!</v>
      </c>
      <c r="V64" s="70" t="e">
        <f t="shared" ca="1" si="11"/>
        <v>#REF!</v>
      </c>
      <c r="W64" s="70" t="e">
        <f t="shared" ca="1" si="12"/>
        <v>#REF!</v>
      </c>
      <c r="X64" s="70" t="e">
        <f t="shared" ca="1" si="13"/>
        <v>#REF!</v>
      </c>
      <c r="Y64" s="70" t="e">
        <f t="shared" ca="1" si="14"/>
        <v>#REF!</v>
      </c>
      <c r="Z64" s="70" t="e">
        <f t="shared" ca="1" si="15"/>
        <v>#REF!</v>
      </c>
      <c r="AA64" s="70" t="e">
        <f t="shared" ca="1" si="16"/>
        <v>#REF!</v>
      </c>
      <c r="AB64" s="70" t="e">
        <f t="shared" ca="1" si="16"/>
        <v>#REF!</v>
      </c>
      <c r="AC64" s="70"/>
      <c r="AD64" s="70" t="e">
        <f t="shared" ca="1" si="17"/>
        <v>#REF!</v>
      </c>
      <c r="AE64" s="70" t="e">
        <f t="shared" ca="1" si="17"/>
        <v>#REF!</v>
      </c>
      <c r="AJ64" s="62"/>
    </row>
    <row r="65" spans="1:36" ht="12" customHeight="1" x14ac:dyDescent="0.2">
      <c r="A65" s="62">
        <f t="shared" si="18"/>
        <v>7</v>
      </c>
      <c r="B65" s="62" t="e">
        <f>Spaces_Sum!#REF!</f>
        <v>#REF!</v>
      </c>
      <c r="C65" s="62" t="e">
        <f>Spaces_Sum!#REF!</f>
        <v>#REF!</v>
      </c>
      <c r="D65" s="62" t="e">
        <f>Spaces_Sum!#REF!</f>
        <v>#REF!</v>
      </c>
      <c r="E65" s="62" t="e">
        <f>Spaces_Sum!#REF!</f>
        <v>#REF!</v>
      </c>
      <c r="F65" s="62" t="e">
        <f>Spaces_Sum!#REF!</f>
        <v>#REF!</v>
      </c>
      <c r="G65" s="62" t="e">
        <f>Spaces_Sum!#REF!</f>
        <v>#REF!</v>
      </c>
      <c r="H65" s="62" t="e">
        <f>Spaces_Sum!#REF!</f>
        <v>#REF!</v>
      </c>
      <c r="I65" s="62" t="e">
        <f>Spaces_Sum!#REF!</f>
        <v>#REF!</v>
      </c>
      <c r="J65" s="62" t="e">
        <f>Spaces_Sum!#REF!</f>
        <v>#REF!</v>
      </c>
      <c r="K65" s="62" t="e">
        <f>Spaces_Sum!#REF!</f>
        <v>#REF!</v>
      </c>
      <c r="L65" s="62" t="e">
        <f>Spaces_Sum!#REF!</f>
        <v>#REF!</v>
      </c>
      <c r="M65" s="62" t="e">
        <f>Spaces_Sum!#REF!</f>
        <v>#REF!</v>
      </c>
      <c r="N65" s="62" t="e">
        <f>Spaces_Sum!#REF!</f>
        <v>#REF!</v>
      </c>
      <c r="O65" s="62" t="e">
        <f>Spaces_Sum!#REF!</f>
        <v>#REF!</v>
      </c>
      <c r="P65" s="537" t="e">
        <f t="shared" ca="1" si="5"/>
        <v>#REF!</v>
      </c>
      <c r="Q65" s="70" t="e">
        <f t="shared" ca="1" si="6"/>
        <v>#REF!</v>
      </c>
      <c r="R65" s="70" t="e">
        <f t="shared" ca="1" si="7"/>
        <v>#REF!</v>
      </c>
      <c r="S65" s="70" t="e">
        <f t="shared" ca="1" si="8"/>
        <v>#REF!</v>
      </c>
      <c r="T65" s="70" t="e">
        <f t="shared" ca="1" si="9"/>
        <v>#REF!</v>
      </c>
      <c r="U65" s="70" t="e">
        <f t="shared" ca="1" si="10"/>
        <v>#REF!</v>
      </c>
      <c r="V65" s="70" t="e">
        <f t="shared" ca="1" si="11"/>
        <v>#REF!</v>
      </c>
      <c r="W65" s="70" t="e">
        <f t="shared" ca="1" si="12"/>
        <v>#REF!</v>
      </c>
      <c r="X65" s="70" t="e">
        <f t="shared" ca="1" si="13"/>
        <v>#REF!</v>
      </c>
      <c r="Y65" s="70" t="e">
        <f t="shared" ca="1" si="14"/>
        <v>#REF!</v>
      </c>
      <c r="Z65" s="70" t="e">
        <f t="shared" ca="1" si="15"/>
        <v>#REF!</v>
      </c>
      <c r="AA65" s="70" t="e">
        <f t="shared" ca="1" si="16"/>
        <v>#REF!</v>
      </c>
      <c r="AB65" s="70" t="e">
        <f t="shared" ca="1" si="16"/>
        <v>#REF!</v>
      </c>
      <c r="AC65" s="70"/>
      <c r="AD65" s="70" t="e">
        <f t="shared" ca="1" si="17"/>
        <v>#REF!</v>
      </c>
      <c r="AE65" s="70" t="e">
        <f t="shared" ca="1" si="17"/>
        <v>#REF!</v>
      </c>
      <c r="AJ65" s="62"/>
    </row>
    <row r="66" spans="1:36" ht="12" customHeight="1" x14ac:dyDescent="0.2">
      <c r="A66" s="62">
        <f t="shared" si="18"/>
        <v>8</v>
      </c>
      <c r="B66" s="62" t="str">
        <f>Spaces_Sum!C63</f>
        <v>L01-105_StrsRaccIncd</v>
      </c>
      <c r="C66" s="62" t="str">
        <f ca="1">Spaces_Sum!H63</f>
        <v>Level 1</v>
      </c>
      <c r="D66" s="62" t="str">
        <f ca="1">Spaces_Sum!I63</f>
        <v>IndirectlyConditioned</v>
      </c>
      <c r="E66" s="62" t="str">
        <f ca="1">Spaces_Sum!J63</f>
        <v>Stairwell</v>
      </c>
      <c r="F66" s="62" t="str">
        <f ca="1">Spaces_Sum!K63</f>
        <v>Nonresidential</v>
      </c>
      <c r="G66" s="62" t="str">
        <f ca="1">Spaces_Sum!L63</f>
        <v>Thermal Zone: L01-102_LbbyRaccVrfsHrv1</v>
      </c>
      <c r="H66" s="62">
        <f ca="1">Spaces_Sum!M63</f>
        <v>183.64619999999999</v>
      </c>
      <c r="I66" s="62">
        <f ca="1">Spaces_Sum!O63</f>
        <v>0</v>
      </c>
      <c r="J66" s="62" t="e">
        <f>Spaces_Sum!#REF!</f>
        <v>#REF!</v>
      </c>
      <c r="K66" s="62" t="e">
        <f>Spaces_Sum!#REF!</f>
        <v>#REF!</v>
      </c>
      <c r="L66" s="62">
        <f>Spaces_Sum!AK63</f>
        <v>0</v>
      </c>
      <c r="M66" s="62">
        <f ca="1">Spaces_Sum!AL63</f>
        <v>1</v>
      </c>
      <c r="N66" s="62">
        <f ca="1">Spaces_Sum!AN63</f>
        <v>0</v>
      </c>
      <c r="O66" s="62">
        <f ca="1">Spaces_Sum!AO63</f>
        <v>183.64619999999999</v>
      </c>
      <c r="P66" s="537" t="e">
        <f t="shared" ca="1" si="5"/>
        <v>#REF!</v>
      </c>
      <c r="Q66" s="70" t="e">
        <f t="shared" ca="1" si="6"/>
        <v>#REF!</v>
      </c>
      <c r="R66" s="70" t="e">
        <f t="shared" ca="1" si="7"/>
        <v>#REF!</v>
      </c>
      <c r="S66" s="70" t="e">
        <f t="shared" ca="1" si="8"/>
        <v>#REF!</v>
      </c>
      <c r="T66" s="70" t="e">
        <f t="shared" ca="1" si="9"/>
        <v>#REF!</v>
      </c>
      <c r="U66" s="70" t="e">
        <f t="shared" ca="1" si="10"/>
        <v>#REF!</v>
      </c>
      <c r="V66" s="70" t="e">
        <f t="shared" ca="1" si="11"/>
        <v>#REF!</v>
      </c>
      <c r="W66" s="70" t="e">
        <f t="shared" ca="1" si="12"/>
        <v>#REF!</v>
      </c>
      <c r="X66" s="70" t="e">
        <f t="shared" ca="1" si="13"/>
        <v>#REF!</v>
      </c>
      <c r="Y66" s="70" t="e">
        <f t="shared" ca="1" si="14"/>
        <v>#REF!</v>
      </c>
      <c r="Z66" s="70" t="e">
        <f t="shared" ca="1" si="15"/>
        <v>#REF!</v>
      </c>
      <c r="AA66" s="70" t="e">
        <f t="shared" ca="1" si="16"/>
        <v>#REF!</v>
      </c>
      <c r="AB66" s="70" t="e">
        <f t="shared" ca="1" si="16"/>
        <v>#REF!</v>
      </c>
      <c r="AC66" s="70"/>
      <c r="AD66" s="70" t="e">
        <f t="shared" ca="1" si="17"/>
        <v>#REF!</v>
      </c>
      <c r="AE66" s="70" t="e">
        <f t="shared" ca="1" si="17"/>
        <v>#REF!</v>
      </c>
      <c r="AJ66" s="62"/>
    </row>
    <row r="67" spans="1:36" ht="12" customHeight="1" x14ac:dyDescent="0.2">
      <c r="A67" s="62">
        <f t="shared" si="18"/>
        <v>9</v>
      </c>
      <c r="B67" s="62" t="str">
        <f>Spaces_Sum!C64</f>
        <v>L01-106_ComlComlSphp</v>
      </c>
      <c r="C67" s="62" t="str">
        <f ca="1">Spaces_Sum!H64</f>
        <v>Level 1</v>
      </c>
      <c r="D67" s="62" t="str">
        <f ca="1">Spaces_Sum!I64</f>
        <v>DirectlyConditioned</v>
      </c>
      <c r="E67" s="62" t="str">
        <f ca="1">Spaces_Sum!J64</f>
        <v>Office - Open plan</v>
      </c>
      <c r="F67" s="62" t="str">
        <f ca="1">Spaces_Sum!K64</f>
        <v>Nonresidential</v>
      </c>
      <c r="G67" s="62" t="str">
        <f ca="1">Spaces_Sum!L64</f>
        <v>Thermal Zone: L01-106_ComlComlSphp</v>
      </c>
      <c r="H67" s="62">
        <f ca="1">Spaces_Sum!M64</f>
        <v>1232.3525</v>
      </c>
      <c r="I67" s="62">
        <f ca="1">Spaces_Sum!O64</f>
        <v>0</v>
      </c>
      <c r="J67" s="62" t="e">
        <f>Spaces_Sum!#REF!</f>
        <v>#REF!</v>
      </c>
      <c r="K67" s="62" t="e">
        <f>Spaces_Sum!#REF!</f>
        <v>#REF!</v>
      </c>
      <c r="L67" s="62">
        <f>Spaces_Sum!AK64</f>
        <v>0</v>
      </c>
      <c r="M67" s="62">
        <f ca="1">Spaces_Sum!AL64</f>
        <v>1</v>
      </c>
      <c r="N67" s="62">
        <f ca="1">Spaces_Sum!AN64</f>
        <v>0</v>
      </c>
      <c r="O67" s="62">
        <f ca="1">Spaces_Sum!AO64</f>
        <v>1232.3525</v>
      </c>
      <c r="P67" s="537" t="e">
        <f t="shared" ca="1" si="5"/>
        <v>#REF!</v>
      </c>
      <c r="Q67" s="70" t="e">
        <f ca="1">SUMIFS(OFFSET(INDIRECT(Q$47),Q$48,Q$49,2000),OFFSET(INDIRECT(Q$47),Q$48,Q$50,2000),$B67)*$L67</f>
        <v>#REF!</v>
      </c>
      <c r="R67" s="70" t="e">
        <f t="shared" ca="1" si="7"/>
        <v>#REF!</v>
      </c>
      <c r="S67" s="70" t="e">
        <f t="shared" ca="1" si="8"/>
        <v>#REF!</v>
      </c>
      <c r="T67" s="70" t="e">
        <f t="shared" ca="1" si="9"/>
        <v>#REF!</v>
      </c>
      <c r="U67" s="70" t="e">
        <f t="shared" ca="1" si="10"/>
        <v>#REF!</v>
      </c>
      <c r="V67" s="70" t="e">
        <f t="shared" ca="1" si="11"/>
        <v>#REF!</v>
      </c>
      <c r="W67" s="70" t="e">
        <f t="shared" ca="1" si="12"/>
        <v>#REF!</v>
      </c>
      <c r="X67" s="70" t="e">
        <f t="shared" ca="1" si="13"/>
        <v>#REF!</v>
      </c>
      <c r="Y67" s="70" t="e">
        <f t="shared" ca="1" si="14"/>
        <v>#REF!</v>
      </c>
      <c r="Z67" s="70" t="e">
        <f t="shared" ca="1" si="15"/>
        <v>#REF!</v>
      </c>
      <c r="AA67" s="70" t="e">
        <f t="shared" ca="1" si="16"/>
        <v>#REF!</v>
      </c>
      <c r="AB67" s="70" t="e">
        <f t="shared" ca="1" si="16"/>
        <v>#REF!</v>
      </c>
      <c r="AC67" s="70"/>
      <c r="AD67" s="70" t="e">
        <f t="shared" ca="1" si="17"/>
        <v>#REF!</v>
      </c>
      <c r="AE67" s="70" t="e">
        <f t="shared" ca="1" si="17"/>
        <v>#REF!</v>
      </c>
      <c r="AJ67" s="62"/>
    </row>
    <row r="68" spans="1:36" ht="12" customHeight="1" x14ac:dyDescent="0.2">
      <c r="A68" s="62">
        <f t="shared" si="18"/>
        <v>10</v>
      </c>
      <c r="B68" s="62" t="str">
        <f>Spaces_Sum!C65</f>
        <v>L01-107_ComlComlSphp</v>
      </c>
      <c r="C68" s="62" t="str">
        <f ca="1">Spaces_Sum!H65</f>
        <v>Level 1</v>
      </c>
      <c r="D68" s="62" t="str">
        <f ca="1">Spaces_Sum!I65</f>
        <v>DirectlyConditioned</v>
      </c>
      <c r="E68" s="62" t="str">
        <f ca="1">Spaces_Sum!J65</f>
        <v>Office - Open plan</v>
      </c>
      <c r="F68" s="62" t="str">
        <f ca="1">Spaces_Sum!K65</f>
        <v>Nonresidential</v>
      </c>
      <c r="G68" s="62" t="str">
        <f ca="1">Spaces_Sum!L65</f>
        <v>Thermal Zone: L01-107_ComlComlSphp</v>
      </c>
      <c r="H68" s="62">
        <f ca="1">Spaces_Sum!M65</f>
        <v>4173.6235999999999</v>
      </c>
      <c r="I68" s="62">
        <f ca="1">Spaces_Sum!O65</f>
        <v>0</v>
      </c>
      <c r="J68" s="62" t="e">
        <f>Spaces_Sum!#REF!</f>
        <v>#REF!</v>
      </c>
      <c r="K68" s="62" t="e">
        <f>Spaces_Sum!#REF!</f>
        <v>#REF!</v>
      </c>
      <c r="L68" s="62">
        <f>Spaces_Sum!AK65</f>
        <v>0</v>
      </c>
      <c r="M68" s="62">
        <f ca="1">Spaces_Sum!AL65</f>
        <v>1</v>
      </c>
      <c r="N68" s="62">
        <f ca="1">Spaces_Sum!AN65</f>
        <v>0</v>
      </c>
      <c r="O68" s="62">
        <f ca="1">Spaces_Sum!AO65</f>
        <v>4173.6235999999999</v>
      </c>
      <c r="P68" s="537" t="e">
        <f t="shared" ca="1" si="5"/>
        <v>#REF!</v>
      </c>
      <c r="Q68" s="70" t="e">
        <f t="shared" ca="1" si="6"/>
        <v>#REF!</v>
      </c>
      <c r="R68" s="70" t="e">
        <f t="shared" ca="1" si="7"/>
        <v>#REF!</v>
      </c>
      <c r="S68" s="70" t="e">
        <f t="shared" ca="1" si="8"/>
        <v>#REF!</v>
      </c>
      <c r="T68" s="70" t="e">
        <f t="shared" ca="1" si="9"/>
        <v>#REF!</v>
      </c>
      <c r="U68" s="70" t="e">
        <f t="shared" ca="1" si="10"/>
        <v>#REF!</v>
      </c>
      <c r="V68" s="70" t="e">
        <f t="shared" ca="1" si="11"/>
        <v>#REF!</v>
      </c>
      <c r="W68" s="70" t="e">
        <f t="shared" ca="1" si="12"/>
        <v>#REF!</v>
      </c>
      <c r="X68" s="70" t="e">
        <f t="shared" ca="1" si="13"/>
        <v>#REF!</v>
      </c>
      <c r="Y68" s="70" t="e">
        <f t="shared" ca="1" si="14"/>
        <v>#REF!</v>
      </c>
      <c r="Z68" s="70" t="e">
        <f t="shared" ca="1" si="15"/>
        <v>#REF!</v>
      </c>
      <c r="AA68" s="70" t="e">
        <f t="shared" ca="1" si="16"/>
        <v>#REF!</v>
      </c>
      <c r="AB68" s="70" t="e">
        <f t="shared" ca="1" si="16"/>
        <v>#REF!</v>
      </c>
      <c r="AC68" s="70"/>
      <c r="AD68" s="70" t="e">
        <f t="shared" ca="1" si="17"/>
        <v>#REF!</v>
      </c>
      <c r="AE68" s="70" t="e">
        <f t="shared" ca="1" si="17"/>
        <v>#REF!</v>
      </c>
      <c r="AJ68" s="62"/>
    </row>
    <row r="69" spans="1:36" ht="12" customHeight="1" x14ac:dyDescent="0.2">
      <c r="A69" s="62">
        <f t="shared" si="18"/>
        <v>11</v>
      </c>
      <c r="B69" s="62" t="str">
        <f>Spaces_Sum!C66</f>
        <v>L01-108_ComlComlSphp</v>
      </c>
      <c r="C69" s="62" t="str">
        <f ca="1">Spaces_Sum!H66</f>
        <v>Level 1</v>
      </c>
      <c r="D69" s="62" t="str">
        <f ca="1">Spaces_Sum!I66</f>
        <v>DirectlyConditioned</v>
      </c>
      <c r="E69" s="62" t="str">
        <f ca="1">Spaces_Sum!J66</f>
        <v>Office - Open plan</v>
      </c>
      <c r="F69" s="62" t="str">
        <f ca="1">Spaces_Sum!K66</f>
        <v>Nonresidential</v>
      </c>
      <c r="G69" s="62" t="str">
        <f ca="1">Spaces_Sum!L66</f>
        <v>Thermal Zone: L01-108_ComlComlSphp</v>
      </c>
      <c r="H69" s="62">
        <f ca="1">Spaces_Sum!M66</f>
        <v>2081.0798</v>
      </c>
      <c r="I69" s="62">
        <f ca="1">Spaces_Sum!O66</f>
        <v>0</v>
      </c>
      <c r="J69" s="62" t="e">
        <f>Spaces_Sum!#REF!</f>
        <v>#REF!</v>
      </c>
      <c r="K69" s="62" t="e">
        <f>Spaces_Sum!#REF!</f>
        <v>#REF!</v>
      </c>
      <c r="L69" s="62">
        <f>Spaces_Sum!AK66</f>
        <v>0</v>
      </c>
      <c r="M69" s="62">
        <f ca="1">Spaces_Sum!AL66</f>
        <v>1</v>
      </c>
      <c r="N69" s="62">
        <f ca="1">Spaces_Sum!AN66</f>
        <v>0</v>
      </c>
      <c r="O69" s="62">
        <f ca="1">Spaces_Sum!AO66</f>
        <v>2081.0798</v>
      </c>
      <c r="P69" s="537" t="e">
        <f t="shared" ca="1" si="5"/>
        <v>#REF!</v>
      </c>
      <c r="Q69" s="70" t="e">
        <f t="shared" ca="1" si="6"/>
        <v>#REF!</v>
      </c>
      <c r="R69" s="70" t="e">
        <f t="shared" ca="1" si="7"/>
        <v>#REF!</v>
      </c>
      <c r="S69" s="70" t="e">
        <f t="shared" ca="1" si="8"/>
        <v>#REF!</v>
      </c>
      <c r="T69" s="70" t="e">
        <f t="shared" ca="1" si="9"/>
        <v>#REF!</v>
      </c>
      <c r="U69" s="70" t="e">
        <f t="shared" ca="1" si="10"/>
        <v>#REF!</v>
      </c>
      <c r="V69" s="70" t="e">
        <f t="shared" ca="1" si="11"/>
        <v>#REF!</v>
      </c>
      <c r="W69" s="70" t="e">
        <f t="shared" ca="1" si="12"/>
        <v>#REF!</v>
      </c>
      <c r="X69" s="70" t="e">
        <f t="shared" ca="1" si="13"/>
        <v>#REF!</v>
      </c>
      <c r="Y69" s="70" t="e">
        <f t="shared" ca="1" si="14"/>
        <v>#REF!</v>
      </c>
      <c r="Z69" s="70" t="e">
        <f t="shared" ca="1" si="15"/>
        <v>#REF!</v>
      </c>
      <c r="AA69" s="70" t="e">
        <f t="shared" ca="1" si="16"/>
        <v>#REF!</v>
      </c>
      <c r="AB69" s="70" t="e">
        <f t="shared" ca="1" si="16"/>
        <v>#REF!</v>
      </c>
      <c r="AC69" s="70"/>
      <c r="AD69" s="70" t="e">
        <f t="shared" ca="1" si="17"/>
        <v>#REF!</v>
      </c>
      <c r="AE69" s="70" t="e">
        <f t="shared" ca="1" si="17"/>
        <v>#REF!</v>
      </c>
      <c r="AJ69" s="62"/>
    </row>
    <row r="70" spans="1:36" ht="12" customHeight="1" x14ac:dyDescent="0.2">
      <c r="A70" s="62">
        <f t="shared" si="18"/>
        <v>12</v>
      </c>
      <c r="B70" s="62" t="str">
        <f>Spaces_Sum!C67</f>
        <v>L01-109_MechRaccBbrd</v>
      </c>
      <c r="C70" s="62" t="str">
        <f ca="1">Spaces_Sum!H67</f>
        <v>Level 1</v>
      </c>
      <c r="D70" s="62" t="str">
        <f ca="1">Spaces_Sum!I67</f>
        <v>DirectlyConditioned</v>
      </c>
      <c r="E70" s="62" t="str">
        <f ca="1">Spaces_Sum!J67</f>
        <v>Electrical/MechanicaI Room</v>
      </c>
      <c r="F70" s="62" t="str">
        <f ca="1">Spaces_Sum!K67</f>
        <v>Nonresidential</v>
      </c>
      <c r="G70" s="62" t="str">
        <f ca="1">Spaces_Sum!L67</f>
        <v>Thermal Zone: L01-109_MechRaccBbrd</v>
      </c>
      <c r="H70" s="62">
        <f ca="1">Spaces_Sum!M67</f>
        <v>262.20839999999998</v>
      </c>
      <c r="I70" s="62">
        <f ca="1">Spaces_Sum!O67</f>
        <v>0</v>
      </c>
      <c r="J70" s="62" t="e">
        <f>Spaces_Sum!#REF!</f>
        <v>#REF!</v>
      </c>
      <c r="K70" s="62" t="e">
        <f>Spaces_Sum!#REF!</f>
        <v>#REF!</v>
      </c>
      <c r="L70" s="62">
        <f>Spaces_Sum!AK67</f>
        <v>0</v>
      </c>
      <c r="M70" s="62">
        <f ca="1">Spaces_Sum!AL67</f>
        <v>1</v>
      </c>
      <c r="N70" s="62">
        <f ca="1">Spaces_Sum!AN67</f>
        <v>0</v>
      </c>
      <c r="O70" s="62">
        <f ca="1">Spaces_Sum!AO67</f>
        <v>262.20839999999998</v>
      </c>
      <c r="P70" s="537" t="e">
        <f t="shared" ca="1" si="5"/>
        <v>#REF!</v>
      </c>
      <c r="Q70" s="70" t="e">
        <f t="shared" ca="1" si="6"/>
        <v>#REF!</v>
      </c>
      <c r="R70" s="70" t="e">
        <f t="shared" ca="1" si="7"/>
        <v>#REF!</v>
      </c>
      <c r="S70" s="70" t="e">
        <f t="shared" ca="1" si="8"/>
        <v>#REF!</v>
      </c>
      <c r="T70" s="70" t="e">
        <f t="shared" ca="1" si="9"/>
        <v>#REF!</v>
      </c>
      <c r="U70" s="70" t="e">
        <f t="shared" ca="1" si="10"/>
        <v>#REF!</v>
      </c>
      <c r="V70" s="70" t="e">
        <f t="shared" ca="1" si="11"/>
        <v>#REF!</v>
      </c>
      <c r="W70" s="70" t="e">
        <f t="shared" ca="1" si="12"/>
        <v>#REF!</v>
      </c>
      <c r="X70" s="70" t="e">
        <f t="shared" ca="1" si="13"/>
        <v>#REF!</v>
      </c>
      <c r="Y70" s="70" t="e">
        <f t="shared" ca="1" si="14"/>
        <v>#REF!</v>
      </c>
      <c r="Z70" s="70" t="e">
        <f t="shared" ca="1" si="15"/>
        <v>#REF!</v>
      </c>
      <c r="AA70" s="70" t="e">
        <f t="shared" ca="1" si="16"/>
        <v>#REF!</v>
      </c>
      <c r="AB70" s="70" t="e">
        <f t="shared" ca="1" si="16"/>
        <v>#REF!</v>
      </c>
      <c r="AC70" s="70"/>
      <c r="AD70" s="70" t="e">
        <f t="shared" ca="1" si="17"/>
        <v>#REF!</v>
      </c>
      <c r="AE70" s="70" t="e">
        <f t="shared" ca="1" si="17"/>
        <v>#REF!</v>
      </c>
      <c r="AJ70" s="62"/>
    </row>
    <row r="71" spans="1:36" ht="12" customHeight="1" x14ac:dyDescent="0.2">
      <c r="A71" s="62">
        <f t="shared" si="18"/>
        <v>13</v>
      </c>
      <c r="B71" s="62" t="str">
        <f>Spaces_Sum!C68</f>
        <v>L01-110_StrsRaccIncd</v>
      </c>
      <c r="C71" s="62" t="str">
        <f ca="1">Spaces_Sum!H68</f>
        <v>Level 1</v>
      </c>
      <c r="D71" s="62" t="str">
        <f ca="1">Spaces_Sum!I68</f>
        <v>IndirectlyConditioned</v>
      </c>
      <c r="E71" s="62" t="str">
        <f ca="1">Spaces_Sum!J68</f>
        <v>Stairwell</v>
      </c>
      <c r="F71" s="62" t="str">
        <f ca="1">Spaces_Sum!K68</f>
        <v>Nonresidential</v>
      </c>
      <c r="G71" s="62" t="str">
        <f ca="1">Spaces_Sum!L68</f>
        <v>Thermal Zone: L01-114_CorrRaccBbrdHrv2</v>
      </c>
      <c r="H71" s="62">
        <f ca="1">Spaces_Sum!M68</f>
        <v>225.3484</v>
      </c>
      <c r="I71" s="62">
        <f ca="1">Spaces_Sum!O68</f>
        <v>0</v>
      </c>
      <c r="J71" s="62" t="e">
        <f>Spaces_Sum!#REF!</f>
        <v>#REF!</v>
      </c>
      <c r="K71" s="62" t="e">
        <f>Spaces_Sum!#REF!</f>
        <v>#REF!</v>
      </c>
      <c r="L71" s="62">
        <f>Spaces_Sum!AK68</f>
        <v>0</v>
      </c>
      <c r="M71" s="62">
        <f ca="1">Spaces_Sum!AL68</f>
        <v>1</v>
      </c>
      <c r="N71" s="62">
        <f ca="1">Spaces_Sum!AN68</f>
        <v>0</v>
      </c>
      <c r="O71" s="62">
        <f ca="1">Spaces_Sum!AO68</f>
        <v>225.3484</v>
      </c>
      <c r="P71" s="537" t="e">
        <f t="shared" ca="1" si="5"/>
        <v>#REF!</v>
      </c>
      <c r="Q71" s="70" t="e">
        <f t="shared" ca="1" si="6"/>
        <v>#REF!</v>
      </c>
      <c r="R71" s="70" t="e">
        <f t="shared" ca="1" si="7"/>
        <v>#REF!</v>
      </c>
      <c r="S71" s="70" t="e">
        <f t="shared" ca="1" si="8"/>
        <v>#REF!</v>
      </c>
      <c r="T71" s="70" t="e">
        <f t="shared" ca="1" si="9"/>
        <v>#REF!</v>
      </c>
      <c r="U71" s="70" t="e">
        <f t="shared" ca="1" si="10"/>
        <v>#REF!</v>
      </c>
      <c r="V71" s="70" t="e">
        <f t="shared" ca="1" si="11"/>
        <v>#REF!</v>
      </c>
      <c r="W71" s="70" t="e">
        <f t="shared" ca="1" si="12"/>
        <v>#REF!</v>
      </c>
      <c r="X71" s="70" t="e">
        <f t="shared" ca="1" si="13"/>
        <v>#REF!</v>
      </c>
      <c r="Y71" s="70" t="e">
        <f t="shared" ca="1" si="14"/>
        <v>#REF!</v>
      </c>
      <c r="Z71" s="70" t="e">
        <f t="shared" ca="1" si="15"/>
        <v>#REF!</v>
      </c>
      <c r="AA71" s="70" t="e">
        <f t="shared" ca="1" si="16"/>
        <v>#REF!</v>
      </c>
      <c r="AB71" s="70" t="e">
        <f t="shared" ca="1" si="16"/>
        <v>#REF!</v>
      </c>
      <c r="AC71" s="70"/>
      <c r="AD71" s="70" t="e">
        <f t="shared" ca="1" si="17"/>
        <v>#REF!</v>
      </c>
      <c r="AE71" s="70" t="e">
        <f t="shared" ca="1" si="17"/>
        <v>#REF!</v>
      </c>
      <c r="AJ71" s="62"/>
    </row>
    <row r="72" spans="1:36" ht="12" customHeight="1" x14ac:dyDescent="0.2">
      <c r="A72" s="62">
        <f t="shared" si="18"/>
        <v>14</v>
      </c>
      <c r="B72" s="62" t="str">
        <f>Spaces_Sum!C69</f>
        <v>L01-111_ElevRaccIncd</v>
      </c>
      <c r="C72" s="62" t="str">
        <f ca="1">Spaces_Sum!H69</f>
        <v>Level 1</v>
      </c>
      <c r="D72" s="62" t="str">
        <f ca="1">Spaces_Sum!I69</f>
        <v>IndirectlyConditioned</v>
      </c>
      <c r="E72" s="62" t="str">
        <f ca="1">Spaces_Sum!J69</f>
        <v>Unoccupied-Include in Gross Floor Area</v>
      </c>
      <c r="F72" s="62" t="str">
        <f ca="1">Spaces_Sum!K69</f>
        <v>Nonresidential</v>
      </c>
      <c r="G72" s="62" t="str">
        <f ca="1">Spaces_Sum!L69</f>
        <v>Thermal Zone: L01-114_CorrRaccBbrdHrv2</v>
      </c>
      <c r="H72" s="62">
        <f ca="1">Spaces_Sum!M69</f>
        <v>149.10720000000001</v>
      </c>
      <c r="I72" s="62">
        <f ca="1">Spaces_Sum!O69</f>
        <v>0</v>
      </c>
      <c r="J72" s="62" t="e">
        <f>Spaces_Sum!#REF!</f>
        <v>#REF!</v>
      </c>
      <c r="K72" s="62" t="e">
        <f>Spaces_Sum!#REF!</f>
        <v>#REF!</v>
      </c>
      <c r="L72" s="62">
        <f>Spaces_Sum!AK69</f>
        <v>0</v>
      </c>
      <c r="M72" s="62">
        <f ca="1">Spaces_Sum!AL69</f>
        <v>1</v>
      </c>
      <c r="N72" s="62">
        <f ca="1">Spaces_Sum!AN69</f>
        <v>0</v>
      </c>
      <c r="O72" s="62">
        <f ca="1">Spaces_Sum!AO69</f>
        <v>149.10720000000001</v>
      </c>
      <c r="P72" s="537" t="e">
        <f t="shared" ca="1" si="5"/>
        <v>#REF!</v>
      </c>
      <c r="Q72" s="70" t="e">
        <f t="shared" ca="1" si="6"/>
        <v>#REF!</v>
      </c>
      <c r="R72" s="70" t="e">
        <f t="shared" ca="1" si="7"/>
        <v>#REF!</v>
      </c>
      <c r="S72" s="70" t="e">
        <f t="shared" ca="1" si="8"/>
        <v>#REF!</v>
      </c>
      <c r="T72" s="70" t="e">
        <f t="shared" ca="1" si="9"/>
        <v>#REF!</v>
      </c>
      <c r="U72" s="70" t="e">
        <f t="shared" ca="1" si="10"/>
        <v>#REF!</v>
      </c>
      <c r="V72" s="70" t="e">
        <f t="shared" ca="1" si="11"/>
        <v>#REF!</v>
      </c>
      <c r="W72" s="70" t="e">
        <f t="shared" ca="1" si="12"/>
        <v>#REF!</v>
      </c>
      <c r="X72" s="70" t="e">
        <f t="shared" ca="1" si="13"/>
        <v>#REF!</v>
      </c>
      <c r="Y72" s="70" t="e">
        <f t="shared" ca="1" si="14"/>
        <v>#REF!</v>
      </c>
      <c r="Z72" s="70" t="e">
        <f t="shared" ca="1" si="15"/>
        <v>#REF!</v>
      </c>
      <c r="AA72" s="70" t="e">
        <f t="shared" ca="1" si="16"/>
        <v>#REF!</v>
      </c>
      <c r="AB72" s="70" t="e">
        <f t="shared" ca="1" si="16"/>
        <v>#REF!</v>
      </c>
      <c r="AC72" s="70"/>
      <c r="AD72" s="70" t="e">
        <f t="shared" ca="1" si="17"/>
        <v>#REF!</v>
      </c>
      <c r="AE72" s="70" t="e">
        <f t="shared" ca="1" si="17"/>
        <v>#REF!</v>
      </c>
      <c r="AJ72" s="62"/>
    </row>
    <row r="73" spans="1:36" ht="12" customHeight="1" x14ac:dyDescent="0.2">
      <c r="A73" s="62">
        <f t="shared" si="18"/>
        <v>15</v>
      </c>
      <c r="B73" s="62" t="str">
        <f>Spaces_Sum!C70</f>
        <v>L01-112_AstoRaccBbrd</v>
      </c>
      <c r="C73" s="62" t="str">
        <f ca="1">Spaces_Sum!H70</f>
        <v>Level 1</v>
      </c>
      <c r="D73" s="62" t="str">
        <f ca="1">Spaces_Sum!I70</f>
        <v>DirectlyConditioned</v>
      </c>
      <c r="E73" s="62" t="str">
        <f ca="1">Spaces_Sum!J70</f>
        <v>Storage Room - &lt;50 ft2</v>
      </c>
      <c r="F73" s="62" t="str">
        <f ca="1">Spaces_Sum!K70</f>
        <v>Nonresidential</v>
      </c>
      <c r="G73" s="62" t="str">
        <f ca="1">Spaces_Sum!L70</f>
        <v>Thermal Zone: L01-112_AstoRaccBbrd</v>
      </c>
      <c r="H73" s="62">
        <f ca="1">Spaces_Sum!M70</f>
        <v>657.36040000000003</v>
      </c>
      <c r="I73" s="62">
        <f ca="1">Spaces_Sum!O70</f>
        <v>0</v>
      </c>
      <c r="J73" s="62" t="e">
        <f>Spaces_Sum!#REF!</f>
        <v>#REF!</v>
      </c>
      <c r="K73" s="62" t="e">
        <f>Spaces_Sum!#REF!</f>
        <v>#REF!</v>
      </c>
      <c r="L73" s="62">
        <f>Spaces_Sum!AK70</f>
        <v>0</v>
      </c>
      <c r="M73" s="62">
        <f ca="1">Spaces_Sum!AL70</f>
        <v>1</v>
      </c>
      <c r="N73" s="62">
        <f ca="1">Spaces_Sum!AN70</f>
        <v>0</v>
      </c>
      <c r="O73" s="62">
        <f ca="1">Spaces_Sum!AO70</f>
        <v>657.36040000000003</v>
      </c>
      <c r="P73" s="537" t="e">
        <f t="shared" ca="1" si="5"/>
        <v>#REF!</v>
      </c>
      <c r="Q73" s="70" t="e">
        <f t="shared" ca="1" si="6"/>
        <v>#REF!</v>
      </c>
      <c r="R73" s="70" t="e">
        <f t="shared" ca="1" si="7"/>
        <v>#REF!</v>
      </c>
      <c r="S73" s="70" t="e">
        <f t="shared" ca="1" si="8"/>
        <v>#REF!</v>
      </c>
      <c r="T73" s="70" t="e">
        <f t="shared" ca="1" si="9"/>
        <v>#REF!</v>
      </c>
      <c r="U73" s="70" t="e">
        <f t="shared" ca="1" si="10"/>
        <v>#REF!</v>
      </c>
      <c r="V73" s="70" t="e">
        <f t="shared" ca="1" si="11"/>
        <v>#REF!</v>
      </c>
      <c r="W73" s="70" t="e">
        <f t="shared" ca="1" si="12"/>
        <v>#REF!</v>
      </c>
      <c r="X73" s="70" t="e">
        <f t="shared" ca="1" si="13"/>
        <v>#REF!</v>
      </c>
      <c r="Y73" s="70" t="e">
        <f t="shared" ca="1" si="14"/>
        <v>#REF!</v>
      </c>
      <c r="Z73" s="70" t="e">
        <f t="shared" ca="1" si="15"/>
        <v>#REF!</v>
      </c>
      <c r="AA73" s="70" t="e">
        <f t="shared" ca="1" si="16"/>
        <v>#REF!</v>
      </c>
      <c r="AB73" s="70" t="e">
        <f t="shared" ca="1" si="16"/>
        <v>#REF!</v>
      </c>
      <c r="AC73" s="70"/>
      <c r="AD73" s="70" t="e">
        <f t="shared" ca="1" si="17"/>
        <v>#REF!</v>
      </c>
      <c r="AE73" s="70" t="e">
        <f t="shared" ca="1" si="17"/>
        <v>#REF!</v>
      </c>
      <c r="AJ73" s="62"/>
    </row>
    <row r="74" spans="1:36" ht="12" customHeight="1" x14ac:dyDescent="0.2">
      <c r="A74" s="62">
        <f t="shared" si="18"/>
        <v>16</v>
      </c>
      <c r="B74" s="62" t="str">
        <f>Spaces_Sum!C71</f>
        <v>L01-113_MechRaccBbrd</v>
      </c>
      <c r="C74" s="62" t="str">
        <f ca="1">Spaces_Sum!H71</f>
        <v>Level 1</v>
      </c>
      <c r="D74" s="62" t="str">
        <f ca="1">Spaces_Sum!I71</f>
        <v>DirectlyConditioned</v>
      </c>
      <c r="E74" s="62" t="str">
        <f ca="1">Spaces_Sum!J71</f>
        <v>Electrical/MechanicaI Room</v>
      </c>
      <c r="F74" s="62" t="str">
        <f ca="1">Spaces_Sum!K71</f>
        <v>Nonresidential</v>
      </c>
      <c r="G74" s="62" t="str">
        <f ca="1">Spaces_Sum!L71</f>
        <v>Thermal Zone: L01-113_MechRaccBbrd</v>
      </c>
      <c r="H74" s="62">
        <f ca="1">Spaces_Sum!M71</f>
        <v>1337.0291</v>
      </c>
      <c r="I74" s="62">
        <f ca="1">Spaces_Sum!O71</f>
        <v>0</v>
      </c>
      <c r="J74" s="62" t="e">
        <f>Spaces_Sum!#REF!</f>
        <v>#REF!</v>
      </c>
      <c r="K74" s="62" t="e">
        <f>Spaces_Sum!#REF!</f>
        <v>#REF!</v>
      </c>
      <c r="L74" s="62">
        <f>Spaces_Sum!AK71</f>
        <v>0</v>
      </c>
      <c r="M74" s="62">
        <f ca="1">Spaces_Sum!AL71</f>
        <v>1</v>
      </c>
      <c r="N74" s="62">
        <f ca="1">Spaces_Sum!AN71</f>
        <v>0</v>
      </c>
      <c r="O74" s="62">
        <f ca="1">Spaces_Sum!AO71</f>
        <v>1337.0291</v>
      </c>
      <c r="P74" s="537" t="e">
        <f t="shared" ca="1" si="5"/>
        <v>#REF!</v>
      </c>
      <c r="Q74" s="70" t="e">
        <f t="shared" ca="1" si="6"/>
        <v>#REF!</v>
      </c>
      <c r="R74" s="70" t="e">
        <f t="shared" ca="1" si="7"/>
        <v>#REF!</v>
      </c>
      <c r="S74" s="70" t="e">
        <f t="shared" ca="1" si="8"/>
        <v>#REF!</v>
      </c>
      <c r="T74" s="70" t="e">
        <f t="shared" ca="1" si="9"/>
        <v>#REF!</v>
      </c>
      <c r="U74" s="70" t="e">
        <f t="shared" ca="1" si="10"/>
        <v>#REF!</v>
      </c>
      <c r="V74" s="70" t="e">
        <f t="shared" ca="1" si="11"/>
        <v>#REF!</v>
      </c>
      <c r="W74" s="70" t="e">
        <f t="shared" ca="1" si="12"/>
        <v>#REF!</v>
      </c>
      <c r="X74" s="70" t="e">
        <f t="shared" ca="1" si="13"/>
        <v>#REF!</v>
      </c>
      <c r="Y74" s="70" t="e">
        <f t="shared" ca="1" si="14"/>
        <v>#REF!</v>
      </c>
      <c r="Z74" s="70" t="e">
        <f t="shared" ca="1" si="15"/>
        <v>#REF!</v>
      </c>
      <c r="AA74" s="70" t="e">
        <f t="shared" ca="1" si="16"/>
        <v>#REF!</v>
      </c>
      <c r="AB74" s="70" t="e">
        <f t="shared" ca="1" si="16"/>
        <v>#REF!</v>
      </c>
      <c r="AC74" s="70"/>
      <c r="AD74" s="70" t="e">
        <f t="shared" ca="1" si="17"/>
        <v>#REF!</v>
      </c>
      <c r="AE74" s="70" t="e">
        <f t="shared" ca="1" si="17"/>
        <v>#REF!</v>
      </c>
      <c r="AJ74" s="62"/>
    </row>
    <row r="75" spans="1:36" ht="12" customHeight="1" x14ac:dyDescent="0.2">
      <c r="A75" s="62">
        <f t="shared" si="18"/>
        <v>17</v>
      </c>
      <c r="B75" s="62" t="str">
        <f>Spaces_Sum!C72</f>
        <v>L01-114_CorrRaccBbrdHrv2</v>
      </c>
      <c r="C75" s="62" t="str">
        <f ca="1">Spaces_Sum!H72</f>
        <v>Level 1</v>
      </c>
      <c r="D75" s="62" t="str">
        <f ca="1">Spaces_Sum!I72</f>
        <v>DirectlyConditioned</v>
      </c>
      <c r="E75" s="62" t="str">
        <f ca="1">Spaces_Sum!J72</f>
        <v>Corridor - All other</v>
      </c>
      <c r="F75" s="62" t="str">
        <f ca="1">Spaces_Sum!K72</f>
        <v>Nonresidential</v>
      </c>
      <c r="G75" s="62" t="str">
        <f ca="1">Spaces_Sum!L72</f>
        <v>Thermal Zone: L01-114_CorrRaccBbrdHrv2</v>
      </c>
      <c r="H75" s="62">
        <f ca="1">Spaces_Sum!M72</f>
        <v>538.16390000000001</v>
      </c>
      <c r="I75" s="62">
        <f ca="1">Spaces_Sum!O72</f>
        <v>0</v>
      </c>
      <c r="J75" s="62" t="e">
        <f>Spaces_Sum!#REF!</f>
        <v>#REF!</v>
      </c>
      <c r="K75" s="62" t="e">
        <f>Spaces_Sum!#REF!</f>
        <v>#REF!</v>
      </c>
      <c r="L75" s="62">
        <f>Spaces_Sum!AK72</f>
        <v>0</v>
      </c>
      <c r="M75" s="62">
        <f ca="1">Spaces_Sum!AL72</f>
        <v>1</v>
      </c>
      <c r="N75" s="62">
        <f ca="1">Spaces_Sum!AN72</f>
        <v>0</v>
      </c>
      <c r="O75" s="62">
        <f ca="1">Spaces_Sum!AO72</f>
        <v>538.16390000000001</v>
      </c>
      <c r="P75" s="537" t="e">
        <f t="shared" ca="1" si="5"/>
        <v>#REF!</v>
      </c>
      <c r="Q75" s="70" t="e">
        <f t="shared" ca="1" si="6"/>
        <v>#REF!</v>
      </c>
      <c r="R75" s="70" t="e">
        <f t="shared" ca="1" si="7"/>
        <v>#REF!</v>
      </c>
      <c r="S75" s="70" t="e">
        <f t="shared" ca="1" si="8"/>
        <v>#REF!</v>
      </c>
      <c r="T75" s="70" t="e">
        <f t="shared" ca="1" si="9"/>
        <v>#REF!</v>
      </c>
      <c r="U75" s="70" t="e">
        <f t="shared" ca="1" si="10"/>
        <v>#REF!</v>
      </c>
      <c r="V75" s="70" t="e">
        <f t="shared" ca="1" si="11"/>
        <v>#REF!</v>
      </c>
      <c r="W75" s="70" t="e">
        <f t="shared" ca="1" si="12"/>
        <v>#REF!</v>
      </c>
      <c r="X75" s="70" t="e">
        <f t="shared" ca="1" si="13"/>
        <v>#REF!</v>
      </c>
      <c r="Y75" s="70" t="e">
        <f t="shared" ca="1" si="14"/>
        <v>#REF!</v>
      </c>
      <c r="Z75" s="70" t="e">
        <f t="shared" ca="1" si="15"/>
        <v>#REF!</v>
      </c>
      <c r="AA75" s="70" t="e">
        <f t="shared" ca="1" si="16"/>
        <v>#REF!</v>
      </c>
      <c r="AB75" s="70" t="e">
        <f t="shared" ca="1" si="16"/>
        <v>#REF!</v>
      </c>
      <c r="AC75" s="70"/>
      <c r="AD75" s="70" t="e">
        <f t="shared" ca="1" si="17"/>
        <v>#REF!</v>
      </c>
      <c r="AE75" s="70" t="e">
        <f t="shared" ca="1" si="17"/>
        <v>#REF!</v>
      </c>
      <c r="AJ75" s="62"/>
    </row>
    <row r="76" spans="1:36" ht="12" customHeight="1" x14ac:dyDescent="0.2">
      <c r="A76" s="62">
        <f t="shared" si="18"/>
        <v>18</v>
      </c>
      <c r="B76" s="62" t="str">
        <f>Spaces_Sum!C73</f>
        <v>L01-115_TrxfUncd</v>
      </c>
      <c r="C76" s="62" t="str">
        <f ca="1">Spaces_Sum!H73</f>
        <v>Level 1</v>
      </c>
      <c r="D76" s="62" t="str">
        <f ca="1">Spaces_Sum!I73</f>
        <v>Unconditioned</v>
      </c>
      <c r="E76" s="62" t="str">
        <f ca="1">Spaces_Sum!J73</f>
        <v>Unoccupied-Exclude from Gross Floor Area</v>
      </c>
      <c r="F76" s="62" t="str">
        <f ca="1">Spaces_Sum!K73</f>
        <v>Nonresidential</v>
      </c>
      <c r="G76" s="62" t="str">
        <f ca="1">Spaces_Sum!L73</f>
        <v>Thermal Zone: L01-115_TrxfUncd</v>
      </c>
      <c r="H76" s="62">
        <f ca="1">Spaces_Sum!M73</f>
        <v>0</v>
      </c>
      <c r="I76" s="62">
        <f ca="1">Spaces_Sum!O73</f>
        <v>0</v>
      </c>
      <c r="J76" s="62" t="e">
        <f>Spaces_Sum!#REF!</f>
        <v>#REF!</v>
      </c>
      <c r="K76" s="62" t="e">
        <f>Spaces_Sum!#REF!</f>
        <v>#REF!</v>
      </c>
      <c r="L76" s="62">
        <f>Spaces_Sum!AK73</f>
        <v>0</v>
      </c>
      <c r="M76" s="62">
        <f ca="1">Spaces_Sum!AL73</f>
        <v>1</v>
      </c>
      <c r="N76" s="62">
        <f ca="1">Spaces_Sum!AN73</f>
        <v>0</v>
      </c>
      <c r="O76" s="62">
        <f ca="1">Spaces_Sum!AO73</f>
        <v>0</v>
      </c>
      <c r="P76" s="537" t="e">
        <f t="shared" ca="1" si="5"/>
        <v>#REF!</v>
      </c>
      <c r="Q76" s="70" t="e">
        <f t="shared" ca="1" si="6"/>
        <v>#REF!</v>
      </c>
      <c r="R76" s="70" t="e">
        <f t="shared" ca="1" si="7"/>
        <v>#REF!</v>
      </c>
      <c r="S76" s="70" t="e">
        <f t="shared" ca="1" si="8"/>
        <v>#REF!</v>
      </c>
      <c r="T76" s="70" t="e">
        <f t="shared" ca="1" si="9"/>
        <v>#REF!</v>
      </c>
      <c r="U76" s="70" t="e">
        <f t="shared" ca="1" si="10"/>
        <v>#REF!</v>
      </c>
      <c r="V76" s="70" t="e">
        <f t="shared" ca="1" si="11"/>
        <v>#REF!</v>
      </c>
      <c r="W76" s="70" t="e">
        <f t="shared" ca="1" si="12"/>
        <v>#REF!</v>
      </c>
      <c r="X76" s="70" t="e">
        <f t="shared" ca="1" si="13"/>
        <v>#REF!</v>
      </c>
      <c r="Y76" s="70" t="e">
        <f t="shared" ca="1" si="14"/>
        <v>#REF!</v>
      </c>
      <c r="Z76" s="70" t="e">
        <f t="shared" ca="1" si="15"/>
        <v>#REF!</v>
      </c>
      <c r="AA76" s="70" t="e">
        <f t="shared" ca="1" si="16"/>
        <v>#REF!</v>
      </c>
      <c r="AB76" s="70" t="e">
        <f t="shared" ca="1" si="16"/>
        <v>#REF!</v>
      </c>
      <c r="AC76" s="70"/>
      <c r="AD76" s="70" t="e">
        <f t="shared" ca="1" si="17"/>
        <v>#REF!</v>
      </c>
      <c r="AE76" s="70" t="e">
        <f t="shared" ca="1" si="17"/>
        <v>#REF!</v>
      </c>
      <c r="AJ76" s="62"/>
    </row>
    <row r="77" spans="1:36" ht="12" customHeight="1" x14ac:dyDescent="0.2">
      <c r="A77" s="62">
        <f t="shared" si="18"/>
        <v>19</v>
      </c>
      <c r="B77" s="62" t="str">
        <f>Spaces_Sum!C74</f>
        <v>L02-200_CorrRaccSphp</v>
      </c>
      <c r="C77" s="62" t="str">
        <f ca="1">Spaces_Sum!H74</f>
        <v>Level 2</v>
      </c>
      <c r="D77" s="62" t="str">
        <f ca="1">Spaces_Sum!I74</f>
        <v>DirectlyConditioned</v>
      </c>
      <c r="E77" s="62" t="str">
        <f ca="1">Spaces_Sum!J74</f>
        <v>Corridor - All other</v>
      </c>
      <c r="F77" s="62" t="str">
        <f ca="1">Spaces_Sum!K74</f>
        <v>Nonresidential</v>
      </c>
      <c r="G77" s="62" t="str">
        <f ca="1">Spaces_Sum!L74</f>
        <v>Thermal Zone: L02-200_CorrRaccSphp</v>
      </c>
      <c r="H77" s="62">
        <f ca="1">Spaces_Sum!M74</f>
        <v>1795.9657999999999</v>
      </c>
      <c r="I77" s="62">
        <f ca="1">Spaces_Sum!O74</f>
        <v>0</v>
      </c>
      <c r="J77" s="62" t="e">
        <f>Spaces_Sum!#REF!</f>
        <v>#REF!</v>
      </c>
      <c r="K77" s="62" t="e">
        <f>Spaces_Sum!#REF!</f>
        <v>#REF!</v>
      </c>
      <c r="L77" s="62">
        <f>Spaces_Sum!AK74</f>
        <v>0</v>
      </c>
      <c r="M77" s="62">
        <f ca="1">Spaces_Sum!AL74</f>
        <v>1</v>
      </c>
      <c r="N77" s="62">
        <f ca="1">Spaces_Sum!AN74</f>
        <v>0</v>
      </c>
      <c r="O77" s="62">
        <f ca="1">Spaces_Sum!AO74</f>
        <v>1795.9657999999999</v>
      </c>
      <c r="P77" s="537" t="e">
        <f t="shared" ca="1" si="5"/>
        <v>#REF!</v>
      </c>
      <c r="Q77" s="70" t="e">
        <f t="shared" ca="1" si="6"/>
        <v>#REF!</v>
      </c>
      <c r="R77" s="70" t="e">
        <f t="shared" ca="1" si="7"/>
        <v>#REF!</v>
      </c>
      <c r="S77" s="70" t="e">
        <f t="shared" ca="1" si="8"/>
        <v>#REF!</v>
      </c>
      <c r="T77" s="70" t="e">
        <f t="shared" ca="1" si="9"/>
        <v>#REF!</v>
      </c>
      <c r="U77" s="70" t="e">
        <f t="shared" ca="1" si="10"/>
        <v>#REF!</v>
      </c>
      <c r="V77" s="70" t="e">
        <f t="shared" ca="1" si="11"/>
        <v>#REF!</v>
      </c>
      <c r="W77" s="70" t="e">
        <f t="shared" ca="1" si="12"/>
        <v>#REF!</v>
      </c>
      <c r="X77" s="70" t="e">
        <f t="shared" ca="1" si="13"/>
        <v>#REF!</v>
      </c>
      <c r="Y77" s="70" t="e">
        <f t="shared" ca="1" si="14"/>
        <v>#REF!</v>
      </c>
      <c r="Z77" s="70" t="e">
        <f t="shared" ca="1" si="15"/>
        <v>#REF!</v>
      </c>
      <c r="AA77" s="70" t="e">
        <f t="shared" ca="1" si="16"/>
        <v>#REF!</v>
      </c>
      <c r="AB77" s="70" t="e">
        <f t="shared" ca="1" si="16"/>
        <v>#REF!</v>
      </c>
      <c r="AC77" s="70"/>
      <c r="AD77" s="70" t="e">
        <f t="shared" ca="1" si="17"/>
        <v>#REF!</v>
      </c>
      <c r="AE77" s="70" t="e">
        <f t="shared" ca="1" si="17"/>
        <v>#REF!</v>
      </c>
      <c r="AJ77" s="62"/>
    </row>
    <row r="78" spans="1:36" ht="12" customHeight="1" x14ac:dyDescent="0.2">
      <c r="A78" s="62">
        <f t="shared" si="18"/>
        <v>20</v>
      </c>
      <c r="B78" s="62" t="str">
        <f>Spaces_Sum!C75</f>
        <v>L02-201_OfceRaccPthpHrv3</v>
      </c>
      <c r="C78" s="62" t="str">
        <f ca="1">Spaces_Sum!H75</f>
        <v>Level 2</v>
      </c>
      <c r="D78" s="62" t="str">
        <f ca="1">Spaces_Sum!I75</f>
        <v>DirectlyConditioned</v>
      </c>
      <c r="E78" s="62" t="str">
        <f ca="1">Spaces_Sum!J75</f>
        <v>Office - Enclosed</v>
      </c>
      <c r="F78" s="62" t="str">
        <f ca="1">Spaces_Sum!K75</f>
        <v>Nonresidential</v>
      </c>
      <c r="G78" s="62" t="str">
        <f ca="1">Spaces_Sum!L75</f>
        <v>Thermal Zone: L02-201_OfceRaccPthpHrv3</v>
      </c>
      <c r="H78" s="62">
        <f ca="1">Spaces_Sum!M75</f>
        <v>641.20320000000004</v>
      </c>
      <c r="I78" s="62">
        <f ca="1">Spaces_Sum!O75</f>
        <v>0</v>
      </c>
      <c r="J78" s="62" t="e">
        <f>Spaces_Sum!#REF!</f>
        <v>#REF!</v>
      </c>
      <c r="K78" s="62" t="e">
        <f>Spaces_Sum!#REF!</f>
        <v>#REF!</v>
      </c>
      <c r="L78" s="62">
        <f>Spaces_Sum!AK75</f>
        <v>0</v>
      </c>
      <c r="M78" s="62">
        <f ca="1">Spaces_Sum!AL75</f>
        <v>1</v>
      </c>
      <c r="N78" s="62">
        <f ca="1">Spaces_Sum!AN75</f>
        <v>0</v>
      </c>
      <c r="O78" s="62">
        <f ca="1">Spaces_Sum!AO75</f>
        <v>641.20320000000004</v>
      </c>
      <c r="P78" s="537" t="e">
        <f t="shared" ca="1" si="5"/>
        <v>#REF!</v>
      </c>
      <c r="Q78" s="70" t="e">
        <f t="shared" ca="1" si="6"/>
        <v>#REF!</v>
      </c>
      <c r="R78" s="70" t="e">
        <f t="shared" ca="1" si="7"/>
        <v>#REF!</v>
      </c>
      <c r="S78" s="70" t="e">
        <f t="shared" ca="1" si="8"/>
        <v>#REF!</v>
      </c>
      <c r="T78" s="70" t="e">
        <f t="shared" ca="1" si="9"/>
        <v>#REF!</v>
      </c>
      <c r="U78" s="70" t="e">
        <f t="shared" ca="1" si="10"/>
        <v>#REF!</v>
      </c>
      <c r="V78" s="70" t="e">
        <f t="shared" ca="1" si="11"/>
        <v>#REF!</v>
      </c>
      <c r="W78" s="70" t="e">
        <f t="shared" ca="1" si="12"/>
        <v>#REF!</v>
      </c>
      <c r="X78" s="70" t="e">
        <f t="shared" ca="1" si="13"/>
        <v>#REF!</v>
      </c>
      <c r="Y78" s="70" t="e">
        <f t="shared" ca="1" si="14"/>
        <v>#REF!</v>
      </c>
      <c r="Z78" s="70" t="e">
        <f t="shared" ca="1" si="15"/>
        <v>#REF!</v>
      </c>
      <c r="AA78" s="70" t="e">
        <f t="shared" ca="1" si="16"/>
        <v>#REF!</v>
      </c>
      <c r="AB78" s="70" t="e">
        <f t="shared" ca="1" si="16"/>
        <v>#REF!</v>
      </c>
      <c r="AC78" s="70"/>
      <c r="AD78" s="70" t="e">
        <f t="shared" ca="1" si="17"/>
        <v>#REF!</v>
      </c>
      <c r="AE78" s="70" t="e">
        <f t="shared" ca="1" si="17"/>
        <v>#REF!</v>
      </c>
      <c r="AJ78" s="62"/>
    </row>
    <row r="79" spans="1:36" ht="12" customHeight="1" x14ac:dyDescent="0.2">
      <c r="A79" s="62">
        <f t="shared" si="18"/>
        <v>21</v>
      </c>
      <c r="B79" s="62" t="str">
        <f>Spaces_Sum!C76</f>
        <v>L02-202_MfamResiPthp</v>
      </c>
      <c r="C79" s="62" t="str">
        <f ca="1">Spaces_Sum!H76</f>
        <v>Level 2</v>
      </c>
      <c r="D79" s="62" t="str">
        <f ca="1">Spaces_Sum!I76</f>
        <v>DirectlyConditioned</v>
      </c>
      <c r="E79" s="62" t="str">
        <f ca="1">Spaces_Sum!J76</f>
        <v>Dwelling Unit</v>
      </c>
      <c r="F79" s="62" t="str">
        <f ca="1">Spaces_Sum!K76</f>
        <v>Residential</v>
      </c>
      <c r="G79" s="62" t="str">
        <f ca="1">Spaces_Sum!L76</f>
        <v>Thermal Zone: L02-202_MfamResiPthp</v>
      </c>
      <c r="H79" s="62">
        <f ca="1">Spaces_Sum!M76</f>
        <v>1321.32</v>
      </c>
      <c r="I79" s="62">
        <f ca="1">Spaces_Sum!O76</f>
        <v>455</v>
      </c>
      <c r="J79" s="62" t="e">
        <f>Spaces_Sum!#REF!</f>
        <v>#REF!</v>
      </c>
      <c r="K79" s="62" t="e">
        <f>Spaces_Sum!#REF!</f>
        <v>#REF!</v>
      </c>
      <c r="L79" s="62">
        <f>Spaces_Sum!AK76</f>
        <v>0</v>
      </c>
      <c r="M79" s="62">
        <f ca="1">Spaces_Sum!AL76</f>
        <v>1</v>
      </c>
      <c r="N79" s="62">
        <f ca="1">Spaces_Sum!AN76</f>
        <v>1</v>
      </c>
      <c r="O79" s="62">
        <f ca="1">Spaces_Sum!AO76</f>
        <v>1321.32</v>
      </c>
      <c r="P79" s="537" t="e">
        <f t="shared" ca="1" si="5"/>
        <v>#REF!</v>
      </c>
      <c r="Q79" s="70" t="e">
        <f t="shared" ca="1" si="6"/>
        <v>#REF!</v>
      </c>
      <c r="R79" s="70" t="e">
        <f t="shared" ca="1" si="7"/>
        <v>#REF!</v>
      </c>
      <c r="S79" s="70" t="e">
        <f t="shared" ca="1" si="8"/>
        <v>#REF!</v>
      </c>
      <c r="T79" s="70" t="e">
        <f t="shared" ca="1" si="9"/>
        <v>#REF!</v>
      </c>
      <c r="U79" s="70" t="e">
        <f t="shared" ca="1" si="10"/>
        <v>#REF!</v>
      </c>
      <c r="V79" s="70" t="e">
        <f t="shared" ca="1" si="11"/>
        <v>#REF!</v>
      </c>
      <c r="W79" s="70" t="e">
        <f t="shared" ca="1" si="12"/>
        <v>#REF!</v>
      </c>
      <c r="X79" s="70" t="e">
        <f t="shared" ca="1" si="13"/>
        <v>#REF!</v>
      </c>
      <c r="Y79" s="70" t="e">
        <f t="shared" ca="1" si="14"/>
        <v>#REF!</v>
      </c>
      <c r="Z79" s="70" t="e">
        <f t="shared" ca="1" si="15"/>
        <v>#REF!</v>
      </c>
      <c r="AA79" s="70" t="e">
        <f t="shared" ca="1" si="16"/>
        <v>#REF!</v>
      </c>
      <c r="AB79" s="70" t="e">
        <f t="shared" ca="1" si="16"/>
        <v>#REF!</v>
      </c>
      <c r="AC79" s="70"/>
      <c r="AD79" s="70" t="e">
        <f t="shared" ca="1" si="17"/>
        <v>#REF!</v>
      </c>
      <c r="AE79" s="70" t="e">
        <f t="shared" ca="1" si="17"/>
        <v>#REF!</v>
      </c>
      <c r="AJ79" s="62"/>
    </row>
    <row r="80" spans="1:36" ht="12" customHeight="1" x14ac:dyDescent="0.2">
      <c r="A80" s="62">
        <f t="shared" si="18"/>
        <v>22</v>
      </c>
      <c r="B80" s="62" t="str">
        <f>Spaces_Sum!C77</f>
        <v>L02-203_MfamResiPthp</v>
      </c>
      <c r="C80" s="62" t="str">
        <f ca="1">Spaces_Sum!H77</f>
        <v>Level 2</v>
      </c>
      <c r="D80" s="62" t="str">
        <f ca="1">Spaces_Sum!I77</f>
        <v>DirectlyConditioned</v>
      </c>
      <c r="E80" s="62" t="str">
        <f ca="1">Spaces_Sum!J77</f>
        <v>Dwelling Unit</v>
      </c>
      <c r="F80" s="62" t="str">
        <f ca="1">Spaces_Sum!K77</f>
        <v>Residential</v>
      </c>
      <c r="G80" s="62" t="str">
        <f ca="1">Spaces_Sum!L77</f>
        <v>Thermal Zone: L02-203_MfamResiPthp</v>
      </c>
      <c r="H80" s="62">
        <f ca="1">Spaces_Sum!M77</f>
        <v>1116.5980999999999</v>
      </c>
      <c r="I80" s="62">
        <f ca="1">Spaces_Sum!O77</f>
        <v>655.6</v>
      </c>
      <c r="J80" s="62" t="e">
        <f>Spaces_Sum!#REF!</f>
        <v>#REF!</v>
      </c>
      <c r="K80" s="62" t="e">
        <f>Spaces_Sum!#REF!</f>
        <v>#REF!</v>
      </c>
      <c r="L80" s="62">
        <f>Spaces_Sum!AK77</f>
        <v>0</v>
      </c>
      <c r="M80" s="62">
        <f ca="1">Spaces_Sum!AL77</f>
        <v>1</v>
      </c>
      <c r="N80" s="62">
        <f ca="1">Spaces_Sum!AN77</f>
        <v>1</v>
      </c>
      <c r="O80" s="62">
        <f ca="1">Spaces_Sum!AO77</f>
        <v>1116.5980999999999</v>
      </c>
      <c r="P80" s="537" t="e">
        <f t="shared" ca="1" si="5"/>
        <v>#REF!</v>
      </c>
      <c r="Q80" s="70" t="e">
        <f t="shared" ca="1" si="6"/>
        <v>#REF!</v>
      </c>
      <c r="R80" s="70" t="e">
        <f t="shared" ca="1" si="7"/>
        <v>#REF!</v>
      </c>
      <c r="S80" s="70" t="e">
        <f t="shared" ca="1" si="8"/>
        <v>#REF!</v>
      </c>
      <c r="T80" s="70" t="e">
        <f t="shared" ca="1" si="9"/>
        <v>#REF!</v>
      </c>
      <c r="U80" s="70" t="e">
        <f t="shared" ca="1" si="10"/>
        <v>#REF!</v>
      </c>
      <c r="V80" s="70" t="e">
        <f t="shared" ca="1" si="11"/>
        <v>#REF!</v>
      </c>
      <c r="W80" s="70" t="e">
        <f t="shared" ca="1" si="12"/>
        <v>#REF!</v>
      </c>
      <c r="X80" s="70" t="e">
        <f t="shared" ca="1" si="13"/>
        <v>#REF!</v>
      </c>
      <c r="Y80" s="70" t="e">
        <f t="shared" ca="1" si="14"/>
        <v>#REF!</v>
      </c>
      <c r="Z80" s="70" t="e">
        <f t="shared" ca="1" si="15"/>
        <v>#REF!</v>
      </c>
      <c r="AA80" s="70" t="e">
        <f t="shared" ca="1" si="16"/>
        <v>#REF!</v>
      </c>
      <c r="AB80" s="70" t="e">
        <f t="shared" ca="1" si="16"/>
        <v>#REF!</v>
      </c>
      <c r="AC80" s="70"/>
      <c r="AD80" s="70" t="e">
        <f t="shared" ca="1" si="17"/>
        <v>#REF!</v>
      </c>
      <c r="AE80" s="70" t="e">
        <f t="shared" ca="1" si="17"/>
        <v>#REF!</v>
      </c>
      <c r="AJ80" s="62"/>
    </row>
    <row r="81" spans="1:36" ht="12" customHeight="1" x14ac:dyDescent="0.2">
      <c r="A81" s="62">
        <f t="shared" si="18"/>
        <v>23</v>
      </c>
      <c r="B81" s="62" t="str">
        <f>Spaces_Sum!C78</f>
        <v>L02-204_AstoRaccIncd</v>
      </c>
      <c r="C81" s="62" t="str">
        <f ca="1">Spaces_Sum!H78</f>
        <v>Level 2</v>
      </c>
      <c r="D81" s="62" t="str">
        <f ca="1">Spaces_Sum!I78</f>
        <v>IndirectlyConditioned</v>
      </c>
      <c r="E81" s="62" t="str">
        <f ca="1">Spaces_Sum!J78</f>
        <v>Storage Room - &lt;50 ft2</v>
      </c>
      <c r="F81" s="62" t="str">
        <f ca="1">Spaces_Sum!K78</f>
        <v>Nonresidential</v>
      </c>
      <c r="G81" s="62" t="str">
        <f ca="1">Spaces_Sum!L78</f>
        <v>Thermal Zone: L02-200_CorrRaccSphp</v>
      </c>
      <c r="H81" s="62">
        <f ca="1">Spaces_Sum!M78</f>
        <v>135.05760000000001</v>
      </c>
      <c r="I81" s="62">
        <f ca="1">Spaces_Sum!O78</f>
        <v>0</v>
      </c>
      <c r="J81" s="62" t="e">
        <f>Spaces_Sum!#REF!</f>
        <v>#REF!</v>
      </c>
      <c r="K81" s="62" t="e">
        <f>Spaces_Sum!#REF!</f>
        <v>#REF!</v>
      </c>
      <c r="L81" s="62">
        <f>Spaces_Sum!AK78</f>
        <v>0</v>
      </c>
      <c r="M81" s="62">
        <f ca="1">Spaces_Sum!AL78</f>
        <v>1</v>
      </c>
      <c r="N81" s="62">
        <f ca="1">Spaces_Sum!AN78</f>
        <v>0</v>
      </c>
      <c r="O81" s="62">
        <f ca="1">Spaces_Sum!AO78</f>
        <v>135.05760000000001</v>
      </c>
      <c r="P81" s="537" t="e">
        <f t="shared" ca="1" si="5"/>
        <v>#REF!</v>
      </c>
      <c r="Q81" s="70" t="e">
        <f t="shared" ca="1" si="6"/>
        <v>#REF!</v>
      </c>
      <c r="R81" s="70" t="e">
        <f t="shared" ca="1" si="7"/>
        <v>#REF!</v>
      </c>
      <c r="S81" s="70" t="e">
        <f t="shared" ca="1" si="8"/>
        <v>#REF!</v>
      </c>
      <c r="T81" s="70" t="e">
        <f t="shared" ca="1" si="9"/>
        <v>#REF!</v>
      </c>
      <c r="U81" s="70" t="e">
        <f t="shared" ca="1" si="10"/>
        <v>#REF!</v>
      </c>
      <c r="V81" s="70" t="e">
        <f t="shared" ca="1" si="11"/>
        <v>#REF!</v>
      </c>
      <c r="W81" s="70" t="e">
        <f t="shared" ca="1" si="12"/>
        <v>#REF!</v>
      </c>
      <c r="X81" s="70" t="e">
        <f t="shared" ca="1" si="13"/>
        <v>#REF!</v>
      </c>
      <c r="Y81" s="70" t="e">
        <f t="shared" ca="1" si="14"/>
        <v>#REF!</v>
      </c>
      <c r="Z81" s="70" t="e">
        <f t="shared" ca="1" si="15"/>
        <v>#REF!</v>
      </c>
      <c r="AA81" s="70" t="e">
        <f t="shared" ca="1" si="16"/>
        <v>#REF!</v>
      </c>
      <c r="AB81" s="70" t="e">
        <f t="shared" ca="1" si="16"/>
        <v>#REF!</v>
      </c>
      <c r="AC81" s="70"/>
      <c r="AD81" s="70" t="e">
        <f t="shared" ca="1" si="17"/>
        <v>#REF!</v>
      </c>
      <c r="AE81" s="70" t="e">
        <f t="shared" ca="1" si="17"/>
        <v>#REF!</v>
      </c>
      <c r="AJ81" s="62"/>
    </row>
    <row r="82" spans="1:36" ht="12" customHeight="1" x14ac:dyDescent="0.2">
      <c r="A82" s="62">
        <f t="shared" si="18"/>
        <v>24</v>
      </c>
      <c r="B82" s="62" t="str">
        <f>Spaces_Sum!C79</f>
        <v>L02-205_MfamResiPthp</v>
      </c>
      <c r="C82" s="62" t="str">
        <f ca="1">Spaces_Sum!H79</f>
        <v>Level 2</v>
      </c>
      <c r="D82" s="62" t="str">
        <f ca="1">Spaces_Sum!I79</f>
        <v>DirectlyConditioned</v>
      </c>
      <c r="E82" s="62" t="str">
        <f ca="1">Spaces_Sum!J79</f>
        <v>Dwelling Unit</v>
      </c>
      <c r="F82" s="62" t="str">
        <f ca="1">Spaces_Sum!K79</f>
        <v>Residential</v>
      </c>
      <c r="G82" s="62" t="str">
        <f ca="1">Spaces_Sum!L79</f>
        <v>Thermal Zone: L02-205_MfamResiPthp</v>
      </c>
      <c r="H82" s="62">
        <f ca="1">Spaces_Sum!M79</f>
        <v>3678.0304999999998</v>
      </c>
      <c r="I82" s="62">
        <f ca="1">Spaces_Sum!O79</f>
        <v>1428.2</v>
      </c>
      <c r="J82" s="62" t="e">
        <f>Spaces_Sum!#REF!</f>
        <v>#REF!</v>
      </c>
      <c r="K82" s="62" t="e">
        <f>Spaces_Sum!#REF!</f>
        <v>#REF!</v>
      </c>
      <c r="L82" s="62">
        <f>Spaces_Sum!AK79</f>
        <v>0</v>
      </c>
      <c r="M82" s="62">
        <f ca="1">Spaces_Sum!AL79</f>
        <v>1</v>
      </c>
      <c r="N82" s="62">
        <f ca="1">Spaces_Sum!AN79</f>
        <v>1</v>
      </c>
      <c r="O82" s="62">
        <f ca="1">Spaces_Sum!AO79</f>
        <v>3678.0304999999998</v>
      </c>
      <c r="P82" s="537" t="e">
        <f t="shared" ca="1" si="5"/>
        <v>#REF!</v>
      </c>
      <c r="Q82" s="70" t="e">
        <f t="shared" ca="1" si="6"/>
        <v>#REF!</v>
      </c>
      <c r="R82" s="70" t="e">
        <f t="shared" ca="1" si="7"/>
        <v>#REF!</v>
      </c>
      <c r="S82" s="70" t="e">
        <f t="shared" ca="1" si="8"/>
        <v>#REF!</v>
      </c>
      <c r="T82" s="70" t="e">
        <f t="shared" ca="1" si="9"/>
        <v>#REF!</v>
      </c>
      <c r="U82" s="70" t="e">
        <f t="shared" ca="1" si="10"/>
        <v>#REF!</v>
      </c>
      <c r="V82" s="70" t="e">
        <f t="shared" ca="1" si="11"/>
        <v>#REF!</v>
      </c>
      <c r="W82" s="70" t="e">
        <f t="shared" ca="1" si="12"/>
        <v>#REF!</v>
      </c>
      <c r="X82" s="70" t="e">
        <f t="shared" ca="1" si="13"/>
        <v>#REF!</v>
      </c>
      <c r="Y82" s="70" t="e">
        <f t="shared" ca="1" si="14"/>
        <v>#REF!</v>
      </c>
      <c r="Z82" s="70" t="e">
        <f t="shared" ca="1" si="15"/>
        <v>#REF!</v>
      </c>
      <c r="AA82" s="70" t="e">
        <f t="shared" ca="1" si="16"/>
        <v>#REF!</v>
      </c>
      <c r="AB82" s="70" t="e">
        <f t="shared" ca="1" si="16"/>
        <v>#REF!</v>
      </c>
      <c r="AC82" s="70"/>
      <c r="AD82" s="70" t="e">
        <f t="shared" ca="1" si="17"/>
        <v>#REF!</v>
      </c>
      <c r="AE82" s="70" t="e">
        <f t="shared" ca="1" si="17"/>
        <v>#REF!</v>
      </c>
      <c r="AJ82" s="62"/>
    </row>
    <row r="83" spans="1:36" ht="12" customHeight="1" x14ac:dyDescent="0.2">
      <c r="A83" s="62">
        <f t="shared" si="18"/>
        <v>25</v>
      </c>
      <c r="B83" s="62" t="str">
        <f>Spaces_Sum!C80</f>
        <v>L02-206_MfamResiPthp</v>
      </c>
      <c r="C83" s="62" t="str">
        <f ca="1">Spaces_Sum!H80</f>
        <v>Level 2</v>
      </c>
      <c r="D83" s="62" t="str">
        <f ca="1">Spaces_Sum!I80</f>
        <v>DirectlyConditioned</v>
      </c>
      <c r="E83" s="62" t="str">
        <f ca="1">Spaces_Sum!J80</f>
        <v>Dwelling Unit</v>
      </c>
      <c r="F83" s="62" t="str">
        <f ca="1">Spaces_Sum!K80</f>
        <v>Residential</v>
      </c>
      <c r="G83" s="62" t="str">
        <f ca="1">Spaces_Sum!L80</f>
        <v>Thermal Zone: L02-206_MfamResiPthp</v>
      </c>
      <c r="H83" s="62">
        <f ca="1">Spaces_Sum!M80</f>
        <v>1160.8827000000001</v>
      </c>
      <c r="I83" s="62">
        <f ca="1">Spaces_Sum!O80</f>
        <v>531.70000000000005</v>
      </c>
      <c r="J83" s="62" t="e">
        <f>Spaces_Sum!#REF!</f>
        <v>#REF!</v>
      </c>
      <c r="K83" s="62" t="e">
        <f>Spaces_Sum!#REF!</f>
        <v>#REF!</v>
      </c>
      <c r="L83" s="62">
        <f>Spaces_Sum!AK80</f>
        <v>0</v>
      </c>
      <c r="M83" s="62">
        <f ca="1">Spaces_Sum!AL80</f>
        <v>1</v>
      </c>
      <c r="N83" s="62">
        <f ca="1">Spaces_Sum!AN80</f>
        <v>1</v>
      </c>
      <c r="O83" s="62">
        <f ca="1">Spaces_Sum!AO80</f>
        <v>1160.8827000000001</v>
      </c>
      <c r="P83" s="537" t="e">
        <f t="shared" ca="1" si="5"/>
        <v>#REF!</v>
      </c>
      <c r="Q83" s="70" t="e">
        <f t="shared" ca="1" si="6"/>
        <v>#REF!</v>
      </c>
      <c r="R83" s="70" t="e">
        <f t="shared" ca="1" si="7"/>
        <v>#REF!</v>
      </c>
      <c r="S83" s="70" t="e">
        <f t="shared" ca="1" si="8"/>
        <v>#REF!</v>
      </c>
      <c r="T83" s="70" t="e">
        <f t="shared" ca="1" si="9"/>
        <v>#REF!</v>
      </c>
      <c r="U83" s="70" t="e">
        <f t="shared" ca="1" si="10"/>
        <v>#REF!</v>
      </c>
      <c r="V83" s="70" t="e">
        <f t="shared" ca="1" si="11"/>
        <v>#REF!</v>
      </c>
      <c r="W83" s="70" t="e">
        <f t="shared" ca="1" si="12"/>
        <v>#REF!</v>
      </c>
      <c r="X83" s="70" t="e">
        <f t="shared" ca="1" si="13"/>
        <v>#REF!</v>
      </c>
      <c r="Y83" s="70" t="e">
        <f t="shared" ca="1" si="14"/>
        <v>#REF!</v>
      </c>
      <c r="Z83" s="70" t="e">
        <f t="shared" ca="1" si="15"/>
        <v>#REF!</v>
      </c>
      <c r="AA83" s="70" t="e">
        <f t="shared" ca="1" si="16"/>
        <v>#REF!</v>
      </c>
      <c r="AB83" s="70" t="e">
        <f t="shared" ca="1" si="16"/>
        <v>#REF!</v>
      </c>
      <c r="AC83" s="70"/>
      <c r="AD83" s="70" t="e">
        <f t="shared" ca="1" si="17"/>
        <v>#REF!</v>
      </c>
      <c r="AE83" s="70" t="e">
        <f t="shared" ca="1" si="17"/>
        <v>#REF!</v>
      </c>
      <c r="AJ83" s="62"/>
    </row>
    <row r="84" spans="1:36" ht="12" customHeight="1" x14ac:dyDescent="0.2">
      <c r="A84" s="62">
        <f t="shared" si="18"/>
        <v>26</v>
      </c>
      <c r="B84" s="62" t="str">
        <f>Spaces_Sum!C81</f>
        <v>L02-207_MfamResiPthp</v>
      </c>
      <c r="C84" s="62" t="str">
        <f ca="1">Spaces_Sum!H81</f>
        <v>Level 2</v>
      </c>
      <c r="D84" s="62" t="str">
        <f ca="1">Spaces_Sum!I81</f>
        <v>DirectlyConditioned</v>
      </c>
      <c r="E84" s="62" t="str">
        <f ca="1">Spaces_Sum!J81</f>
        <v>Dwelling Unit</v>
      </c>
      <c r="F84" s="62" t="str">
        <f ca="1">Spaces_Sum!K81</f>
        <v>Residential</v>
      </c>
      <c r="G84" s="62" t="str">
        <f ca="1">Spaces_Sum!L81</f>
        <v>Thermal Zone: L02-207_MfamResiPthp</v>
      </c>
      <c r="H84" s="62">
        <f ca="1">Spaces_Sum!M81</f>
        <v>1858.692</v>
      </c>
      <c r="I84" s="62">
        <f ca="1">Spaces_Sum!O81</f>
        <v>809.1</v>
      </c>
      <c r="J84" s="62" t="e">
        <f>Spaces_Sum!#REF!</f>
        <v>#REF!</v>
      </c>
      <c r="K84" s="62" t="e">
        <f>Spaces_Sum!#REF!</f>
        <v>#REF!</v>
      </c>
      <c r="L84" s="62">
        <f>Spaces_Sum!AK81</f>
        <v>0</v>
      </c>
      <c r="M84" s="62">
        <f ca="1">Spaces_Sum!AL81</f>
        <v>1</v>
      </c>
      <c r="N84" s="62">
        <f ca="1">Spaces_Sum!AN81</f>
        <v>1</v>
      </c>
      <c r="O84" s="62">
        <f ca="1">Spaces_Sum!AO81</f>
        <v>1858.692</v>
      </c>
      <c r="P84" s="537" t="e">
        <f t="shared" ca="1" si="5"/>
        <v>#REF!</v>
      </c>
      <c r="Q84" s="70" t="e">
        <f t="shared" ca="1" si="6"/>
        <v>#REF!</v>
      </c>
      <c r="R84" s="70" t="e">
        <f t="shared" ca="1" si="7"/>
        <v>#REF!</v>
      </c>
      <c r="S84" s="70" t="e">
        <f t="shared" ca="1" si="8"/>
        <v>#REF!</v>
      </c>
      <c r="T84" s="70" t="e">
        <f t="shared" ca="1" si="9"/>
        <v>#REF!</v>
      </c>
      <c r="U84" s="70" t="e">
        <f t="shared" ca="1" si="10"/>
        <v>#REF!</v>
      </c>
      <c r="V84" s="70" t="e">
        <f t="shared" ca="1" si="11"/>
        <v>#REF!</v>
      </c>
      <c r="W84" s="70" t="e">
        <f t="shared" ca="1" si="12"/>
        <v>#REF!</v>
      </c>
      <c r="X84" s="70" t="e">
        <f t="shared" ca="1" si="13"/>
        <v>#REF!</v>
      </c>
      <c r="Y84" s="70" t="e">
        <f t="shared" ca="1" si="14"/>
        <v>#REF!</v>
      </c>
      <c r="Z84" s="70" t="e">
        <f t="shared" ca="1" si="15"/>
        <v>#REF!</v>
      </c>
      <c r="AA84" s="70" t="e">
        <f t="shared" ca="1" si="16"/>
        <v>#REF!</v>
      </c>
      <c r="AB84" s="70" t="e">
        <f t="shared" ca="1" si="16"/>
        <v>#REF!</v>
      </c>
      <c r="AC84" s="70"/>
      <c r="AD84" s="70" t="e">
        <f t="shared" ca="1" si="17"/>
        <v>#REF!</v>
      </c>
      <c r="AE84" s="70" t="e">
        <f t="shared" ca="1" si="17"/>
        <v>#REF!</v>
      </c>
      <c r="AJ84" s="62"/>
    </row>
    <row r="85" spans="1:36" ht="12" customHeight="1" x14ac:dyDescent="0.2">
      <c r="A85" s="62">
        <f t="shared" si="18"/>
        <v>27</v>
      </c>
      <c r="B85" s="62" t="str">
        <f>Spaces_Sum!C82</f>
        <v>L02-208_MfamResiPthp</v>
      </c>
      <c r="C85" s="62" t="str">
        <f ca="1">Spaces_Sum!H82</f>
        <v>Level 2</v>
      </c>
      <c r="D85" s="62" t="str">
        <f ca="1">Spaces_Sum!I82</f>
        <v>DirectlyConditioned</v>
      </c>
      <c r="E85" s="62" t="str">
        <f ca="1">Spaces_Sum!J82</f>
        <v>Dwelling Unit</v>
      </c>
      <c r="F85" s="62" t="str">
        <f ca="1">Spaces_Sum!K82</f>
        <v>Residential</v>
      </c>
      <c r="G85" s="62" t="str">
        <f ca="1">Spaces_Sum!L82</f>
        <v>Thermal Zone: L02-208_MfamResiPthp</v>
      </c>
      <c r="H85" s="62">
        <f ca="1">Spaces_Sum!M82</f>
        <v>872.66200000000003</v>
      </c>
      <c r="I85" s="62">
        <f ca="1">Spaces_Sum!O82</f>
        <v>590.9</v>
      </c>
      <c r="J85" s="62" t="e">
        <f>Spaces_Sum!#REF!</f>
        <v>#REF!</v>
      </c>
      <c r="K85" s="62" t="e">
        <f>Spaces_Sum!#REF!</f>
        <v>#REF!</v>
      </c>
      <c r="L85" s="62">
        <f>Spaces_Sum!AK82</f>
        <v>0</v>
      </c>
      <c r="M85" s="62">
        <f ca="1">Spaces_Sum!AL82</f>
        <v>1</v>
      </c>
      <c r="N85" s="62">
        <f ca="1">Spaces_Sum!AN82</f>
        <v>1</v>
      </c>
      <c r="O85" s="62">
        <f ca="1">Spaces_Sum!AO82</f>
        <v>872.66200000000003</v>
      </c>
      <c r="P85" s="537" t="e">
        <f t="shared" ca="1" si="5"/>
        <v>#REF!</v>
      </c>
      <c r="Q85" s="70" t="e">
        <f t="shared" ca="1" si="6"/>
        <v>#REF!</v>
      </c>
      <c r="R85" s="70" t="e">
        <f t="shared" ca="1" si="7"/>
        <v>#REF!</v>
      </c>
      <c r="S85" s="70" t="e">
        <f t="shared" ca="1" si="8"/>
        <v>#REF!</v>
      </c>
      <c r="T85" s="70" t="e">
        <f t="shared" ca="1" si="9"/>
        <v>#REF!</v>
      </c>
      <c r="U85" s="70" t="e">
        <f t="shared" ca="1" si="10"/>
        <v>#REF!</v>
      </c>
      <c r="V85" s="70" t="e">
        <f t="shared" ca="1" si="11"/>
        <v>#REF!</v>
      </c>
      <c r="W85" s="70" t="e">
        <f t="shared" ca="1" si="12"/>
        <v>#REF!</v>
      </c>
      <c r="X85" s="70" t="e">
        <f t="shared" ca="1" si="13"/>
        <v>#REF!</v>
      </c>
      <c r="Y85" s="70" t="e">
        <f t="shared" ca="1" si="14"/>
        <v>#REF!</v>
      </c>
      <c r="Z85" s="70" t="e">
        <f t="shared" ca="1" si="15"/>
        <v>#REF!</v>
      </c>
      <c r="AA85" s="70" t="e">
        <f t="shared" ca="1" si="16"/>
        <v>#REF!</v>
      </c>
      <c r="AB85" s="70" t="e">
        <f t="shared" ca="1" si="16"/>
        <v>#REF!</v>
      </c>
      <c r="AC85" s="70"/>
      <c r="AD85" s="70" t="e">
        <f t="shared" ca="1" si="17"/>
        <v>#REF!</v>
      </c>
      <c r="AE85" s="70" t="e">
        <f t="shared" ca="1" si="17"/>
        <v>#REF!</v>
      </c>
      <c r="AJ85" s="62"/>
    </row>
    <row r="86" spans="1:36" ht="12" customHeight="1" x14ac:dyDescent="0.2">
      <c r="A86" s="62">
        <f t="shared" si="18"/>
        <v>28</v>
      </c>
      <c r="B86" s="62" t="str">
        <f>Spaces_Sum!C83</f>
        <v>L02-209_MfamResiPthp</v>
      </c>
      <c r="C86" s="62" t="str">
        <f ca="1">Spaces_Sum!H83</f>
        <v>Level 2</v>
      </c>
      <c r="D86" s="62" t="str">
        <f ca="1">Spaces_Sum!I83</f>
        <v>DirectlyConditioned</v>
      </c>
      <c r="E86" s="62" t="str">
        <f ca="1">Spaces_Sum!J83</f>
        <v>Dwelling Unit</v>
      </c>
      <c r="F86" s="62" t="str">
        <f ca="1">Spaces_Sum!K83</f>
        <v>Residential</v>
      </c>
      <c r="G86" s="62" t="str">
        <f ca="1">Spaces_Sum!L83</f>
        <v>Thermal Zone: L02-209_MfamResiPthp</v>
      </c>
      <c r="H86" s="62">
        <f ca="1">Spaces_Sum!M83</f>
        <v>1347.52</v>
      </c>
      <c r="I86" s="62">
        <f ca="1">Spaces_Sum!O83</f>
        <v>858.4</v>
      </c>
      <c r="J86" s="62" t="e">
        <f>Spaces_Sum!#REF!</f>
        <v>#REF!</v>
      </c>
      <c r="K86" s="62" t="e">
        <f>Spaces_Sum!#REF!</f>
        <v>#REF!</v>
      </c>
      <c r="L86" s="62">
        <f>Spaces_Sum!AK83</f>
        <v>0</v>
      </c>
      <c r="M86" s="62">
        <f ca="1">Spaces_Sum!AL83</f>
        <v>1</v>
      </c>
      <c r="N86" s="62">
        <f ca="1">Spaces_Sum!AN83</f>
        <v>1</v>
      </c>
      <c r="O86" s="62">
        <f ca="1">Spaces_Sum!AO83</f>
        <v>1347.52</v>
      </c>
      <c r="P86" s="537" t="e">
        <f t="shared" ca="1" si="5"/>
        <v>#REF!</v>
      </c>
      <c r="Q86" s="70" t="e">
        <f t="shared" ca="1" si="6"/>
        <v>#REF!</v>
      </c>
      <c r="R86" s="70" t="e">
        <f t="shared" ca="1" si="7"/>
        <v>#REF!</v>
      </c>
      <c r="S86" s="70" t="e">
        <f t="shared" ca="1" si="8"/>
        <v>#REF!</v>
      </c>
      <c r="T86" s="70" t="e">
        <f t="shared" ca="1" si="9"/>
        <v>#REF!</v>
      </c>
      <c r="U86" s="70" t="e">
        <f t="shared" ca="1" si="10"/>
        <v>#REF!</v>
      </c>
      <c r="V86" s="70" t="e">
        <f t="shared" ca="1" si="11"/>
        <v>#REF!</v>
      </c>
      <c r="W86" s="70" t="e">
        <f t="shared" ca="1" si="12"/>
        <v>#REF!</v>
      </c>
      <c r="X86" s="70" t="e">
        <f t="shared" ca="1" si="13"/>
        <v>#REF!</v>
      </c>
      <c r="Y86" s="70" t="e">
        <f t="shared" ca="1" si="14"/>
        <v>#REF!</v>
      </c>
      <c r="Z86" s="70" t="e">
        <f t="shared" ca="1" si="15"/>
        <v>#REF!</v>
      </c>
      <c r="AA86" s="70" t="e">
        <f t="shared" ca="1" si="16"/>
        <v>#REF!</v>
      </c>
      <c r="AB86" s="70" t="e">
        <f t="shared" ca="1" si="16"/>
        <v>#REF!</v>
      </c>
      <c r="AC86" s="70"/>
      <c r="AD86" s="70" t="e">
        <f t="shared" ca="1" si="17"/>
        <v>#REF!</v>
      </c>
      <c r="AE86" s="70" t="e">
        <f t="shared" ca="1" si="17"/>
        <v>#REF!</v>
      </c>
      <c r="AJ86" s="62"/>
    </row>
    <row r="87" spans="1:36" ht="12" customHeight="1" x14ac:dyDescent="0.2">
      <c r="A87" s="62">
        <f t="shared" si="18"/>
        <v>29</v>
      </c>
      <c r="B87" s="62" t="str">
        <f>Spaces_Sum!C84</f>
        <v>L02-210_LndyRaccBbrd</v>
      </c>
      <c r="C87" s="62" t="str">
        <f ca="1">Spaces_Sum!H84</f>
        <v>Level 2</v>
      </c>
      <c r="D87" s="62" t="str">
        <f ca="1">Spaces_Sum!I84</f>
        <v>DirectlyConditioned</v>
      </c>
      <c r="E87" s="62" t="str">
        <f ca="1">Spaces_Sum!J84</f>
        <v>Laundry/Washing Area</v>
      </c>
      <c r="F87" s="62" t="str">
        <f ca="1">Spaces_Sum!K84</f>
        <v>Nonresidential</v>
      </c>
      <c r="G87" s="62" t="str">
        <f ca="1">Spaces_Sum!L84</f>
        <v>Thermal Zone: L02-210_LndyRaccBbrd</v>
      </c>
      <c r="H87" s="62">
        <f ca="1">Spaces_Sum!M84</f>
        <v>272.42880000000002</v>
      </c>
      <c r="I87" s="62">
        <f ca="1">Spaces_Sum!O84</f>
        <v>0</v>
      </c>
      <c r="J87" s="62" t="e">
        <f>Spaces_Sum!#REF!</f>
        <v>#REF!</v>
      </c>
      <c r="K87" s="62" t="e">
        <f>Spaces_Sum!#REF!</f>
        <v>#REF!</v>
      </c>
      <c r="L87" s="62">
        <f>Spaces_Sum!AK84</f>
        <v>0</v>
      </c>
      <c r="M87" s="62">
        <f ca="1">Spaces_Sum!AL84</f>
        <v>1</v>
      </c>
      <c r="N87" s="62">
        <f ca="1">Spaces_Sum!AN84</f>
        <v>0</v>
      </c>
      <c r="O87" s="62">
        <f ca="1">Spaces_Sum!AO84</f>
        <v>272.42880000000002</v>
      </c>
      <c r="P87" s="537" t="e">
        <f t="shared" ca="1" si="5"/>
        <v>#REF!</v>
      </c>
      <c r="Q87" s="70" t="e">
        <f t="shared" ca="1" si="6"/>
        <v>#REF!</v>
      </c>
      <c r="R87" s="70" t="e">
        <f t="shared" ca="1" si="7"/>
        <v>#REF!</v>
      </c>
      <c r="S87" s="70" t="e">
        <f t="shared" ca="1" si="8"/>
        <v>#REF!</v>
      </c>
      <c r="T87" s="70" t="e">
        <f t="shared" ca="1" si="9"/>
        <v>#REF!</v>
      </c>
      <c r="U87" s="70" t="e">
        <f t="shared" ca="1" si="10"/>
        <v>#REF!</v>
      </c>
      <c r="V87" s="70" t="e">
        <f t="shared" ca="1" si="11"/>
        <v>#REF!</v>
      </c>
      <c r="W87" s="70" t="e">
        <f t="shared" ca="1" si="12"/>
        <v>#REF!</v>
      </c>
      <c r="X87" s="70" t="e">
        <f t="shared" ca="1" si="13"/>
        <v>#REF!</v>
      </c>
      <c r="Y87" s="70" t="e">
        <f t="shared" ca="1" si="14"/>
        <v>#REF!</v>
      </c>
      <c r="Z87" s="70" t="e">
        <f t="shared" ca="1" si="15"/>
        <v>#REF!</v>
      </c>
      <c r="AA87" s="70" t="e">
        <f t="shared" ca="1" si="16"/>
        <v>#REF!</v>
      </c>
      <c r="AB87" s="70" t="e">
        <f t="shared" ca="1" si="16"/>
        <v>#REF!</v>
      </c>
      <c r="AC87" s="70"/>
      <c r="AD87" s="70" t="e">
        <f t="shared" ca="1" si="17"/>
        <v>#REF!</v>
      </c>
      <c r="AE87" s="70" t="e">
        <f t="shared" ca="1" si="17"/>
        <v>#REF!</v>
      </c>
      <c r="AJ87" s="62"/>
    </row>
    <row r="88" spans="1:36" ht="12" customHeight="1" x14ac:dyDescent="0.2">
      <c r="A88" s="62">
        <f t="shared" si="18"/>
        <v>30</v>
      </c>
      <c r="B88" s="62" t="str">
        <f>Spaces_Sum!C85</f>
        <v>L02-211_ElevRaccIncd</v>
      </c>
      <c r="C88" s="62" t="str">
        <f ca="1">Spaces_Sum!H85</f>
        <v>Level 2</v>
      </c>
      <c r="D88" s="62" t="str">
        <f ca="1">Spaces_Sum!I85</f>
        <v>IndirectlyConditioned</v>
      </c>
      <c r="E88" s="62" t="str">
        <f ca="1">Spaces_Sum!J85</f>
        <v>Unoccupied-Include in Gross Floor Area</v>
      </c>
      <c r="F88" s="62" t="str">
        <f ca="1">Spaces_Sum!K85</f>
        <v>Residential</v>
      </c>
      <c r="G88" s="62" t="str">
        <f ca="1">Spaces_Sum!L85</f>
        <v>Thermal Zone: L02-200_CorrRaccSphp</v>
      </c>
      <c r="H88" s="62">
        <f ca="1">Spaces_Sum!M85</f>
        <v>211.21340000000001</v>
      </c>
      <c r="I88" s="62">
        <f ca="1">Spaces_Sum!O85</f>
        <v>0</v>
      </c>
      <c r="J88" s="62" t="e">
        <f>Spaces_Sum!#REF!</f>
        <v>#REF!</v>
      </c>
      <c r="K88" s="62" t="e">
        <f>Spaces_Sum!#REF!</f>
        <v>#REF!</v>
      </c>
      <c r="L88" s="62">
        <f>Spaces_Sum!AK85</f>
        <v>0</v>
      </c>
      <c r="M88" s="62">
        <f ca="1">Spaces_Sum!AL85</f>
        <v>1</v>
      </c>
      <c r="N88" s="62">
        <f ca="1">Spaces_Sum!AN85</f>
        <v>1</v>
      </c>
      <c r="O88" s="62">
        <f ca="1">Spaces_Sum!AO85</f>
        <v>211.21340000000001</v>
      </c>
      <c r="P88" s="537" t="e">
        <f t="shared" ca="1" si="5"/>
        <v>#REF!</v>
      </c>
      <c r="Q88" s="70" t="e">
        <f t="shared" ca="1" si="6"/>
        <v>#REF!</v>
      </c>
      <c r="R88" s="70" t="e">
        <f t="shared" ca="1" si="7"/>
        <v>#REF!</v>
      </c>
      <c r="S88" s="70" t="e">
        <f t="shared" ca="1" si="8"/>
        <v>#REF!</v>
      </c>
      <c r="T88" s="70" t="e">
        <f t="shared" ca="1" si="9"/>
        <v>#REF!</v>
      </c>
      <c r="U88" s="70" t="e">
        <f t="shared" ca="1" si="10"/>
        <v>#REF!</v>
      </c>
      <c r="V88" s="70" t="e">
        <f t="shared" ca="1" si="11"/>
        <v>#REF!</v>
      </c>
      <c r="W88" s="70" t="e">
        <f t="shared" ca="1" si="12"/>
        <v>#REF!</v>
      </c>
      <c r="X88" s="70" t="e">
        <f t="shared" ca="1" si="13"/>
        <v>#REF!</v>
      </c>
      <c r="Y88" s="70" t="e">
        <f t="shared" ca="1" si="14"/>
        <v>#REF!</v>
      </c>
      <c r="Z88" s="70" t="e">
        <f t="shared" ca="1" si="15"/>
        <v>#REF!</v>
      </c>
      <c r="AA88" s="70" t="e">
        <f t="shared" ca="1" si="16"/>
        <v>#REF!</v>
      </c>
      <c r="AB88" s="70" t="e">
        <f t="shared" ca="1" si="16"/>
        <v>#REF!</v>
      </c>
      <c r="AC88" s="70"/>
      <c r="AD88" s="70" t="e">
        <f t="shared" ca="1" si="17"/>
        <v>#REF!</v>
      </c>
      <c r="AE88" s="70" t="e">
        <f t="shared" ca="1" si="17"/>
        <v>#REF!</v>
      </c>
      <c r="AJ88" s="62"/>
    </row>
    <row r="89" spans="1:36" ht="12" customHeight="1" x14ac:dyDescent="0.2">
      <c r="A89" s="62">
        <f t="shared" si="18"/>
        <v>31</v>
      </c>
      <c r="B89" s="62" t="str">
        <f>Spaces_Sum!C86</f>
        <v>L02-212_StrsRaccIncd</v>
      </c>
      <c r="C89" s="62" t="str">
        <f ca="1">Spaces_Sum!H86</f>
        <v>Level 2</v>
      </c>
      <c r="D89" s="62" t="str">
        <f ca="1">Spaces_Sum!I86</f>
        <v>IndirectlyConditioned</v>
      </c>
      <c r="E89" s="62" t="str">
        <f ca="1">Spaces_Sum!J86</f>
        <v>Stairwell</v>
      </c>
      <c r="F89" s="62" t="str">
        <f ca="1">Spaces_Sum!K86</f>
        <v>Nonresidential</v>
      </c>
      <c r="G89" s="62" t="str">
        <f ca="1">Spaces_Sum!L86</f>
        <v>Thermal Zone: L02-200_CorrRaccSphp</v>
      </c>
      <c r="H89" s="62">
        <f ca="1">Spaces_Sum!M86</f>
        <v>236.34819999999999</v>
      </c>
      <c r="I89" s="62">
        <f ca="1">Spaces_Sum!O86</f>
        <v>0</v>
      </c>
      <c r="J89" s="62" t="e">
        <f>Spaces_Sum!#REF!</f>
        <v>#REF!</v>
      </c>
      <c r="K89" s="62" t="e">
        <f>Spaces_Sum!#REF!</f>
        <v>#REF!</v>
      </c>
      <c r="L89" s="62">
        <f>Spaces_Sum!AK86</f>
        <v>0</v>
      </c>
      <c r="M89" s="62">
        <f ca="1">Spaces_Sum!AL86</f>
        <v>1</v>
      </c>
      <c r="N89" s="62">
        <f ca="1">Spaces_Sum!AN86</f>
        <v>0</v>
      </c>
      <c r="O89" s="62">
        <f ca="1">Spaces_Sum!AO86</f>
        <v>236.34819999999999</v>
      </c>
      <c r="P89" s="537" t="e">
        <f t="shared" ca="1" si="5"/>
        <v>#REF!</v>
      </c>
      <c r="Q89" s="70" t="e">
        <f t="shared" ca="1" si="6"/>
        <v>#REF!</v>
      </c>
      <c r="R89" s="70" t="e">
        <f t="shared" ca="1" si="7"/>
        <v>#REF!</v>
      </c>
      <c r="S89" s="70" t="e">
        <f t="shared" ca="1" si="8"/>
        <v>#REF!</v>
      </c>
      <c r="T89" s="70" t="e">
        <f t="shared" ca="1" si="9"/>
        <v>#REF!</v>
      </c>
      <c r="U89" s="70" t="e">
        <f t="shared" ca="1" si="10"/>
        <v>#REF!</v>
      </c>
      <c r="V89" s="70" t="e">
        <f t="shared" ca="1" si="11"/>
        <v>#REF!</v>
      </c>
      <c r="W89" s="70" t="e">
        <f t="shared" ca="1" si="12"/>
        <v>#REF!</v>
      </c>
      <c r="X89" s="70" t="e">
        <f t="shared" ca="1" si="13"/>
        <v>#REF!</v>
      </c>
      <c r="Y89" s="70" t="e">
        <f t="shared" ca="1" si="14"/>
        <v>#REF!</v>
      </c>
      <c r="Z89" s="70" t="e">
        <f t="shared" ca="1" si="15"/>
        <v>#REF!</v>
      </c>
      <c r="AA89" s="70" t="e">
        <f t="shared" ca="1" si="16"/>
        <v>#REF!</v>
      </c>
      <c r="AB89" s="70" t="e">
        <f t="shared" ca="1" si="16"/>
        <v>#REF!</v>
      </c>
      <c r="AC89" s="70"/>
      <c r="AD89" s="70" t="e">
        <f t="shared" ca="1" si="17"/>
        <v>#REF!</v>
      </c>
      <c r="AE89" s="70" t="e">
        <f t="shared" ca="1" si="17"/>
        <v>#REF!</v>
      </c>
      <c r="AJ89" s="62"/>
    </row>
    <row r="90" spans="1:36" ht="12" customHeight="1" x14ac:dyDescent="0.2">
      <c r="A90" s="62">
        <f t="shared" si="18"/>
        <v>32</v>
      </c>
      <c r="B90" s="62" t="str">
        <f>Spaces_Sum!C87</f>
        <v>L02-213_MfamResiPthp</v>
      </c>
      <c r="C90" s="62" t="str">
        <f ca="1">Spaces_Sum!H87</f>
        <v>Level 2</v>
      </c>
      <c r="D90" s="62" t="str">
        <f ca="1">Spaces_Sum!I87</f>
        <v>DirectlyConditioned</v>
      </c>
      <c r="E90" s="62" t="str">
        <f ca="1">Spaces_Sum!J87</f>
        <v>Dwelling Unit</v>
      </c>
      <c r="F90" s="62" t="str">
        <f ca="1">Spaces_Sum!K87</f>
        <v>Residential</v>
      </c>
      <c r="G90" s="62" t="str">
        <f ca="1">Spaces_Sum!L87</f>
        <v>Thermal Zone: L02-213_MfamResiPthp</v>
      </c>
      <c r="H90" s="62">
        <f ca="1">Spaces_Sum!M87</f>
        <v>3034.0410000000002</v>
      </c>
      <c r="I90" s="62">
        <f ca="1">Spaces_Sum!O87</f>
        <v>1016.9</v>
      </c>
      <c r="J90" s="62" t="e">
        <f>Spaces_Sum!#REF!</f>
        <v>#REF!</v>
      </c>
      <c r="K90" s="62" t="e">
        <f>Spaces_Sum!#REF!</f>
        <v>#REF!</v>
      </c>
      <c r="L90" s="62">
        <f>Spaces_Sum!AK87</f>
        <v>0</v>
      </c>
      <c r="M90" s="62">
        <f ca="1">Spaces_Sum!AL87</f>
        <v>1</v>
      </c>
      <c r="N90" s="62">
        <f ca="1">Spaces_Sum!AN87</f>
        <v>1</v>
      </c>
      <c r="O90" s="62">
        <f ca="1">Spaces_Sum!AO87</f>
        <v>3034.0410000000002</v>
      </c>
      <c r="P90" s="537" t="e">
        <f t="shared" ca="1" si="5"/>
        <v>#REF!</v>
      </c>
      <c r="Q90" s="70" t="e">
        <f t="shared" ca="1" si="6"/>
        <v>#REF!</v>
      </c>
      <c r="R90" s="70" t="e">
        <f ca="1">SUMIFS(OFFSET(INDIRECT(R$47),R$48,R$49,2000),OFFSET(INDIRECT(R$47),R$48,R$50,2000),$B90)*$I90</f>
        <v>#REF!</v>
      </c>
      <c r="S90" s="70" t="e">
        <f t="shared" ca="1" si="8"/>
        <v>#REF!</v>
      </c>
      <c r="T90" s="70" t="e">
        <f t="shared" ca="1" si="9"/>
        <v>#REF!</v>
      </c>
      <c r="U90" s="70" t="e">
        <f t="shared" ca="1" si="10"/>
        <v>#REF!</v>
      </c>
      <c r="V90" s="70" t="e">
        <f t="shared" ca="1" si="11"/>
        <v>#REF!</v>
      </c>
      <c r="W90" s="70" t="e">
        <f t="shared" ca="1" si="12"/>
        <v>#REF!</v>
      </c>
      <c r="X90" s="70" t="e">
        <f t="shared" ca="1" si="13"/>
        <v>#REF!</v>
      </c>
      <c r="Y90" s="70" t="e">
        <f t="shared" ca="1" si="14"/>
        <v>#REF!</v>
      </c>
      <c r="Z90" s="70" t="e">
        <f t="shared" ca="1" si="15"/>
        <v>#REF!</v>
      </c>
      <c r="AA90" s="70" t="e">
        <f t="shared" ca="1" si="16"/>
        <v>#REF!</v>
      </c>
      <c r="AB90" s="70" t="e">
        <f t="shared" ca="1" si="16"/>
        <v>#REF!</v>
      </c>
      <c r="AC90" s="70"/>
      <c r="AD90" s="70" t="e">
        <f t="shared" ca="1" si="17"/>
        <v>#REF!</v>
      </c>
      <c r="AE90" s="70" t="e">
        <f t="shared" ca="1" si="17"/>
        <v>#REF!</v>
      </c>
      <c r="AJ90" s="62"/>
    </row>
    <row r="91" spans="1:36" ht="12" customHeight="1" x14ac:dyDescent="0.2">
      <c r="A91" s="62">
        <f t="shared" si="18"/>
        <v>33</v>
      </c>
      <c r="B91" s="62" t="str">
        <f>Spaces_Sum!C88</f>
        <v>L02-214_MechRaccIncd</v>
      </c>
      <c r="C91" s="62" t="str">
        <f ca="1">Spaces_Sum!H88</f>
        <v>Level 2</v>
      </c>
      <c r="D91" s="62" t="str">
        <f ca="1">Spaces_Sum!I88</f>
        <v>IndirectlyConditioned</v>
      </c>
      <c r="E91" s="62" t="str">
        <f ca="1">Spaces_Sum!J88</f>
        <v>Electrical/MechanicaI Room</v>
      </c>
      <c r="F91" s="62" t="str">
        <f ca="1">Spaces_Sum!K88</f>
        <v>Nonresidential</v>
      </c>
      <c r="G91" s="62" t="str">
        <f ca="1">Spaces_Sum!L88</f>
        <v>Thermal Zone: L02-200_CorrRaccSphp</v>
      </c>
      <c r="H91" s="62">
        <f ca="1">Spaces_Sum!M88</f>
        <v>347.74279999999999</v>
      </c>
      <c r="I91" s="62">
        <f ca="1">Spaces_Sum!O88</f>
        <v>0</v>
      </c>
      <c r="J91" s="62" t="e">
        <f>Spaces_Sum!#REF!</f>
        <v>#REF!</v>
      </c>
      <c r="K91" s="62" t="e">
        <f>Spaces_Sum!#REF!</f>
        <v>#REF!</v>
      </c>
      <c r="L91" s="62">
        <f>Spaces_Sum!AK88</f>
        <v>0</v>
      </c>
      <c r="M91" s="62">
        <f ca="1">Spaces_Sum!AL88</f>
        <v>1</v>
      </c>
      <c r="N91" s="62">
        <f ca="1">Spaces_Sum!AN88</f>
        <v>0</v>
      </c>
      <c r="O91" s="62">
        <f ca="1">Spaces_Sum!AO88</f>
        <v>347.74279999999999</v>
      </c>
      <c r="P91" s="537" t="e">
        <f t="shared" ca="1" si="5"/>
        <v>#REF!</v>
      </c>
      <c r="Q91" s="70" t="e">
        <f t="shared" ca="1" si="6"/>
        <v>#REF!</v>
      </c>
      <c r="R91" s="70" t="e">
        <f t="shared" ca="1" si="7"/>
        <v>#REF!</v>
      </c>
      <c r="S91" s="70" t="e">
        <f t="shared" ca="1" si="8"/>
        <v>#REF!</v>
      </c>
      <c r="T91" s="70" t="e">
        <f t="shared" ca="1" si="9"/>
        <v>#REF!</v>
      </c>
      <c r="U91" s="70" t="e">
        <f t="shared" ca="1" si="10"/>
        <v>#REF!</v>
      </c>
      <c r="V91" s="70" t="e">
        <f t="shared" ca="1" si="11"/>
        <v>#REF!</v>
      </c>
      <c r="W91" s="70" t="e">
        <f t="shared" ca="1" si="12"/>
        <v>#REF!</v>
      </c>
      <c r="X91" s="70" t="e">
        <f t="shared" ca="1" si="13"/>
        <v>#REF!</v>
      </c>
      <c r="Y91" s="70" t="e">
        <f t="shared" ca="1" si="14"/>
        <v>#REF!</v>
      </c>
      <c r="Z91" s="70" t="e">
        <f t="shared" ca="1" si="15"/>
        <v>#REF!</v>
      </c>
      <c r="AA91" s="70" t="e">
        <f t="shared" ca="1" si="16"/>
        <v>#REF!</v>
      </c>
      <c r="AB91" s="70" t="e">
        <f t="shared" ca="1" si="16"/>
        <v>#REF!</v>
      </c>
      <c r="AC91" s="70"/>
      <c r="AD91" s="70" t="e">
        <f t="shared" ca="1" si="17"/>
        <v>#REF!</v>
      </c>
      <c r="AE91" s="70" t="e">
        <f t="shared" ca="1" si="17"/>
        <v>#REF!</v>
      </c>
      <c r="AJ91" s="62"/>
    </row>
    <row r="92" spans="1:36" ht="12" customHeight="1" x14ac:dyDescent="0.2">
      <c r="A92" s="62">
        <f t="shared" si="18"/>
        <v>34</v>
      </c>
      <c r="B92" s="62" t="str">
        <f>Spaces_Sum!C89</f>
        <v>L02-215_ElevRaccIncd</v>
      </c>
      <c r="C92" s="62" t="str">
        <f ca="1">Spaces_Sum!H89</f>
        <v>Level 2</v>
      </c>
      <c r="D92" s="62" t="str">
        <f ca="1">Spaces_Sum!I89</f>
        <v>IndirectlyConditioned</v>
      </c>
      <c r="E92" s="62" t="str">
        <f ca="1">Spaces_Sum!J89</f>
        <v>Unoccupied-Include in Gross Floor Area</v>
      </c>
      <c r="F92" s="62" t="str">
        <f ca="1">Spaces_Sum!K89</f>
        <v>Nonresidential</v>
      </c>
      <c r="G92" s="62" t="str">
        <f ca="1">Spaces_Sum!L89</f>
        <v>Thermal Zone: L02-200_CorrRaccSphp</v>
      </c>
      <c r="H92" s="62">
        <f ca="1">Spaces_Sum!M89</f>
        <v>178.88640000000001</v>
      </c>
      <c r="I92" s="62">
        <f ca="1">Spaces_Sum!O89</f>
        <v>0</v>
      </c>
      <c r="J92" s="62" t="e">
        <f>Spaces_Sum!#REF!</f>
        <v>#REF!</v>
      </c>
      <c r="K92" s="62" t="e">
        <f>Spaces_Sum!#REF!</f>
        <v>#REF!</v>
      </c>
      <c r="L92" s="62">
        <f>Spaces_Sum!AK89</f>
        <v>0</v>
      </c>
      <c r="M92" s="62">
        <f ca="1">Spaces_Sum!AL89</f>
        <v>1</v>
      </c>
      <c r="N92" s="62">
        <f ca="1">Spaces_Sum!AN89</f>
        <v>0</v>
      </c>
      <c r="O92" s="62">
        <f ca="1">Spaces_Sum!AO89</f>
        <v>178.88640000000001</v>
      </c>
      <c r="P92" s="537" t="e">
        <f t="shared" ca="1" si="5"/>
        <v>#REF!</v>
      </c>
      <c r="Q92" s="70" t="e">
        <f t="shared" ca="1" si="6"/>
        <v>#REF!</v>
      </c>
      <c r="R92" s="70" t="e">
        <f t="shared" ca="1" si="7"/>
        <v>#REF!</v>
      </c>
      <c r="S92" s="70" t="e">
        <f t="shared" ca="1" si="8"/>
        <v>#REF!</v>
      </c>
      <c r="T92" s="70" t="e">
        <f t="shared" ca="1" si="9"/>
        <v>#REF!</v>
      </c>
      <c r="U92" s="70" t="e">
        <f t="shared" ca="1" si="10"/>
        <v>#REF!</v>
      </c>
      <c r="V92" s="70" t="e">
        <f t="shared" ca="1" si="11"/>
        <v>#REF!</v>
      </c>
      <c r="W92" s="70" t="e">
        <f t="shared" ca="1" si="12"/>
        <v>#REF!</v>
      </c>
      <c r="X92" s="70" t="e">
        <f t="shared" ca="1" si="13"/>
        <v>#REF!</v>
      </c>
      <c r="Y92" s="70" t="e">
        <f t="shared" ca="1" si="14"/>
        <v>#REF!</v>
      </c>
      <c r="Z92" s="70" t="e">
        <f t="shared" ca="1" si="15"/>
        <v>#REF!</v>
      </c>
      <c r="AA92" s="70" t="e">
        <f t="shared" ca="1" si="16"/>
        <v>#REF!</v>
      </c>
      <c r="AB92" s="70" t="e">
        <f t="shared" ca="1" si="16"/>
        <v>#REF!</v>
      </c>
      <c r="AC92" s="70"/>
      <c r="AD92" s="70" t="e">
        <f t="shared" ca="1" si="17"/>
        <v>#REF!</v>
      </c>
      <c r="AE92" s="70" t="e">
        <f t="shared" ca="1" si="17"/>
        <v>#REF!</v>
      </c>
      <c r="AJ92" s="62"/>
    </row>
    <row r="93" spans="1:36" ht="12" customHeight="1" x14ac:dyDescent="0.2">
      <c r="A93" s="62">
        <f t="shared" si="18"/>
        <v>35</v>
      </c>
      <c r="B93" s="62" t="str">
        <f>Spaces_Sum!C90</f>
        <v>L02-216_StrsRaccIncd</v>
      </c>
      <c r="C93" s="62" t="str">
        <f ca="1">Spaces_Sum!H90</f>
        <v>Level 2</v>
      </c>
      <c r="D93" s="62" t="str">
        <f ca="1">Spaces_Sum!I90</f>
        <v>IndirectlyConditioned</v>
      </c>
      <c r="E93" s="62" t="str">
        <f ca="1">Spaces_Sum!J90</f>
        <v>Stairwell</v>
      </c>
      <c r="F93" s="62" t="str">
        <f ca="1">Spaces_Sum!K90</f>
        <v>Nonresidential</v>
      </c>
      <c r="G93" s="62" t="str">
        <f ca="1">Spaces_Sum!L90</f>
        <v>Thermal Zone: L02-200_CorrRaccSphp</v>
      </c>
      <c r="H93" s="62">
        <f ca="1">Spaces_Sum!M90</f>
        <v>232.53399999999999</v>
      </c>
      <c r="I93" s="62">
        <f ca="1">Spaces_Sum!O90</f>
        <v>0</v>
      </c>
      <c r="J93" s="62" t="e">
        <f>Spaces_Sum!#REF!</f>
        <v>#REF!</v>
      </c>
      <c r="K93" s="62" t="e">
        <f>Spaces_Sum!#REF!</f>
        <v>#REF!</v>
      </c>
      <c r="L93" s="62">
        <f>Spaces_Sum!AK90</f>
        <v>0</v>
      </c>
      <c r="M93" s="62">
        <f ca="1">Spaces_Sum!AL90</f>
        <v>1</v>
      </c>
      <c r="N93" s="62">
        <f ca="1">Spaces_Sum!AN90</f>
        <v>0</v>
      </c>
      <c r="O93" s="62">
        <f ca="1">Spaces_Sum!AO90</f>
        <v>232.53399999999999</v>
      </c>
      <c r="P93" s="537" t="e">
        <f t="shared" ca="1" si="5"/>
        <v>#REF!</v>
      </c>
      <c r="Q93" s="70" t="e">
        <f t="shared" ca="1" si="6"/>
        <v>#REF!</v>
      </c>
      <c r="R93" s="70" t="e">
        <f t="shared" ca="1" si="7"/>
        <v>#REF!</v>
      </c>
      <c r="S93" s="70" t="e">
        <f t="shared" ca="1" si="8"/>
        <v>#REF!</v>
      </c>
      <c r="T93" s="70" t="e">
        <f t="shared" ca="1" si="9"/>
        <v>#REF!</v>
      </c>
      <c r="U93" s="70" t="e">
        <f t="shared" ca="1" si="10"/>
        <v>#REF!</v>
      </c>
      <c r="V93" s="70" t="e">
        <f t="shared" ca="1" si="11"/>
        <v>#REF!</v>
      </c>
      <c r="W93" s="70" t="e">
        <f t="shared" ca="1" si="12"/>
        <v>#REF!</v>
      </c>
      <c r="X93" s="70" t="e">
        <f t="shared" ca="1" si="13"/>
        <v>#REF!</v>
      </c>
      <c r="Y93" s="70" t="e">
        <f t="shared" ca="1" si="14"/>
        <v>#REF!</v>
      </c>
      <c r="Z93" s="70" t="e">
        <f t="shared" ca="1" si="15"/>
        <v>#REF!</v>
      </c>
      <c r="AA93" s="70" t="e">
        <f t="shared" ca="1" si="16"/>
        <v>#REF!</v>
      </c>
      <c r="AB93" s="70" t="e">
        <f t="shared" ca="1" si="16"/>
        <v>#REF!</v>
      </c>
      <c r="AC93" s="70"/>
      <c r="AD93" s="70" t="e">
        <f t="shared" ca="1" si="17"/>
        <v>#REF!</v>
      </c>
      <c r="AE93" s="70" t="e">
        <f t="shared" ca="1" si="17"/>
        <v>#REF!</v>
      </c>
      <c r="AJ93" s="62"/>
    </row>
    <row r="94" spans="1:36" ht="12" customHeight="1" x14ac:dyDescent="0.2">
      <c r="A94" s="62">
        <f t="shared" si="18"/>
        <v>36</v>
      </c>
      <c r="B94" s="62" t="str">
        <f>Spaces_Sum!C91</f>
        <v>L02-217_MfamResiPthp</v>
      </c>
      <c r="C94" s="62" t="str">
        <f ca="1">Spaces_Sum!H91</f>
        <v>Level 2</v>
      </c>
      <c r="D94" s="62" t="str">
        <f ca="1">Spaces_Sum!I91</f>
        <v>DirectlyConditioned</v>
      </c>
      <c r="E94" s="62" t="str">
        <f ca="1">Spaces_Sum!J91</f>
        <v>Dwelling Unit</v>
      </c>
      <c r="F94" s="62" t="str">
        <f ca="1">Spaces_Sum!K91</f>
        <v>Residential</v>
      </c>
      <c r="G94" s="62" t="str">
        <f ca="1">Spaces_Sum!L91</f>
        <v>Thermal Zone: L02-217_MfamResiPthp</v>
      </c>
      <c r="H94" s="62">
        <f ca="1">Spaces_Sum!M91</f>
        <v>839.5806</v>
      </c>
      <c r="I94" s="62">
        <f ca="1">Spaces_Sum!O91</f>
        <v>502.6</v>
      </c>
      <c r="J94" s="62" t="e">
        <f>Spaces_Sum!#REF!</f>
        <v>#REF!</v>
      </c>
      <c r="K94" s="62" t="e">
        <f>Spaces_Sum!#REF!</f>
        <v>#REF!</v>
      </c>
      <c r="L94" s="62">
        <f>Spaces_Sum!AK91</f>
        <v>0</v>
      </c>
      <c r="M94" s="62">
        <f ca="1">Spaces_Sum!AL91</f>
        <v>1</v>
      </c>
      <c r="N94" s="62">
        <f ca="1">Spaces_Sum!AN91</f>
        <v>1</v>
      </c>
      <c r="O94" s="62">
        <f ca="1">Spaces_Sum!AO91</f>
        <v>839.5806</v>
      </c>
      <c r="P94" s="537" t="e">
        <f t="shared" ca="1" si="5"/>
        <v>#REF!</v>
      </c>
      <c r="Q94" s="70" t="e">
        <f t="shared" ca="1" si="6"/>
        <v>#REF!</v>
      </c>
      <c r="R94" s="70" t="e">
        <f t="shared" ca="1" si="7"/>
        <v>#REF!</v>
      </c>
      <c r="S94" s="70" t="e">
        <f t="shared" ca="1" si="8"/>
        <v>#REF!</v>
      </c>
      <c r="T94" s="70" t="e">
        <f t="shared" ca="1" si="9"/>
        <v>#REF!</v>
      </c>
      <c r="U94" s="70" t="e">
        <f t="shared" ca="1" si="10"/>
        <v>#REF!</v>
      </c>
      <c r="V94" s="70" t="e">
        <f t="shared" ca="1" si="11"/>
        <v>#REF!</v>
      </c>
      <c r="W94" s="70" t="e">
        <f t="shared" ca="1" si="12"/>
        <v>#REF!</v>
      </c>
      <c r="X94" s="70" t="e">
        <f t="shared" ca="1" si="13"/>
        <v>#REF!</v>
      </c>
      <c r="Y94" s="70" t="e">
        <f t="shared" ca="1" si="14"/>
        <v>#REF!</v>
      </c>
      <c r="Z94" s="70" t="e">
        <f t="shared" ca="1" si="15"/>
        <v>#REF!</v>
      </c>
      <c r="AA94" s="70" t="e">
        <f t="shared" ca="1" si="16"/>
        <v>#REF!</v>
      </c>
      <c r="AB94" s="70" t="e">
        <f t="shared" ca="1" si="16"/>
        <v>#REF!</v>
      </c>
      <c r="AC94" s="70"/>
      <c r="AD94" s="70" t="e">
        <f t="shared" ca="1" si="17"/>
        <v>#REF!</v>
      </c>
      <c r="AE94" s="70" t="e">
        <f t="shared" ca="1" si="17"/>
        <v>#REF!</v>
      </c>
      <c r="AJ94" s="62"/>
    </row>
    <row r="95" spans="1:36" ht="12" customHeight="1" x14ac:dyDescent="0.2">
      <c r="A95" s="62">
        <f t="shared" si="18"/>
        <v>37</v>
      </c>
      <c r="B95" s="62" t="str">
        <f>Spaces_Sum!C92</f>
        <v>L02-218_TrshRaccIncd</v>
      </c>
      <c r="C95" s="62" t="str">
        <f ca="1">Spaces_Sum!H92</f>
        <v>Level 2</v>
      </c>
      <c r="D95" s="62" t="str">
        <f ca="1">Spaces_Sum!I92</f>
        <v>IndirectlyConditioned</v>
      </c>
      <c r="E95" s="62" t="str">
        <f ca="1">Spaces_Sum!J92</f>
        <v>Storage Room - &lt;50 ft2</v>
      </c>
      <c r="F95" s="62" t="str">
        <f ca="1">Spaces_Sum!K92</f>
        <v>Nonresidential</v>
      </c>
      <c r="G95" s="62" t="str">
        <f ca="1">Spaces_Sum!L92</f>
        <v>Thermal Zone: L02-200_CorrRaccSphp</v>
      </c>
      <c r="H95" s="62">
        <f ca="1">Spaces_Sum!M92</f>
        <v>187.88740000000001</v>
      </c>
      <c r="I95" s="62">
        <f ca="1">Spaces_Sum!O92</f>
        <v>0</v>
      </c>
      <c r="J95" s="62" t="e">
        <f>Spaces_Sum!#REF!</f>
        <v>#REF!</v>
      </c>
      <c r="K95" s="62" t="e">
        <f>Spaces_Sum!#REF!</f>
        <v>#REF!</v>
      </c>
      <c r="L95" s="62">
        <f>Spaces_Sum!AK92</f>
        <v>0</v>
      </c>
      <c r="M95" s="62">
        <f ca="1">Spaces_Sum!AL92</f>
        <v>1</v>
      </c>
      <c r="N95" s="62">
        <f ca="1">Spaces_Sum!AN92</f>
        <v>0</v>
      </c>
      <c r="O95" s="62">
        <f ca="1">Spaces_Sum!AO92</f>
        <v>187.88740000000001</v>
      </c>
      <c r="P95" s="537" t="e">
        <f t="shared" ca="1" si="5"/>
        <v>#REF!</v>
      </c>
      <c r="Q95" s="70" t="e">
        <f t="shared" ca="1" si="6"/>
        <v>#REF!</v>
      </c>
      <c r="R95" s="70" t="e">
        <f t="shared" ca="1" si="7"/>
        <v>#REF!</v>
      </c>
      <c r="S95" s="70" t="e">
        <f t="shared" ca="1" si="8"/>
        <v>#REF!</v>
      </c>
      <c r="T95" s="70" t="e">
        <f t="shared" ca="1" si="9"/>
        <v>#REF!</v>
      </c>
      <c r="U95" s="70" t="e">
        <f t="shared" ca="1" si="10"/>
        <v>#REF!</v>
      </c>
      <c r="V95" s="70" t="e">
        <f t="shared" ca="1" si="11"/>
        <v>#REF!</v>
      </c>
      <c r="W95" s="70" t="e">
        <f t="shared" ca="1" si="12"/>
        <v>#REF!</v>
      </c>
      <c r="X95" s="70" t="e">
        <f t="shared" ca="1" si="13"/>
        <v>#REF!</v>
      </c>
      <c r="Y95" s="70" t="e">
        <f t="shared" ca="1" si="14"/>
        <v>#REF!</v>
      </c>
      <c r="Z95" s="70" t="e">
        <f t="shared" ca="1" si="15"/>
        <v>#REF!</v>
      </c>
      <c r="AA95" s="70" t="e">
        <f t="shared" ca="1" si="16"/>
        <v>#REF!</v>
      </c>
      <c r="AB95" s="70" t="e">
        <f t="shared" ca="1" si="16"/>
        <v>#REF!</v>
      </c>
      <c r="AC95" s="70"/>
      <c r="AD95" s="70" t="e">
        <f t="shared" ca="1" si="17"/>
        <v>#REF!</v>
      </c>
      <c r="AE95" s="70" t="e">
        <f t="shared" ca="1" si="17"/>
        <v>#REF!</v>
      </c>
      <c r="AJ95" s="62"/>
    </row>
    <row r="96" spans="1:36" ht="12" customHeight="1" x14ac:dyDescent="0.2">
      <c r="A96" s="62">
        <f t="shared" si="18"/>
        <v>38</v>
      </c>
      <c r="B96" s="62" t="str">
        <f>Spaces_Sum!C93</f>
        <v>L03-300_CorrRaccSphp</v>
      </c>
      <c r="C96" s="62" t="str">
        <f ca="1">Spaces_Sum!H93</f>
        <v>Level 3</v>
      </c>
      <c r="D96" s="62" t="str">
        <f ca="1">Spaces_Sum!I93</f>
        <v>DirectlyConditioned</v>
      </c>
      <c r="E96" s="62" t="str">
        <f ca="1">Spaces_Sum!J93</f>
        <v>Corridor - All other</v>
      </c>
      <c r="F96" s="62" t="str">
        <f ca="1">Spaces_Sum!K93</f>
        <v>Nonresidential</v>
      </c>
      <c r="G96" s="62" t="str">
        <f ca="1">Spaces_Sum!L93</f>
        <v>Thermal Zone: L03-300_CorrRaccSphp</v>
      </c>
      <c r="H96" s="62">
        <f ca="1">Spaces_Sum!M93</f>
        <v>1916.0455999999999</v>
      </c>
      <c r="I96" s="62">
        <f ca="1">Spaces_Sum!O93</f>
        <v>0</v>
      </c>
      <c r="J96" s="62" t="e">
        <f>Spaces_Sum!#REF!</f>
        <v>#REF!</v>
      </c>
      <c r="K96" s="62" t="e">
        <f>Spaces_Sum!#REF!</f>
        <v>#REF!</v>
      </c>
      <c r="L96" s="62">
        <f>Spaces_Sum!AK93</f>
        <v>0</v>
      </c>
      <c r="M96" s="62">
        <f ca="1">Spaces_Sum!AL93</f>
        <v>3</v>
      </c>
      <c r="N96" s="62">
        <f ca="1">Spaces_Sum!AN93</f>
        <v>0</v>
      </c>
      <c r="O96" s="62">
        <f ca="1">Spaces_Sum!AO93</f>
        <v>5748.1368000000002</v>
      </c>
      <c r="P96" s="537" t="e">
        <f t="shared" ca="1" si="5"/>
        <v>#REF!</v>
      </c>
      <c r="Q96" s="70" t="e">
        <f t="shared" ca="1" si="6"/>
        <v>#REF!</v>
      </c>
      <c r="R96" s="70" t="e">
        <f t="shared" ca="1" si="7"/>
        <v>#REF!</v>
      </c>
      <c r="S96" s="70" t="e">
        <f t="shared" ca="1" si="8"/>
        <v>#REF!</v>
      </c>
      <c r="T96" s="70" t="e">
        <f t="shared" ca="1" si="9"/>
        <v>#REF!</v>
      </c>
      <c r="U96" s="70" t="e">
        <f t="shared" ca="1" si="10"/>
        <v>#REF!</v>
      </c>
      <c r="V96" s="70" t="e">
        <f t="shared" ca="1" si="11"/>
        <v>#REF!</v>
      </c>
      <c r="W96" s="70" t="e">
        <f t="shared" ca="1" si="12"/>
        <v>#REF!</v>
      </c>
      <c r="X96" s="70" t="e">
        <f t="shared" ca="1" si="13"/>
        <v>#REF!</v>
      </c>
      <c r="Y96" s="70" t="e">
        <f t="shared" ca="1" si="14"/>
        <v>#REF!</v>
      </c>
      <c r="Z96" s="70" t="e">
        <f t="shared" ca="1" si="15"/>
        <v>#REF!</v>
      </c>
      <c r="AA96" s="70" t="e">
        <f t="shared" ca="1" si="16"/>
        <v>#REF!</v>
      </c>
      <c r="AB96" s="70" t="e">
        <f t="shared" ca="1" si="16"/>
        <v>#REF!</v>
      </c>
      <c r="AC96" s="70"/>
      <c r="AD96" s="70" t="e">
        <f t="shared" ca="1" si="17"/>
        <v>#REF!</v>
      </c>
      <c r="AE96" s="70" t="e">
        <f t="shared" ca="1" si="17"/>
        <v>#REF!</v>
      </c>
      <c r="AJ96" s="62"/>
    </row>
    <row r="97" spans="1:36" ht="12" customHeight="1" x14ac:dyDescent="0.2">
      <c r="A97" s="62">
        <f t="shared" si="18"/>
        <v>39</v>
      </c>
      <c r="B97" s="62" t="str">
        <f>Spaces_Sum!C94</f>
        <v>L03-301_MfamResiPthp</v>
      </c>
      <c r="C97" s="62" t="str">
        <f ca="1">Spaces_Sum!H94</f>
        <v>Level 3</v>
      </c>
      <c r="D97" s="62" t="str">
        <f ca="1">Spaces_Sum!I94</f>
        <v>DirectlyConditioned</v>
      </c>
      <c r="E97" s="62" t="str">
        <f ca="1">Spaces_Sum!J94</f>
        <v>Dwelling Unit</v>
      </c>
      <c r="F97" s="62" t="str">
        <f ca="1">Spaces_Sum!K94</f>
        <v>Residential</v>
      </c>
      <c r="G97" s="62" t="str">
        <f ca="1">Spaces_Sum!L94</f>
        <v>Thermal Zone: L03-301_MfamResiPthp</v>
      </c>
      <c r="H97" s="62">
        <f ca="1">Spaces_Sum!M94</f>
        <v>872.36159999999995</v>
      </c>
      <c r="I97" s="62">
        <f ca="1">Spaces_Sum!O94</f>
        <v>622</v>
      </c>
      <c r="J97" s="62" t="e">
        <f>Spaces_Sum!#REF!</f>
        <v>#REF!</v>
      </c>
      <c r="K97" s="62" t="e">
        <f>Spaces_Sum!#REF!</f>
        <v>#REF!</v>
      </c>
      <c r="L97" s="62">
        <f>Spaces_Sum!AK94</f>
        <v>0</v>
      </c>
      <c r="M97" s="62">
        <f ca="1">Spaces_Sum!AL94</f>
        <v>3</v>
      </c>
      <c r="N97" s="62">
        <f ca="1">Spaces_Sum!AN94</f>
        <v>1</v>
      </c>
      <c r="O97" s="62">
        <f ca="1">Spaces_Sum!AO94</f>
        <v>2617.0847999999996</v>
      </c>
      <c r="P97" s="537" t="e">
        <f t="shared" ca="1" si="5"/>
        <v>#REF!</v>
      </c>
      <c r="Q97" s="70" t="e">
        <f t="shared" ca="1" si="6"/>
        <v>#REF!</v>
      </c>
      <c r="R97" s="70" t="e">
        <f t="shared" ca="1" si="7"/>
        <v>#REF!</v>
      </c>
      <c r="S97" s="70" t="e">
        <f t="shared" ref="S97:S159" ca="1" si="19">SUM(Q97:R97)</f>
        <v>#REF!</v>
      </c>
      <c r="T97" s="70" t="e">
        <f t="shared" ca="1" si="9"/>
        <v>#REF!</v>
      </c>
      <c r="U97" s="70" t="e">
        <f t="shared" ca="1" si="10"/>
        <v>#REF!</v>
      </c>
      <c r="V97" s="70" t="e">
        <f t="shared" ref="V97:V159" ca="1" si="20">SUM(T97:U97)</f>
        <v>#REF!</v>
      </c>
      <c r="W97" s="70" t="e">
        <f t="shared" ca="1" si="12"/>
        <v>#REF!</v>
      </c>
      <c r="X97" s="70" t="e">
        <f t="shared" ca="1" si="13"/>
        <v>#REF!</v>
      </c>
      <c r="Y97" s="70" t="e">
        <f t="shared" ref="Y97:Y159" ca="1" si="21">SUM(W97:X97)</f>
        <v>#REF!</v>
      </c>
      <c r="Z97" s="70" t="e">
        <f t="shared" ref="Z97:Z159" ca="1" si="22">SUM(S97,V97,Y97)</f>
        <v>#REF!</v>
      </c>
      <c r="AA97" s="70" t="e">
        <f t="shared" ca="1" si="16"/>
        <v>#REF!</v>
      </c>
      <c r="AB97" s="70" t="e">
        <f t="shared" ca="1" si="16"/>
        <v>#REF!</v>
      </c>
      <c r="AC97" s="70"/>
      <c r="AD97" s="70" t="e">
        <f t="shared" ca="1" si="17"/>
        <v>#REF!</v>
      </c>
      <c r="AE97" s="70" t="e">
        <f t="shared" ca="1" si="17"/>
        <v>#REF!</v>
      </c>
      <c r="AJ97" s="62"/>
    </row>
    <row r="98" spans="1:36" ht="12" customHeight="1" x14ac:dyDescent="0.2">
      <c r="A98" s="62">
        <f t="shared" si="18"/>
        <v>40</v>
      </c>
      <c r="B98" s="62" t="str">
        <f>Spaces_Sum!C95</f>
        <v>L03-302_MfamResiPthp</v>
      </c>
      <c r="C98" s="62" t="str">
        <f ca="1">Spaces_Sum!H95</f>
        <v>Level 3</v>
      </c>
      <c r="D98" s="62" t="str">
        <f ca="1">Spaces_Sum!I95</f>
        <v>DirectlyConditioned</v>
      </c>
      <c r="E98" s="62" t="str">
        <f ca="1">Spaces_Sum!J95</f>
        <v>Dwelling Unit</v>
      </c>
      <c r="F98" s="62" t="str">
        <f ca="1">Spaces_Sum!K95</f>
        <v>Residential</v>
      </c>
      <c r="G98" s="62" t="str">
        <f ca="1">Spaces_Sum!L95</f>
        <v>Thermal Zone: L03-302_MfamResiPthp</v>
      </c>
      <c r="H98" s="62">
        <f ca="1">Spaces_Sum!M95</f>
        <v>1660.6944000000001</v>
      </c>
      <c r="I98" s="62">
        <f ca="1">Spaces_Sum!O95</f>
        <v>640.70000000000005</v>
      </c>
      <c r="J98" s="62" t="e">
        <f>Spaces_Sum!#REF!</f>
        <v>#REF!</v>
      </c>
      <c r="K98" s="62" t="e">
        <f>Spaces_Sum!#REF!</f>
        <v>#REF!</v>
      </c>
      <c r="L98" s="62">
        <f>Spaces_Sum!AK95</f>
        <v>0</v>
      </c>
      <c r="M98" s="62">
        <f ca="1">Spaces_Sum!AL95</f>
        <v>3</v>
      </c>
      <c r="N98" s="62">
        <f ca="1">Spaces_Sum!AN95</f>
        <v>1</v>
      </c>
      <c r="O98" s="62">
        <f ca="1">Spaces_Sum!AO95</f>
        <v>4982.0832</v>
      </c>
      <c r="P98" s="537" t="e">
        <f t="shared" ca="1" si="5"/>
        <v>#REF!</v>
      </c>
      <c r="Q98" s="70" t="e">
        <f t="shared" ca="1" si="6"/>
        <v>#REF!</v>
      </c>
      <c r="R98" s="70" t="e">
        <f t="shared" ca="1" si="7"/>
        <v>#REF!</v>
      </c>
      <c r="S98" s="70" t="e">
        <f t="shared" ca="1" si="19"/>
        <v>#REF!</v>
      </c>
      <c r="T98" s="70" t="e">
        <f t="shared" ca="1" si="9"/>
        <v>#REF!</v>
      </c>
      <c r="U98" s="70" t="e">
        <f t="shared" ca="1" si="10"/>
        <v>#REF!</v>
      </c>
      <c r="V98" s="70" t="e">
        <f t="shared" ca="1" si="20"/>
        <v>#REF!</v>
      </c>
      <c r="W98" s="70" t="e">
        <f t="shared" ca="1" si="12"/>
        <v>#REF!</v>
      </c>
      <c r="X98" s="70" t="e">
        <f t="shared" ca="1" si="13"/>
        <v>#REF!</v>
      </c>
      <c r="Y98" s="70" t="e">
        <f t="shared" ca="1" si="21"/>
        <v>#REF!</v>
      </c>
      <c r="Z98" s="70" t="e">
        <f t="shared" ca="1" si="22"/>
        <v>#REF!</v>
      </c>
      <c r="AA98" s="70" t="e">
        <f t="shared" ref="AA98:AB160" ca="1" si="23">SUMIFS(OFFSET(INDIRECT(AA$47),AA$48,AA$49,2000),OFFSET(INDIRECT(AA$47),AA$48,AA$50,2000),$B98)*$L98</f>
        <v>#REF!</v>
      </c>
      <c r="AB98" s="70" t="e">
        <f t="shared" ca="1" si="23"/>
        <v>#REF!</v>
      </c>
      <c r="AC98" s="70"/>
      <c r="AD98" s="70" t="e">
        <f t="shared" ref="AD98:AE160" ca="1" si="24">SUMIFS(OFFSET(INDIRECT(AD$47),AD$48,AD$49,2000),OFFSET(INDIRECT(AD$47),AD$48,AD$50,2000),$B98)*$L98</f>
        <v>#REF!</v>
      </c>
      <c r="AE98" s="70" t="e">
        <f t="shared" ca="1" si="24"/>
        <v>#REF!</v>
      </c>
      <c r="AJ98" s="62"/>
    </row>
    <row r="99" spans="1:36" ht="12" customHeight="1" x14ac:dyDescent="0.2">
      <c r="A99" s="62">
        <f t="shared" si="18"/>
        <v>41</v>
      </c>
      <c r="B99" s="62" t="str">
        <f>Spaces_Sum!C96</f>
        <v>L03-303_MfamResiPthp</v>
      </c>
      <c r="C99" s="62" t="str">
        <f ca="1">Spaces_Sum!H96</f>
        <v>Level 3</v>
      </c>
      <c r="D99" s="62" t="str">
        <f ca="1">Spaces_Sum!I96</f>
        <v>DirectlyConditioned</v>
      </c>
      <c r="E99" s="62" t="str">
        <f ca="1">Spaces_Sum!J96</f>
        <v>Dwelling Unit</v>
      </c>
      <c r="F99" s="62" t="str">
        <f ca="1">Spaces_Sum!K96</f>
        <v>Residential</v>
      </c>
      <c r="G99" s="62" t="str">
        <f ca="1">Spaces_Sum!L96</f>
        <v>Thermal Zone: L03-303_MfamResiPthp</v>
      </c>
      <c r="H99" s="62">
        <f ca="1">Spaces_Sum!M96</f>
        <v>1116.5980999999999</v>
      </c>
      <c r="I99" s="62">
        <f ca="1">Spaces_Sum!O96</f>
        <v>686.8</v>
      </c>
      <c r="J99" s="62" t="e">
        <f>Spaces_Sum!#REF!</f>
        <v>#REF!</v>
      </c>
      <c r="K99" s="62" t="e">
        <f>Spaces_Sum!#REF!</f>
        <v>#REF!</v>
      </c>
      <c r="L99" s="62">
        <f>Spaces_Sum!AK96</f>
        <v>0</v>
      </c>
      <c r="M99" s="62">
        <f ca="1">Spaces_Sum!AL96</f>
        <v>3</v>
      </c>
      <c r="N99" s="62">
        <f ca="1">Spaces_Sum!AN96</f>
        <v>1</v>
      </c>
      <c r="O99" s="62">
        <f ca="1">Spaces_Sum!AO96</f>
        <v>3349.7942999999996</v>
      </c>
      <c r="P99" s="537" t="e">
        <f t="shared" ca="1" si="5"/>
        <v>#REF!</v>
      </c>
      <c r="Q99" s="70" t="e">
        <f t="shared" ca="1" si="6"/>
        <v>#REF!</v>
      </c>
      <c r="R99" s="70" t="e">
        <f t="shared" ca="1" si="7"/>
        <v>#REF!</v>
      </c>
      <c r="S99" s="70" t="e">
        <f t="shared" ca="1" si="19"/>
        <v>#REF!</v>
      </c>
      <c r="T99" s="70" t="e">
        <f t="shared" ca="1" si="9"/>
        <v>#REF!</v>
      </c>
      <c r="U99" s="70" t="e">
        <f t="shared" ca="1" si="10"/>
        <v>#REF!</v>
      </c>
      <c r="V99" s="70" t="e">
        <f t="shared" ca="1" si="20"/>
        <v>#REF!</v>
      </c>
      <c r="W99" s="70" t="e">
        <f t="shared" ca="1" si="12"/>
        <v>#REF!</v>
      </c>
      <c r="X99" s="70" t="e">
        <f t="shared" ca="1" si="13"/>
        <v>#REF!</v>
      </c>
      <c r="Y99" s="70" t="e">
        <f t="shared" ca="1" si="21"/>
        <v>#REF!</v>
      </c>
      <c r="Z99" s="70" t="e">
        <f t="shared" ca="1" si="22"/>
        <v>#REF!</v>
      </c>
      <c r="AA99" s="70" t="e">
        <f t="shared" ca="1" si="23"/>
        <v>#REF!</v>
      </c>
      <c r="AB99" s="70" t="e">
        <f t="shared" ca="1" si="23"/>
        <v>#REF!</v>
      </c>
      <c r="AC99" s="70"/>
      <c r="AD99" s="70" t="e">
        <f t="shared" ca="1" si="24"/>
        <v>#REF!</v>
      </c>
      <c r="AE99" s="70" t="e">
        <f t="shared" ca="1" si="24"/>
        <v>#REF!</v>
      </c>
      <c r="AJ99" s="62"/>
    </row>
    <row r="100" spans="1:36" ht="12" customHeight="1" x14ac:dyDescent="0.2">
      <c r="A100" s="62">
        <f t="shared" si="18"/>
        <v>42</v>
      </c>
      <c r="B100" s="62" t="str">
        <f>Spaces_Sum!C97</f>
        <v>L03-304_AstoRaccIncd</v>
      </c>
      <c r="C100" s="62" t="str">
        <f ca="1">Spaces_Sum!H97</f>
        <v>Level 3</v>
      </c>
      <c r="D100" s="62" t="str">
        <f ca="1">Spaces_Sum!I97</f>
        <v>IndirectlyConditioned</v>
      </c>
      <c r="E100" s="62" t="str">
        <f ca="1">Spaces_Sum!J97</f>
        <v>Storage Room - &lt;50 ft2</v>
      </c>
      <c r="F100" s="62" t="str">
        <f ca="1">Spaces_Sum!K97</f>
        <v>Nonresidential</v>
      </c>
      <c r="G100" s="62" t="str">
        <f ca="1">Spaces_Sum!L97</f>
        <v>Thermal Zone: L03-300_CorrRaccSphp</v>
      </c>
      <c r="H100" s="62">
        <f ca="1">Spaces_Sum!M97</f>
        <v>135.05760000000001</v>
      </c>
      <c r="I100" s="62">
        <f ca="1">Spaces_Sum!O97</f>
        <v>0</v>
      </c>
      <c r="J100" s="62" t="e">
        <f>Spaces_Sum!#REF!</f>
        <v>#REF!</v>
      </c>
      <c r="K100" s="62" t="e">
        <f>Spaces_Sum!#REF!</f>
        <v>#REF!</v>
      </c>
      <c r="L100" s="62">
        <f>Spaces_Sum!AK97</f>
        <v>0</v>
      </c>
      <c r="M100" s="62">
        <f ca="1">Spaces_Sum!AL97</f>
        <v>3</v>
      </c>
      <c r="N100" s="62">
        <f ca="1">Spaces_Sum!AN97</f>
        <v>0</v>
      </c>
      <c r="O100" s="62">
        <f ca="1">Spaces_Sum!AO97</f>
        <v>405.17280000000005</v>
      </c>
      <c r="P100" s="537" t="e">
        <f t="shared" ca="1" si="5"/>
        <v>#REF!</v>
      </c>
      <c r="Q100" s="70" t="e">
        <f t="shared" ca="1" si="6"/>
        <v>#REF!</v>
      </c>
      <c r="R100" s="70" t="e">
        <f t="shared" ca="1" si="7"/>
        <v>#REF!</v>
      </c>
      <c r="S100" s="70" t="e">
        <f t="shared" ca="1" si="19"/>
        <v>#REF!</v>
      </c>
      <c r="T100" s="70" t="e">
        <f t="shared" ca="1" si="9"/>
        <v>#REF!</v>
      </c>
      <c r="U100" s="70" t="e">
        <f t="shared" ca="1" si="10"/>
        <v>#REF!</v>
      </c>
      <c r="V100" s="70" t="e">
        <f t="shared" ca="1" si="20"/>
        <v>#REF!</v>
      </c>
      <c r="W100" s="70" t="e">
        <f t="shared" ca="1" si="12"/>
        <v>#REF!</v>
      </c>
      <c r="X100" s="70" t="e">
        <f t="shared" ca="1" si="13"/>
        <v>#REF!</v>
      </c>
      <c r="Y100" s="70" t="e">
        <f t="shared" ca="1" si="21"/>
        <v>#REF!</v>
      </c>
      <c r="Z100" s="70" t="e">
        <f t="shared" ca="1" si="22"/>
        <v>#REF!</v>
      </c>
      <c r="AA100" s="70" t="e">
        <f t="shared" ca="1" si="23"/>
        <v>#REF!</v>
      </c>
      <c r="AB100" s="70" t="e">
        <f t="shared" ca="1" si="23"/>
        <v>#REF!</v>
      </c>
      <c r="AC100" s="70"/>
      <c r="AD100" s="70" t="e">
        <f t="shared" ca="1" si="24"/>
        <v>#REF!</v>
      </c>
      <c r="AE100" s="70" t="e">
        <f t="shared" ca="1" si="24"/>
        <v>#REF!</v>
      </c>
      <c r="AJ100" s="62"/>
    </row>
    <row r="101" spans="1:36" ht="12" customHeight="1" x14ac:dyDescent="0.2">
      <c r="A101" s="62">
        <f t="shared" si="18"/>
        <v>43</v>
      </c>
      <c r="B101" s="62" t="str">
        <f>Spaces_Sum!C98</f>
        <v>L03-305_MfamResiPthp</v>
      </c>
      <c r="C101" s="62" t="str">
        <f ca="1">Spaces_Sum!H98</f>
        <v>Level 3</v>
      </c>
      <c r="D101" s="62" t="str">
        <f ca="1">Spaces_Sum!I98</f>
        <v>DirectlyConditioned</v>
      </c>
      <c r="E101" s="62" t="str">
        <f ca="1">Spaces_Sum!J98</f>
        <v>Dwelling Unit</v>
      </c>
      <c r="F101" s="62" t="str">
        <f ca="1">Spaces_Sum!K98</f>
        <v>Residential</v>
      </c>
      <c r="G101" s="62" t="str">
        <f ca="1">Spaces_Sum!L98</f>
        <v>Thermal Zone: L03-305_MfamResiPthp</v>
      </c>
      <c r="H101" s="62">
        <f ca="1">Spaces_Sum!M98</f>
        <v>3678.0304999999998</v>
      </c>
      <c r="I101" s="62">
        <f ca="1">Spaces_Sum!O98</f>
        <v>1428.2</v>
      </c>
      <c r="J101" s="62" t="e">
        <f>Spaces_Sum!#REF!</f>
        <v>#REF!</v>
      </c>
      <c r="K101" s="62" t="e">
        <f>Spaces_Sum!#REF!</f>
        <v>#REF!</v>
      </c>
      <c r="L101" s="62">
        <f>Spaces_Sum!AK98</f>
        <v>0</v>
      </c>
      <c r="M101" s="62">
        <f ca="1">Spaces_Sum!AL98</f>
        <v>3</v>
      </c>
      <c r="N101" s="62">
        <f ca="1">Spaces_Sum!AN98</f>
        <v>1</v>
      </c>
      <c r="O101" s="62">
        <f ca="1">Spaces_Sum!AO98</f>
        <v>11034.091499999999</v>
      </c>
      <c r="P101" s="537" t="e">
        <f t="shared" ca="1" si="5"/>
        <v>#REF!</v>
      </c>
      <c r="Q101" s="70" t="e">
        <f t="shared" ca="1" si="6"/>
        <v>#REF!</v>
      </c>
      <c r="R101" s="70" t="e">
        <f t="shared" ca="1" si="7"/>
        <v>#REF!</v>
      </c>
      <c r="S101" s="70" t="e">
        <f t="shared" ca="1" si="19"/>
        <v>#REF!</v>
      </c>
      <c r="T101" s="70" t="e">
        <f t="shared" ca="1" si="9"/>
        <v>#REF!</v>
      </c>
      <c r="U101" s="70" t="e">
        <f t="shared" ca="1" si="10"/>
        <v>#REF!</v>
      </c>
      <c r="V101" s="70" t="e">
        <f t="shared" ca="1" si="20"/>
        <v>#REF!</v>
      </c>
      <c r="W101" s="70" t="e">
        <f t="shared" ca="1" si="12"/>
        <v>#REF!</v>
      </c>
      <c r="X101" s="70" t="e">
        <f t="shared" ca="1" si="13"/>
        <v>#REF!</v>
      </c>
      <c r="Y101" s="70" t="e">
        <f t="shared" ca="1" si="21"/>
        <v>#REF!</v>
      </c>
      <c r="Z101" s="70" t="e">
        <f t="shared" ca="1" si="22"/>
        <v>#REF!</v>
      </c>
      <c r="AA101" s="70" t="e">
        <f t="shared" ca="1" si="23"/>
        <v>#REF!</v>
      </c>
      <c r="AB101" s="70" t="e">
        <f t="shared" ca="1" si="23"/>
        <v>#REF!</v>
      </c>
      <c r="AC101" s="70"/>
      <c r="AD101" s="70" t="e">
        <f t="shared" ca="1" si="24"/>
        <v>#REF!</v>
      </c>
      <c r="AE101" s="70" t="e">
        <f t="shared" ca="1" si="24"/>
        <v>#REF!</v>
      </c>
      <c r="AJ101" s="62"/>
    </row>
    <row r="102" spans="1:36" ht="12" customHeight="1" x14ac:dyDescent="0.2">
      <c r="A102" s="62">
        <f t="shared" si="18"/>
        <v>44</v>
      </c>
      <c r="B102" s="62" t="str">
        <f>Spaces_Sum!C99</f>
        <v>L03-306_MfamResiPthp</v>
      </c>
      <c r="C102" s="62" t="str">
        <f ca="1">Spaces_Sum!H99</f>
        <v>Level 3</v>
      </c>
      <c r="D102" s="62" t="str">
        <f ca="1">Spaces_Sum!I99</f>
        <v>DirectlyConditioned</v>
      </c>
      <c r="E102" s="62" t="str">
        <f ca="1">Spaces_Sum!J99</f>
        <v>Dwelling Unit</v>
      </c>
      <c r="F102" s="62" t="str">
        <f ca="1">Spaces_Sum!K99</f>
        <v>Residential</v>
      </c>
      <c r="G102" s="62" t="str">
        <f ca="1">Spaces_Sum!L99</f>
        <v>Thermal Zone: L03-306_MfamResiPthp</v>
      </c>
      <c r="H102" s="62">
        <f ca="1">Spaces_Sum!M99</f>
        <v>1160.8827000000001</v>
      </c>
      <c r="I102" s="62">
        <f ca="1">Spaces_Sum!O99</f>
        <v>531.70000000000005</v>
      </c>
      <c r="J102" s="62" t="e">
        <f>Spaces_Sum!#REF!</f>
        <v>#REF!</v>
      </c>
      <c r="K102" s="62" t="e">
        <f>Spaces_Sum!#REF!</f>
        <v>#REF!</v>
      </c>
      <c r="L102" s="62">
        <f>Spaces_Sum!AK99</f>
        <v>0</v>
      </c>
      <c r="M102" s="62">
        <f ca="1">Spaces_Sum!AL99</f>
        <v>3</v>
      </c>
      <c r="N102" s="62">
        <f ca="1">Spaces_Sum!AN99</f>
        <v>1</v>
      </c>
      <c r="O102" s="62">
        <f ca="1">Spaces_Sum!AO99</f>
        <v>3482.6481000000003</v>
      </c>
      <c r="P102" s="537" t="e">
        <f t="shared" ca="1" si="5"/>
        <v>#REF!</v>
      </c>
      <c r="Q102" s="70" t="e">
        <f t="shared" ca="1" si="6"/>
        <v>#REF!</v>
      </c>
      <c r="R102" s="70" t="e">
        <f t="shared" ca="1" si="7"/>
        <v>#REF!</v>
      </c>
      <c r="S102" s="70" t="e">
        <f t="shared" ca="1" si="19"/>
        <v>#REF!</v>
      </c>
      <c r="T102" s="70" t="e">
        <f t="shared" ca="1" si="9"/>
        <v>#REF!</v>
      </c>
      <c r="U102" s="70" t="e">
        <f t="shared" ca="1" si="10"/>
        <v>#REF!</v>
      </c>
      <c r="V102" s="70" t="e">
        <f t="shared" ca="1" si="20"/>
        <v>#REF!</v>
      </c>
      <c r="W102" s="70" t="e">
        <f t="shared" ca="1" si="12"/>
        <v>#REF!</v>
      </c>
      <c r="X102" s="70" t="e">
        <f t="shared" ca="1" si="13"/>
        <v>#REF!</v>
      </c>
      <c r="Y102" s="70" t="e">
        <f t="shared" ca="1" si="21"/>
        <v>#REF!</v>
      </c>
      <c r="Z102" s="70" t="e">
        <f t="shared" ca="1" si="22"/>
        <v>#REF!</v>
      </c>
      <c r="AA102" s="70" t="e">
        <f t="shared" ca="1" si="23"/>
        <v>#REF!</v>
      </c>
      <c r="AB102" s="70" t="e">
        <f t="shared" ca="1" si="23"/>
        <v>#REF!</v>
      </c>
      <c r="AC102" s="70"/>
      <c r="AD102" s="70" t="e">
        <f t="shared" ca="1" si="24"/>
        <v>#REF!</v>
      </c>
      <c r="AE102" s="70" t="e">
        <f t="shared" ca="1" si="24"/>
        <v>#REF!</v>
      </c>
      <c r="AJ102" s="62"/>
    </row>
    <row r="103" spans="1:36" ht="12" customHeight="1" x14ac:dyDescent="0.2">
      <c r="A103" s="62">
        <f t="shared" si="18"/>
        <v>45</v>
      </c>
      <c r="B103" s="62" t="str">
        <f>Spaces_Sum!C100</f>
        <v>L03-307_MfamResiPthp</v>
      </c>
      <c r="C103" s="62" t="str">
        <f ca="1">Spaces_Sum!H100</f>
        <v>Level 3</v>
      </c>
      <c r="D103" s="62" t="str">
        <f ca="1">Spaces_Sum!I100</f>
        <v>DirectlyConditioned</v>
      </c>
      <c r="E103" s="62" t="str">
        <f ca="1">Spaces_Sum!J100</f>
        <v>Dwelling Unit</v>
      </c>
      <c r="F103" s="62" t="str">
        <f ca="1">Spaces_Sum!K100</f>
        <v>Residential</v>
      </c>
      <c r="G103" s="62" t="str">
        <f ca="1">Spaces_Sum!L100</f>
        <v>Thermal Zone: L03-307_MfamResiPthp</v>
      </c>
      <c r="H103" s="62">
        <f ca="1">Spaces_Sum!M100</f>
        <v>1858.692</v>
      </c>
      <c r="I103" s="62">
        <f ca="1">Spaces_Sum!O100</f>
        <v>809.1</v>
      </c>
      <c r="J103" s="62" t="e">
        <f>Spaces_Sum!#REF!</f>
        <v>#REF!</v>
      </c>
      <c r="K103" s="62" t="e">
        <f>Spaces_Sum!#REF!</f>
        <v>#REF!</v>
      </c>
      <c r="L103" s="62">
        <f>Spaces_Sum!AK100</f>
        <v>0</v>
      </c>
      <c r="M103" s="62">
        <f ca="1">Spaces_Sum!AL100</f>
        <v>3</v>
      </c>
      <c r="N103" s="62">
        <f ca="1">Spaces_Sum!AN100</f>
        <v>1</v>
      </c>
      <c r="O103" s="62">
        <f ca="1">Spaces_Sum!AO100</f>
        <v>5576.076</v>
      </c>
      <c r="P103" s="537" t="e">
        <f t="shared" ca="1" si="5"/>
        <v>#REF!</v>
      </c>
      <c r="Q103" s="70" t="e">
        <f t="shared" ca="1" si="6"/>
        <v>#REF!</v>
      </c>
      <c r="R103" s="70" t="e">
        <f t="shared" ca="1" si="7"/>
        <v>#REF!</v>
      </c>
      <c r="S103" s="70" t="e">
        <f t="shared" ca="1" si="19"/>
        <v>#REF!</v>
      </c>
      <c r="T103" s="70" t="e">
        <f t="shared" ca="1" si="9"/>
        <v>#REF!</v>
      </c>
      <c r="U103" s="70" t="e">
        <f t="shared" ca="1" si="10"/>
        <v>#REF!</v>
      </c>
      <c r="V103" s="70" t="e">
        <f t="shared" ca="1" si="20"/>
        <v>#REF!</v>
      </c>
      <c r="W103" s="70" t="e">
        <f t="shared" ca="1" si="12"/>
        <v>#REF!</v>
      </c>
      <c r="X103" s="70" t="e">
        <f t="shared" ca="1" si="13"/>
        <v>#REF!</v>
      </c>
      <c r="Y103" s="70" t="e">
        <f t="shared" ca="1" si="21"/>
        <v>#REF!</v>
      </c>
      <c r="Z103" s="70" t="e">
        <f t="shared" ca="1" si="22"/>
        <v>#REF!</v>
      </c>
      <c r="AA103" s="70" t="e">
        <f t="shared" ca="1" si="23"/>
        <v>#REF!</v>
      </c>
      <c r="AB103" s="70" t="e">
        <f t="shared" ca="1" si="23"/>
        <v>#REF!</v>
      </c>
      <c r="AC103" s="70"/>
      <c r="AD103" s="70" t="e">
        <f t="shared" ca="1" si="24"/>
        <v>#REF!</v>
      </c>
      <c r="AE103" s="70" t="e">
        <f t="shared" ca="1" si="24"/>
        <v>#REF!</v>
      </c>
      <c r="AJ103" s="62"/>
    </row>
    <row r="104" spans="1:36" ht="12" customHeight="1" x14ac:dyDescent="0.2">
      <c r="A104" s="62">
        <f t="shared" si="18"/>
        <v>46</v>
      </c>
      <c r="B104" s="62" t="str">
        <f>Spaces_Sum!C101</f>
        <v>L03-308_MfamResiPthp</v>
      </c>
      <c r="C104" s="62" t="str">
        <f ca="1">Spaces_Sum!H101</f>
        <v>Level 3</v>
      </c>
      <c r="D104" s="62" t="str">
        <f ca="1">Spaces_Sum!I101</f>
        <v>DirectlyConditioned</v>
      </c>
      <c r="E104" s="62" t="str">
        <f ca="1">Spaces_Sum!J101</f>
        <v>Dwelling Unit</v>
      </c>
      <c r="F104" s="62" t="str">
        <f ca="1">Spaces_Sum!K101</f>
        <v>Residential</v>
      </c>
      <c r="G104" s="62" t="str">
        <f ca="1">Spaces_Sum!L101</f>
        <v>Thermal Zone: L03-308_MfamResiPthp</v>
      </c>
      <c r="H104" s="62">
        <f ca="1">Spaces_Sum!M101</f>
        <v>872.66200000000003</v>
      </c>
      <c r="I104" s="62">
        <f ca="1">Spaces_Sum!O101</f>
        <v>590.9</v>
      </c>
      <c r="J104" s="62" t="e">
        <f>Spaces_Sum!#REF!</f>
        <v>#REF!</v>
      </c>
      <c r="K104" s="62" t="e">
        <f>Spaces_Sum!#REF!</f>
        <v>#REF!</v>
      </c>
      <c r="L104" s="62">
        <f>Spaces_Sum!AK101</f>
        <v>0</v>
      </c>
      <c r="M104" s="62">
        <f ca="1">Spaces_Sum!AL101</f>
        <v>3</v>
      </c>
      <c r="N104" s="62">
        <f ca="1">Spaces_Sum!AN101</f>
        <v>1</v>
      </c>
      <c r="O104" s="62">
        <f ca="1">Spaces_Sum!AO101</f>
        <v>2617.9859999999999</v>
      </c>
      <c r="P104" s="537" t="e">
        <f t="shared" ca="1" si="5"/>
        <v>#REF!</v>
      </c>
      <c r="Q104" s="70" t="e">
        <f t="shared" ca="1" si="6"/>
        <v>#REF!</v>
      </c>
      <c r="R104" s="70" t="e">
        <f t="shared" ca="1" si="7"/>
        <v>#REF!</v>
      </c>
      <c r="S104" s="70" t="e">
        <f t="shared" ca="1" si="19"/>
        <v>#REF!</v>
      </c>
      <c r="T104" s="70" t="e">
        <f t="shared" ca="1" si="9"/>
        <v>#REF!</v>
      </c>
      <c r="U104" s="70" t="e">
        <f t="shared" ca="1" si="10"/>
        <v>#REF!</v>
      </c>
      <c r="V104" s="70" t="e">
        <f t="shared" ca="1" si="20"/>
        <v>#REF!</v>
      </c>
      <c r="W104" s="70" t="e">
        <f t="shared" ca="1" si="12"/>
        <v>#REF!</v>
      </c>
      <c r="X104" s="70" t="e">
        <f t="shared" ca="1" si="13"/>
        <v>#REF!</v>
      </c>
      <c r="Y104" s="70" t="e">
        <f t="shared" ca="1" si="21"/>
        <v>#REF!</v>
      </c>
      <c r="Z104" s="70" t="e">
        <f t="shared" ca="1" si="22"/>
        <v>#REF!</v>
      </c>
      <c r="AA104" s="70" t="e">
        <f t="shared" ca="1" si="23"/>
        <v>#REF!</v>
      </c>
      <c r="AB104" s="70" t="e">
        <f t="shared" ca="1" si="23"/>
        <v>#REF!</v>
      </c>
      <c r="AC104" s="70"/>
      <c r="AD104" s="70" t="e">
        <f t="shared" ca="1" si="24"/>
        <v>#REF!</v>
      </c>
      <c r="AE104" s="70" t="e">
        <f t="shared" ca="1" si="24"/>
        <v>#REF!</v>
      </c>
      <c r="AJ104" s="62"/>
    </row>
    <row r="105" spans="1:36" ht="12" customHeight="1" x14ac:dyDescent="0.2">
      <c r="A105" s="62">
        <f t="shared" si="18"/>
        <v>47</v>
      </c>
      <c r="B105" s="62" t="str">
        <f>Spaces_Sum!C102</f>
        <v>L03-309_MfamResiPthp</v>
      </c>
      <c r="C105" s="62" t="str">
        <f ca="1">Spaces_Sum!H102</f>
        <v>Level 3</v>
      </c>
      <c r="D105" s="62" t="str">
        <f ca="1">Spaces_Sum!I102</f>
        <v>DirectlyConditioned</v>
      </c>
      <c r="E105" s="62" t="str">
        <f ca="1">Spaces_Sum!J102</f>
        <v>Dwelling Unit</v>
      </c>
      <c r="F105" s="62" t="str">
        <f ca="1">Spaces_Sum!K102</f>
        <v>Residential</v>
      </c>
      <c r="G105" s="62" t="str">
        <f ca="1">Spaces_Sum!L102</f>
        <v>Thermal Zone: L03-309_MfamResiPthp</v>
      </c>
      <c r="H105" s="62">
        <f ca="1">Spaces_Sum!M102</f>
        <v>1347.52</v>
      </c>
      <c r="I105" s="62">
        <f ca="1">Spaces_Sum!O102</f>
        <v>858.4</v>
      </c>
      <c r="J105" s="62" t="e">
        <f>Spaces_Sum!#REF!</f>
        <v>#REF!</v>
      </c>
      <c r="K105" s="62" t="e">
        <f>Spaces_Sum!#REF!</f>
        <v>#REF!</v>
      </c>
      <c r="L105" s="62">
        <f>Spaces_Sum!AK102</f>
        <v>0</v>
      </c>
      <c r="M105" s="62">
        <f ca="1">Spaces_Sum!AL102</f>
        <v>3</v>
      </c>
      <c r="N105" s="62">
        <f ca="1">Spaces_Sum!AN102</f>
        <v>1</v>
      </c>
      <c r="O105" s="62">
        <f ca="1">Spaces_Sum!AO102</f>
        <v>4042.56</v>
      </c>
      <c r="P105" s="537" t="e">
        <f t="shared" ca="1" si="5"/>
        <v>#REF!</v>
      </c>
      <c r="Q105" s="70" t="e">
        <f t="shared" ca="1" si="6"/>
        <v>#REF!</v>
      </c>
      <c r="R105" s="70" t="e">
        <f t="shared" ca="1" si="7"/>
        <v>#REF!</v>
      </c>
      <c r="S105" s="70" t="e">
        <f t="shared" ca="1" si="19"/>
        <v>#REF!</v>
      </c>
      <c r="T105" s="70" t="e">
        <f t="shared" ca="1" si="9"/>
        <v>#REF!</v>
      </c>
      <c r="U105" s="70" t="e">
        <f t="shared" ca="1" si="10"/>
        <v>#REF!</v>
      </c>
      <c r="V105" s="70" t="e">
        <f t="shared" ca="1" si="20"/>
        <v>#REF!</v>
      </c>
      <c r="W105" s="70" t="e">
        <f t="shared" ca="1" si="12"/>
        <v>#REF!</v>
      </c>
      <c r="X105" s="70" t="e">
        <f t="shared" ca="1" si="13"/>
        <v>#REF!</v>
      </c>
      <c r="Y105" s="70" t="e">
        <f t="shared" ca="1" si="21"/>
        <v>#REF!</v>
      </c>
      <c r="Z105" s="70" t="e">
        <f t="shared" ca="1" si="22"/>
        <v>#REF!</v>
      </c>
      <c r="AA105" s="70" t="e">
        <f t="shared" ca="1" si="23"/>
        <v>#REF!</v>
      </c>
      <c r="AB105" s="70" t="e">
        <f t="shared" ca="1" si="23"/>
        <v>#REF!</v>
      </c>
      <c r="AC105" s="70"/>
      <c r="AD105" s="70" t="e">
        <f t="shared" ca="1" si="24"/>
        <v>#REF!</v>
      </c>
      <c r="AE105" s="70" t="e">
        <f t="shared" ca="1" si="24"/>
        <v>#REF!</v>
      </c>
      <c r="AJ105" s="62"/>
    </row>
    <row r="106" spans="1:36" ht="12" customHeight="1" x14ac:dyDescent="0.2">
      <c r="A106" s="62">
        <f t="shared" si="18"/>
        <v>48</v>
      </c>
      <c r="B106" s="62" t="str">
        <f>Spaces_Sum!C103</f>
        <v>L03-310_LndyRaccBbrd</v>
      </c>
      <c r="C106" s="62" t="str">
        <f ca="1">Spaces_Sum!H103</f>
        <v>Level 3</v>
      </c>
      <c r="D106" s="62" t="str">
        <f ca="1">Spaces_Sum!I103</f>
        <v>DirectlyConditioned</v>
      </c>
      <c r="E106" s="62" t="str">
        <f ca="1">Spaces_Sum!J103</f>
        <v>Laundry/Washing Area</v>
      </c>
      <c r="F106" s="62" t="str">
        <f ca="1">Spaces_Sum!K103</f>
        <v>Nonresidential</v>
      </c>
      <c r="G106" s="62" t="str">
        <f ca="1">Spaces_Sum!L103</f>
        <v>Thermal Zone: L03-310_LndyRaccBbrd</v>
      </c>
      <c r="H106" s="62">
        <f ca="1">Spaces_Sum!M103</f>
        <v>272.42880000000002</v>
      </c>
      <c r="I106" s="62">
        <f ca="1">Spaces_Sum!O103</f>
        <v>0</v>
      </c>
      <c r="J106" s="62" t="e">
        <f>Spaces_Sum!#REF!</f>
        <v>#REF!</v>
      </c>
      <c r="K106" s="62" t="e">
        <f>Spaces_Sum!#REF!</f>
        <v>#REF!</v>
      </c>
      <c r="L106" s="62">
        <f>Spaces_Sum!AK103</f>
        <v>0</v>
      </c>
      <c r="M106" s="62">
        <f ca="1">Spaces_Sum!AL103</f>
        <v>3</v>
      </c>
      <c r="N106" s="62">
        <f ca="1">Spaces_Sum!AN103</f>
        <v>0</v>
      </c>
      <c r="O106" s="62">
        <f ca="1">Spaces_Sum!AO103</f>
        <v>817.28640000000007</v>
      </c>
      <c r="P106" s="537" t="e">
        <f t="shared" ca="1" si="5"/>
        <v>#REF!</v>
      </c>
      <c r="Q106" s="70" t="e">
        <f t="shared" ca="1" si="6"/>
        <v>#REF!</v>
      </c>
      <c r="R106" s="70" t="e">
        <f t="shared" ca="1" si="7"/>
        <v>#REF!</v>
      </c>
      <c r="S106" s="70" t="e">
        <f t="shared" ca="1" si="19"/>
        <v>#REF!</v>
      </c>
      <c r="T106" s="70" t="e">
        <f t="shared" ca="1" si="9"/>
        <v>#REF!</v>
      </c>
      <c r="U106" s="70" t="e">
        <f t="shared" ca="1" si="10"/>
        <v>#REF!</v>
      </c>
      <c r="V106" s="70" t="e">
        <f t="shared" ca="1" si="20"/>
        <v>#REF!</v>
      </c>
      <c r="W106" s="70" t="e">
        <f t="shared" ca="1" si="12"/>
        <v>#REF!</v>
      </c>
      <c r="X106" s="70" t="e">
        <f t="shared" ca="1" si="13"/>
        <v>#REF!</v>
      </c>
      <c r="Y106" s="70" t="e">
        <f t="shared" ca="1" si="21"/>
        <v>#REF!</v>
      </c>
      <c r="Z106" s="70" t="e">
        <f t="shared" ca="1" si="22"/>
        <v>#REF!</v>
      </c>
      <c r="AA106" s="70" t="e">
        <f t="shared" ca="1" si="23"/>
        <v>#REF!</v>
      </c>
      <c r="AB106" s="70" t="e">
        <f t="shared" ca="1" si="23"/>
        <v>#REF!</v>
      </c>
      <c r="AC106" s="70"/>
      <c r="AD106" s="70" t="e">
        <f t="shared" ca="1" si="24"/>
        <v>#REF!</v>
      </c>
      <c r="AE106" s="70" t="e">
        <f t="shared" ca="1" si="24"/>
        <v>#REF!</v>
      </c>
      <c r="AJ106" s="62"/>
    </row>
    <row r="107" spans="1:36" ht="12" customHeight="1" x14ac:dyDescent="0.2">
      <c r="A107" s="62">
        <f t="shared" si="18"/>
        <v>49</v>
      </c>
      <c r="B107" s="62" t="str">
        <f>Spaces_Sum!C104</f>
        <v>L03-311_ElevRaccIncd</v>
      </c>
      <c r="C107" s="62" t="str">
        <f ca="1">Spaces_Sum!H104</f>
        <v>Level 3</v>
      </c>
      <c r="D107" s="62" t="str">
        <f ca="1">Spaces_Sum!I104</f>
        <v>IndirectlyConditioned</v>
      </c>
      <c r="E107" s="62" t="str">
        <f ca="1">Spaces_Sum!J104</f>
        <v>Unoccupied-Include in Gross Floor Area</v>
      </c>
      <c r="F107" s="62" t="str">
        <f ca="1">Spaces_Sum!K104</f>
        <v>Residential</v>
      </c>
      <c r="G107" s="62" t="str">
        <f ca="1">Spaces_Sum!L104</f>
        <v>Thermal Zone: L03-300_CorrRaccSphp</v>
      </c>
      <c r="H107" s="62">
        <f ca="1">Spaces_Sum!M104</f>
        <v>211.21340000000001</v>
      </c>
      <c r="I107" s="62">
        <f ca="1">Spaces_Sum!O104</f>
        <v>0</v>
      </c>
      <c r="J107" s="62" t="e">
        <f>Spaces_Sum!#REF!</f>
        <v>#REF!</v>
      </c>
      <c r="K107" s="62" t="e">
        <f>Spaces_Sum!#REF!</f>
        <v>#REF!</v>
      </c>
      <c r="L107" s="62">
        <f>Spaces_Sum!AK104</f>
        <v>0</v>
      </c>
      <c r="M107" s="62">
        <f ca="1">Spaces_Sum!AL104</f>
        <v>3</v>
      </c>
      <c r="N107" s="62">
        <f ca="1">Spaces_Sum!AN104</f>
        <v>1</v>
      </c>
      <c r="O107" s="62">
        <f ca="1">Spaces_Sum!AO104</f>
        <v>633.64020000000005</v>
      </c>
      <c r="P107" s="537" t="e">
        <f t="shared" ca="1" si="5"/>
        <v>#REF!</v>
      </c>
      <c r="Q107" s="70" t="e">
        <f t="shared" ca="1" si="6"/>
        <v>#REF!</v>
      </c>
      <c r="R107" s="70" t="e">
        <f t="shared" ca="1" si="7"/>
        <v>#REF!</v>
      </c>
      <c r="S107" s="70" t="e">
        <f t="shared" ca="1" si="19"/>
        <v>#REF!</v>
      </c>
      <c r="T107" s="70" t="e">
        <f t="shared" ca="1" si="9"/>
        <v>#REF!</v>
      </c>
      <c r="U107" s="70" t="e">
        <f t="shared" ca="1" si="10"/>
        <v>#REF!</v>
      </c>
      <c r="V107" s="70" t="e">
        <f t="shared" ca="1" si="20"/>
        <v>#REF!</v>
      </c>
      <c r="W107" s="70" t="e">
        <f t="shared" ca="1" si="12"/>
        <v>#REF!</v>
      </c>
      <c r="X107" s="70" t="e">
        <f t="shared" ca="1" si="13"/>
        <v>#REF!</v>
      </c>
      <c r="Y107" s="70" t="e">
        <f t="shared" ca="1" si="21"/>
        <v>#REF!</v>
      </c>
      <c r="Z107" s="70" t="e">
        <f t="shared" ca="1" si="22"/>
        <v>#REF!</v>
      </c>
      <c r="AA107" s="70" t="e">
        <f t="shared" ca="1" si="23"/>
        <v>#REF!</v>
      </c>
      <c r="AB107" s="70" t="e">
        <f t="shared" ca="1" si="23"/>
        <v>#REF!</v>
      </c>
      <c r="AC107" s="70"/>
      <c r="AD107" s="70" t="e">
        <f t="shared" ca="1" si="24"/>
        <v>#REF!</v>
      </c>
      <c r="AE107" s="70" t="e">
        <f t="shared" ca="1" si="24"/>
        <v>#REF!</v>
      </c>
      <c r="AJ107" s="62"/>
    </row>
    <row r="108" spans="1:36" ht="12" customHeight="1" x14ac:dyDescent="0.2">
      <c r="A108" s="62">
        <f t="shared" si="18"/>
        <v>50</v>
      </c>
      <c r="B108" s="62" t="str">
        <f>Spaces_Sum!C105</f>
        <v>L03-312_StrsRaccIncd</v>
      </c>
      <c r="C108" s="62" t="str">
        <f ca="1">Spaces_Sum!H105</f>
        <v>Level 3</v>
      </c>
      <c r="D108" s="62" t="str">
        <f ca="1">Spaces_Sum!I105</f>
        <v>IndirectlyConditioned</v>
      </c>
      <c r="E108" s="62" t="str">
        <f ca="1">Spaces_Sum!J105</f>
        <v>Stairwell</v>
      </c>
      <c r="F108" s="62" t="str">
        <f ca="1">Spaces_Sum!K105</f>
        <v>Nonresidential</v>
      </c>
      <c r="G108" s="62" t="str">
        <f ca="1">Spaces_Sum!L105</f>
        <v>Thermal Zone: L03-300_CorrRaccSphp</v>
      </c>
      <c r="H108" s="62">
        <f ca="1">Spaces_Sum!M105</f>
        <v>236.34819999999999</v>
      </c>
      <c r="I108" s="62">
        <f ca="1">Spaces_Sum!O105</f>
        <v>0</v>
      </c>
      <c r="J108" s="62" t="e">
        <f>Spaces_Sum!#REF!</f>
        <v>#REF!</v>
      </c>
      <c r="K108" s="62" t="e">
        <f>Spaces_Sum!#REF!</f>
        <v>#REF!</v>
      </c>
      <c r="L108" s="62">
        <f>Spaces_Sum!AK105</f>
        <v>0</v>
      </c>
      <c r="M108" s="62">
        <f ca="1">Spaces_Sum!AL105</f>
        <v>3</v>
      </c>
      <c r="N108" s="62">
        <f ca="1">Spaces_Sum!AN105</f>
        <v>0</v>
      </c>
      <c r="O108" s="62">
        <f ca="1">Spaces_Sum!AO105</f>
        <v>709.04459999999995</v>
      </c>
      <c r="P108" s="537" t="e">
        <f t="shared" ca="1" si="5"/>
        <v>#REF!</v>
      </c>
      <c r="Q108" s="70" t="e">
        <f t="shared" ca="1" si="6"/>
        <v>#REF!</v>
      </c>
      <c r="R108" s="70" t="e">
        <f t="shared" ca="1" si="7"/>
        <v>#REF!</v>
      </c>
      <c r="S108" s="70" t="e">
        <f t="shared" ca="1" si="19"/>
        <v>#REF!</v>
      </c>
      <c r="T108" s="70" t="e">
        <f t="shared" ca="1" si="9"/>
        <v>#REF!</v>
      </c>
      <c r="U108" s="70" t="e">
        <f t="shared" ca="1" si="10"/>
        <v>#REF!</v>
      </c>
      <c r="V108" s="70" t="e">
        <f t="shared" ca="1" si="20"/>
        <v>#REF!</v>
      </c>
      <c r="W108" s="70" t="e">
        <f t="shared" ca="1" si="12"/>
        <v>#REF!</v>
      </c>
      <c r="X108" s="70" t="e">
        <f t="shared" ca="1" si="13"/>
        <v>#REF!</v>
      </c>
      <c r="Y108" s="70" t="e">
        <f t="shared" ca="1" si="21"/>
        <v>#REF!</v>
      </c>
      <c r="Z108" s="70" t="e">
        <f t="shared" ca="1" si="22"/>
        <v>#REF!</v>
      </c>
      <c r="AA108" s="70" t="e">
        <f t="shared" ca="1" si="23"/>
        <v>#REF!</v>
      </c>
      <c r="AB108" s="70" t="e">
        <f t="shared" ca="1" si="23"/>
        <v>#REF!</v>
      </c>
      <c r="AC108" s="70"/>
      <c r="AD108" s="70" t="e">
        <f t="shared" ca="1" si="24"/>
        <v>#REF!</v>
      </c>
      <c r="AE108" s="70" t="e">
        <f t="shared" ca="1" si="24"/>
        <v>#REF!</v>
      </c>
      <c r="AJ108" s="62"/>
    </row>
    <row r="109" spans="1:36" ht="12" customHeight="1" x14ac:dyDescent="0.2">
      <c r="A109" s="62">
        <f t="shared" si="18"/>
        <v>51</v>
      </c>
      <c r="B109" s="62" t="str">
        <f>Spaces_Sum!C106</f>
        <v>L03-313_MfamResiPthp</v>
      </c>
      <c r="C109" s="62" t="str">
        <f ca="1">Spaces_Sum!H106</f>
        <v>Level 3</v>
      </c>
      <c r="D109" s="62" t="str">
        <f ca="1">Spaces_Sum!I106</f>
        <v>DirectlyConditioned</v>
      </c>
      <c r="E109" s="62" t="str">
        <f ca="1">Spaces_Sum!J106</f>
        <v>Dwelling Unit</v>
      </c>
      <c r="F109" s="62" t="str">
        <f ca="1">Spaces_Sum!K106</f>
        <v>Residential</v>
      </c>
      <c r="G109" s="62" t="str">
        <f ca="1">Spaces_Sum!L106</f>
        <v>Thermal Zone: L03-313_MfamResiPthp</v>
      </c>
      <c r="H109" s="62">
        <f ca="1">Spaces_Sum!M106</f>
        <v>3034.0410000000002</v>
      </c>
      <c r="I109" s="62">
        <f ca="1">Spaces_Sum!O106</f>
        <v>1016.9</v>
      </c>
      <c r="J109" s="62" t="e">
        <f>Spaces_Sum!#REF!</f>
        <v>#REF!</v>
      </c>
      <c r="K109" s="62" t="e">
        <f>Spaces_Sum!#REF!</f>
        <v>#REF!</v>
      </c>
      <c r="L109" s="62">
        <f>Spaces_Sum!AK106</f>
        <v>0</v>
      </c>
      <c r="M109" s="62">
        <f ca="1">Spaces_Sum!AL106</f>
        <v>3</v>
      </c>
      <c r="N109" s="62">
        <f ca="1">Spaces_Sum!AN106</f>
        <v>1</v>
      </c>
      <c r="O109" s="62">
        <f ca="1">Spaces_Sum!AO106</f>
        <v>9102.1229999999996</v>
      </c>
      <c r="P109" s="537" t="e">
        <f t="shared" ca="1" si="5"/>
        <v>#REF!</v>
      </c>
      <c r="Q109" s="70" t="e">
        <f t="shared" ca="1" si="6"/>
        <v>#REF!</v>
      </c>
      <c r="R109" s="70" t="e">
        <f t="shared" ca="1" si="7"/>
        <v>#REF!</v>
      </c>
      <c r="S109" s="70" t="e">
        <f t="shared" ca="1" si="19"/>
        <v>#REF!</v>
      </c>
      <c r="T109" s="70" t="e">
        <f t="shared" ca="1" si="9"/>
        <v>#REF!</v>
      </c>
      <c r="U109" s="70" t="e">
        <f t="shared" ca="1" si="10"/>
        <v>#REF!</v>
      </c>
      <c r="V109" s="70" t="e">
        <f t="shared" ca="1" si="20"/>
        <v>#REF!</v>
      </c>
      <c r="W109" s="70" t="e">
        <f t="shared" ca="1" si="12"/>
        <v>#REF!</v>
      </c>
      <c r="X109" s="70" t="e">
        <f t="shared" ca="1" si="13"/>
        <v>#REF!</v>
      </c>
      <c r="Y109" s="70" t="e">
        <f t="shared" ca="1" si="21"/>
        <v>#REF!</v>
      </c>
      <c r="Z109" s="70" t="e">
        <f t="shared" ca="1" si="22"/>
        <v>#REF!</v>
      </c>
      <c r="AA109" s="70" t="e">
        <f t="shared" ca="1" si="23"/>
        <v>#REF!</v>
      </c>
      <c r="AB109" s="70" t="e">
        <f t="shared" ca="1" si="23"/>
        <v>#REF!</v>
      </c>
      <c r="AC109" s="70"/>
      <c r="AD109" s="70" t="e">
        <f t="shared" ca="1" si="24"/>
        <v>#REF!</v>
      </c>
      <c r="AE109" s="70" t="e">
        <f t="shared" ca="1" si="24"/>
        <v>#REF!</v>
      </c>
      <c r="AJ109" s="62"/>
    </row>
    <row r="110" spans="1:36" ht="12" customHeight="1" x14ac:dyDescent="0.2">
      <c r="A110" s="62">
        <f t="shared" si="18"/>
        <v>52</v>
      </c>
      <c r="B110" s="62" t="str">
        <f>Spaces_Sum!C107</f>
        <v>L03-314_MechRaccIncd</v>
      </c>
      <c r="C110" s="62" t="str">
        <f ca="1">Spaces_Sum!H107</f>
        <v>Level 3</v>
      </c>
      <c r="D110" s="62" t="str">
        <f ca="1">Spaces_Sum!I107</f>
        <v>IndirectlyConditioned</v>
      </c>
      <c r="E110" s="62" t="str">
        <f ca="1">Spaces_Sum!J107</f>
        <v>Electrical/MechanicaI Room</v>
      </c>
      <c r="F110" s="62" t="str">
        <f ca="1">Spaces_Sum!K107</f>
        <v>Nonresidential</v>
      </c>
      <c r="G110" s="62" t="str">
        <f ca="1">Spaces_Sum!L107</f>
        <v>Thermal Zone: L03-300_CorrRaccSphp</v>
      </c>
      <c r="H110" s="62">
        <f ca="1">Spaces_Sum!M107</f>
        <v>347.74279999999999</v>
      </c>
      <c r="I110" s="62">
        <f ca="1">Spaces_Sum!O107</f>
        <v>0</v>
      </c>
      <c r="J110" s="62" t="e">
        <f>Spaces_Sum!#REF!</f>
        <v>#REF!</v>
      </c>
      <c r="K110" s="62" t="e">
        <f>Spaces_Sum!#REF!</f>
        <v>#REF!</v>
      </c>
      <c r="L110" s="62">
        <f>Spaces_Sum!AK107</f>
        <v>0</v>
      </c>
      <c r="M110" s="62">
        <f ca="1">Spaces_Sum!AL107</f>
        <v>3</v>
      </c>
      <c r="N110" s="62">
        <f ca="1">Spaces_Sum!AN107</f>
        <v>0</v>
      </c>
      <c r="O110" s="62">
        <f ca="1">Spaces_Sum!AO107</f>
        <v>1043.2284</v>
      </c>
      <c r="P110" s="537" t="e">
        <f t="shared" ca="1" si="5"/>
        <v>#REF!</v>
      </c>
      <c r="Q110" s="70" t="e">
        <f t="shared" ca="1" si="6"/>
        <v>#REF!</v>
      </c>
      <c r="R110" s="70" t="e">
        <f ca="1">SUMIFS(OFFSET(INDIRECT(R$47),R$48,R$49,2000),OFFSET(INDIRECT(R$47),R$48,R$50,2000),$B110)*$I110</f>
        <v>#REF!</v>
      </c>
      <c r="S110" s="70" t="e">
        <f t="shared" ca="1" si="19"/>
        <v>#REF!</v>
      </c>
      <c r="T110" s="70" t="e">
        <f t="shared" ca="1" si="9"/>
        <v>#REF!</v>
      </c>
      <c r="U110" s="70" t="e">
        <f t="shared" ca="1" si="10"/>
        <v>#REF!</v>
      </c>
      <c r="V110" s="70" t="e">
        <f t="shared" ca="1" si="20"/>
        <v>#REF!</v>
      </c>
      <c r="W110" s="70" t="e">
        <f t="shared" ca="1" si="12"/>
        <v>#REF!</v>
      </c>
      <c r="X110" s="70" t="e">
        <f t="shared" ca="1" si="13"/>
        <v>#REF!</v>
      </c>
      <c r="Y110" s="70" t="e">
        <f t="shared" ca="1" si="21"/>
        <v>#REF!</v>
      </c>
      <c r="Z110" s="70" t="e">
        <f t="shared" ca="1" si="22"/>
        <v>#REF!</v>
      </c>
      <c r="AA110" s="70" t="e">
        <f t="shared" ca="1" si="23"/>
        <v>#REF!</v>
      </c>
      <c r="AB110" s="70" t="e">
        <f t="shared" ca="1" si="23"/>
        <v>#REF!</v>
      </c>
      <c r="AC110" s="70"/>
      <c r="AD110" s="70" t="e">
        <f t="shared" ca="1" si="24"/>
        <v>#REF!</v>
      </c>
      <c r="AE110" s="70" t="e">
        <f t="shared" ca="1" si="24"/>
        <v>#REF!</v>
      </c>
      <c r="AJ110" s="62"/>
    </row>
    <row r="111" spans="1:36" ht="12" customHeight="1" x14ac:dyDescent="0.2">
      <c r="A111" s="62">
        <f t="shared" si="18"/>
        <v>53</v>
      </c>
      <c r="B111" s="62" t="str">
        <f>Spaces_Sum!C108</f>
        <v>L03-315_ElevRaccIncd</v>
      </c>
      <c r="C111" s="62" t="str">
        <f ca="1">Spaces_Sum!H108</f>
        <v>Level 3</v>
      </c>
      <c r="D111" s="62" t="str">
        <f ca="1">Spaces_Sum!I108</f>
        <v>IndirectlyConditioned</v>
      </c>
      <c r="E111" s="62" t="str">
        <f ca="1">Spaces_Sum!J108</f>
        <v>Unoccupied-Include in Gross Floor Area</v>
      </c>
      <c r="F111" s="62" t="str">
        <f ca="1">Spaces_Sum!K108</f>
        <v>Nonresidential</v>
      </c>
      <c r="G111" s="62" t="str">
        <f ca="1">Spaces_Sum!L108</f>
        <v>Thermal Zone: L03-300_CorrRaccSphp</v>
      </c>
      <c r="H111" s="62">
        <f ca="1">Spaces_Sum!M108</f>
        <v>178.88640000000001</v>
      </c>
      <c r="I111" s="62">
        <f ca="1">Spaces_Sum!O108</f>
        <v>0</v>
      </c>
      <c r="J111" s="62" t="e">
        <f>Spaces_Sum!#REF!</f>
        <v>#REF!</v>
      </c>
      <c r="K111" s="62" t="e">
        <f>Spaces_Sum!#REF!</f>
        <v>#REF!</v>
      </c>
      <c r="L111" s="62">
        <f>Spaces_Sum!AK108</f>
        <v>0</v>
      </c>
      <c r="M111" s="62">
        <f ca="1">Spaces_Sum!AL108</f>
        <v>3</v>
      </c>
      <c r="N111" s="62">
        <f ca="1">Spaces_Sum!AN108</f>
        <v>0</v>
      </c>
      <c r="O111" s="62">
        <f ca="1">Spaces_Sum!AO108</f>
        <v>536.65920000000006</v>
      </c>
      <c r="P111" s="537" t="e">
        <f t="shared" ca="1" si="5"/>
        <v>#REF!</v>
      </c>
      <c r="Q111" s="70" t="e">
        <f t="shared" ca="1" si="6"/>
        <v>#REF!</v>
      </c>
      <c r="R111" s="70" t="e">
        <f t="shared" ca="1" si="7"/>
        <v>#REF!</v>
      </c>
      <c r="S111" s="70" t="e">
        <f t="shared" ca="1" si="19"/>
        <v>#REF!</v>
      </c>
      <c r="T111" s="70" t="e">
        <f t="shared" ca="1" si="9"/>
        <v>#REF!</v>
      </c>
      <c r="U111" s="70" t="e">
        <f t="shared" ca="1" si="10"/>
        <v>#REF!</v>
      </c>
      <c r="V111" s="70" t="e">
        <f t="shared" ca="1" si="20"/>
        <v>#REF!</v>
      </c>
      <c r="W111" s="70" t="e">
        <f t="shared" ca="1" si="12"/>
        <v>#REF!</v>
      </c>
      <c r="X111" s="70" t="e">
        <f t="shared" ca="1" si="13"/>
        <v>#REF!</v>
      </c>
      <c r="Y111" s="70" t="e">
        <f t="shared" ca="1" si="21"/>
        <v>#REF!</v>
      </c>
      <c r="Z111" s="70" t="e">
        <f t="shared" ca="1" si="22"/>
        <v>#REF!</v>
      </c>
      <c r="AA111" s="70" t="e">
        <f t="shared" ca="1" si="23"/>
        <v>#REF!</v>
      </c>
      <c r="AB111" s="70" t="e">
        <f t="shared" ca="1" si="23"/>
        <v>#REF!</v>
      </c>
      <c r="AC111" s="70"/>
      <c r="AD111" s="70" t="e">
        <f t="shared" ca="1" si="24"/>
        <v>#REF!</v>
      </c>
      <c r="AE111" s="70" t="e">
        <f t="shared" ca="1" si="24"/>
        <v>#REF!</v>
      </c>
      <c r="AJ111" s="62"/>
    </row>
    <row r="112" spans="1:36" ht="12" customHeight="1" x14ac:dyDescent="0.2">
      <c r="A112" s="62">
        <f t="shared" si="18"/>
        <v>54</v>
      </c>
      <c r="B112" s="62" t="str">
        <f>Spaces_Sum!C109</f>
        <v>L03-316_StrsRaccIncd</v>
      </c>
      <c r="C112" s="62" t="str">
        <f ca="1">Spaces_Sum!H109</f>
        <v>Level 3</v>
      </c>
      <c r="D112" s="62" t="str">
        <f ca="1">Spaces_Sum!I109</f>
        <v>IndirectlyConditioned</v>
      </c>
      <c r="E112" s="62" t="str">
        <f ca="1">Spaces_Sum!J109</f>
        <v>Stairwell</v>
      </c>
      <c r="F112" s="62" t="str">
        <f ca="1">Spaces_Sum!K109</f>
        <v>Nonresidential</v>
      </c>
      <c r="G112" s="62" t="str">
        <f ca="1">Spaces_Sum!L109</f>
        <v>Thermal Zone: L03-300_CorrRaccSphp</v>
      </c>
      <c r="H112" s="62">
        <f ca="1">Spaces_Sum!M109</f>
        <v>232.53399999999999</v>
      </c>
      <c r="I112" s="62">
        <f ca="1">Spaces_Sum!O109</f>
        <v>0</v>
      </c>
      <c r="J112" s="62" t="e">
        <f>Spaces_Sum!#REF!</f>
        <v>#REF!</v>
      </c>
      <c r="K112" s="62" t="e">
        <f>Spaces_Sum!#REF!</f>
        <v>#REF!</v>
      </c>
      <c r="L112" s="62">
        <f>Spaces_Sum!AK109</f>
        <v>0</v>
      </c>
      <c r="M112" s="62">
        <f ca="1">Spaces_Sum!AL109</f>
        <v>3</v>
      </c>
      <c r="N112" s="62">
        <f ca="1">Spaces_Sum!AN109</f>
        <v>0</v>
      </c>
      <c r="O112" s="62">
        <f ca="1">Spaces_Sum!AO109</f>
        <v>697.60199999999998</v>
      </c>
      <c r="P112" s="537" t="e">
        <f t="shared" ca="1" si="5"/>
        <v>#REF!</v>
      </c>
      <c r="Q112" s="70" t="e">
        <f t="shared" ca="1" si="6"/>
        <v>#REF!</v>
      </c>
      <c r="R112" s="70" t="e">
        <f t="shared" ca="1" si="7"/>
        <v>#REF!</v>
      </c>
      <c r="S112" s="70" t="e">
        <f t="shared" ca="1" si="19"/>
        <v>#REF!</v>
      </c>
      <c r="T112" s="70" t="e">
        <f t="shared" ca="1" si="9"/>
        <v>#REF!</v>
      </c>
      <c r="U112" s="70" t="e">
        <f t="shared" ca="1" si="10"/>
        <v>#REF!</v>
      </c>
      <c r="V112" s="70" t="e">
        <f t="shared" ca="1" si="20"/>
        <v>#REF!</v>
      </c>
      <c r="W112" s="70" t="e">
        <f t="shared" ca="1" si="12"/>
        <v>#REF!</v>
      </c>
      <c r="X112" s="70" t="e">
        <f t="shared" ca="1" si="13"/>
        <v>#REF!</v>
      </c>
      <c r="Y112" s="70" t="e">
        <f t="shared" ca="1" si="21"/>
        <v>#REF!</v>
      </c>
      <c r="Z112" s="70" t="e">
        <f t="shared" ca="1" si="22"/>
        <v>#REF!</v>
      </c>
      <c r="AA112" s="70" t="e">
        <f t="shared" ca="1" si="23"/>
        <v>#REF!</v>
      </c>
      <c r="AB112" s="70" t="e">
        <f t="shared" ca="1" si="23"/>
        <v>#REF!</v>
      </c>
      <c r="AC112" s="70"/>
      <c r="AD112" s="70" t="e">
        <f t="shared" ca="1" si="24"/>
        <v>#REF!</v>
      </c>
      <c r="AE112" s="70" t="e">
        <f t="shared" ca="1" si="24"/>
        <v>#REF!</v>
      </c>
      <c r="AJ112" s="62"/>
    </row>
    <row r="113" spans="1:36" ht="12" customHeight="1" x14ac:dyDescent="0.2">
      <c r="A113" s="62">
        <f t="shared" si="18"/>
        <v>55</v>
      </c>
      <c r="B113" s="62" t="str">
        <f>Spaces_Sum!C110</f>
        <v>L03-317_MfamResiPthp</v>
      </c>
      <c r="C113" s="62" t="str">
        <f ca="1">Spaces_Sum!H110</f>
        <v>Level 3</v>
      </c>
      <c r="D113" s="62" t="str">
        <f ca="1">Spaces_Sum!I110</f>
        <v>DirectlyConditioned</v>
      </c>
      <c r="E113" s="62" t="str">
        <f ca="1">Spaces_Sum!J110</f>
        <v>Dwelling Unit</v>
      </c>
      <c r="F113" s="62" t="str">
        <f ca="1">Spaces_Sum!K110</f>
        <v>Residential</v>
      </c>
      <c r="G113" s="62" t="str">
        <f ca="1">Spaces_Sum!L110</f>
        <v>Thermal Zone: L03-317_MfamResiPthp</v>
      </c>
      <c r="H113" s="62">
        <f ca="1">Spaces_Sum!M110</f>
        <v>688.28060000000005</v>
      </c>
      <c r="I113" s="62">
        <f ca="1">Spaces_Sum!O110</f>
        <v>251.3</v>
      </c>
      <c r="J113" s="62" t="e">
        <f>Spaces_Sum!#REF!</f>
        <v>#REF!</v>
      </c>
      <c r="K113" s="62" t="e">
        <f>Spaces_Sum!#REF!</f>
        <v>#REF!</v>
      </c>
      <c r="L113" s="62">
        <f>Spaces_Sum!AK110</f>
        <v>0</v>
      </c>
      <c r="M113" s="62">
        <f ca="1">Spaces_Sum!AL110</f>
        <v>3</v>
      </c>
      <c r="N113" s="62">
        <f ca="1">Spaces_Sum!AN110</f>
        <v>1</v>
      </c>
      <c r="O113" s="62">
        <f ca="1">Spaces_Sum!AO110</f>
        <v>2064.8418000000001</v>
      </c>
      <c r="P113" s="537" t="e">
        <f t="shared" ca="1" si="5"/>
        <v>#REF!</v>
      </c>
      <c r="Q113" s="70" t="e">
        <f t="shared" ca="1" si="6"/>
        <v>#REF!</v>
      </c>
      <c r="R113" s="70" t="e">
        <f t="shared" ca="1" si="7"/>
        <v>#REF!</v>
      </c>
      <c r="S113" s="70" t="e">
        <f t="shared" ca="1" si="19"/>
        <v>#REF!</v>
      </c>
      <c r="T113" s="70" t="e">
        <f t="shared" ca="1" si="9"/>
        <v>#REF!</v>
      </c>
      <c r="U113" s="70" t="e">
        <f t="shared" ca="1" si="10"/>
        <v>#REF!</v>
      </c>
      <c r="V113" s="70" t="e">
        <f t="shared" ca="1" si="20"/>
        <v>#REF!</v>
      </c>
      <c r="W113" s="70" t="e">
        <f t="shared" ca="1" si="12"/>
        <v>#REF!</v>
      </c>
      <c r="X113" s="70" t="e">
        <f t="shared" ca="1" si="13"/>
        <v>#REF!</v>
      </c>
      <c r="Y113" s="70" t="e">
        <f t="shared" ca="1" si="21"/>
        <v>#REF!</v>
      </c>
      <c r="Z113" s="70" t="e">
        <f t="shared" ca="1" si="22"/>
        <v>#REF!</v>
      </c>
      <c r="AA113" s="70" t="e">
        <f t="shared" ca="1" si="23"/>
        <v>#REF!</v>
      </c>
      <c r="AB113" s="70" t="e">
        <f t="shared" ca="1" si="23"/>
        <v>#REF!</v>
      </c>
      <c r="AC113" s="70"/>
      <c r="AD113" s="70" t="e">
        <f t="shared" ca="1" si="24"/>
        <v>#REF!</v>
      </c>
      <c r="AE113" s="70" t="e">
        <f t="shared" ca="1" si="24"/>
        <v>#REF!</v>
      </c>
      <c r="AJ113" s="62"/>
    </row>
    <row r="114" spans="1:36" ht="12" customHeight="1" x14ac:dyDescent="0.2">
      <c r="A114" s="62">
        <f t="shared" si="18"/>
        <v>56</v>
      </c>
      <c r="B114" s="62" t="str">
        <f>Spaces_Sum!C111</f>
        <v>L03-318_TrshRaccIncd</v>
      </c>
      <c r="C114" s="62" t="str">
        <f ca="1">Spaces_Sum!H111</f>
        <v>Level 3</v>
      </c>
      <c r="D114" s="62" t="str">
        <f ca="1">Spaces_Sum!I111</f>
        <v>IndirectlyConditioned</v>
      </c>
      <c r="E114" s="62" t="str">
        <f ca="1">Spaces_Sum!J111</f>
        <v>Storage Room - &lt;50 ft2</v>
      </c>
      <c r="F114" s="62" t="str">
        <f ca="1">Spaces_Sum!K111</f>
        <v>Nonresidential</v>
      </c>
      <c r="G114" s="62" t="str">
        <f ca="1">Spaces_Sum!L111</f>
        <v>Thermal Zone: L03-300_CorrRaccSphp</v>
      </c>
      <c r="H114" s="62">
        <f ca="1">Spaces_Sum!M111</f>
        <v>187.88740000000001</v>
      </c>
      <c r="I114" s="62">
        <f ca="1">Spaces_Sum!O111</f>
        <v>0</v>
      </c>
      <c r="J114" s="62" t="e">
        <f>Spaces_Sum!#REF!</f>
        <v>#REF!</v>
      </c>
      <c r="K114" s="62" t="e">
        <f>Spaces_Sum!#REF!</f>
        <v>#REF!</v>
      </c>
      <c r="L114" s="62">
        <f>Spaces_Sum!AK111</f>
        <v>0</v>
      </c>
      <c r="M114" s="62">
        <f ca="1">Spaces_Sum!AL111</f>
        <v>3</v>
      </c>
      <c r="N114" s="62">
        <f ca="1">Spaces_Sum!AN111</f>
        <v>0</v>
      </c>
      <c r="O114" s="62">
        <f ca="1">Spaces_Sum!AO111</f>
        <v>563.66219999999998</v>
      </c>
      <c r="P114" s="537" t="e">
        <f t="shared" ca="1" si="5"/>
        <v>#REF!</v>
      </c>
      <c r="Q114" s="70" t="e">
        <f t="shared" ca="1" si="6"/>
        <v>#REF!</v>
      </c>
      <c r="R114" s="70" t="e">
        <f t="shared" ca="1" si="7"/>
        <v>#REF!</v>
      </c>
      <c r="S114" s="70" t="e">
        <f t="shared" ca="1" si="19"/>
        <v>#REF!</v>
      </c>
      <c r="T114" s="70" t="e">
        <f t="shared" ca="1" si="9"/>
        <v>#REF!</v>
      </c>
      <c r="U114" s="70" t="e">
        <f t="shared" ca="1" si="10"/>
        <v>#REF!</v>
      </c>
      <c r="V114" s="70" t="e">
        <f t="shared" ca="1" si="20"/>
        <v>#REF!</v>
      </c>
      <c r="W114" s="70" t="e">
        <f t="shared" ca="1" si="12"/>
        <v>#REF!</v>
      </c>
      <c r="X114" s="70" t="e">
        <f t="shared" ca="1" si="13"/>
        <v>#REF!</v>
      </c>
      <c r="Y114" s="70" t="e">
        <f t="shared" ca="1" si="21"/>
        <v>#REF!</v>
      </c>
      <c r="Z114" s="70" t="e">
        <f t="shared" ca="1" si="22"/>
        <v>#REF!</v>
      </c>
      <c r="AA114" s="70" t="e">
        <f t="shared" ca="1" si="23"/>
        <v>#REF!</v>
      </c>
      <c r="AB114" s="70" t="e">
        <f t="shared" ca="1" si="23"/>
        <v>#REF!</v>
      </c>
      <c r="AC114" s="70"/>
      <c r="AD114" s="70" t="e">
        <f t="shared" ca="1" si="24"/>
        <v>#REF!</v>
      </c>
      <c r="AE114" s="70" t="e">
        <f t="shared" ca="1" si="24"/>
        <v>#REF!</v>
      </c>
      <c r="AJ114" s="62"/>
    </row>
    <row r="115" spans="1:36" ht="12" customHeight="1" x14ac:dyDescent="0.2">
      <c r="A115" s="62">
        <f t="shared" si="18"/>
        <v>57</v>
      </c>
      <c r="B115" s="62" t="str">
        <f>Spaces_Sum!C112</f>
        <v>L03-319_MfamResiPthp</v>
      </c>
      <c r="C115" s="62" t="str">
        <f ca="1">Spaces_Sum!H112</f>
        <v>Level 3</v>
      </c>
      <c r="D115" s="62" t="str">
        <f ca="1">Spaces_Sum!I112</f>
        <v>DirectlyConditioned</v>
      </c>
      <c r="E115" s="62" t="str">
        <f ca="1">Spaces_Sum!J112</f>
        <v>Dwelling Unit</v>
      </c>
      <c r="F115" s="62" t="str">
        <f ca="1">Spaces_Sum!K112</f>
        <v>Residential</v>
      </c>
      <c r="G115" s="62" t="str">
        <f ca="1">Spaces_Sum!L112</f>
        <v>Thermal Zone: L03-319_MfamResiPthp</v>
      </c>
      <c r="H115" s="62">
        <f ca="1">Spaces_Sum!M112</f>
        <v>662.92970000000003</v>
      </c>
      <c r="I115" s="62">
        <f ca="1">Spaces_Sum!O112</f>
        <v>586</v>
      </c>
      <c r="J115" s="62" t="e">
        <f>Spaces_Sum!#REF!</f>
        <v>#REF!</v>
      </c>
      <c r="K115" s="62" t="e">
        <f>Spaces_Sum!#REF!</f>
        <v>#REF!</v>
      </c>
      <c r="L115" s="62">
        <f>Spaces_Sum!AK112</f>
        <v>0</v>
      </c>
      <c r="M115" s="62">
        <f ca="1">Spaces_Sum!AL112</f>
        <v>3</v>
      </c>
      <c r="N115" s="62">
        <f ca="1">Spaces_Sum!AN112</f>
        <v>1</v>
      </c>
      <c r="O115" s="62">
        <f ca="1">Spaces_Sum!AO112</f>
        <v>1988.7891</v>
      </c>
      <c r="P115" s="537" t="e">
        <f t="shared" ca="1" si="5"/>
        <v>#REF!</v>
      </c>
      <c r="Q115" s="70" t="e">
        <f t="shared" ca="1" si="6"/>
        <v>#REF!</v>
      </c>
      <c r="R115" s="70" t="e">
        <f t="shared" ca="1" si="7"/>
        <v>#REF!</v>
      </c>
      <c r="S115" s="70" t="e">
        <f t="shared" ca="1" si="19"/>
        <v>#REF!</v>
      </c>
      <c r="T115" s="70" t="e">
        <f t="shared" ca="1" si="9"/>
        <v>#REF!</v>
      </c>
      <c r="U115" s="70" t="e">
        <f t="shared" ca="1" si="10"/>
        <v>#REF!</v>
      </c>
      <c r="V115" s="70" t="e">
        <f t="shared" ca="1" si="20"/>
        <v>#REF!</v>
      </c>
      <c r="W115" s="70" t="e">
        <f t="shared" ca="1" si="12"/>
        <v>#REF!</v>
      </c>
      <c r="X115" s="70" t="e">
        <f t="shared" ca="1" si="13"/>
        <v>#REF!</v>
      </c>
      <c r="Y115" s="70" t="e">
        <f t="shared" ca="1" si="21"/>
        <v>#REF!</v>
      </c>
      <c r="Z115" s="70" t="e">
        <f t="shared" ca="1" si="22"/>
        <v>#REF!</v>
      </c>
      <c r="AA115" s="70" t="e">
        <f t="shared" ca="1" si="23"/>
        <v>#REF!</v>
      </c>
      <c r="AB115" s="70" t="e">
        <f t="shared" ca="1" si="23"/>
        <v>#REF!</v>
      </c>
      <c r="AC115" s="70"/>
      <c r="AD115" s="70" t="e">
        <f t="shared" ca="1" si="24"/>
        <v>#REF!</v>
      </c>
      <c r="AE115" s="70" t="e">
        <f t="shared" ca="1" si="24"/>
        <v>#REF!</v>
      </c>
      <c r="AJ115" s="62"/>
    </row>
    <row r="116" spans="1:36" ht="12" customHeight="1" x14ac:dyDescent="0.2">
      <c r="A116" s="62">
        <f t="shared" si="18"/>
        <v>58</v>
      </c>
      <c r="B116" s="62" t="str">
        <f>Spaces_Sum!C113</f>
        <v>L06-600_CorrRaccSphp</v>
      </c>
      <c r="C116" s="62" t="str">
        <f ca="1">Spaces_Sum!H113</f>
        <v>Level 6</v>
      </c>
      <c r="D116" s="62" t="str">
        <f ca="1">Spaces_Sum!I113</f>
        <v>DirectlyConditioned</v>
      </c>
      <c r="E116" s="62" t="str">
        <f ca="1">Spaces_Sum!J113</f>
        <v>Corridor - All other</v>
      </c>
      <c r="F116" s="62" t="str">
        <f ca="1">Spaces_Sum!K113</f>
        <v>Nonresidential</v>
      </c>
      <c r="G116" s="62" t="str">
        <f ca="1">Spaces_Sum!L113</f>
        <v>Thermal Zone: L06-600_CorrRaccSphp</v>
      </c>
      <c r="H116" s="62">
        <f ca="1">Spaces_Sum!M113</f>
        <v>1916.0455999999999</v>
      </c>
      <c r="I116" s="62">
        <f ca="1">Spaces_Sum!O113</f>
        <v>0</v>
      </c>
      <c r="J116" s="62" t="e">
        <f>Spaces_Sum!#REF!</f>
        <v>#REF!</v>
      </c>
      <c r="K116" s="62" t="e">
        <f>Spaces_Sum!#REF!</f>
        <v>#REF!</v>
      </c>
      <c r="L116" s="62">
        <f>Spaces_Sum!AK113</f>
        <v>0</v>
      </c>
      <c r="M116" s="62">
        <f ca="1">Spaces_Sum!AL113</f>
        <v>1</v>
      </c>
      <c r="N116" s="62">
        <f ca="1">Spaces_Sum!AN113</f>
        <v>0</v>
      </c>
      <c r="O116" s="62">
        <f ca="1">Spaces_Sum!AO113</f>
        <v>1916.0455999999999</v>
      </c>
      <c r="P116" s="537" t="e">
        <f t="shared" ca="1" si="5"/>
        <v>#REF!</v>
      </c>
      <c r="Q116" s="70" t="e">
        <f t="shared" ca="1" si="6"/>
        <v>#REF!</v>
      </c>
      <c r="R116" s="70" t="e">
        <f t="shared" ca="1" si="7"/>
        <v>#REF!</v>
      </c>
      <c r="S116" s="70" t="e">
        <f t="shared" ca="1" si="19"/>
        <v>#REF!</v>
      </c>
      <c r="T116" s="70" t="e">
        <f t="shared" ca="1" si="9"/>
        <v>#REF!</v>
      </c>
      <c r="U116" s="70" t="e">
        <f t="shared" ca="1" si="10"/>
        <v>#REF!</v>
      </c>
      <c r="V116" s="70" t="e">
        <f t="shared" ca="1" si="20"/>
        <v>#REF!</v>
      </c>
      <c r="W116" s="70" t="e">
        <f t="shared" ca="1" si="12"/>
        <v>#REF!</v>
      </c>
      <c r="X116" s="70" t="e">
        <f t="shared" ca="1" si="13"/>
        <v>#REF!</v>
      </c>
      <c r="Y116" s="70" t="e">
        <f t="shared" ca="1" si="21"/>
        <v>#REF!</v>
      </c>
      <c r="Z116" s="70" t="e">
        <f t="shared" ca="1" si="22"/>
        <v>#REF!</v>
      </c>
      <c r="AA116" s="70" t="e">
        <f t="shared" ca="1" si="23"/>
        <v>#REF!</v>
      </c>
      <c r="AB116" s="70" t="e">
        <f t="shared" ca="1" si="23"/>
        <v>#REF!</v>
      </c>
      <c r="AC116" s="70"/>
      <c r="AD116" s="70" t="e">
        <f t="shared" ca="1" si="24"/>
        <v>#REF!</v>
      </c>
      <c r="AE116" s="70" t="e">
        <f t="shared" ca="1" si="24"/>
        <v>#REF!</v>
      </c>
      <c r="AJ116" s="62"/>
    </row>
    <row r="117" spans="1:36" ht="12" customHeight="1" x14ac:dyDescent="0.2">
      <c r="A117" s="62">
        <f t="shared" si="18"/>
        <v>59</v>
      </c>
      <c r="B117" s="62" t="str">
        <f>Spaces_Sum!C114</f>
        <v>L06-601_MfamResiPthp</v>
      </c>
      <c r="C117" s="62" t="str">
        <f ca="1">Spaces_Sum!H114</f>
        <v>Level 6</v>
      </c>
      <c r="D117" s="62" t="str">
        <f ca="1">Spaces_Sum!I114</f>
        <v>DirectlyConditioned</v>
      </c>
      <c r="E117" s="62" t="str">
        <f ca="1">Spaces_Sum!J114</f>
        <v>Dwelling Unit</v>
      </c>
      <c r="F117" s="62" t="str">
        <f ca="1">Spaces_Sum!K114</f>
        <v>Residential</v>
      </c>
      <c r="G117" s="62" t="str">
        <f ca="1">Spaces_Sum!L114</f>
        <v>Thermal Zone: L06-601_MfamResiPthp</v>
      </c>
      <c r="H117" s="62">
        <f ca="1">Spaces_Sum!M114</f>
        <v>872.36159999999995</v>
      </c>
      <c r="I117" s="62">
        <f ca="1">Spaces_Sum!O114</f>
        <v>622</v>
      </c>
      <c r="J117" s="62" t="e">
        <f>Spaces_Sum!#REF!</f>
        <v>#REF!</v>
      </c>
      <c r="K117" s="62" t="e">
        <f>Spaces_Sum!#REF!</f>
        <v>#REF!</v>
      </c>
      <c r="L117" s="62">
        <f>Spaces_Sum!AK114</f>
        <v>0</v>
      </c>
      <c r="M117" s="62">
        <f ca="1">Spaces_Sum!AL114</f>
        <v>1</v>
      </c>
      <c r="N117" s="62">
        <f ca="1">Spaces_Sum!AN114</f>
        <v>1</v>
      </c>
      <c r="O117" s="62">
        <f ca="1">Spaces_Sum!AO114</f>
        <v>872.36159999999995</v>
      </c>
      <c r="P117" s="537" t="e">
        <f t="shared" ca="1" si="5"/>
        <v>#REF!</v>
      </c>
      <c r="Q117" s="70" t="e">
        <f t="shared" ca="1" si="6"/>
        <v>#REF!</v>
      </c>
      <c r="R117" s="70" t="e">
        <f t="shared" ca="1" si="7"/>
        <v>#REF!</v>
      </c>
      <c r="S117" s="70" t="e">
        <f t="shared" ca="1" si="19"/>
        <v>#REF!</v>
      </c>
      <c r="T117" s="70" t="e">
        <f t="shared" ca="1" si="9"/>
        <v>#REF!</v>
      </c>
      <c r="U117" s="70" t="e">
        <f t="shared" ca="1" si="10"/>
        <v>#REF!</v>
      </c>
      <c r="V117" s="70" t="e">
        <f t="shared" ca="1" si="20"/>
        <v>#REF!</v>
      </c>
      <c r="W117" s="70" t="e">
        <f t="shared" ca="1" si="12"/>
        <v>#REF!</v>
      </c>
      <c r="X117" s="70" t="e">
        <f t="shared" ca="1" si="13"/>
        <v>#REF!</v>
      </c>
      <c r="Y117" s="70" t="e">
        <f t="shared" ca="1" si="21"/>
        <v>#REF!</v>
      </c>
      <c r="Z117" s="70" t="e">
        <f t="shared" ca="1" si="22"/>
        <v>#REF!</v>
      </c>
      <c r="AA117" s="70" t="e">
        <f t="shared" ca="1" si="23"/>
        <v>#REF!</v>
      </c>
      <c r="AB117" s="70" t="e">
        <f t="shared" ca="1" si="23"/>
        <v>#REF!</v>
      </c>
      <c r="AC117" s="70"/>
      <c r="AD117" s="70" t="e">
        <f t="shared" ca="1" si="24"/>
        <v>#REF!</v>
      </c>
      <c r="AE117" s="70" t="e">
        <f t="shared" ca="1" si="24"/>
        <v>#REF!</v>
      </c>
      <c r="AJ117" s="62"/>
    </row>
    <row r="118" spans="1:36" ht="12" customHeight="1" x14ac:dyDescent="0.2">
      <c r="A118" s="62">
        <f t="shared" si="18"/>
        <v>60</v>
      </c>
      <c r="B118" s="62" t="str">
        <f>Spaces_Sum!C115</f>
        <v>L06-602_MfamResiPthp</v>
      </c>
      <c r="C118" s="62" t="str">
        <f ca="1">Spaces_Sum!H115</f>
        <v>Level 6</v>
      </c>
      <c r="D118" s="62" t="str">
        <f ca="1">Spaces_Sum!I115</f>
        <v>DirectlyConditioned</v>
      </c>
      <c r="E118" s="62" t="str">
        <f ca="1">Spaces_Sum!J115</f>
        <v>Dwelling Unit</v>
      </c>
      <c r="F118" s="62" t="str">
        <f ca="1">Spaces_Sum!K115</f>
        <v>Residential</v>
      </c>
      <c r="G118" s="62" t="str">
        <f ca="1">Spaces_Sum!L115</f>
        <v>Thermal Zone: L06-602_MfamResiPthp</v>
      </c>
      <c r="H118" s="62">
        <f ca="1">Spaces_Sum!M115</f>
        <v>1660.6944000000001</v>
      </c>
      <c r="I118" s="62">
        <f ca="1">Spaces_Sum!O115</f>
        <v>640.70000000000005</v>
      </c>
      <c r="J118" s="62" t="e">
        <f>Spaces_Sum!#REF!</f>
        <v>#REF!</v>
      </c>
      <c r="K118" s="62" t="e">
        <f>Spaces_Sum!#REF!</f>
        <v>#REF!</v>
      </c>
      <c r="L118" s="62">
        <f>Spaces_Sum!AK115</f>
        <v>0</v>
      </c>
      <c r="M118" s="62">
        <f ca="1">Spaces_Sum!AL115</f>
        <v>1</v>
      </c>
      <c r="N118" s="62">
        <f ca="1">Spaces_Sum!AN115</f>
        <v>1</v>
      </c>
      <c r="O118" s="62">
        <f ca="1">Spaces_Sum!AO115</f>
        <v>1660.6944000000001</v>
      </c>
      <c r="P118" s="537" t="e">
        <f t="shared" ca="1" si="5"/>
        <v>#REF!</v>
      </c>
      <c r="Q118" s="70" t="e">
        <f t="shared" ca="1" si="6"/>
        <v>#REF!</v>
      </c>
      <c r="R118" s="70" t="e">
        <f t="shared" ca="1" si="7"/>
        <v>#REF!</v>
      </c>
      <c r="S118" s="70" t="e">
        <f t="shared" ca="1" si="19"/>
        <v>#REF!</v>
      </c>
      <c r="T118" s="70" t="e">
        <f t="shared" ca="1" si="9"/>
        <v>#REF!</v>
      </c>
      <c r="U118" s="70" t="e">
        <f t="shared" ca="1" si="10"/>
        <v>#REF!</v>
      </c>
      <c r="V118" s="70" t="e">
        <f t="shared" ca="1" si="20"/>
        <v>#REF!</v>
      </c>
      <c r="W118" s="70" t="e">
        <f t="shared" ca="1" si="12"/>
        <v>#REF!</v>
      </c>
      <c r="X118" s="70" t="e">
        <f t="shared" ca="1" si="13"/>
        <v>#REF!</v>
      </c>
      <c r="Y118" s="70" t="e">
        <f t="shared" ca="1" si="21"/>
        <v>#REF!</v>
      </c>
      <c r="Z118" s="70" t="e">
        <f t="shared" ca="1" si="22"/>
        <v>#REF!</v>
      </c>
      <c r="AA118" s="70" t="e">
        <f t="shared" ca="1" si="23"/>
        <v>#REF!</v>
      </c>
      <c r="AB118" s="70" t="e">
        <f t="shared" ca="1" si="23"/>
        <v>#REF!</v>
      </c>
      <c r="AC118" s="70"/>
      <c r="AD118" s="70" t="e">
        <f t="shared" ca="1" si="24"/>
        <v>#REF!</v>
      </c>
      <c r="AE118" s="70" t="e">
        <f t="shared" ca="1" si="24"/>
        <v>#REF!</v>
      </c>
      <c r="AJ118" s="62"/>
    </row>
    <row r="119" spans="1:36" ht="12" customHeight="1" x14ac:dyDescent="0.2">
      <c r="A119" s="62">
        <f t="shared" si="18"/>
        <v>61</v>
      </c>
      <c r="B119" s="62" t="str">
        <f>Spaces_Sum!C116</f>
        <v>L06-603_MfamResiPthp</v>
      </c>
      <c r="C119" s="62" t="str">
        <f ca="1">Spaces_Sum!H116</f>
        <v>Level 6</v>
      </c>
      <c r="D119" s="62" t="str">
        <f ca="1">Spaces_Sum!I116</f>
        <v>DirectlyConditioned</v>
      </c>
      <c r="E119" s="62" t="str">
        <f ca="1">Spaces_Sum!J116</f>
        <v>Dwelling Unit</v>
      </c>
      <c r="F119" s="62" t="str">
        <f ca="1">Spaces_Sum!K116</f>
        <v>Residential</v>
      </c>
      <c r="G119" s="62" t="str">
        <f ca="1">Spaces_Sum!L116</f>
        <v>Thermal Zone: L06-603_MfamResiPthp</v>
      </c>
      <c r="H119" s="62">
        <f ca="1">Spaces_Sum!M116</f>
        <v>1116.5980999999999</v>
      </c>
      <c r="I119" s="62">
        <f ca="1">Spaces_Sum!O116</f>
        <v>686.8</v>
      </c>
      <c r="J119" s="62" t="e">
        <f>Spaces_Sum!#REF!</f>
        <v>#REF!</v>
      </c>
      <c r="K119" s="62" t="e">
        <f>Spaces_Sum!#REF!</f>
        <v>#REF!</v>
      </c>
      <c r="L119" s="62">
        <f>Spaces_Sum!AK116</f>
        <v>0</v>
      </c>
      <c r="M119" s="62">
        <f ca="1">Spaces_Sum!AL116</f>
        <v>1</v>
      </c>
      <c r="N119" s="62">
        <f ca="1">Spaces_Sum!AN116</f>
        <v>1</v>
      </c>
      <c r="O119" s="62">
        <f ca="1">Spaces_Sum!AO116</f>
        <v>1116.5980999999999</v>
      </c>
      <c r="P119" s="537" t="e">
        <f t="shared" ca="1" si="5"/>
        <v>#REF!</v>
      </c>
      <c r="Q119" s="70" t="e">
        <f t="shared" ca="1" si="6"/>
        <v>#REF!</v>
      </c>
      <c r="R119" s="70" t="e">
        <f t="shared" ca="1" si="7"/>
        <v>#REF!</v>
      </c>
      <c r="S119" s="70" t="e">
        <f t="shared" ca="1" si="19"/>
        <v>#REF!</v>
      </c>
      <c r="T119" s="70" t="e">
        <f t="shared" ca="1" si="9"/>
        <v>#REF!</v>
      </c>
      <c r="U119" s="70" t="e">
        <f t="shared" ca="1" si="10"/>
        <v>#REF!</v>
      </c>
      <c r="V119" s="70" t="e">
        <f t="shared" ca="1" si="20"/>
        <v>#REF!</v>
      </c>
      <c r="W119" s="70" t="e">
        <f t="shared" ca="1" si="12"/>
        <v>#REF!</v>
      </c>
      <c r="X119" s="70" t="e">
        <f t="shared" ca="1" si="13"/>
        <v>#REF!</v>
      </c>
      <c r="Y119" s="70" t="e">
        <f t="shared" ca="1" si="21"/>
        <v>#REF!</v>
      </c>
      <c r="Z119" s="70" t="e">
        <f t="shared" ca="1" si="22"/>
        <v>#REF!</v>
      </c>
      <c r="AA119" s="70" t="e">
        <f t="shared" ca="1" si="23"/>
        <v>#REF!</v>
      </c>
      <c r="AB119" s="70" t="e">
        <f t="shared" ca="1" si="23"/>
        <v>#REF!</v>
      </c>
      <c r="AC119" s="70"/>
      <c r="AD119" s="70" t="e">
        <f t="shared" ca="1" si="24"/>
        <v>#REF!</v>
      </c>
      <c r="AE119" s="70" t="e">
        <f t="shared" ca="1" si="24"/>
        <v>#REF!</v>
      </c>
      <c r="AJ119" s="62"/>
    </row>
    <row r="120" spans="1:36" ht="12" customHeight="1" x14ac:dyDescent="0.2">
      <c r="A120" s="62">
        <f t="shared" si="18"/>
        <v>62</v>
      </c>
      <c r="B120" s="62" t="str">
        <f>Spaces_Sum!C117</f>
        <v>L06-604_AstoRaccIncd</v>
      </c>
      <c r="C120" s="62" t="str">
        <f ca="1">Spaces_Sum!H117</f>
        <v>Level 6</v>
      </c>
      <c r="D120" s="62" t="str">
        <f ca="1">Spaces_Sum!I117</f>
        <v>IndirectlyConditioned</v>
      </c>
      <c r="E120" s="62" t="str">
        <f ca="1">Spaces_Sum!J117</f>
        <v>Storage Room - &lt;50 ft2</v>
      </c>
      <c r="F120" s="62" t="str">
        <f ca="1">Spaces_Sum!K117</f>
        <v>Nonresidential</v>
      </c>
      <c r="G120" s="62" t="str">
        <f ca="1">Spaces_Sum!L117</f>
        <v>Thermal Zone: L06-600_CorrRaccSphp</v>
      </c>
      <c r="H120" s="62">
        <f ca="1">Spaces_Sum!M117</f>
        <v>135.05760000000001</v>
      </c>
      <c r="I120" s="62">
        <f ca="1">Spaces_Sum!O117</f>
        <v>0</v>
      </c>
      <c r="J120" s="62" t="e">
        <f>Spaces_Sum!#REF!</f>
        <v>#REF!</v>
      </c>
      <c r="K120" s="62" t="e">
        <f>Spaces_Sum!#REF!</f>
        <v>#REF!</v>
      </c>
      <c r="L120" s="62">
        <f>Spaces_Sum!AK117</f>
        <v>0</v>
      </c>
      <c r="M120" s="62">
        <f ca="1">Spaces_Sum!AL117</f>
        <v>1</v>
      </c>
      <c r="N120" s="62">
        <f ca="1">Spaces_Sum!AN117</f>
        <v>0</v>
      </c>
      <c r="O120" s="62">
        <f ca="1">Spaces_Sum!AO117</f>
        <v>135.05760000000001</v>
      </c>
      <c r="P120" s="537" t="e">
        <f t="shared" ca="1" si="5"/>
        <v>#REF!</v>
      </c>
      <c r="Q120" s="70" t="e">
        <f t="shared" ca="1" si="6"/>
        <v>#REF!</v>
      </c>
      <c r="R120" s="70" t="e">
        <f t="shared" ca="1" si="7"/>
        <v>#REF!</v>
      </c>
      <c r="S120" s="70" t="e">
        <f t="shared" ca="1" si="19"/>
        <v>#REF!</v>
      </c>
      <c r="T120" s="70" t="e">
        <f t="shared" ca="1" si="9"/>
        <v>#REF!</v>
      </c>
      <c r="U120" s="70" t="e">
        <f t="shared" ca="1" si="10"/>
        <v>#REF!</v>
      </c>
      <c r="V120" s="70" t="e">
        <f t="shared" ca="1" si="20"/>
        <v>#REF!</v>
      </c>
      <c r="W120" s="70" t="e">
        <f t="shared" ca="1" si="12"/>
        <v>#REF!</v>
      </c>
      <c r="X120" s="70" t="e">
        <f t="shared" ca="1" si="13"/>
        <v>#REF!</v>
      </c>
      <c r="Y120" s="70" t="e">
        <f t="shared" ca="1" si="21"/>
        <v>#REF!</v>
      </c>
      <c r="Z120" s="70" t="e">
        <f t="shared" ca="1" si="22"/>
        <v>#REF!</v>
      </c>
      <c r="AA120" s="70" t="e">
        <f t="shared" ca="1" si="23"/>
        <v>#REF!</v>
      </c>
      <c r="AB120" s="70" t="e">
        <f t="shared" ca="1" si="23"/>
        <v>#REF!</v>
      </c>
      <c r="AC120" s="70"/>
      <c r="AD120" s="70" t="e">
        <f t="shared" ca="1" si="24"/>
        <v>#REF!</v>
      </c>
      <c r="AE120" s="70" t="e">
        <f t="shared" ca="1" si="24"/>
        <v>#REF!</v>
      </c>
      <c r="AJ120" s="62"/>
    </row>
    <row r="121" spans="1:36" ht="12" customHeight="1" x14ac:dyDescent="0.2">
      <c r="A121" s="62">
        <f t="shared" si="18"/>
        <v>63</v>
      </c>
      <c r="B121" s="62" t="str">
        <f>Spaces_Sum!C118</f>
        <v>L06-605_MfamResiPthp</v>
      </c>
      <c r="C121" s="62" t="str">
        <f ca="1">Spaces_Sum!H118</f>
        <v>Level 6</v>
      </c>
      <c r="D121" s="62" t="str">
        <f ca="1">Spaces_Sum!I118</f>
        <v>DirectlyConditioned</v>
      </c>
      <c r="E121" s="62" t="str">
        <f ca="1">Spaces_Sum!J118</f>
        <v>Dwelling Unit</v>
      </c>
      <c r="F121" s="62" t="str">
        <f ca="1">Spaces_Sum!K118</f>
        <v>Residential</v>
      </c>
      <c r="G121" s="62" t="str">
        <f ca="1">Spaces_Sum!L118</f>
        <v>Thermal Zone: L06-605_MfamResiPthp</v>
      </c>
      <c r="H121" s="62">
        <f ca="1">Spaces_Sum!M118</f>
        <v>3678.0304999999998</v>
      </c>
      <c r="I121" s="62">
        <f ca="1">Spaces_Sum!O118</f>
        <v>1428.2</v>
      </c>
      <c r="J121" s="62" t="e">
        <f>Spaces_Sum!#REF!</f>
        <v>#REF!</v>
      </c>
      <c r="K121" s="62" t="e">
        <f>Spaces_Sum!#REF!</f>
        <v>#REF!</v>
      </c>
      <c r="L121" s="62">
        <f>Spaces_Sum!AK118</f>
        <v>0</v>
      </c>
      <c r="M121" s="62">
        <f ca="1">Spaces_Sum!AL118</f>
        <v>1</v>
      </c>
      <c r="N121" s="62">
        <f ca="1">Spaces_Sum!AN118</f>
        <v>1</v>
      </c>
      <c r="O121" s="62">
        <f ca="1">Spaces_Sum!AO118</f>
        <v>3678.0304999999998</v>
      </c>
      <c r="P121" s="537" t="e">
        <f t="shared" ca="1" si="5"/>
        <v>#REF!</v>
      </c>
      <c r="Q121" s="70" t="e">
        <f t="shared" ca="1" si="6"/>
        <v>#REF!</v>
      </c>
      <c r="R121" s="70" t="e">
        <f t="shared" ca="1" si="7"/>
        <v>#REF!</v>
      </c>
      <c r="S121" s="70" t="e">
        <f t="shared" ca="1" si="19"/>
        <v>#REF!</v>
      </c>
      <c r="T121" s="70" t="e">
        <f t="shared" ca="1" si="9"/>
        <v>#REF!</v>
      </c>
      <c r="U121" s="70" t="e">
        <f t="shared" ca="1" si="10"/>
        <v>#REF!</v>
      </c>
      <c r="V121" s="70" t="e">
        <f t="shared" ca="1" si="20"/>
        <v>#REF!</v>
      </c>
      <c r="W121" s="70" t="e">
        <f t="shared" ca="1" si="12"/>
        <v>#REF!</v>
      </c>
      <c r="X121" s="70" t="e">
        <f t="shared" ca="1" si="13"/>
        <v>#REF!</v>
      </c>
      <c r="Y121" s="70" t="e">
        <f t="shared" ca="1" si="21"/>
        <v>#REF!</v>
      </c>
      <c r="Z121" s="70" t="e">
        <f t="shared" ca="1" si="22"/>
        <v>#REF!</v>
      </c>
      <c r="AA121" s="70" t="e">
        <f t="shared" ca="1" si="23"/>
        <v>#REF!</v>
      </c>
      <c r="AB121" s="70" t="e">
        <f t="shared" ca="1" si="23"/>
        <v>#REF!</v>
      </c>
      <c r="AC121" s="70"/>
      <c r="AD121" s="70" t="e">
        <f t="shared" ca="1" si="24"/>
        <v>#REF!</v>
      </c>
      <c r="AE121" s="70" t="e">
        <f t="shared" ca="1" si="24"/>
        <v>#REF!</v>
      </c>
      <c r="AJ121" s="62"/>
    </row>
    <row r="122" spans="1:36" ht="12" customHeight="1" x14ac:dyDescent="0.2">
      <c r="A122" s="62">
        <f t="shared" si="18"/>
        <v>64</v>
      </c>
      <c r="B122" s="62" t="str">
        <f>Spaces_Sum!C119</f>
        <v>L06-606_MfamResiPthp</v>
      </c>
      <c r="C122" s="62" t="str">
        <f ca="1">Spaces_Sum!H119</f>
        <v>Level 6</v>
      </c>
      <c r="D122" s="62" t="str">
        <f ca="1">Spaces_Sum!I119</f>
        <v>DirectlyConditioned</v>
      </c>
      <c r="E122" s="62" t="str">
        <f ca="1">Spaces_Sum!J119</f>
        <v>Dwelling Unit</v>
      </c>
      <c r="F122" s="62" t="str">
        <f ca="1">Spaces_Sum!K119</f>
        <v>Residential</v>
      </c>
      <c r="G122" s="62" t="str">
        <f ca="1">Spaces_Sum!L119</f>
        <v>Thermal Zone: L06-606_MfamResiPthp</v>
      </c>
      <c r="H122" s="62">
        <f ca="1">Spaces_Sum!M119</f>
        <v>1160.8827000000001</v>
      </c>
      <c r="I122" s="62">
        <f ca="1">Spaces_Sum!O119</f>
        <v>531.70000000000005</v>
      </c>
      <c r="J122" s="62" t="e">
        <f>Spaces_Sum!#REF!</f>
        <v>#REF!</v>
      </c>
      <c r="K122" s="62" t="e">
        <f>Spaces_Sum!#REF!</f>
        <v>#REF!</v>
      </c>
      <c r="L122" s="62">
        <f>Spaces_Sum!AK119</f>
        <v>0</v>
      </c>
      <c r="M122" s="62">
        <f ca="1">Spaces_Sum!AL119</f>
        <v>1</v>
      </c>
      <c r="N122" s="62">
        <f ca="1">Spaces_Sum!AN119</f>
        <v>1</v>
      </c>
      <c r="O122" s="62">
        <f ca="1">Spaces_Sum!AO119</f>
        <v>1160.8827000000001</v>
      </c>
      <c r="P122" s="537" t="e">
        <f t="shared" ca="1" si="5"/>
        <v>#REF!</v>
      </c>
      <c r="Q122" s="70" t="e">
        <f t="shared" ca="1" si="6"/>
        <v>#REF!</v>
      </c>
      <c r="R122" s="70" t="e">
        <f t="shared" ca="1" si="7"/>
        <v>#REF!</v>
      </c>
      <c r="S122" s="70" t="e">
        <f t="shared" ca="1" si="19"/>
        <v>#REF!</v>
      </c>
      <c r="T122" s="70" t="e">
        <f t="shared" ca="1" si="9"/>
        <v>#REF!</v>
      </c>
      <c r="U122" s="70" t="e">
        <f t="shared" ca="1" si="10"/>
        <v>#REF!</v>
      </c>
      <c r="V122" s="70" t="e">
        <f t="shared" ca="1" si="20"/>
        <v>#REF!</v>
      </c>
      <c r="W122" s="70" t="e">
        <f t="shared" ca="1" si="12"/>
        <v>#REF!</v>
      </c>
      <c r="X122" s="70" t="e">
        <f t="shared" ca="1" si="13"/>
        <v>#REF!</v>
      </c>
      <c r="Y122" s="70" t="e">
        <f t="shared" ca="1" si="21"/>
        <v>#REF!</v>
      </c>
      <c r="Z122" s="70" t="e">
        <f t="shared" ca="1" si="22"/>
        <v>#REF!</v>
      </c>
      <c r="AA122" s="70" t="e">
        <f t="shared" ca="1" si="23"/>
        <v>#REF!</v>
      </c>
      <c r="AB122" s="70" t="e">
        <f t="shared" ca="1" si="23"/>
        <v>#REF!</v>
      </c>
      <c r="AC122" s="70"/>
      <c r="AD122" s="70" t="e">
        <f t="shared" ca="1" si="24"/>
        <v>#REF!</v>
      </c>
      <c r="AE122" s="70" t="e">
        <f t="shared" ca="1" si="24"/>
        <v>#REF!</v>
      </c>
      <c r="AJ122" s="62"/>
    </row>
    <row r="123" spans="1:36" ht="12" customHeight="1" x14ac:dyDescent="0.2">
      <c r="A123" s="62">
        <f t="shared" si="18"/>
        <v>65</v>
      </c>
      <c r="B123" s="62" t="str">
        <f>Spaces_Sum!C120</f>
        <v>L06-607_MfamResiPthp</v>
      </c>
      <c r="C123" s="62" t="str">
        <f ca="1">Spaces_Sum!H120</f>
        <v>Level 6</v>
      </c>
      <c r="D123" s="62" t="str">
        <f ca="1">Spaces_Sum!I120</f>
        <v>DirectlyConditioned</v>
      </c>
      <c r="E123" s="62" t="str">
        <f ca="1">Spaces_Sum!J120</f>
        <v>Dwelling Unit</v>
      </c>
      <c r="F123" s="62" t="str">
        <f ca="1">Spaces_Sum!K120</f>
        <v>Residential</v>
      </c>
      <c r="G123" s="62" t="str">
        <f ca="1">Spaces_Sum!L120</f>
        <v>Thermal Zone: L06-607_MfamResiPthp</v>
      </c>
      <c r="H123" s="62">
        <f ca="1">Spaces_Sum!M120</f>
        <v>1858.692</v>
      </c>
      <c r="I123" s="62">
        <f ca="1">Spaces_Sum!O120</f>
        <v>809.1</v>
      </c>
      <c r="J123" s="62" t="e">
        <f>Spaces_Sum!#REF!</f>
        <v>#REF!</v>
      </c>
      <c r="K123" s="62" t="e">
        <f>Spaces_Sum!#REF!</f>
        <v>#REF!</v>
      </c>
      <c r="L123" s="62">
        <f>Spaces_Sum!AK120</f>
        <v>0</v>
      </c>
      <c r="M123" s="62">
        <f ca="1">Spaces_Sum!AL120</f>
        <v>1</v>
      </c>
      <c r="N123" s="62">
        <f ca="1">Spaces_Sum!AN120</f>
        <v>1</v>
      </c>
      <c r="O123" s="62">
        <f ca="1">Spaces_Sum!AO120</f>
        <v>1858.692</v>
      </c>
      <c r="P123" s="537" t="e">
        <f t="shared" ca="1" si="5"/>
        <v>#REF!</v>
      </c>
      <c r="Q123" s="70" t="e">
        <f t="shared" ca="1" si="6"/>
        <v>#REF!</v>
      </c>
      <c r="R123" s="70" t="e">
        <f t="shared" ca="1" si="7"/>
        <v>#REF!</v>
      </c>
      <c r="S123" s="70" t="e">
        <f t="shared" ca="1" si="19"/>
        <v>#REF!</v>
      </c>
      <c r="T123" s="70" t="e">
        <f t="shared" ca="1" si="9"/>
        <v>#REF!</v>
      </c>
      <c r="U123" s="70" t="e">
        <f t="shared" ca="1" si="10"/>
        <v>#REF!</v>
      </c>
      <c r="V123" s="70" t="e">
        <f t="shared" ca="1" si="20"/>
        <v>#REF!</v>
      </c>
      <c r="W123" s="70" t="e">
        <f t="shared" ca="1" si="12"/>
        <v>#REF!</v>
      </c>
      <c r="X123" s="70" t="e">
        <f t="shared" ca="1" si="13"/>
        <v>#REF!</v>
      </c>
      <c r="Y123" s="70" t="e">
        <f t="shared" ca="1" si="21"/>
        <v>#REF!</v>
      </c>
      <c r="Z123" s="70" t="e">
        <f t="shared" ca="1" si="22"/>
        <v>#REF!</v>
      </c>
      <c r="AA123" s="70" t="e">
        <f t="shared" ca="1" si="23"/>
        <v>#REF!</v>
      </c>
      <c r="AB123" s="70" t="e">
        <f t="shared" ca="1" si="23"/>
        <v>#REF!</v>
      </c>
      <c r="AC123" s="70"/>
      <c r="AD123" s="70" t="e">
        <f t="shared" ca="1" si="24"/>
        <v>#REF!</v>
      </c>
      <c r="AE123" s="70" t="e">
        <f t="shared" ca="1" si="24"/>
        <v>#REF!</v>
      </c>
      <c r="AJ123" s="62"/>
    </row>
    <row r="124" spans="1:36" ht="12" customHeight="1" x14ac:dyDescent="0.2">
      <c r="A124" s="62">
        <f t="shared" si="18"/>
        <v>66</v>
      </c>
      <c r="B124" s="62" t="str">
        <f>Spaces_Sum!C121</f>
        <v>L06-608_MfamResiPthp</v>
      </c>
      <c r="C124" s="62" t="str">
        <f ca="1">Spaces_Sum!H121</f>
        <v>Level 6</v>
      </c>
      <c r="D124" s="62" t="str">
        <f ca="1">Spaces_Sum!I121</f>
        <v>DirectlyConditioned</v>
      </c>
      <c r="E124" s="62" t="str">
        <f ca="1">Spaces_Sum!J121</f>
        <v>Dwelling Unit</v>
      </c>
      <c r="F124" s="62" t="str">
        <f ca="1">Spaces_Sum!K121</f>
        <v>Residential</v>
      </c>
      <c r="G124" s="62" t="str">
        <f ca="1">Spaces_Sum!L121</f>
        <v>Thermal Zone: L06-608_MfamResiPthp</v>
      </c>
      <c r="H124" s="62">
        <f ca="1">Spaces_Sum!M121</f>
        <v>872.66200000000003</v>
      </c>
      <c r="I124" s="62">
        <f ca="1">Spaces_Sum!O121</f>
        <v>590.9</v>
      </c>
      <c r="J124" s="62" t="e">
        <f>Spaces_Sum!#REF!</f>
        <v>#REF!</v>
      </c>
      <c r="K124" s="62" t="e">
        <f>Spaces_Sum!#REF!</f>
        <v>#REF!</v>
      </c>
      <c r="L124" s="62">
        <f>Spaces_Sum!AK121</f>
        <v>0</v>
      </c>
      <c r="M124" s="62">
        <f ca="1">Spaces_Sum!AL121</f>
        <v>1</v>
      </c>
      <c r="N124" s="62">
        <f ca="1">Spaces_Sum!AN121</f>
        <v>1</v>
      </c>
      <c r="O124" s="62">
        <f ca="1">Spaces_Sum!AO121</f>
        <v>872.66200000000003</v>
      </c>
      <c r="P124" s="537" t="e">
        <f t="shared" ref="P124:P167" ca="1" si="25">IF(L124=0,SUMIFS(OFFSET(INDIRECT(Q$47),Q$48,Q$49,2000),OFFSET(INDIRECT(Q$47),Q$48,Q$50,2000),$B124),0)</f>
        <v>#REF!</v>
      </c>
      <c r="Q124" s="70" t="e">
        <f t="shared" ref="Q124:Q170" ca="1" si="26">SUMIFS(OFFSET(INDIRECT(Q$47),Q$48,Q$49,2000),OFFSET(INDIRECT(Q$47),Q$48,Q$50,2000),$B124)*$L124</f>
        <v>#REF!</v>
      </c>
      <c r="R124" s="70" t="e">
        <f t="shared" ref="R124:R170" ca="1" si="27">SUMIFS(OFFSET(INDIRECT(R$47),R$48,R$49,2000),OFFSET(INDIRECT(R$47),R$48,R$50,2000),$B124)*$I124</f>
        <v>#REF!</v>
      </c>
      <c r="S124" s="70" t="e">
        <f t="shared" ca="1" si="19"/>
        <v>#REF!</v>
      </c>
      <c r="T124" s="70" t="e">
        <f t="shared" ref="T124:T170" ca="1" si="28">SUMIFS(OFFSET(INDIRECT(T$47),T$48,T$49,2000),OFFSET(INDIRECT(T$47),T$48,T$50,2000),$B124)*$L124</f>
        <v>#REF!</v>
      </c>
      <c r="U124" s="70" t="e">
        <f t="shared" ref="U124:U170" ca="1" si="29">SUMIFS(OFFSET(INDIRECT(U$47),U$48,U$49,2000),OFFSET(INDIRECT(U$47),U$48,U$50,2000),$B124)*$I124</f>
        <v>#REF!</v>
      </c>
      <c r="V124" s="70" t="e">
        <f t="shared" ca="1" si="20"/>
        <v>#REF!</v>
      </c>
      <c r="W124" s="70" t="e">
        <f t="shared" ref="W124:W170" ca="1" si="30">SUMIFS(OFFSET(INDIRECT(W$47),W$48,W$49,2000),OFFSET(INDIRECT(W$47),W$48,W$50,2000),$B124)*$L124</f>
        <v>#REF!</v>
      </c>
      <c r="X124" s="70" t="e">
        <f t="shared" ref="X124:X170" ca="1" si="31">SUMIFS(OFFSET(INDIRECT(X$47),X$48,X$49,2000),OFFSET(INDIRECT(X$47),X$48,X$50,2000),$B124)*$I124</f>
        <v>#REF!</v>
      </c>
      <c r="Y124" s="70" t="e">
        <f t="shared" ca="1" si="21"/>
        <v>#REF!</v>
      </c>
      <c r="Z124" s="70" t="e">
        <f t="shared" ca="1" si="22"/>
        <v>#REF!</v>
      </c>
      <c r="AA124" s="70" t="e">
        <f t="shared" ca="1" si="23"/>
        <v>#REF!</v>
      </c>
      <c r="AB124" s="70" t="e">
        <f t="shared" ca="1" si="23"/>
        <v>#REF!</v>
      </c>
      <c r="AC124" s="70"/>
      <c r="AD124" s="70" t="e">
        <f t="shared" ca="1" si="24"/>
        <v>#REF!</v>
      </c>
      <c r="AE124" s="70" t="e">
        <f t="shared" ca="1" si="24"/>
        <v>#REF!</v>
      </c>
      <c r="AJ124" s="62"/>
    </row>
    <row r="125" spans="1:36" ht="12" customHeight="1" x14ac:dyDescent="0.2">
      <c r="A125" s="62">
        <f t="shared" ref="A125:A170" si="32">A124+1</f>
        <v>67</v>
      </c>
      <c r="B125" s="62" t="str">
        <f>Spaces_Sum!C122</f>
        <v>L06-609_MfamResiPthp</v>
      </c>
      <c r="C125" s="62" t="str">
        <f ca="1">Spaces_Sum!H122</f>
        <v>Level 6</v>
      </c>
      <c r="D125" s="62" t="str">
        <f ca="1">Spaces_Sum!I122</f>
        <v>DirectlyConditioned</v>
      </c>
      <c r="E125" s="62" t="str">
        <f ca="1">Spaces_Sum!J122</f>
        <v>Dwelling Unit</v>
      </c>
      <c r="F125" s="62" t="str">
        <f ca="1">Spaces_Sum!K122</f>
        <v>Residential</v>
      </c>
      <c r="G125" s="62" t="str">
        <f ca="1">Spaces_Sum!L122</f>
        <v>Thermal Zone: L06-609_MfamResiPthp</v>
      </c>
      <c r="H125" s="62">
        <f ca="1">Spaces_Sum!M122</f>
        <v>1347.52</v>
      </c>
      <c r="I125" s="62">
        <f ca="1">Spaces_Sum!O122</f>
        <v>858.4</v>
      </c>
      <c r="J125" s="62" t="e">
        <f>Spaces_Sum!#REF!</f>
        <v>#REF!</v>
      </c>
      <c r="K125" s="62" t="e">
        <f>Spaces_Sum!#REF!</f>
        <v>#REF!</v>
      </c>
      <c r="L125" s="62">
        <f>Spaces_Sum!AK122</f>
        <v>0</v>
      </c>
      <c r="M125" s="62">
        <f ca="1">Spaces_Sum!AL122</f>
        <v>1</v>
      </c>
      <c r="N125" s="62">
        <f ca="1">Spaces_Sum!AN122</f>
        <v>1</v>
      </c>
      <c r="O125" s="62">
        <f ca="1">Spaces_Sum!AO122</f>
        <v>1347.52</v>
      </c>
      <c r="P125" s="537" t="e">
        <f t="shared" ca="1" si="25"/>
        <v>#REF!</v>
      </c>
      <c r="Q125" s="70" t="e">
        <f t="shared" ca="1" si="26"/>
        <v>#REF!</v>
      </c>
      <c r="R125" s="70" t="e">
        <f t="shared" ca="1" si="27"/>
        <v>#REF!</v>
      </c>
      <c r="S125" s="70" t="e">
        <f t="shared" ca="1" si="19"/>
        <v>#REF!</v>
      </c>
      <c r="T125" s="70" t="e">
        <f t="shared" ca="1" si="28"/>
        <v>#REF!</v>
      </c>
      <c r="U125" s="70" t="e">
        <f t="shared" ca="1" si="29"/>
        <v>#REF!</v>
      </c>
      <c r="V125" s="70" t="e">
        <f t="shared" ca="1" si="20"/>
        <v>#REF!</v>
      </c>
      <c r="W125" s="70" t="e">
        <f t="shared" ca="1" si="30"/>
        <v>#REF!</v>
      </c>
      <c r="X125" s="70" t="e">
        <f t="shared" ca="1" si="31"/>
        <v>#REF!</v>
      </c>
      <c r="Y125" s="70" t="e">
        <f t="shared" ca="1" si="21"/>
        <v>#REF!</v>
      </c>
      <c r="Z125" s="70" t="e">
        <f t="shared" ca="1" si="22"/>
        <v>#REF!</v>
      </c>
      <c r="AA125" s="70" t="e">
        <f t="shared" ca="1" si="23"/>
        <v>#REF!</v>
      </c>
      <c r="AB125" s="70" t="e">
        <f t="shared" ca="1" si="23"/>
        <v>#REF!</v>
      </c>
      <c r="AC125" s="70"/>
      <c r="AD125" s="70" t="e">
        <f t="shared" ca="1" si="24"/>
        <v>#REF!</v>
      </c>
      <c r="AE125" s="70" t="e">
        <f t="shared" ca="1" si="24"/>
        <v>#REF!</v>
      </c>
      <c r="AJ125" s="62"/>
    </row>
    <row r="126" spans="1:36" ht="12" customHeight="1" x14ac:dyDescent="0.2">
      <c r="A126" s="62">
        <f t="shared" si="32"/>
        <v>68</v>
      </c>
      <c r="B126" s="62" t="str">
        <f>Spaces_Sum!C123</f>
        <v>L06-610_LndyRaccBbrd</v>
      </c>
      <c r="C126" s="62" t="str">
        <f ca="1">Spaces_Sum!H123</f>
        <v>Level 6</v>
      </c>
      <c r="D126" s="62" t="str">
        <f ca="1">Spaces_Sum!I123</f>
        <v>DirectlyConditioned</v>
      </c>
      <c r="E126" s="62" t="str">
        <f ca="1">Spaces_Sum!J123</f>
        <v>Laundry/Washing Area</v>
      </c>
      <c r="F126" s="62" t="str">
        <f ca="1">Spaces_Sum!K123</f>
        <v>Nonresidential</v>
      </c>
      <c r="G126" s="62" t="str">
        <f ca="1">Spaces_Sum!L123</f>
        <v>Thermal Zone: L06-610_LndyRaccBbrd</v>
      </c>
      <c r="H126" s="62">
        <f ca="1">Spaces_Sum!M123</f>
        <v>272.42880000000002</v>
      </c>
      <c r="I126" s="62">
        <f ca="1">Spaces_Sum!O123</f>
        <v>0</v>
      </c>
      <c r="J126" s="62" t="e">
        <f>Spaces_Sum!#REF!</f>
        <v>#REF!</v>
      </c>
      <c r="K126" s="62" t="e">
        <f>Spaces_Sum!#REF!</f>
        <v>#REF!</v>
      </c>
      <c r="L126" s="62">
        <f>Spaces_Sum!AK123</f>
        <v>0</v>
      </c>
      <c r="M126" s="62">
        <f ca="1">Spaces_Sum!AL123</f>
        <v>1</v>
      </c>
      <c r="N126" s="62">
        <f ca="1">Spaces_Sum!AN123</f>
        <v>0</v>
      </c>
      <c r="O126" s="62">
        <f ca="1">Spaces_Sum!AO123</f>
        <v>272.42880000000002</v>
      </c>
      <c r="P126" s="537" t="e">
        <f t="shared" ca="1" si="25"/>
        <v>#REF!</v>
      </c>
      <c r="Q126" s="70" t="e">
        <f t="shared" ca="1" si="26"/>
        <v>#REF!</v>
      </c>
      <c r="R126" s="70" t="e">
        <f t="shared" ca="1" si="27"/>
        <v>#REF!</v>
      </c>
      <c r="S126" s="70" t="e">
        <f t="shared" ca="1" si="19"/>
        <v>#REF!</v>
      </c>
      <c r="T126" s="70" t="e">
        <f t="shared" ca="1" si="28"/>
        <v>#REF!</v>
      </c>
      <c r="U126" s="70" t="e">
        <f t="shared" ca="1" si="29"/>
        <v>#REF!</v>
      </c>
      <c r="V126" s="70" t="e">
        <f t="shared" ca="1" si="20"/>
        <v>#REF!</v>
      </c>
      <c r="W126" s="70" t="e">
        <f t="shared" ca="1" si="30"/>
        <v>#REF!</v>
      </c>
      <c r="X126" s="70" t="e">
        <f t="shared" ca="1" si="31"/>
        <v>#REF!</v>
      </c>
      <c r="Y126" s="70" t="e">
        <f t="shared" ca="1" si="21"/>
        <v>#REF!</v>
      </c>
      <c r="Z126" s="70" t="e">
        <f t="shared" ca="1" si="22"/>
        <v>#REF!</v>
      </c>
      <c r="AA126" s="70" t="e">
        <f t="shared" ca="1" si="23"/>
        <v>#REF!</v>
      </c>
      <c r="AB126" s="70" t="e">
        <f t="shared" ca="1" si="23"/>
        <v>#REF!</v>
      </c>
      <c r="AC126" s="70"/>
      <c r="AD126" s="70" t="e">
        <f t="shared" ca="1" si="24"/>
        <v>#REF!</v>
      </c>
      <c r="AE126" s="70" t="e">
        <f t="shared" ca="1" si="24"/>
        <v>#REF!</v>
      </c>
      <c r="AJ126" s="62"/>
    </row>
    <row r="127" spans="1:36" ht="12" customHeight="1" x14ac:dyDescent="0.2">
      <c r="A127" s="62">
        <f t="shared" si="32"/>
        <v>69</v>
      </c>
      <c r="B127" s="62" t="str">
        <f>Spaces_Sum!C124</f>
        <v>L06-611_ElevRaccIncd</v>
      </c>
      <c r="C127" s="62" t="str">
        <f ca="1">Spaces_Sum!H124</f>
        <v>Level 6</v>
      </c>
      <c r="D127" s="62" t="str">
        <f ca="1">Spaces_Sum!I124</f>
        <v>IndirectlyConditioned</v>
      </c>
      <c r="E127" s="62" t="str">
        <f ca="1">Spaces_Sum!J124</f>
        <v>Unoccupied-Include in Gross Floor Area</v>
      </c>
      <c r="F127" s="62" t="str">
        <f ca="1">Spaces_Sum!K124</f>
        <v>Residential</v>
      </c>
      <c r="G127" s="62" t="str">
        <f ca="1">Spaces_Sum!L124</f>
        <v>Thermal Zone: L06-600_CorrRaccSphp</v>
      </c>
      <c r="H127" s="62">
        <f ca="1">Spaces_Sum!M124</f>
        <v>211.21340000000001</v>
      </c>
      <c r="I127" s="62">
        <f ca="1">Spaces_Sum!O124</f>
        <v>0</v>
      </c>
      <c r="J127" s="62" t="e">
        <f>Spaces_Sum!#REF!</f>
        <v>#REF!</v>
      </c>
      <c r="K127" s="62" t="e">
        <f>Spaces_Sum!#REF!</f>
        <v>#REF!</v>
      </c>
      <c r="L127" s="62">
        <f>Spaces_Sum!AK124</f>
        <v>0</v>
      </c>
      <c r="M127" s="62">
        <f ca="1">Spaces_Sum!AL124</f>
        <v>1</v>
      </c>
      <c r="N127" s="62">
        <f ca="1">Spaces_Sum!AN124</f>
        <v>1</v>
      </c>
      <c r="O127" s="62">
        <f ca="1">Spaces_Sum!AO124</f>
        <v>211.21340000000001</v>
      </c>
      <c r="P127" s="537" t="e">
        <f t="shared" ca="1" si="25"/>
        <v>#REF!</v>
      </c>
      <c r="Q127" s="70" t="e">
        <f t="shared" ca="1" si="26"/>
        <v>#REF!</v>
      </c>
      <c r="R127" s="70" t="e">
        <f t="shared" ca="1" si="27"/>
        <v>#REF!</v>
      </c>
      <c r="S127" s="70" t="e">
        <f t="shared" ca="1" si="19"/>
        <v>#REF!</v>
      </c>
      <c r="T127" s="70" t="e">
        <f t="shared" ca="1" si="28"/>
        <v>#REF!</v>
      </c>
      <c r="U127" s="70" t="e">
        <f t="shared" ca="1" si="29"/>
        <v>#REF!</v>
      </c>
      <c r="V127" s="70" t="e">
        <f t="shared" ca="1" si="20"/>
        <v>#REF!</v>
      </c>
      <c r="W127" s="70" t="e">
        <f t="shared" ca="1" si="30"/>
        <v>#REF!</v>
      </c>
      <c r="X127" s="70" t="e">
        <f t="shared" ca="1" si="31"/>
        <v>#REF!</v>
      </c>
      <c r="Y127" s="70" t="e">
        <f t="shared" ca="1" si="21"/>
        <v>#REF!</v>
      </c>
      <c r="Z127" s="70" t="e">
        <f t="shared" ca="1" si="22"/>
        <v>#REF!</v>
      </c>
      <c r="AA127" s="70" t="e">
        <f t="shared" ca="1" si="23"/>
        <v>#REF!</v>
      </c>
      <c r="AB127" s="70" t="e">
        <f t="shared" ca="1" si="23"/>
        <v>#REF!</v>
      </c>
      <c r="AC127" s="70"/>
      <c r="AD127" s="70" t="e">
        <f t="shared" ca="1" si="24"/>
        <v>#REF!</v>
      </c>
      <c r="AE127" s="70" t="e">
        <f t="shared" ca="1" si="24"/>
        <v>#REF!</v>
      </c>
      <c r="AJ127" s="62"/>
    </row>
    <row r="128" spans="1:36" ht="12" customHeight="1" x14ac:dyDescent="0.2">
      <c r="A128" s="62">
        <f t="shared" si="32"/>
        <v>70</v>
      </c>
      <c r="B128" s="62" t="str">
        <f>Spaces_Sum!C125</f>
        <v>L06-612_StrsRaccIncd</v>
      </c>
      <c r="C128" s="62" t="str">
        <f ca="1">Spaces_Sum!H125</f>
        <v>Level 6</v>
      </c>
      <c r="D128" s="62" t="str">
        <f ca="1">Spaces_Sum!I125</f>
        <v>IndirectlyConditioned</v>
      </c>
      <c r="E128" s="62" t="str">
        <f ca="1">Spaces_Sum!J125</f>
        <v>Stairwell</v>
      </c>
      <c r="F128" s="62" t="str">
        <f ca="1">Spaces_Sum!K125</f>
        <v>Nonresidential</v>
      </c>
      <c r="G128" s="62" t="str">
        <f ca="1">Spaces_Sum!L125</f>
        <v>Thermal Zone: L06-600_CorrRaccSphp</v>
      </c>
      <c r="H128" s="62">
        <f ca="1">Spaces_Sum!M125</f>
        <v>236.34819999999999</v>
      </c>
      <c r="I128" s="62">
        <f ca="1">Spaces_Sum!O125</f>
        <v>0</v>
      </c>
      <c r="J128" s="62" t="e">
        <f>Spaces_Sum!#REF!</f>
        <v>#REF!</v>
      </c>
      <c r="K128" s="62" t="e">
        <f>Spaces_Sum!#REF!</f>
        <v>#REF!</v>
      </c>
      <c r="L128" s="62">
        <f>Spaces_Sum!AK125</f>
        <v>0</v>
      </c>
      <c r="M128" s="62">
        <f ca="1">Spaces_Sum!AL125</f>
        <v>1</v>
      </c>
      <c r="N128" s="62">
        <f ca="1">Spaces_Sum!AN125</f>
        <v>0</v>
      </c>
      <c r="O128" s="62">
        <f ca="1">Spaces_Sum!AO125</f>
        <v>236.34819999999999</v>
      </c>
      <c r="P128" s="537" t="e">
        <f t="shared" ca="1" si="25"/>
        <v>#REF!</v>
      </c>
      <c r="Q128" s="70" t="e">
        <f t="shared" ca="1" si="26"/>
        <v>#REF!</v>
      </c>
      <c r="R128" s="70" t="e">
        <f t="shared" ca="1" si="27"/>
        <v>#REF!</v>
      </c>
      <c r="S128" s="70" t="e">
        <f t="shared" ca="1" si="19"/>
        <v>#REF!</v>
      </c>
      <c r="T128" s="70" t="e">
        <f t="shared" ca="1" si="28"/>
        <v>#REF!</v>
      </c>
      <c r="U128" s="70" t="e">
        <f t="shared" ca="1" si="29"/>
        <v>#REF!</v>
      </c>
      <c r="V128" s="70" t="e">
        <f t="shared" ca="1" si="20"/>
        <v>#REF!</v>
      </c>
      <c r="W128" s="70" t="e">
        <f t="shared" ca="1" si="30"/>
        <v>#REF!</v>
      </c>
      <c r="X128" s="70" t="e">
        <f t="shared" ca="1" si="31"/>
        <v>#REF!</v>
      </c>
      <c r="Y128" s="70" t="e">
        <f t="shared" ca="1" si="21"/>
        <v>#REF!</v>
      </c>
      <c r="Z128" s="70" t="e">
        <f t="shared" ca="1" si="22"/>
        <v>#REF!</v>
      </c>
      <c r="AA128" s="70" t="e">
        <f t="shared" ca="1" si="23"/>
        <v>#REF!</v>
      </c>
      <c r="AB128" s="70" t="e">
        <f t="shared" ca="1" si="23"/>
        <v>#REF!</v>
      </c>
      <c r="AC128" s="70"/>
      <c r="AD128" s="70" t="e">
        <f t="shared" ca="1" si="24"/>
        <v>#REF!</v>
      </c>
      <c r="AE128" s="70" t="e">
        <f t="shared" ca="1" si="24"/>
        <v>#REF!</v>
      </c>
      <c r="AJ128" s="62"/>
    </row>
    <row r="129" spans="1:36" ht="12" customHeight="1" x14ac:dyDescent="0.2">
      <c r="A129" s="62">
        <f t="shared" si="32"/>
        <v>71</v>
      </c>
      <c r="B129" s="62" t="str">
        <f>Spaces_Sum!C126</f>
        <v>L06-613_MfamResiPthp</v>
      </c>
      <c r="C129" s="62" t="str">
        <f ca="1">Spaces_Sum!H126</f>
        <v>Level 6</v>
      </c>
      <c r="D129" s="62" t="str">
        <f ca="1">Spaces_Sum!I126</f>
        <v>DirectlyConditioned</v>
      </c>
      <c r="E129" s="62" t="str">
        <f ca="1">Spaces_Sum!J126</f>
        <v>Dwelling Unit</v>
      </c>
      <c r="F129" s="62" t="str">
        <f ca="1">Spaces_Sum!K126</f>
        <v>Residential</v>
      </c>
      <c r="G129" s="62" t="str">
        <f ca="1">Spaces_Sum!L126</f>
        <v>Thermal Zone: L06-613_MfamResiPthp</v>
      </c>
      <c r="H129" s="62">
        <f ca="1">Spaces_Sum!M126</f>
        <v>3034.0410000000002</v>
      </c>
      <c r="I129" s="62">
        <f ca="1">Spaces_Sum!O126</f>
        <v>1016.9</v>
      </c>
      <c r="J129" s="62" t="e">
        <f>Spaces_Sum!#REF!</f>
        <v>#REF!</v>
      </c>
      <c r="K129" s="62" t="e">
        <f>Spaces_Sum!#REF!</f>
        <v>#REF!</v>
      </c>
      <c r="L129" s="62">
        <f>Spaces_Sum!AK126</f>
        <v>0</v>
      </c>
      <c r="M129" s="62">
        <f ca="1">Spaces_Sum!AL126</f>
        <v>1</v>
      </c>
      <c r="N129" s="62">
        <f ca="1">Spaces_Sum!AN126</f>
        <v>1</v>
      </c>
      <c r="O129" s="62">
        <f ca="1">Spaces_Sum!AO126</f>
        <v>3034.0410000000002</v>
      </c>
      <c r="P129" s="537" t="e">
        <f t="shared" ca="1" si="25"/>
        <v>#REF!</v>
      </c>
      <c r="Q129" s="70" t="e">
        <f t="shared" ca="1" si="26"/>
        <v>#REF!</v>
      </c>
      <c r="R129" s="70" t="e">
        <f t="shared" ca="1" si="27"/>
        <v>#REF!</v>
      </c>
      <c r="S129" s="70" t="e">
        <f t="shared" ca="1" si="19"/>
        <v>#REF!</v>
      </c>
      <c r="T129" s="70" t="e">
        <f t="shared" ca="1" si="28"/>
        <v>#REF!</v>
      </c>
      <c r="U129" s="70" t="e">
        <f t="shared" ca="1" si="29"/>
        <v>#REF!</v>
      </c>
      <c r="V129" s="70" t="e">
        <f t="shared" ca="1" si="20"/>
        <v>#REF!</v>
      </c>
      <c r="W129" s="70" t="e">
        <f t="shared" ca="1" si="30"/>
        <v>#REF!</v>
      </c>
      <c r="X129" s="70" t="e">
        <f t="shared" ca="1" si="31"/>
        <v>#REF!</v>
      </c>
      <c r="Y129" s="70" t="e">
        <f t="shared" ca="1" si="21"/>
        <v>#REF!</v>
      </c>
      <c r="Z129" s="70" t="e">
        <f t="shared" ca="1" si="22"/>
        <v>#REF!</v>
      </c>
      <c r="AA129" s="70" t="e">
        <f t="shared" ca="1" si="23"/>
        <v>#REF!</v>
      </c>
      <c r="AB129" s="70" t="e">
        <f t="shared" ca="1" si="23"/>
        <v>#REF!</v>
      </c>
      <c r="AC129" s="70"/>
      <c r="AD129" s="70" t="e">
        <f t="shared" ca="1" si="24"/>
        <v>#REF!</v>
      </c>
      <c r="AE129" s="70" t="e">
        <f t="shared" ca="1" si="24"/>
        <v>#REF!</v>
      </c>
      <c r="AJ129" s="62"/>
    </row>
    <row r="130" spans="1:36" ht="12" customHeight="1" x14ac:dyDescent="0.2">
      <c r="A130" s="62">
        <f t="shared" si="32"/>
        <v>72</v>
      </c>
      <c r="B130" s="62" t="str">
        <f>Spaces_Sum!C127</f>
        <v>L06-614_MechRaccIncd</v>
      </c>
      <c r="C130" s="62" t="str">
        <f ca="1">Spaces_Sum!H127</f>
        <v>Level 6</v>
      </c>
      <c r="D130" s="62" t="str">
        <f ca="1">Spaces_Sum!I127</f>
        <v>IndirectlyConditioned</v>
      </c>
      <c r="E130" s="62" t="str">
        <f ca="1">Spaces_Sum!J127</f>
        <v>Electrical/MechanicaI Room</v>
      </c>
      <c r="F130" s="62" t="str">
        <f ca="1">Spaces_Sum!K127</f>
        <v>Nonresidential</v>
      </c>
      <c r="G130" s="62" t="str">
        <f ca="1">Spaces_Sum!L127</f>
        <v>Thermal Zone: L06-600_CorrRaccSphp</v>
      </c>
      <c r="H130" s="62">
        <f ca="1">Spaces_Sum!M127</f>
        <v>347.74279999999999</v>
      </c>
      <c r="I130" s="62">
        <f ca="1">Spaces_Sum!O127</f>
        <v>0</v>
      </c>
      <c r="J130" s="62" t="e">
        <f>Spaces_Sum!#REF!</f>
        <v>#REF!</v>
      </c>
      <c r="K130" s="62" t="e">
        <f>Spaces_Sum!#REF!</f>
        <v>#REF!</v>
      </c>
      <c r="L130" s="62">
        <f>Spaces_Sum!AK127</f>
        <v>0</v>
      </c>
      <c r="M130" s="62">
        <f ca="1">Spaces_Sum!AL127</f>
        <v>1</v>
      </c>
      <c r="N130" s="62">
        <f ca="1">Spaces_Sum!AN127</f>
        <v>0</v>
      </c>
      <c r="O130" s="62">
        <f ca="1">Spaces_Sum!AO127</f>
        <v>347.74279999999999</v>
      </c>
      <c r="P130" s="537" t="e">
        <f t="shared" ca="1" si="25"/>
        <v>#REF!</v>
      </c>
      <c r="Q130" s="70" t="e">
        <f t="shared" ca="1" si="26"/>
        <v>#REF!</v>
      </c>
      <c r="R130" s="70" t="e">
        <f t="shared" ca="1" si="27"/>
        <v>#REF!</v>
      </c>
      <c r="S130" s="70" t="e">
        <f t="shared" ca="1" si="19"/>
        <v>#REF!</v>
      </c>
      <c r="T130" s="70" t="e">
        <f t="shared" ca="1" si="28"/>
        <v>#REF!</v>
      </c>
      <c r="U130" s="70" t="e">
        <f t="shared" ca="1" si="29"/>
        <v>#REF!</v>
      </c>
      <c r="V130" s="70" t="e">
        <f t="shared" ca="1" si="20"/>
        <v>#REF!</v>
      </c>
      <c r="W130" s="70" t="e">
        <f t="shared" ca="1" si="30"/>
        <v>#REF!</v>
      </c>
      <c r="X130" s="70" t="e">
        <f t="shared" ca="1" si="31"/>
        <v>#REF!</v>
      </c>
      <c r="Y130" s="70" t="e">
        <f t="shared" ca="1" si="21"/>
        <v>#REF!</v>
      </c>
      <c r="Z130" s="70" t="e">
        <f t="shared" ca="1" si="22"/>
        <v>#REF!</v>
      </c>
      <c r="AA130" s="70" t="e">
        <f t="shared" ca="1" si="23"/>
        <v>#REF!</v>
      </c>
      <c r="AB130" s="70" t="e">
        <f t="shared" ca="1" si="23"/>
        <v>#REF!</v>
      </c>
      <c r="AC130" s="70"/>
      <c r="AD130" s="70" t="e">
        <f t="shared" ca="1" si="24"/>
        <v>#REF!</v>
      </c>
      <c r="AE130" s="70" t="e">
        <f t="shared" ca="1" si="24"/>
        <v>#REF!</v>
      </c>
      <c r="AJ130" s="62"/>
    </row>
    <row r="131" spans="1:36" ht="12" customHeight="1" x14ac:dyDescent="0.2">
      <c r="A131" s="62">
        <f t="shared" si="32"/>
        <v>73</v>
      </c>
      <c r="B131" s="62" t="str">
        <f>Spaces_Sum!C128</f>
        <v>L06-615_ElevRaccIncd</v>
      </c>
      <c r="C131" s="62" t="str">
        <f ca="1">Spaces_Sum!H128</f>
        <v>Level 6</v>
      </c>
      <c r="D131" s="62" t="str">
        <f ca="1">Spaces_Sum!I128</f>
        <v>IndirectlyConditioned</v>
      </c>
      <c r="E131" s="62" t="str">
        <f ca="1">Spaces_Sum!J128</f>
        <v>Unoccupied-Include in Gross Floor Area</v>
      </c>
      <c r="F131" s="62" t="str">
        <f ca="1">Spaces_Sum!K128</f>
        <v>Nonresidential</v>
      </c>
      <c r="G131" s="62" t="str">
        <f ca="1">Spaces_Sum!L128</f>
        <v>Thermal Zone: L06-600_CorrRaccSphp</v>
      </c>
      <c r="H131" s="62">
        <f ca="1">Spaces_Sum!M128</f>
        <v>178.88640000000001</v>
      </c>
      <c r="I131" s="62">
        <f ca="1">Spaces_Sum!O128</f>
        <v>0</v>
      </c>
      <c r="J131" s="62" t="e">
        <f>Spaces_Sum!#REF!</f>
        <v>#REF!</v>
      </c>
      <c r="K131" s="62" t="e">
        <f>Spaces_Sum!#REF!</f>
        <v>#REF!</v>
      </c>
      <c r="L131" s="62">
        <f>Spaces_Sum!AK128</f>
        <v>0</v>
      </c>
      <c r="M131" s="62">
        <f ca="1">Spaces_Sum!AL128</f>
        <v>1</v>
      </c>
      <c r="N131" s="62">
        <f ca="1">Spaces_Sum!AN128</f>
        <v>0</v>
      </c>
      <c r="O131" s="62">
        <f ca="1">Spaces_Sum!AO128</f>
        <v>178.88640000000001</v>
      </c>
      <c r="P131" s="537" t="e">
        <f t="shared" ca="1" si="25"/>
        <v>#REF!</v>
      </c>
      <c r="Q131" s="70" t="e">
        <f t="shared" ca="1" si="26"/>
        <v>#REF!</v>
      </c>
      <c r="R131" s="70" t="e">
        <f t="shared" ca="1" si="27"/>
        <v>#REF!</v>
      </c>
      <c r="S131" s="70" t="e">
        <f t="shared" ca="1" si="19"/>
        <v>#REF!</v>
      </c>
      <c r="T131" s="70" t="e">
        <f t="shared" ca="1" si="28"/>
        <v>#REF!</v>
      </c>
      <c r="U131" s="70" t="e">
        <f t="shared" ca="1" si="29"/>
        <v>#REF!</v>
      </c>
      <c r="V131" s="70" t="e">
        <f t="shared" ca="1" si="20"/>
        <v>#REF!</v>
      </c>
      <c r="W131" s="70" t="e">
        <f t="shared" ca="1" si="30"/>
        <v>#REF!</v>
      </c>
      <c r="X131" s="70" t="e">
        <f t="shared" ca="1" si="31"/>
        <v>#REF!</v>
      </c>
      <c r="Y131" s="70" t="e">
        <f t="shared" ca="1" si="21"/>
        <v>#REF!</v>
      </c>
      <c r="Z131" s="70" t="e">
        <f t="shared" ca="1" si="22"/>
        <v>#REF!</v>
      </c>
      <c r="AA131" s="70" t="e">
        <f t="shared" ca="1" si="23"/>
        <v>#REF!</v>
      </c>
      <c r="AB131" s="70" t="e">
        <f t="shared" ca="1" si="23"/>
        <v>#REF!</v>
      </c>
      <c r="AC131" s="70"/>
      <c r="AD131" s="70" t="e">
        <f t="shared" ca="1" si="24"/>
        <v>#REF!</v>
      </c>
      <c r="AE131" s="70" t="e">
        <f t="shared" ca="1" si="24"/>
        <v>#REF!</v>
      </c>
      <c r="AJ131" s="62"/>
    </row>
    <row r="132" spans="1:36" ht="12" customHeight="1" x14ac:dyDescent="0.2">
      <c r="A132" s="62">
        <f t="shared" si="32"/>
        <v>74</v>
      </c>
      <c r="B132" s="62" t="str">
        <f>Spaces_Sum!C129</f>
        <v>L06-616_StrsRaccIncd</v>
      </c>
      <c r="C132" s="62" t="str">
        <f ca="1">Spaces_Sum!H129</f>
        <v>Level 6</v>
      </c>
      <c r="D132" s="62" t="str">
        <f ca="1">Spaces_Sum!I129</f>
        <v>IndirectlyConditioned</v>
      </c>
      <c r="E132" s="62" t="str">
        <f ca="1">Spaces_Sum!J129</f>
        <v>Stairwell</v>
      </c>
      <c r="F132" s="62" t="str">
        <f ca="1">Spaces_Sum!K129</f>
        <v>Nonresidential</v>
      </c>
      <c r="G132" s="62" t="str">
        <f ca="1">Spaces_Sum!L129</f>
        <v>Thermal Zone: L06-600_CorrRaccSphp</v>
      </c>
      <c r="H132" s="62">
        <f ca="1">Spaces_Sum!M129</f>
        <v>232.53399999999999</v>
      </c>
      <c r="I132" s="62">
        <f ca="1">Spaces_Sum!O129</f>
        <v>0</v>
      </c>
      <c r="J132" s="62" t="e">
        <f>Spaces_Sum!#REF!</f>
        <v>#REF!</v>
      </c>
      <c r="K132" s="62" t="e">
        <f>Spaces_Sum!#REF!</f>
        <v>#REF!</v>
      </c>
      <c r="L132" s="62">
        <f>Spaces_Sum!AK129</f>
        <v>0</v>
      </c>
      <c r="M132" s="62">
        <f ca="1">Spaces_Sum!AL129</f>
        <v>1</v>
      </c>
      <c r="N132" s="62">
        <f ca="1">Spaces_Sum!AN129</f>
        <v>0</v>
      </c>
      <c r="O132" s="62">
        <f ca="1">Spaces_Sum!AO129</f>
        <v>232.53399999999999</v>
      </c>
      <c r="P132" s="537" t="e">
        <f t="shared" ca="1" si="25"/>
        <v>#REF!</v>
      </c>
      <c r="Q132" s="70" t="e">
        <f t="shared" ca="1" si="26"/>
        <v>#REF!</v>
      </c>
      <c r="R132" s="70" t="e">
        <f t="shared" ca="1" si="27"/>
        <v>#REF!</v>
      </c>
      <c r="S132" s="70" t="e">
        <f t="shared" ca="1" si="19"/>
        <v>#REF!</v>
      </c>
      <c r="T132" s="70" t="e">
        <f t="shared" ca="1" si="28"/>
        <v>#REF!</v>
      </c>
      <c r="U132" s="70" t="e">
        <f t="shared" ca="1" si="29"/>
        <v>#REF!</v>
      </c>
      <c r="V132" s="70" t="e">
        <f t="shared" ca="1" si="20"/>
        <v>#REF!</v>
      </c>
      <c r="W132" s="70" t="e">
        <f t="shared" ca="1" si="30"/>
        <v>#REF!</v>
      </c>
      <c r="X132" s="70" t="e">
        <f t="shared" ca="1" si="31"/>
        <v>#REF!</v>
      </c>
      <c r="Y132" s="70" t="e">
        <f t="shared" ca="1" si="21"/>
        <v>#REF!</v>
      </c>
      <c r="Z132" s="70" t="e">
        <f t="shared" ca="1" si="22"/>
        <v>#REF!</v>
      </c>
      <c r="AA132" s="70" t="e">
        <f t="shared" ca="1" si="23"/>
        <v>#REF!</v>
      </c>
      <c r="AB132" s="70" t="e">
        <f t="shared" ca="1" si="23"/>
        <v>#REF!</v>
      </c>
      <c r="AC132" s="70"/>
      <c r="AD132" s="70" t="e">
        <f t="shared" ca="1" si="24"/>
        <v>#REF!</v>
      </c>
      <c r="AE132" s="70" t="e">
        <f t="shared" ca="1" si="24"/>
        <v>#REF!</v>
      </c>
      <c r="AJ132" s="62"/>
    </row>
    <row r="133" spans="1:36" ht="12" customHeight="1" x14ac:dyDescent="0.2">
      <c r="A133" s="62">
        <f t="shared" si="32"/>
        <v>75</v>
      </c>
      <c r="B133" s="62" t="str">
        <f>Spaces_Sum!C130</f>
        <v>L06-617_MfamResiPthp</v>
      </c>
      <c r="C133" s="62" t="str">
        <f ca="1">Spaces_Sum!H130</f>
        <v>Level 6</v>
      </c>
      <c r="D133" s="62" t="str">
        <f ca="1">Spaces_Sum!I130</f>
        <v>DirectlyConditioned</v>
      </c>
      <c r="E133" s="62" t="str">
        <f ca="1">Spaces_Sum!J130</f>
        <v>Dwelling Unit</v>
      </c>
      <c r="F133" s="62" t="str">
        <f ca="1">Spaces_Sum!K130</f>
        <v>Residential</v>
      </c>
      <c r="G133" s="62" t="str">
        <f ca="1">Spaces_Sum!L130</f>
        <v>Thermal Zone: L06-617_MfamResiPthp</v>
      </c>
      <c r="H133" s="62">
        <f ca="1">Spaces_Sum!M130</f>
        <v>688.28060000000005</v>
      </c>
      <c r="I133" s="62">
        <f ca="1">Spaces_Sum!O130</f>
        <v>251.3</v>
      </c>
      <c r="J133" s="62" t="e">
        <f>Spaces_Sum!#REF!</f>
        <v>#REF!</v>
      </c>
      <c r="K133" s="62" t="e">
        <f>Spaces_Sum!#REF!</f>
        <v>#REF!</v>
      </c>
      <c r="L133" s="62">
        <f>Spaces_Sum!AK130</f>
        <v>0</v>
      </c>
      <c r="M133" s="62">
        <f ca="1">Spaces_Sum!AL130</f>
        <v>1</v>
      </c>
      <c r="N133" s="62">
        <f ca="1">Spaces_Sum!AN130</f>
        <v>1</v>
      </c>
      <c r="O133" s="62">
        <f ca="1">Spaces_Sum!AO130</f>
        <v>688.28060000000005</v>
      </c>
      <c r="P133" s="537" t="e">
        <f t="shared" ca="1" si="25"/>
        <v>#REF!</v>
      </c>
      <c r="Q133" s="70" t="e">
        <f t="shared" ca="1" si="26"/>
        <v>#REF!</v>
      </c>
      <c r="R133" s="70" t="e">
        <f t="shared" ca="1" si="27"/>
        <v>#REF!</v>
      </c>
      <c r="S133" s="70" t="e">
        <f t="shared" ca="1" si="19"/>
        <v>#REF!</v>
      </c>
      <c r="T133" s="70" t="e">
        <f t="shared" ca="1" si="28"/>
        <v>#REF!</v>
      </c>
      <c r="U133" s="70" t="e">
        <f t="shared" ca="1" si="29"/>
        <v>#REF!</v>
      </c>
      <c r="V133" s="70" t="e">
        <f t="shared" ca="1" si="20"/>
        <v>#REF!</v>
      </c>
      <c r="W133" s="70" t="e">
        <f t="shared" ca="1" si="30"/>
        <v>#REF!</v>
      </c>
      <c r="X133" s="70" t="e">
        <f t="shared" ca="1" si="31"/>
        <v>#REF!</v>
      </c>
      <c r="Y133" s="70" t="e">
        <f t="shared" ca="1" si="21"/>
        <v>#REF!</v>
      </c>
      <c r="Z133" s="70" t="e">
        <f t="shared" ca="1" si="22"/>
        <v>#REF!</v>
      </c>
      <c r="AA133" s="70" t="e">
        <f t="shared" ca="1" si="23"/>
        <v>#REF!</v>
      </c>
      <c r="AB133" s="70" t="e">
        <f t="shared" ca="1" si="23"/>
        <v>#REF!</v>
      </c>
      <c r="AC133" s="70"/>
      <c r="AD133" s="70" t="e">
        <f t="shared" ca="1" si="24"/>
        <v>#REF!</v>
      </c>
      <c r="AE133" s="70" t="e">
        <f t="shared" ca="1" si="24"/>
        <v>#REF!</v>
      </c>
      <c r="AJ133" s="62"/>
    </row>
    <row r="134" spans="1:36" ht="12" customHeight="1" x14ac:dyDescent="0.2">
      <c r="A134" s="62">
        <f t="shared" si="32"/>
        <v>76</v>
      </c>
      <c r="B134" s="62" t="str">
        <f>Spaces_Sum!C131</f>
        <v>L06-618_TrshRaccIncd</v>
      </c>
      <c r="C134" s="62" t="str">
        <f ca="1">Spaces_Sum!H131</f>
        <v>Level 6</v>
      </c>
      <c r="D134" s="62" t="str">
        <f ca="1">Spaces_Sum!I131</f>
        <v>IndirectlyConditioned</v>
      </c>
      <c r="E134" s="62" t="str">
        <f ca="1">Spaces_Sum!J131</f>
        <v>Storage Room - &lt;50 ft2</v>
      </c>
      <c r="F134" s="62" t="str">
        <f ca="1">Spaces_Sum!K131</f>
        <v>Nonresidential</v>
      </c>
      <c r="G134" s="62" t="str">
        <f ca="1">Spaces_Sum!L131</f>
        <v>Thermal Zone: L06-600_CorrRaccSphp</v>
      </c>
      <c r="H134" s="62">
        <f ca="1">Spaces_Sum!M131</f>
        <v>187.88740000000001</v>
      </c>
      <c r="I134" s="62">
        <f ca="1">Spaces_Sum!O131</f>
        <v>0</v>
      </c>
      <c r="J134" s="62" t="e">
        <f>Spaces_Sum!#REF!</f>
        <v>#REF!</v>
      </c>
      <c r="K134" s="62" t="e">
        <f>Spaces_Sum!#REF!</f>
        <v>#REF!</v>
      </c>
      <c r="L134" s="62">
        <f>Spaces_Sum!AK131</f>
        <v>0</v>
      </c>
      <c r="M134" s="62">
        <f ca="1">Spaces_Sum!AL131</f>
        <v>1</v>
      </c>
      <c r="N134" s="62">
        <f ca="1">Spaces_Sum!AN131</f>
        <v>0</v>
      </c>
      <c r="O134" s="62">
        <f ca="1">Spaces_Sum!AO131</f>
        <v>187.88740000000001</v>
      </c>
      <c r="P134" s="537" t="e">
        <f t="shared" ca="1" si="25"/>
        <v>#REF!</v>
      </c>
      <c r="Q134" s="70" t="e">
        <f t="shared" ca="1" si="26"/>
        <v>#REF!</v>
      </c>
      <c r="R134" s="70" t="e">
        <f t="shared" ca="1" si="27"/>
        <v>#REF!</v>
      </c>
      <c r="S134" s="70" t="e">
        <f t="shared" ca="1" si="19"/>
        <v>#REF!</v>
      </c>
      <c r="T134" s="70" t="e">
        <f t="shared" ca="1" si="28"/>
        <v>#REF!</v>
      </c>
      <c r="U134" s="70" t="e">
        <f t="shared" ca="1" si="29"/>
        <v>#REF!</v>
      </c>
      <c r="V134" s="70" t="e">
        <f t="shared" ca="1" si="20"/>
        <v>#REF!</v>
      </c>
      <c r="W134" s="70" t="e">
        <f t="shared" ca="1" si="30"/>
        <v>#REF!</v>
      </c>
      <c r="X134" s="70" t="e">
        <f t="shared" ca="1" si="31"/>
        <v>#REF!</v>
      </c>
      <c r="Y134" s="70" t="e">
        <f t="shared" ca="1" si="21"/>
        <v>#REF!</v>
      </c>
      <c r="Z134" s="70" t="e">
        <f t="shared" ca="1" si="22"/>
        <v>#REF!</v>
      </c>
      <c r="AA134" s="70" t="e">
        <f t="shared" ca="1" si="23"/>
        <v>#REF!</v>
      </c>
      <c r="AB134" s="70" t="e">
        <f t="shared" ca="1" si="23"/>
        <v>#REF!</v>
      </c>
      <c r="AC134" s="70"/>
      <c r="AD134" s="70" t="e">
        <f t="shared" ca="1" si="24"/>
        <v>#REF!</v>
      </c>
      <c r="AE134" s="70" t="e">
        <f t="shared" ca="1" si="24"/>
        <v>#REF!</v>
      </c>
      <c r="AJ134" s="62"/>
    </row>
    <row r="135" spans="1:36" ht="12" customHeight="1" x14ac:dyDescent="0.2">
      <c r="A135" s="62">
        <f t="shared" si="32"/>
        <v>77</v>
      </c>
      <c r="B135" s="62" t="str">
        <f>Spaces_Sum!C132</f>
        <v>L06-619_MfamResiPthp</v>
      </c>
      <c r="C135" s="62" t="str">
        <f ca="1">Spaces_Sum!H132</f>
        <v>Level 6</v>
      </c>
      <c r="D135" s="62" t="str">
        <f ca="1">Spaces_Sum!I132</f>
        <v>DirectlyConditioned</v>
      </c>
      <c r="E135" s="62" t="str">
        <f ca="1">Spaces_Sum!J132</f>
        <v>Dwelling Unit</v>
      </c>
      <c r="F135" s="62" t="str">
        <f ca="1">Spaces_Sum!K132</f>
        <v>Residential</v>
      </c>
      <c r="G135" s="62" t="str">
        <f ca="1">Spaces_Sum!L132</f>
        <v>Thermal Zone: L06-619_MfamResiPthp</v>
      </c>
      <c r="H135" s="62">
        <f ca="1">Spaces_Sum!M132</f>
        <v>662.92970000000003</v>
      </c>
      <c r="I135" s="62">
        <f ca="1">Spaces_Sum!O132</f>
        <v>586</v>
      </c>
      <c r="J135" s="62" t="e">
        <f>Spaces_Sum!#REF!</f>
        <v>#REF!</v>
      </c>
      <c r="K135" s="62" t="e">
        <f>Spaces_Sum!#REF!</f>
        <v>#REF!</v>
      </c>
      <c r="L135" s="62">
        <f>Spaces_Sum!AK132</f>
        <v>0</v>
      </c>
      <c r="M135" s="62">
        <f ca="1">Spaces_Sum!AL132</f>
        <v>1</v>
      </c>
      <c r="N135" s="62">
        <f ca="1">Spaces_Sum!AN132</f>
        <v>1</v>
      </c>
      <c r="O135" s="62">
        <f ca="1">Spaces_Sum!AO132</f>
        <v>662.92970000000003</v>
      </c>
      <c r="P135" s="537" t="e">
        <f t="shared" ca="1" si="25"/>
        <v>#REF!</v>
      </c>
      <c r="Q135" s="70" t="e">
        <f t="shared" ca="1" si="26"/>
        <v>#REF!</v>
      </c>
      <c r="R135" s="70" t="e">
        <f t="shared" ca="1" si="27"/>
        <v>#REF!</v>
      </c>
      <c r="S135" s="70" t="e">
        <f t="shared" ca="1" si="19"/>
        <v>#REF!</v>
      </c>
      <c r="T135" s="70" t="e">
        <f t="shared" ca="1" si="28"/>
        <v>#REF!</v>
      </c>
      <c r="U135" s="70" t="e">
        <f t="shared" ca="1" si="29"/>
        <v>#REF!</v>
      </c>
      <c r="V135" s="70" t="e">
        <f t="shared" ca="1" si="20"/>
        <v>#REF!</v>
      </c>
      <c r="W135" s="70" t="e">
        <f t="shared" ca="1" si="30"/>
        <v>#REF!</v>
      </c>
      <c r="X135" s="70" t="e">
        <f t="shared" ca="1" si="31"/>
        <v>#REF!</v>
      </c>
      <c r="Y135" s="70" t="e">
        <f t="shared" ca="1" si="21"/>
        <v>#REF!</v>
      </c>
      <c r="Z135" s="70" t="e">
        <f t="shared" ca="1" si="22"/>
        <v>#REF!</v>
      </c>
      <c r="AA135" s="70" t="e">
        <f t="shared" ca="1" si="23"/>
        <v>#REF!</v>
      </c>
      <c r="AB135" s="70" t="e">
        <f t="shared" ca="1" si="23"/>
        <v>#REF!</v>
      </c>
      <c r="AC135" s="70"/>
      <c r="AD135" s="70" t="e">
        <f t="shared" ca="1" si="24"/>
        <v>#REF!</v>
      </c>
      <c r="AE135" s="70" t="e">
        <f t="shared" ca="1" si="24"/>
        <v>#REF!</v>
      </c>
      <c r="AJ135" s="62"/>
    </row>
    <row r="136" spans="1:36" ht="12" customHeight="1" x14ac:dyDescent="0.2">
      <c r="A136" s="62">
        <f t="shared" si="32"/>
        <v>78</v>
      </c>
      <c r="B136" s="62" t="str">
        <f>Spaces_Sum!C133</f>
        <v>R01-701_StrsRaccBbrd</v>
      </c>
      <c r="C136" s="62" t="str">
        <f ca="1">Spaces_Sum!H133</f>
        <v>Roof</v>
      </c>
      <c r="D136" s="62" t="str">
        <f ca="1">Spaces_Sum!I133</f>
        <v>DirectlyConditioned</v>
      </c>
      <c r="E136" s="62" t="str">
        <f ca="1">Spaces_Sum!J133</f>
        <v>Stairwell</v>
      </c>
      <c r="F136" s="62" t="str">
        <f ca="1">Spaces_Sum!K133</f>
        <v>Nonresidential</v>
      </c>
      <c r="G136" s="62" t="str">
        <f ca="1">Spaces_Sum!L133</f>
        <v>Thermal Zone: R01-701_StrsRaccBbrd</v>
      </c>
      <c r="H136" s="62">
        <f ca="1">Spaces_Sum!M133</f>
        <v>197.10499999999999</v>
      </c>
      <c r="I136" s="62">
        <f ca="1">Spaces_Sum!O133</f>
        <v>0</v>
      </c>
      <c r="J136" s="62" t="e">
        <f>Spaces_Sum!#REF!</f>
        <v>#REF!</v>
      </c>
      <c r="K136" s="62" t="e">
        <f>Spaces_Sum!#REF!</f>
        <v>#REF!</v>
      </c>
      <c r="L136" s="62">
        <f>Spaces_Sum!AK133</f>
        <v>0</v>
      </c>
      <c r="M136" s="62">
        <f ca="1">Spaces_Sum!AL133</f>
        <v>1</v>
      </c>
      <c r="N136" s="62">
        <f ca="1">Spaces_Sum!AN133</f>
        <v>0</v>
      </c>
      <c r="O136" s="62">
        <f ca="1">Spaces_Sum!AO133</f>
        <v>197.10499999999999</v>
      </c>
      <c r="P136" s="537" t="e">
        <f t="shared" ca="1" si="25"/>
        <v>#REF!</v>
      </c>
      <c r="Q136" s="70" t="e">
        <f t="shared" ca="1" si="26"/>
        <v>#REF!</v>
      </c>
      <c r="R136" s="70" t="e">
        <f t="shared" ca="1" si="27"/>
        <v>#REF!</v>
      </c>
      <c r="S136" s="70" t="e">
        <f t="shared" ca="1" si="19"/>
        <v>#REF!</v>
      </c>
      <c r="T136" s="70" t="e">
        <f t="shared" ca="1" si="28"/>
        <v>#REF!</v>
      </c>
      <c r="U136" s="70" t="e">
        <f t="shared" ca="1" si="29"/>
        <v>#REF!</v>
      </c>
      <c r="V136" s="70" t="e">
        <f t="shared" ca="1" si="20"/>
        <v>#REF!</v>
      </c>
      <c r="W136" s="70" t="e">
        <f t="shared" ca="1" si="30"/>
        <v>#REF!</v>
      </c>
      <c r="X136" s="70" t="e">
        <f t="shared" ca="1" si="31"/>
        <v>#REF!</v>
      </c>
      <c r="Y136" s="70" t="e">
        <f t="shared" ca="1" si="21"/>
        <v>#REF!</v>
      </c>
      <c r="Z136" s="70" t="e">
        <f t="shared" ca="1" si="22"/>
        <v>#REF!</v>
      </c>
      <c r="AA136" s="70" t="e">
        <f t="shared" ca="1" si="23"/>
        <v>#REF!</v>
      </c>
      <c r="AB136" s="70" t="e">
        <f t="shared" ca="1" si="23"/>
        <v>#REF!</v>
      </c>
      <c r="AC136" s="70"/>
      <c r="AD136" s="70" t="e">
        <f t="shared" ca="1" si="24"/>
        <v>#REF!</v>
      </c>
      <c r="AE136" s="70" t="e">
        <f t="shared" ca="1" si="24"/>
        <v>#REF!</v>
      </c>
      <c r="AJ136" s="62"/>
    </row>
    <row r="137" spans="1:36" ht="12" customHeight="1" x14ac:dyDescent="0.2">
      <c r="A137" s="62">
        <f t="shared" si="32"/>
        <v>79</v>
      </c>
      <c r="B137" s="62" t="str">
        <f>Spaces_Sum!C134</f>
        <v>R01-702_ElevRaccIncd</v>
      </c>
      <c r="C137" s="62" t="str">
        <f ca="1">Spaces_Sum!H134</f>
        <v>Roof</v>
      </c>
      <c r="D137" s="62" t="str">
        <f ca="1">Spaces_Sum!I134</f>
        <v>IndirectlyConditioned</v>
      </c>
      <c r="E137" s="62" t="str">
        <f ca="1">Spaces_Sum!J134</f>
        <v>Unoccupied-Include in Gross Floor Area</v>
      </c>
      <c r="F137" s="62" t="str">
        <f ca="1">Spaces_Sum!K134</f>
        <v>Nonresidential</v>
      </c>
      <c r="G137" s="62" t="str">
        <f ca="1">Spaces_Sum!L134</f>
        <v>Thermal Zone: R01-701_StrsRaccBbrd</v>
      </c>
      <c r="H137" s="62">
        <f ca="1">Spaces_Sum!M134</f>
        <v>127.9872</v>
      </c>
      <c r="I137" s="62">
        <f ca="1">Spaces_Sum!O134</f>
        <v>0</v>
      </c>
      <c r="J137" s="62" t="e">
        <f>Spaces_Sum!#REF!</f>
        <v>#REF!</v>
      </c>
      <c r="K137" s="62" t="e">
        <f>Spaces_Sum!#REF!</f>
        <v>#REF!</v>
      </c>
      <c r="L137" s="62">
        <f>Spaces_Sum!AK134</f>
        <v>0</v>
      </c>
      <c r="M137" s="62">
        <f ca="1">Spaces_Sum!AL134</f>
        <v>1</v>
      </c>
      <c r="N137" s="62">
        <f ca="1">Spaces_Sum!AN134</f>
        <v>0</v>
      </c>
      <c r="O137" s="62">
        <f ca="1">Spaces_Sum!AO134</f>
        <v>127.9872</v>
      </c>
      <c r="P137" s="537" t="e">
        <f t="shared" ca="1" si="25"/>
        <v>#REF!</v>
      </c>
      <c r="Q137" s="70" t="e">
        <f t="shared" ca="1" si="26"/>
        <v>#REF!</v>
      </c>
      <c r="R137" s="70" t="e">
        <f t="shared" ca="1" si="27"/>
        <v>#REF!</v>
      </c>
      <c r="S137" s="70" t="e">
        <f t="shared" ca="1" si="19"/>
        <v>#REF!</v>
      </c>
      <c r="T137" s="70" t="e">
        <f t="shared" ca="1" si="28"/>
        <v>#REF!</v>
      </c>
      <c r="U137" s="70" t="e">
        <f t="shared" ca="1" si="29"/>
        <v>#REF!</v>
      </c>
      <c r="V137" s="70" t="e">
        <f t="shared" ca="1" si="20"/>
        <v>#REF!</v>
      </c>
      <c r="W137" s="70" t="e">
        <f t="shared" ca="1" si="30"/>
        <v>#REF!</v>
      </c>
      <c r="X137" s="70" t="e">
        <f t="shared" ca="1" si="31"/>
        <v>#REF!</v>
      </c>
      <c r="Y137" s="70" t="e">
        <f t="shared" ca="1" si="21"/>
        <v>#REF!</v>
      </c>
      <c r="Z137" s="70" t="e">
        <f t="shared" ca="1" si="22"/>
        <v>#REF!</v>
      </c>
      <c r="AA137" s="70" t="e">
        <f t="shared" ca="1" si="23"/>
        <v>#REF!</v>
      </c>
      <c r="AB137" s="70" t="e">
        <f t="shared" ca="1" si="23"/>
        <v>#REF!</v>
      </c>
      <c r="AC137" s="70"/>
      <c r="AD137" s="70" t="e">
        <f t="shared" ca="1" si="24"/>
        <v>#REF!</v>
      </c>
      <c r="AE137" s="70" t="e">
        <f t="shared" ca="1" si="24"/>
        <v>#REF!</v>
      </c>
      <c r="AJ137" s="62"/>
    </row>
    <row r="138" spans="1:36" ht="12" customHeight="1" x14ac:dyDescent="0.2">
      <c r="A138" s="62">
        <f t="shared" si="32"/>
        <v>80</v>
      </c>
      <c r="B138" s="62" t="str">
        <f>Spaces_Sum!C135</f>
        <v>R01-703_MechRaccPtac</v>
      </c>
      <c r="C138" s="62" t="str">
        <f ca="1">Spaces_Sum!H135</f>
        <v>Roof</v>
      </c>
      <c r="D138" s="62" t="str">
        <f ca="1">Spaces_Sum!I135</f>
        <v>DirectlyConditioned</v>
      </c>
      <c r="E138" s="62" t="str">
        <f ca="1">Spaces_Sum!J135</f>
        <v>Electrical/MechanicaI Room</v>
      </c>
      <c r="F138" s="62" t="str">
        <f ca="1">Spaces_Sum!K135</f>
        <v>Nonresidential</v>
      </c>
      <c r="G138" s="62" t="str">
        <f ca="1">Spaces_Sum!L135</f>
        <v>Thermal Zone: R01-703_MechRaccPtac</v>
      </c>
      <c r="H138" s="62">
        <f ca="1">Spaces_Sum!M135</f>
        <v>102.77760000000001</v>
      </c>
      <c r="I138" s="62">
        <f ca="1">Spaces_Sum!O135</f>
        <v>0</v>
      </c>
      <c r="J138" s="62" t="e">
        <f>Spaces_Sum!#REF!</f>
        <v>#REF!</v>
      </c>
      <c r="K138" s="62" t="e">
        <f>Spaces_Sum!#REF!</f>
        <v>#REF!</v>
      </c>
      <c r="L138" s="62">
        <f>Spaces_Sum!AK135</f>
        <v>0</v>
      </c>
      <c r="M138" s="62">
        <f ca="1">Spaces_Sum!AL135</f>
        <v>1</v>
      </c>
      <c r="N138" s="62">
        <f ca="1">Spaces_Sum!AN135</f>
        <v>0</v>
      </c>
      <c r="O138" s="62">
        <f ca="1">Spaces_Sum!AO135</f>
        <v>102.77760000000001</v>
      </c>
      <c r="P138" s="537" t="e">
        <f t="shared" ca="1" si="25"/>
        <v>#REF!</v>
      </c>
      <c r="Q138" s="70" t="e">
        <f t="shared" ca="1" si="26"/>
        <v>#REF!</v>
      </c>
      <c r="R138" s="70" t="e">
        <f t="shared" ca="1" si="27"/>
        <v>#REF!</v>
      </c>
      <c r="S138" s="70" t="e">
        <f t="shared" ca="1" si="19"/>
        <v>#REF!</v>
      </c>
      <c r="T138" s="70" t="e">
        <f t="shared" ca="1" si="28"/>
        <v>#REF!</v>
      </c>
      <c r="U138" s="70" t="e">
        <f t="shared" ca="1" si="29"/>
        <v>#REF!</v>
      </c>
      <c r="V138" s="70" t="e">
        <f t="shared" ca="1" si="20"/>
        <v>#REF!</v>
      </c>
      <c r="W138" s="70" t="e">
        <f t="shared" ca="1" si="30"/>
        <v>#REF!</v>
      </c>
      <c r="X138" s="70" t="e">
        <f t="shared" ca="1" si="31"/>
        <v>#REF!</v>
      </c>
      <c r="Y138" s="70" t="e">
        <f t="shared" ca="1" si="21"/>
        <v>#REF!</v>
      </c>
      <c r="Z138" s="70" t="e">
        <f t="shared" ca="1" si="22"/>
        <v>#REF!</v>
      </c>
      <c r="AA138" s="70" t="e">
        <f t="shared" ca="1" si="23"/>
        <v>#REF!</v>
      </c>
      <c r="AB138" s="70" t="e">
        <f t="shared" ca="1" si="23"/>
        <v>#REF!</v>
      </c>
      <c r="AC138" s="70"/>
      <c r="AD138" s="70" t="e">
        <f t="shared" ca="1" si="24"/>
        <v>#REF!</v>
      </c>
      <c r="AE138" s="70" t="e">
        <f t="shared" ca="1" si="24"/>
        <v>#REF!</v>
      </c>
      <c r="AJ138" s="62"/>
    </row>
    <row r="139" spans="1:36" ht="12" customHeight="1" x14ac:dyDescent="0.2">
      <c r="A139" s="62">
        <f t="shared" si="32"/>
        <v>81</v>
      </c>
      <c r="B139" s="62" t="str">
        <f>Spaces_Sum!C136</f>
        <v>R01-704_StrsRaccBbrd</v>
      </c>
      <c r="C139" s="62" t="str">
        <f ca="1">Spaces_Sum!H136</f>
        <v>Roof</v>
      </c>
      <c r="D139" s="62" t="str">
        <f ca="1">Spaces_Sum!I136</f>
        <v>DirectlyConditioned</v>
      </c>
      <c r="E139" s="62" t="str">
        <f ca="1">Spaces_Sum!J136</f>
        <v>Stairwell</v>
      </c>
      <c r="F139" s="62" t="str">
        <f ca="1">Spaces_Sum!K136</f>
        <v>Nonresidential</v>
      </c>
      <c r="G139" s="62" t="str">
        <f ca="1">Spaces_Sum!L136</f>
        <v>Thermal Zone: R01-704_StrsRaccBbrd</v>
      </c>
      <c r="H139" s="62">
        <f ca="1">Spaces_Sum!M136</f>
        <v>236.34819999999999</v>
      </c>
      <c r="I139" s="62">
        <f ca="1">Spaces_Sum!O136</f>
        <v>0</v>
      </c>
      <c r="J139" s="62" t="e">
        <f>Spaces_Sum!#REF!</f>
        <v>#REF!</v>
      </c>
      <c r="K139" s="62" t="e">
        <f>Spaces_Sum!#REF!</f>
        <v>#REF!</v>
      </c>
      <c r="L139" s="62">
        <f>Spaces_Sum!AK136</f>
        <v>0</v>
      </c>
      <c r="M139" s="62">
        <f ca="1">Spaces_Sum!AL136</f>
        <v>1</v>
      </c>
      <c r="N139" s="62">
        <f ca="1">Spaces_Sum!AN136</f>
        <v>0</v>
      </c>
      <c r="O139" s="62">
        <f ca="1">Spaces_Sum!AO136</f>
        <v>236.34819999999999</v>
      </c>
      <c r="P139" s="537" t="e">
        <f t="shared" ca="1" si="25"/>
        <v>#REF!</v>
      </c>
      <c r="Q139" s="70" t="e">
        <f t="shared" ca="1" si="26"/>
        <v>#REF!</v>
      </c>
      <c r="R139" s="70" t="e">
        <f t="shared" ca="1" si="27"/>
        <v>#REF!</v>
      </c>
      <c r="S139" s="70" t="e">
        <f t="shared" ca="1" si="19"/>
        <v>#REF!</v>
      </c>
      <c r="T139" s="70" t="e">
        <f t="shared" ca="1" si="28"/>
        <v>#REF!</v>
      </c>
      <c r="U139" s="70" t="e">
        <f t="shared" ca="1" si="29"/>
        <v>#REF!</v>
      </c>
      <c r="V139" s="70" t="e">
        <f t="shared" ca="1" si="20"/>
        <v>#REF!</v>
      </c>
      <c r="W139" s="70" t="e">
        <f t="shared" ca="1" si="30"/>
        <v>#REF!</v>
      </c>
      <c r="X139" s="70" t="e">
        <f t="shared" ca="1" si="31"/>
        <v>#REF!</v>
      </c>
      <c r="Y139" s="70" t="e">
        <f t="shared" ca="1" si="21"/>
        <v>#REF!</v>
      </c>
      <c r="Z139" s="70" t="e">
        <f t="shared" ca="1" si="22"/>
        <v>#REF!</v>
      </c>
      <c r="AA139" s="70" t="e">
        <f t="shared" ca="1" si="23"/>
        <v>#REF!</v>
      </c>
      <c r="AB139" s="70" t="e">
        <f t="shared" ca="1" si="23"/>
        <v>#REF!</v>
      </c>
      <c r="AC139" s="70"/>
      <c r="AD139" s="70" t="e">
        <f t="shared" ca="1" si="24"/>
        <v>#REF!</v>
      </c>
      <c r="AE139" s="70" t="e">
        <f t="shared" ca="1" si="24"/>
        <v>#REF!</v>
      </c>
      <c r="AJ139" s="62"/>
    </row>
    <row r="140" spans="1:36" ht="12" customHeight="1" x14ac:dyDescent="0.2">
      <c r="A140" s="62">
        <f t="shared" si="32"/>
        <v>82</v>
      </c>
      <c r="B140" s="62" t="str">
        <f>Spaces_Sum!C137</f>
        <v>R01-705_ElevRaccIncd</v>
      </c>
      <c r="C140" s="62" t="str">
        <f ca="1">Spaces_Sum!H137</f>
        <v>Roof</v>
      </c>
      <c r="D140" s="62" t="str">
        <f ca="1">Spaces_Sum!I137</f>
        <v>IndirectlyConditioned</v>
      </c>
      <c r="E140" s="62" t="str">
        <f ca="1">Spaces_Sum!J137</f>
        <v>Unoccupied-Include in Gross Floor Area</v>
      </c>
      <c r="F140" s="62" t="str">
        <f ca="1">Spaces_Sum!K137</f>
        <v>Nonresidential</v>
      </c>
      <c r="G140" s="62" t="str">
        <f ca="1">Spaces_Sum!L137</f>
        <v>Thermal Zone: R01-704_StrsRaccBbrd</v>
      </c>
      <c r="H140" s="62">
        <f ca="1">Spaces_Sum!M137</f>
        <v>211.21340000000001</v>
      </c>
      <c r="I140" s="62">
        <f ca="1">Spaces_Sum!O137</f>
        <v>0</v>
      </c>
      <c r="J140" s="62" t="e">
        <f>Spaces_Sum!#REF!</f>
        <v>#REF!</v>
      </c>
      <c r="K140" s="62" t="e">
        <f>Spaces_Sum!#REF!</f>
        <v>#REF!</v>
      </c>
      <c r="L140" s="62">
        <f>Spaces_Sum!AK137</f>
        <v>0</v>
      </c>
      <c r="M140" s="62">
        <f ca="1">Spaces_Sum!AL137</f>
        <v>1</v>
      </c>
      <c r="N140" s="62">
        <f ca="1">Spaces_Sum!AN137</f>
        <v>0</v>
      </c>
      <c r="O140" s="62">
        <f ca="1">Spaces_Sum!AO137</f>
        <v>211.21340000000001</v>
      </c>
      <c r="P140" s="537" t="e">
        <f t="shared" ca="1" si="25"/>
        <v>#REF!</v>
      </c>
      <c r="Q140" s="70" t="e">
        <f t="shared" ca="1" si="26"/>
        <v>#REF!</v>
      </c>
      <c r="R140" s="70" t="e">
        <f t="shared" ca="1" si="27"/>
        <v>#REF!</v>
      </c>
      <c r="S140" s="70" t="e">
        <f t="shared" ca="1" si="19"/>
        <v>#REF!</v>
      </c>
      <c r="T140" s="70" t="e">
        <f t="shared" ca="1" si="28"/>
        <v>#REF!</v>
      </c>
      <c r="U140" s="70" t="e">
        <f t="shared" ca="1" si="29"/>
        <v>#REF!</v>
      </c>
      <c r="V140" s="70" t="e">
        <f t="shared" ca="1" si="20"/>
        <v>#REF!</v>
      </c>
      <c r="W140" s="70" t="e">
        <f t="shared" ca="1" si="30"/>
        <v>#REF!</v>
      </c>
      <c r="X140" s="70" t="e">
        <f t="shared" ca="1" si="31"/>
        <v>#REF!</v>
      </c>
      <c r="Y140" s="70" t="e">
        <f t="shared" ca="1" si="21"/>
        <v>#REF!</v>
      </c>
      <c r="Z140" s="70" t="e">
        <f t="shared" ca="1" si="22"/>
        <v>#REF!</v>
      </c>
      <c r="AA140" s="70" t="e">
        <f t="shared" ca="1" si="23"/>
        <v>#REF!</v>
      </c>
      <c r="AB140" s="70" t="e">
        <f t="shared" ca="1" si="23"/>
        <v>#REF!</v>
      </c>
      <c r="AC140" s="70"/>
      <c r="AD140" s="70" t="e">
        <f t="shared" ca="1" si="24"/>
        <v>#REF!</v>
      </c>
      <c r="AE140" s="70" t="e">
        <f t="shared" ca="1" si="24"/>
        <v>#REF!</v>
      </c>
      <c r="AJ140" s="62"/>
    </row>
    <row r="141" spans="1:36" ht="12" customHeight="1" x14ac:dyDescent="0.2">
      <c r="A141" s="62">
        <f t="shared" si="32"/>
        <v>83</v>
      </c>
      <c r="B141" s="62" t="str">
        <f>Spaces_Sum!C138</f>
        <v>R01-706_MechRaccPtac</v>
      </c>
      <c r="C141" s="62" t="str">
        <f ca="1">Spaces_Sum!H138</f>
        <v>Roof</v>
      </c>
      <c r="D141" s="62" t="str">
        <f ca="1">Spaces_Sum!I138</f>
        <v>DirectlyConditioned</v>
      </c>
      <c r="E141" s="62" t="str">
        <f ca="1">Spaces_Sum!J138</f>
        <v>Electrical/MechanicaI Room</v>
      </c>
      <c r="F141" s="62" t="str">
        <f ca="1">Spaces_Sum!K138</f>
        <v>Nonresidential</v>
      </c>
      <c r="G141" s="62" t="str">
        <f ca="1">Spaces_Sum!L138</f>
        <v>Thermal Zone: R01-706_MechRaccPtac</v>
      </c>
      <c r="H141" s="62">
        <f ca="1">Spaces_Sum!M138</f>
        <v>272.42880000000002</v>
      </c>
      <c r="I141" s="62">
        <f ca="1">Spaces_Sum!O138</f>
        <v>0</v>
      </c>
      <c r="J141" s="62" t="e">
        <f>Spaces_Sum!#REF!</f>
        <v>#REF!</v>
      </c>
      <c r="K141" s="62" t="e">
        <f>Spaces_Sum!#REF!</f>
        <v>#REF!</v>
      </c>
      <c r="L141" s="62">
        <f>Spaces_Sum!AK138</f>
        <v>0</v>
      </c>
      <c r="M141" s="62">
        <f ca="1">Spaces_Sum!AL138</f>
        <v>1</v>
      </c>
      <c r="N141" s="62">
        <f ca="1">Spaces_Sum!AN138</f>
        <v>0</v>
      </c>
      <c r="O141" s="62">
        <f ca="1">Spaces_Sum!AO138</f>
        <v>272.42880000000002</v>
      </c>
      <c r="P141" s="537" t="e">
        <f t="shared" ca="1" si="25"/>
        <v>#REF!</v>
      </c>
      <c r="Q141" s="70" t="e">
        <f t="shared" ca="1" si="26"/>
        <v>#REF!</v>
      </c>
      <c r="R141" s="70" t="e">
        <f t="shared" ca="1" si="27"/>
        <v>#REF!</v>
      </c>
      <c r="S141" s="70" t="e">
        <f t="shared" ca="1" si="19"/>
        <v>#REF!</v>
      </c>
      <c r="T141" s="70" t="e">
        <f t="shared" ca="1" si="28"/>
        <v>#REF!</v>
      </c>
      <c r="U141" s="70" t="e">
        <f t="shared" ca="1" si="29"/>
        <v>#REF!</v>
      </c>
      <c r="V141" s="70" t="e">
        <f t="shared" ca="1" si="20"/>
        <v>#REF!</v>
      </c>
      <c r="W141" s="70" t="e">
        <f t="shared" ca="1" si="30"/>
        <v>#REF!</v>
      </c>
      <c r="X141" s="70" t="e">
        <f t="shared" ca="1" si="31"/>
        <v>#REF!</v>
      </c>
      <c r="Y141" s="70" t="e">
        <f t="shared" ca="1" si="21"/>
        <v>#REF!</v>
      </c>
      <c r="Z141" s="70" t="e">
        <f t="shared" ca="1" si="22"/>
        <v>#REF!</v>
      </c>
      <c r="AA141" s="70" t="e">
        <f t="shared" ca="1" si="23"/>
        <v>#REF!</v>
      </c>
      <c r="AB141" s="70" t="e">
        <f t="shared" ca="1" si="23"/>
        <v>#REF!</v>
      </c>
      <c r="AC141" s="70"/>
      <c r="AD141" s="70" t="e">
        <f t="shared" ca="1" si="24"/>
        <v>#REF!</v>
      </c>
      <c r="AE141" s="70" t="e">
        <f t="shared" ca="1" si="24"/>
        <v>#REF!</v>
      </c>
      <c r="AJ141" s="62"/>
    </row>
    <row r="142" spans="1:36" ht="12" customHeight="1" x14ac:dyDescent="0.2">
      <c r="A142" s="62">
        <f t="shared" si="32"/>
        <v>84</v>
      </c>
      <c r="B142" s="62">
        <f>Spaces_Sum!C139</f>
        <v>0</v>
      </c>
      <c r="C142" s="62" t="e">
        <f ca="1">Spaces_Sum!H139</f>
        <v>#N/A</v>
      </c>
      <c r="D142" s="62" t="e">
        <f ca="1">Spaces_Sum!I139</f>
        <v>#N/A</v>
      </c>
      <c r="E142" s="62" t="e">
        <f ca="1">Spaces_Sum!J139</f>
        <v>#N/A</v>
      </c>
      <c r="F142" s="62" t="e">
        <f ca="1">Spaces_Sum!K139</f>
        <v>#N/A</v>
      </c>
      <c r="G142" s="62" t="e">
        <f ca="1">Spaces_Sum!L139</f>
        <v>#N/A</v>
      </c>
      <c r="H142" s="62" t="e">
        <f ca="1">Spaces_Sum!M139</f>
        <v>#N/A</v>
      </c>
      <c r="I142" s="62" t="e">
        <f ca="1">Spaces_Sum!O139</f>
        <v>#N/A</v>
      </c>
      <c r="J142" s="62" t="e">
        <f>Spaces_Sum!#REF!</f>
        <v>#REF!</v>
      </c>
      <c r="K142" s="62" t="e">
        <f>Spaces_Sum!#REF!</f>
        <v>#REF!</v>
      </c>
      <c r="L142" s="62">
        <f>Spaces_Sum!AK139</f>
        <v>0</v>
      </c>
      <c r="M142" s="62" t="e">
        <f ca="1">Spaces_Sum!AL139</f>
        <v>#N/A</v>
      </c>
      <c r="N142" s="62" t="e">
        <f ca="1">Spaces_Sum!AN139</f>
        <v>#N/A</v>
      </c>
      <c r="O142" s="62" t="e">
        <f ca="1">Spaces_Sum!AO139</f>
        <v>#N/A</v>
      </c>
      <c r="P142" s="537" t="e">
        <f t="shared" ca="1" si="25"/>
        <v>#REF!</v>
      </c>
      <c r="Q142" s="70" t="e">
        <f t="shared" ca="1" si="26"/>
        <v>#REF!</v>
      </c>
      <c r="R142" s="70" t="e">
        <f t="shared" ca="1" si="27"/>
        <v>#REF!</v>
      </c>
      <c r="S142" s="70" t="e">
        <f t="shared" ca="1" si="19"/>
        <v>#REF!</v>
      </c>
      <c r="T142" s="70" t="e">
        <f t="shared" ca="1" si="28"/>
        <v>#REF!</v>
      </c>
      <c r="U142" s="70" t="e">
        <f t="shared" ca="1" si="29"/>
        <v>#REF!</v>
      </c>
      <c r="V142" s="70" t="e">
        <f t="shared" ca="1" si="20"/>
        <v>#REF!</v>
      </c>
      <c r="W142" s="70" t="e">
        <f t="shared" ca="1" si="30"/>
        <v>#REF!</v>
      </c>
      <c r="X142" s="70" t="e">
        <f t="shared" ca="1" si="31"/>
        <v>#REF!</v>
      </c>
      <c r="Y142" s="70" t="e">
        <f t="shared" ca="1" si="21"/>
        <v>#REF!</v>
      </c>
      <c r="Z142" s="70" t="e">
        <f t="shared" ca="1" si="22"/>
        <v>#REF!</v>
      </c>
      <c r="AA142" s="70" t="e">
        <f t="shared" ca="1" si="23"/>
        <v>#REF!</v>
      </c>
      <c r="AB142" s="70" t="e">
        <f t="shared" ca="1" si="23"/>
        <v>#REF!</v>
      </c>
      <c r="AC142" s="70"/>
      <c r="AD142" s="70" t="e">
        <f t="shared" ca="1" si="24"/>
        <v>#REF!</v>
      </c>
      <c r="AE142" s="70" t="e">
        <f t="shared" ca="1" si="24"/>
        <v>#REF!</v>
      </c>
      <c r="AJ142" s="62"/>
    </row>
    <row r="143" spans="1:36" ht="12" customHeight="1" x14ac:dyDescent="0.2">
      <c r="A143" s="62">
        <f t="shared" si="32"/>
        <v>85</v>
      </c>
      <c r="B143" s="62">
        <f>Spaces_Sum!C140</f>
        <v>0</v>
      </c>
      <c r="C143" s="62" t="e">
        <f ca="1">Spaces_Sum!H140</f>
        <v>#N/A</v>
      </c>
      <c r="D143" s="62" t="e">
        <f ca="1">Spaces_Sum!I140</f>
        <v>#N/A</v>
      </c>
      <c r="E143" s="62" t="e">
        <f ca="1">Spaces_Sum!J140</f>
        <v>#N/A</v>
      </c>
      <c r="F143" s="62" t="e">
        <f ca="1">Spaces_Sum!K140</f>
        <v>#N/A</v>
      </c>
      <c r="G143" s="62" t="e">
        <f ca="1">Spaces_Sum!L140</f>
        <v>#N/A</v>
      </c>
      <c r="H143" s="62" t="e">
        <f ca="1">Spaces_Sum!M140</f>
        <v>#N/A</v>
      </c>
      <c r="I143" s="62" t="e">
        <f ca="1">Spaces_Sum!O140</f>
        <v>#N/A</v>
      </c>
      <c r="J143" s="62" t="e">
        <f>Spaces_Sum!#REF!</f>
        <v>#REF!</v>
      </c>
      <c r="K143" s="62" t="e">
        <f>Spaces_Sum!#REF!</f>
        <v>#REF!</v>
      </c>
      <c r="L143" s="62">
        <f>Spaces_Sum!AK140</f>
        <v>0</v>
      </c>
      <c r="M143" s="62" t="e">
        <f ca="1">Spaces_Sum!AL140</f>
        <v>#N/A</v>
      </c>
      <c r="N143" s="62" t="e">
        <f ca="1">Spaces_Sum!AN140</f>
        <v>#N/A</v>
      </c>
      <c r="O143" s="62" t="e">
        <f ca="1">Spaces_Sum!AO140</f>
        <v>#N/A</v>
      </c>
      <c r="P143" s="537" t="e">
        <f t="shared" ca="1" si="25"/>
        <v>#REF!</v>
      </c>
      <c r="Q143" s="70" t="e">
        <f t="shared" ca="1" si="26"/>
        <v>#REF!</v>
      </c>
      <c r="R143" s="70" t="e">
        <f t="shared" ca="1" si="27"/>
        <v>#REF!</v>
      </c>
      <c r="S143" s="70" t="e">
        <f t="shared" ca="1" si="19"/>
        <v>#REF!</v>
      </c>
      <c r="T143" s="70" t="e">
        <f t="shared" ca="1" si="28"/>
        <v>#REF!</v>
      </c>
      <c r="U143" s="70" t="e">
        <f t="shared" ca="1" si="29"/>
        <v>#REF!</v>
      </c>
      <c r="V143" s="70" t="e">
        <f t="shared" ca="1" si="20"/>
        <v>#REF!</v>
      </c>
      <c r="W143" s="70" t="e">
        <f t="shared" ca="1" si="30"/>
        <v>#REF!</v>
      </c>
      <c r="X143" s="70" t="e">
        <f t="shared" ca="1" si="31"/>
        <v>#REF!</v>
      </c>
      <c r="Y143" s="70" t="e">
        <f t="shared" ca="1" si="21"/>
        <v>#REF!</v>
      </c>
      <c r="Z143" s="70" t="e">
        <f t="shared" ca="1" si="22"/>
        <v>#REF!</v>
      </c>
      <c r="AA143" s="70" t="e">
        <f t="shared" ca="1" si="23"/>
        <v>#REF!</v>
      </c>
      <c r="AB143" s="70" t="e">
        <f t="shared" ca="1" si="23"/>
        <v>#REF!</v>
      </c>
      <c r="AC143" s="70"/>
      <c r="AD143" s="70" t="e">
        <f t="shared" ca="1" si="24"/>
        <v>#REF!</v>
      </c>
      <c r="AE143" s="70" t="e">
        <f t="shared" ca="1" si="24"/>
        <v>#REF!</v>
      </c>
      <c r="AJ143" s="62"/>
    </row>
    <row r="144" spans="1:36" ht="12" customHeight="1" x14ac:dyDescent="0.2">
      <c r="A144" s="62">
        <f t="shared" si="32"/>
        <v>86</v>
      </c>
      <c r="B144" s="62">
        <f>Spaces_Sum!C141</f>
        <v>0</v>
      </c>
      <c r="C144" s="62" t="e">
        <f ca="1">Spaces_Sum!H141</f>
        <v>#N/A</v>
      </c>
      <c r="D144" s="62" t="e">
        <f ca="1">Spaces_Sum!I141</f>
        <v>#N/A</v>
      </c>
      <c r="E144" s="62" t="e">
        <f ca="1">Spaces_Sum!J141</f>
        <v>#N/A</v>
      </c>
      <c r="F144" s="62" t="e">
        <f ca="1">Spaces_Sum!K141</f>
        <v>#N/A</v>
      </c>
      <c r="G144" s="62" t="e">
        <f ca="1">Spaces_Sum!L141</f>
        <v>#N/A</v>
      </c>
      <c r="H144" s="62" t="e">
        <f ca="1">Spaces_Sum!M141</f>
        <v>#N/A</v>
      </c>
      <c r="I144" s="62" t="e">
        <f ca="1">Spaces_Sum!O141</f>
        <v>#N/A</v>
      </c>
      <c r="J144" s="62" t="e">
        <f>Spaces_Sum!#REF!</f>
        <v>#REF!</v>
      </c>
      <c r="K144" s="62" t="e">
        <f>Spaces_Sum!#REF!</f>
        <v>#REF!</v>
      </c>
      <c r="L144" s="62">
        <f>Spaces_Sum!AK141</f>
        <v>0</v>
      </c>
      <c r="M144" s="62" t="e">
        <f ca="1">Spaces_Sum!AL141</f>
        <v>#N/A</v>
      </c>
      <c r="N144" s="62" t="e">
        <f ca="1">Spaces_Sum!AN141</f>
        <v>#N/A</v>
      </c>
      <c r="O144" s="62" t="e">
        <f ca="1">Spaces_Sum!AO141</f>
        <v>#N/A</v>
      </c>
      <c r="P144" s="537" t="e">
        <f t="shared" ca="1" si="25"/>
        <v>#REF!</v>
      </c>
      <c r="Q144" s="70" t="e">
        <f t="shared" ca="1" si="26"/>
        <v>#REF!</v>
      </c>
      <c r="R144" s="70" t="e">
        <f t="shared" ca="1" si="27"/>
        <v>#REF!</v>
      </c>
      <c r="S144" s="70" t="e">
        <f t="shared" ca="1" si="19"/>
        <v>#REF!</v>
      </c>
      <c r="T144" s="70" t="e">
        <f t="shared" ca="1" si="28"/>
        <v>#REF!</v>
      </c>
      <c r="U144" s="70" t="e">
        <f t="shared" ca="1" si="29"/>
        <v>#REF!</v>
      </c>
      <c r="V144" s="70" t="e">
        <f t="shared" ca="1" si="20"/>
        <v>#REF!</v>
      </c>
      <c r="W144" s="70" t="e">
        <f t="shared" ca="1" si="30"/>
        <v>#REF!</v>
      </c>
      <c r="X144" s="70" t="e">
        <f t="shared" ca="1" si="31"/>
        <v>#REF!</v>
      </c>
      <c r="Y144" s="70" t="e">
        <f t="shared" ca="1" si="21"/>
        <v>#REF!</v>
      </c>
      <c r="Z144" s="70" t="e">
        <f t="shared" ca="1" si="22"/>
        <v>#REF!</v>
      </c>
      <c r="AA144" s="70" t="e">
        <f t="shared" ca="1" si="23"/>
        <v>#REF!</v>
      </c>
      <c r="AB144" s="70" t="e">
        <f t="shared" ca="1" si="23"/>
        <v>#REF!</v>
      </c>
      <c r="AC144" s="70"/>
      <c r="AD144" s="70" t="e">
        <f t="shared" ca="1" si="24"/>
        <v>#REF!</v>
      </c>
      <c r="AE144" s="70" t="e">
        <f t="shared" ca="1" si="24"/>
        <v>#REF!</v>
      </c>
      <c r="AJ144" s="62"/>
    </row>
    <row r="145" spans="1:36" ht="12" customHeight="1" x14ac:dyDescent="0.2">
      <c r="A145" s="62">
        <f t="shared" si="32"/>
        <v>87</v>
      </c>
      <c r="B145" s="62">
        <f>Spaces_Sum!C142</f>
        <v>0</v>
      </c>
      <c r="C145" s="62" t="e">
        <f ca="1">Spaces_Sum!H142</f>
        <v>#N/A</v>
      </c>
      <c r="D145" s="62" t="e">
        <f ca="1">Spaces_Sum!I142</f>
        <v>#N/A</v>
      </c>
      <c r="E145" s="62" t="e">
        <f ca="1">Spaces_Sum!J142</f>
        <v>#N/A</v>
      </c>
      <c r="F145" s="62" t="e">
        <f ca="1">Spaces_Sum!K142</f>
        <v>#N/A</v>
      </c>
      <c r="G145" s="62" t="e">
        <f ca="1">Spaces_Sum!L142</f>
        <v>#N/A</v>
      </c>
      <c r="H145" s="62" t="e">
        <f ca="1">Spaces_Sum!M142</f>
        <v>#N/A</v>
      </c>
      <c r="I145" s="62" t="e">
        <f ca="1">Spaces_Sum!O142</f>
        <v>#N/A</v>
      </c>
      <c r="J145" s="62" t="e">
        <f>Spaces_Sum!#REF!</f>
        <v>#REF!</v>
      </c>
      <c r="K145" s="62" t="e">
        <f>Spaces_Sum!#REF!</f>
        <v>#REF!</v>
      </c>
      <c r="L145" s="62">
        <f>Spaces_Sum!AK142</f>
        <v>0</v>
      </c>
      <c r="M145" s="62" t="e">
        <f ca="1">Spaces_Sum!AL142</f>
        <v>#N/A</v>
      </c>
      <c r="N145" s="62" t="e">
        <f ca="1">Spaces_Sum!AN142</f>
        <v>#N/A</v>
      </c>
      <c r="O145" s="62" t="e">
        <f ca="1">Spaces_Sum!AO142</f>
        <v>#N/A</v>
      </c>
      <c r="P145" s="537" t="e">
        <f t="shared" ca="1" si="25"/>
        <v>#REF!</v>
      </c>
      <c r="Q145" s="70" t="e">
        <f t="shared" ca="1" si="26"/>
        <v>#REF!</v>
      </c>
      <c r="R145" s="70" t="e">
        <f t="shared" ca="1" si="27"/>
        <v>#REF!</v>
      </c>
      <c r="S145" s="70" t="e">
        <f t="shared" ca="1" si="19"/>
        <v>#REF!</v>
      </c>
      <c r="T145" s="70" t="e">
        <f t="shared" ca="1" si="28"/>
        <v>#REF!</v>
      </c>
      <c r="U145" s="70" t="e">
        <f t="shared" ca="1" si="29"/>
        <v>#REF!</v>
      </c>
      <c r="V145" s="70" t="e">
        <f t="shared" ca="1" si="20"/>
        <v>#REF!</v>
      </c>
      <c r="W145" s="70" t="e">
        <f t="shared" ca="1" si="30"/>
        <v>#REF!</v>
      </c>
      <c r="X145" s="70" t="e">
        <f t="shared" ca="1" si="31"/>
        <v>#REF!</v>
      </c>
      <c r="Y145" s="70" t="e">
        <f t="shared" ca="1" si="21"/>
        <v>#REF!</v>
      </c>
      <c r="Z145" s="70" t="e">
        <f t="shared" ca="1" si="22"/>
        <v>#REF!</v>
      </c>
      <c r="AA145" s="70" t="e">
        <f t="shared" ca="1" si="23"/>
        <v>#REF!</v>
      </c>
      <c r="AB145" s="70" t="e">
        <f t="shared" ca="1" si="23"/>
        <v>#REF!</v>
      </c>
      <c r="AC145" s="70"/>
      <c r="AD145" s="70" t="e">
        <f t="shared" ca="1" si="24"/>
        <v>#REF!</v>
      </c>
      <c r="AE145" s="70" t="e">
        <f t="shared" ca="1" si="24"/>
        <v>#REF!</v>
      </c>
      <c r="AJ145" s="62"/>
    </row>
    <row r="146" spans="1:36" ht="12" customHeight="1" x14ac:dyDescent="0.2">
      <c r="A146" s="62">
        <f t="shared" si="32"/>
        <v>88</v>
      </c>
      <c r="B146" s="62">
        <f>Spaces_Sum!C143</f>
        <v>0</v>
      </c>
      <c r="C146" s="62" t="e">
        <f ca="1">Spaces_Sum!H143</f>
        <v>#N/A</v>
      </c>
      <c r="D146" s="62" t="e">
        <f ca="1">Spaces_Sum!I143</f>
        <v>#N/A</v>
      </c>
      <c r="E146" s="62" t="e">
        <f ca="1">Spaces_Sum!J143</f>
        <v>#N/A</v>
      </c>
      <c r="F146" s="62" t="e">
        <f ca="1">Spaces_Sum!K143</f>
        <v>#N/A</v>
      </c>
      <c r="G146" s="62" t="e">
        <f ca="1">Spaces_Sum!L143</f>
        <v>#N/A</v>
      </c>
      <c r="H146" s="62" t="e">
        <f ca="1">Spaces_Sum!M143</f>
        <v>#N/A</v>
      </c>
      <c r="I146" s="62" t="e">
        <f ca="1">Spaces_Sum!O143</f>
        <v>#N/A</v>
      </c>
      <c r="J146" s="62" t="e">
        <f>Spaces_Sum!#REF!</f>
        <v>#REF!</v>
      </c>
      <c r="K146" s="62" t="e">
        <f>Spaces_Sum!#REF!</f>
        <v>#REF!</v>
      </c>
      <c r="L146" s="62">
        <f>Spaces_Sum!AK143</f>
        <v>0</v>
      </c>
      <c r="M146" s="62" t="e">
        <f ca="1">Spaces_Sum!AL143</f>
        <v>#N/A</v>
      </c>
      <c r="N146" s="62" t="e">
        <f ca="1">Spaces_Sum!AN143</f>
        <v>#N/A</v>
      </c>
      <c r="O146" s="62" t="e">
        <f ca="1">Spaces_Sum!AO143</f>
        <v>#N/A</v>
      </c>
      <c r="P146" s="537" t="e">
        <f t="shared" ca="1" si="25"/>
        <v>#REF!</v>
      </c>
      <c r="Q146" s="70" t="e">
        <f t="shared" ca="1" si="26"/>
        <v>#REF!</v>
      </c>
      <c r="R146" s="70" t="e">
        <f t="shared" ca="1" si="27"/>
        <v>#REF!</v>
      </c>
      <c r="S146" s="70" t="e">
        <f t="shared" ca="1" si="19"/>
        <v>#REF!</v>
      </c>
      <c r="T146" s="70" t="e">
        <f t="shared" ca="1" si="28"/>
        <v>#REF!</v>
      </c>
      <c r="U146" s="70" t="e">
        <f t="shared" ca="1" si="29"/>
        <v>#REF!</v>
      </c>
      <c r="V146" s="70" t="e">
        <f t="shared" ca="1" si="20"/>
        <v>#REF!</v>
      </c>
      <c r="W146" s="70" t="e">
        <f t="shared" ca="1" si="30"/>
        <v>#REF!</v>
      </c>
      <c r="X146" s="70" t="e">
        <f t="shared" ca="1" si="31"/>
        <v>#REF!</v>
      </c>
      <c r="Y146" s="70" t="e">
        <f t="shared" ca="1" si="21"/>
        <v>#REF!</v>
      </c>
      <c r="Z146" s="70" t="e">
        <f t="shared" ca="1" si="22"/>
        <v>#REF!</v>
      </c>
      <c r="AA146" s="70" t="e">
        <f t="shared" ca="1" si="23"/>
        <v>#REF!</v>
      </c>
      <c r="AB146" s="70" t="e">
        <f t="shared" ca="1" si="23"/>
        <v>#REF!</v>
      </c>
      <c r="AC146" s="70"/>
      <c r="AD146" s="70" t="e">
        <f t="shared" ca="1" si="24"/>
        <v>#REF!</v>
      </c>
      <c r="AE146" s="70" t="e">
        <f t="shared" ca="1" si="24"/>
        <v>#REF!</v>
      </c>
      <c r="AJ146" s="62"/>
    </row>
    <row r="147" spans="1:36" ht="12" customHeight="1" x14ac:dyDescent="0.2">
      <c r="A147" s="62">
        <f t="shared" si="32"/>
        <v>89</v>
      </c>
      <c r="B147" s="62">
        <f>Spaces_Sum!C144</f>
        <v>0</v>
      </c>
      <c r="C147" s="62" t="str">
        <f>Spaces_Sum!D144</f>
        <v>0</v>
      </c>
      <c r="D147" s="62" t="e">
        <f>Spaces_Sum!E144</f>
        <v>#VALUE!</v>
      </c>
      <c r="E147" s="62" t="e">
        <f>Spaces_Sum!F144</f>
        <v>#VALUE!</v>
      </c>
      <c r="F147" s="62" t="str">
        <f>Spaces_Sum!G144</f>
        <v>0</v>
      </c>
      <c r="G147" s="62" t="e">
        <f ca="1">Spaces_Sum!H144</f>
        <v>#N/A</v>
      </c>
      <c r="H147" s="62" t="e">
        <f ca="1">Spaces_Sum!I144</f>
        <v>#N/A</v>
      </c>
      <c r="I147" s="62" t="e">
        <f ca="1">Spaces_Sum!K144</f>
        <v>#N/A</v>
      </c>
      <c r="J147" s="62" t="e">
        <f>Spaces_Sum!#REF!</f>
        <v>#REF!</v>
      </c>
      <c r="K147" s="62" t="e">
        <f>Spaces_Sum!#REF!</f>
        <v>#REF!</v>
      </c>
      <c r="L147" s="62" t="e">
        <f ca="1">Spaces_Sum!L144</f>
        <v>#N/A</v>
      </c>
      <c r="M147" s="62" t="e">
        <f ca="1">Spaces_Sum!M144</f>
        <v>#N/A</v>
      </c>
      <c r="N147" s="62" t="e">
        <f ca="1">Spaces_Sum!O144</f>
        <v>#N/A</v>
      </c>
      <c r="O147" s="62">
        <f>Spaces_Sum!AK144</f>
        <v>0</v>
      </c>
      <c r="P147" s="537" t="e">
        <f t="shared" ca="1" si="25"/>
        <v>#N/A</v>
      </c>
      <c r="Q147" s="70" t="e">
        <f t="shared" ca="1" si="26"/>
        <v>#REF!</v>
      </c>
      <c r="R147" s="70" t="e">
        <f t="shared" ca="1" si="27"/>
        <v>#REF!</v>
      </c>
      <c r="S147" s="70" t="e">
        <f t="shared" ca="1" si="19"/>
        <v>#REF!</v>
      </c>
      <c r="T147" s="70" t="e">
        <f t="shared" ca="1" si="28"/>
        <v>#REF!</v>
      </c>
      <c r="U147" s="70" t="e">
        <f t="shared" ca="1" si="29"/>
        <v>#REF!</v>
      </c>
      <c r="V147" s="70" t="e">
        <f t="shared" ca="1" si="20"/>
        <v>#REF!</v>
      </c>
      <c r="W147" s="70" t="e">
        <f t="shared" ca="1" si="30"/>
        <v>#REF!</v>
      </c>
      <c r="X147" s="70" t="e">
        <f t="shared" ca="1" si="31"/>
        <v>#REF!</v>
      </c>
      <c r="Y147" s="70" t="e">
        <f t="shared" ca="1" si="21"/>
        <v>#REF!</v>
      </c>
      <c r="Z147" s="70" t="e">
        <f t="shared" ca="1" si="22"/>
        <v>#REF!</v>
      </c>
      <c r="AA147" s="70" t="e">
        <f t="shared" ca="1" si="23"/>
        <v>#REF!</v>
      </c>
      <c r="AB147" s="70" t="e">
        <f t="shared" ca="1" si="23"/>
        <v>#REF!</v>
      </c>
      <c r="AC147" s="70"/>
      <c r="AD147" s="70" t="e">
        <f t="shared" ca="1" si="24"/>
        <v>#REF!</v>
      </c>
      <c r="AE147" s="70" t="e">
        <f t="shared" ca="1" si="24"/>
        <v>#REF!</v>
      </c>
      <c r="AJ147" s="62"/>
    </row>
    <row r="148" spans="1:36" ht="12" customHeight="1" x14ac:dyDescent="0.2">
      <c r="A148" s="62">
        <f t="shared" si="32"/>
        <v>90</v>
      </c>
      <c r="B148" s="62">
        <f>Spaces_Sum!C145</f>
        <v>0</v>
      </c>
      <c r="C148" s="62" t="str">
        <f>Spaces_Sum!D145</f>
        <v>0</v>
      </c>
      <c r="D148" s="62" t="e">
        <f>Spaces_Sum!E145</f>
        <v>#VALUE!</v>
      </c>
      <c r="E148" s="62" t="e">
        <f>Spaces_Sum!F145</f>
        <v>#VALUE!</v>
      </c>
      <c r="F148" s="62" t="str">
        <f>Spaces_Sum!G145</f>
        <v>0</v>
      </c>
      <c r="G148" s="62" t="e">
        <f ca="1">Spaces_Sum!H145</f>
        <v>#N/A</v>
      </c>
      <c r="H148" s="62" t="e">
        <f ca="1">Spaces_Sum!I145</f>
        <v>#N/A</v>
      </c>
      <c r="I148" s="62" t="e">
        <f ca="1">Spaces_Sum!K145</f>
        <v>#N/A</v>
      </c>
      <c r="J148" s="62" t="e">
        <f>Spaces_Sum!#REF!</f>
        <v>#REF!</v>
      </c>
      <c r="K148" s="62" t="e">
        <f>Spaces_Sum!#REF!</f>
        <v>#REF!</v>
      </c>
      <c r="L148" s="62" t="e">
        <f ca="1">Spaces_Sum!L145</f>
        <v>#N/A</v>
      </c>
      <c r="M148" s="62" t="e">
        <f ca="1">Spaces_Sum!M145</f>
        <v>#N/A</v>
      </c>
      <c r="N148" s="62" t="e">
        <f ca="1">Spaces_Sum!O145</f>
        <v>#N/A</v>
      </c>
      <c r="O148" s="62">
        <f>Spaces_Sum!AK145</f>
        <v>0</v>
      </c>
      <c r="P148" s="537" t="e">
        <f t="shared" ca="1" si="25"/>
        <v>#N/A</v>
      </c>
      <c r="Q148" s="70" t="e">
        <f t="shared" ca="1" si="26"/>
        <v>#REF!</v>
      </c>
      <c r="R148" s="70" t="e">
        <f t="shared" ca="1" si="27"/>
        <v>#REF!</v>
      </c>
      <c r="S148" s="70" t="e">
        <f t="shared" ca="1" si="19"/>
        <v>#REF!</v>
      </c>
      <c r="T148" s="70" t="e">
        <f t="shared" ca="1" si="28"/>
        <v>#REF!</v>
      </c>
      <c r="U148" s="70" t="e">
        <f t="shared" ca="1" si="29"/>
        <v>#REF!</v>
      </c>
      <c r="V148" s="70" t="e">
        <f t="shared" ca="1" si="20"/>
        <v>#REF!</v>
      </c>
      <c r="W148" s="70" t="e">
        <f t="shared" ca="1" si="30"/>
        <v>#REF!</v>
      </c>
      <c r="X148" s="70" t="e">
        <f t="shared" ca="1" si="31"/>
        <v>#REF!</v>
      </c>
      <c r="Y148" s="70" t="e">
        <f t="shared" ca="1" si="21"/>
        <v>#REF!</v>
      </c>
      <c r="Z148" s="70" t="e">
        <f t="shared" ca="1" si="22"/>
        <v>#REF!</v>
      </c>
      <c r="AA148" s="70" t="e">
        <f t="shared" ca="1" si="23"/>
        <v>#REF!</v>
      </c>
      <c r="AB148" s="70" t="e">
        <f t="shared" ca="1" si="23"/>
        <v>#REF!</v>
      </c>
      <c r="AC148" s="70"/>
      <c r="AD148" s="70" t="e">
        <f t="shared" ca="1" si="24"/>
        <v>#REF!</v>
      </c>
      <c r="AE148" s="70" t="e">
        <f t="shared" ca="1" si="24"/>
        <v>#REF!</v>
      </c>
      <c r="AJ148" s="62"/>
    </row>
    <row r="149" spans="1:36" ht="12" customHeight="1" x14ac:dyDescent="0.2">
      <c r="A149" s="62">
        <f t="shared" si="32"/>
        <v>91</v>
      </c>
      <c r="B149" s="62">
        <f>Spaces_Sum!C146</f>
        <v>0</v>
      </c>
      <c r="C149" s="62" t="str">
        <f>Spaces_Sum!D146</f>
        <v>0</v>
      </c>
      <c r="D149" s="62" t="e">
        <f>Spaces_Sum!E146</f>
        <v>#VALUE!</v>
      </c>
      <c r="E149" s="62" t="e">
        <f>Spaces_Sum!F146</f>
        <v>#VALUE!</v>
      </c>
      <c r="F149" s="62" t="str">
        <f>Spaces_Sum!G146</f>
        <v>0</v>
      </c>
      <c r="G149" s="62" t="e">
        <f ca="1">Spaces_Sum!H146</f>
        <v>#N/A</v>
      </c>
      <c r="H149" s="62" t="e">
        <f ca="1">Spaces_Sum!I146</f>
        <v>#N/A</v>
      </c>
      <c r="I149" s="62" t="e">
        <f ca="1">Spaces_Sum!K146</f>
        <v>#N/A</v>
      </c>
      <c r="J149" s="62" t="e">
        <f>Spaces_Sum!#REF!</f>
        <v>#REF!</v>
      </c>
      <c r="K149" s="62" t="e">
        <f>Spaces_Sum!#REF!</f>
        <v>#REF!</v>
      </c>
      <c r="L149" s="62" t="e">
        <f ca="1">Spaces_Sum!L146</f>
        <v>#N/A</v>
      </c>
      <c r="M149" s="62" t="e">
        <f ca="1">Spaces_Sum!M146</f>
        <v>#N/A</v>
      </c>
      <c r="N149" s="62" t="e">
        <f ca="1">Spaces_Sum!O146</f>
        <v>#N/A</v>
      </c>
      <c r="O149" s="62">
        <f>Spaces_Sum!AK146</f>
        <v>0</v>
      </c>
      <c r="P149" s="537" t="e">
        <f t="shared" ca="1" si="25"/>
        <v>#N/A</v>
      </c>
      <c r="Q149" s="70" t="e">
        <f t="shared" ca="1" si="26"/>
        <v>#REF!</v>
      </c>
      <c r="R149" s="70" t="e">
        <f t="shared" ca="1" si="27"/>
        <v>#REF!</v>
      </c>
      <c r="S149" s="70" t="e">
        <f t="shared" ca="1" si="19"/>
        <v>#REF!</v>
      </c>
      <c r="T149" s="70" t="e">
        <f t="shared" ca="1" si="28"/>
        <v>#REF!</v>
      </c>
      <c r="U149" s="70" t="e">
        <f t="shared" ca="1" si="29"/>
        <v>#REF!</v>
      </c>
      <c r="V149" s="70" t="e">
        <f t="shared" ca="1" si="20"/>
        <v>#REF!</v>
      </c>
      <c r="W149" s="70" t="e">
        <f t="shared" ca="1" si="30"/>
        <v>#REF!</v>
      </c>
      <c r="X149" s="70" t="e">
        <f t="shared" ca="1" si="31"/>
        <v>#REF!</v>
      </c>
      <c r="Y149" s="70" t="e">
        <f t="shared" ca="1" si="21"/>
        <v>#REF!</v>
      </c>
      <c r="Z149" s="70" t="e">
        <f t="shared" ca="1" si="22"/>
        <v>#REF!</v>
      </c>
      <c r="AA149" s="70" t="e">
        <f t="shared" ca="1" si="23"/>
        <v>#REF!</v>
      </c>
      <c r="AB149" s="70" t="e">
        <f t="shared" ca="1" si="23"/>
        <v>#REF!</v>
      </c>
      <c r="AC149" s="70"/>
      <c r="AD149" s="70" t="e">
        <f t="shared" ca="1" si="24"/>
        <v>#REF!</v>
      </c>
      <c r="AE149" s="70" t="e">
        <f t="shared" ca="1" si="24"/>
        <v>#REF!</v>
      </c>
      <c r="AJ149" s="62"/>
    </row>
    <row r="150" spans="1:36" ht="12" customHeight="1" x14ac:dyDescent="0.2">
      <c r="A150" s="62">
        <f t="shared" si="32"/>
        <v>92</v>
      </c>
      <c r="B150" s="62">
        <f>Spaces_Sum!C147</f>
        <v>0</v>
      </c>
      <c r="C150" s="62" t="str">
        <f>Spaces_Sum!D147</f>
        <v>0</v>
      </c>
      <c r="D150" s="62" t="e">
        <f>Spaces_Sum!E147</f>
        <v>#VALUE!</v>
      </c>
      <c r="E150" s="62" t="e">
        <f>Spaces_Sum!F147</f>
        <v>#VALUE!</v>
      </c>
      <c r="F150" s="62" t="str">
        <f>Spaces_Sum!G147</f>
        <v>0</v>
      </c>
      <c r="G150" s="62" t="e">
        <f ca="1">Spaces_Sum!H147</f>
        <v>#N/A</v>
      </c>
      <c r="H150" s="62" t="e">
        <f ca="1">Spaces_Sum!I147</f>
        <v>#N/A</v>
      </c>
      <c r="I150" s="62" t="e">
        <f ca="1">Spaces_Sum!K147</f>
        <v>#N/A</v>
      </c>
      <c r="J150" s="62" t="e">
        <f>Spaces_Sum!#REF!</f>
        <v>#REF!</v>
      </c>
      <c r="K150" s="62" t="e">
        <f>Spaces_Sum!#REF!</f>
        <v>#REF!</v>
      </c>
      <c r="L150" s="62" t="e">
        <f ca="1">Spaces_Sum!L147</f>
        <v>#N/A</v>
      </c>
      <c r="M150" s="62" t="e">
        <f ca="1">Spaces_Sum!M147</f>
        <v>#N/A</v>
      </c>
      <c r="N150" s="62" t="e">
        <f ca="1">Spaces_Sum!O147</f>
        <v>#N/A</v>
      </c>
      <c r="O150" s="62">
        <f>Spaces_Sum!AK147</f>
        <v>0</v>
      </c>
      <c r="P150" s="537" t="e">
        <f t="shared" ca="1" si="25"/>
        <v>#N/A</v>
      </c>
      <c r="Q150" s="70" t="e">
        <f t="shared" ca="1" si="26"/>
        <v>#REF!</v>
      </c>
      <c r="R150" s="70" t="e">
        <f t="shared" ca="1" si="27"/>
        <v>#REF!</v>
      </c>
      <c r="S150" s="70" t="e">
        <f t="shared" ca="1" si="19"/>
        <v>#REF!</v>
      </c>
      <c r="T150" s="70" t="e">
        <f t="shared" ca="1" si="28"/>
        <v>#REF!</v>
      </c>
      <c r="U150" s="70" t="e">
        <f t="shared" ca="1" si="29"/>
        <v>#REF!</v>
      </c>
      <c r="V150" s="70" t="e">
        <f t="shared" ca="1" si="20"/>
        <v>#REF!</v>
      </c>
      <c r="W150" s="70" t="e">
        <f t="shared" ca="1" si="30"/>
        <v>#REF!</v>
      </c>
      <c r="X150" s="70" t="e">
        <f t="shared" ca="1" si="31"/>
        <v>#REF!</v>
      </c>
      <c r="Y150" s="70" t="e">
        <f t="shared" ca="1" si="21"/>
        <v>#REF!</v>
      </c>
      <c r="Z150" s="70" t="e">
        <f t="shared" ca="1" si="22"/>
        <v>#REF!</v>
      </c>
      <c r="AA150" s="70" t="e">
        <f t="shared" ca="1" si="23"/>
        <v>#REF!</v>
      </c>
      <c r="AB150" s="70" t="e">
        <f t="shared" ca="1" si="23"/>
        <v>#REF!</v>
      </c>
      <c r="AC150" s="70"/>
      <c r="AD150" s="70" t="e">
        <f t="shared" ca="1" si="24"/>
        <v>#REF!</v>
      </c>
      <c r="AE150" s="70" t="e">
        <f t="shared" ca="1" si="24"/>
        <v>#REF!</v>
      </c>
      <c r="AJ150" s="62"/>
    </row>
    <row r="151" spans="1:36" ht="12" customHeight="1" x14ac:dyDescent="0.2">
      <c r="A151" s="62">
        <f t="shared" si="32"/>
        <v>93</v>
      </c>
      <c r="B151" s="62">
        <f>Spaces_Sum!C148</f>
        <v>0</v>
      </c>
      <c r="C151" s="62" t="str">
        <f>Spaces_Sum!D148</f>
        <v>0</v>
      </c>
      <c r="D151" s="62" t="e">
        <f>Spaces_Sum!E148</f>
        <v>#VALUE!</v>
      </c>
      <c r="E151" s="62" t="e">
        <f>Spaces_Sum!F148</f>
        <v>#VALUE!</v>
      </c>
      <c r="F151" s="62" t="str">
        <f>Spaces_Sum!G148</f>
        <v>0</v>
      </c>
      <c r="G151" s="62" t="e">
        <f ca="1">Spaces_Sum!H148</f>
        <v>#N/A</v>
      </c>
      <c r="H151" s="62" t="e">
        <f ca="1">Spaces_Sum!I148</f>
        <v>#N/A</v>
      </c>
      <c r="I151" s="62" t="e">
        <f ca="1">Spaces_Sum!K148</f>
        <v>#N/A</v>
      </c>
      <c r="J151" s="62" t="e">
        <f>Spaces_Sum!#REF!</f>
        <v>#REF!</v>
      </c>
      <c r="K151" s="62" t="e">
        <f>Spaces_Sum!#REF!</f>
        <v>#REF!</v>
      </c>
      <c r="L151" s="62" t="e">
        <f ca="1">Spaces_Sum!L148</f>
        <v>#N/A</v>
      </c>
      <c r="M151" s="62" t="e">
        <f ca="1">Spaces_Sum!M148</f>
        <v>#N/A</v>
      </c>
      <c r="N151" s="62" t="e">
        <f ca="1">Spaces_Sum!O148</f>
        <v>#N/A</v>
      </c>
      <c r="O151" s="62">
        <f>Spaces_Sum!AK148</f>
        <v>0</v>
      </c>
      <c r="P151" s="537" t="e">
        <f t="shared" ca="1" si="25"/>
        <v>#N/A</v>
      </c>
      <c r="Q151" s="70" t="e">
        <f t="shared" ca="1" si="26"/>
        <v>#REF!</v>
      </c>
      <c r="R151" s="70" t="e">
        <f t="shared" ca="1" si="27"/>
        <v>#REF!</v>
      </c>
      <c r="S151" s="70" t="e">
        <f t="shared" ca="1" si="19"/>
        <v>#REF!</v>
      </c>
      <c r="T151" s="70" t="e">
        <f t="shared" ca="1" si="28"/>
        <v>#REF!</v>
      </c>
      <c r="U151" s="70" t="e">
        <f t="shared" ca="1" si="29"/>
        <v>#REF!</v>
      </c>
      <c r="V151" s="70" t="e">
        <f t="shared" ca="1" si="20"/>
        <v>#REF!</v>
      </c>
      <c r="W151" s="70" t="e">
        <f t="shared" ca="1" si="30"/>
        <v>#REF!</v>
      </c>
      <c r="X151" s="70" t="e">
        <f t="shared" ca="1" si="31"/>
        <v>#REF!</v>
      </c>
      <c r="Y151" s="70" t="e">
        <f t="shared" ca="1" si="21"/>
        <v>#REF!</v>
      </c>
      <c r="Z151" s="70" t="e">
        <f t="shared" ca="1" si="22"/>
        <v>#REF!</v>
      </c>
      <c r="AA151" s="70" t="e">
        <f t="shared" ca="1" si="23"/>
        <v>#REF!</v>
      </c>
      <c r="AB151" s="70" t="e">
        <f t="shared" ca="1" si="23"/>
        <v>#REF!</v>
      </c>
      <c r="AC151" s="70"/>
      <c r="AD151" s="70" t="e">
        <f t="shared" ca="1" si="24"/>
        <v>#REF!</v>
      </c>
      <c r="AE151" s="70" t="e">
        <f t="shared" ca="1" si="24"/>
        <v>#REF!</v>
      </c>
      <c r="AJ151" s="62"/>
    </row>
    <row r="152" spans="1:36" ht="12" customHeight="1" x14ac:dyDescent="0.2">
      <c r="A152" s="62">
        <f t="shared" si="32"/>
        <v>94</v>
      </c>
      <c r="B152" s="62">
        <f>Spaces_Sum!C149</f>
        <v>0</v>
      </c>
      <c r="C152" s="62" t="str">
        <f>Spaces_Sum!D149</f>
        <v>0</v>
      </c>
      <c r="D152" s="62" t="e">
        <f>Spaces_Sum!E149</f>
        <v>#VALUE!</v>
      </c>
      <c r="E152" s="62" t="e">
        <f>Spaces_Sum!F149</f>
        <v>#VALUE!</v>
      </c>
      <c r="F152" s="62" t="str">
        <f>Spaces_Sum!G149</f>
        <v>0</v>
      </c>
      <c r="G152" s="62" t="e">
        <f ca="1">Spaces_Sum!H149</f>
        <v>#N/A</v>
      </c>
      <c r="H152" s="62" t="e">
        <f ca="1">Spaces_Sum!I149</f>
        <v>#N/A</v>
      </c>
      <c r="I152" s="62" t="e">
        <f ca="1">Spaces_Sum!K149</f>
        <v>#N/A</v>
      </c>
      <c r="J152" s="62" t="e">
        <f>Spaces_Sum!#REF!</f>
        <v>#REF!</v>
      </c>
      <c r="K152" s="62" t="e">
        <f>Spaces_Sum!#REF!</f>
        <v>#REF!</v>
      </c>
      <c r="L152" s="62" t="e">
        <f ca="1">Spaces_Sum!L149</f>
        <v>#N/A</v>
      </c>
      <c r="M152" s="62" t="e">
        <f ca="1">Spaces_Sum!M149</f>
        <v>#N/A</v>
      </c>
      <c r="N152" s="62" t="e">
        <f ca="1">Spaces_Sum!O149</f>
        <v>#N/A</v>
      </c>
      <c r="O152" s="62">
        <f>Spaces_Sum!AK149</f>
        <v>0</v>
      </c>
      <c r="P152" s="537" t="e">
        <f t="shared" ca="1" si="25"/>
        <v>#N/A</v>
      </c>
      <c r="Q152" s="70" t="e">
        <f t="shared" ca="1" si="26"/>
        <v>#REF!</v>
      </c>
      <c r="R152" s="70" t="e">
        <f t="shared" ca="1" si="27"/>
        <v>#REF!</v>
      </c>
      <c r="S152" s="70" t="e">
        <f t="shared" ca="1" si="19"/>
        <v>#REF!</v>
      </c>
      <c r="T152" s="70" t="e">
        <f t="shared" ca="1" si="28"/>
        <v>#REF!</v>
      </c>
      <c r="U152" s="70" t="e">
        <f t="shared" ca="1" si="29"/>
        <v>#REF!</v>
      </c>
      <c r="V152" s="70" t="e">
        <f t="shared" ca="1" si="20"/>
        <v>#REF!</v>
      </c>
      <c r="W152" s="70" t="e">
        <f t="shared" ca="1" si="30"/>
        <v>#REF!</v>
      </c>
      <c r="X152" s="70" t="e">
        <f t="shared" ca="1" si="31"/>
        <v>#REF!</v>
      </c>
      <c r="Y152" s="70" t="e">
        <f t="shared" ca="1" si="21"/>
        <v>#REF!</v>
      </c>
      <c r="Z152" s="70" t="e">
        <f t="shared" ca="1" si="22"/>
        <v>#REF!</v>
      </c>
      <c r="AA152" s="70" t="e">
        <f t="shared" ca="1" si="23"/>
        <v>#REF!</v>
      </c>
      <c r="AB152" s="70" t="e">
        <f t="shared" ca="1" si="23"/>
        <v>#REF!</v>
      </c>
      <c r="AC152" s="70"/>
      <c r="AD152" s="70" t="e">
        <f t="shared" ca="1" si="24"/>
        <v>#REF!</v>
      </c>
      <c r="AE152" s="70" t="e">
        <f t="shared" ca="1" si="24"/>
        <v>#REF!</v>
      </c>
      <c r="AJ152" s="62"/>
    </row>
    <row r="153" spans="1:36" ht="12" customHeight="1" x14ac:dyDescent="0.2">
      <c r="A153" s="62">
        <f t="shared" si="32"/>
        <v>95</v>
      </c>
      <c r="B153" s="62">
        <f>Spaces_Sum!C150</f>
        <v>0</v>
      </c>
      <c r="C153" s="62" t="str">
        <f>Spaces_Sum!D150</f>
        <v>0</v>
      </c>
      <c r="D153" s="62" t="e">
        <f>Spaces_Sum!E150</f>
        <v>#VALUE!</v>
      </c>
      <c r="E153" s="62" t="e">
        <f>Spaces_Sum!F150</f>
        <v>#VALUE!</v>
      </c>
      <c r="F153" s="62" t="str">
        <f>Spaces_Sum!G150</f>
        <v>0</v>
      </c>
      <c r="G153" s="62" t="e">
        <f ca="1">Spaces_Sum!H150</f>
        <v>#N/A</v>
      </c>
      <c r="H153" s="62" t="e">
        <f ca="1">Spaces_Sum!I150</f>
        <v>#N/A</v>
      </c>
      <c r="I153" s="62" t="e">
        <f ca="1">Spaces_Sum!K150</f>
        <v>#N/A</v>
      </c>
      <c r="J153" s="62" t="e">
        <f>Spaces_Sum!#REF!</f>
        <v>#REF!</v>
      </c>
      <c r="K153" s="62" t="e">
        <f>Spaces_Sum!#REF!</f>
        <v>#REF!</v>
      </c>
      <c r="L153" s="62" t="e">
        <f ca="1">Spaces_Sum!L150</f>
        <v>#N/A</v>
      </c>
      <c r="M153" s="62" t="e">
        <f ca="1">Spaces_Sum!M150</f>
        <v>#N/A</v>
      </c>
      <c r="N153" s="62" t="e">
        <f ca="1">Spaces_Sum!O150</f>
        <v>#N/A</v>
      </c>
      <c r="O153" s="62">
        <f>Spaces_Sum!AK150</f>
        <v>0</v>
      </c>
      <c r="P153" s="537" t="e">
        <f t="shared" ca="1" si="25"/>
        <v>#N/A</v>
      </c>
      <c r="Q153" s="70" t="e">
        <f t="shared" ca="1" si="26"/>
        <v>#REF!</v>
      </c>
      <c r="R153" s="70" t="e">
        <f t="shared" ca="1" si="27"/>
        <v>#REF!</v>
      </c>
      <c r="S153" s="70" t="e">
        <f t="shared" ca="1" si="19"/>
        <v>#REF!</v>
      </c>
      <c r="T153" s="70" t="e">
        <f t="shared" ca="1" si="28"/>
        <v>#REF!</v>
      </c>
      <c r="U153" s="70" t="e">
        <f t="shared" ca="1" si="29"/>
        <v>#REF!</v>
      </c>
      <c r="V153" s="70" t="e">
        <f t="shared" ca="1" si="20"/>
        <v>#REF!</v>
      </c>
      <c r="W153" s="70" t="e">
        <f t="shared" ca="1" si="30"/>
        <v>#REF!</v>
      </c>
      <c r="X153" s="70" t="e">
        <f t="shared" ca="1" si="31"/>
        <v>#REF!</v>
      </c>
      <c r="Y153" s="70" t="e">
        <f t="shared" ca="1" si="21"/>
        <v>#REF!</v>
      </c>
      <c r="Z153" s="70" t="e">
        <f t="shared" ca="1" si="22"/>
        <v>#REF!</v>
      </c>
      <c r="AA153" s="70" t="e">
        <f t="shared" ca="1" si="23"/>
        <v>#REF!</v>
      </c>
      <c r="AB153" s="70" t="e">
        <f t="shared" ca="1" si="23"/>
        <v>#REF!</v>
      </c>
      <c r="AC153" s="70"/>
      <c r="AD153" s="70" t="e">
        <f t="shared" ca="1" si="24"/>
        <v>#REF!</v>
      </c>
      <c r="AE153" s="70" t="e">
        <f t="shared" ca="1" si="24"/>
        <v>#REF!</v>
      </c>
      <c r="AJ153" s="62"/>
    </row>
    <row r="154" spans="1:36" ht="12" customHeight="1" x14ac:dyDescent="0.2">
      <c r="A154" s="62">
        <f t="shared" si="32"/>
        <v>96</v>
      </c>
      <c r="B154" s="62">
        <f>Spaces_Sum!C151</f>
        <v>0</v>
      </c>
      <c r="C154" s="62" t="str">
        <f>Spaces_Sum!D151</f>
        <v>0</v>
      </c>
      <c r="D154" s="62" t="e">
        <f>Spaces_Sum!E151</f>
        <v>#VALUE!</v>
      </c>
      <c r="E154" s="62" t="e">
        <f>Spaces_Sum!F151</f>
        <v>#VALUE!</v>
      </c>
      <c r="F154" s="62" t="str">
        <f>Spaces_Sum!G151</f>
        <v>0</v>
      </c>
      <c r="G154" s="62" t="e">
        <f ca="1">Spaces_Sum!H151</f>
        <v>#N/A</v>
      </c>
      <c r="H154" s="62" t="e">
        <f ca="1">Spaces_Sum!I151</f>
        <v>#N/A</v>
      </c>
      <c r="I154" s="62" t="e">
        <f ca="1">Spaces_Sum!K151</f>
        <v>#N/A</v>
      </c>
      <c r="J154" s="62" t="e">
        <f>Spaces_Sum!#REF!</f>
        <v>#REF!</v>
      </c>
      <c r="K154" s="62" t="e">
        <f>Spaces_Sum!#REF!</f>
        <v>#REF!</v>
      </c>
      <c r="L154" s="62" t="e">
        <f ca="1">Spaces_Sum!L151</f>
        <v>#N/A</v>
      </c>
      <c r="M154" s="62" t="e">
        <f ca="1">Spaces_Sum!M151</f>
        <v>#N/A</v>
      </c>
      <c r="N154" s="62" t="e">
        <f ca="1">Spaces_Sum!O151</f>
        <v>#N/A</v>
      </c>
      <c r="O154" s="62">
        <f>Spaces_Sum!AK151</f>
        <v>0</v>
      </c>
      <c r="P154" s="537" t="e">
        <f t="shared" ca="1" si="25"/>
        <v>#N/A</v>
      </c>
      <c r="Q154" s="70" t="e">
        <f t="shared" ca="1" si="26"/>
        <v>#REF!</v>
      </c>
      <c r="R154" s="70" t="e">
        <f t="shared" ca="1" si="27"/>
        <v>#REF!</v>
      </c>
      <c r="S154" s="70" t="e">
        <f t="shared" ca="1" si="19"/>
        <v>#REF!</v>
      </c>
      <c r="T154" s="70" t="e">
        <f t="shared" ca="1" si="28"/>
        <v>#REF!</v>
      </c>
      <c r="U154" s="70" t="e">
        <f t="shared" ca="1" si="29"/>
        <v>#REF!</v>
      </c>
      <c r="V154" s="70" t="e">
        <f t="shared" ca="1" si="20"/>
        <v>#REF!</v>
      </c>
      <c r="W154" s="70" t="e">
        <f t="shared" ca="1" si="30"/>
        <v>#REF!</v>
      </c>
      <c r="X154" s="70" t="e">
        <f t="shared" ca="1" si="31"/>
        <v>#REF!</v>
      </c>
      <c r="Y154" s="70" t="e">
        <f t="shared" ca="1" si="21"/>
        <v>#REF!</v>
      </c>
      <c r="Z154" s="70" t="e">
        <f t="shared" ca="1" si="22"/>
        <v>#REF!</v>
      </c>
      <c r="AA154" s="70" t="e">
        <f t="shared" ca="1" si="23"/>
        <v>#REF!</v>
      </c>
      <c r="AB154" s="70" t="e">
        <f t="shared" ca="1" si="23"/>
        <v>#REF!</v>
      </c>
      <c r="AC154" s="70"/>
      <c r="AD154" s="70" t="e">
        <f t="shared" ca="1" si="24"/>
        <v>#REF!</v>
      </c>
      <c r="AE154" s="70" t="e">
        <f t="shared" ca="1" si="24"/>
        <v>#REF!</v>
      </c>
      <c r="AJ154" s="62"/>
    </row>
    <row r="155" spans="1:36" ht="12" customHeight="1" x14ac:dyDescent="0.2">
      <c r="A155" s="62">
        <f t="shared" si="32"/>
        <v>97</v>
      </c>
      <c r="B155" s="62">
        <f>Spaces_Sum!C152</f>
        <v>0</v>
      </c>
      <c r="C155" s="62" t="str">
        <f>Spaces_Sum!D152</f>
        <v>0</v>
      </c>
      <c r="D155" s="62" t="e">
        <f>Spaces_Sum!E152</f>
        <v>#VALUE!</v>
      </c>
      <c r="E155" s="62" t="e">
        <f>Spaces_Sum!F152</f>
        <v>#VALUE!</v>
      </c>
      <c r="F155" s="62" t="str">
        <f>Spaces_Sum!G152</f>
        <v>0</v>
      </c>
      <c r="G155" s="62" t="e">
        <f ca="1">Spaces_Sum!H152</f>
        <v>#N/A</v>
      </c>
      <c r="H155" s="62" t="e">
        <f ca="1">Spaces_Sum!I152</f>
        <v>#N/A</v>
      </c>
      <c r="I155" s="62" t="e">
        <f ca="1">Spaces_Sum!K152</f>
        <v>#N/A</v>
      </c>
      <c r="J155" s="62" t="e">
        <f>Spaces_Sum!#REF!</f>
        <v>#REF!</v>
      </c>
      <c r="K155" s="62" t="e">
        <f>Spaces_Sum!#REF!</f>
        <v>#REF!</v>
      </c>
      <c r="L155" s="62" t="e">
        <f ca="1">Spaces_Sum!L152</f>
        <v>#N/A</v>
      </c>
      <c r="M155" s="62" t="e">
        <f ca="1">Spaces_Sum!M152</f>
        <v>#N/A</v>
      </c>
      <c r="N155" s="62" t="e">
        <f ca="1">Spaces_Sum!O152</f>
        <v>#N/A</v>
      </c>
      <c r="O155" s="62">
        <f>Spaces_Sum!AK152</f>
        <v>0</v>
      </c>
      <c r="P155" s="537" t="e">
        <f t="shared" ca="1" si="25"/>
        <v>#N/A</v>
      </c>
      <c r="Q155" s="70" t="e">
        <f t="shared" ca="1" si="26"/>
        <v>#REF!</v>
      </c>
      <c r="R155" s="70" t="e">
        <f t="shared" ca="1" si="27"/>
        <v>#REF!</v>
      </c>
      <c r="S155" s="70" t="e">
        <f t="shared" ca="1" si="19"/>
        <v>#REF!</v>
      </c>
      <c r="T155" s="70" t="e">
        <f t="shared" ca="1" si="28"/>
        <v>#REF!</v>
      </c>
      <c r="U155" s="70" t="e">
        <f t="shared" ca="1" si="29"/>
        <v>#REF!</v>
      </c>
      <c r="V155" s="70" t="e">
        <f t="shared" ca="1" si="20"/>
        <v>#REF!</v>
      </c>
      <c r="W155" s="70" t="e">
        <f t="shared" ca="1" si="30"/>
        <v>#REF!</v>
      </c>
      <c r="X155" s="70" t="e">
        <f t="shared" ca="1" si="31"/>
        <v>#REF!</v>
      </c>
      <c r="Y155" s="70" t="e">
        <f t="shared" ca="1" si="21"/>
        <v>#REF!</v>
      </c>
      <c r="Z155" s="70" t="e">
        <f t="shared" ca="1" si="22"/>
        <v>#REF!</v>
      </c>
      <c r="AA155" s="70" t="e">
        <f t="shared" ca="1" si="23"/>
        <v>#REF!</v>
      </c>
      <c r="AB155" s="70" t="e">
        <f t="shared" ca="1" si="23"/>
        <v>#REF!</v>
      </c>
      <c r="AC155" s="70"/>
      <c r="AD155" s="70" t="e">
        <f t="shared" ca="1" si="24"/>
        <v>#REF!</v>
      </c>
      <c r="AE155" s="70" t="e">
        <f t="shared" ca="1" si="24"/>
        <v>#REF!</v>
      </c>
      <c r="AJ155" s="62"/>
    </row>
    <row r="156" spans="1:36" ht="12" customHeight="1" x14ac:dyDescent="0.2">
      <c r="A156" s="62">
        <f t="shared" si="32"/>
        <v>98</v>
      </c>
      <c r="B156" s="62">
        <f>Spaces_Sum!C153</f>
        <v>0</v>
      </c>
      <c r="C156" s="62" t="str">
        <f>Spaces_Sum!D153</f>
        <v>0</v>
      </c>
      <c r="D156" s="62" t="e">
        <f>Spaces_Sum!E153</f>
        <v>#VALUE!</v>
      </c>
      <c r="E156" s="62" t="e">
        <f>Spaces_Sum!F153</f>
        <v>#VALUE!</v>
      </c>
      <c r="F156" s="62" t="str">
        <f>Spaces_Sum!G153</f>
        <v>0</v>
      </c>
      <c r="G156" s="62" t="e">
        <f ca="1">Spaces_Sum!H153</f>
        <v>#N/A</v>
      </c>
      <c r="H156" s="62" t="e">
        <f ca="1">Spaces_Sum!I153</f>
        <v>#N/A</v>
      </c>
      <c r="I156" s="62" t="e">
        <f ca="1">Spaces_Sum!K153</f>
        <v>#N/A</v>
      </c>
      <c r="J156" s="62" t="e">
        <f>Spaces_Sum!#REF!</f>
        <v>#REF!</v>
      </c>
      <c r="K156" s="62" t="e">
        <f>Spaces_Sum!#REF!</f>
        <v>#REF!</v>
      </c>
      <c r="L156" s="62" t="e">
        <f ca="1">Spaces_Sum!L153</f>
        <v>#N/A</v>
      </c>
      <c r="M156" s="62" t="e">
        <f ca="1">Spaces_Sum!M153</f>
        <v>#N/A</v>
      </c>
      <c r="N156" s="62" t="e">
        <f ca="1">Spaces_Sum!O153</f>
        <v>#N/A</v>
      </c>
      <c r="O156" s="62">
        <f>Spaces_Sum!AK153</f>
        <v>0</v>
      </c>
      <c r="P156" s="537" t="e">
        <f t="shared" ca="1" si="25"/>
        <v>#N/A</v>
      </c>
      <c r="Q156" s="70" t="e">
        <f t="shared" ca="1" si="26"/>
        <v>#REF!</v>
      </c>
      <c r="R156" s="70" t="e">
        <f t="shared" ca="1" si="27"/>
        <v>#REF!</v>
      </c>
      <c r="S156" s="70" t="e">
        <f t="shared" ca="1" si="19"/>
        <v>#REF!</v>
      </c>
      <c r="T156" s="70" t="e">
        <f t="shared" ca="1" si="28"/>
        <v>#REF!</v>
      </c>
      <c r="U156" s="70" t="e">
        <f t="shared" ca="1" si="29"/>
        <v>#REF!</v>
      </c>
      <c r="V156" s="70" t="e">
        <f t="shared" ca="1" si="20"/>
        <v>#REF!</v>
      </c>
      <c r="W156" s="70" t="e">
        <f t="shared" ca="1" si="30"/>
        <v>#REF!</v>
      </c>
      <c r="X156" s="70" t="e">
        <f t="shared" ca="1" si="31"/>
        <v>#REF!</v>
      </c>
      <c r="Y156" s="70" t="e">
        <f t="shared" ca="1" si="21"/>
        <v>#REF!</v>
      </c>
      <c r="Z156" s="70" t="e">
        <f t="shared" ca="1" si="22"/>
        <v>#REF!</v>
      </c>
      <c r="AA156" s="70" t="e">
        <f t="shared" ca="1" si="23"/>
        <v>#REF!</v>
      </c>
      <c r="AB156" s="70" t="e">
        <f t="shared" ca="1" si="23"/>
        <v>#REF!</v>
      </c>
      <c r="AC156" s="70"/>
      <c r="AD156" s="70" t="e">
        <f t="shared" ca="1" si="24"/>
        <v>#REF!</v>
      </c>
      <c r="AE156" s="70" t="e">
        <f t="shared" ca="1" si="24"/>
        <v>#REF!</v>
      </c>
      <c r="AJ156" s="62"/>
    </row>
    <row r="157" spans="1:36" ht="12" customHeight="1" x14ac:dyDescent="0.2">
      <c r="A157" s="62">
        <f t="shared" si="32"/>
        <v>99</v>
      </c>
      <c r="B157" s="62">
        <f>Spaces_Sum!C154</f>
        <v>0</v>
      </c>
      <c r="C157" s="62" t="str">
        <f>Spaces_Sum!D154</f>
        <v>0</v>
      </c>
      <c r="D157" s="62" t="e">
        <f>Spaces_Sum!E154</f>
        <v>#VALUE!</v>
      </c>
      <c r="E157" s="62" t="e">
        <f>Spaces_Sum!F154</f>
        <v>#VALUE!</v>
      </c>
      <c r="F157" s="62" t="str">
        <f>Spaces_Sum!G154</f>
        <v>0</v>
      </c>
      <c r="G157" s="62" t="e">
        <f ca="1">Spaces_Sum!H154</f>
        <v>#N/A</v>
      </c>
      <c r="H157" s="62" t="e">
        <f ca="1">Spaces_Sum!I154</f>
        <v>#N/A</v>
      </c>
      <c r="I157" s="62" t="e">
        <f ca="1">Spaces_Sum!K154</f>
        <v>#N/A</v>
      </c>
      <c r="J157" s="62" t="e">
        <f>Spaces_Sum!#REF!</f>
        <v>#REF!</v>
      </c>
      <c r="K157" s="62" t="e">
        <f>Spaces_Sum!#REF!</f>
        <v>#REF!</v>
      </c>
      <c r="L157" s="62" t="e">
        <f ca="1">Spaces_Sum!L154</f>
        <v>#N/A</v>
      </c>
      <c r="M157" s="62" t="e">
        <f ca="1">Spaces_Sum!M154</f>
        <v>#N/A</v>
      </c>
      <c r="N157" s="62" t="e">
        <f ca="1">Spaces_Sum!O154</f>
        <v>#N/A</v>
      </c>
      <c r="O157" s="62">
        <f>Spaces_Sum!AK154</f>
        <v>0</v>
      </c>
      <c r="P157" s="537" t="e">
        <f t="shared" ca="1" si="25"/>
        <v>#N/A</v>
      </c>
      <c r="Q157" s="70" t="e">
        <f t="shared" ca="1" si="26"/>
        <v>#REF!</v>
      </c>
      <c r="R157" s="70" t="e">
        <f t="shared" ca="1" si="27"/>
        <v>#REF!</v>
      </c>
      <c r="S157" s="70" t="e">
        <f t="shared" ca="1" si="19"/>
        <v>#REF!</v>
      </c>
      <c r="T157" s="70" t="e">
        <f t="shared" ca="1" si="28"/>
        <v>#REF!</v>
      </c>
      <c r="U157" s="70" t="e">
        <f t="shared" ca="1" si="29"/>
        <v>#REF!</v>
      </c>
      <c r="V157" s="70" t="e">
        <f t="shared" ca="1" si="20"/>
        <v>#REF!</v>
      </c>
      <c r="W157" s="70" t="e">
        <f t="shared" ca="1" si="30"/>
        <v>#REF!</v>
      </c>
      <c r="X157" s="70" t="e">
        <f t="shared" ca="1" si="31"/>
        <v>#REF!</v>
      </c>
      <c r="Y157" s="70" t="e">
        <f t="shared" ca="1" si="21"/>
        <v>#REF!</v>
      </c>
      <c r="Z157" s="70" t="e">
        <f t="shared" ca="1" si="22"/>
        <v>#REF!</v>
      </c>
      <c r="AA157" s="70" t="e">
        <f t="shared" ca="1" si="23"/>
        <v>#REF!</v>
      </c>
      <c r="AB157" s="70" t="e">
        <f t="shared" ca="1" si="23"/>
        <v>#REF!</v>
      </c>
      <c r="AC157" s="70"/>
      <c r="AD157" s="70" t="e">
        <f t="shared" ca="1" si="24"/>
        <v>#REF!</v>
      </c>
      <c r="AE157" s="70" t="e">
        <f t="shared" ca="1" si="24"/>
        <v>#REF!</v>
      </c>
      <c r="AJ157" s="62"/>
    </row>
    <row r="158" spans="1:36" ht="12" customHeight="1" x14ac:dyDescent="0.2">
      <c r="A158" s="62">
        <f t="shared" si="32"/>
        <v>100</v>
      </c>
      <c r="B158" s="62">
        <f>Spaces_Sum!C155</f>
        <v>0</v>
      </c>
      <c r="C158" s="62" t="str">
        <f>Spaces_Sum!D155</f>
        <v>0</v>
      </c>
      <c r="D158" s="62" t="e">
        <f>Spaces_Sum!E155</f>
        <v>#VALUE!</v>
      </c>
      <c r="E158" s="62" t="e">
        <f>Spaces_Sum!F155</f>
        <v>#VALUE!</v>
      </c>
      <c r="F158" s="62" t="str">
        <f>Spaces_Sum!G155</f>
        <v>0</v>
      </c>
      <c r="G158" s="62" t="e">
        <f ca="1">Spaces_Sum!H155</f>
        <v>#N/A</v>
      </c>
      <c r="H158" s="62" t="e">
        <f ca="1">Spaces_Sum!I155</f>
        <v>#N/A</v>
      </c>
      <c r="I158" s="62" t="e">
        <f ca="1">Spaces_Sum!K155</f>
        <v>#N/A</v>
      </c>
      <c r="J158" s="62" t="e">
        <f>Spaces_Sum!#REF!</f>
        <v>#REF!</v>
      </c>
      <c r="K158" s="62" t="e">
        <f>Spaces_Sum!#REF!</f>
        <v>#REF!</v>
      </c>
      <c r="L158" s="62" t="e">
        <f ca="1">Spaces_Sum!L155</f>
        <v>#N/A</v>
      </c>
      <c r="M158" s="62" t="e">
        <f ca="1">Spaces_Sum!M155</f>
        <v>#N/A</v>
      </c>
      <c r="N158" s="62" t="e">
        <f ca="1">Spaces_Sum!O155</f>
        <v>#N/A</v>
      </c>
      <c r="O158" s="62">
        <f>Spaces_Sum!AK155</f>
        <v>0</v>
      </c>
      <c r="P158" s="537" t="e">
        <f t="shared" ca="1" si="25"/>
        <v>#N/A</v>
      </c>
      <c r="Q158" s="70" t="e">
        <f t="shared" ca="1" si="26"/>
        <v>#REF!</v>
      </c>
      <c r="R158" s="70" t="e">
        <f t="shared" ca="1" si="27"/>
        <v>#REF!</v>
      </c>
      <c r="S158" s="70" t="e">
        <f t="shared" ca="1" si="19"/>
        <v>#REF!</v>
      </c>
      <c r="T158" s="70" t="e">
        <f t="shared" ca="1" si="28"/>
        <v>#REF!</v>
      </c>
      <c r="U158" s="70" t="e">
        <f t="shared" ca="1" si="29"/>
        <v>#REF!</v>
      </c>
      <c r="V158" s="70" t="e">
        <f t="shared" ca="1" si="20"/>
        <v>#REF!</v>
      </c>
      <c r="W158" s="70" t="e">
        <f t="shared" ca="1" si="30"/>
        <v>#REF!</v>
      </c>
      <c r="X158" s="70" t="e">
        <f t="shared" ca="1" si="31"/>
        <v>#REF!</v>
      </c>
      <c r="Y158" s="70" t="e">
        <f t="shared" ca="1" si="21"/>
        <v>#REF!</v>
      </c>
      <c r="Z158" s="70" t="e">
        <f t="shared" ca="1" si="22"/>
        <v>#REF!</v>
      </c>
      <c r="AA158" s="70" t="e">
        <f t="shared" ca="1" si="23"/>
        <v>#REF!</v>
      </c>
      <c r="AB158" s="70" t="e">
        <f t="shared" ca="1" si="23"/>
        <v>#REF!</v>
      </c>
      <c r="AC158" s="70"/>
      <c r="AD158" s="70" t="e">
        <f t="shared" ca="1" si="24"/>
        <v>#REF!</v>
      </c>
      <c r="AE158" s="70" t="e">
        <f t="shared" ca="1" si="24"/>
        <v>#REF!</v>
      </c>
      <c r="AJ158" s="62"/>
    </row>
    <row r="159" spans="1:36" ht="12" customHeight="1" x14ac:dyDescent="0.2">
      <c r="A159" s="62">
        <f t="shared" si="32"/>
        <v>101</v>
      </c>
      <c r="B159" s="62">
        <f>Spaces_Sum!C156</f>
        <v>0</v>
      </c>
      <c r="C159" s="62" t="str">
        <f>Spaces_Sum!D156</f>
        <v>0</v>
      </c>
      <c r="D159" s="62" t="e">
        <f>Spaces_Sum!E156</f>
        <v>#VALUE!</v>
      </c>
      <c r="E159" s="62" t="e">
        <f>Spaces_Sum!F156</f>
        <v>#VALUE!</v>
      </c>
      <c r="F159" s="62" t="str">
        <f>Spaces_Sum!G156</f>
        <v>0</v>
      </c>
      <c r="G159" s="62" t="e">
        <f ca="1">Spaces_Sum!H156</f>
        <v>#N/A</v>
      </c>
      <c r="H159" s="62" t="e">
        <f ca="1">Spaces_Sum!I156</f>
        <v>#N/A</v>
      </c>
      <c r="I159" s="62" t="e">
        <f ca="1">Spaces_Sum!K156</f>
        <v>#N/A</v>
      </c>
      <c r="J159" s="62" t="e">
        <f>Spaces_Sum!#REF!</f>
        <v>#REF!</v>
      </c>
      <c r="K159" s="62" t="e">
        <f>Spaces_Sum!#REF!</f>
        <v>#REF!</v>
      </c>
      <c r="L159" s="62" t="e">
        <f ca="1">Spaces_Sum!L156</f>
        <v>#N/A</v>
      </c>
      <c r="M159" s="62" t="e">
        <f ca="1">Spaces_Sum!M156</f>
        <v>#N/A</v>
      </c>
      <c r="N159" s="62" t="e">
        <f ca="1">Spaces_Sum!O156</f>
        <v>#N/A</v>
      </c>
      <c r="O159" s="62">
        <f>Spaces_Sum!AK156</f>
        <v>0</v>
      </c>
      <c r="P159" s="537" t="e">
        <f t="shared" ca="1" si="25"/>
        <v>#N/A</v>
      </c>
      <c r="Q159" s="70" t="e">
        <f t="shared" ca="1" si="26"/>
        <v>#REF!</v>
      </c>
      <c r="R159" s="70" t="e">
        <f t="shared" ca="1" si="27"/>
        <v>#REF!</v>
      </c>
      <c r="S159" s="70" t="e">
        <f t="shared" ca="1" si="19"/>
        <v>#REF!</v>
      </c>
      <c r="T159" s="70" t="e">
        <f t="shared" ca="1" si="28"/>
        <v>#REF!</v>
      </c>
      <c r="U159" s="70" t="e">
        <f t="shared" ca="1" si="29"/>
        <v>#REF!</v>
      </c>
      <c r="V159" s="70" t="e">
        <f t="shared" ca="1" si="20"/>
        <v>#REF!</v>
      </c>
      <c r="W159" s="70" t="e">
        <f t="shared" ca="1" si="30"/>
        <v>#REF!</v>
      </c>
      <c r="X159" s="70" t="e">
        <f t="shared" ca="1" si="31"/>
        <v>#REF!</v>
      </c>
      <c r="Y159" s="70" t="e">
        <f t="shared" ca="1" si="21"/>
        <v>#REF!</v>
      </c>
      <c r="Z159" s="70" t="e">
        <f t="shared" ca="1" si="22"/>
        <v>#REF!</v>
      </c>
      <c r="AA159" s="70" t="e">
        <f t="shared" ca="1" si="23"/>
        <v>#REF!</v>
      </c>
      <c r="AB159" s="70" t="e">
        <f t="shared" ca="1" si="23"/>
        <v>#REF!</v>
      </c>
      <c r="AC159" s="70"/>
      <c r="AD159" s="70" t="e">
        <f t="shared" ca="1" si="24"/>
        <v>#REF!</v>
      </c>
      <c r="AE159" s="70" t="e">
        <f t="shared" ca="1" si="24"/>
        <v>#REF!</v>
      </c>
      <c r="AJ159" s="62"/>
    </row>
    <row r="160" spans="1:36" ht="12" customHeight="1" x14ac:dyDescent="0.2">
      <c r="A160" s="62">
        <f t="shared" si="32"/>
        <v>102</v>
      </c>
      <c r="B160" s="62">
        <f>Spaces_Sum!C157</f>
        <v>0</v>
      </c>
      <c r="C160" s="62" t="str">
        <f>Spaces_Sum!D157</f>
        <v>0</v>
      </c>
      <c r="D160" s="62" t="e">
        <f>Spaces_Sum!E157</f>
        <v>#VALUE!</v>
      </c>
      <c r="E160" s="62" t="e">
        <f>Spaces_Sum!F157</f>
        <v>#VALUE!</v>
      </c>
      <c r="F160" s="62" t="str">
        <f>Spaces_Sum!G157</f>
        <v>0</v>
      </c>
      <c r="G160" s="62" t="e">
        <f ca="1">Spaces_Sum!H157</f>
        <v>#N/A</v>
      </c>
      <c r="H160" s="62" t="e">
        <f ca="1">Spaces_Sum!I157</f>
        <v>#N/A</v>
      </c>
      <c r="I160" s="62" t="e">
        <f ca="1">Spaces_Sum!K157</f>
        <v>#N/A</v>
      </c>
      <c r="J160" s="62" t="e">
        <f>Spaces_Sum!#REF!</f>
        <v>#REF!</v>
      </c>
      <c r="K160" s="62" t="e">
        <f>Spaces_Sum!#REF!</f>
        <v>#REF!</v>
      </c>
      <c r="L160" s="62" t="e">
        <f ca="1">Spaces_Sum!L157</f>
        <v>#N/A</v>
      </c>
      <c r="M160" s="62" t="e">
        <f ca="1">Spaces_Sum!M157</f>
        <v>#N/A</v>
      </c>
      <c r="N160" s="62" t="e">
        <f ca="1">Spaces_Sum!O157</f>
        <v>#N/A</v>
      </c>
      <c r="O160" s="62">
        <f>Spaces_Sum!AK157</f>
        <v>0</v>
      </c>
      <c r="P160" s="537" t="e">
        <f t="shared" ca="1" si="25"/>
        <v>#N/A</v>
      </c>
      <c r="Q160" s="70" t="e">
        <f t="shared" ca="1" si="26"/>
        <v>#REF!</v>
      </c>
      <c r="R160" s="70" t="e">
        <f t="shared" ca="1" si="27"/>
        <v>#REF!</v>
      </c>
      <c r="S160" s="70" t="e">
        <f t="shared" ref="S160:S167" ca="1" si="33">SUM(Q160:R160)</f>
        <v>#REF!</v>
      </c>
      <c r="T160" s="70" t="e">
        <f t="shared" ca="1" si="28"/>
        <v>#REF!</v>
      </c>
      <c r="U160" s="70" t="e">
        <f t="shared" ca="1" si="29"/>
        <v>#REF!</v>
      </c>
      <c r="V160" s="70" t="e">
        <f t="shared" ref="V160:V167" ca="1" si="34">SUM(T160:U160)</f>
        <v>#REF!</v>
      </c>
      <c r="W160" s="70" t="e">
        <f t="shared" ca="1" si="30"/>
        <v>#REF!</v>
      </c>
      <c r="X160" s="70" t="e">
        <f t="shared" ca="1" si="31"/>
        <v>#REF!</v>
      </c>
      <c r="Y160" s="70" t="e">
        <f t="shared" ref="Y160:Y167" ca="1" si="35">SUM(W160:X160)</f>
        <v>#REF!</v>
      </c>
      <c r="Z160" s="70" t="e">
        <f t="shared" ref="Z160:Z167" ca="1" si="36">SUM(S160,V160,Y160)</f>
        <v>#REF!</v>
      </c>
      <c r="AA160" s="70" t="e">
        <f t="shared" ca="1" si="23"/>
        <v>#REF!</v>
      </c>
      <c r="AB160" s="70" t="e">
        <f t="shared" ca="1" si="23"/>
        <v>#REF!</v>
      </c>
      <c r="AC160" s="70"/>
      <c r="AD160" s="70" t="e">
        <f t="shared" ca="1" si="24"/>
        <v>#REF!</v>
      </c>
      <c r="AE160" s="70" t="e">
        <f t="shared" ca="1" si="24"/>
        <v>#REF!</v>
      </c>
      <c r="AJ160" s="62"/>
    </row>
    <row r="161" spans="1:36" ht="12" customHeight="1" x14ac:dyDescent="0.2">
      <c r="A161" s="62">
        <f t="shared" si="32"/>
        <v>103</v>
      </c>
      <c r="B161" s="62">
        <f>Spaces_Sum!C158</f>
        <v>0</v>
      </c>
      <c r="C161" s="62" t="str">
        <f>Spaces_Sum!D158</f>
        <v>0</v>
      </c>
      <c r="D161" s="62" t="e">
        <f>Spaces_Sum!E158</f>
        <v>#VALUE!</v>
      </c>
      <c r="E161" s="62" t="e">
        <f>Spaces_Sum!F158</f>
        <v>#VALUE!</v>
      </c>
      <c r="F161" s="62" t="str">
        <f>Spaces_Sum!G158</f>
        <v>0</v>
      </c>
      <c r="G161" s="62" t="e">
        <f ca="1">Spaces_Sum!H158</f>
        <v>#N/A</v>
      </c>
      <c r="H161" s="62" t="e">
        <f ca="1">Spaces_Sum!I158</f>
        <v>#N/A</v>
      </c>
      <c r="I161" s="62" t="e">
        <f ca="1">Spaces_Sum!K158</f>
        <v>#N/A</v>
      </c>
      <c r="J161" s="62" t="e">
        <f>Spaces_Sum!#REF!</f>
        <v>#REF!</v>
      </c>
      <c r="K161" s="62" t="e">
        <f>Spaces_Sum!#REF!</f>
        <v>#REF!</v>
      </c>
      <c r="L161" s="62" t="e">
        <f ca="1">Spaces_Sum!L158</f>
        <v>#N/A</v>
      </c>
      <c r="M161" s="62" t="e">
        <f ca="1">Spaces_Sum!M158</f>
        <v>#N/A</v>
      </c>
      <c r="N161" s="62" t="e">
        <f ca="1">Spaces_Sum!O158</f>
        <v>#N/A</v>
      </c>
      <c r="O161" s="62">
        <f>Spaces_Sum!AK158</f>
        <v>0</v>
      </c>
      <c r="P161" s="537" t="e">
        <f t="shared" ca="1" si="25"/>
        <v>#N/A</v>
      </c>
      <c r="Q161" s="70" t="e">
        <f t="shared" ca="1" si="26"/>
        <v>#REF!</v>
      </c>
      <c r="R161" s="70" t="e">
        <f t="shared" ca="1" si="27"/>
        <v>#REF!</v>
      </c>
      <c r="S161" s="70" t="e">
        <f t="shared" ca="1" si="33"/>
        <v>#REF!</v>
      </c>
      <c r="T161" s="70" t="e">
        <f t="shared" ca="1" si="28"/>
        <v>#REF!</v>
      </c>
      <c r="U161" s="70" t="e">
        <f t="shared" ca="1" si="29"/>
        <v>#REF!</v>
      </c>
      <c r="V161" s="70" t="e">
        <f t="shared" ca="1" si="34"/>
        <v>#REF!</v>
      </c>
      <c r="W161" s="70" t="e">
        <f t="shared" ca="1" si="30"/>
        <v>#REF!</v>
      </c>
      <c r="X161" s="70" t="e">
        <f t="shared" ca="1" si="31"/>
        <v>#REF!</v>
      </c>
      <c r="Y161" s="70" t="e">
        <f t="shared" ca="1" si="35"/>
        <v>#REF!</v>
      </c>
      <c r="Z161" s="70" t="e">
        <f t="shared" ca="1" si="36"/>
        <v>#REF!</v>
      </c>
      <c r="AA161" s="70" t="e">
        <f t="shared" ref="AA161:AB170" ca="1" si="37">SUMIFS(OFFSET(INDIRECT(AA$47),AA$48,AA$49,2000),OFFSET(INDIRECT(AA$47),AA$48,AA$50,2000),$B161)*$L161</f>
        <v>#REF!</v>
      </c>
      <c r="AB161" s="70" t="e">
        <f t="shared" ca="1" si="37"/>
        <v>#REF!</v>
      </c>
      <c r="AC161" s="70"/>
      <c r="AD161" s="70" t="e">
        <f t="shared" ref="AD161:AE170" ca="1" si="38">SUMIFS(OFFSET(INDIRECT(AD$47),AD$48,AD$49,2000),OFFSET(INDIRECT(AD$47),AD$48,AD$50,2000),$B161)*$L161</f>
        <v>#REF!</v>
      </c>
      <c r="AE161" s="70" t="e">
        <f t="shared" ca="1" si="38"/>
        <v>#REF!</v>
      </c>
      <c r="AJ161" s="62"/>
    </row>
    <row r="162" spans="1:36" ht="12" customHeight="1" x14ac:dyDescent="0.2">
      <c r="A162" s="62">
        <f t="shared" si="32"/>
        <v>104</v>
      </c>
      <c r="B162" s="62">
        <f>Spaces_Sum!C159</f>
        <v>0</v>
      </c>
      <c r="C162" s="62" t="str">
        <f>Spaces_Sum!D159</f>
        <v>0</v>
      </c>
      <c r="D162" s="62" t="e">
        <f>Spaces_Sum!E159</f>
        <v>#VALUE!</v>
      </c>
      <c r="E162" s="62" t="e">
        <f>Spaces_Sum!F159</f>
        <v>#VALUE!</v>
      </c>
      <c r="F162" s="62" t="str">
        <f>Spaces_Sum!G159</f>
        <v>0</v>
      </c>
      <c r="G162" s="62" t="e">
        <f ca="1">Spaces_Sum!H159</f>
        <v>#N/A</v>
      </c>
      <c r="H162" s="62" t="e">
        <f ca="1">Spaces_Sum!I159</f>
        <v>#N/A</v>
      </c>
      <c r="I162" s="62" t="e">
        <f ca="1">Spaces_Sum!K159</f>
        <v>#N/A</v>
      </c>
      <c r="J162" s="62" t="e">
        <f>Spaces_Sum!#REF!</f>
        <v>#REF!</v>
      </c>
      <c r="K162" s="62" t="e">
        <f>Spaces_Sum!#REF!</f>
        <v>#REF!</v>
      </c>
      <c r="L162" s="62" t="e">
        <f ca="1">Spaces_Sum!L159</f>
        <v>#N/A</v>
      </c>
      <c r="M162" s="62" t="e">
        <f ca="1">Spaces_Sum!M159</f>
        <v>#N/A</v>
      </c>
      <c r="N162" s="62" t="e">
        <f ca="1">Spaces_Sum!O159</f>
        <v>#N/A</v>
      </c>
      <c r="O162" s="62">
        <f>Spaces_Sum!AK159</f>
        <v>0</v>
      </c>
      <c r="P162" s="537" t="e">
        <f t="shared" ca="1" si="25"/>
        <v>#N/A</v>
      </c>
      <c r="Q162" s="70" t="e">
        <f t="shared" ca="1" si="26"/>
        <v>#REF!</v>
      </c>
      <c r="R162" s="70" t="e">
        <f t="shared" ca="1" si="27"/>
        <v>#REF!</v>
      </c>
      <c r="S162" s="70" t="e">
        <f t="shared" ca="1" si="33"/>
        <v>#REF!</v>
      </c>
      <c r="T162" s="70" t="e">
        <f t="shared" ca="1" si="28"/>
        <v>#REF!</v>
      </c>
      <c r="U162" s="70" t="e">
        <f t="shared" ca="1" si="29"/>
        <v>#REF!</v>
      </c>
      <c r="V162" s="70" t="e">
        <f t="shared" ca="1" si="34"/>
        <v>#REF!</v>
      </c>
      <c r="W162" s="70" t="e">
        <f t="shared" ca="1" si="30"/>
        <v>#REF!</v>
      </c>
      <c r="X162" s="70" t="e">
        <f t="shared" ca="1" si="31"/>
        <v>#REF!</v>
      </c>
      <c r="Y162" s="70" t="e">
        <f t="shared" ca="1" si="35"/>
        <v>#REF!</v>
      </c>
      <c r="Z162" s="70" t="e">
        <f t="shared" ca="1" si="36"/>
        <v>#REF!</v>
      </c>
      <c r="AA162" s="70" t="e">
        <f t="shared" ca="1" si="37"/>
        <v>#REF!</v>
      </c>
      <c r="AB162" s="70" t="e">
        <f t="shared" ca="1" si="37"/>
        <v>#REF!</v>
      </c>
      <c r="AC162" s="70"/>
      <c r="AD162" s="70" t="e">
        <f t="shared" ca="1" si="38"/>
        <v>#REF!</v>
      </c>
      <c r="AE162" s="70" t="e">
        <f t="shared" ca="1" si="38"/>
        <v>#REF!</v>
      </c>
      <c r="AJ162" s="62"/>
    </row>
    <row r="163" spans="1:36" ht="12" customHeight="1" x14ac:dyDescent="0.2">
      <c r="A163" s="62">
        <f t="shared" si="32"/>
        <v>105</v>
      </c>
      <c r="B163" s="62">
        <f>Spaces_Sum!C160</f>
        <v>0</v>
      </c>
      <c r="C163" s="62" t="str">
        <f>Spaces_Sum!D160</f>
        <v>0</v>
      </c>
      <c r="D163" s="62" t="e">
        <f>Spaces_Sum!E160</f>
        <v>#VALUE!</v>
      </c>
      <c r="E163" s="62" t="e">
        <f>Spaces_Sum!F160</f>
        <v>#VALUE!</v>
      </c>
      <c r="F163" s="62" t="str">
        <f>Spaces_Sum!G160</f>
        <v>0</v>
      </c>
      <c r="G163" s="62" t="e">
        <f ca="1">Spaces_Sum!H160</f>
        <v>#N/A</v>
      </c>
      <c r="H163" s="62" t="e">
        <f ca="1">Spaces_Sum!I160</f>
        <v>#N/A</v>
      </c>
      <c r="I163" s="62" t="e">
        <f ca="1">Spaces_Sum!K160</f>
        <v>#N/A</v>
      </c>
      <c r="J163" s="62" t="e">
        <f>Spaces_Sum!#REF!</f>
        <v>#REF!</v>
      </c>
      <c r="K163" s="62" t="e">
        <f>Spaces_Sum!#REF!</f>
        <v>#REF!</v>
      </c>
      <c r="L163" s="62" t="e">
        <f ca="1">Spaces_Sum!L160</f>
        <v>#N/A</v>
      </c>
      <c r="M163" s="62" t="e">
        <f ca="1">Spaces_Sum!M160</f>
        <v>#N/A</v>
      </c>
      <c r="N163" s="62" t="e">
        <f ca="1">Spaces_Sum!O160</f>
        <v>#N/A</v>
      </c>
      <c r="O163" s="62">
        <f>Spaces_Sum!AK160</f>
        <v>0</v>
      </c>
      <c r="P163" s="537" t="e">
        <f t="shared" ca="1" si="25"/>
        <v>#N/A</v>
      </c>
      <c r="Q163" s="70" t="e">
        <f t="shared" ca="1" si="26"/>
        <v>#REF!</v>
      </c>
      <c r="R163" s="70" t="e">
        <f t="shared" ca="1" si="27"/>
        <v>#REF!</v>
      </c>
      <c r="S163" s="70" t="e">
        <f t="shared" ca="1" si="33"/>
        <v>#REF!</v>
      </c>
      <c r="T163" s="70" t="e">
        <f t="shared" ca="1" si="28"/>
        <v>#REF!</v>
      </c>
      <c r="U163" s="70" t="e">
        <f t="shared" ca="1" si="29"/>
        <v>#REF!</v>
      </c>
      <c r="V163" s="70" t="e">
        <f t="shared" ca="1" si="34"/>
        <v>#REF!</v>
      </c>
      <c r="W163" s="70" t="e">
        <f t="shared" ca="1" si="30"/>
        <v>#REF!</v>
      </c>
      <c r="X163" s="70" t="e">
        <f t="shared" ca="1" si="31"/>
        <v>#REF!</v>
      </c>
      <c r="Y163" s="70" t="e">
        <f t="shared" ca="1" si="35"/>
        <v>#REF!</v>
      </c>
      <c r="Z163" s="70" t="e">
        <f t="shared" ca="1" si="36"/>
        <v>#REF!</v>
      </c>
      <c r="AA163" s="70" t="e">
        <f t="shared" ca="1" si="37"/>
        <v>#REF!</v>
      </c>
      <c r="AB163" s="70" t="e">
        <f t="shared" ca="1" si="37"/>
        <v>#REF!</v>
      </c>
      <c r="AC163" s="70"/>
      <c r="AD163" s="70" t="e">
        <f t="shared" ca="1" si="38"/>
        <v>#REF!</v>
      </c>
      <c r="AE163" s="70" t="e">
        <f t="shared" ca="1" si="38"/>
        <v>#REF!</v>
      </c>
      <c r="AJ163" s="62"/>
    </row>
    <row r="164" spans="1:36" ht="12" customHeight="1" x14ac:dyDescent="0.2">
      <c r="A164" s="62">
        <f t="shared" si="32"/>
        <v>106</v>
      </c>
      <c r="B164" s="62">
        <f>Spaces_Sum!C161</f>
        <v>0</v>
      </c>
      <c r="C164" s="62" t="str">
        <f>Spaces_Sum!D161</f>
        <v>0</v>
      </c>
      <c r="D164" s="62" t="e">
        <f>Spaces_Sum!E161</f>
        <v>#VALUE!</v>
      </c>
      <c r="E164" s="62" t="e">
        <f>Spaces_Sum!F161</f>
        <v>#VALUE!</v>
      </c>
      <c r="F164" s="62" t="str">
        <f>Spaces_Sum!G161</f>
        <v>0</v>
      </c>
      <c r="G164" s="62" t="e">
        <f ca="1">Spaces_Sum!H161</f>
        <v>#N/A</v>
      </c>
      <c r="H164" s="62" t="e">
        <f ca="1">Spaces_Sum!I161</f>
        <v>#N/A</v>
      </c>
      <c r="I164" s="62" t="e">
        <f ca="1">Spaces_Sum!K161</f>
        <v>#N/A</v>
      </c>
      <c r="J164" s="62" t="e">
        <f>Spaces_Sum!#REF!</f>
        <v>#REF!</v>
      </c>
      <c r="K164" s="62" t="e">
        <f>Spaces_Sum!#REF!</f>
        <v>#REF!</v>
      </c>
      <c r="L164" s="62" t="e">
        <f ca="1">Spaces_Sum!L161</f>
        <v>#N/A</v>
      </c>
      <c r="M164" s="62" t="e">
        <f ca="1">Spaces_Sum!M161</f>
        <v>#N/A</v>
      </c>
      <c r="N164" s="62" t="e">
        <f ca="1">Spaces_Sum!O161</f>
        <v>#N/A</v>
      </c>
      <c r="O164" s="62">
        <f>Spaces_Sum!AK161</f>
        <v>0</v>
      </c>
      <c r="P164" s="537" t="e">
        <f t="shared" ca="1" si="25"/>
        <v>#N/A</v>
      </c>
      <c r="Q164" s="70" t="e">
        <f t="shared" ca="1" si="26"/>
        <v>#REF!</v>
      </c>
      <c r="R164" s="70" t="e">
        <f t="shared" ca="1" si="27"/>
        <v>#REF!</v>
      </c>
      <c r="S164" s="70" t="e">
        <f t="shared" ca="1" si="33"/>
        <v>#REF!</v>
      </c>
      <c r="T164" s="70" t="e">
        <f t="shared" ca="1" si="28"/>
        <v>#REF!</v>
      </c>
      <c r="U164" s="70" t="e">
        <f t="shared" ca="1" si="29"/>
        <v>#REF!</v>
      </c>
      <c r="V164" s="70" t="e">
        <f t="shared" ca="1" si="34"/>
        <v>#REF!</v>
      </c>
      <c r="W164" s="70" t="e">
        <f t="shared" ca="1" si="30"/>
        <v>#REF!</v>
      </c>
      <c r="X164" s="70" t="e">
        <f t="shared" ca="1" si="31"/>
        <v>#REF!</v>
      </c>
      <c r="Y164" s="70" t="e">
        <f t="shared" ca="1" si="35"/>
        <v>#REF!</v>
      </c>
      <c r="Z164" s="70" t="e">
        <f t="shared" ca="1" si="36"/>
        <v>#REF!</v>
      </c>
      <c r="AA164" s="70" t="e">
        <f t="shared" ca="1" si="37"/>
        <v>#REF!</v>
      </c>
      <c r="AB164" s="70" t="e">
        <f t="shared" ca="1" si="37"/>
        <v>#REF!</v>
      </c>
      <c r="AC164" s="70"/>
      <c r="AD164" s="70" t="e">
        <f t="shared" ca="1" si="38"/>
        <v>#REF!</v>
      </c>
      <c r="AE164" s="70" t="e">
        <f t="shared" ca="1" si="38"/>
        <v>#REF!</v>
      </c>
      <c r="AJ164" s="62"/>
    </row>
    <row r="165" spans="1:36" ht="12" customHeight="1" x14ac:dyDescent="0.2">
      <c r="A165" s="62">
        <f t="shared" si="32"/>
        <v>107</v>
      </c>
      <c r="B165" s="62">
        <f>Spaces_Sum!C162</f>
        <v>0</v>
      </c>
      <c r="C165" s="62" t="str">
        <f>Spaces_Sum!D162</f>
        <v>0</v>
      </c>
      <c r="D165" s="62" t="e">
        <f>Spaces_Sum!E162</f>
        <v>#VALUE!</v>
      </c>
      <c r="E165" s="62" t="e">
        <f>Spaces_Sum!F162</f>
        <v>#VALUE!</v>
      </c>
      <c r="F165" s="62" t="str">
        <f>Spaces_Sum!G162</f>
        <v>0</v>
      </c>
      <c r="G165" s="62" t="e">
        <f ca="1">Spaces_Sum!H162</f>
        <v>#N/A</v>
      </c>
      <c r="H165" s="62" t="e">
        <f ca="1">Spaces_Sum!I162</f>
        <v>#N/A</v>
      </c>
      <c r="I165" s="62" t="e">
        <f ca="1">Spaces_Sum!K162</f>
        <v>#N/A</v>
      </c>
      <c r="J165" s="62" t="e">
        <f>Spaces_Sum!#REF!</f>
        <v>#REF!</v>
      </c>
      <c r="K165" s="62" t="e">
        <f>Spaces_Sum!#REF!</f>
        <v>#REF!</v>
      </c>
      <c r="L165" s="62" t="e">
        <f ca="1">Spaces_Sum!L162</f>
        <v>#N/A</v>
      </c>
      <c r="M165" s="62" t="e">
        <f ca="1">Spaces_Sum!M162</f>
        <v>#N/A</v>
      </c>
      <c r="N165" s="62" t="e">
        <f ca="1">Spaces_Sum!O162</f>
        <v>#N/A</v>
      </c>
      <c r="O165" s="62">
        <f>Spaces_Sum!AK162</f>
        <v>0</v>
      </c>
      <c r="P165" s="537" t="e">
        <f t="shared" ca="1" si="25"/>
        <v>#N/A</v>
      </c>
      <c r="Q165" s="70" t="e">
        <f t="shared" ca="1" si="26"/>
        <v>#REF!</v>
      </c>
      <c r="R165" s="70" t="e">
        <f t="shared" ca="1" si="27"/>
        <v>#REF!</v>
      </c>
      <c r="S165" s="70" t="e">
        <f t="shared" ca="1" si="33"/>
        <v>#REF!</v>
      </c>
      <c r="T165" s="70" t="e">
        <f t="shared" ca="1" si="28"/>
        <v>#REF!</v>
      </c>
      <c r="U165" s="70" t="e">
        <f t="shared" ca="1" si="29"/>
        <v>#REF!</v>
      </c>
      <c r="V165" s="70" t="e">
        <f t="shared" ca="1" si="34"/>
        <v>#REF!</v>
      </c>
      <c r="W165" s="70" t="e">
        <f t="shared" ca="1" si="30"/>
        <v>#REF!</v>
      </c>
      <c r="X165" s="70" t="e">
        <f t="shared" ca="1" si="31"/>
        <v>#REF!</v>
      </c>
      <c r="Y165" s="70" t="e">
        <f t="shared" ca="1" si="35"/>
        <v>#REF!</v>
      </c>
      <c r="Z165" s="70" t="e">
        <f t="shared" ca="1" si="36"/>
        <v>#REF!</v>
      </c>
      <c r="AA165" s="70" t="e">
        <f t="shared" ca="1" si="37"/>
        <v>#REF!</v>
      </c>
      <c r="AB165" s="70" t="e">
        <f t="shared" ca="1" si="37"/>
        <v>#REF!</v>
      </c>
      <c r="AC165" s="70"/>
      <c r="AD165" s="70" t="e">
        <f t="shared" ca="1" si="38"/>
        <v>#REF!</v>
      </c>
      <c r="AE165" s="70" t="e">
        <f t="shared" ca="1" si="38"/>
        <v>#REF!</v>
      </c>
      <c r="AJ165" s="62"/>
    </row>
    <row r="166" spans="1:36" ht="12" customHeight="1" x14ac:dyDescent="0.2">
      <c r="A166" s="62">
        <f t="shared" si="32"/>
        <v>108</v>
      </c>
      <c r="B166" s="62">
        <f>Spaces_Sum!C163</f>
        <v>0</v>
      </c>
      <c r="C166" s="62" t="str">
        <f>Spaces_Sum!D163</f>
        <v>0</v>
      </c>
      <c r="D166" s="62" t="e">
        <f>Spaces_Sum!E163</f>
        <v>#VALUE!</v>
      </c>
      <c r="E166" s="62" t="e">
        <f>Spaces_Sum!F163</f>
        <v>#VALUE!</v>
      </c>
      <c r="F166" s="62" t="str">
        <f>Spaces_Sum!G163</f>
        <v>0</v>
      </c>
      <c r="G166" s="62" t="e">
        <f ca="1">Spaces_Sum!H163</f>
        <v>#N/A</v>
      </c>
      <c r="H166" s="62" t="e">
        <f ca="1">Spaces_Sum!I163</f>
        <v>#N/A</v>
      </c>
      <c r="I166" s="62" t="e">
        <f ca="1">Spaces_Sum!K163</f>
        <v>#N/A</v>
      </c>
      <c r="J166" s="62" t="e">
        <f>Spaces_Sum!#REF!</f>
        <v>#REF!</v>
      </c>
      <c r="K166" s="62" t="e">
        <f>Spaces_Sum!#REF!</f>
        <v>#REF!</v>
      </c>
      <c r="L166" s="62" t="e">
        <f ca="1">Spaces_Sum!L163</f>
        <v>#N/A</v>
      </c>
      <c r="M166" s="62" t="e">
        <f ca="1">Spaces_Sum!M163</f>
        <v>#N/A</v>
      </c>
      <c r="N166" s="62" t="e">
        <f ca="1">Spaces_Sum!O163</f>
        <v>#N/A</v>
      </c>
      <c r="O166" s="62">
        <f>Spaces_Sum!AK163</f>
        <v>0</v>
      </c>
      <c r="P166" s="537" t="e">
        <f t="shared" ca="1" si="25"/>
        <v>#N/A</v>
      </c>
      <c r="Q166" s="70" t="e">
        <f t="shared" ca="1" si="26"/>
        <v>#REF!</v>
      </c>
      <c r="R166" s="70" t="e">
        <f t="shared" ca="1" si="27"/>
        <v>#REF!</v>
      </c>
      <c r="S166" s="70" t="e">
        <f t="shared" ca="1" si="33"/>
        <v>#REF!</v>
      </c>
      <c r="T166" s="70" t="e">
        <f t="shared" ca="1" si="28"/>
        <v>#REF!</v>
      </c>
      <c r="U166" s="70" t="e">
        <f t="shared" ca="1" si="29"/>
        <v>#REF!</v>
      </c>
      <c r="V166" s="70" t="e">
        <f t="shared" ca="1" si="34"/>
        <v>#REF!</v>
      </c>
      <c r="W166" s="70" t="e">
        <f t="shared" ca="1" si="30"/>
        <v>#REF!</v>
      </c>
      <c r="X166" s="70" t="e">
        <f t="shared" ca="1" si="31"/>
        <v>#REF!</v>
      </c>
      <c r="Y166" s="70" t="e">
        <f t="shared" ca="1" si="35"/>
        <v>#REF!</v>
      </c>
      <c r="Z166" s="70" t="e">
        <f t="shared" ca="1" si="36"/>
        <v>#REF!</v>
      </c>
      <c r="AA166" s="70" t="e">
        <f t="shared" ca="1" si="37"/>
        <v>#REF!</v>
      </c>
      <c r="AB166" s="70" t="e">
        <f t="shared" ca="1" si="37"/>
        <v>#REF!</v>
      </c>
      <c r="AC166" s="70"/>
      <c r="AD166" s="70" t="e">
        <f t="shared" ca="1" si="38"/>
        <v>#REF!</v>
      </c>
      <c r="AE166" s="70" t="e">
        <f t="shared" ca="1" si="38"/>
        <v>#REF!</v>
      </c>
      <c r="AJ166" s="62"/>
    </row>
    <row r="167" spans="1:36" ht="12" customHeight="1" x14ac:dyDescent="0.2">
      <c r="A167" s="62">
        <f t="shared" si="32"/>
        <v>109</v>
      </c>
      <c r="B167" s="62">
        <f>Spaces_Sum!C164</f>
        <v>0</v>
      </c>
      <c r="C167" s="62" t="str">
        <f>Spaces_Sum!D164</f>
        <v>0</v>
      </c>
      <c r="D167" s="62" t="e">
        <f>Spaces_Sum!E164</f>
        <v>#VALUE!</v>
      </c>
      <c r="E167" s="62" t="e">
        <f>Spaces_Sum!F164</f>
        <v>#VALUE!</v>
      </c>
      <c r="F167" s="62" t="str">
        <f>Spaces_Sum!G164</f>
        <v>0</v>
      </c>
      <c r="G167" s="62" t="e">
        <f ca="1">Spaces_Sum!H164</f>
        <v>#N/A</v>
      </c>
      <c r="H167" s="62" t="e">
        <f ca="1">Spaces_Sum!I164</f>
        <v>#N/A</v>
      </c>
      <c r="I167" s="62" t="e">
        <f ca="1">Spaces_Sum!K164</f>
        <v>#N/A</v>
      </c>
      <c r="J167" s="62" t="e">
        <f>Spaces_Sum!#REF!</f>
        <v>#REF!</v>
      </c>
      <c r="K167" s="62" t="e">
        <f>Spaces_Sum!#REF!</f>
        <v>#REF!</v>
      </c>
      <c r="L167" s="62" t="e">
        <f ca="1">Spaces_Sum!L164</f>
        <v>#N/A</v>
      </c>
      <c r="M167" s="62" t="e">
        <f ca="1">Spaces_Sum!M164</f>
        <v>#N/A</v>
      </c>
      <c r="N167" s="62" t="e">
        <f ca="1">Spaces_Sum!O164</f>
        <v>#N/A</v>
      </c>
      <c r="O167" s="62">
        <f>Spaces_Sum!AK164</f>
        <v>0</v>
      </c>
      <c r="P167" s="537" t="e">
        <f t="shared" ca="1" si="25"/>
        <v>#N/A</v>
      </c>
      <c r="Q167" s="70" t="e">
        <f t="shared" ca="1" si="26"/>
        <v>#REF!</v>
      </c>
      <c r="R167" s="70" t="e">
        <f t="shared" ca="1" si="27"/>
        <v>#REF!</v>
      </c>
      <c r="S167" s="70" t="e">
        <f t="shared" ca="1" si="33"/>
        <v>#REF!</v>
      </c>
      <c r="T167" s="70" t="e">
        <f t="shared" ca="1" si="28"/>
        <v>#REF!</v>
      </c>
      <c r="U167" s="70" t="e">
        <f t="shared" ca="1" si="29"/>
        <v>#REF!</v>
      </c>
      <c r="V167" s="70" t="e">
        <f t="shared" ca="1" si="34"/>
        <v>#REF!</v>
      </c>
      <c r="W167" s="70" t="e">
        <f t="shared" ca="1" si="30"/>
        <v>#REF!</v>
      </c>
      <c r="X167" s="70" t="e">
        <f t="shared" ca="1" si="31"/>
        <v>#REF!</v>
      </c>
      <c r="Y167" s="70" t="e">
        <f t="shared" ca="1" si="35"/>
        <v>#REF!</v>
      </c>
      <c r="Z167" s="70" t="e">
        <f t="shared" ca="1" si="36"/>
        <v>#REF!</v>
      </c>
      <c r="AA167" s="70" t="e">
        <f t="shared" ca="1" si="37"/>
        <v>#REF!</v>
      </c>
      <c r="AB167" s="70" t="e">
        <f t="shared" ca="1" si="37"/>
        <v>#REF!</v>
      </c>
      <c r="AC167" s="70"/>
      <c r="AD167" s="70" t="e">
        <f t="shared" ca="1" si="38"/>
        <v>#REF!</v>
      </c>
      <c r="AE167" s="70" t="e">
        <f t="shared" ca="1" si="38"/>
        <v>#REF!</v>
      </c>
      <c r="AJ167" s="62"/>
    </row>
    <row r="168" spans="1:36" ht="12" customHeight="1" x14ac:dyDescent="0.2">
      <c r="A168" s="62">
        <f t="shared" si="32"/>
        <v>110</v>
      </c>
      <c r="B168" s="62">
        <f>Spaces_Sum!C165</f>
        <v>0</v>
      </c>
      <c r="C168" s="62" t="str">
        <f>Spaces_Sum!D165</f>
        <v>0</v>
      </c>
      <c r="D168" s="62" t="e">
        <f>Spaces_Sum!E165</f>
        <v>#VALUE!</v>
      </c>
      <c r="E168" s="62" t="e">
        <f>Spaces_Sum!F165</f>
        <v>#VALUE!</v>
      </c>
      <c r="F168" s="62" t="str">
        <f>Spaces_Sum!G165</f>
        <v>0</v>
      </c>
      <c r="G168" s="62" t="e">
        <f ca="1">Spaces_Sum!H165</f>
        <v>#N/A</v>
      </c>
      <c r="H168" s="62" t="e">
        <f ca="1">Spaces_Sum!I165</f>
        <v>#N/A</v>
      </c>
      <c r="I168" s="62" t="e">
        <f ca="1">Spaces_Sum!K165</f>
        <v>#N/A</v>
      </c>
      <c r="J168" s="62" t="e">
        <f>Spaces_Sum!#REF!</f>
        <v>#REF!</v>
      </c>
      <c r="K168" s="62" t="e">
        <f>Spaces_Sum!#REF!</f>
        <v>#REF!</v>
      </c>
      <c r="L168" s="62" t="e">
        <f ca="1">Spaces_Sum!L165</f>
        <v>#N/A</v>
      </c>
      <c r="M168" s="62" t="e">
        <f ca="1">Spaces_Sum!M165</f>
        <v>#N/A</v>
      </c>
      <c r="N168" s="62" t="e">
        <f ca="1">Spaces_Sum!O165</f>
        <v>#N/A</v>
      </c>
      <c r="O168" s="62">
        <f>Spaces_Sum!AK165</f>
        <v>0</v>
      </c>
      <c r="P168" s="537" t="e">
        <f t="shared" ref="P168:P170" ca="1" si="39">IF(L168=0,SUMIFS(OFFSET(INDIRECT(Q$47),Q$48,Q$49,2000),OFFSET(INDIRECT(Q$47),Q$48,Q$50,2000),$B168),0)</f>
        <v>#N/A</v>
      </c>
      <c r="Q168" s="70" t="e">
        <f t="shared" ca="1" si="26"/>
        <v>#REF!</v>
      </c>
      <c r="R168" s="70" t="e">
        <f t="shared" ca="1" si="27"/>
        <v>#REF!</v>
      </c>
      <c r="S168" s="70" t="e">
        <f t="shared" ref="S168:S170" ca="1" si="40">SUM(Q168:R168)</f>
        <v>#REF!</v>
      </c>
      <c r="T168" s="70" t="e">
        <f t="shared" ca="1" si="28"/>
        <v>#REF!</v>
      </c>
      <c r="U168" s="70" t="e">
        <f t="shared" ca="1" si="29"/>
        <v>#REF!</v>
      </c>
      <c r="V168" s="70" t="e">
        <f t="shared" ref="V168:V170" ca="1" si="41">SUM(T168:U168)</f>
        <v>#REF!</v>
      </c>
      <c r="W168" s="70" t="e">
        <f t="shared" ca="1" si="30"/>
        <v>#REF!</v>
      </c>
      <c r="X168" s="70" t="e">
        <f t="shared" ca="1" si="31"/>
        <v>#REF!</v>
      </c>
      <c r="Y168" s="70" t="e">
        <f t="shared" ref="Y168:Y170" ca="1" si="42">SUM(W168:X168)</f>
        <v>#REF!</v>
      </c>
      <c r="Z168" s="70" t="e">
        <f t="shared" ref="Z168:Z170" ca="1" si="43">SUM(S168,V168,Y168)</f>
        <v>#REF!</v>
      </c>
      <c r="AA168" s="70" t="e">
        <f t="shared" ca="1" si="37"/>
        <v>#REF!</v>
      </c>
      <c r="AB168" s="70" t="e">
        <f t="shared" ca="1" si="37"/>
        <v>#REF!</v>
      </c>
      <c r="AC168" s="70"/>
      <c r="AD168" s="70" t="e">
        <f t="shared" ca="1" si="38"/>
        <v>#REF!</v>
      </c>
      <c r="AE168" s="70" t="e">
        <f t="shared" ca="1" si="38"/>
        <v>#REF!</v>
      </c>
      <c r="AJ168" s="62"/>
    </row>
    <row r="169" spans="1:36" ht="12" customHeight="1" x14ac:dyDescent="0.2">
      <c r="A169" s="62">
        <f t="shared" si="32"/>
        <v>111</v>
      </c>
      <c r="B169" s="62">
        <f>Spaces_Sum!C166</f>
        <v>0</v>
      </c>
      <c r="C169" s="62" t="str">
        <f>Spaces_Sum!D166</f>
        <v>0</v>
      </c>
      <c r="D169" s="62" t="e">
        <f>Spaces_Sum!E166</f>
        <v>#VALUE!</v>
      </c>
      <c r="E169" s="62" t="e">
        <f>Spaces_Sum!F166</f>
        <v>#VALUE!</v>
      </c>
      <c r="F169" s="62" t="str">
        <f>Spaces_Sum!G166</f>
        <v>0</v>
      </c>
      <c r="G169" s="62" t="e">
        <f ca="1">Spaces_Sum!H166</f>
        <v>#N/A</v>
      </c>
      <c r="H169" s="62" t="e">
        <f ca="1">Spaces_Sum!I166</f>
        <v>#N/A</v>
      </c>
      <c r="I169" s="62" t="e">
        <f ca="1">Spaces_Sum!K166</f>
        <v>#N/A</v>
      </c>
      <c r="J169" s="62" t="e">
        <f>Spaces_Sum!#REF!</f>
        <v>#REF!</v>
      </c>
      <c r="K169" s="62" t="e">
        <f>Spaces_Sum!#REF!</f>
        <v>#REF!</v>
      </c>
      <c r="L169" s="62" t="e">
        <f ca="1">Spaces_Sum!L166</f>
        <v>#N/A</v>
      </c>
      <c r="M169" s="62" t="e">
        <f ca="1">Spaces_Sum!M166</f>
        <v>#N/A</v>
      </c>
      <c r="N169" s="62" t="e">
        <f ca="1">Spaces_Sum!O166</f>
        <v>#N/A</v>
      </c>
      <c r="O169" s="62">
        <f>Spaces_Sum!AK166</f>
        <v>0</v>
      </c>
      <c r="P169" s="537" t="e">
        <f t="shared" ca="1" si="39"/>
        <v>#N/A</v>
      </c>
      <c r="Q169" s="70" t="e">
        <f t="shared" ca="1" si="26"/>
        <v>#REF!</v>
      </c>
      <c r="R169" s="70" t="e">
        <f t="shared" ca="1" si="27"/>
        <v>#REF!</v>
      </c>
      <c r="S169" s="70" t="e">
        <f t="shared" ca="1" si="40"/>
        <v>#REF!</v>
      </c>
      <c r="T169" s="70" t="e">
        <f t="shared" ca="1" si="28"/>
        <v>#REF!</v>
      </c>
      <c r="U169" s="70" t="e">
        <f t="shared" ca="1" si="29"/>
        <v>#REF!</v>
      </c>
      <c r="V169" s="70" t="e">
        <f t="shared" ca="1" si="41"/>
        <v>#REF!</v>
      </c>
      <c r="W169" s="70" t="e">
        <f t="shared" ca="1" si="30"/>
        <v>#REF!</v>
      </c>
      <c r="X169" s="70" t="e">
        <f t="shared" ca="1" si="31"/>
        <v>#REF!</v>
      </c>
      <c r="Y169" s="70" t="e">
        <f t="shared" ca="1" si="42"/>
        <v>#REF!</v>
      </c>
      <c r="Z169" s="70" t="e">
        <f t="shared" ca="1" si="43"/>
        <v>#REF!</v>
      </c>
      <c r="AA169" s="70" t="e">
        <f t="shared" ca="1" si="37"/>
        <v>#REF!</v>
      </c>
      <c r="AB169" s="70" t="e">
        <f t="shared" ca="1" si="37"/>
        <v>#REF!</v>
      </c>
      <c r="AC169" s="70"/>
      <c r="AD169" s="70" t="e">
        <f t="shared" ca="1" si="38"/>
        <v>#REF!</v>
      </c>
      <c r="AE169" s="70" t="e">
        <f t="shared" ca="1" si="38"/>
        <v>#REF!</v>
      </c>
      <c r="AJ169" s="62"/>
    </row>
    <row r="170" spans="1:36" ht="12" customHeight="1" x14ac:dyDescent="0.2">
      <c r="A170" s="62">
        <f t="shared" si="32"/>
        <v>112</v>
      </c>
      <c r="B170" s="62">
        <f>Spaces_Sum!C167</f>
        <v>0</v>
      </c>
      <c r="C170" s="62" t="str">
        <f>Spaces_Sum!D167</f>
        <v>0</v>
      </c>
      <c r="D170" s="62" t="e">
        <f>Spaces_Sum!E167</f>
        <v>#VALUE!</v>
      </c>
      <c r="E170" s="62" t="e">
        <f>Spaces_Sum!F167</f>
        <v>#VALUE!</v>
      </c>
      <c r="F170" s="62" t="str">
        <f>Spaces_Sum!G167</f>
        <v>0</v>
      </c>
      <c r="G170" s="62" t="e">
        <f ca="1">Spaces_Sum!H167</f>
        <v>#N/A</v>
      </c>
      <c r="H170" s="62" t="e">
        <f ca="1">Spaces_Sum!I167</f>
        <v>#N/A</v>
      </c>
      <c r="I170" s="62" t="e">
        <f ca="1">Spaces_Sum!K167</f>
        <v>#N/A</v>
      </c>
      <c r="J170" s="62" t="e">
        <f>Spaces_Sum!#REF!</f>
        <v>#REF!</v>
      </c>
      <c r="K170" s="62" t="e">
        <f>Spaces_Sum!#REF!</f>
        <v>#REF!</v>
      </c>
      <c r="L170" s="62" t="e">
        <f ca="1">Spaces_Sum!L167</f>
        <v>#N/A</v>
      </c>
      <c r="M170" s="62" t="e">
        <f ca="1">Spaces_Sum!M167</f>
        <v>#N/A</v>
      </c>
      <c r="N170" s="62" t="e">
        <f ca="1">Spaces_Sum!O167</f>
        <v>#N/A</v>
      </c>
      <c r="O170" s="62">
        <f>Spaces_Sum!AK167</f>
        <v>0</v>
      </c>
      <c r="P170" s="537" t="e">
        <f t="shared" ca="1" si="39"/>
        <v>#N/A</v>
      </c>
      <c r="Q170" s="70" t="e">
        <f t="shared" ca="1" si="26"/>
        <v>#REF!</v>
      </c>
      <c r="R170" s="70" t="e">
        <f t="shared" ca="1" si="27"/>
        <v>#REF!</v>
      </c>
      <c r="S170" s="70" t="e">
        <f t="shared" ca="1" si="40"/>
        <v>#REF!</v>
      </c>
      <c r="T170" s="70" t="e">
        <f t="shared" ca="1" si="28"/>
        <v>#REF!</v>
      </c>
      <c r="U170" s="70" t="e">
        <f t="shared" ca="1" si="29"/>
        <v>#REF!</v>
      </c>
      <c r="V170" s="70" t="e">
        <f t="shared" ca="1" si="41"/>
        <v>#REF!</v>
      </c>
      <c r="W170" s="70" t="e">
        <f t="shared" ca="1" si="30"/>
        <v>#REF!</v>
      </c>
      <c r="X170" s="70" t="e">
        <f t="shared" ca="1" si="31"/>
        <v>#REF!</v>
      </c>
      <c r="Y170" s="70" t="e">
        <f t="shared" ca="1" si="42"/>
        <v>#REF!</v>
      </c>
      <c r="Z170" s="70" t="e">
        <f t="shared" ca="1" si="43"/>
        <v>#REF!</v>
      </c>
      <c r="AA170" s="70" t="e">
        <f t="shared" ca="1" si="37"/>
        <v>#REF!</v>
      </c>
      <c r="AB170" s="70" t="e">
        <f t="shared" ca="1" si="37"/>
        <v>#REF!</v>
      </c>
      <c r="AC170" s="70"/>
      <c r="AD170" s="70" t="e">
        <f t="shared" ca="1" si="38"/>
        <v>#REF!</v>
      </c>
      <c r="AE170" s="70" t="e">
        <f t="shared" ca="1" si="38"/>
        <v>#REF!</v>
      </c>
      <c r="AJ170" s="62"/>
    </row>
    <row r="171" spans="1:36" ht="12" customHeight="1" x14ac:dyDescent="0.2">
      <c r="G171" s="62"/>
      <c r="H171" s="62"/>
      <c r="I171" s="62"/>
      <c r="J171" s="62"/>
      <c r="K171" s="62"/>
      <c r="L171" s="62"/>
      <c r="M171" s="62"/>
      <c r="N171" s="62"/>
      <c r="O171" s="62"/>
      <c r="P171" s="537"/>
      <c r="Q171" s="70"/>
      <c r="R171" s="70"/>
      <c r="S171" s="70"/>
      <c r="T171" s="70"/>
      <c r="U171" s="70"/>
      <c r="V171" s="70"/>
      <c r="W171" s="70"/>
      <c r="X171" s="70"/>
      <c r="Y171" s="70"/>
      <c r="Z171" s="70"/>
      <c r="AA171" s="70"/>
      <c r="AB171" s="70"/>
      <c r="AC171" s="70"/>
      <c r="AD171" s="70"/>
      <c r="AE171" s="70"/>
      <c r="AJ171" s="62"/>
    </row>
    <row r="172" spans="1:36" ht="12" customHeight="1" x14ac:dyDescent="0.2">
      <c r="G172" s="62"/>
      <c r="H172" s="62"/>
      <c r="I172" s="62"/>
      <c r="J172" s="62"/>
      <c r="K172" s="62"/>
      <c r="L172" s="62"/>
      <c r="M172" s="62"/>
      <c r="N172" s="62"/>
      <c r="O172" s="62"/>
      <c r="P172" s="537"/>
      <c r="Q172" s="70"/>
      <c r="R172" s="70"/>
      <c r="S172" s="70"/>
      <c r="T172" s="70"/>
      <c r="U172" s="70"/>
      <c r="V172" s="70"/>
      <c r="W172" s="70"/>
      <c r="X172" s="70"/>
      <c r="Y172" s="70"/>
      <c r="Z172" s="70"/>
      <c r="AA172" s="70"/>
      <c r="AB172" s="70"/>
      <c r="AC172" s="70"/>
      <c r="AD172" s="70"/>
      <c r="AE172" s="70"/>
      <c r="AJ172" s="62"/>
    </row>
    <row r="173" spans="1:36" ht="12" customHeight="1" x14ac:dyDescent="0.2">
      <c r="G173" s="62"/>
      <c r="H173" s="62"/>
      <c r="I173" s="62"/>
      <c r="J173" s="62"/>
      <c r="K173" s="62"/>
      <c r="L173" s="62"/>
      <c r="M173" s="62"/>
      <c r="N173" s="62"/>
      <c r="O173" s="62"/>
      <c r="P173" s="537"/>
      <c r="Q173" s="70"/>
      <c r="R173" s="70"/>
      <c r="S173" s="70"/>
      <c r="T173" s="70"/>
      <c r="U173" s="70"/>
      <c r="V173" s="70"/>
      <c r="W173" s="70"/>
      <c r="X173" s="70"/>
      <c r="Y173" s="70"/>
      <c r="Z173" s="70"/>
      <c r="AA173" s="70"/>
      <c r="AB173" s="70"/>
      <c r="AC173" s="70"/>
      <c r="AD173" s="70"/>
      <c r="AE173" s="70"/>
      <c r="AJ173" s="62"/>
    </row>
    <row r="174" spans="1:36" ht="12" customHeight="1" x14ac:dyDescent="0.2">
      <c r="G174" s="62"/>
      <c r="H174" s="62"/>
      <c r="I174" s="62"/>
      <c r="J174" s="62"/>
      <c r="K174" s="62"/>
      <c r="L174" s="62"/>
      <c r="M174" s="62"/>
      <c r="N174" s="62"/>
      <c r="O174" s="62"/>
      <c r="P174" s="537"/>
      <c r="Q174" s="70"/>
      <c r="R174" s="70"/>
      <c r="S174" s="70"/>
      <c r="T174" s="70"/>
      <c r="U174" s="70"/>
      <c r="V174" s="70"/>
      <c r="W174" s="70"/>
      <c r="X174" s="70"/>
      <c r="Y174" s="70"/>
      <c r="Z174" s="70"/>
      <c r="AA174" s="70"/>
      <c r="AB174" s="70"/>
      <c r="AC174" s="70"/>
      <c r="AD174" s="70"/>
      <c r="AE174" s="70"/>
      <c r="AJ174" s="62"/>
    </row>
    <row r="175" spans="1:36" ht="12" customHeight="1" x14ac:dyDescent="0.2">
      <c r="G175" s="62"/>
      <c r="H175" s="62"/>
      <c r="I175" s="62"/>
      <c r="J175" s="62"/>
      <c r="K175" s="62"/>
      <c r="L175" s="62"/>
      <c r="M175" s="62"/>
      <c r="N175" s="62"/>
      <c r="O175" s="62"/>
      <c r="P175" s="537"/>
      <c r="Q175" s="70"/>
      <c r="R175" s="70"/>
      <c r="S175" s="70"/>
      <c r="T175" s="70"/>
      <c r="U175" s="70"/>
      <c r="V175" s="70"/>
      <c r="W175" s="70"/>
      <c r="X175" s="70"/>
      <c r="Y175" s="70"/>
      <c r="Z175" s="70"/>
      <c r="AA175" s="70"/>
      <c r="AB175" s="70"/>
      <c r="AC175" s="70"/>
      <c r="AD175" s="70"/>
      <c r="AE175" s="70"/>
      <c r="AJ175" s="62"/>
    </row>
    <row r="176" spans="1:36" ht="12" customHeight="1" x14ac:dyDescent="0.2">
      <c r="G176" s="62"/>
      <c r="H176" s="62"/>
      <c r="I176" s="62"/>
      <c r="J176" s="62"/>
      <c r="K176" s="62"/>
      <c r="L176" s="62"/>
      <c r="M176" s="62"/>
      <c r="N176" s="62"/>
      <c r="O176" s="62"/>
      <c r="P176" s="537"/>
      <c r="Q176" s="70"/>
      <c r="R176" s="70"/>
      <c r="S176" s="70"/>
      <c r="T176" s="70"/>
      <c r="U176" s="70"/>
      <c r="V176" s="70"/>
      <c r="W176" s="70"/>
      <c r="X176" s="70"/>
      <c r="Y176" s="70"/>
      <c r="Z176" s="70"/>
      <c r="AA176" s="70"/>
      <c r="AB176" s="70"/>
      <c r="AC176" s="70"/>
      <c r="AD176" s="70"/>
      <c r="AE176" s="70"/>
      <c r="AJ176" s="62"/>
    </row>
    <row r="177" spans="7:36" ht="12" customHeight="1" x14ac:dyDescent="0.2">
      <c r="G177" s="62"/>
      <c r="H177" s="62"/>
      <c r="I177" s="62"/>
      <c r="J177" s="62"/>
      <c r="K177" s="62"/>
      <c r="L177" s="62"/>
      <c r="M177" s="62"/>
      <c r="N177" s="62"/>
      <c r="O177" s="62"/>
      <c r="P177" s="537"/>
      <c r="Q177" s="70"/>
      <c r="R177" s="70"/>
      <c r="S177" s="70"/>
      <c r="T177" s="70"/>
      <c r="U177" s="70"/>
      <c r="V177" s="70"/>
      <c r="W177" s="70"/>
      <c r="X177" s="70"/>
      <c r="Y177" s="70"/>
      <c r="Z177" s="70"/>
      <c r="AA177" s="70"/>
      <c r="AB177" s="70"/>
      <c r="AC177" s="70"/>
      <c r="AD177" s="70"/>
      <c r="AE177" s="70"/>
      <c r="AJ177" s="62"/>
    </row>
    <row r="178" spans="7:36" ht="12" customHeight="1" x14ac:dyDescent="0.2">
      <c r="G178" s="62"/>
      <c r="H178" s="62"/>
      <c r="I178" s="62"/>
      <c r="J178" s="62"/>
      <c r="K178" s="62"/>
      <c r="L178" s="62"/>
      <c r="M178" s="62"/>
      <c r="N178" s="62"/>
      <c r="O178" s="62"/>
      <c r="P178" s="537"/>
      <c r="Q178" s="70"/>
      <c r="R178" s="70"/>
      <c r="S178" s="70"/>
      <c r="T178" s="70"/>
      <c r="U178" s="70"/>
      <c r="V178" s="70"/>
      <c r="W178" s="70"/>
      <c r="X178" s="70"/>
      <c r="Y178" s="70"/>
      <c r="Z178" s="70"/>
      <c r="AA178" s="70"/>
      <c r="AB178" s="70"/>
      <c r="AC178" s="70"/>
      <c r="AD178" s="70"/>
      <c r="AE178" s="70"/>
      <c r="AJ178" s="62"/>
    </row>
    <row r="179" spans="7:36" ht="12" customHeight="1" x14ac:dyDescent="0.2">
      <c r="G179" s="62"/>
      <c r="H179" s="62"/>
      <c r="I179" s="62"/>
      <c r="J179" s="62"/>
      <c r="K179" s="62"/>
      <c r="L179" s="62"/>
      <c r="M179" s="62"/>
      <c r="N179" s="62"/>
      <c r="O179" s="62"/>
      <c r="P179" s="62"/>
      <c r="Q179" s="70"/>
      <c r="R179" s="70"/>
      <c r="S179" s="70"/>
      <c r="T179" s="70"/>
      <c r="U179" s="70"/>
      <c r="V179" s="70"/>
      <c r="W179" s="70"/>
      <c r="X179" s="70"/>
      <c r="Y179" s="70"/>
      <c r="Z179" s="70"/>
      <c r="AA179" s="70"/>
      <c r="AB179" s="70"/>
      <c r="AC179" s="70"/>
      <c r="AD179" s="70"/>
      <c r="AE179" s="70"/>
      <c r="AJ179" s="62"/>
    </row>
    <row r="180" spans="7:36" ht="12" customHeight="1" x14ac:dyDescent="0.2">
      <c r="G180" s="62"/>
      <c r="H180" s="62"/>
      <c r="I180" s="62"/>
      <c r="J180" s="62"/>
      <c r="K180" s="62"/>
      <c r="L180" s="62"/>
      <c r="M180" s="62"/>
      <c r="N180" s="62"/>
      <c r="O180" s="62"/>
      <c r="P180" s="62"/>
      <c r="Q180" s="70"/>
      <c r="R180" s="70"/>
      <c r="S180" s="70"/>
      <c r="T180" s="70"/>
      <c r="U180" s="70"/>
      <c r="V180" s="70"/>
      <c r="W180" s="70"/>
      <c r="X180" s="70"/>
      <c r="Y180" s="70"/>
      <c r="Z180" s="70"/>
      <c r="AA180" s="70"/>
      <c r="AB180" s="70"/>
      <c r="AC180" s="70"/>
      <c r="AD180" s="70"/>
      <c r="AE180" s="70"/>
      <c r="AJ180" s="62"/>
    </row>
    <row r="181" spans="7:36" ht="12" customHeight="1" x14ac:dyDescent="0.2">
      <c r="G181" s="62"/>
      <c r="H181" s="62"/>
      <c r="I181" s="62"/>
      <c r="J181" s="62"/>
      <c r="K181" s="62"/>
      <c r="L181" s="62"/>
      <c r="M181" s="62"/>
      <c r="N181" s="62"/>
      <c r="O181" s="62"/>
      <c r="P181" s="62"/>
      <c r="Q181" s="70"/>
      <c r="R181" s="70"/>
      <c r="S181" s="70"/>
      <c r="T181" s="70"/>
      <c r="U181" s="70"/>
      <c r="V181" s="70"/>
      <c r="W181" s="70"/>
      <c r="X181" s="70"/>
      <c r="Y181" s="70"/>
      <c r="Z181" s="70"/>
      <c r="AA181" s="70"/>
      <c r="AB181" s="70"/>
      <c r="AC181" s="70"/>
      <c r="AD181" s="70"/>
      <c r="AE181" s="70"/>
      <c r="AJ181" s="62"/>
    </row>
    <row r="182" spans="7:36" ht="12" customHeight="1" x14ac:dyDescent="0.2">
      <c r="G182" s="62"/>
      <c r="H182" s="62"/>
      <c r="I182" s="62"/>
      <c r="J182" s="62"/>
      <c r="K182" s="62"/>
      <c r="L182" s="62"/>
      <c r="M182" s="62"/>
      <c r="N182" s="62"/>
      <c r="O182" s="62"/>
      <c r="P182" s="62"/>
      <c r="Q182" s="70"/>
      <c r="R182" s="70"/>
      <c r="S182" s="70"/>
      <c r="T182" s="70"/>
      <c r="U182" s="70"/>
      <c r="V182" s="70"/>
      <c r="W182" s="70"/>
      <c r="X182" s="70"/>
      <c r="Y182" s="70"/>
      <c r="Z182" s="70"/>
      <c r="AA182" s="70"/>
      <c r="AB182" s="70"/>
      <c r="AC182" s="70"/>
      <c r="AD182" s="70"/>
      <c r="AE182" s="70"/>
      <c r="AJ182" s="62"/>
    </row>
    <row r="183" spans="7:36" ht="12" customHeight="1" x14ac:dyDescent="0.2">
      <c r="G183" s="62"/>
      <c r="H183" s="62"/>
      <c r="I183" s="62"/>
      <c r="J183" s="62"/>
      <c r="K183" s="62"/>
      <c r="L183" s="62"/>
      <c r="M183" s="62"/>
      <c r="N183" s="62"/>
      <c r="O183" s="62"/>
      <c r="P183" s="62"/>
      <c r="Q183" s="70"/>
      <c r="R183" s="70"/>
      <c r="S183" s="70"/>
      <c r="T183" s="70"/>
      <c r="U183" s="70"/>
      <c r="V183" s="70"/>
      <c r="W183" s="70"/>
      <c r="X183" s="70"/>
      <c r="Y183" s="70"/>
      <c r="Z183" s="70"/>
      <c r="AA183" s="70"/>
      <c r="AB183" s="70"/>
      <c r="AC183" s="70"/>
      <c r="AD183" s="70"/>
      <c r="AE183" s="70"/>
      <c r="AJ183" s="62"/>
    </row>
    <row r="184" spans="7:36" ht="12" customHeight="1" x14ac:dyDescent="0.2">
      <c r="G184" s="62"/>
      <c r="H184" s="62"/>
      <c r="I184" s="62"/>
      <c r="J184" s="62"/>
      <c r="K184" s="62"/>
      <c r="L184" s="62"/>
      <c r="M184" s="62"/>
      <c r="N184" s="62"/>
      <c r="O184" s="62"/>
      <c r="P184" s="62"/>
      <c r="Q184" s="70"/>
      <c r="R184" s="70"/>
      <c r="S184" s="70"/>
      <c r="T184" s="70"/>
      <c r="U184" s="70"/>
      <c r="V184" s="70"/>
      <c r="W184" s="70"/>
      <c r="X184" s="70"/>
      <c r="Y184" s="70"/>
      <c r="Z184" s="70"/>
      <c r="AA184" s="70"/>
      <c r="AB184" s="70"/>
      <c r="AC184" s="70"/>
      <c r="AD184" s="70"/>
      <c r="AE184" s="70"/>
      <c r="AJ184" s="62"/>
    </row>
    <row r="185" spans="7:36" ht="12" customHeight="1" x14ac:dyDescent="0.2">
      <c r="G185" s="62"/>
      <c r="H185" s="62"/>
      <c r="I185" s="62"/>
      <c r="J185" s="62"/>
      <c r="K185" s="62"/>
      <c r="L185" s="62"/>
      <c r="M185" s="62"/>
      <c r="N185" s="62"/>
      <c r="O185" s="62"/>
      <c r="P185" s="62"/>
      <c r="Q185" s="70"/>
      <c r="R185" s="70"/>
      <c r="S185" s="70"/>
      <c r="T185" s="70"/>
      <c r="U185" s="70"/>
      <c r="V185" s="70"/>
      <c r="W185" s="70"/>
      <c r="X185" s="70"/>
      <c r="Y185" s="70"/>
      <c r="Z185" s="70"/>
      <c r="AA185" s="70"/>
      <c r="AB185" s="70"/>
      <c r="AC185" s="70"/>
      <c r="AD185" s="70"/>
      <c r="AE185" s="70"/>
      <c r="AJ185" s="62"/>
    </row>
    <row r="186" spans="7:36" ht="12" customHeight="1" x14ac:dyDescent="0.2">
      <c r="G186" s="62"/>
      <c r="H186" s="62"/>
      <c r="I186" s="62"/>
      <c r="J186" s="62"/>
      <c r="K186" s="62"/>
      <c r="L186" s="62"/>
      <c r="M186" s="62"/>
      <c r="N186" s="62"/>
      <c r="O186" s="62"/>
      <c r="P186" s="62"/>
      <c r="Q186" s="70"/>
      <c r="R186" s="70"/>
      <c r="S186" s="70"/>
      <c r="T186" s="70"/>
      <c r="U186" s="70"/>
      <c r="V186" s="70"/>
      <c r="W186" s="70"/>
      <c r="X186" s="70"/>
      <c r="Y186" s="70"/>
      <c r="Z186" s="70"/>
      <c r="AA186" s="70"/>
      <c r="AB186" s="70"/>
      <c r="AC186" s="70"/>
      <c r="AD186" s="70"/>
      <c r="AE186" s="70"/>
      <c r="AJ186" s="62"/>
    </row>
    <row r="187" spans="7:36" ht="12" customHeight="1" x14ac:dyDescent="0.2">
      <c r="G187" s="62"/>
      <c r="H187" s="62"/>
      <c r="I187" s="62"/>
      <c r="J187" s="62"/>
      <c r="K187" s="62"/>
      <c r="L187" s="62"/>
      <c r="M187" s="62"/>
      <c r="N187" s="62"/>
      <c r="O187" s="62"/>
      <c r="P187" s="62"/>
      <c r="Q187" s="70"/>
      <c r="R187" s="70"/>
      <c r="S187" s="70"/>
      <c r="T187" s="70"/>
      <c r="U187" s="70"/>
      <c r="V187" s="70"/>
      <c r="W187" s="70"/>
      <c r="X187" s="70"/>
      <c r="Y187" s="70"/>
      <c r="Z187" s="70"/>
      <c r="AA187" s="70"/>
      <c r="AB187" s="70"/>
      <c r="AC187" s="70"/>
      <c r="AD187" s="70"/>
      <c r="AE187" s="70"/>
      <c r="AJ187" s="62"/>
    </row>
    <row r="188" spans="7:36" ht="12" customHeight="1" x14ac:dyDescent="0.2">
      <c r="G188" s="62"/>
      <c r="H188" s="62"/>
      <c r="I188" s="62"/>
      <c r="J188" s="62"/>
      <c r="K188" s="62"/>
      <c r="L188" s="62"/>
      <c r="M188" s="62"/>
      <c r="N188" s="62"/>
      <c r="O188" s="62"/>
      <c r="P188" s="62"/>
      <c r="Q188" s="70"/>
      <c r="R188" s="70"/>
      <c r="S188" s="70"/>
      <c r="T188" s="70"/>
      <c r="U188" s="70"/>
      <c r="V188" s="70"/>
      <c r="W188" s="70"/>
      <c r="X188" s="70"/>
      <c r="Y188" s="70"/>
      <c r="Z188" s="70"/>
      <c r="AA188" s="70"/>
      <c r="AB188" s="70"/>
      <c r="AC188" s="70"/>
      <c r="AD188" s="70"/>
      <c r="AE188" s="70"/>
      <c r="AJ188" s="62"/>
    </row>
    <row r="189" spans="7:36" ht="12" customHeight="1" x14ac:dyDescent="0.2">
      <c r="G189" s="62"/>
      <c r="H189" s="62"/>
      <c r="I189" s="62"/>
      <c r="J189" s="62"/>
      <c r="K189" s="62"/>
      <c r="L189" s="62"/>
      <c r="M189" s="62"/>
      <c r="N189" s="62"/>
      <c r="O189" s="62"/>
      <c r="P189" s="62"/>
      <c r="Q189" s="70"/>
      <c r="R189" s="70"/>
      <c r="S189" s="70"/>
      <c r="T189" s="70"/>
      <c r="U189" s="70"/>
      <c r="V189" s="70"/>
      <c r="W189" s="70"/>
      <c r="X189" s="70"/>
      <c r="Y189" s="70"/>
      <c r="Z189" s="70"/>
      <c r="AA189" s="70"/>
      <c r="AB189" s="70"/>
      <c r="AC189" s="70"/>
      <c r="AD189" s="70"/>
      <c r="AE189" s="70"/>
      <c r="AJ189" s="62"/>
    </row>
    <row r="190" spans="7:36" ht="12" customHeight="1" x14ac:dyDescent="0.2">
      <c r="G190" s="62"/>
      <c r="H190" s="62"/>
      <c r="I190" s="62"/>
      <c r="J190" s="62"/>
      <c r="K190" s="62"/>
      <c r="L190" s="62"/>
      <c r="M190" s="62"/>
      <c r="N190" s="62"/>
      <c r="O190" s="62"/>
      <c r="P190" s="62"/>
      <c r="Q190" s="70"/>
      <c r="R190" s="70"/>
      <c r="S190" s="70"/>
      <c r="T190" s="70"/>
      <c r="U190" s="70"/>
      <c r="V190" s="70"/>
      <c r="W190" s="70"/>
      <c r="X190" s="70"/>
      <c r="Y190" s="70"/>
      <c r="Z190" s="70"/>
      <c r="AA190" s="70"/>
      <c r="AB190" s="70"/>
      <c r="AC190" s="70"/>
      <c r="AD190" s="70"/>
      <c r="AE190" s="70"/>
      <c r="AJ190" s="62"/>
    </row>
    <row r="191" spans="7:36" ht="12" customHeight="1" x14ac:dyDescent="0.2">
      <c r="G191" s="62"/>
      <c r="H191" s="62"/>
      <c r="I191" s="62"/>
      <c r="J191" s="62"/>
      <c r="K191" s="62"/>
      <c r="L191" s="62"/>
      <c r="M191" s="62"/>
      <c r="N191" s="62"/>
      <c r="O191" s="62"/>
      <c r="P191" s="62"/>
      <c r="Q191" s="70"/>
      <c r="R191" s="70"/>
      <c r="S191" s="70"/>
      <c r="T191" s="70"/>
      <c r="U191" s="70"/>
      <c r="V191" s="70"/>
      <c r="W191" s="70"/>
      <c r="X191" s="70"/>
      <c r="Y191" s="70"/>
      <c r="Z191" s="70"/>
      <c r="AA191" s="70"/>
      <c r="AB191" s="70"/>
      <c r="AC191" s="70"/>
      <c r="AD191" s="70"/>
      <c r="AE191" s="70"/>
      <c r="AJ191" s="62"/>
    </row>
    <row r="192" spans="7:36" ht="12" customHeight="1" x14ac:dyDescent="0.2">
      <c r="G192" s="62"/>
      <c r="H192" s="62"/>
      <c r="I192" s="62"/>
      <c r="J192" s="62"/>
      <c r="K192" s="62"/>
      <c r="L192" s="62"/>
      <c r="M192" s="62"/>
      <c r="N192" s="62"/>
      <c r="O192" s="62"/>
      <c r="P192" s="62"/>
      <c r="Q192" s="70"/>
      <c r="R192" s="70"/>
      <c r="S192" s="70"/>
      <c r="T192" s="70"/>
      <c r="U192" s="70"/>
      <c r="V192" s="70"/>
      <c r="W192" s="70"/>
      <c r="X192" s="70"/>
      <c r="Y192" s="70"/>
      <c r="Z192" s="70"/>
      <c r="AA192" s="70"/>
      <c r="AB192" s="70"/>
      <c r="AC192" s="70"/>
      <c r="AD192" s="70"/>
      <c r="AE192" s="70"/>
      <c r="AJ192" s="62"/>
    </row>
    <row r="193" spans="7:36" ht="12" customHeight="1" x14ac:dyDescent="0.2">
      <c r="G193" s="62"/>
      <c r="H193" s="62"/>
      <c r="I193" s="62"/>
      <c r="J193" s="62"/>
      <c r="K193" s="62"/>
      <c r="L193" s="62"/>
      <c r="M193" s="62"/>
      <c r="N193" s="62"/>
      <c r="O193" s="62"/>
      <c r="P193" s="62"/>
      <c r="Q193" s="70"/>
      <c r="R193" s="70"/>
      <c r="S193" s="70"/>
      <c r="T193" s="70"/>
      <c r="U193" s="70"/>
      <c r="V193" s="70"/>
      <c r="W193" s="70"/>
      <c r="X193" s="70"/>
      <c r="Y193" s="70"/>
      <c r="Z193" s="70"/>
      <c r="AA193" s="70"/>
      <c r="AB193" s="70"/>
      <c r="AC193" s="70"/>
      <c r="AD193" s="70"/>
      <c r="AE193" s="70"/>
      <c r="AJ193" s="62"/>
    </row>
    <row r="194" spans="7:36" ht="12" customHeight="1" x14ac:dyDescent="0.2">
      <c r="G194" s="62"/>
      <c r="H194" s="62"/>
      <c r="I194" s="62"/>
      <c r="J194" s="62"/>
      <c r="K194" s="62"/>
      <c r="L194" s="62"/>
      <c r="M194" s="62"/>
      <c r="N194" s="62"/>
      <c r="O194" s="62"/>
      <c r="P194" s="62"/>
      <c r="Q194" s="70"/>
      <c r="R194" s="70"/>
      <c r="S194" s="70"/>
      <c r="T194" s="70"/>
      <c r="U194" s="70"/>
      <c r="V194" s="70"/>
      <c r="W194" s="70"/>
      <c r="X194" s="70"/>
      <c r="Y194" s="70"/>
      <c r="Z194" s="70"/>
      <c r="AA194" s="70"/>
      <c r="AB194" s="70"/>
      <c r="AC194" s="70"/>
      <c r="AD194" s="70"/>
      <c r="AE194" s="70"/>
      <c r="AJ194" s="62"/>
    </row>
    <row r="195" spans="7:36" ht="12" customHeight="1" x14ac:dyDescent="0.2">
      <c r="G195" s="62"/>
      <c r="H195" s="62"/>
      <c r="I195" s="62"/>
      <c r="J195" s="62"/>
      <c r="K195" s="62"/>
      <c r="L195" s="62"/>
      <c r="M195" s="62"/>
      <c r="N195" s="62"/>
      <c r="O195" s="62"/>
      <c r="P195" s="62"/>
      <c r="Q195" s="70"/>
      <c r="R195" s="70"/>
      <c r="S195" s="70"/>
      <c r="T195" s="70"/>
      <c r="U195" s="70"/>
      <c r="V195" s="70"/>
      <c r="W195" s="70"/>
      <c r="X195" s="70"/>
      <c r="Y195" s="70"/>
      <c r="Z195" s="70"/>
      <c r="AA195" s="70"/>
      <c r="AB195" s="70"/>
      <c r="AC195" s="70"/>
      <c r="AD195" s="70"/>
      <c r="AE195" s="70"/>
      <c r="AJ195" s="62"/>
    </row>
    <row r="196" spans="7:36" ht="12" customHeight="1" x14ac:dyDescent="0.2">
      <c r="G196" s="62"/>
      <c r="H196" s="62"/>
      <c r="I196" s="62"/>
      <c r="J196" s="62"/>
      <c r="K196" s="62"/>
      <c r="L196" s="62"/>
      <c r="M196" s="62"/>
      <c r="N196" s="62"/>
      <c r="O196" s="62"/>
      <c r="P196" s="62"/>
      <c r="Q196" s="70"/>
      <c r="R196" s="70"/>
      <c r="S196" s="70"/>
      <c r="T196" s="70"/>
      <c r="U196" s="70"/>
      <c r="V196" s="70"/>
      <c r="W196" s="70"/>
      <c r="X196" s="70"/>
      <c r="Y196" s="70"/>
      <c r="Z196" s="70"/>
      <c r="AA196" s="70"/>
      <c r="AB196" s="70"/>
      <c r="AC196" s="70"/>
      <c r="AD196" s="70"/>
      <c r="AE196" s="70"/>
      <c r="AJ196" s="62"/>
    </row>
    <row r="197" spans="7:36" ht="12" customHeight="1" x14ac:dyDescent="0.2">
      <c r="G197" s="62"/>
      <c r="H197" s="62"/>
      <c r="I197" s="62"/>
      <c r="J197" s="62"/>
      <c r="K197" s="62"/>
      <c r="L197" s="62"/>
      <c r="M197" s="62"/>
      <c r="N197" s="62"/>
      <c r="O197" s="62"/>
      <c r="P197" s="62"/>
      <c r="Q197" s="70"/>
      <c r="R197" s="70"/>
      <c r="S197" s="70"/>
      <c r="T197" s="70"/>
      <c r="U197" s="70"/>
      <c r="V197" s="70"/>
      <c r="W197" s="70"/>
      <c r="X197" s="70"/>
      <c r="Y197" s="70"/>
      <c r="Z197" s="70"/>
      <c r="AA197" s="70"/>
      <c r="AB197" s="70"/>
      <c r="AC197" s="70"/>
      <c r="AD197" s="70"/>
      <c r="AE197" s="70"/>
      <c r="AJ197" s="62"/>
    </row>
    <row r="198" spans="7:36" ht="12" customHeight="1" x14ac:dyDescent="0.2">
      <c r="G198" s="62"/>
      <c r="H198" s="62"/>
      <c r="I198" s="62"/>
      <c r="J198" s="62"/>
      <c r="K198" s="62"/>
      <c r="L198" s="62"/>
      <c r="M198" s="62"/>
      <c r="N198" s="62"/>
      <c r="O198" s="62"/>
      <c r="P198" s="62"/>
      <c r="Q198" s="70"/>
      <c r="R198" s="70"/>
      <c r="S198" s="70"/>
      <c r="T198" s="70"/>
      <c r="U198" s="70"/>
      <c r="V198" s="70"/>
      <c r="W198" s="70"/>
      <c r="X198" s="70"/>
      <c r="Y198" s="70"/>
      <c r="Z198" s="70"/>
      <c r="AA198" s="70"/>
      <c r="AB198" s="70"/>
      <c r="AC198" s="70"/>
      <c r="AD198" s="70"/>
      <c r="AE198" s="70"/>
      <c r="AJ198" s="62"/>
    </row>
    <row r="199" spans="7:36" ht="12" customHeight="1" x14ac:dyDescent="0.2">
      <c r="G199" s="62"/>
      <c r="H199" s="62"/>
      <c r="I199" s="62"/>
      <c r="J199" s="62"/>
      <c r="K199" s="62"/>
      <c r="L199" s="62"/>
      <c r="M199" s="62"/>
      <c r="N199" s="62"/>
      <c r="O199" s="62"/>
      <c r="P199" s="62"/>
      <c r="Q199" s="70"/>
      <c r="R199" s="70"/>
      <c r="S199" s="70"/>
      <c r="T199" s="70"/>
      <c r="U199" s="70"/>
      <c r="V199" s="70"/>
      <c r="W199" s="70"/>
      <c r="X199" s="70"/>
      <c r="Y199" s="70"/>
      <c r="Z199" s="70"/>
      <c r="AA199" s="70"/>
      <c r="AB199" s="70"/>
      <c r="AC199" s="70"/>
      <c r="AD199" s="70"/>
      <c r="AE199" s="70"/>
      <c r="AJ199" s="62"/>
    </row>
    <row r="200" spans="7:36" ht="12" customHeight="1" x14ac:dyDescent="0.2">
      <c r="G200" s="62"/>
      <c r="H200" s="62"/>
      <c r="I200" s="62"/>
      <c r="J200" s="62"/>
      <c r="K200" s="62"/>
      <c r="L200" s="62"/>
      <c r="M200" s="62"/>
      <c r="N200" s="62"/>
      <c r="O200" s="62"/>
      <c r="P200" s="62"/>
      <c r="Q200" s="70"/>
      <c r="R200" s="70"/>
      <c r="S200" s="70"/>
      <c r="T200" s="70"/>
      <c r="U200" s="70"/>
      <c r="V200" s="70"/>
      <c r="W200" s="70"/>
      <c r="X200" s="70"/>
      <c r="Y200" s="70"/>
      <c r="Z200" s="70"/>
      <c r="AA200" s="70"/>
      <c r="AB200" s="70"/>
      <c r="AC200" s="70"/>
      <c r="AD200" s="70"/>
      <c r="AE200" s="70"/>
      <c r="AJ200" s="62"/>
    </row>
    <row r="201" spans="7:36" ht="12" customHeight="1" x14ac:dyDescent="0.2">
      <c r="G201" s="62"/>
      <c r="H201" s="62"/>
      <c r="I201" s="62"/>
      <c r="J201" s="62"/>
      <c r="K201" s="62"/>
      <c r="L201" s="62"/>
      <c r="M201" s="62"/>
      <c r="N201" s="62"/>
      <c r="O201" s="62"/>
      <c r="P201" s="62"/>
      <c r="Q201" s="70"/>
      <c r="R201" s="70"/>
      <c r="S201" s="70"/>
      <c r="T201" s="70"/>
      <c r="U201" s="70"/>
      <c r="V201" s="70"/>
      <c r="W201" s="70"/>
      <c r="X201" s="70"/>
      <c r="Y201" s="70"/>
      <c r="Z201" s="70"/>
      <c r="AA201" s="70"/>
      <c r="AB201" s="70"/>
      <c r="AC201" s="70"/>
      <c r="AD201" s="70"/>
      <c r="AE201" s="70"/>
      <c r="AJ201" s="62"/>
    </row>
    <row r="202" spans="7:36" ht="12" customHeight="1" x14ac:dyDescent="0.2">
      <c r="G202" s="62"/>
      <c r="H202" s="62"/>
      <c r="I202" s="62"/>
      <c r="J202" s="62"/>
      <c r="K202" s="62"/>
      <c r="L202" s="62"/>
      <c r="M202" s="62"/>
      <c r="N202" s="62"/>
      <c r="O202" s="62"/>
      <c r="P202" s="62"/>
      <c r="Q202" s="70"/>
      <c r="R202" s="70"/>
      <c r="S202" s="70"/>
      <c r="T202" s="70"/>
      <c r="U202" s="70"/>
      <c r="V202" s="70"/>
      <c r="W202" s="70"/>
      <c r="X202" s="70"/>
      <c r="Y202" s="70"/>
      <c r="Z202" s="70"/>
      <c r="AA202" s="70"/>
      <c r="AB202" s="70"/>
      <c r="AC202" s="70"/>
      <c r="AD202" s="70"/>
      <c r="AE202" s="70"/>
      <c r="AJ202" s="62"/>
    </row>
    <row r="203" spans="7:36" ht="12" customHeight="1" x14ac:dyDescent="0.2">
      <c r="G203" s="62"/>
      <c r="H203" s="62"/>
      <c r="I203" s="62"/>
      <c r="J203" s="62"/>
      <c r="K203" s="62"/>
      <c r="L203" s="62"/>
      <c r="M203" s="62"/>
      <c r="N203" s="62"/>
      <c r="O203" s="62"/>
      <c r="P203" s="62"/>
      <c r="Q203" s="70"/>
      <c r="R203" s="70"/>
      <c r="S203" s="70"/>
      <c r="T203" s="70"/>
      <c r="U203" s="70"/>
      <c r="V203" s="70"/>
      <c r="W203" s="70"/>
      <c r="X203" s="70"/>
      <c r="Y203" s="70"/>
      <c r="Z203" s="70"/>
      <c r="AA203" s="70"/>
      <c r="AB203" s="70"/>
      <c r="AC203" s="70"/>
      <c r="AD203" s="70"/>
      <c r="AE203" s="70"/>
      <c r="AJ203" s="62"/>
    </row>
    <row r="204" spans="7:36" ht="12" customHeight="1" x14ac:dyDescent="0.2">
      <c r="G204" s="62"/>
      <c r="H204" s="62"/>
      <c r="I204" s="62"/>
      <c r="J204" s="62"/>
      <c r="K204" s="62"/>
      <c r="L204" s="62"/>
      <c r="M204" s="62"/>
      <c r="N204" s="62"/>
      <c r="O204" s="62"/>
      <c r="P204" s="62"/>
      <c r="Q204" s="70"/>
      <c r="R204" s="70"/>
      <c r="S204" s="70"/>
      <c r="T204" s="70"/>
      <c r="U204" s="70"/>
      <c r="V204" s="70"/>
      <c r="W204" s="70"/>
      <c r="X204" s="70"/>
      <c r="Y204" s="70"/>
      <c r="Z204" s="70"/>
      <c r="AA204" s="70"/>
      <c r="AB204" s="70"/>
      <c r="AC204" s="70"/>
      <c r="AD204" s="70"/>
      <c r="AE204" s="70"/>
      <c r="AJ204" s="62"/>
    </row>
    <row r="205" spans="7:36" ht="12" customHeight="1" x14ac:dyDescent="0.2">
      <c r="G205" s="62"/>
      <c r="H205" s="62"/>
      <c r="I205" s="62"/>
      <c r="J205" s="62"/>
      <c r="K205" s="62"/>
      <c r="L205" s="62"/>
      <c r="M205" s="62"/>
      <c r="N205" s="62"/>
      <c r="O205" s="62"/>
      <c r="P205" s="62"/>
      <c r="Q205" s="70"/>
      <c r="R205" s="70"/>
      <c r="S205" s="70"/>
      <c r="T205" s="70"/>
      <c r="U205" s="70"/>
      <c r="V205" s="70"/>
      <c r="W205" s="70"/>
      <c r="X205" s="70"/>
      <c r="Y205" s="70"/>
      <c r="Z205" s="70"/>
      <c r="AA205" s="70"/>
      <c r="AB205" s="70"/>
      <c r="AC205" s="70"/>
      <c r="AD205" s="70"/>
      <c r="AE205" s="70"/>
      <c r="AJ205" s="62"/>
    </row>
    <row r="206" spans="7:36" ht="12" customHeight="1" x14ac:dyDescent="0.2">
      <c r="G206" s="62"/>
      <c r="H206" s="62"/>
      <c r="I206" s="62"/>
      <c r="J206" s="62"/>
      <c r="K206" s="62"/>
      <c r="L206" s="62"/>
      <c r="M206" s="62"/>
      <c r="N206" s="62"/>
      <c r="O206" s="62"/>
      <c r="P206" s="62"/>
      <c r="Q206" s="70"/>
      <c r="R206" s="70"/>
      <c r="S206" s="70"/>
      <c r="T206" s="70"/>
      <c r="U206" s="70"/>
      <c r="V206" s="70"/>
      <c r="W206" s="70"/>
      <c r="X206" s="70"/>
      <c r="Y206" s="70"/>
      <c r="Z206" s="70"/>
      <c r="AA206" s="70"/>
      <c r="AB206" s="70"/>
      <c r="AC206" s="70"/>
      <c r="AD206" s="70"/>
      <c r="AE206" s="70"/>
      <c r="AJ206" s="62"/>
    </row>
    <row r="207" spans="7:36" ht="12" customHeight="1" x14ac:dyDescent="0.2">
      <c r="G207" s="62"/>
      <c r="H207" s="62"/>
      <c r="I207" s="62"/>
      <c r="J207" s="62"/>
      <c r="K207" s="62"/>
      <c r="L207" s="62"/>
      <c r="M207" s="62"/>
      <c r="N207" s="62"/>
      <c r="O207" s="62"/>
      <c r="P207" s="62"/>
      <c r="Q207" s="70"/>
      <c r="R207" s="70"/>
      <c r="S207" s="70"/>
      <c r="T207" s="70"/>
      <c r="U207" s="70"/>
      <c r="V207" s="70"/>
      <c r="W207" s="70"/>
      <c r="X207" s="70"/>
      <c r="Y207" s="70"/>
      <c r="Z207" s="70"/>
      <c r="AA207" s="70"/>
      <c r="AB207" s="70"/>
      <c r="AC207" s="70"/>
      <c r="AD207" s="70"/>
      <c r="AE207" s="70"/>
      <c r="AJ207" s="62"/>
    </row>
    <row r="208" spans="7:36" ht="12" customHeight="1" x14ac:dyDescent="0.2">
      <c r="G208" s="62"/>
      <c r="H208" s="62"/>
      <c r="I208" s="62"/>
      <c r="J208" s="62"/>
      <c r="K208" s="62"/>
      <c r="L208" s="62"/>
      <c r="M208" s="62"/>
      <c r="N208" s="62"/>
      <c r="O208" s="62"/>
      <c r="P208" s="62"/>
      <c r="Q208" s="70"/>
      <c r="R208" s="70"/>
      <c r="S208" s="70"/>
      <c r="T208" s="70"/>
      <c r="U208" s="70"/>
      <c r="V208" s="70"/>
      <c r="W208" s="70"/>
      <c r="X208" s="70"/>
      <c r="Y208" s="70"/>
      <c r="Z208" s="70"/>
      <c r="AA208" s="70"/>
      <c r="AB208" s="70"/>
      <c r="AC208" s="70"/>
      <c r="AD208" s="70"/>
      <c r="AE208" s="70"/>
      <c r="AJ208" s="62"/>
    </row>
    <row r="209" spans="7:36" ht="12" customHeight="1" x14ac:dyDescent="0.2">
      <c r="G209" s="62"/>
      <c r="H209" s="62"/>
      <c r="I209" s="62"/>
      <c r="J209" s="62"/>
      <c r="K209" s="62"/>
      <c r="L209" s="62"/>
      <c r="M209" s="62"/>
      <c r="N209" s="62"/>
      <c r="O209" s="62"/>
      <c r="P209" s="62"/>
      <c r="Q209" s="70"/>
      <c r="R209" s="70"/>
      <c r="S209" s="70"/>
      <c r="T209" s="70"/>
      <c r="U209" s="70"/>
      <c r="V209" s="70"/>
      <c r="W209" s="70"/>
      <c r="X209" s="70"/>
      <c r="Y209" s="70"/>
      <c r="Z209" s="70"/>
      <c r="AA209" s="70"/>
      <c r="AB209" s="70"/>
      <c r="AC209" s="70"/>
      <c r="AD209" s="70"/>
      <c r="AE209" s="70"/>
      <c r="AJ209" s="62"/>
    </row>
    <row r="210" spans="7:36" ht="12" customHeight="1" x14ac:dyDescent="0.2">
      <c r="G210" s="62"/>
      <c r="H210" s="62"/>
      <c r="I210" s="62"/>
      <c r="J210" s="62"/>
      <c r="K210" s="62"/>
      <c r="L210" s="62"/>
      <c r="M210" s="62"/>
      <c r="N210" s="62"/>
      <c r="O210" s="62"/>
      <c r="P210" s="62"/>
      <c r="Q210" s="70"/>
      <c r="R210" s="70"/>
      <c r="S210" s="70"/>
      <c r="T210" s="70"/>
      <c r="U210" s="70"/>
      <c r="V210" s="70"/>
      <c r="W210" s="70"/>
      <c r="X210" s="70"/>
      <c r="Y210" s="70"/>
      <c r="Z210" s="70"/>
      <c r="AA210" s="70"/>
      <c r="AB210" s="70"/>
      <c r="AC210" s="70"/>
      <c r="AD210" s="70"/>
      <c r="AE210" s="70"/>
      <c r="AJ210" s="62"/>
    </row>
    <row r="211" spans="7:36" ht="12" customHeight="1" x14ac:dyDescent="0.2">
      <c r="G211" s="62"/>
      <c r="H211" s="62"/>
      <c r="I211" s="62"/>
      <c r="J211" s="62"/>
      <c r="K211" s="62"/>
      <c r="L211" s="62"/>
      <c r="M211" s="62"/>
      <c r="N211" s="62"/>
      <c r="O211" s="62"/>
      <c r="P211" s="62"/>
      <c r="Q211" s="70"/>
      <c r="R211" s="70"/>
      <c r="S211" s="70"/>
      <c r="T211" s="70"/>
      <c r="U211" s="70"/>
      <c r="V211" s="70"/>
      <c r="W211" s="70"/>
      <c r="X211" s="70"/>
      <c r="Y211" s="70"/>
      <c r="Z211" s="70"/>
      <c r="AA211" s="70"/>
      <c r="AB211" s="70"/>
      <c r="AC211" s="70"/>
      <c r="AD211" s="70"/>
      <c r="AE211" s="70"/>
      <c r="AJ211" s="62"/>
    </row>
    <row r="212" spans="7:36" ht="12" customHeight="1" x14ac:dyDescent="0.2">
      <c r="G212" s="62"/>
      <c r="H212" s="62"/>
      <c r="I212" s="62"/>
      <c r="J212" s="62"/>
      <c r="K212" s="62"/>
      <c r="L212" s="62"/>
      <c r="M212" s="62"/>
      <c r="N212" s="62"/>
      <c r="O212" s="62"/>
      <c r="P212" s="62"/>
      <c r="Q212" s="70"/>
      <c r="R212" s="70"/>
      <c r="S212" s="70"/>
      <c r="T212" s="70"/>
      <c r="U212" s="70"/>
      <c r="V212" s="70"/>
      <c r="W212" s="70"/>
      <c r="X212" s="70"/>
      <c r="Y212" s="70"/>
      <c r="Z212" s="70"/>
      <c r="AA212" s="70"/>
      <c r="AB212" s="70"/>
      <c r="AC212" s="70"/>
      <c r="AD212" s="70"/>
      <c r="AE212" s="70"/>
      <c r="AJ212" s="62"/>
    </row>
    <row r="213" spans="7:36" ht="12" customHeight="1" x14ac:dyDescent="0.2">
      <c r="G213" s="62"/>
      <c r="H213" s="62"/>
      <c r="I213" s="62"/>
      <c r="J213" s="62"/>
      <c r="K213" s="62"/>
      <c r="L213" s="62"/>
      <c r="M213" s="62"/>
      <c r="N213" s="62"/>
      <c r="O213" s="62"/>
      <c r="P213" s="62"/>
      <c r="Q213" s="70"/>
      <c r="R213" s="70"/>
      <c r="S213" s="70"/>
      <c r="T213" s="70"/>
      <c r="U213" s="70"/>
      <c r="V213" s="70"/>
      <c r="W213" s="70"/>
      <c r="X213" s="70"/>
      <c r="Y213" s="70"/>
      <c r="Z213" s="70"/>
      <c r="AA213" s="70"/>
      <c r="AB213" s="70"/>
      <c r="AC213" s="70"/>
      <c r="AD213" s="70"/>
      <c r="AE213" s="70"/>
      <c r="AJ213" s="62"/>
    </row>
    <row r="214" spans="7:36" ht="12" customHeight="1" x14ac:dyDescent="0.2">
      <c r="G214" s="62"/>
      <c r="H214" s="62"/>
      <c r="I214" s="62"/>
      <c r="J214" s="62"/>
      <c r="K214" s="62"/>
      <c r="L214" s="62"/>
      <c r="M214" s="62"/>
      <c r="N214" s="62"/>
      <c r="O214" s="62"/>
      <c r="P214" s="62"/>
      <c r="Q214" s="70"/>
      <c r="R214" s="70"/>
      <c r="S214" s="70"/>
      <c r="T214" s="70"/>
      <c r="U214" s="70"/>
      <c r="V214" s="70"/>
      <c r="W214" s="70"/>
      <c r="X214" s="70"/>
      <c r="Y214" s="70"/>
      <c r="Z214" s="70"/>
      <c r="AA214" s="70"/>
      <c r="AB214" s="70"/>
      <c r="AC214" s="70"/>
      <c r="AD214" s="70"/>
      <c r="AE214" s="70"/>
      <c r="AJ214" s="62"/>
    </row>
    <row r="215" spans="7:36" ht="12" customHeight="1" x14ac:dyDescent="0.2">
      <c r="G215" s="62"/>
      <c r="H215" s="62"/>
      <c r="I215" s="62"/>
      <c r="J215" s="62"/>
      <c r="K215" s="62"/>
      <c r="L215" s="62"/>
      <c r="M215" s="62"/>
      <c r="N215" s="62"/>
      <c r="O215" s="62"/>
      <c r="P215" s="62"/>
      <c r="Q215" s="70"/>
      <c r="R215" s="70"/>
      <c r="S215" s="70"/>
      <c r="T215" s="70"/>
      <c r="U215" s="70"/>
      <c r="V215" s="70"/>
      <c r="W215" s="70"/>
      <c r="X215" s="70"/>
      <c r="Y215" s="70"/>
      <c r="Z215" s="70"/>
      <c r="AA215" s="70"/>
      <c r="AB215" s="70"/>
      <c r="AC215" s="70"/>
      <c r="AD215" s="70"/>
      <c r="AE215" s="70"/>
      <c r="AJ215" s="62"/>
    </row>
    <row r="216" spans="7:36" ht="12" customHeight="1" x14ac:dyDescent="0.2">
      <c r="G216" s="62"/>
      <c r="H216" s="62"/>
      <c r="I216" s="62"/>
      <c r="J216" s="62"/>
      <c r="K216" s="62"/>
      <c r="L216" s="62"/>
      <c r="M216" s="62"/>
      <c r="N216" s="62"/>
      <c r="O216" s="62"/>
      <c r="P216" s="62"/>
      <c r="Q216" s="70"/>
      <c r="R216" s="70"/>
      <c r="S216" s="70"/>
      <c r="T216" s="70"/>
      <c r="U216" s="70"/>
      <c r="V216" s="70"/>
      <c r="W216" s="70"/>
      <c r="X216" s="70"/>
      <c r="Y216" s="70"/>
      <c r="Z216" s="70"/>
      <c r="AA216" s="70"/>
      <c r="AB216" s="70"/>
      <c r="AC216" s="70"/>
      <c r="AD216" s="70"/>
      <c r="AE216" s="70"/>
      <c r="AJ216" s="62"/>
    </row>
    <row r="217" spans="7:36" ht="12" customHeight="1" x14ac:dyDescent="0.2">
      <c r="G217" s="62"/>
      <c r="H217" s="62"/>
      <c r="I217" s="62"/>
      <c r="J217" s="62"/>
      <c r="K217" s="62"/>
      <c r="L217" s="62"/>
      <c r="M217" s="62"/>
      <c r="N217" s="62"/>
      <c r="O217" s="62"/>
      <c r="P217" s="62"/>
      <c r="Q217" s="70"/>
      <c r="R217" s="70"/>
      <c r="S217" s="70"/>
      <c r="T217" s="70"/>
      <c r="U217" s="70"/>
      <c r="V217" s="70"/>
      <c r="W217" s="70"/>
      <c r="X217" s="70"/>
      <c r="Y217" s="70"/>
      <c r="Z217" s="70"/>
      <c r="AA217" s="70"/>
      <c r="AB217" s="70"/>
      <c r="AC217" s="70"/>
      <c r="AD217" s="70"/>
      <c r="AE217" s="70"/>
      <c r="AJ217" s="62"/>
    </row>
    <row r="218" spans="7:36" ht="12" customHeight="1" x14ac:dyDescent="0.2">
      <c r="G218" s="62"/>
      <c r="H218" s="62"/>
      <c r="I218" s="62"/>
      <c r="J218" s="62"/>
      <c r="K218" s="62"/>
      <c r="L218" s="62"/>
      <c r="M218" s="62"/>
      <c r="N218" s="62"/>
      <c r="O218" s="62"/>
      <c r="P218" s="62"/>
      <c r="Q218" s="70"/>
      <c r="R218" s="70"/>
      <c r="S218" s="70"/>
      <c r="T218" s="70"/>
      <c r="U218" s="70"/>
      <c r="V218" s="70"/>
      <c r="W218" s="70"/>
      <c r="X218" s="70"/>
      <c r="Y218" s="70"/>
      <c r="Z218" s="70"/>
      <c r="AA218" s="70"/>
      <c r="AB218" s="70"/>
      <c r="AC218" s="70"/>
      <c r="AD218" s="70"/>
      <c r="AE218" s="70"/>
      <c r="AJ218" s="62"/>
    </row>
    <row r="219" spans="7:36" ht="12" customHeight="1" x14ac:dyDescent="0.2">
      <c r="G219" s="62"/>
      <c r="H219" s="62"/>
      <c r="I219" s="62"/>
      <c r="J219" s="62"/>
      <c r="K219" s="62"/>
      <c r="L219" s="62"/>
      <c r="M219" s="62"/>
      <c r="N219" s="62"/>
      <c r="O219" s="62"/>
      <c r="P219" s="62"/>
      <c r="Q219" s="70"/>
      <c r="R219" s="70"/>
      <c r="S219" s="70"/>
      <c r="T219" s="70"/>
      <c r="U219" s="70"/>
      <c r="V219" s="70"/>
      <c r="W219" s="70"/>
      <c r="X219" s="70"/>
      <c r="Y219" s="70"/>
      <c r="Z219" s="70"/>
      <c r="AA219" s="70"/>
      <c r="AB219" s="70"/>
      <c r="AC219" s="70"/>
      <c r="AD219" s="70"/>
      <c r="AE219" s="70"/>
      <c r="AJ219" s="62"/>
    </row>
    <row r="220" spans="7:36" ht="12" customHeight="1" x14ac:dyDescent="0.2">
      <c r="G220" s="62"/>
      <c r="H220" s="62"/>
      <c r="I220" s="62"/>
      <c r="J220" s="62"/>
      <c r="K220" s="62"/>
      <c r="L220" s="62"/>
      <c r="M220" s="62"/>
      <c r="N220" s="62"/>
      <c r="O220" s="62"/>
      <c r="P220" s="62"/>
      <c r="Q220" s="70"/>
      <c r="R220" s="70"/>
      <c r="S220" s="70"/>
      <c r="T220" s="70"/>
      <c r="U220" s="70"/>
      <c r="V220" s="70"/>
      <c r="W220" s="70"/>
      <c r="X220" s="70"/>
      <c r="Y220" s="70"/>
      <c r="Z220" s="70"/>
      <c r="AA220" s="70"/>
      <c r="AB220" s="70"/>
      <c r="AC220" s="70"/>
      <c r="AD220" s="70"/>
      <c r="AE220" s="70"/>
      <c r="AJ220" s="62"/>
    </row>
    <row r="221" spans="7:36" ht="12" customHeight="1" x14ac:dyDescent="0.2">
      <c r="G221" s="62"/>
      <c r="H221" s="62"/>
      <c r="I221" s="62"/>
      <c r="J221" s="62"/>
      <c r="K221" s="62"/>
      <c r="L221" s="62"/>
      <c r="M221" s="62"/>
      <c r="N221" s="62"/>
      <c r="O221" s="62"/>
      <c r="P221" s="62"/>
      <c r="Q221" s="70"/>
      <c r="R221" s="70"/>
      <c r="S221" s="70"/>
      <c r="T221" s="70"/>
      <c r="U221" s="70"/>
      <c r="V221" s="70"/>
      <c r="W221" s="70"/>
      <c r="X221" s="70"/>
      <c r="Y221" s="70"/>
      <c r="Z221" s="70"/>
      <c r="AA221" s="70"/>
      <c r="AB221" s="70"/>
      <c r="AC221" s="70"/>
      <c r="AD221" s="70"/>
      <c r="AE221" s="70"/>
      <c r="AJ221" s="62"/>
    </row>
    <row r="222" spans="7:36" ht="12" customHeight="1" x14ac:dyDescent="0.2">
      <c r="G222" s="62"/>
      <c r="H222" s="62"/>
      <c r="I222" s="62"/>
      <c r="J222" s="62"/>
      <c r="K222" s="62"/>
      <c r="L222" s="62"/>
      <c r="M222" s="62"/>
      <c r="N222" s="62"/>
      <c r="O222" s="62"/>
      <c r="P222" s="62"/>
      <c r="Q222" s="70"/>
      <c r="R222" s="70"/>
      <c r="S222" s="70"/>
      <c r="T222" s="70"/>
      <c r="U222" s="70"/>
      <c r="V222" s="70"/>
      <c r="W222" s="70"/>
      <c r="X222" s="70"/>
      <c r="Y222" s="70"/>
      <c r="Z222" s="70"/>
      <c r="AA222" s="70"/>
      <c r="AB222" s="70"/>
      <c r="AC222" s="70"/>
      <c r="AD222" s="70"/>
      <c r="AE222" s="70"/>
      <c r="AJ222" s="62"/>
    </row>
    <row r="223" spans="7:36" ht="12" customHeight="1" x14ac:dyDescent="0.2">
      <c r="G223" s="62"/>
      <c r="H223" s="62"/>
      <c r="I223" s="62"/>
      <c r="J223" s="62"/>
      <c r="K223" s="62"/>
      <c r="L223" s="62"/>
      <c r="M223" s="62"/>
      <c r="N223" s="62"/>
      <c r="O223" s="62"/>
      <c r="P223" s="62"/>
      <c r="Q223" s="70"/>
      <c r="R223" s="70"/>
      <c r="S223" s="70"/>
      <c r="T223" s="70"/>
      <c r="U223" s="70"/>
      <c r="V223" s="70"/>
      <c r="W223" s="70"/>
      <c r="X223" s="70"/>
      <c r="Y223" s="70"/>
      <c r="Z223" s="70"/>
      <c r="AA223" s="70"/>
      <c r="AB223" s="70"/>
      <c r="AC223" s="70"/>
      <c r="AD223" s="70"/>
      <c r="AE223" s="70"/>
      <c r="AJ223" s="62"/>
    </row>
    <row r="224" spans="7:36" ht="12" customHeight="1" x14ac:dyDescent="0.2">
      <c r="G224" s="62"/>
      <c r="H224" s="62"/>
      <c r="I224" s="62"/>
      <c r="J224" s="62"/>
      <c r="K224" s="62"/>
      <c r="L224" s="62"/>
      <c r="M224" s="62"/>
      <c r="N224" s="62"/>
      <c r="O224" s="62"/>
      <c r="P224" s="62"/>
      <c r="Q224" s="70"/>
      <c r="R224" s="70"/>
      <c r="S224" s="70"/>
      <c r="T224" s="70"/>
      <c r="U224" s="70"/>
      <c r="V224" s="70"/>
      <c r="W224" s="70"/>
      <c r="X224" s="70"/>
      <c r="Y224" s="70"/>
      <c r="Z224" s="70"/>
      <c r="AA224" s="70"/>
      <c r="AB224" s="70"/>
      <c r="AC224" s="70"/>
      <c r="AD224" s="70"/>
      <c r="AE224" s="70"/>
      <c r="AJ224" s="62"/>
    </row>
    <row r="225" spans="7:36" ht="12" customHeight="1" x14ac:dyDescent="0.2">
      <c r="G225" s="62"/>
      <c r="H225" s="62"/>
      <c r="I225" s="62"/>
      <c r="J225" s="62"/>
      <c r="K225" s="62"/>
      <c r="L225" s="62"/>
      <c r="M225" s="62"/>
      <c r="N225" s="62"/>
      <c r="O225" s="62"/>
      <c r="P225" s="62"/>
      <c r="Q225" s="70"/>
      <c r="R225" s="70"/>
      <c r="S225" s="70"/>
      <c r="T225" s="70"/>
      <c r="U225" s="70"/>
      <c r="V225" s="70"/>
      <c r="W225" s="70"/>
      <c r="X225" s="70"/>
      <c r="Y225" s="70"/>
      <c r="Z225" s="70"/>
      <c r="AA225" s="70"/>
      <c r="AB225" s="70"/>
      <c r="AC225" s="70"/>
      <c r="AD225" s="70"/>
      <c r="AE225" s="70"/>
      <c r="AJ225" s="62"/>
    </row>
    <row r="226" spans="7:36" ht="12" customHeight="1" x14ac:dyDescent="0.2">
      <c r="G226" s="62"/>
      <c r="H226" s="62"/>
      <c r="I226" s="62"/>
      <c r="J226" s="62"/>
      <c r="K226" s="62"/>
      <c r="L226" s="62"/>
      <c r="M226" s="62"/>
      <c r="N226" s="62"/>
      <c r="O226" s="62"/>
      <c r="P226" s="62"/>
      <c r="Q226" s="70"/>
      <c r="R226" s="70"/>
      <c r="S226" s="70"/>
      <c r="T226" s="70"/>
      <c r="U226" s="70"/>
      <c r="V226" s="70"/>
      <c r="W226" s="70"/>
      <c r="X226" s="70"/>
      <c r="Y226" s="70"/>
      <c r="Z226" s="70"/>
      <c r="AA226" s="70"/>
      <c r="AB226" s="70"/>
      <c r="AC226" s="70"/>
      <c r="AD226" s="70"/>
      <c r="AE226" s="70"/>
      <c r="AJ226" s="62"/>
    </row>
    <row r="227" spans="7:36" ht="12" customHeight="1" x14ac:dyDescent="0.2">
      <c r="G227" s="62"/>
      <c r="H227" s="62"/>
      <c r="I227" s="62"/>
      <c r="J227" s="62"/>
      <c r="K227" s="62"/>
      <c r="L227" s="62"/>
      <c r="M227" s="62"/>
      <c r="N227" s="62"/>
      <c r="O227" s="62"/>
      <c r="P227" s="62"/>
      <c r="Q227" s="70"/>
      <c r="R227" s="70"/>
      <c r="S227" s="70"/>
      <c r="T227" s="70"/>
      <c r="U227" s="70"/>
      <c r="V227" s="70"/>
      <c r="W227" s="70"/>
      <c r="X227" s="70"/>
      <c r="Y227" s="70"/>
      <c r="Z227" s="70"/>
      <c r="AA227" s="70"/>
      <c r="AB227" s="70"/>
      <c r="AC227" s="70"/>
      <c r="AD227" s="70"/>
      <c r="AE227" s="70"/>
      <c r="AJ227" s="62"/>
    </row>
    <row r="228" spans="7:36" ht="12" customHeight="1" x14ac:dyDescent="0.2">
      <c r="G228" s="62"/>
      <c r="H228" s="62"/>
      <c r="I228" s="62"/>
      <c r="J228" s="62"/>
      <c r="K228" s="62"/>
      <c r="L228" s="62"/>
      <c r="M228" s="62"/>
      <c r="N228" s="62"/>
      <c r="O228" s="62"/>
      <c r="P228" s="62"/>
      <c r="Q228" s="70"/>
      <c r="R228" s="70"/>
      <c r="S228" s="70"/>
      <c r="T228" s="70"/>
      <c r="U228" s="70"/>
      <c r="V228" s="70"/>
      <c r="W228" s="70"/>
      <c r="X228" s="70"/>
      <c r="Y228" s="70"/>
      <c r="Z228" s="70"/>
      <c r="AA228" s="70"/>
      <c r="AB228" s="70"/>
      <c r="AC228" s="70"/>
      <c r="AD228" s="70"/>
      <c r="AE228" s="70"/>
      <c r="AJ228" s="62"/>
    </row>
    <row r="229" spans="7:36" ht="12" customHeight="1" x14ac:dyDescent="0.2">
      <c r="G229" s="62"/>
      <c r="H229" s="62"/>
      <c r="I229" s="62"/>
      <c r="J229" s="62"/>
      <c r="K229" s="62"/>
      <c r="L229" s="62"/>
      <c r="M229" s="62"/>
      <c r="N229" s="62"/>
      <c r="O229" s="62"/>
      <c r="P229" s="62"/>
      <c r="Q229" s="70"/>
      <c r="R229" s="70"/>
      <c r="S229" s="70"/>
      <c r="T229" s="70"/>
      <c r="U229" s="70"/>
      <c r="V229" s="70"/>
      <c r="W229" s="70"/>
      <c r="X229" s="70"/>
      <c r="Y229" s="70"/>
      <c r="Z229" s="70"/>
      <c r="AA229" s="70"/>
      <c r="AB229" s="70"/>
      <c r="AC229" s="70"/>
      <c r="AD229" s="70"/>
      <c r="AE229" s="70"/>
      <c r="AJ229" s="62"/>
    </row>
    <row r="230" spans="7:36" ht="12" customHeight="1" x14ac:dyDescent="0.2">
      <c r="G230" s="62"/>
      <c r="H230" s="62"/>
      <c r="I230" s="62"/>
      <c r="J230" s="62"/>
      <c r="K230" s="62"/>
      <c r="L230" s="62"/>
      <c r="M230" s="62"/>
      <c r="N230" s="62"/>
      <c r="O230" s="62"/>
      <c r="P230" s="62"/>
      <c r="Q230" s="70"/>
      <c r="R230" s="70"/>
      <c r="S230" s="70"/>
      <c r="T230" s="70"/>
      <c r="U230" s="70"/>
      <c r="V230" s="70"/>
      <c r="W230" s="70"/>
      <c r="X230" s="70"/>
      <c r="Y230" s="70"/>
      <c r="Z230" s="70"/>
      <c r="AA230" s="70"/>
      <c r="AB230" s="70"/>
      <c r="AC230" s="70"/>
      <c r="AD230" s="70"/>
      <c r="AE230" s="70"/>
      <c r="AJ230" s="62"/>
    </row>
    <row r="231" spans="7:36" ht="12" customHeight="1" x14ac:dyDescent="0.2">
      <c r="G231" s="62"/>
      <c r="H231" s="62"/>
      <c r="I231" s="62"/>
      <c r="J231" s="62"/>
      <c r="K231" s="62"/>
      <c r="L231" s="62"/>
      <c r="M231" s="62"/>
      <c r="N231" s="62"/>
      <c r="O231" s="62"/>
      <c r="P231" s="62"/>
      <c r="Q231" s="70"/>
      <c r="R231" s="70"/>
      <c r="S231" s="70"/>
      <c r="T231" s="70"/>
      <c r="U231" s="70"/>
      <c r="V231" s="70"/>
      <c r="W231" s="70"/>
      <c r="X231" s="70"/>
      <c r="Y231" s="70"/>
      <c r="Z231" s="70"/>
      <c r="AA231" s="70"/>
      <c r="AB231" s="70"/>
      <c r="AC231" s="70"/>
      <c r="AD231" s="70"/>
      <c r="AE231" s="70"/>
      <c r="AJ231" s="62"/>
    </row>
    <row r="232" spans="7:36" ht="12" customHeight="1" x14ac:dyDescent="0.2">
      <c r="G232" s="62"/>
      <c r="H232" s="62"/>
      <c r="I232" s="62"/>
      <c r="J232" s="62"/>
      <c r="K232" s="62"/>
      <c r="L232" s="62"/>
      <c r="M232" s="62"/>
      <c r="N232" s="62"/>
      <c r="O232" s="62"/>
      <c r="P232" s="62"/>
      <c r="Q232" s="70"/>
      <c r="R232" s="70"/>
      <c r="S232" s="70"/>
      <c r="T232" s="70"/>
      <c r="U232" s="70"/>
      <c r="V232" s="70"/>
      <c r="W232" s="70"/>
      <c r="X232" s="70"/>
      <c r="Y232" s="70"/>
      <c r="Z232" s="70"/>
      <c r="AA232" s="70"/>
      <c r="AB232" s="70"/>
      <c r="AC232" s="70"/>
      <c r="AD232" s="70"/>
      <c r="AE232" s="70"/>
      <c r="AJ232" s="62"/>
    </row>
    <row r="233" spans="7:36" ht="12" customHeight="1" x14ac:dyDescent="0.2">
      <c r="G233" s="62"/>
      <c r="H233" s="62"/>
      <c r="I233" s="62"/>
      <c r="J233" s="62"/>
      <c r="K233" s="62"/>
      <c r="L233" s="62"/>
      <c r="M233" s="62"/>
      <c r="N233" s="62"/>
      <c r="O233" s="62"/>
      <c r="P233" s="62"/>
      <c r="Q233" s="70"/>
      <c r="R233" s="70"/>
      <c r="S233" s="70"/>
      <c r="T233" s="70"/>
      <c r="U233" s="70"/>
      <c r="V233" s="70"/>
      <c r="W233" s="70"/>
      <c r="X233" s="70"/>
      <c r="Y233" s="70"/>
      <c r="Z233" s="70"/>
      <c r="AA233" s="70"/>
      <c r="AB233" s="70"/>
      <c r="AC233" s="70"/>
      <c r="AD233" s="70"/>
      <c r="AE233" s="70"/>
      <c r="AJ233" s="62"/>
    </row>
    <row r="234" spans="7:36" ht="12" customHeight="1" x14ac:dyDescent="0.2">
      <c r="G234" s="62"/>
      <c r="H234" s="62"/>
      <c r="I234" s="62"/>
      <c r="J234" s="62"/>
      <c r="K234" s="62"/>
      <c r="L234" s="62"/>
      <c r="M234" s="62"/>
      <c r="N234" s="62"/>
      <c r="O234" s="62"/>
      <c r="P234" s="62"/>
      <c r="Q234" s="70"/>
      <c r="R234" s="70"/>
      <c r="S234" s="70"/>
      <c r="T234" s="70"/>
      <c r="U234" s="70"/>
      <c r="V234" s="70"/>
      <c r="W234" s="70"/>
      <c r="X234" s="70"/>
      <c r="Y234" s="70"/>
      <c r="Z234" s="70"/>
      <c r="AA234" s="70"/>
      <c r="AB234" s="70"/>
      <c r="AC234" s="70"/>
      <c r="AD234" s="70"/>
      <c r="AE234" s="70"/>
      <c r="AJ234" s="62"/>
    </row>
    <row r="235" spans="7:36" ht="12" customHeight="1" x14ac:dyDescent="0.2">
      <c r="G235" s="62"/>
      <c r="H235" s="62"/>
      <c r="I235" s="62"/>
      <c r="J235" s="62"/>
      <c r="K235" s="62"/>
      <c r="L235" s="62"/>
      <c r="M235" s="62"/>
      <c r="N235" s="62"/>
      <c r="O235" s="62"/>
      <c r="P235" s="62"/>
      <c r="Q235" s="70"/>
      <c r="R235" s="70"/>
      <c r="S235" s="70"/>
      <c r="T235" s="70"/>
      <c r="U235" s="70"/>
      <c r="V235" s="70"/>
      <c r="W235" s="70"/>
      <c r="X235" s="70"/>
      <c r="Y235" s="70"/>
      <c r="Z235" s="70"/>
      <c r="AA235" s="70"/>
      <c r="AB235" s="70"/>
      <c r="AC235" s="70"/>
      <c r="AD235" s="70"/>
      <c r="AE235" s="70"/>
      <c r="AJ235" s="62"/>
    </row>
    <row r="236" spans="7:36" ht="12" customHeight="1" x14ac:dyDescent="0.2">
      <c r="G236" s="62"/>
      <c r="H236" s="62"/>
      <c r="I236" s="62"/>
      <c r="J236" s="62"/>
      <c r="K236" s="62"/>
      <c r="L236" s="62"/>
      <c r="M236" s="62"/>
      <c r="N236" s="62"/>
      <c r="O236" s="62"/>
      <c r="P236" s="62"/>
      <c r="Q236" s="70"/>
      <c r="R236" s="70"/>
      <c r="S236" s="70"/>
      <c r="T236" s="70"/>
      <c r="U236" s="70"/>
      <c r="V236" s="70"/>
      <c r="W236" s="70"/>
      <c r="X236" s="70"/>
      <c r="Y236" s="70"/>
      <c r="Z236" s="70"/>
      <c r="AA236" s="70"/>
      <c r="AB236" s="70"/>
      <c r="AC236" s="70"/>
      <c r="AD236" s="70"/>
      <c r="AE236" s="70"/>
      <c r="AJ236" s="62"/>
    </row>
    <row r="237" spans="7:36" ht="12" customHeight="1" x14ac:dyDescent="0.2">
      <c r="G237" s="62"/>
      <c r="H237" s="62"/>
      <c r="I237" s="62"/>
      <c r="J237" s="62"/>
      <c r="K237" s="62"/>
      <c r="L237" s="62"/>
      <c r="M237" s="62"/>
      <c r="N237" s="62"/>
      <c r="O237" s="62"/>
      <c r="P237" s="62"/>
      <c r="Q237" s="70"/>
      <c r="R237" s="70"/>
      <c r="S237" s="70"/>
      <c r="T237" s="70"/>
      <c r="U237" s="70"/>
      <c r="V237" s="70"/>
      <c r="W237" s="70"/>
      <c r="X237" s="70"/>
      <c r="Y237" s="70"/>
      <c r="Z237" s="70"/>
      <c r="AA237" s="70"/>
      <c r="AB237" s="70"/>
      <c r="AC237" s="70"/>
      <c r="AD237" s="70"/>
      <c r="AE237" s="70"/>
      <c r="AJ237" s="62"/>
    </row>
    <row r="238" spans="7:36" ht="12" customHeight="1" x14ac:dyDescent="0.2">
      <c r="G238" s="62"/>
      <c r="H238" s="62"/>
      <c r="I238" s="62"/>
      <c r="J238" s="62"/>
      <c r="K238" s="62"/>
      <c r="L238" s="62"/>
      <c r="M238" s="62"/>
      <c r="N238" s="62"/>
      <c r="O238" s="62"/>
      <c r="P238" s="62"/>
      <c r="Q238" s="70"/>
      <c r="R238" s="70"/>
      <c r="S238" s="70"/>
      <c r="T238" s="70"/>
      <c r="U238" s="70"/>
      <c r="V238" s="70"/>
      <c r="W238" s="70"/>
      <c r="X238" s="70"/>
      <c r="Y238" s="70"/>
      <c r="Z238" s="70"/>
      <c r="AA238" s="70"/>
      <c r="AB238" s="70"/>
      <c r="AC238" s="70"/>
      <c r="AD238" s="70"/>
      <c r="AE238" s="70"/>
      <c r="AJ238" s="62"/>
    </row>
    <row r="239" spans="7:36" ht="12" customHeight="1" x14ac:dyDescent="0.2">
      <c r="G239" s="62"/>
      <c r="H239" s="62"/>
      <c r="I239" s="62"/>
      <c r="J239" s="62"/>
      <c r="K239" s="62"/>
      <c r="L239" s="62"/>
      <c r="M239" s="62"/>
      <c r="N239" s="62"/>
      <c r="O239" s="62"/>
      <c r="P239" s="62"/>
      <c r="Q239" s="70"/>
      <c r="R239" s="70"/>
      <c r="S239" s="70"/>
      <c r="T239" s="70"/>
      <c r="U239" s="70"/>
      <c r="V239" s="70"/>
      <c r="W239" s="70"/>
      <c r="X239" s="70"/>
      <c r="Y239" s="70"/>
      <c r="Z239" s="70"/>
      <c r="AA239" s="70"/>
      <c r="AB239" s="70"/>
      <c r="AC239" s="70"/>
      <c r="AD239" s="70"/>
      <c r="AE239" s="70"/>
      <c r="AJ239" s="62"/>
    </row>
    <row r="240" spans="7:36" ht="12" customHeight="1" x14ac:dyDescent="0.2">
      <c r="G240" s="62"/>
      <c r="H240" s="62"/>
      <c r="I240" s="62"/>
      <c r="J240" s="62"/>
      <c r="K240" s="62"/>
      <c r="L240" s="62"/>
      <c r="M240" s="62"/>
      <c r="N240" s="62"/>
      <c r="O240" s="62"/>
      <c r="P240" s="62"/>
      <c r="Q240" s="70"/>
      <c r="R240" s="70"/>
      <c r="S240" s="70"/>
      <c r="T240" s="70"/>
      <c r="U240" s="70"/>
      <c r="V240" s="70"/>
      <c r="W240" s="70"/>
      <c r="X240" s="70"/>
      <c r="Y240" s="70"/>
      <c r="Z240" s="70"/>
      <c r="AA240" s="70"/>
      <c r="AB240" s="70"/>
      <c r="AC240" s="70"/>
      <c r="AD240" s="70"/>
      <c r="AE240" s="70"/>
      <c r="AJ240" s="62"/>
    </row>
    <row r="241" spans="7:36" ht="12" customHeight="1" x14ac:dyDescent="0.2">
      <c r="G241" s="62"/>
      <c r="H241" s="62"/>
      <c r="I241" s="62"/>
      <c r="J241" s="62"/>
      <c r="K241" s="62"/>
      <c r="L241" s="62"/>
      <c r="M241" s="62"/>
      <c r="N241" s="62"/>
      <c r="O241" s="62"/>
      <c r="P241" s="62"/>
      <c r="Q241" s="70"/>
      <c r="R241" s="70"/>
      <c r="S241" s="70"/>
      <c r="T241" s="70"/>
      <c r="U241" s="70"/>
      <c r="V241" s="70"/>
      <c r="W241" s="70"/>
      <c r="X241" s="70"/>
      <c r="Y241" s="70"/>
      <c r="Z241" s="70"/>
      <c r="AA241" s="70"/>
      <c r="AB241" s="70"/>
      <c r="AC241" s="70"/>
      <c r="AD241" s="70"/>
      <c r="AE241" s="70"/>
      <c r="AJ241" s="62"/>
    </row>
    <row r="242" spans="7:36" ht="12" customHeight="1" x14ac:dyDescent="0.2">
      <c r="G242" s="62"/>
      <c r="H242" s="62"/>
      <c r="I242" s="62"/>
      <c r="J242" s="62"/>
      <c r="K242" s="62"/>
      <c r="L242" s="62"/>
      <c r="M242" s="62"/>
      <c r="N242" s="62"/>
      <c r="O242" s="62"/>
      <c r="P242" s="62"/>
      <c r="Q242" s="70"/>
      <c r="R242" s="70"/>
      <c r="S242" s="70"/>
      <c r="T242" s="70"/>
      <c r="U242" s="70"/>
      <c r="V242" s="70"/>
      <c r="W242" s="70"/>
      <c r="X242" s="70"/>
      <c r="Y242" s="70"/>
      <c r="Z242" s="70"/>
      <c r="AA242" s="70"/>
      <c r="AB242" s="70"/>
      <c r="AC242" s="70"/>
      <c r="AD242" s="70"/>
      <c r="AE242" s="70"/>
      <c r="AJ242" s="62"/>
    </row>
    <row r="243" spans="7:36" ht="12" customHeight="1" x14ac:dyDescent="0.2">
      <c r="G243" s="62"/>
      <c r="H243" s="62"/>
      <c r="I243" s="62"/>
      <c r="J243" s="62"/>
      <c r="K243" s="62"/>
      <c r="L243" s="62"/>
      <c r="M243" s="62"/>
      <c r="N243" s="62"/>
      <c r="O243" s="62"/>
      <c r="P243" s="62"/>
      <c r="Q243" s="70"/>
      <c r="R243" s="70"/>
      <c r="S243" s="70"/>
      <c r="T243" s="70"/>
      <c r="U243" s="70"/>
      <c r="V243" s="70"/>
      <c r="W243" s="70"/>
      <c r="X243" s="70"/>
      <c r="Y243" s="70"/>
      <c r="Z243" s="70"/>
      <c r="AA243" s="70"/>
      <c r="AB243" s="70"/>
      <c r="AC243" s="70"/>
      <c r="AD243" s="70"/>
      <c r="AE243" s="70"/>
      <c r="AJ243" s="62"/>
    </row>
    <row r="244" spans="7:36" ht="12" customHeight="1" x14ac:dyDescent="0.2">
      <c r="G244" s="62"/>
      <c r="H244" s="62"/>
      <c r="I244" s="62"/>
      <c r="J244" s="62"/>
      <c r="K244" s="62"/>
      <c r="L244" s="62"/>
      <c r="M244" s="62"/>
      <c r="N244" s="62"/>
      <c r="O244" s="62"/>
      <c r="P244" s="62"/>
      <c r="Q244" s="70"/>
      <c r="R244" s="70"/>
      <c r="S244" s="70"/>
      <c r="T244" s="70"/>
      <c r="U244" s="70"/>
      <c r="V244" s="70"/>
      <c r="W244" s="70"/>
      <c r="X244" s="70"/>
      <c r="Y244" s="70"/>
      <c r="Z244" s="70"/>
      <c r="AA244" s="70"/>
      <c r="AB244" s="70"/>
      <c r="AC244" s="70"/>
      <c r="AD244" s="70"/>
      <c r="AE244" s="70"/>
      <c r="AJ244" s="62"/>
    </row>
    <row r="245" spans="7:36" ht="12" customHeight="1" x14ac:dyDescent="0.2">
      <c r="G245" s="62"/>
      <c r="H245" s="62"/>
      <c r="I245" s="62"/>
      <c r="J245" s="62"/>
      <c r="K245" s="62"/>
      <c r="L245" s="62"/>
      <c r="M245" s="62"/>
      <c r="N245" s="62"/>
      <c r="O245" s="62"/>
      <c r="P245" s="62"/>
      <c r="Q245" s="70"/>
      <c r="R245" s="70"/>
      <c r="S245" s="70"/>
      <c r="T245" s="70"/>
      <c r="U245" s="70"/>
      <c r="V245" s="70"/>
      <c r="W245" s="70"/>
      <c r="X245" s="70"/>
      <c r="Y245" s="70"/>
      <c r="Z245" s="70"/>
      <c r="AA245" s="70"/>
      <c r="AB245" s="70"/>
      <c r="AC245" s="70"/>
      <c r="AD245" s="70"/>
      <c r="AE245" s="70"/>
      <c r="AJ245" s="62"/>
    </row>
    <row r="246" spans="7:36" ht="12" customHeight="1" x14ac:dyDescent="0.2">
      <c r="G246" s="62"/>
      <c r="H246" s="62"/>
      <c r="I246" s="62"/>
      <c r="J246" s="62"/>
      <c r="K246" s="62"/>
      <c r="L246" s="62"/>
      <c r="M246" s="62"/>
      <c r="N246" s="62"/>
      <c r="O246" s="62"/>
      <c r="P246" s="62"/>
      <c r="Q246" s="70"/>
      <c r="R246" s="70"/>
      <c r="S246" s="70"/>
      <c r="T246" s="70"/>
      <c r="U246" s="70"/>
      <c r="V246" s="70"/>
      <c r="W246" s="70"/>
      <c r="X246" s="70"/>
      <c r="Y246" s="70"/>
      <c r="Z246" s="70"/>
      <c r="AA246" s="70"/>
      <c r="AB246" s="70"/>
      <c r="AC246" s="70"/>
      <c r="AD246" s="70"/>
      <c r="AE246" s="70"/>
      <c r="AJ246" s="62"/>
    </row>
    <row r="247" spans="7:36" ht="12" customHeight="1" x14ac:dyDescent="0.2">
      <c r="G247" s="62"/>
      <c r="H247" s="62"/>
      <c r="I247" s="62"/>
      <c r="J247" s="62"/>
      <c r="K247" s="62"/>
      <c r="L247" s="62"/>
      <c r="M247" s="62"/>
      <c r="N247" s="62"/>
      <c r="O247" s="62"/>
      <c r="P247" s="62"/>
      <c r="Q247" s="70"/>
      <c r="R247" s="70"/>
      <c r="S247" s="70"/>
      <c r="T247" s="70"/>
      <c r="U247" s="70"/>
      <c r="V247" s="70"/>
      <c r="W247" s="70"/>
      <c r="X247" s="70"/>
      <c r="Y247" s="70"/>
      <c r="Z247" s="70"/>
      <c r="AA247" s="70"/>
      <c r="AB247" s="70"/>
      <c r="AC247" s="70"/>
      <c r="AD247" s="70"/>
      <c r="AE247" s="70"/>
      <c r="AJ247" s="62"/>
    </row>
    <row r="248" spans="7:36" ht="12" customHeight="1" x14ac:dyDescent="0.2">
      <c r="G248" s="62"/>
      <c r="H248" s="62"/>
      <c r="I248" s="62"/>
      <c r="J248" s="62"/>
      <c r="K248" s="62"/>
      <c r="L248" s="62"/>
      <c r="M248" s="62"/>
      <c r="N248" s="62"/>
      <c r="O248" s="62"/>
      <c r="P248" s="62"/>
      <c r="Q248" s="70"/>
      <c r="R248" s="70"/>
      <c r="S248" s="70"/>
      <c r="T248" s="70"/>
      <c r="U248" s="70"/>
      <c r="V248" s="70"/>
      <c r="W248" s="70"/>
      <c r="X248" s="70"/>
      <c r="Y248" s="70"/>
      <c r="Z248" s="70"/>
      <c r="AA248" s="70"/>
      <c r="AB248" s="70"/>
      <c r="AC248" s="70"/>
      <c r="AD248" s="70"/>
      <c r="AE248" s="70"/>
      <c r="AJ248" s="62"/>
    </row>
    <row r="249" spans="7:36" x14ac:dyDescent="0.2">
      <c r="G249" s="62"/>
      <c r="H249" s="62"/>
      <c r="I249" s="62"/>
      <c r="J249" s="62"/>
      <c r="K249" s="62"/>
      <c r="L249" s="62"/>
      <c r="M249" s="62"/>
      <c r="N249" s="62"/>
      <c r="O249" s="62"/>
      <c r="P249" s="62"/>
      <c r="Q249" s="70"/>
      <c r="R249" s="70"/>
      <c r="S249" s="70"/>
      <c r="T249" s="70"/>
      <c r="U249" s="70"/>
      <c r="V249" s="70"/>
      <c r="W249" s="70"/>
      <c r="X249" s="70"/>
      <c r="Y249" s="70"/>
      <c r="Z249" s="70"/>
      <c r="AA249" s="70"/>
      <c r="AB249" s="70"/>
      <c r="AC249" s="70"/>
      <c r="AJ249" s="62"/>
    </row>
    <row r="250" spans="7:36" x14ac:dyDescent="0.2">
      <c r="G250" s="62"/>
      <c r="H250" s="62"/>
      <c r="I250" s="62"/>
      <c r="J250" s="62"/>
      <c r="K250" s="62"/>
      <c r="L250" s="62"/>
      <c r="M250" s="62"/>
      <c r="N250" s="62"/>
      <c r="O250" s="62"/>
      <c r="P250" s="62"/>
      <c r="Q250" s="70"/>
      <c r="R250" s="70"/>
      <c r="S250" s="70"/>
      <c r="T250" s="70"/>
      <c r="U250" s="70"/>
      <c r="V250" s="70"/>
      <c r="W250" s="70"/>
      <c r="X250" s="70"/>
      <c r="Y250" s="70"/>
      <c r="Z250" s="70"/>
      <c r="AA250" s="70"/>
      <c r="AB250" s="70"/>
      <c r="AC250" s="70"/>
      <c r="AJ250" s="62"/>
    </row>
  </sheetData>
  <autoFilter ref="B55:O248" xr:uid="{00000000-0009-0000-0000-000010000000}"/>
  <mergeCells count="1">
    <mergeCell ref="C9:T9"/>
  </mergeCells>
  <printOptions horizontalCentered="1"/>
  <pageMargins left="1" right="0.75" top="1.25" bottom="1" header="1" footer="0.5"/>
  <pageSetup orientation="portrait" r:id="rId1"/>
  <headerFooter alignWithMargins="0">
    <oddHeader>&amp;LEuropean Tower&amp;C&amp;A</oddHeader>
    <oddFooter>&amp;CPage 1.1.&amp;P</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rgb="FF00CC00"/>
  </sheetPr>
  <dimension ref="A1:BH63"/>
  <sheetViews>
    <sheetView workbookViewId="0"/>
  </sheetViews>
  <sheetFormatPr defaultRowHeight="14.4" x14ac:dyDescent="0.3"/>
  <cols>
    <col min="2" max="2" width="18.33203125" customWidth="1"/>
    <col min="3" max="3" width="23.6640625" customWidth="1"/>
    <col min="4" max="4" width="29.6640625" customWidth="1"/>
    <col min="5" max="28" width="8" bestFit="1" customWidth="1"/>
    <col min="30" max="30" width="9.5546875" bestFit="1" customWidth="1"/>
    <col min="31" max="32" width="9.5546875" customWidth="1"/>
    <col min="33" max="33" width="27.109375" customWidth="1"/>
    <col min="35" max="35" width="11.88671875" customWidth="1"/>
    <col min="36" max="60" width="6.88671875" customWidth="1"/>
  </cols>
  <sheetData>
    <row r="1" spans="1:60" ht="18" x14ac:dyDescent="0.35">
      <c r="B1" s="9" t="s">
        <v>762</v>
      </c>
    </row>
    <row r="2" spans="1:60" ht="15" x14ac:dyDescent="0.35">
      <c r="B2" s="2044" t="s">
        <v>752</v>
      </c>
      <c r="C2" s="655" t="s">
        <v>1977</v>
      </c>
    </row>
    <row r="3" spans="1:60" ht="15" x14ac:dyDescent="0.35">
      <c r="B3" s="2044" t="s">
        <v>753</v>
      </c>
      <c r="C3" s="654" t="s">
        <v>1978</v>
      </c>
      <c r="E3" s="16"/>
      <c r="F3" s="16"/>
      <c r="G3" s="16"/>
      <c r="H3" s="16"/>
      <c r="I3" s="16"/>
      <c r="J3" s="16"/>
      <c r="K3" s="16"/>
      <c r="L3" s="16"/>
      <c r="M3" s="16"/>
      <c r="N3" s="16"/>
      <c r="O3" s="16"/>
      <c r="P3" s="16"/>
      <c r="Q3" s="16"/>
      <c r="R3" s="16"/>
      <c r="S3" s="16"/>
      <c r="T3" s="16"/>
      <c r="U3" s="16"/>
      <c r="V3" s="16"/>
      <c r="W3" s="16"/>
      <c r="X3" s="16"/>
      <c r="Y3" s="16"/>
      <c r="Z3" s="16"/>
      <c r="AA3" s="16"/>
      <c r="AB3" s="16"/>
      <c r="AC3" s="16"/>
    </row>
    <row r="6" spans="1:60" x14ac:dyDescent="0.3">
      <c r="C6" s="34" t="s">
        <v>447</v>
      </c>
      <c r="D6" t="s">
        <v>448</v>
      </c>
      <c r="E6" s="19">
        <f>DATEDIF($C$8,$C$9,"D")+1</f>
        <v>365</v>
      </c>
    </row>
    <row r="7" spans="1:60" x14ac:dyDescent="0.3">
      <c r="B7" t="s">
        <v>449</v>
      </c>
      <c r="C7" s="231">
        <v>2013</v>
      </c>
      <c r="D7" s="221" t="s">
        <v>450</v>
      </c>
      <c r="E7" s="225">
        <f>E6-(E8+E9)</f>
        <v>250</v>
      </c>
    </row>
    <row r="8" spans="1:60" x14ac:dyDescent="0.3">
      <c r="B8" t="s">
        <v>451</v>
      </c>
      <c r="C8" s="232">
        <v>41275</v>
      </c>
      <c r="D8" s="230" t="s">
        <v>452</v>
      </c>
      <c r="E8" s="228">
        <v>52</v>
      </c>
    </row>
    <row r="9" spans="1:60" x14ac:dyDescent="0.3">
      <c r="B9" t="s">
        <v>453</v>
      </c>
      <c r="C9" s="232">
        <v>41639</v>
      </c>
      <c r="D9" s="229" t="s">
        <v>455</v>
      </c>
      <c r="E9" s="55">
        <v>63</v>
      </c>
    </row>
    <row r="10" spans="1:60" x14ac:dyDescent="0.3">
      <c r="G10" t="s">
        <v>162</v>
      </c>
      <c r="H10">
        <v>0.2</v>
      </c>
      <c r="I10">
        <v>0.2</v>
      </c>
      <c r="J10">
        <v>0.2</v>
      </c>
      <c r="K10">
        <v>0.2</v>
      </c>
      <c r="L10">
        <v>0.2</v>
      </c>
      <c r="M10">
        <v>0.2</v>
      </c>
      <c r="N10">
        <v>0.3</v>
      </c>
      <c r="O10">
        <v>0.6</v>
      </c>
      <c r="P10">
        <v>0.7</v>
      </c>
      <c r="Q10">
        <v>0.6</v>
      </c>
      <c r="R10">
        <v>0.3</v>
      </c>
      <c r="S10">
        <v>0.3</v>
      </c>
      <c r="T10">
        <v>0.3</v>
      </c>
      <c r="U10">
        <v>0.3</v>
      </c>
      <c r="V10">
        <v>0.3</v>
      </c>
      <c r="W10">
        <v>0.3</v>
      </c>
      <c r="X10">
        <v>0.6</v>
      </c>
      <c r="Y10">
        <v>0.7</v>
      </c>
      <c r="Z10">
        <v>0.6</v>
      </c>
      <c r="AA10">
        <v>0.4</v>
      </c>
      <c r="AB10">
        <v>0.3</v>
      </c>
      <c r="AC10">
        <v>0.2</v>
      </c>
      <c r="AD10">
        <v>0.2</v>
      </c>
      <c r="AE10">
        <v>0.2</v>
      </c>
    </row>
    <row r="11" spans="1:60" x14ac:dyDescent="0.3">
      <c r="D11" s="221" t="s">
        <v>450</v>
      </c>
      <c r="E11" s="225">
        <f>E6-(E12)</f>
        <v>250</v>
      </c>
    </row>
    <row r="12" spans="1:60" x14ac:dyDescent="0.3">
      <c r="D12" s="229" t="s">
        <v>454</v>
      </c>
      <c r="E12" s="55">
        <f>E9+E8</f>
        <v>115</v>
      </c>
    </row>
    <row r="13" spans="1:60" x14ac:dyDescent="0.3">
      <c r="AE13" t="s">
        <v>461</v>
      </c>
      <c r="AJ13" s="10" t="s">
        <v>437</v>
      </c>
    </row>
    <row r="14" spans="1:60" x14ac:dyDescent="0.3">
      <c r="A14" s="10" t="s">
        <v>357</v>
      </c>
      <c r="B14" s="10" t="s">
        <v>71</v>
      </c>
      <c r="C14" s="10" t="s">
        <v>226</v>
      </c>
      <c r="D14" s="10" t="s">
        <v>46</v>
      </c>
      <c r="E14" s="4">
        <v>1</v>
      </c>
      <c r="F14" s="4">
        <v>2</v>
      </c>
      <c r="G14" s="4">
        <v>3</v>
      </c>
      <c r="H14" s="4">
        <v>4</v>
      </c>
      <c r="I14" s="4">
        <v>5</v>
      </c>
      <c r="J14" s="4">
        <v>6</v>
      </c>
      <c r="K14" s="4">
        <v>7</v>
      </c>
      <c r="L14" s="4">
        <v>8</v>
      </c>
      <c r="M14" s="10">
        <v>9</v>
      </c>
      <c r="N14" s="10">
        <v>10</v>
      </c>
      <c r="O14" s="10">
        <v>11</v>
      </c>
      <c r="P14" s="10">
        <v>12</v>
      </c>
      <c r="Q14" s="10">
        <v>13</v>
      </c>
      <c r="R14" s="10">
        <v>14</v>
      </c>
      <c r="S14" s="10">
        <v>15</v>
      </c>
      <c r="T14" s="10">
        <v>16</v>
      </c>
      <c r="U14" s="4">
        <v>17</v>
      </c>
      <c r="V14" s="4">
        <v>18</v>
      </c>
      <c r="W14" s="4">
        <v>19</v>
      </c>
      <c r="X14" s="4">
        <v>20</v>
      </c>
      <c r="Y14" s="4">
        <v>21</v>
      </c>
      <c r="Z14" s="4">
        <v>22</v>
      </c>
      <c r="AA14" s="4">
        <v>23</v>
      </c>
      <c r="AB14" s="4">
        <v>24</v>
      </c>
      <c r="AC14" s="10" t="s">
        <v>222</v>
      </c>
      <c r="AD14" s="10" t="s">
        <v>133</v>
      </c>
      <c r="AE14" s="10" t="s">
        <v>222</v>
      </c>
      <c r="AF14" s="10" t="s">
        <v>133</v>
      </c>
      <c r="AG14" s="10" t="s">
        <v>227</v>
      </c>
      <c r="AH14" s="10"/>
      <c r="AI14" s="10" t="s">
        <v>436</v>
      </c>
      <c r="AJ14" s="4">
        <v>1</v>
      </c>
      <c r="AK14" s="4">
        <v>2</v>
      </c>
      <c r="AL14" s="4">
        <v>3</v>
      </c>
      <c r="AM14" s="4">
        <v>4</v>
      </c>
      <c r="AN14" s="4">
        <v>5</v>
      </c>
      <c r="AO14" s="4">
        <v>6</v>
      </c>
      <c r="AP14" s="4">
        <v>7</v>
      </c>
      <c r="AQ14" s="4">
        <v>8</v>
      </c>
      <c r="AR14" s="10">
        <v>9</v>
      </c>
      <c r="AS14" s="10">
        <v>10</v>
      </c>
      <c r="AT14" s="10">
        <v>11</v>
      </c>
      <c r="AU14" s="10">
        <v>12</v>
      </c>
      <c r="AV14" s="10">
        <v>13</v>
      </c>
      <c r="AW14" s="10">
        <v>14</v>
      </c>
      <c r="AX14" s="10">
        <v>15</v>
      </c>
      <c r="AY14" s="10">
        <v>16</v>
      </c>
      <c r="AZ14" s="4">
        <v>17</v>
      </c>
      <c r="BA14" s="4">
        <v>18</v>
      </c>
      <c r="BB14" s="4">
        <v>19</v>
      </c>
      <c r="BC14" s="4">
        <v>20</v>
      </c>
      <c r="BD14" s="4">
        <v>21</v>
      </c>
      <c r="BE14" s="4">
        <v>22</v>
      </c>
      <c r="BF14" s="4">
        <v>23</v>
      </c>
      <c r="BG14" s="4">
        <v>24</v>
      </c>
      <c r="BH14" s="10" t="s">
        <v>222</v>
      </c>
    </row>
    <row r="15" spans="1:60" x14ac:dyDescent="0.3">
      <c r="A15" t="s">
        <v>356</v>
      </c>
      <c r="B15" t="s">
        <v>344</v>
      </c>
      <c r="C15" t="s">
        <v>353</v>
      </c>
      <c r="E15" s="206">
        <v>0.1</v>
      </c>
      <c r="F15" s="206">
        <v>0.1</v>
      </c>
      <c r="G15" s="206">
        <v>0.1</v>
      </c>
      <c r="H15" s="206">
        <v>0.1</v>
      </c>
      <c r="I15" s="206">
        <v>0.1</v>
      </c>
      <c r="J15" s="206">
        <v>0.1</v>
      </c>
      <c r="K15" s="206">
        <v>0.3</v>
      </c>
      <c r="L15" s="206">
        <v>0.7</v>
      </c>
      <c r="M15" s="26">
        <v>0.7</v>
      </c>
      <c r="N15" s="26">
        <v>0.4</v>
      </c>
      <c r="O15" s="26">
        <v>0.4</v>
      </c>
      <c r="P15" s="26">
        <v>0.4</v>
      </c>
      <c r="Q15" s="26">
        <v>0.7</v>
      </c>
      <c r="R15" s="26">
        <v>0.4</v>
      </c>
      <c r="S15" s="26">
        <v>0.4</v>
      </c>
      <c r="T15" s="26">
        <v>0.4</v>
      </c>
      <c r="U15" s="206">
        <v>0.6</v>
      </c>
      <c r="V15" s="206">
        <v>0.8</v>
      </c>
      <c r="W15" s="206">
        <v>0.7</v>
      </c>
      <c r="X15" s="206">
        <v>0.5</v>
      </c>
      <c r="Y15" s="206">
        <v>0.5</v>
      </c>
      <c r="Z15" s="206">
        <v>0.5</v>
      </c>
      <c r="AA15" s="206">
        <v>0.3</v>
      </c>
      <c r="AB15" s="206">
        <v>0.3</v>
      </c>
      <c r="AC15" s="16">
        <f t="shared" ref="AC15:AC20" si="0">SUM(E15:AB15)</f>
        <v>9.6000000000000014</v>
      </c>
      <c r="AD15" s="2">
        <f>AC15*$E$6</f>
        <v>3504.0000000000005</v>
      </c>
      <c r="AE15" s="2"/>
      <c r="AF15" s="2"/>
      <c r="AI15" s="23">
        <f>'REF_Misc Loads'!AK8</f>
        <v>1.0892794711248133</v>
      </c>
      <c r="AJ15" s="3">
        <v>0.1</v>
      </c>
      <c r="AK15" s="3">
        <v>0.1</v>
      </c>
      <c r="AL15" s="3">
        <v>0.1</v>
      </c>
      <c r="AM15" s="3">
        <v>0.1</v>
      </c>
      <c r="AN15" s="3">
        <v>0.1</v>
      </c>
      <c r="AO15" s="3">
        <v>0.1</v>
      </c>
      <c r="AP15" s="3">
        <v>0.3</v>
      </c>
      <c r="AQ15" s="3">
        <v>0.7</v>
      </c>
      <c r="AR15" s="16">
        <v>0.7</v>
      </c>
      <c r="AS15" s="16">
        <v>0.4</v>
      </c>
      <c r="AT15" s="16">
        <v>0.4</v>
      </c>
      <c r="AU15" s="16">
        <v>0.7</v>
      </c>
      <c r="AV15" s="16">
        <v>0.4</v>
      </c>
      <c r="AW15" s="16">
        <v>0.4</v>
      </c>
      <c r="AX15" s="16">
        <v>0.4</v>
      </c>
      <c r="AY15" s="16">
        <v>0.4</v>
      </c>
      <c r="AZ15" s="3">
        <v>0.6</v>
      </c>
      <c r="BA15" s="3">
        <v>0.8</v>
      </c>
      <c r="BB15" s="3">
        <v>0.7</v>
      </c>
      <c r="BC15" s="3">
        <v>0.5</v>
      </c>
      <c r="BD15" s="3">
        <v>0.5</v>
      </c>
      <c r="BE15" s="3">
        <v>0.5</v>
      </c>
      <c r="BF15" s="3">
        <v>0.3</v>
      </c>
      <c r="BG15" s="3">
        <v>0.3</v>
      </c>
      <c r="BH15" s="16">
        <f>SUM(AJ15:BG15)</f>
        <v>9.6000000000000014</v>
      </c>
    </row>
    <row r="16" spans="1:60" x14ac:dyDescent="0.3">
      <c r="A16" t="s">
        <v>354</v>
      </c>
      <c r="B16" t="s">
        <v>155</v>
      </c>
      <c r="C16" t="s">
        <v>364</v>
      </c>
      <c r="E16" s="3">
        <v>0.05</v>
      </c>
      <c r="F16" s="3">
        <v>0.05</v>
      </c>
      <c r="G16" s="3">
        <v>0.05</v>
      </c>
      <c r="H16" s="3">
        <v>0.05</v>
      </c>
      <c r="I16" s="3">
        <v>0.05</v>
      </c>
      <c r="J16" s="3">
        <v>0.05</v>
      </c>
      <c r="K16" s="3">
        <v>0.3</v>
      </c>
      <c r="L16" s="3">
        <v>0.5</v>
      </c>
      <c r="M16" s="16">
        <v>0.4</v>
      </c>
      <c r="N16" s="16">
        <v>0.3</v>
      </c>
      <c r="O16" s="16">
        <v>0.3</v>
      </c>
      <c r="P16" s="16">
        <v>0.35</v>
      </c>
      <c r="Q16" s="16">
        <v>0.4</v>
      </c>
      <c r="R16" s="16">
        <v>0.35</v>
      </c>
      <c r="S16" s="16">
        <v>0.35</v>
      </c>
      <c r="T16" s="16">
        <v>0.3</v>
      </c>
      <c r="U16" s="3">
        <v>0.3</v>
      </c>
      <c r="V16" s="3">
        <v>0.5</v>
      </c>
      <c r="W16" s="3">
        <v>0.5</v>
      </c>
      <c r="X16" s="3">
        <v>0.4</v>
      </c>
      <c r="Y16" s="3">
        <v>0.35</v>
      </c>
      <c r="Z16" s="3">
        <v>0.45</v>
      </c>
      <c r="AA16" s="3">
        <v>0.3</v>
      </c>
      <c r="AB16" s="3">
        <v>0.05</v>
      </c>
      <c r="AC16" s="16">
        <f t="shared" si="0"/>
        <v>6.7</v>
      </c>
      <c r="AD16" s="2">
        <f>AC16*$E$6</f>
        <v>2445.5</v>
      </c>
      <c r="AE16" s="2"/>
      <c r="AF16" s="2"/>
    </row>
    <row r="17" spans="1:32" x14ac:dyDescent="0.3">
      <c r="A17" t="s">
        <v>355</v>
      </c>
      <c r="B17" t="s">
        <v>103</v>
      </c>
      <c r="C17" t="s">
        <v>405</v>
      </c>
      <c r="D17" t="s">
        <v>407</v>
      </c>
      <c r="E17" s="3">
        <v>0.2</v>
      </c>
      <c r="F17" s="3">
        <f t="shared" ref="F17:J19" si="1">E17</f>
        <v>0.2</v>
      </c>
      <c r="G17" s="3">
        <f t="shared" si="1"/>
        <v>0.2</v>
      </c>
      <c r="H17" s="3">
        <f t="shared" si="1"/>
        <v>0.2</v>
      </c>
      <c r="I17" s="3">
        <f t="shared" si="1"/>
        <v>0.2</v>
      </c>
      <c r="J17" s="3">
        <f t="shared" si="1"/>
        <v>0.2</v>
      </c>
      <c r="K17" s="3">
        <v>0.4</v>
      </c>
      <c r="L17" s="3">
        <v>0.5</v>
      </c>
      <c r="M17" s="16">
        <v>0.7</v>
      </c>
      <c r="N17" s="16">
        <v>0.6</v>
      </c>
      <c r="O17" s="16">
        <v>0.4</v>
      </c>
      <c r="P17" s="16">
        <v>0.3</v>
      </c>
      <c r="Q17" s="16">
        <f t="shared" ref="Q17:T19" si="2">P17</f>
        <v>0.3</v>
      </c>
      <c r="R17" s="16">
        <f t="shared" si="2"/>
        <v>0.3</v>
      </c>
      <c r="S17" s="16">
        <f t="shared" si="2"/>
        <v>0.3</v>
      </c>
      <c r="T17" s="16">
        <f t="shared" si="2"/>
        <v>0.3</v>
      </c>
      <c r="U17" s="3">
        <v>0.4</v>
      </c>
      <c r="V17" s="3">
        <v>0.6</v>
      </c>
      <c r="W17" s="3">
        <v>0.7</v>
      </c>
      <c r="X17" s="3">
        <v>0.5</v>
      </c>
      <c r="Y17" s="3">
        <v>0.3</v>
      </c>
      <c r="Z17" s="3">
        <v>0.2</v>
      </c>
      <c r="AA17" s="3">
        <v>0.2</v>
      </c>
      <c r="AB17" s="3">
        <v>0.2</v>
      </c>
      <c r="AC17" s="16">
        <f t="shared" si="0"/>
        <v>8.3999999999999986</v>
      </c>
      <c r="AD17" s="2">
        <f t="shared" ref="AD17:AD24" si="3">AC17*$E$6</f>
        <v>3065.9999999999995</v>
      </c>
      <c r="AE17" s="2"/>
      <c r="AF17" s="2"/>
    </row>
    <row r="18" spans="1:32" x14ac:dyDescent="0.3">
      <c r="A18" t="s">
        <v>355</v>
      </c>
      <c r="B18" t="s">
        <v>103</v>
      </c>
      <c r="C18" t="s">
        <v>406</v>
      </c>
      <c r="D18" t="s">
        <v>408</v>
      </c>
      <c r="E18" s="3">
        <v>0.3</v>
      </c>
      <c r="F18" s="3">
        <f t="shared" si="1"/>
        <v>0.3</v>
      </c>
      <c r="G18" s="3">
        <f t="shared" si="1"/>
        <v>0.3</v>
      </c>
      <c r="H18" s="3">
        <f t="shared" si="1"/>
        <v>0.3</v>
      </c>
      <c r="I18" s="3">
        <f t="shared" si="1"/>
        <v>0.3</v>
      </c>
      <c r="J18" s="3">
        <f t="shared" si="1"/>
        <v>0.3</v>
      </c>
      <c r="K18" s="3">
        <f t="shared" ref="K18:P18" si="4">J18</f>
        <v>0.3</v>
      </c>
      <c r="L18" s="3">
        <f t="shared" si="4"/>
        <v>0.3</v>
      </c>
      <c r="M18" s="16">
        <f t="shared" si="4"/>
        <v>0.3</v>
      </c>
      <c r="N18" s="16">
        <f t="shared" si="4"/>
        <v>0.3</v>
      </c>
      <c r="O18" s="16">
        <f t="shared" si="4"/>
        <v>0.3</v>
      </c>
      <c r="P18" s="16">
        <f t="shared" si="4"/>
        <v>0.3</v>
      </c>
      <c r="Q18" s="16">
        <f t="shared" si="2"/>
        <v>0.3</v>
      </c>
      <c r="R18" s="16">
        <f t="shared" si="2"/>
        <v>0.3</v>
      </c>
      <c r="S18" s="16">
        <f t="shared" si="2"/>
        <v>0.3</v>
      </c>
      <c r="T18" s="16">
        <f t="shared" si="2"/>
        <v>0.3</v>
      </c>
      <c r="U18" s="3">
        <f t="shared" ref="U18:AB18" si="5">T18</f>
        <v>0.3</v>
      </c>
      <c r="V18" s="3">
        <f t="shared" si="5"/>
        <v>0.3</v>
      </c>
      <c r="W18" s="3">
        <f t="shared" si="5"/>
        <v>0.3</v>
      </c>
      <c r="X18" s="3">
        <f t="shared" si="5"/>
        <v>0.3</v>
      </c>
      <c r="Y18" s="3">
        <f t="shared" si="5"/>
        <v>0.3</v>
      </c>
      <c r="Z18" s="3">
        <f t="shared" si="5"/>
        <v>0.3</v>
      </c>
      <c r="AA18" s="3">
        <f t="shared" si="5"/>
        <v>0.3</v>
      </c>
      <c r="AB18" s="3">
        <f t="shared" si="5"/>
        <v>0.3</v>
      </c>
      <c r="AC18" s="16">
        <f t="shared" si="0"/>
        <v>7.1999999999999975</v>
      </c>
      <c r="AD18" s="2">
        <f t="shared" si="3"/>
        <v>2627.9999999999991</v>
      </c>
      <c r="AE18" s="2"/>
      <c r="AF18" s="2"/>
    </row>
    <row r="19" spans="1:32" x14ac:dyDescent="0.3">
      <c r="A19" t="s">
        <v>355</v>
      </c>
      <c r="B19" t="s">
        <v>103</v>
      </c>
      <c r="C19" t="s">
        <v>404</v>
      </c>
      <c r="D19" t="s">
        <v>409</v>
      </c>
      <c r="E19" s="3">
        <v>0.1</v>
      </c>
      <c r="F19" s="3">
        <f t="shared" si="1"/>
        <v>0.1</v>
      </c>
      <c r="G19" s="3">
        <f t="shared" si="1"/>
        <v>0.1</v>
      </c>
      <c r="H19" s="3">
        <f t="shared" si="1"/>
        <v>0.1</v>
      </c>
      <c r="I19" s="3">
        <f t="shared" si="1"/>
        <v>0.1</v>
      </c>
      <c r="J19" s="3">
        <f t="shared" si="1"/>
        <v>0.1</v>
      </c>
      <c r="K19" s="3">
        <f>J19</f>
        <v>0.1</v>
      </c>
      <c r="L19" s="3">
        <v>1</v>
      </c>
      <c r="M19" s="16">
        <f>L19</f>
        <v>1</v>
      </c>
      <c r="N19" s="16">
        <v>0.1</v>
      </c>
      <c r="O19" s="16">
        <f>N19</f>
        <v>0.1</v>
      </c>
      <c r="P19" s="16">
        <f>O19</f>
        <v>0.1</v>
      </c>
      <c r="Q19" s="16">
        <f t="shared" si="2"/>
        <v>0.1</v>
      </c>
      <c r="R19" s="16">
        <f t="shared" si="2"/>
        <v>0.1</v>
      </c>
      <c r="S19" s="16">
        <f t="shared" si="2"/>
        <v>0.1</v>
      </c>
      <c r="T19" s="16">
        <f t="shared" si="2"/>
        <v>0.1</v>
      </c>
      <c r="U19" s="3">
        <f>T19</f>
        <v>0.1</v>
      </c>
      <c r="V19" s="3">
        <v>1</v>
      </c>
      <c r="W19" s="3">
        <v>0.1</v>
      </c>
      <c r="X19" s="3">
        <f>W19</f>
        <v>0.1</v>
      </c>
      <c r="Y19" s="3">
        <f>X19</f>
        <v>0.1</v>
      </c>
      <c r="Z19" s="3">
        <f>Y19</f>
        <v>0.1</v>
      </c>
      <c r="AA19" s="3">
        <f>Z19</f>
        <v>0.1</v>
      </c>
      <c r="AB19" s="3">
        <f>AA19</f>
        <v>0.1</v>
      </c>
      <c r="AC19" s="16">
        <f t="shared" si="0"/>
        <v>5.0999999999999988</v>
      </c>
      <c r="AD19" s="2">
        <f t="shared" si="3"/>
        <v>1861.4999999999995</v>
      </c>
      <c r="AE19" s="2"/>
      <c r="AF19" s="2"/>
    </row>
    <row r="20" spans="1:32" x14ac:dyDescent="0.3">
      <c r="A20" t="s">
        <v>355</v>
      </c>
      <c r="B20" t="s">
        <v>103</v>
      </c>
      <c r="C20" t="s">
        <v>410</v>
      </c>
      <c r="D20" t="s">
        <v>411</v>
      </c>
      <c r="E20" s="3"/>
      <c r="F20" s="3"/>
      <c r="G20" s="3"/>
      <c r="H20" s="3"/>
      <c r="I20" s="3"/>
      <c r="J20" s="3"/>
      <c r="K20" s="3"/>
      <c r="L20" s="3"/>
      <c r="M20" s="16"/>
      <c r="N20" s="16"/>
      <c r="O20" s="16"/>
      <c r="P20" s="16"/>
      <c r="Q20" s="16"/>
      <c r="R20" s="16"/>
      <c r="S20" s="16"/>
      <c r="T20" s="16"/>
      <c r="U20" s="3"/>
      <c r="V20" s="3"/>
      <c r="W20" s="3"/>
      <c r="X20" s="3"/>
      <c r="Y20" s="3"/>
      <c r="Z20" s="3"/>
      <c r="AA20" s="3"/>
      <c r="AB20" s="3"/>
      <c r="AC20" s="16">
        <f t="shared" si="0"/>
        <v>0</v>
      </c>
      <c r="AD20" s="2">
        <f t="shared" si="3"/>
        <v>0</v>
      </c>
      <c r="AE20" s="2"/>
      <c r="AF20" s="2"/>
    </row>
    <row r="21" spans="1:32" x14ac:dyDescent="0.3">
      <c r="A21" t="s">
        <v>355</v>
      </c>
      <c r="B21" t="s">
        <v>103</v>
      </c>
      <c r="C21" t="s">
        <v>412</v>
      </c>
      <c r="D21" t="s">
        <v>413</v>
      </c>
      <c r="E21" s="3"/>
      <c r="F21" s="3"/>
      <c r="G21" s="3"/>
      <c r="H21" s="3"/>
      <c r="I21" s="3"/>
      <c r="J21" s="3"/>
      <c r="K21" s="3"/>
      <c r="L21" s="3"/>
      <c r="M21" s="16"/>
      <c r="N21" s="16"/>
      <c r="O21" s="16"/>
      <c r="P21" s="16"/>
      <c r="Q21" s="16"/>
      <c r="R21" s="16"/>
      <c r="S21" s="16"/>
      <c r="T21" s="16"/>
      <c r="U21" s="3"/>
      <c r="V21" s="3"/>
      <c r="W21" s="3"/>
      <c r="X21" s="3"/>
      <c r="Y21" s="3"/>
      <c r="Z21" s="3"/>
      <c r="AA21" s="3"/>
      <c r="AB21" s="3"/>
      <c r="AC21" s="16">
        <f>SUM(E21:AB21)</f>
        <v>0</v>
      </c>
      <c r="AD21" s="2">
        <f t="shared" si="3"/>
        <v>0</v>
      </c>
      <c r="AE21" s="2"/>
      <c r="AF21" s="2"/>
    </row>
    <row r="22" spans="1:32" x14ac:dyDescent="0.3">
      <c r="A22" t="s">
        <v>355</v>
      </c>
      <c r="B22" t="s">
        <v>103</v>
      </c>
      <c r="C22" t="s">
        <v>414</v>
      </c>
      <c r="D22" t="s">
        <v>415</v>
      </c>
      <c r="E22" s="3">
        <v>0.5</v>
      </c>
      <c r="F22" s="3">
        <v>0.5</v>
      </c>
      <c r="G22" s="3">
        <v>0.5</v>
      </c>
      <c r="H22" s="3">
        <v>0.5</v>
      </c>
      <c r="I22" s="3">
        <v>0.5</v>
      </c>
      <c r="J22" s="3">
        <v>0.5</v>
      </c>
      <c r="K22" s="3">
        <v>0.5</v>
      </c>
      <c r="L22" s="3">
        <v>0.9</v>
      </c>
      <c r="M22" s="16">
        <v>1</v>
      </c>
      <c r="N22" s="16">
        <v>0.9</v>
      </c>
      <c r="O22" s="16">
        <v>0.75</v>
      </c>
      <c r="P22" s="16">
        <v>0.6</v>
      </c>
      <c r="Q22" s="16">
        <v>0.6</v>
      </c>
      <c r="R22" s="16">
        <v>0.6</v>
      </c>
      <c r="S22" s="16">
        <v>0.6</v>
      </c>
      <c r="T22" s="16">
        <v>0.6</v>
      </c>
      <c r="U22" s="3">
        <v>0.9</v>
      </c>
      <c r="V22" s="3">
        <v>1</v>
      </c>
      <c r="W22" s="3">
        <v>0.9</v>
      </c>
      <c r="X22" s="3">
        <v>0.75</v>
      </c>
      <c r="Y22" s="3">
        <v>0.5</v>
      </c>
      <c r="Z22" s="3">
        <v>0.5</v>
      </c>
      <c r="AA22" s="3">
        <v>0.5</v>
      </c>
      <c r="AB22" s="3">
        <v>0.5</v>
      </c>
      <c r="AC22" s="16">
        <f>SUM(E22:AB22)</f>
        <v>15.6</v>
      </c>
      <c r="AD22" s="2">
        <f t="shared" si="3"/>
        <v>5694</v>
      </c>
      <c r="AE22" s="2"/>
      <c r="AF22" s="2"/>
    </row>
    <row r="23" spans="1:32" x14ac:dyDescent="0.3">
      <c r="A23" t="s">
        <v>355</v>
      </c>
      <c r="B23" t="s">
        <v>103</v>
      </c>
      <c r="C23" t="s">
        <v>417</v>
      </c>
      <c r="D23" t="s">
        <v>416</v>
      </c>
      <c r="E23" s="3"/>
      <c r="F23" s="3"/>
      <c r="G23" s="3"/>
      <c r="H23" s="3"/>
      <c r="I23" s="3"/>
      <c r="J23" s="3"/>
      <c r="K23" s="3"/>
      <c r="L23" s="3"/>
      <c r="M23" s="16"/>
      <c r="N23" s="16"/>
      <c r="O23" s="16"/>
      <c r="P23" s="16"/>
      <c r="Q23" s="16"/>
      <c r="R23" s="16"/>
      <c r="S23" s="16"/>
      <c r="T23" s="16"/>
      <c r="U23" s="3"/>
      <c r="V23" s="3"/>
      <c r="W23" s="3"/>
      <c r="X23" s="3"/>
      <c r="Y23" s="3"/>
      <c r="Z23" s="3"/>
      <c r="AA23" s="3"/>
      <c r="AB23" s="3"/>
      <c r="AC23" s="16">
        <f>SUM(E23:AB23)</f>
        <v>0</v>
      </c>
      <c r="AD23" s="2">
        <f t="shared" si="3"/>
        <v>0</v>
      </c>
      <c r="AE23" s="2"/>
      <c r="AF23" s="2"/>
    </row>
    <row r="24" spans="1:32" x14ac:dyDescent="0.3">
      <c r="A24" t="s">
        <v>399</v>
      </c>
      <c r="B24" t="s">
        <v>400</v>
      </c>
      <c r="C24" t="s">
        <v>403</v>
      </c>
      <c r="E24" s="3">
        <v>0.1</v>
      </c>
      <c r="F24" s="3">
        <f>E24</f>
        <v>0.1</v>
      </c>
      <c r="G24" s="3">
        <f>F24</f>
        <v>0.1</v>
      </c>
      <c r="H24" s="3">
        <f>G24</f>
        <v>0.1</v>
      </c>
      <c r="I24" s="3">
        <f>H24</f>
        <v>0.1</v>
      </c>
      <c r="J24" s="3">
        <f>I24</f>
        <v>0.1</v>
      </c>
      <c r="K24" s="3">
        <v>0.5</v>
      </c>
      <c r="L24" s="3">
        <v>0.6</v>
      </c>
      <c r="M24" s="16">
        <v>0.6</v>
      </c>
      <c r="N24" s="16">
        <v>0.3</v>
      </c>
      <c r="O24" s="16">
        <v>0.2</v>
      </c>
      <c r="P24" s="16">
        <f>O24</f>
        <v>0.2</v>
      </c>
      <c r="Q24" s="16">
        <f>P24</f>
        <v>0.2</v>
      </c>
      <c r="R24" s="16">
        <f>Q24</f>
        <v>0.2</v>
      </c>
      <c r="S24" s="16">
        <f>R24</f>
        <v>0.2</v>
      </c>
      <c r="T24" s="16">
        <f>S24</f>
        <v>0.2</v>
      </c>
      <c r="U24" s="3">
        <v>0.5</v>
      </c>
      <c r="V24" s="3">
        <v>0.6</v>
      </c>
      <c r="W24" s="3">
        <v>0.5</v>
      </c>
      <c r="X24" s="3">
        <v>0.2</v>
      </c>
      <c r="Y24" s="3">
        <v>0.1</v>
      </c>
      <c r="Z24" s="3">
        <f>Y24</f>
        <v>0.1</v>
      </c>
      <c r="AA24" s="3">
        <f>Z24</f>
        <v>0.1</v>
      </c>
      <c r="AB24" s="3">
        <f>AA24</f>
        <v>0.1</v>
      </c>
      <c r="AC24" s="16">
        <f>SUM(E24:AB24)</f>
        <v>5.9999999999999991</v>
      </c>
      <c r="AD24" s="2">
        <f t="shared" si="3"/>
        <v>2189.9999999999995</v>
      </c>
      <c r="AE24" s="2"/>
      <c r="AF24" s="2"/>
    </row>
    <row r="25" spans="1:32" x14ac:dyDescent="0.3">
      <c r="A25" t="s">
        <v>344</v>
      </c>
    </row>
    <row r="26" spans="1:32" x14ac:dyDescent="0.3">
      <c r="A26" s="2612" t="s">
        <v>51</v>
      </c>
      <c r="B26" s="2612" t="s">
        <v>444</v>
      </c>
      <c r="C26" s="2612" t="s">
        <v>457</v>
      </c>
      <c r="D26" s="165" t="s">
        <v>445</v>
      </c>
      <c r="E26" s="165">
        <v>0.2</v>
      </c>
      <c r="F26" s="165">
        <v>0.2</v>
      </c>
      <c r="G26" s="165">
        <v>0.2</v>
      </c>
      <c r="H26" s="165">
        <v>0.2</v>
      </c>
      <c r="I26" s="165">
        <v>0.2</v>
      </c>
      <c r="J26" s="165">
        <v>0.2</v>
      </c>
      <c r="K26" s="165">
        <v>0.8</v>
      </c>
      <c r="L26" s="165">
        <v>0.8</v>
      </c>
      <c r="M26" s="165">
        <v>0.4</v>
      </c>
      <c r="N26" s="165">
        <v>0.4</v>
      </c>
      <c r="O26" s="165">
        <v>0.4</v>
      </c>
      <c r="P26" s="165">
        <v>0.4</v>
      </c>
      <c r="Q26" s="165">
        <v>0.4</v>
      </c>
      <c r="R26" s="165">
        <v>0.4</v>
      </c>
      <c r="S26" s="165">
        <v>0.4</v>
      </c>
      <c r="T26" s="165">
        <v>0.5</v>
      </c>
      <c r="U26" s="165">
        <v>0.7</v>
      </c>
      <c r="V26" s="165">
        <v>0.9</v>
      </c>
      <c r="W26" s="165">
        <v>0.9</v>
      </c>
      <c r="X26" s="165">
        <v>0.6</v>
      </c>
      <c r="Y26" s="165">
        <v>0.5</v>
      </c>
      <c r="Z26" s="165">
        <v>0.5</v>
      </c>
      <c r="AA26" s="165">
        <v>0.4</v>
      </c>
      <c r="AB26" s="165">
        <v>0.2</v>
      </c>
      <c r="AC26" s="219">
        <f t="shared" ref="AC26:AC35" si="6">SUM(E26:AB26)</f>
        <v>10.8</v>
      </c>
      <c r="AD26" s="224">
        <f>AC26*$E$11</f>
        <v>2700</v>
      </c>
      <c r="AE26" s="2616">
        <f>SUM(AD26:AD27)</f>
        <v>3913.25</v>
      </c>
      <c r="AF26" s="2614">
        <f>SUMPRODUCT($E$11:$E$12,AC26:AC27)/$E$6</f>
        <v>10.721232876712328</v>
      </c>
    </row>
    <row r="27" spans="1:32" x14ac:dyDescent="0.3">
      <c r="A27" s="2613"/>
      <c r="B27" s="2613"/>
      <c r="C27" s="2613"/>
      <c r="D27" s="21" t="s">
        <v>446</v>
      </c>
      <c r="E27" s="21">
        <v>0.2</v>
      </c>
      <c r="F27" s="21">
        <v>0.2</v>
      </c>
      <c r="G27" s="21">
        <v>0.2</v>
      </c>
      <c r="H27" s="21">
        <v>0.2</v>
      </c>
      <c r="I27" s="21">
        <v>0.2</v>
      </c>
      <c r="J27" s="21">
        <v>0.2</v>
      </c>
      <c r="K27" s="21">
        <v>0.2</v>
      </c>
      <c r="L27" s="21">
        <v>0.5</v>
      </c>
      <c r="M27" s="21">
        <v>0.75</v>
      </c>
      <c r="N27" s="21">
        <v>0.75</v>
      </c>
      <c r="O27" s="21">
        <v>0.4</v>
      </c>
      <c r="P27" s="21">
        <v>0.4</v>
      </c>
      <c r="Q27" s="21">
        <v>0.4</v>
      </c>
      <c r="R27" s="21">
        <v>0.4</v>
      </c>
      <c r="S27" s="21">
        <v>0.4</v>
      </c>
      <c r="T27" s="21">
        <v>0.4</v>
      </c>
      <c r="U27" s="21">
        <v>0.8</v>
      </c>
      <c r="V27" s="21">
        <v>0.9</v>
      </c>
      <c r="W27" s="21">
        <v>0.75</v>
      </c>
      <c r="X27" s="21">
        <v>0.6</v>
      </c>
      <c r="Y27" s="21">
        <v>0.5</v>
      </c>
      <c r="Z27" s="21">
        <v>0.5</v>
      </c>
      <c r="AA27" s="21">
        <v>0.4</v>
      </c>
      <c r="AB27" s="21">
        <v>0.3</v>
      </c>
      <c r="AC27" s="223">
        <f t="shared" si="6"/>
        <v>10.550000000000002</v>
      </c>
      <c r="AD27" s="222">
        <f>AC27*$E$12</f>
        <v>1213.2500000000002</v>
      </c>
      <c r="AE27" s="2617"/>
      <c r="AF27" s="2615"/>
    </row>
    <row r="28" spans="1:32" x14ac:dyDescent="0.3">
      <c r="A28" s="196" t="s">
        <v>51</v>
      </c>
      <c r="B28" s="231" t="s">
        <v>444</v>
      </c>
      <c r="C28" t="s">
        <v>306</v>
      </c>
      <c r="E28">
        <v>0.05</v>
      </c>
      <c r="F28">
        <v>0.05</v>
      </c>
      <c r="G28">
        <v>0.05</v>
      </c>
      <c r="H28">
        <v>0.05</v>
      </c>
      <c r="I28">
        <v>0.05</v>
      </c>
      <c r="J28">
        <v>0.05</v>
      </c>
      <c r="K28">
        <v>0.05</v>
      </c>
      <c r="L28">
        <v>0.05</v>
      </c>
      <c r="M28">
        <v>0.5</v>
      </c>
      <c r="N28">
        <v>0.5</v>
      </c>
      <c r="O28">
        <v>0.5</v>
      </c>
      <c r="P28">
        <v>0.5</v>
      </c>
      <c r="Q28">
        <v>0.3</v>
      </c>
      <c r="R28">
        <v>0.5</v>
      </c>
      <c r="S28">
        <v>0.5</v>
      </c>
      <c r="T28">
        <v>0.5</v>
      </c>
      <c r="U28">
        <v>0.5</v>
      </c>
      <c r="V28">
        <v>0.5</v>
      </c>
      <c r="W28">
        <v>0.35</v>
      </c>
      <c r="X28">
        <v>0.05</v>
      </c>
      <c r="Y28">
        <v>0.05</v>
      </c>
      <c r="Z28">
        <v>0.05</v>
      </c>
      <c r="AA28">
        <v>0.05</v>
      </c>
      <c r="AB28">
        <v>0.05</v>
      </c>
      <c r="AC28" s="16">
        <f t="shared" si="6"/>
        <v>5.799999999999998</v>
      </c>
      <c r="AD28" s="2">
        <f>AC28*$E$6</f>
        <v>2116.9999999999991</v>
      </c>
      <c r="AE28" s="2"/>
    </row>
    <row r="29" spans="1:32" x14ac:dyDescent="0.3">
      <c r="A29" s="196" t="s">
        <v>51</v>
      </c>
      <c r="B29" s="231" t="s">
        <v>444</v>
      </c>
      <c r="C29" t="s">
        <v>1027</v>
      </c>
      <c r="E29">
        <v>0.1</v>
      </c>
      <c r="F29">
        <v>0.1</v>
      </c>
      <c r="G29">
        <v>0.1</v>
      </c>
      <c r="H29">
        <v>0.1</v>
      </c>
      <c r="I29">
        <v>0.1</v>
      </c>
      <c r="J29">
        <v>0.3</v>
      </c>
      <c r="K29">
        <v>0.45</v>
      </c>
      <c r="L29">
        <v>0.45</v>
      </c>
      <c r="M29">
        <v>0.45</v>
      </c>
      <c r="N29">
        <v>0.45</v>
      </c>
      <c r="O29">
        <v>0.3</v>
      </c>
      <c r="P29">
        <v>0.3</v>
      </c>
      <c r="Q29">
        <v>0.3</v>
      </c>
      <c r="R29">
        <v>0.3</v>
      </c>
      <c r="S29">
        <v>0.3</v>
      </c>
      <c r="T29">
        <v>0.3</v>
      </c>
      <c r="U29">
        <v>0.3</v>
      </c>
      <c r="V29">
        <v>0.3</v>
      </c>
      <c r="W29">
        <v>0.6</v>
      </c>
      <c r="X29">
        <v>0.8</v>
      </c>
      <c r="Y29">
        <v>0.9</v>
      </c>
      <c r="Z29">
        <v>0.8</v>
      </c>
      <c r="AA29">
        <v>0.6</v>
      </c>
      <c r="AB29">
        <v>0.3</v>
      </c>
      <c r="AC29" s="16">
        <f t="shared" si="6"/>
        <v>9</v>
      </c>
      <c r="AD29" s="2">
        <f>AC29*$E$6</f>
        <v>3285</v>
      </c>
      <c r="AE29" s="2"/>
    </row>
    <row r="30" spans="1:32" x14ac:dyDescent="0.3">
      <c r="A30" s="2612" t="s">
        <v>458</v>
      </c>
      <c r="B30" s="2612" t="s">
        <v>456</v>
      </c>
      <c r="C30" s="2612" t="s">
        <v>351</v>
      </c>
      <c r="D30" s="220" t="s">
        <v>459</v>
      </c>
      <c r="E30" s="165">
        <v>0.25</v>
      </c>
      <c r="F30" s="165">
        <v>0.25</v>
      </c>
      <c r="G30" s="165">
        <v>0.25</v>
      </c>
      <c r="H30" s="165">
        <v>0.25</v>
      </c>
      <c r="I30" s="165">
        <v>0.25</v>
      </c>
      <c r="J30" s="165">
        <v>0.5</v>
      </c>
      <c r="K30" s="165">
        <v>0.8</v>
      </c>
      <c r="L30" s="165">
        <v>0.8</v>
      </c>
      <c r="M30" s="165">
        <v>0.8</v>
      </c>
      <c r="N30" s="165">
        <v>0.8</v>
      </c>
      <c r="O30" s="165">
        <v>0.8</v>
      </c>
      <c r="P30" s="165">
        <v>0.8</v>
      </c>
      <c r="Q30" s="165">
        <v>0.8</v>
      </c>
      <c r="R30" s="165">
        <v>0.8</v>
      </c>
      <c r="S30" s="165">
        <v>0.8</v>
      </c>
      <c r="T30" s="165">
        <v>0.8</v>
      </c>
      <c r="U30" s="165">
        <v>0.8</v>
      </c>
      <c r="V30" s="165">
        <v>0.8</v>
      </c>
      <c r="W30" s="165">
        <v>0.8</v>
      </c>
      <c r="X30" s="165">
        <v>0.8</v>
      </c>
      <c r="Y30" s="165">
        <v>0.8</v>
      </c>
      <c r="Z30" s="165">
        <v>0.5</v>
      </c>
      <c r="AA30" s="165">
        <v>0.25</v>
      </c>
      <c r="AB30" s="165">
        <v>0.25</v>
      </c>
      <c r="AC30" s="219">
        <f t="shared" si="6"/>
        <v>14.750000000000004</v>
      </c>
      <c r="AD30" s="224">
        <f>AC30*$E$11</f>
        <v>3687.5000000000009</v>
      </c>
      <c r="AE30" s="2616">
        <f>SUM(AD30:AD31)</f>
        <v>5383.7500000000018</v>
      </c>
      <c r="AF30" s="2614">
        <f>SUMPRODUCT($E$11:$E$12,AC30:AC31)/$E$6</f>
        <v>14.750000000000005</v>
      </c>
    </row>
    <row r="31" spans="1:32" x14ac:dyDescent="0.3">
      <c r="A31" s="2613"/>
      <c r="B31" s="2613"/>
      <c r="C31" s="2613"/>
      <c r="D31" s="226" t="s">
        <v>460</v>
      </c>
      <c r="E31" s="21">
        <v>0.25</v>
      </c>
      <c r="F31" s="21">
        <v>0.25</v>
      </c>
      <c r="G31" s="21">
        <v>0.25</v>
      </c>
      <c r="H31" s="21">
        <v>0.25</v>
      </c>
      <c r="I31" s="21">
        <v>0.25</v>
      </c>
      <c r="J31" s="21">
        <v>0.25</v>
      </c>
      <c r="K31" s="21">
        <v>0.5</v>
      </c>
      <c r="L31" s="21">
        <v>0.8</v>
      </c>
      <c r="M31" s="21">
        <v>0.8</v>
      </c>
      <c r="N31" s="21">
        <v>0.8</v>
      </c>
      <c r="O31" s="21">
        <v>0.8</v>
      </c>
      <c r="P31" s="21">
        <v>0.8</v>
      </c>
      <c r="Q31" s="21">
        <v>0.8</v>
      </c>
      <c r="R31" s="21">
        <v>0.8</v>
      </c>
      <c r="S31" s="21">
        <v>0.8</v>
      </c>
      <c r="T31" s="21">
        <v>0.8</v>
      </c>
      <c r="U31" s="21">
        <v>0.8</v>
      </c>
      <c r="V31" s="21">
        <v>0.8</v>
      </c>
      <c r="W31" s="21">
        <v>0.8</v>
      </c>
      <c r="X31" s="21">
        <v>0.8</v>
      </c>
      <c r="Y31" s="21">
        <v>0.8</v>
      </c>
      <c r="Z31" s="21">
        <v>0.8</v>
      </c>
      <c r="AA31" s="21">
        <v>0.5</v>
      </c>
      <c r="AB31" s="21">
        <v>0.25</v>
      </c>
      <c r="AC31" s="223">
        <f t="shared" si="6"/>
        <v>14.750000000000004</v>
      </c>
      <c r="AD31" s="222">
        <f>AC31*$E$12</f>
        <v>1696.2500000000005</v>
      </c>
      <c r="AE31" s="2617"/>
      <c r="AF31" s="2615"/>
    </row>
    <row r="32" spans="1:32" x14ac:dyDescent="0.3">
      <c r="AE32" s="20"/>
    </row>
    <row r="33" spans="1:32" x14ac:dyDescent="0.3">
      <c r="A33" s="2620"/>
      <c r="B33" s="2620" t="s">
        <v>456</v>
      </c>
      <c r="C33" s="2620"/>
      <c r="D33" t="s">
        <v>568</v>
      </c>
      <c r="E33">
        <v>0.05</v>
      </c>
      <c r="F33">
        <v>0.05</v>
      </c>
      <c r="G33">
        <v>0.05</v>
      </c>
      <c r="H33">
        <v>0.05</v>
      </c>
      <c r="I33">
        <v>0.05</v>
      </c>
      <c r="J33">
        <v>0.1</v>
      </c>
      <c r="K33">
        <v>0.1</v>
      </c>
      <c r="L33">
        <v>0.3</v>
      </c>
      <c r="M33">
        <v>0.9</v>
      </c>
      <c r="N33">
        <v>0.9</v>
      </c>
      <c r="O33">
        <v>0.9</v>
      </c>
      <c r="P33">
        <v>0.9</v>
      </c>
      <c r="Q33">
        <v>0.8</v>
      </c>
      <c r="R33">
        <v>0.9</v>
      </c>
      <c r="S33">
        <v>0.9</v>
      </c>
      <c r="T33">
        <v>0.9</v>
      </c>
      <c r="U33">
        <v>0.9</v>
      </c>
      <c r="V33">
        <v>0.5</v>
      </c>
      <c r="W33">
        <v>0.3</v>
      </c>
      <c r="X33">
        <v>0.3</v>
      </c>
      <c r="Y33">
        <v>0.2</v>
      </c>
      <c r="Z33">
        <v>0.2</v>
      </c>
      <c r="AA33">
        <v>0.1</v>
      </c>
      <c r="AB33">
        <v>0.05</v>
      </c>
      <c r="AC33" s="433">
        <f t="shared" si="6"/>
        <v>10.4</v>
      </c>
      <c r="AD33" s="373">
        <f>AC33*$E$7</f>
        <v>2600</v>
      </c>
      <c r="AE33" s="2618">
        <f>SUM(AD33:AD35)</f>
        <v>3599.9999999999995</v>
      </c>
      <c r="AF33" s="2619">
        <f>SUMPRODUCT($E$7:$E$9,AC33:AC35)/$E$6</f>
        <v>7.7293150684931504</v>
      </c>
    </row>
    <row r="34" spans="1:32" x14ac:dyDescent="0.3">
      <c r="A34" s="2620"/>
      <c r="B34" s="2620" t="s">
        <v>456</v>
      </c>
      <c r="C34" s="2620" t="s">
        <v>347</v>
      </c>
      <c r="D34" t="s">
        <v>569</v>
      </c>
      <c r="E34">
        <v>0.05</v>
      </c>
      <c r="F34">
        <v>0.05</v>
      </c>
      <c r="G34">
        <v>0.05</v>
      </c>
      <c r="H34">
        <v>0.05</v>
      </c>
      <c r="I34">
        <v>0.05</v>
      </c>
      <c r="J34">
        <v>0.05</v>
      </c>
      <c r="K34">
        <v>0.1</v>
      </c>
      <c r="L34">
        <v>0.1</v>
      </c>
      <c r="M34">
        <v>0.3</v>
      </c>
      <c r="N34">
        <v>0.3</v>
      </c>
      <c r="O34">
        <v>0.3</v>
      </c>
      <c r="P34">
        <v>0.3</v>
      </c>
      <c r="Q34">
        <v>0.15</v>
      </c>
      <c r="R34">
        <v>0.15</v>
      </c>
      <c r="S34">
        <v>0.15</v>
      </c>
      <c r="T34">
        <v>0.15</v>
      </c>
      <c r="U34">
        <v>0.15</v>
      </c>
      <c r="V34">
        <v>0.05</v>
      </c>
      <c r="W34">
        <v>0.05</v>
      </c>
      <c r="X34">
        <v>0.05</v>
      </c>
      <c r="Y34">
        <v>0.05</v>
      </c>
      <c r="Z34">
        <v>0.05</v>
      </c>
      <c r="AA34">
        <v>0.05</v>
      </c>
      <c r="AB34">
        <v>0.05</v>
      </c>
      <c r="AC34" s="433">
        <f t="shared" si="6"/>
        <v>2.7999999999999985</v>
      </c>
      <c r="AD34" s="373">
        <f>AC34*$E$7</f>
        <v>699.99999999999966</v>
      </c>
      <c r="AE34" s="2618"/>
      <c r="AF34" s="2619"/>
    </row>
    <row r="35" spans="1:32" x14ac:dyDescent="0.3">
      <c r="A35" s="2620"/>
      <c r="B35" s="2620"/>
      <c r="C35" s="2620"/>
      <c r="D35" t="s">
        <v>570</v>
      </c>
      <c r="E35">
        <v>0.05</v>
      </c>
      <c r="F35">
        <v>0.05</v>
      </c>
      <c r="G35">
        <v>0.05</v>
      </c>
      <c r="H35">
        <v>0.05</v>
      </c>
      <c r="I35">
        <v>0.05</v>
      </c>
      <c r="J35">
        <v>0.05</v>
      </c>
      <c r="K35">
        <v>0.05</v>
      </c>
      <c r="L35">
        <v>0.05</v>
      </c>
      <c r="M35">
        <v>0.05</v>
      </c>
      <c r="N35">
        <v>0.05</v>
      </c>
      <c r="O35">
        <v>0.05</v>
      </c>
      <c r="P35">
        <v>0.05</v>
      </c>
      <c r="Q35">
        <v>0.05</v>
      </c>
      <c r="R35">
        <v>0.05</v>
      </c>
      <c r="S35">
        <v>0.05</v>
      </c>
      <c r="T35">
        <v>0.05</v>
      </c>
      <c r="U35">
        <v>0.05</v>
      </c>
      <c r="V35">
        <v>0.05</v>
      </c>
      <c r="W35">
        <v>0.05</v>
      </c>
      <c r="X35">
        <v>0.05</v>
      </c>
      <c r="Y35">
        <v>0.05</v>
      </c>
      <c r="Z35">
        <v>0.05</v>
      </c>
      <c r="AA35">
        <v>0.05</v>
      </c>
      <c r="AB35">
        <v>0.05</v>
      </c>
      <c r="AC35" s="433">
        <f t="shared" si="6"/>
        <v>1.2000000000000004</v>
      </c>
      <c r="AD35" s="373">
        <f>AC35*$E$7</f>
        <v>300.00000000000011</v>
      </c>
      <c r="AE35" s="2618"/>
      <c r="AF35" s="2619"/>
    </row>
    <row r="36" spans="1:32" x14ac:dyDescent="0.3">
      <c r="AC36" s="433"/>
      <c r="AD36" s="2"/>
    </row>
    <row r="37" spans="1:32" x14ac:dyDescent="0.3">
      <c r="A37" t="s">
        <v>639</v>
      </c>
      <c r="D37" t="s">
        <v>440</v>
      </c>
      <c r="E37">
        <v>1.17</v>
      </c>
      <c r="F37">
        <v>1.17</v>
      </c>
      <c r="G37">
        <v>1.17</v>
      </c>
      <c r="H37">
        <v>1.17</v>
      </c>
      <c r="I37">
        <v>1.17</v>
      </c>
      <c r="J37">
        <v>1.17</v>
      </c>
      <c r="K37">
        <v>1.17</v>
      </c>
      <c r="L37">
        <v>1.17</v>
      </c>
      <c r="M37">
        <v>1.17</v>
      </c>
      <c r="N37">
        <v>1.17</v>
      </c>
      <c r="O37">
        <v>1.17</v>
      </c>
      <c r="P37">
        <v>1.17</v>
      </c>
      <c r="Q37">
        <v>1.17</v>
      </c>
      <c r="R37">
        <v>1.17</v>
      </c>
      <c r="S37">
        <v>1.17</v>
      </c>
      <c r="T37">
        <v>1.17</v>
      </c>
      <c r="U37">
        <v>1.17</v>
      </c>
      <c r="V37">
        <v>1.17</v>
      </c>
      <c r="W37">
        <v>1.17</v>
      </c>
      <c r="X37">
        <v>1.17</v>
      </c>
      <c r="Y37">
        <v>1.17</v>
      </c>
      <c r="Z37">
        <v>1.17</v>
      </c>
      <c r="AA37">
        <v>1.17</v>
      </c>
      <c r="AB37">
        <v>1.17</v>
      </c>
      <c r="AC37" s="433">
        <f>SUM(E37:AB37)</f>
        <v>28.080000000000013</v>
      </c>
      <c r="AD37" s="373">
        <f>AC37*$E$7</f>
        <v>7020.0000000000027</v>
      </c>
    </row>
    <row r="38" spans="1:32" x14ac:dyDescent="0.3">
      <c r="D38" t="s">
        <v>440</v>
      </c>
      <c r="E38">
        <v>0.1522</v>
      </c>
      <c r="F38">
        <v>0.1522</v>
      </c>
      <c r="G38">
        <v>0.1522</v>
      </c>
      <c r="H38">
        <v>0.1522</v>
      </c>
      <c r="I38">
        <v>0.1522</v>
      </c>
      <c r="J38">
        <v>0.23910000000000001</v>
      </c>
      <c r="K38">
        <v>0.23910000000000001</v>
      </c>
      <c r="L38">
        <v>0.23910000000000001</v>
      </c>
      <c r="M38">
        <v>0.23910000000000001</v>
      </c>
      <c r="N38">
        <v>0.23910000000000001</v>
      </c>
      <c r="O38">
        <v>0.23910000000000001</v>
      </c>
      <c r="P38">
        <v>0.23910000000000001</v>
      </c>
      <c r="Q38">
        <v>0.23910000000000001</v>
      </c>
      <c r="R38">
        <v>0.23910000000000001</v>
      </c>
      <c r="S38">
        <v>0.23910000000000001</v>
      </c>
      <c r="T38">
        <v>0.23910000000000001</v>
      </c>
      <c r="U38">
        <v>0.23910000000000001</v>
      </c>
      <c r="V38">
        <v>0.23910000000000001</v>
      </c>
      <c r="W38">
        <v>0.23910000000000001</v>
      </c>
      <c r="X38">
        <v>0.23910000000000001</v>
      </c>
      <c r="Y38">
        <v>0.23910000000000001</v>
      </c>
      <c r="Z38">
        <v>0.1522</v>
      </c>
      <c r="AA38">
        <v>0.1522</v>
      </c>
      <c r="AB38">
        <v>0.1522</v>
      </c>
      <c r="AC38" s="433">
        <f>SUM(E38:AB38)</f>
        <v>5.0431999999999988</v>
      </c>
      <c r="AD38" s="373">
        <f>AC38*$E$7</f>
        <v>1260.7999999999997</v>
      </c>
    </row>
    <row r="39" spans="1:32" x14ac:dyDescent="0.3">
      <c r="E39" s="500">
        <v>9.608321523574033E-2</v>
      </c>
      <c r="F39" s="500">
        <v>9.608321523574033E-2</v>
      </c>
      <c r="G39" s="500">
        <v>9.608321523574033E-2</v>
      </c>
      <c r="H39" s="500">
        <v>9.608321523574033E-2</v>
      </c>
      <c r="I39" s="500">
        <v>9.608321523574033E-2</v>
      </c>
      <c r="J39" s="505">
        <v>0.19706241142680522</v>
      </c>
      <c r="K39" s="500">
        <v>0.19706241142680522</v>
      </c>
      <c r="L39" s="500">
        <v>0.19706241142680522</v>
      </c>
      <c r="M39" s="500">
        <v>0.19706241142680522</v>
      </c>
      <c r="N39" s="500">
        <v>0.19706241142680522</v>
      </c>
      <c r="O39" s="500">
        <v>0.19706241142680522</v>
      </c>
      <c r="P39" s="500">
        <v>0.19706241142680522</v>
      </c>
      <c r="Q39" s="500">
        <v>0.19706241142680522</v>
      </c>
      <c r="R39" s="500">
        <v>0.19706241142680522</v>
      </c>
      <c r="S39" s="500">
        <v>0.19706241142680522</v>
      </c>
      <c r="T39" s="500">
        <v>0.19706241142680522</v>
      </c>
      <c r="U39" s="500">
        <v>0.19706241142680522</v>
      </c>
      <c r="V39" s="500">
        <v>0.19706241142680522</v>
      </c>
      <c r="W39" s="500">
        <v>0.19706241142680522</v>
      </c>
      <c r="X39" s="500">
        <v>0.19706241142680522</v>
      </c>
      <c r="Y39" s="500">
        <v>0.19706241142680522</v>
      </c>
      <c r="Z39" s="505">
        <v>9.608321523574033E-2</v>
      </c>
      <c r="AA39" s="500">
        <v>9.608321523574033E-2</v>
      </c>
      <c r="AB39" s="500">
        <v>9.608321523574033E-2</v>
      </c>
      <c r="AC39" s="433">
        <f>SUM(E39:AB39)</f>
        <v>3.9216643047148074</v>
      </c>
      <c r="AD39" s="373">
        <f>AC39*$E$7</f>
        <v>980.41607617870181</v>
      </c>
    </row>
    <row r="40" spans="1:32" x14ac:dyDescent="0.3">
      <c r="AC40" s="16"/>
      <c r="AD40" s="2"/>
    </row>
    <row r="41" spans="1:32" x14ac:dyDescent="0.3">
      <c r="AC41" s="16"/>
      <c r="AD41" s="2"/>
    </row>
    <row r="42" spans="1:32" x14ac:dyDescent="0.3">
      <c r="AC42" s="16"/>
      <c r="AD42" s="2"/>
    </row>
    <row r="43" spans="1:32" x14ac:dyDescent="0.3">
      <c r="D43" t="s">
        <v>440</v>
      </c>
      <c r="E43">
        <v>0.87</v>
      </c>
      <c r="F43">
        <v>0.87</v>
      </c>
      <c r="G43">
        <v>0.87</v>
      </c>
      <c r="H43">
        <v>0.87</v>
      </c>
      <c r="I43">
        <v>0.87</v>
      </c>
      <c r="J43">
        <v>0.87</v>
      </c>
      <c r="K43">
        <v>0.87</v>
      </c>
      <c r="L43">
        <v>0.87</v>
      </c>
      <c r="M43">
        <v>0.87</v>
      </c>
      <c r="N43">
        <v>0.87</v>
      </c>
      <c r="O43">
        <v>0.87</v>
      </c>
      <c r="P43">
        <v>0.87</v>
      </c>
      <c r="Q43">
        <v>0.87</v>
      </c>
      <c r="R43">
        <v>0.87</v>
      </c>
      <c r="S43">
        <v>0.87</v>
      </c>
      <c r="T43">
        <v>0.87</v>
      </c>
      <c r="U43">
        <v>0.87</v>
      </c>
      <c r="V43">
        <v>0.87</v>
      </c>
      <c r="W43">
        <v>0.87</v>
      </c>
      <c r="X43">
        <v>0.87</v>
      </c>
      <c r="Y43">
        <v>0.87</v>
      </c>
      <c r="Z43">
        <v>0.87</v>
      </c>
      <c r="AA43">
        <v>0.87</v>
      </c>
      <c r="AB43">
        <v>0.87</v>
      </c>
      <c r="AC43" s="433">
        <f>SUM(E43:AB43)</f>
        <v>20.88</v>
      </c>
      <c r="AD43" s="373">
        <f>AC43*$E$7</f>
        <v>5220</v>
      </c>
    </row>
    <row r="44" spans="1:32" x14ac:dyDescent="0.3">
      <c r="AC44" s="433">
        <f t="shared" ref="AC44:AC55" si="7">SUM(E44:AB44)</f>
        <v>0</v>
      </c>
      <c r="AD44" s="373">
        <f t="shared" ref="AD44:AD55" si="8">AC44*$E$7</f>
        <v>0</v>
      </c>
    </row>
    <row r="45" spans="1:32" x14ac:dyDescent="0.3">
      <c r="D45" t="s">
        <v>440</v>
      </c>
      <c r="E45">
        <v>1.22</v>
      </c>
      <c r="F45">
        <v>1.22</v>
      </c>
      <c r="G45">
        <v>1.22</v>
      </c>
      <c r="H45">
        <v>1.22</v>
      </c>
      <c r="I45">
        <v>1.22</v>
      </c>
      <c r="J45">
        <v>1.22</v>
      </c>
      <c r="K45">
        <v>1.22</v>
      </c>
      <c r="L45">
        <v>1.22</v>
      </c>
      <c r="M45">
        <v>1.22</v>
      </c>
      <c r="N45">
        <v>1.22</v>
      </c>
      <c r="O45">
        <v>1.22</v>
      </c>
      <c r="P45">
        <v>1.22</v>
      </c>
      <c r="Q45">
        <v>1.22</v>
      </c>
      <c r="R45">
        <v>1.22</v>
      </c>
      <c r="S45">
        <v>1.22</v>
      </c>
      <c r="T45">
        <v>1.22</v>
      </c>
      <c r="U45">
        <v>1.22</v>
      </c>
      <c r="V45">
        <v>1.22</v>
      </c>
      <c r="W45">
        <v>1.22</v>
      </c>
      <c r="X45">
        <v>1.22</v>
      </c>
      <c r="Y45">
        <v>1.22</v>
      </c>
      <c r="Z45">
        <v>1.22</v>
      </c>
      <c r="AA45">
        <v>1.22</v>
      </c>
      <c r="AB45">
        <v>1.22</v>
      </c>
      <c r="AC45" s="433">
        <f t="shared" si="7"/>
        <v>29.27999999999999</v>
      </c>
      <c r="AD45" s="373">
        <f t="shared" si="8"/>
        <v>7319.9999999999973</v>
      </c>
    </row>
    <row r="46" spans="1:32" x14ac:dyDescent="0.3">
      <c r="D46" t="s">
        <v>440</v>
      </c>
      <c r="E46">
        <v>1.28</v>
      </c>
      <c r="F46">
        <v>1.28</v>
      </c>
      <c r="G46">
        <v>1.28</v>
      </c>
      <c r="H46">
        <v>1.28</v>
      </c>
      <c r="I46">
        <v>1.28</v>
      </c>
      <c r="J46">
        <v>1.28</v>
      </c>
      <c r="K46">
        <v>1.28</v>
      </c>
      <c r="L46">
        <v>1.28</v>
      </c>
      <c r="M46">
        <v>1.28</v>
      </c>
      <c r="N46">
        <v>1.28</v>
      </c>
      <c r="O46">
        <v>1.28</v>
      </c>
      <c r="P46">
        <v>1.28</v>
      </c>
      <c r="Q46">
        <v>1.28</v>
      </c>
      <c r="R46">
        <v>1.28</v>
      </c>
      <c r="S46">
        <v>1.28</v>
      </c>
      <c r="T46">
        <v>1.28</v>
      </c>
      <c r="U46">
        <v>1.28</v>
      </c>
      <c r="V46">
        <v>1.28</v>
      </c>
      <c r="W46">
        <v>1.28</v>
      </c>
      <c r="X46">
        <v>1.28</v>
      </c>
      <c r="Y46">
        <v>1.28</v>
      </c>
      <c r="Z46">
        <v>1.28</v>
      </c>
      <c r="AA46">
        <v>1.28</v>
      </c>
      <c r="AB46">
        <v>1.28</v>
      </c>
      <c r="AC46" s="433">
        <f t="shared" si="7"/>
        <v>30.72000000000001</v>
      </c>
      <c r="AD46" s="373">
        <f t="shared" si="8"/>
        <v>7680.0000000000027</v>
      </c>
    </row>
    <row r="47" spans="1:32" x14ac:dyDescent="0.3">
      <c r="D47" t="s">
        <v>440</v>
      </c>
      <c r="E47">
        <v>1.42</v>
      </c>
      <c r="F47">
        <v>1.42</v>
      </c>
      <c r="G47">
        <v>1.42</v>
      </c>
      <c r="H47">
        <v>1.42</v>
      </c>
      <c r="I47">
        <v>1.42</v>
      </c>
      <c r="J47">
        <v>1.42</v>
      </c>
      <c r="K47">
        <v>1.42</v>
      </c>
      <c r="L47">
        <v>1.42</v>
      </c>
      <c r="M47">
        <v>1.42</v>
      </c>
      <c r="N47">
        <v>1.42</v>
      </c>
      <c r="O47">
        <v>1.42</v>
      </c>
      <c r="P47">
        <v>1.42</v>
      </c>
      <c r="Q47">
        <v>1.42</v>
      </c>
      <c r="R47">
        <v>1.42</v>
      </c>
      <c r="S47">
        <v>1.42</v>
      </c>
      <c r="T47">
        <v>1.42</v>
      </c>
      <c r="U47">
        <v>1.42</v>
      </c>
      <c r="V47">
        <v>1.42</v>
      </c>
      <c r="W47">
        <v>1.42</v>
      </c>
      <c r="X47">
        <v>1.42</v>
      </c>
      <c r="Y47">
        <v>1.42</v>
      </c>
      <c r="Z47">
        <v>1.42</v>
      </c>
      <c r="AA47">
        <v>1.42</v>
      </c>
      <c r="AB47">
        <v>1.42</v>
      </c>
      <c r="AC47" s="433">
        <f t="shared" si="7"/>
        <v>34.08000000000002</v>
      </c>
      <c r="AD47" s="373">
        <f t="shared" si="8"/>
        <v>8520.0000000000055</v>
      </c>
    </row>
    <row r="48" spans="1:32" x14ac:dyDescent="0.3">
      <c r="D48" t="s">
        <v>440</v>
      </c>
      <c r="E48">
        <v>1.74</v>
      </c>
      <c r="F48">
        <v>1.74</v>
      </c>
      <c r="G48">
        <v>1.74</v>
      </c>
      <c r="H48">
        <v>1.74</v>
      </c>
      <c r="I48">
        <v>1.74</v>
      </c>
      <c r="J48">
        <v>1.74</v>
      </c>
      <c r="K48">
        <v>1.74</v>
      </c>
      <c r="L48">
        <v>1.74</v>
      </c>
      <c r="M48">
        <v>1.74</v>
      </c>
      <c r="N48">
        <v>1.74</v>
      </c>
      <c r="O48">
        <v>1.74</v>
      </c>
      <c r="P48">
        <v>1.74</v>
      </c>
      <c r="Q48">
        <v>1.74</v>
      </c>
      <c r="R48">
        <v>1.74</v>
      </c>
      <c r="S48">
        <v>1.74</v>
      </c>
      <c r="T48">
        <v>1.74</v>
      </c>
      <c r="U48">
        <v>1.74</v>
      </c>
      <c r="V48">
        <v>1.74</v>
      </c>
      <c r="W48">
        <v>1.74</v>
      </c>
      <c r="X48">
        <v>1.74</v>
      </c>
      <c r="Y48">
        <v>1.74</v>
      </c>
      <c r="Z48">
        <v>1.74</v>
      </c>
      <c r="AA48">
        <v>1.74</v>
      </c>
      <c r="AB48">
        <v>1.74</v>
      </c>
      <c r="AC48" s="433">
        <f t="shared" si="7"/>
        <v>41.76</v>
      </c>
      <c r="AD48" s="373">
        <f t="shared" si="8"/>
        <v>10440</v>
      </c>
    </row>
    <row r="49" spans="1:32" x14ac:dyDescent="0.3">
      <c r="D49" t="s">
        <v>440</v>
      </c>
      <c r="E49">
        <v>2</v>
      </c>
      <c r="F49">
        <v>2</v>
      </c>
      <c r="G49">
        <v>2</v>
      </c>
      <c r="H49">
        <v>2</v>
      </c>
      <c r="I49">
        <v>2</v>
      </c>
      <c r="J49">
        <v>2</v>
      </c>
      <c r="K49">
        <v>2</v>
      </c>
      <c r="L49">
        <v>2</v>
      </c>
      <c r="M49">
        <v>2</v>
      </c>
      <c r="N49">
        <v>2</v>
      </c>
      <c r="O49">
        <v>2</v>
      </c>
      <c r="P49">
        <v>2</v>
      </c>
      <c r="Q49">
        <v>2</v>
      </c>
      <c r="R49">
        <v>2</v>
      </c>
      <c r="S49">
        <v>2</v>
      </c>
      <c r="T49">
        <v>2</v>
      </c>
      <c r="U49">
        <v>2</v>
      </c>
      <c r="V49">
        <v>2</v>
      </c>
      <c r="W49">
        <v>2</v>
      </c>
      <c r="X49">
        <v>2</v>
      </c>
      <c r="Y49">
        <v>2</v>
      </c>
      <c r="Z49">
        <v>2</v>
      </c>
      <c r="AA49">
        <v>2</v>
      </c>
      <c r="AB49">
        <v>2</v>
      </c>
      <c r="AC49" s="433">
        <f t="shared" si="7"/>
        <v>48</v>
      </c>
      <c r="AD49" s="373">
        <f t="shared" si="8"/>
        <v>12000</v>
      </c>
    </row>
    <row r="50" spans="1:32" x14ac:dyDescent="0.3">
      <c r="D50" t="s">
        <v>440</v>
      </c>
      <c r="E50">
        <v>2.14</v>
      </c>
      <c r="F50">
        <v>2.14</v>
      </c>
      <c r="G50">
        <v>2.14</v>
      </c>
      <c r="H50">
        <v>2.14</v>
      </c>
      <c r="I50">
        <v>2.14</v>
      </c>
      <c r="J50">
        <v>2.14</v>
      </c>
      <c r="K50">
        <v>2.14</v>
      </c>
      <c r="L50">
        <v>2.14</v>
      </c>
      <c r="M50">
        <v>2.14</v>
      </c>
      <c r="N50">
        <v>2.14</v>
      </c>
      <c r="O50">
        <v>2.14</v>
      </c>
      <c r="P50">
        <v>2.14</v>
      </c>
      <c r="Q50">
        <v>2.14</v>
      </c>
      <c r="R50">
        <v>2.14</v>
      </c>
      <c r="S50">
        <v>2.14</v>
      </c>
      <c r="T50">
        <v>2.14</v>
      </c>
      <c r="U50">
        <v>2.14</v>
      </c>
      <c r="V50">
        <v>2.14</v>
      </c>
      <c r="W50">
        <v>2.14</v>
      </c>
      <c r="X50">
        <v>2.14</v>
      </c>
      <c r="Y50">
        <v>2.14</v>
      </c>
      <c r="Z50">
        <v>2.14</v>
      </c>
      <c r="AA50">
        <v>2.14</v>
      </c>
      <c r="AB50">
        <v>2.14</v>
      </c>
      <c r="AC50" s="433">
        <f t="shared" si="7"/>
        <v>51.360000000000007</v>
      </c>
      <c r="AD50" s="373">
        <f t="shared" si="8"/>
        <v>12840.000000000002</v>
      </c>
    </row>
    <row r="51" spans="1:32" x14ac:dyDescent="0.3">
      <c r="D51" t="s">
        <v>440</v>
      </c>
      <c r="E51">
        <v>2.16</v>
      </c>
      <c r="F51">
        <v>2.16</v>
      </c>
      <c r="G51">
        <v>2.16</v>
      </c>
      <c r="H51">
        <v>2.16</v>
      </c>
      <c r="I51">
        <v>2.16</v>
      </c>
      <c r="J51">
        <v>2.16</v>
      </c>
      <c r="K51">
        <v>2.16</v>
      </c>
      <c r="L51">
        <v>2.16</v>
      </c>
      <c r="M51">
        <v>2.16</v>
      </c>
      <c r="N51">
        <v>2.16</v>
      </c>
      <c r="O51">
        <v>2.16</v>
      </c>
      <c r="P51">
        <v>2.16</v>
      </c>
      <c r="Q51">
        <v>2.16</v>
      </c>
      <c r="R51">
        <v>2.16</v>
      </c>
      <c r="S51">
        <v>2.16</v>
      </c>
      <c r="T51">
        <v>2.16</v>
      </c>
      <c r="U51">
        <v>2.16</v>
      </c>
      <c r="V51">
        <v>2.16</v>
      </c>
      <c r="W51">
        <v>2.16</v>
      </c>
      <c r="X51">
        <v>2.16</v>
      </c>
      <c r="Y51">
        <v>2.16</v>
      </c>
      <c r="Z51">
        <v>2.16</v>
      </c>
      <c r="AA51">
        <v>2.16</v>
      </c>
      <c r="AB51">
        <v>2.16</v>
      </c>
      <c r="AC51" s="433">
        <f t="shared" si="7"/>
        <v>51.839999999999975</v>
      </c>
      <c r="AD51" s="373">
        <f t="shared" si="8"/>
        <v>12959.999999999995</v>
      </c>
    </row>
    <row r="52" spans="1:32" x14ac:dyDescent="0.3">
      <c r="D52" t="s">
        <v>440</v>
      </c>
      <c r="E52">
        <v>1.94</v>
      </c>
      <c r="F52">
        <v>1.94</v>
      </c>
      <c r="G52">
        <v>1.94</v>
      </c>
      <c r="H52">
        <v>1.94</v>
      </c>
      <c r="I52">
        <v>1.94</v>
      </c>
      <c r="J52">
        <v>1.94</v>
      </c>
      <c r="K52">
        <v>1.94</v>
      </c>
      <c r="L52">
        <v>1.94</v>
      </c>
      <c r="M52">
        <v>1.94</v>
      </c>
      <c r="N52">
        <v>1.94</v>
      </c>
      <c r="O52">
        <v>1.94</v>
      </c>
      <c r="P52">
        <v>1.94</v>
      </c>
      <c r="Q52">
        <v>1.94</v>
      </c>
      <c r="R52">
        <v>1.94</v>
      </c>
      <c r="S52">
        <v>1.94</v>
      </c>
      <c r="T52">
        <v>1.94</v>
      </c>
      <c r="U52">
        <v>1.94</v>
      </c>
      <c r="V52">
        <v>1.94</v>
      </c>
      <c r="W52">
        <v>1.94</v>
      </c>
      <c r="X52">
        <v>1.94</v>
      </c>
      <c r="Y52">
        <v>1.94</v>
      </c>
      <c r="Z52">
        <v>1.94</v>
      </c>
      <c r="AA52">
        <v>1.94</v>
      </c>
      <c r="AB52">
        <v>1.94</v>
      </c>
      <c r="AC52" s="433">
        <f t="shared" si="7"/>
        <v>46.559999999999988</v>
      </c>
      <c r="AD52" s="373">
        <f t="shared" si="8"/>
        <v>11639.999999999996</v>
      </c>
    </row>
    <row r="53" spans="1:32" x14ac:dyDescent="0.3">
      <c r="D53" t="s">
        <v>440</v>
      </c>
      <c r="E53">
        <v>1.43</v>
      </c>
      <c r="F53">
        <v>1.43</v>
      </c>
      <c r="G53">
        <v>1.43</v>
      </c>
      <c r="H53">
        <v>1.43</v>
      </c>
      <c r="I53">
        <v>1.43</v>
      </c>
      <c r="J53">
        <v>1.43</v>
      </c>
      <c r="K53">
        <v>1.43</v>
      </c>
      <c r="L53">
        <v>1.43</v>
      </c>
      <c r="M53">
        <v>1.43</v>
      </c>
      <c r="N53">
        <v>1.43</v>
      </c>
      <c r="O53">
        <v>1.43</v>
      </c>
      <c r="P53">
        <v>1.43</v>
      </c>
      <c r="Q53">
        <v>1.43</v>
      </c>
      <c r="R53">
        <v>1.43</v>
      </c>
      <c r="S53">
        <v>1.43</v>
      </c>
      <c r="T53">
        <v>1.43</v>
      </c>
      <c r="U53">
        <v>1.43</v>
      </c>
      <c r="V53">
        <v>1.43</v>
      </c>
      <c r="W53">
        <v>1.43</v>
      </c>
      <c r="X53">
        <v>1.43</v>
      </c>
      <c r="Y53">
        <v>1.43</v>
      </c>
      <c r="Z53">
        <v>1.43</v>
      </c>
      <c r="AA53">
        <v>1.43</v>
      </c>
      <c r="AB53">
        <v>1.43</v>
      </c>
      <c r="AC53" s="433">
        <f t="shared" si="7"/>
        <v>34.32</v>
      </c>
      <c r="AD53" s="373">
        <f t="shared" si="8"/>
        <v>8580</v>
      </c>
    </row>
    <row r="54" spans="1:32" x14ac:dyDescent="0.3">
      <c r="D54" t="s">
        <v>440</v>
      </c>
      <c r="E54">
        <v>1.17</v>
      </c>
      <c r="F54">
        <v>1.17</v>
      </c>
      <c r="G54">
        <v>1.17</v>
      </c>
      <c r="H54">
        <v>1.17</v>
      </c>
      <c r="I54">
        <v>1.17</v>
      </c>
      <c r="J54">
        <v>1.17</v>
      </c>
      <c r="K54">
        <v>1.17</v>
      </c>
      <c r="L54">
        <v>1.17</v>
      </c>
      <c r="M54">
        <v>1.17</v>
      </c>
      <c r="N54">
        <v>1.17</v>
      </c>
      <c r="O54">
        <v>1.17</v>
      </c>
      <c r="P54">
        <v>1.17</v>
      </c>
      <c r="Q54">
        <v>1.17</v>
      </c>
      <c r="R54">
        <v>1.17</v>
      </c>
      <c r="S54">
        <v>1.17</v>
      </c>
      <c r="T54">
        <v>1.17</v>
      </c>
      <c r="U54">
        <v>1.17</v>
      </c>
      <c r="V54">
        <v>1.17</v>
      </c>
      <c r="W54">
        <v>1.17</v>
      </c>
      <c r="X54">
        <v>1.17</v>
      </c>
      <c r="Y54">
        <v>1.17</v>
      </c>
      <c r="Z54">
        <v>1.17</v>
      </c>
      <c r="AA54">
        <v>1.17</v>
      </c>
      <c r="AB54">
        <v>1.17</v>
      </c>
      <c r="AC54" s="433">
        <f t="shared" si="7"/>
        <v>28.080000000000013</v>
      </c>
      <c r="AD54" s="373">
        <f t="shared" si="8"/>
        <v>7020.0000000000027</v>
      </c>
    </row>
    <row r="55" spans="1:32" x14ac:dyDescent="0.3">
      <c r="D55" t="s">
        <v>440</v>
      </c>
      <c r="E55">
        <v>0.86</v>
      </c>
      <c r="F55">
        <v>0.86</v>
      </c>
      <c r="G55">
        <v>0.86</v>
      </c>
      <c r="H55">
        <v>0.86</v>
      </c>
      <c r="I55">
        <v>0.86</v>
      </c>
      <c r="J55">
        <v>0.86</v>
      </c>
      <c r="K55">
        <v>0.86</v>
      </c>
      <c r="L55">
        <v>0.86</v>
      </c>
      <c r="M55">
        <v>0.86</v>
      </c>
      <c r="N55">
        <v>0.86</v>
      </c>
      <c r="O55">
        <v>0.86</v>
      </c>
      <c r="P55">
        <v>0.86</v>
      </c>
      <c r="Q55">
        <v>0.86</v>
      </c>
      <c r="R55">
        <v>0.86</v>
      </c>
      <c r="S55">
        <v>0.86</v>
      </c>
      <c r="T55">
        <v>0.86</v>
      </c>
      <c r="U55">
        <v>0.86</v>
      </c>
      <c r="V55">
        <v>0.86</v>
      </c>
      <c r="W55">
        <v>0.86</v>
      </c>
      <c r="X55">
        <v>0.86</v>
      </c>
      <c r="Y55">
        <v>0.86</v>
      </c>
      <c r="Z55">
        <v>0.86</v>
      </c>
      <c r="AA55">
        <v>0.86</v>
      </c>
      <c r="AB55">
        <v>0.86</v>
      </c>
      <c r="AC55" s="433">
        <f t="shared" si="7"/>
        <v>20.639999999999993</v>
      </c>
      <c r="AD55" s="373">
        <f t="shared" si="8"/>
        <v>5159.9999999999982</v>
      </c>
    </row>
    <row r="58" spans="1:32" x14ac:dyDescent="0.3">
      <c r="C58" t="s">
        <v>644</v>
      </c>
      <c r="D58" t="s">
        <v>440</v>
      </c>
      <c r="E58">
        <v>1</v>
      </c>
      <c r="F58">
        <v>1</v>
      </c>
      <c r="G58">
        <v>1</v>
      </c>
      <c r="H58">
        <v>1</v>
      </c>
      <c r="I58">
        <v>1</v>
      </c>
      <c r="J58">
        <v>1</v>
      </c>
      <c r="K58">
        <v>1</v>
      </c>
      <c r="L58">
        <v>0.9</v>
      </c>
      <c r="M58">
        <v>0.4</v>
      </c>
      <c r="N58">
        <v>0.2</v>
      </c>
      <c r="O58">
        <v>0.2</v>
      </c>
      <c r="P58">
        <v>0.2</v>
      </c>
      <c r="Q58">
        <v>0.2</v>
      </c>
      <c r="R58">
        <v>0.2</v>
      </c>
      <c r="S58">
        <v>0.2</v>
      </c>
      <c r="T58">
        <v>0.2</v>
      </c>
      <c r="U58">
        <v>0.3</v>
      </c>
      <c r="V58">
        <v>0.6</v>
      </c>
      <c r="W58">
        <v>0.9</v>
      </c>
      <c r="X58">
        <v>0.9</v>
      </c>
      <c r="Y58">
        <v>0.9</v>
      </c>
      <c r="Z58">
        <v>1</v>
      </c>
      <c r="AA58">
        <v>1</v>
      </c>
      <c r="AB58">
        <v>1</v>
      </c>
      <c r="AC58" s="433">
        <f t="shared" ref="AC58:AC60" si="9">SUM(E58:AB58)</f>
        <v>16.299999999999997</v>
      </c>
      <c r="AD58" s="373">
        <f t="shared" ref="AD58" si="10">AC58*$E$7</f>
        <v>4074.9999999999991</v>
      </c>
    </row>
    <row r="59" spans="1:32" x14ac:dyDescent="0.3">
      <c r="A59" s="2612" t="s">
        <v>458</v>
      </c>
      <c r="B59" s="2612" t="s">
        <v>456</v>
      </c>
      <c r="C59" s="2612" t="s">
        <v>351</v>
      </c>
      <c r="D59" s="220" t="s">
        <v>459</v>
      </c>
      <c r="E59" s="165">
        <v>0.25</v>
      </c>
      <c r="F59" s="165">
        <v>0.25</v>
      </c>
      <c r="G59" s="165">
        <v>0.25</v>
      </c>
      <c r="H59" s="165">
        <v>0.25</v>
      </c>
      <c r="I59" s="165">
        <v>0.25</v>
      </c>
      <c r="J59" s="165">
        <v>0.5</v>
      </c>
      <c r="K59" s="165">
        <v>0.8</v>
      </c>
      <c r="L59" s="165">
        <v>0.8</v>
      </c>
      <c r="M59" s="165">
        <v>0.8</v>
      </c>
      <c r="N59" s="165">
        <v>0.8</v>
      </c>
      <c r="O59" s="165">
        <v>0.8</v>
      </c>
      <c r="P59" s="165">
        <v>0.8</v>
      </c>
      <c r="Q59" s="165">
        <v>0.8</v>
      </c>
      <c r="R59" s="165">
        <v>0.8</v>
      </c>
      <c r="S59" s="165">
        <v>0.8</v>
      </c>
      <c r="T59" s="165">
        <v>0.8</v>
      </c>
      <c r="U59" s="165">
        <v>0.8</v>
      </c>
      <c r="V59" s="165">
        <v>0.8</v>
      </c>
      <c r="W59" s="165">
        <v>0.8</v>
      </c>
      <c r="X59" s="165">
        <v>0.8</v>
      </c>
      <c r="Y59" s="165">
        <v>0.8</v>
      </c>
      <c r="Z59" s="165">
        <v>0.5</v>
      </c>
      <c r="AA59" s="165">
        <v>0.25</v>
      </c>
      <c r="AB59" s="165">
        <v>0.25</v>
      </c>
      <c r="AC59" s="219">
        <f t="shared" si="9"/>
        <v>14.750000000000004</v>
      </c>
      <c r="AD59" s="224">
        <f>AC59*$E$11</f>
        <v>3687.5000000000009</v>
      </c>
      <c r="AE59" s="2616">
        <f>SUM(AD59:AD60)</f>
        <v>5383.7500000000018</v>
      </c>
      <c r="AF59" s="2614">
        <f>SUMPRODUCT($E$11:$E$12,AC59:AC60)/$E$6</f>
        <v>14.750000000000005</v>
      </c>
    </row>
    <row r="60" spans="1:32" x14ac:dyDescent="0.3">
      <c r="A60" s="2613"/>
      <c r="B60" s="2613"/>
      <c r="C60" s="2613"/>
      <c r="D60" s="226" t="s">
        <v>460</v>
      </c>
      <c r="E60" s="21">
        <v>0.25</v>
      </c>
      <c r="F60" s="21">
        <v>0.25</v>
      </c>
      <c r="G60" s="21">
        <v>0.25</v>
      </c>
      <c r="H60" s="21">
        <v>0.25</v>
      </c>
      <c r="I60" s="21">
        <v>0.25</v>
      </c>
      <c r="J60" s="21">
        <v>0.25</v>
      </c>
      <c r="K60" s="21">
        <v>0.5</v>
      </c>
      <c r="L60" s="21">
        <v>0.8</v>
      </c>
      <c r="M60" s="21">
        <v>0.8</v>
      </c>
      <c r="N60" s="21">
        <v>0.8</v>
      </c>
      <c r="O60" s="21">
        <v>0.8</v>
      </c>
      <c r="P60" s="21">
        <v>0.8</v>
      </c>
      <c r="Q60" s="21">
        <v>0.8</v>
      </c>
      <c r="R60" s="21">
        <v>0.8</v>
      </c>
      <c r="S60" s="21">
        <v>0.8</v>
      </c>
      <c r="T60" s="21">
        <v>0.8</v>
      </c>
      <c r="U60" s="21">
        <v>0.8</v>
      </c>
      <c r="V60" s="21">
        <v>0.8</v>
      </c>
      <c r="W60" s="21">
        <v>0.8</v>
      </c>
      <c r="X60" s="21">
        <v>0.8</v>
      </c>
      <c r="Y60" s="21">
        <v>0.8</v>
      </c>
      <c r="Z60" s="21">
        <v>0.8</v>
      </c>
      <c r="AA60" s="21">
        <v>0.5</v>
      </c>
      <c r="AB60" s="21">
        <v>0.25</v>
      </c>
      <c r="AC60" s="223">
        <f t="shared" si="9"/>
        <v>14.750000000000004</v>
      </c>
      <c r="AD60" s="222">
        <f>AC60*$E$12</f>
        <v>1696.2500000000005</v>
      </c>
      <c r="AE60" s="2617"/>
      <c r="AF60" s="2615"/>
    </row>
    <row r="62" spans="1:32" x14ac:dyDescent="0.3">
      <c r="C62" t="s">
        <v>645</v>
      </c>
      <c r="D62" t="s">
        <v>440</v>
      </c>
      <c r="E62">
        <v>0.1</v>
      </c>
      <c r="F62">
        <v>0.1</v>
      </c>
      <c r="G62">
        <v>0.1</v>
      </c>
      <c r="H62">
        <v>0.1</v>
      </c>
      <c r="I62">
        <v>0.1</v>
      </c>
      <c r="J62">
        <v>0.2</v>
      </c>
      <c r="K62">
        <v>0.3</v>
      </c>
      <c r="L62">
        <v>0.6</v>
      </c>
      <c r="M62">
        <v>0.6</v>
      </c>
      <c r="N62">
        <v>0.4</v>
      </c>
      <c r="O62">
        <v>0.4</v>
      </c>
      <c r="P62">
        <v>0.4</v>
      </c>
      <c r="Q62">
        <v>0.4</v>
      </c>
      <c r="R62">
        <v>0.4</v>
      </c>
      <c r="S62">
        <v>0.4</v>
      </c>
      <c r="T62">
        <v>0.4</v>
      </c>
      <c r="U62">
        <v>0.6</v>
      </c>
      <c r="V62">
        <v>0.6</v>
      </c>
      <c r="W62">
        <v>0.4</v>
      </c>
      <c r="X62">
        <v>0.4</v>
      </c>
      <c r="Y62">
        <v>0.4</v>
      </c>
      <c r="Z62">
        <v>0.2</v>
      </c>
      <c r="AA62">
        <v>0.1</v>
      </c>
      <c r="AB62">
        <v>0.1</v>
      </c>
      <c r="AC62" s="219">
        <f t="shared" ref="AC62:AC63" si="11">SUM(E62:AB62)</f>
        <v>7.8000000000000007</v>
      </c>
      <c r="AD62" s="224">
        <f>AC62*$E$11</f>
        <v>1950.0000000000002</v>
      </c>
      <c r="AE62" s="2616">
        <f>SUM(AD62:AD63)</f>
        <v>2939</v>
      </c>
      <c r="AF62" s="2614">
        <f>SUMPRODUCT($E$11:$E$12,AC62:AC63)/$E$6</f>
        <v>8.0520547945205472</v>
      </c>
    </row>
    <row r="63" spans="1:32" x14ac:dyDescent="0.3">
      <c r="C63" t="s">
        <v>646</v>
      </c>
      <c r="D63" t="s">
        <v>440</v>
      </c>
      <c r="E63">
        <v>0.1</v>
      </c>
      <c r="F63">
        <v>0.1</v>
      </c>
      <c r="G63">
        <v>0.1</v>
      </c>
      <c r="H63">
        <v>0.1</v>
      </c>
      <c r="I63">
        <v>0.1</v>
      </c>
      <c r="J63">
        <v>0.1</v>
      </c>
      <c r="K63">
        <v>0.2</v>
      </c>
      <c r="L63">
        <v>0.3</v>
      </c>
      <c r="M63">
        <v>0.6</v>
      </c>
      <c r="N63">
        <v>0.6</v>
      </c>
      <c r="O63">
        <v>0.5</v>
      </c>
      <c r="P63">
        <v>0.5</v>
      </c>
      <c r="Q63">
        <v>0.5</v>
      </c>
      <c r="R63">
        <v>0.5</v>
      </c>
      <c r="S63">
        <v>0.5</v>
      </c>
      <c r="T63">
        <v>0.5</v>
      </c>
      <c r="U63">
        <v>0.6</v>
      </c>
      <c r="V63">
        <v>0.6</v>
      </c>
      <c r="W63">
        <v>0.6</v>
      </c>
      <c r="X63">
        <v>0.4</v>
      </c>
      <c r="Y63">
        <v>0.4</v>
      </c>
      <c r="Z63">
        <v>0.4</v>
      </c>
      <c r="AA63">
        <v>0.2</v>
      </c>
      <c r="AB63">
        <v>0.1</v>
      </c>
      <c r="AC63" s="223">
        <f t="shared" si="11"/>
        <v>8.6</v>
      </c>
      <c r="AD63" s="222">
        <f>AC63*$E$12</f>
        <v>989</v>
      </c>
      <c r="AE63" s="2617"/>
      <c r="AF63" s="2615"/>
    </row>
  </sheetData>
  <mergeCells count="22">
    <mergeCell ref="AE62:AE63"/>
    <mergeCell ref="AF62:AF63"/>
    <mergeCell ref="A59:A60"/>
    <mergeCell ref="B59:B60"/>
    <mergeCell ref="C59:C60"/>
    <mergeCell ref="AE59:AE60"/>
    <mergeCell ref="AF59:AF60"/>
    <mergeCell ref="AE33:AE35"/>
    <mergeCell ref="AF33:AF35"/>
    <mergeCell ref="A33:A35"/>
    <mergeCell ref="B33:B35"/>
    <mergeCell ref="C33:C35"/>
    <mergeCell ref="AF30:AF31"/>
    <mergeCell ref="A30:A31"/>
    <mergeCell ref="B30:B31"/>
    <mergeCell ref="C30:C31"/>
    <mergeCell ref="AE30:AE31"/>
    <mergeCell ref="A26:A27"/>
    <mergeCell ref="B26:B27"/>
    <mergeCell ref="AF26:AF27"/>
    <mergeCell ref="C26:C27"/>
    <mergeCell ref="AE26:AE27"/>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rgb="FFFF0000"/>
  </sheetPr>
  <dimension ref="A1:AJ345"/>
  <sheetViews>
    <sheetView workbookViewId="0"/>
  </sheetViews>
  <sheetFormatPr defaultColWidth="9.109375" defaultRowHeight="14.4" x14ac:dyDescent="0.3"/>
  <cols>
    <col min="2" max="2" width="13.44140625" customWidth="1"/>
    <col min="3" max="3" width="24.109375" bestFit="1" customWidth="1"/>
    <col min="4" max="4" width="12.5546875" bestFit="1" customWidth="1"/>
    <col min="5" max="5" width="21.88671875" customWidth="1"/>
    <col min="6" max="6" width="19.88671875" customWidth="1"/>
    <col min="7" max="7" width="33.6640625" customWidth="1"/>
    <col min="8" max="8" width="19.5546875" bestFit="1" customWidth="1"/>
    <col min="9" max="9" width="8.109375" bestFit="1" customWidth="1"/>
  </cols>
  <sheetData>
    <row r="1" spans="1:36" x14ac:dyDescent="0.3">
      <c r="C1">
        <v>1</v>
      </c>
      <c r="D1">
        <f>C1+1</f>
        <v>2</v>
      </c>
      <c r="E1">
        <f t="shared" ref="E1:AJ1" si="0">D1+1</f>
        <v>3</v>
      </c>
      <c r="F1">
        <f t="shared" si="0"/>
        <v>4</v>
      </c>
      <c r="G1">
        <f t="shared" si="0"/>
        <v>5</v>
      </c>
      <c r="H1">
        <f t="shared" si="0"/>
        <v>6</v>
      </c>
      <c r="I1">
        <f t="shared" si="0"/>
        <v>7</v>
      </c>
      <c r="J1">
        <f t="shared" si="0"/>
        <v>8</v>
      </c>
      <c r="K1">
        <f t="shared" si="0"/>
        <v>9</v>
      </c>
      <c r="L1">
        <f t="shared" si="0"/>
        <v>10</v>
      </c>
      <c r="M1">
        <f t="shared" si="0"/>
        <v>11</v>
      </c>
      <c r="N1">
        <f t="shared" si="0"/>
        <v>12</v>
      </c>
      <c r="O1">
        <f t="shared" si="0"/>
        <v>13</v>
      </c>
      <c r="P1">
        <f t="shared" si="0"/>
        <v>14</v>
      </c>
      <c r="Q1">
        <f t="shared" si="0"/>
        <v>15</v>
      </c>
      <c r="R1">
        <f t="shared" si="0"/>
        <v>16</v>
      </c>
      <c r="S1">
        <f t="shared" si="0"/>
        <v>17</v>
      </c>
      <c r="T1">
        <f t="shared" si="0"/>
        <v>18</v>
      </c>
      <c r="U1">
        <f t="shared" si="0"/>
        <v>19</v>
      </c>
      <c r="V1">
        <f t="shared" si="0"/>
        <v>20</v>
      </c>
      <c r="W1">
        <f t="shared" si="0"/>
        <v>21</v>
      </c>
      <c r="X1">
        <f t="shared" si="0"/>
        <v>22</v>
      </c>
      <c r="Y1">
        <f t="shared" si="0"/>
        <v>23</v>
      </c>
      <c r="Z1">
        <f t="shared" si="0"/>
        <v>24</v>
      </c>
      <c r="AA1">
        <f t="shared" si="0"/>
        <v>25</v>
      </c>
      <c r="AB1">
        <f t="shared" si="0"/>
        <v>26</v>
      </c>
      <c r="AC1">
        <f t="shared" si="0"/>
        <v>27</v>
      </c>
      <c r="AD1">
        <f t="shared" si="0"/>
        <v>28</v>
      </c>
      <c r="AE1">
        <f t="shared" si="0"/>
        <v>29</v>
      </c>
      <c r="AF1">
        <f t="shared" si="0"/>
        <v>30</v>
      </c>
      <c r="AG1">
        <f t="shared" si="0"/>
        <v>31</v>
      </c>
      <c r="AH1">
        <f t="shared" si="0"/>
        <v>32</v>
      </c>
      <c r="AI1">
        <f t="shared" si="0"/>
        <v>33</v>
      </c>
      <c r="AJ1">
        <f t="shared" si="0"/>
        <v>34</v>
      </c>
    </row>
    <row r="2" spans="1:36" x14ac:dyDescent="0.3">
      <c r="A2">
        <f>A1+1</f>
        <v>1</v>
      </c>
      <c r="B2" s="33" t="s">
        <v>167</v>
      </c>
      <c r="C2" t="s">
        <v>15</v>
      </c>
    </row>
    <row r="3" spans="1:36" ht="15" x14ac:dyDescent="0.35">
      <c r="A3">
        <f>A2+1</f>
        <v>2</v>
      </c>
      <c r="B3" s="655" t="s">
        <v>1977</v>
      </c>
      <c r="K3" t="s">
        <v>159</v>
      </c>
      <c r="N3" t="s">
        <v>654</v>
      </c>
      <c r="R3" t="s">
        <v>800</v>
      </c>
      <c r="W3" t="s">
        <v>801</v>
      </c>
      <c r="AB3" t="s">
        <v>802</v>
      </c>
      <c r="AD3" t="s">
        <v>803</v>
      </c>
      <c r="AF3" t="s">
        <v>797</v>
      </c>
      <c r="AI3" t="s">
        <v>804</v>
      </c>
    </row>
    <row r="4" spans="1:36" ht="15" x14ac:dyDescent="0.35">
      <c r="A4">
        <f t="shared" ref="A4:A28" si="1">A3+1</f>
        <v>3</v>
      </c>
      <c r="B4" s="654" t="s">
        <v>1978</v>
      </c>
      <c r="C4" t="s">
        <v>33</v>
      </c>
      <c r="D4" t="s">
        <v>805</v>
      </c>
      <c r="E4" t="s">
        <v>806</v>
      </c>
      <c r="F4" t="s">
        <v>807</v>
      </c>
      <c r="G4" t="s">
        <v>134</v>
      </c>
      <c r="H4" t="s">
        <v>1342</v>
      </c>
      <c r="I4" t="s">
        <v>99</v>
      </c>
      <c r="J4" t="s">
        <v>162</v>
      </c>
      <c r="K4" t="s">
        <v>808</v>
      </c>
      <c r="L4" t="s">
        <v>809</v>
      </c>
      <c r="M4" t="s">
        <v>279</v>
      </c>
      <c r="N4" t="s">
        <v>810</v>
      </c>
      <c r="O4" t="s">
        <v>811</v>
      </c>
      <c r="P4" t="s">
        <v>812</v>
      </c>
      <c r="Q4" t="s">
        <v>813</v>
      </c>
      <c r="R4" t="s">
        <v>814</v>
      </c>
      <c r="S4" t="s">
        <v>815</v>
      </c>
      <c r="T4" t="s">
        <v>816</v>
      </c>
      <c r="U4" t="s">
        <v>817</v>
      </c>
      <c r="V4" t="s">
        <v>818</v>
      </c>
      <c r="W4" t="s">
        <v>814</v>
      </c>
      <c r="X4" t="s">
        <v>815</v>
      </c>
      <c r="Y4" t="s">
        <v>816</v>
      </c>
      <c r="Z4" t="s">
        <v>818</v>
      </c>
      <c r="AA4" t="s">
        <v>819</v>
      </c>
      <c r="AB4" t="s">
        <v>798</v>
      </c>
      <c r="AC4" t="s">
        <v>799</v>
      </c>
      <c r="AF4" t="s">
        <v>820</v>
      </c>
      <c r="AG4" t="s">
        <v>821</v>
      </c>
      <c r="AH4" t="s">
        <v>822</v>
      </c>
      <c r="AI4" t="s">
        <v>654</v>
      </c>
      <c r="AJ4" t="s">
        <v>797</v>
      </c>
    </row>
    <row r="5" spans="1:36" x14ac:dyDescent="0.3">
      <c r="A5">
        <f t="shared" si="1"/>
        <v>4</v>
      </c>
      <c r="I5" t="s">
        <v>136</v>
      </c>
      <c r="K5" t="s">
        <v>823</v>
      </c>
      <c r="L5" t="s">
        <v>823</v>
      </c>
      <c r="M5" t="s">
        <v>135</v>
      </c>
      <c r="R5" t="s">
        <v>140</v>
      </c>
      <c r="S5" t="s">
        <v>824</v>
      </c>
      <c r="T5" t="s">
        <v>139</v>
      </c>
      <c r="U5" t="s">
        <v>824</v>
      </c>
      <c r="V5" t="s">
        <v>65</v>
      </c>
      <c r="W5" t="s">
        <v>140</v>
      </c>
      <c r="X5" t="s">
        <v>824</v>
      </c>
      <c r="Y5" t="s">
        <v>139</v>
      </c>
      <c r="Z5" t="s">
        <v>65</v>
      </c>
      <c r="AA5" t="s">
        <v>65</v>
      </c>
      <c r="AD5" t="s">
        <v>140</v>
      </c>
      <c r="AE5" t="s">
        <v>824</v>
      </c>
      <c r="AF5" t="s">
        <v>65</v>
      </c>
      <c r="AH5" t="s">
        <v>65</v>
      </c>
      <c r="AI5" t="s">
        <v>65</v>
      </c>
      <c r="AJ5" t="s">
        <v>65</v>
      </c>
    </row>
    <row r="6" spans="1:36" x14ac:dyDescent="0.3">
      <c r="A6">
        <f t="shared" si="1"/>
        <v>5</v>
      </c>
      <c r="B6" s="31"/>
      <c r="C6" t="s">
        <v>1468</v>
      </c>
      <c r="D6" t="s">
        <v>1373</v>
      </c>
      <c r="E6" t="s">
        <v>70</v>
      </c>
      <c r="F6" t="s">
        <v>843</v>
      </c>
      <c r="G6" t="s">
        <v>1469</v>
      </c>
      <c r="H6" t="s">
        <v>1813</v>
      </c>
      <c r="I6">
        <v>7280.6</v>
      </c>
      <c r="J6">
        <v>1</v>
      </c>
      <c r="K6">
        <v>10</v>
      </c>
      <c r="L6">
        <v>10</v>
      </c>
      <c r="M6">
        <v>36.4</v>
      </c>
      <c r="N6" t="s">
        <v>278</v>
      </c>
      <c r="O6" t="s">
        <v>827</v>
      </c>
      <c r="P6">
        <v>1</v>
      </c>
      <c r="Q6">
        <v>1</v>
      </c>
      <c r="R6">
        <v>0.75</v>
      </c>
      <c r="S6">
        <v>0</v>
      </c>
      <c r="T6">
        <v>0</v>
      </c>
      <c r="U6">
        <v>0</v>
      </c>
      <c r="V6">
        <v>5460</v>
      </c>
      <c r="W6">
        <v>0.75</v>
      </c>
      <c r="X6">
        <v>0</v>
      </c>
      <c r="Y6">
        <v>0</v>
      </c>
      <c r="Z6">
        <v>5460</v>
      </c>
      <c r="AA6">
        <v>5460</v>
      </c>
      <c r="AB6">
        <v>1</v>
      </c>
      <c r="AC6">
        <v>1</v>
      </c>
      <c r="AD6">
        <v>0.75</v>
      </c>
      <c r="AE6">
        <v>0</v>
      </c>
      <c r="AF6">
        <v>5460</v>
      </c>
      <c r="AG6" t="s">
        <v>828</v>
      </c>
      <c r="AH6">
        <v>0</v>
      </c>
      <c r="AI6">
        <v>0</v>
      </c>
      <c r="AJ6">
        <v>0</v>
      </c>
    </row>
    <row r="7" spans="1:36" x14ac:dyDescent="0.3">
      <c r="A7">
        <f t="shared" si="1"/>
        <v>6</v>
      </c>
      <c r="B7" s="31"/>
      <c r="C7" t="s">
        <v>1470</v>
      </c>
      <c r="D7" t="s">
        <v>1373</v>
      </c>
      <c r="E7" t="s">
        <v>70</v>
      </c>
      <c r="F7" t="s">
        <v>843</v>
      </c>
      <c r="G7" t="s">
        <v>1469</v>
      </c>
      <c r="H7" t="s">
        <v>1813</v>
      </c>
      <c r="I7">
        <v>7812.3</v>
      </c>
      <c r="J7">
        <v>1</v>
      </c>
      <c r="K7">
        <v>10</v>
      </c>
      <c r="L7">
        <v>10</v>
      </c>
      <c r="M7">
        <v>39.1</v>
      </c>
      <c r="N7" t="s">
        <v>278</v>
      </c>
      <c r="O7" t="s">
        <v>827</v>
      </c>
      <c r="P7">
        <v>1</v>
      </c>
      <c r="Q7">
        <v>1</v>
      </c>
      <c r="R7">
        <v>0.75</v>
      </c>
      <c r="S7">
        <v>0</v>
      </c>
      <c r="T7">
        <v>0</v>
      </c>
      <c r="U7">
        <v>0</v>
      </c>
      <c r="V7">
        <v>5859</v>
      </c>
      <c r="W7">
        <v>0.75</v>
      </c>
      <c r="X7">
        <v>0</v>
      </c>
      <c r="Y7">
        <v>0</v>
      </c>
      <c r="Z7">
        <v>5859</v>
      </c>
      <c r="AA7">
        <v>5859</v>
      </c>
      <c r="AB7">
        <v>1</v>
      </c>
      <c r="AC7">
        <v>1</v>
      </c>
      <c r="AD7">
        <v>0.75</v>
      </c>
      <c r="AE7">
        <v>0</v>
      </c>
      <c r="AF7">
        <v>5859</v>
      </c>
      <c r="AG7" t="s">
        <v>828</v>
      </c>
      <c r="AH7">
        <v>0</v>
      </c>
      <c r="AI7">
        <v>0</v>
      </c>
      <c r="AJ7">
        <v>0</v>
      </c>
    </row>
    <row r="8" spans="1:36" x14ac:dyDescent="0.3">
      <c r="A8">
        <f t="shared" si="1"/>
        <v>7</v>
      </c>
      <c r="B8" s="31"/>
      <c r="C8" t="s">
        <v>1471</v>
      </c>
      <c r="D8" t="s">
        <v>1373</v>
      </c>
      <c r="E8" t="s">
        <v>825</v>
      </c>
      <c r="F8" t="s">
        <v>35</v>
      </c>
      <c r="G8" t="s">
        <v>1472</v>
      </c>
      <c r="H8" t="s">
        <v>1814</v>
      </c>
      <c r="I8">
        <v>184.4</v>
      </c>
      <c r="J8">
        <v>1</v>
      </c>
      <c r="K8">
        <v>10</v>
      </c>
      <c r="L8">
        <v>10</v>
      </c>
      <c r="M8">
        <v>0.9</v>
      </c>
      <c r="N8" t="s">
        <v>278</v>
      </c>
      <c r="O8" t="s">
        <v>827</v>
      </c>
      <c r="P8">
        <v>1</v>
      </c>
      <c r="Q8">
        <v>1</v>
      </c>
      <c r="R8">
        <v>0.06</v>
      </c>
      <c r="S8">
        <v>5</v>
      </c>
      <c r="T8">
        <v>0</v>
      </c>
      <c r="U8">
        <v>0</v>
      </c>
      <c r="V8">
        <v>29</v>
      </c>
      <c r="W8">
        <v>0.06</v>
      </c>
      <c r="X8">
        <v>5</v>
      </c>
      <c r="Y8">
        <v>0</v>
      </c>
      <c r="Z8">
        <v>16</v>
      </c>
      <c r="AA8">
        <v>6</v>
      </c>
      <c r="AB8">
        <v>0.20100000000000001</v>
      </c>
      <c r="AC8">
        <v>1</v>
      </c>
      <c r="AD8">
        <v>8.4000000000000005E-2</v>
      </c>
      <c r="AE8">
        <v>0</v>
      </c>
      <c r="AF8">
        <v>0</v>
      </c>
      <c r="AG8" t="s">
        <v>828</v>
      </c>
      <c r="AH8">
        <v>0</v>
      </c>
      <c r="AI8">
        <v>0</v>
      </c>
      <c r="AJ8">
        <v>0</v>
      </c>
    </row>
    <row r="9" spans="1:36" ht="15" thickBot="1" x14ac:dyDescent="0.35">
      <c r="A9">
        <f t="shared" si="1"/>
        <v>8</v>
      </c>
      <c r="B9" s="32"/>
      <c r="C9" t="s">
        <v>1473</v>
      </c>
      <c r="D9" t="s">
        <v>1373</v>
      </c>
      <c r="E9" t="s">
        <v>844</v>
      </c>
      <c r="F9" t="s">
        <v>834</v>
      </c>
      <c r="G9" t="s">
        <v>1472</v>
      </c>
      <c r="H9" t="s">
        <v>1814</v>
      </c>
      <c r="I9">
        <v>159.80000000000001</v>
      </c>
      <c r="J9">
        <v>1</v>
      </c>
      <c r="K9">
        <v>0</v>
      </c>
      <c r="L9">
        <v>0</v>
      </c>
      <c r="M9">
        <v>0</v>
      </c>
      <c r="N9" t="s">
        <v>278</v>
      </c>
      <c r="O9" t="s">
        <v>827</v>
      </c>
      <c r="P9">
        <v>1</v>
      </c>
      <c r="Q9">
        <v>1</v>
      </c>
      <c r="R9">
        <v>0</v>
      </c>
      <c r="S9">
        <v>0</v>
      </c>
      <c r="T9">
        <v>0</v>
      </c>
      <c r="U9">
        <v>0</v>
      </c>
      <c r="V9">
        <v>0</v>
      </c>
      <c r="W9">
        <v>0</v>
      </c>
      <c r="X9">
        <v>0</v>
      </c>
      <c r="Y9">
        <v>0</v>
      </c>
      <c r="Z9">
        <v>0</v>
      </c>
      <c r="AA9">
        <v>0</v>
      </c>
      <c r="AB9">
        <v>1</v>
      </c>
      <c r="AC9">
        <v>1</v>
      </c>
      <c r="AD9">
        <v>8.4000000000000005E-2</v>
      </c>
      <c r="AE9">
        <v>0</v>
      </c>
      <c r="AF9">
        <v>0</v>
      </c>
      <c r="AG9" t="s">
        <v>828</v>
      </c>
      <c r="AH9">
        <v>0</v>
      </c>
      <c r="AI9">
        <v>0</v>
      </c>
      <c r="AJ9">
        <v>0</v>
      </c>
    </row>
    <row r="10" spans="1:36" ht="15" thickTop="1" x14ac:dyDescent="0.3">
      <c r="A10">
        <f t="shared" si="1"/>
        <v>9</v>
      </c>
      <c r="B10" s="29"/>
      <c r="C10" t="s">
        <v>1474</v>
      </c>
      <c r="D10" t="s">
        <v>1373</v>
      </c>
      <c r="E10" t="s">
        <v>825</v>
      </c>
      <c r="F10" t="s">
        <v>841</v>
      </c>
      <c r="G10" t="s">
        <v>1475</v>
      </c>
      <c r="H10" t="s">
        <v>1343</v>
      </c>
      <c r="I10">
        <v>217.2</v>
      </c>
      <c r="J10">
        <v>1</v>
      </c>
      <c r="K10">
        <v>10</v>
      </c>
      <c r="L10">
        <v>10</v>
      </c>
      <c r="M10">
        <v>1.1000000000000001</v>
      </c>
      <c r="N10" t="s">
        <v>1344</v>
      </c>
      <c r="O10" t="s">
        <v>828</v>
      </c>
      <c r="P10">
        <v>1</v>
      </c>
      <c r="Q10">
        <v>1</v>
      </c>
      <c r="R10">
        <v>0</v>
      </c>
      <c r="S10">
        <v>0</v>
      </c>
      <c r="T10">
        <v>0</v>
      </c>
      <c r="U10">
        <v>0</v>
      </c>
      <c r="V10">
        <v>0</v>
      </c>
      <c r="W10">
        <v>0</v>
      </c>
      <c r="X10">
        <v>0</v>
      </c>
      <c r="Y10">
        <v>0</v>
      </c>
      <c r="Z10">
        <v>0</v>
      </c>
      <c r="AA10">
        <v>0</v>
      </c>
      <c r="AB10">
        <v>0.20100000000000001</v>
      </c>
      <c r="AC10">
        <v>1</v>
      </c>
      <c r="AD10">
        <v>0</v>
      </c>
      <c r="AE10">
        <v>0</v>
      </c>
      <c r="AF10">
        <v>0</v>
      </c>
      <c r="AG10" t="s">
        <v>828</v>
      </c>
      <c r="AH10">
        <v>0</v>
      </c>
      <c r="AI10">
        <v>0</v>
      </c>
      <c r="AJ10">
        <v>0</v>
      </c>
    </row>
    <row r="11" spans="1:36" x14ac:dyDescent="0.3">
      <c r="A11">
        <f t="shared" si="1"/>
        <v>10</v>
      </c>
      <c r="B11" s="28"/>
      <c r="C11" t="s">
        <v>1476</v>
      </c>
      <c r="D11" t="s">
        <v>1373</v>
      </c>
      <c r="E11" t="s">
        <v>70</v>
      </c>
      <c r="F11" t="s">
        <v>843</v>
      </c>
      <c r="G11" t="s">
        <v>1469</v>
      </c>
      <c r="H11" t="s">
        <v>1813</v>
      </c>
      <c r="I11">
        <v>14109.1</v>
      </c>
      <c r="J11">
        <v>1</v>
      </c>
      <c r="K11">
        <v>10</v>
      </c>
      <c r="L11">
        <v>10</v>
      </c>
      <c r="M11">
        <v>70.5</v>
      </c>
      <c r="N11" t="s">
        <v>278</v>
      </c>
      <c r="O11" t="s">
        <v>827</v>
      </c>
      <c r="P11">
        <v>1</v>
      </c>
      <c r="Q11">
        <v>1</v>
      </c>
      <c r="R11">
        <v>0.75</v>
      </c>
      <c r="S11">
        <v>0</v>
      </c>
      <c r="T11">
        <v>0</v>
      </c>
      <c r="U11">
        <v>0</v>
      </c>
      <c r="V11">
        <v>10582</v>
      </c>
      <c r="W11">
        <v>0.75</v>
      </c>
      <c r="X11">
        <v>0</v>
      </c>
      <c r="Y11">
        <v>0</v>
      </c>
      <c r="Z11">
        <v>10582</v>
      </c>
      <c r="AA11">
        <v>10582</v>
      </c>
      <c r="AB11">
        <v>1</v>
      </c>
      <c r="AC11">
        <v>1</v>
      </c>
      <c r="AD11">
        <v>0.75</v>
      </c>
      <c r="AE11">
        <v>0</v>
      </c>
      <c r="AF11">
        <v>10582</v>
      </c>
      <c r="AG11" t="s">
        <v>828</v>
      </c>
      <c r="AH11">
        <v>0</v>
      </c>
      <c r="AI11">
        <v>0</v>
      </c>
      <c r="AJ11">
        <v>0</v>
      </c>
    </row>
    <row r="12" spans="1:36" x14ac:dyDescent="0.3">
      <c r="A12">
        <f t="shared" si="1"/>
        <v>11</v>
      </c>
      <c r="B12" s="28"/>
      <c r="C12" t="s">
        <v>1477</v>
      </c>
      <c r="D12" t="s">
        <v>1373</v>
      </c>
      <c r="E12" t="s">
        <v>70</v>
      </c>
      <c r="F12" t="s">
        <v>560</v>
      </c>
      <c r="G12" t="s">
        <v>1478</v>
      </c>
      <c r="H12" t="s">
        <v>1343</v>
      </c>
      <c r="I12">
        <v>281.8</v>
      </c>
      <c r="J12">
        <v>1</v>
      </c>
      <c r="K12">
        <v>3</v>
      </c>
      <c r="L12">
        <v>3</v>
      </c>
      <c r="M12">
        <v>0.4</v>
      </c>
      <c r="N12" t="s">
        <v>1344</v>
      </c>
      <c r="O12" t="s">
        <v>828</v>
      </c>
      <c r="P12">
        <v>1</v>
      </c>
      <c r="Q12">
        <v>1</v>
      </c>
      <c r="R12">
        <v>0</v>
      </c>
      <c r="S12">
        <v>0</v>
      </c>
      <c r="T12">
        <v>0</v>
      </c>
      <c r="U12">
        <v>0</v>
      </c>
      <c r="V12">
        <v>0</v>
      </c>
      <c r="W12">
        <v>0</v>
      </c>
      <c r="X12">
        <v>0</v>
      </c>
      <c r="Y12">
        <v>0</v>
      </c>
      <c r="Z12">
        <v>0</v>
      </c>
      <c r="AA12">
        <v>0</v>
      </c>
      <c r="AB12">
        <v>1</v>
      </c>
      <c r="AC12">
        <v>1</v>
      </c>
      <c r="AD12">
        <v>0</v>
      </c>
      <c r="AE12">
        <v>0</v>
      </c>
      <c r="AF12">
        <v>0</v>
      </c>
      <c r="AG12" t="s">
        <v>828</v>
      </c>
      <c r="AH12">
        <v>0</v>
      </c>
      <c r="AI12">
        <v>0</v>
      </c>
      <c r="AJ12">
        <v>0</v>
      </c>
    </row>
    <row r="13" spans="1:36" x14ac:dyDescent="0.3">
      <c r="A13">
        <f t="shared" si="1"/>
        <v>12</v>
      </c>
      <c r="B13" s="28"/>
      <c r="C13" t="s">
        <v>1479</v>
      </c>
      <c r="D13" t="s">
        <v>1373</v>
      </c>
      <c r="E13" t="s">
        <v>825</v>
      </c>
      <c r="F13" t="s">
        <v>841</v>
      </c>
      <c r="G13" t="s">
        <v>1480</v>
      </c>
      <c r="H13" t="s">
        <v>1343</v>
      </c>
      <c r="I13">
        <v>242.1</v>
      </c>
      <c r="J13">
        <v>1</v>
      </c>
      <c r="K13">
        <v>10</v>
      </c>
      <c r="L13">
        <v>10</v>
      </c>
      <c r="M13">
        <v>1.2</v>
      </c>
      <c r="N13" t="s">
        <v>1344</v>
      </c>
      <c r="O13" t="s">
        <v>828</v>
      </c>
      <c r="P13">
        <v>1</v>
      </c>
      <c r="Q13">
        <v>1</v>
      </c>
      <c r="R13">
        <v>0</v>
      </c>
      <c r="S13">
        <v>0</v>
      </c>
      <c r="T13">
        <v>0</v>
      </c>
      <c r="U13">
        <v>0</v>
      </c>
      <c r="V13">
        <v>0</v>
      </c>
      <c r="W13">
        <v>0</v>
      </c>
      <c r="X13">
        <v>0</v>
      </c>
      <c r="Y13">
        <v>0</v>
      </c>
      <c r="Z13">
        <v>0</v>
      </c>
      <c r="AA13">
        <v>0</v>
      </c>
      <c r="AB13">
        <v>0.20100000000000001</v>
      </c>
      <c r="AC13">
        <v>1</v>
      </c>
      <c r="AD13">
        <v>0</v>
      </c>
      <c r="AE13">
        <v>0</v>
      </c>
      <c r="AF13">
        <v>0</v>
      </c>
      <c r="AG13" t="s">
        <v>828</v>
      </c>
      <c r="AH13">
        <v>0</v>
      </c>
      <c r="AI13">
        <v>0</v>
      </c>
      <c r="AJ13">
        <v>0</v>
      </c>
    </row>
    <row r="14" spans="1:36" x14ac:dyDescent="0.3">
      <c r="A14">
        <f t="shared" si="1"/>
        <v>13</v>
      </c>
      <c r="B14" s="28"/>
      <c r="C14" t="s">
        <v>1481</v>
      </c>
      <c r="D14" t="s">
        <v>1373</v>
      </c>
      <c r="E14" t="s">
        <v>70</v>
      </c>
      <c r="F14" t="s">
        <v>837</v>
      </c>
      <c r="G14" t="s">
        <v>1482</v>
      </c>
      <c r="H14" t="s">
        <v>1343</v>
      </c>
      <c r="I14">
        <v>654.20000000000005</v>
      </c>
      <c r="J14">
        <v>1</v>
      </c>
      <c r="K14">
        <v>3</v>
      </c>
      <c r="L14">
        <v>3</v>
      </c>
      <c r="M14">
        <v>1</v>
      </c>
      <c r="N14" t="s">
        <v>1344</v>
      </c>
      <c r="O14" t="s">
        <v>828</v>
      </c>
      <c r="P14">
        <v>1</v>
      </c>
      <c r="Q14">
        <v>1</v>
      </c>
      <c r="R14">
        <v>0</v>
      </c>
      <c r="S14">
        <v>0</v>
      </c>
      <c r="T14">
        <v>0</v>
      </c>
      <c r="U14">
        <v>0</v>
      </c>
      <c r="V14">
        <v>0</v>
      </c>
      <c r="W14">
        <v>0</v>
      </c>
      <c r="X14">
        <v>0</v>
      </c>
      <c r="Y14">
        <v>0</v>
      </c>
      <c r="Z14">
        <v>0</v>
      </c>
      <c r="AA14">
        <v>0</v>
      </c>
      <c r="AB14">
        <v>1</v>
      </c>
      <c r="AC14">
        <v>1</v>
      </c>
      <c r="AD14">
        <v>0</v>
      </c>
      <c r="AE14">
        <v>0</v>
      </c>
      <c r="AF14">
        <v>0</v>
      </c>
      <c r="AG14" t="s">
        <v>828</v>
      </c>
      <c r="AH14">
        <v>0</v>
      </c>
      <c r="AI14">
        <v>0</v>
      </c>
      <c r="AJ14">
        <v>0</v>
      </c>
    </row>
    <row r="15" spans="1:36" x14ac:dyDescent="0.3">
      <c r="A15">
        <f t="shared" si="1"/>
        <v>14</v>
      </c>
      <c r="B15" s="28"/>
      <c r="C15" t="s">
        <v>1483</v>
      </c>
      <c r="D15" t="s">
        <v>1373</v>
      </c>
      <c r="E15" t="s">
        <v>70</v>
      </c>
      <c r="F15" t="s">
        <v>837</v>
      </c>
      <c r="G15" t="s">
        <v>1484</v>
      </c>
      <c r="H15" t="s">
        <v>1343</v>
      </c>
      <c r="I15">
        <v>368.7</v>
      </c>
      <c r="J15">
        <v>1</v>
      </c>
      <c r="K15">
        <v>3</v>
      </c>
      <c r="L15">
        <v>3</v>
      </c>
      <c r="M15">
        <v>0.6</v>
      </c>
      <c r="N15" t="s">
        <v>1344</v>
      </c>
      <c r="O15" t="s">
        <v>828</v>
      </c>
      <c r="P15">
        <v>1</v>
      </c>
      <c r="Q15">
        <v>1</v>
      </c>
      <c r="R15">
        <v>0</v>
      </c>
      <c r="S15">
        <v>0</v>
      </c>
      <c r="T15">
        <v>0</v>
      </c>
      <c r="U15">
        <v>0</v>
      </c>
      <c r="V15">
        <v>0</v>
      </c>
      <c r="W15">
        <v>0</v>
      </c>
      <c r="X15">
        <v>0</v>
      </c>
      <c r="Y15">
        <v>0</v>
      </c>
      <c r="Z15">
        <v>0</v>
      </c>
      <c r="AA15">
        <v>0</v>
      </c>
      <c r="AB15">
        <v>1</v>
      </c>
      <c r="AC15">
        <v>1</v>
      </c>
      <c r="AD15">
        <v>0</v>
      </c>
      <c r="AE15">
        <v>0</v>
      </c>
      <c r="AF15">
        <v>0</v>
      </c>
      <c r="AG15" t="s">
        <v>828</v>
      </c>
      <c r="AH15">
        <v>0</v>
      </c>
      <c r="AI15">
        <v>0</v>
      </c>
      <c r="AJ15">
        <v>0</v>
      </c>
    </row>
    <row r="16" spans="1:36" x14ac:dyDescent="0.3">
      <c r="A16">
        <f t="shared" si="1"/>
        <v>15</v>
      </c>
      <c r="B16" s="28"/>
      <c r="C16" t="s">
        <v>1485</v>
      </c>
      <c r="D16" t="s">
        <v>1373</v>
      </c>
      <c r="E16" t="s">
        <v>825</v>
      </c>
      <c r="F16" t="s">
        <v>837</v>
      </c>
      <c r="G16" t="s">
        <v>1486</v>
      </c>
      <c r="H16" t="s">
        <v>1343</v>
      </c>
      <c r="I16">
        <v>93</v>
      </c>
      <c r="J16">
        <v>1</v>
      </c>
      <c r="K16">
        <v>3</v>
      </c>
      <c r="L16">
        <v>3</v>
      </c>
      <c r="M16">
        <v>0.1</v>
      </c>
      <c r="N16" t="s">
        <v>1344</v>
      </c>
      <c r="O16" t="s">
        <v>828</v>
      </c>
      <c r="P16">
        <v>1</v>
      </c>
      <c r="Q16">
        <v>1</v>
      </c>
      <c r="R16">
        <v>0</v>
      </c>
      <c r="S16">
        <v>0</v>
      </c>
      <c r="T16">
        <v>0</v>
      </c>
      <c r="U16">
        <v>0</v>
      </c>
      <c r="V16">
        <v>0</v>
      </c>
      <c r="W16">
        <v>0</v>
      </c>
      <c r="X16">
        <v>0</v>
      </c>
      <c r="Y16">
        <v>0</v>
      </c>
      <c r="Z16">
        <v>0</v>
      </c>
      <c r="AA16">
        <v>0</v>
      </c>
      <c r="AB16">
        <v>0.20100000000000001</v>
      </c>
      <c r="AC16">
        <v>1</v>
      </c>
      <c r="AD16">
        <v>0</v>
      </c>
      <c r="AE16">
        <v>0</v>
      </c>
      <c r="AF16">
        <v>0</v>
      </c>
      <c r="AG16" t="s">
        <v>828</v>
      </c>
      <c r="AH16">
        <v>0</v>
      </c>
      <c r="AI16">
        <v>0</v>
      </c>
      <c r="AJ16">
        <v>0</v>
      </c>
    </row>
    <row r="17" spans="1:36" x14ac:dyDescent="0.3">
      <c r="A17">
        <f t="shared" si="1"/>
        <v>16</v>
      </c>
      <c r="B17" s="28"/>
      <c r="C17" t="s">
        <v>1487</v>
      </c>
      <c r="D17" t="s">
        <v>1373</v>
      </c>
      <c r="E17" t="s">
        <v>70</v>
      </c>
      <c r="F17" t="s">
        <v>560</v>
      </c>
      <c r="G17" t="s">
        <v>1488</v>
      </c>
      <c r="H17" t="s">
        <v>1343</v>
      </c>
      <c r="I17">
        <v>1556.7</v>
      </c>
      <c r="J17">
        <v>1</v>
      </c>
      <c r="K17">
        <v>3</v>
      </c>
      <c r="L17">
        <v>3</v>
      </c>
      <c r="M17">
        <v>2.2999999999999998</v>
      </c>
      <c r="N17" t="s">
        <v>1344</v>
      </c>
      <c r="O17" t="s">
        <v>828</v>
      </c>
      <c r="P17">
        <v>1</v>
      </c>
      <c r="Q17">
        <v>1</v>
      </c>
      <c r="R17">
        <v>0</v>
      </c>
      <c r="S17">
        <v>0</v>
      </c>
      <c r="T17">
        <v>0</v>
      </c>
      <c r="U17">
        <v>0</v>
      </c>
      <c r="V17">
        <v>0</v>
      </c>
      <c r="W17">
        <v>0</v>
      </c>
      <c r="X17">
        <v>0</v>
      </c>
      <c r="Y17">
        <v>0</v>
      </c>
      <c r="Z17">
        <v>0</v>
      </c>
      <c r="AA17">
        <v>0</v>
      </c>
      <c r="AB17">
        <v>1</v>
      </c>
      <c r="AC17">
        <v>1</v>
      </c>
      <c r="AD17">
        <v>0</v>
      </c>
      <c r="AE17">
        <v>0</v>
      </c>
      <c r="AF17">
        <v>0</v>
      </c>
      <c r="AG17" t="s">
        <v>828</v>
      </c>
      <c r="AH17">
        <v>0</v>
      </c>
      <c r="AI17">
        <v>0</v>
      </c>
      <c r="AJ17">
        <v>0</v>
      </c>
    </row>
    <row r="18" spans="1:36" x14ac:dyDescent="0.3">
      <c r="A18">
        <f t="shared" si="1"/>
        <v>17</v>
      </c>
      <c r="B18" s="28"/>
      <c r="C18" t="s">
        <v>1489</v>
      </c>
      <c r="D18" t="s">
        <v>1373</v>
      </c>
      <c r="E18" t="s">
        <v>70</v>
      </c>
      <c r="F18" t="s">
        <v>560</v>
      </c>
      <c r="G18" t="s">
        <v>1488</v>
      </c>
      <c r="H18" t="s">
        <v>1343</v>
      </c>
      <c r="I18">
        <v>123.9</v>
      </c>
      <c r="J18">
        <v>1</v>
      </c>
      <c r="K18">
        <v>3</v>
      </c>
      <c r="L18">
        <v>3</v>
      </c>
      <c r="M18">
        <v>0.2</v>
      </c>
      <c r="N18" t="s">
        <v>1344</v>
      </c>
      <c r="O18" t="s">
        <v>828</v>
      </c>
      <c r="P18">
        <v>1</v>
      </c>
      <c r="Q18">
        <v>1</v>
      </c>
      <c r="R18">
        <v>0</v>
      </c>
      <c r="S18">
        <v>0</v>
      </c>
      <c r="T18">
        <v>0</v>
      </c>
      <c r="U18">
        <v>0</v>
      </c>
      <c r="V18">
        <v>0</v>
      </c>
      <c r="W18">
        <v>0</v>
      </c>
      <c r="X18">
        <v>0</v>
      </c>
      <c r="Y18">
        <v>0</v>
      </c>
      <c r="Z18">
        <v>0</v>
      </c>
      <c r="AA18">
        <v>0</v>
      </c>
      <c r="AB18">
        <v>1</v>
      </c>
      <c r="AC18">
        <v>1</v>
      </c>
      <c r="AD18">
        <v>0</v>
      </c>
      <c r="AE18">
        <v>0</v>
      </c>
      <c r="AF18">
        <v>0</v>
      </c>
      <c r="AG18" t="s">
        <v>828</v>
      </c>
      <c r="AH18">
        <v>0</v>
      </c>
      <c r="AI18">
        <v>0</v>
      </c>
      <c r="AJ18">
        <v>0</v>
      </c>
    </row>
    <row r="19" spans="1:36" x14ac:dyDescent="0.3">
      <c r="A19">
        <f t="shared" si="1"/>
        <v>18</v>
      </c>
      <c r="B19" s="28"/>
      <c r="C19" t="s">
        <v>1490</v>
      </c>
      <c r="D19" t="s">
        <v>1373</v>
      </c>
      <c r="E19" t="s">
        <v>70</v>
      </c>
      <c r="F19" t="s">
        <v>843</v>
      </c>
      <c r="G19" t="s">
        <v>1491</v>
      </c>
      <c r="H19" t="s">
        <v>1813</v>
      </c>
      <c r="I19">
        <v>72603.399999999994</v>
      </c>
      <c r="J19">
        <v>1</v>
      </c>
      <c r="K19">
        <v>10</v>
      </c>
      <c r="L19">
        <v>10</v>
      </c>
      <c r="M19">
        <v>363</v>
      </c>
      <c r="N19" t="s">
        <v>278</v>
      </c>
      <c r="O19" t="s">
        <v>827</v>
      </c>
      <c r="P19">
        <v>1</v>
      </c>
      <c r="Q19">
        <v>1</v>
      </c>
      <c r="R19">
        <v>0.75</v>
      </c>
      <c r="S19">
        <v>0</v>
      </c>
      <c r="T19">
        <v>0</v>
      </c>
      <c r="U19">
        <v>0</v>
      </c>
      <c r="V19">
        <v>54453</v>
      </c>
      <c r="W19">
        <v>0.75</v>
      </c>
      <c r="X19">
        <v>0</v>
      </c>
      <c r="Y19">
        <v>0</v>
      </c>
      <c r="Z19">
        <v>54453</v>
      </c>
      <c r="AA19">
        <v>54453</v>
      </c>
      <c r="AB19">
        <v>1</v>
      </c>
      <c r="AC19">
        <v>1</v>
      </c>
      <c r="AD19">
        <v>0.75</v>
      </c>
      <c r="AE19">
        <v>0</v>
      </c>
      <c r="AF19">
        <v>54453</v>
      </c>
      <c r="AG19" t="s">
        <v>828</v>
      </c>
      <c r="AH19">
        <v>0</v>
      </c>
      <c r="AI19">
        <v>0</v>
      </c>
      <c r="AJ19">
        <v>0</v>
      </c>
    </row>
    <row r="20" spans="1:36" x14ac:dyDescent="0.3">
      <c r="A20">
        <f t="shared" si="1"/>
        <v>19</v>
      </c>
      <c r="B20" s="28"/>
      <c r="C20" t="s">
        <v>1492</v>
      </c>
      <c r="D20" t="s">
        <v>1373</v>
      </c>
      <c r="E20" t="s">
        <v>825</v>
      </c>
      <c r="F20" t="s">
        <v>35</v>
      </c>
      <c r="G20" t="s">
        <v>1493</v>
      </c>
      <c r="H20" t="s">
        <v>1821</v>
      </c>
      <c r="I20">
        <v>107.5</v>
      </c>
      <c r="J20">
        <v>1</v>
      </c>
      <c r="K20">
        <v>10</v>
      </c>
      <c r="L20">
        <v>10</v>
      </c>
      <c r="M20">
        <v>0.5</v>
      </c>
      <c r="N20" t="s">
        <v>278</v>
      </c>
      <c r="O20" t="s">
        <v>827</v>
      </c>
      <c r="P20">
        <v>1</v>
      </c>
      <c r="Q20">
        <v>1</v>
      </c>
      <c r="R20">
        <v>0.06</v>
      </c>
      <c r="S20">
        <v>5</v>
      </c>
      <c r="T20">
        <v>0</v>
      </c>
      <c r="U20">
        <v>0</v>
      </c>
      <c r="V20">
        <v>85</v>
      </c>
      <c r="W20">
        <v>0.06</v>
      </c>
      <c r="X20">
        <v>5</v>
      </c>
      <c r="Y20">
        <v>0</v>
      </c>
      <c r="Z20">
        <v>9</v>
      </c>
      <c r="AA20">
        <v>17</v>
      </c>
      <c r="AB20">
        <v>0.20100000000000001</v>
      </c>
      <c r="AC20">
        <v>1</v>
      </c>
      <c r="AD20">
        <v>0.41099999999999998</v>
      </c>
      <c r="AE20">
        <v>0</v>
      </c>
      <c r="AF20">
        <v>0</v>
      </c>
      <c r="AG20" t="s">
        <v>828</v>
      </c>
      <c r="AH20">
        <v>0</v>
      </c>
      <c r="AI20">
        <v>0</v>
      </c>
      <c r="AJ20">
        <v>0</v>
      </c>
    </row>
    <row r="21" spans="1:36" x14ac:dyDescent="0.3">
      <c r="A21">
        <f t="shared" si="1"/>
        <v>20</v>
      </c>
      <c r="B21" s="28"/>
      <c r="C21" t="s">
        <v>1494</v>
      </c>
      <c r="D21" t="s">
        <v>1373</v>
      </c>
      <c r="E21" t="s">
        <v>70</v>
      </c>
      <c r="F21" t="s">
        <v>843</v>
      </c>
      <c r="G21" t="s">
        <v>1491</v>
      </c>
      <c r="H21" t="s">
        <v>1813</v>
      </c>
      <c r="I21">
        <v>8116</v>
      </c>
      <c r="J21">
        <v>1</v>
      </c>
      <c r="K21">
        <v>10</v>
      </c>
      <c r="L21">
        <v>10</v>
      </c>
      <c r="M21">
        <v>40.6</v>
      </c>
      <c r="N21" t="s">
        <v>278</v>
      </c>
      <c r="O21" t="s">
        <v>827</v>
      </c>
      <c r="P21">
        <v>1</v>
      </c>
      <c r="Q21">
        <v>1</v>
      </c>
      <c r="R21">
        <v>0.75</v>
      </c>
      <c r="S21">
        <v>0</v>
      </c>
      <c r="T21">
        <v>0</v>
      </c>
      <c r="U21">
        <v>0</v>
      </c>
      <c r="V21">
        <v>6087</v>
      </c>
      <c r="W21">
        <v>0.75</v>
      </c>
      <c r="X21">
        <v>0</v>
      </c>
      <c r="Y21">
        <v>0</v>
      </c>
      <c r="Z21">
        <v>6087</v>
      </c>
      <c r="AA21">
        <v>6087</v>
      </c>
      <c r="AB21">
        <v>1</v>
      </c>
      <c r="AC21">
        <v>1</v>
      </c>
      <c r="AD21">
        <v>0.75</v>
      </c>
      <c r="AE21">
        <v>0</v>
      </c>
      <c r="AF21">
        <v>6087</v>
      </c>
      <c r="AG21" t="s">
        <v>828</v>
      </c>
      <c r="AH21">
        <v>0</v>
      </c>
      <c r="AI21">
        <v>0</v>
      </c>
      <c r="AJ21">
        <v>0</v>
      </c>
    </row>
    <row r="22" spans="1:36" x14ac:dyDescent="0.3">
      <c r="A22">
        <f t="shared" si="1"/>
        <v>21</v>
      </c>
      <c r="B22" s="28"/>
      <c r="C22" t="s">
        <v>1495</v>
      </c>
      <c r="D22" t="s">
        <v>1373</v>
      </c>
      <c r="E22" t="s">
        <v>70</v>
      </c>
      <c r="F22" t="s">
        <v>560</v>
      </c>
      <c r="G22" t="s">
        <v>1496</v>
      </c>
      <c r="H22" t="s">
        <v>1343</v>
      </c>
      <c r="I22">
        <v>308.60000000000002</v>
      </c>
      <c r="J22">
        <v>1</v>
      </c>
      <c r="K22">
        <v>3</v>
      </c>
      <c r="L22">
        <v>3</v>
      </c>
      <c r="M22">
        <v>0.5</v>
      </c>
      <c r="N22" t="s">
        <v>1344</v>
      </c>
      <c r="O22" t="s">
        <v>828</v>
      </c>
      <c r="P22">
        <v>1</v>
      </c>
      <c r="Q22">
        <v>1</v>
      </c>
      <c r="R22">
        <v>0</v>
      </c>
      <c r="S22">
        <v>0</v>
      </c>
      <c r="T22">
        <v>0</v>
      </c>
      <c r="U22">
        <v>0</v>
      </c>
      <c r="V22">
        <v>0</v>
      </c>
      <c r="W22">
        <v>0</v>
      </c>
      <c r="X22">
        <v>0</v>
      </c>
      <c r="Y22">
        <v>0</v>
      </c>
      <c r="Z22">
        <v>0</v>
      </c>
      <c r="AA22">
        <v>0</v>
      </c>
      <c r="AB22">
        <v>1</v>
      </c>
      <c r="AC22">
        <v>1</v>
      </c>
      <c r="AD22">
        <v>0</v>
      </c>
      <c r="AE22">
        <v>0</v>
      </c>
      <c r="AF22">
        <v>0</v>
      </c>
      <c r="AG22" t="s">
        <v>828</v>
      </c>
      <c r="AH22">
        <v>0</v>
      </c>
      <c r="AI22">
        <v>0</v>
      </c>
      <c r="AJ22">
        <v>0</v>
      </c>
    </row>
    <row r="23" spans="1:36" x14ac:dyDescent="0.3">
      <c r="A23">
        <f t="shared" si="1"/>
        <v>22</v>
      </c>
      <c r="B23" s="28"/>
      <c r="C23" t="s">
        <v>1497</v>
      </c>
      <c r="D23" t="s">
        <v>1373</v>
      </c>
      <c r="E23" t="s">
        <v>844</v>
      </c>
      <c r="F23" t="s">
        <v>834</v>
      </c>
      <c r="G23" t="s">
        <v>1493</v>
      </c>
      <c r="H23" t="s">
        <v>1821</v>
      </c>
      <c r="I23">
        <v>99.2</v>
      </c>
      <c r="J23">
        <v>1</v>
      </c>
      <c r="K23">
        <v>0</v>
      </c>
      <c r="L23">
        <v>0</v>
      </c>
      <c r="M23">
        <v>0</v>
      </c>
      <c r="N23" t="s">
        <v>278</v>
      </c>
      <c r="O23" t="s">
        <v>827</v>
      </c>
      <c r="P23">
        <v>1</v>
      </c>
      <c r="Q23">
        <v>1</v>
      </c>
      <c r="R23">
        <v>0</v>
      </c>
      <c r="S23">
        <v>0</v>
      </c>
      <c r="T23">
        <v>0</v>
      </c>
      <c r="U23">
        <v>0</v>
      </c>
      <c r="V23">
        <v>0</v>
      </c>
      <c r="W23">
        <v>0</v>
      </c>
      <c r="X23">
        <v>0</v>
      </c>
      <c r="Y23">
        <v>0</v>
      </c>
      <c r="Z23">
        <v>0</v>
      </c>
      <c r="AA23">
        <v>0</v>
      </c>
      <c r="AB23">
        <v>1</v>
      </c>
      <c r="AC23">
        <v>1</v>
      </c>
      <c r="AD23">
        <v>0.41099999999999998</v>
      </c>
      <c r="AE23">
        <v>0</v>
      </c>
      <c r="AF23">
        <v>0</v>
      </c>
      <c r="AG23" t="s">
        <v>828</v>
      </c>
      <c r="AH23">
        <v>0</v>
      </c>
      <c r="AI23">
        <v>0</v>
      </c>
      <c r="AJ23">
        <v>0</v>
      </c>
    </row>
    <row r="24" spans="1:36" x14ac:dyDescent="0.3">
      <c r="A24">
        <f t="shared" si="1"/>
        <v>23</v>
      </c>
      <c r="B24" s="28"/>
      <c r="C24" t="s">
        <v>1498</v>
      </c>
      <c r="D24" t="s">
        <v>1373</v>
      </c>
      <c r="E24" t="s">
        <v>825</v>
      </c>
      <c r="F24" t="s">
        <v>35</v>
      </c>
      <c r="G24" t="s">
        <v>1499</v>
      </c>
      <c r="H24" t="s">
        <v>1816</v>
      </c>
      <c r="I24">
        <v>97.2</v>
      </c>
      <c r="J24">
        <v>1</v>
      </c>
      <c r="K24">
        <v>10</v>
      </c>
      <c r="L24">
        <v>10</v>
      </c>
      <c r="M24">
        <v>0.5</v>
      </c>
      <c r="N24" t="s">
        <v>278</v>
      </c>
      <c r="O24" t="s">
        <v>827</v>
      </c>
      <c r="P24">
        <v>1</v>
      </c>
      <c r="Q24">
        <v>1</v>
      </c>
      <c r="R24">
        <v>0.06</v>
      </c>
      <c r="S24">
        <v>5</v>
      </c>
      <c r="T24">
        <v>0</v>
      </c>
      <c r="U24">
        <v>0</v>
      </c>
      <c r="V24">
        <v>100</v>
      </c>
      <c r="W24">
        <v>0.06</v>
      </c>
      <c r="X24">
        <v>5</v>
      </c>
      <c r="Y24">
        <v>0</v>
      </c>
      <c r="Z24">
        <v>8</v>
      </c>
      <c r="AA24">
        <v>20</v>
      </c>
      <c r="AB24">
        <v>0.20100000000000001</v>
      </c>
      <c r="AC24">
        <v>1</v>
      </c>
      <c r="AD24">
        <v>0.53</v>
      </c>
      <c r="AE24">
        <v>0</v>
      </c>
      <c r="AF24">
        <v>0</v>
      </c>
      <c r="AG24" t="s">
        <v>828</v>
      </c>
      <c r="AH24">
        <v>0</v>
      </c>
      <c r="AI24">
        <v>0</v>
      </c>
      <c r="AJ24">
        <v>0</v>
      </c>
    </row>
    <row r="25" spans="1:36" x14ac:dyDescent="0.3">
      <c r="A25">
        <f t="shared" si="1"/>
        <v>24</v>
      </c>
      <c r="B25" s="28"/>
      <c r="C25" t="s">
        <v>1500</v>
      </c>
      <c r="D25" t="s">
        <v>1373</v>
      </c>
      <c r="E25" t="s">
        <v>844</v>
      </c>
      <c r="F25" t="s">
        <v>834</v>
      </c>
      <c r="G25" t="s">
        <v>1499</v>
      </c>
      <c r="H25" t="s">
        <v>1816</v>
      </c>
      <c r="I25">
        <v>91.4</v>
      </c>
      <c r="J25">
        <v>1</v>
      </c>
      <c r="K25">
        <v>0</v>
      </c>
      <c r="L25">
        <v>0</v>
      </c>
      <c r="M25">
        <v>0</v>
      </c>
      <c r="N25" t="s">
        <v>278</v>
      </c>
      <c r="O25" t="s">
        <v>827</v>
      </c>
      <c r="P25">
        <v>1</v>
      </c>
      <c r="Q25">
        <v>1</v>
      </c>
      <c r="R25">
        <v>0</v>
      </c>
      <c r="S25">
        <v>0</v>
      </c>
      <c r="T25">
        <v>0</v>
      </c>
      <c r="U25">
        <v>0</v>
      </c>
      <c r="V25">
        <v>0</v>
      </c>
      <c r="W25">
        <v>0</v>
      </c>
      <c r="X25">
        <v>0</v>
      </c>
      <c r="Y25">
        <v>0</v>
      </c>
      <c r="Z25">
        <v>0</v>
      </c>
      <c r="AA25">
        <v>0</v>
      </c>
      <c r="AB25">
        <v>1</v>
      </c>
      <c r="AC25">
        <v>1</v>
      </c>
      <c r="AD25">
        <v>0.53</v>
      </c>
      <c r="AE25">
        <v>0</v>
      </c>
      <c r="AF25">
        <v>0</v>
      </c>
      <c r="AG25" t="s">
        <v>828</v>
      </c>
      <c r="AH25">
        <v>0</v>
      </c>
      <c r="AI25">
        <v>0</v>
      </c>
      <c r="AJ25">
        <v>0</v>
      </c>
    </row>
    <row r="26" spans="1:36" x14ac:dyDescent="0.3">
      <c r="A26">
        <f t="shared" si="1"/>
        <v>25</v>
      </c>
      <c r="B26" s="28"/>
      <c r="C26" t="s">
        <v>1501</v>
      </c>
      <c r="D26" t="s">
        <v>1373</v>
      </c>
      <c r="E26" t="s">
        <v>825</v>
      </c>
      <c r="F26" t="s">
        <v>837</v>
      </c>
      <c r="G26" t="s">
        <v>1502</v>
      </c>
      <c r="H26" t="s">
        <v>1343</v>
      </c>
      <c r="I26">
        <v>92.5</v>
      </c>
      <c r="J26">
        <v>1</v>
      </c>
      <c r="K26">
        <v>3</v>
      </c>
      <c r="L26">
        <v>3</v>
      </c>
      <c r="M26">
        <v>0.1</v>
      </c>
      <c r="N26" t="s">
        <v>1344</v>
      </c>
      <c r="O26" t="s">
        <v>828</v>
      </c>
      <c r="P26">
        <v>1</v>
      </c>
      <c r="Q26">
        <v>1</v>
      </c>
      <c r="R26">
        <v>0</v>
      </c>
      <c r="S26">
        <v>0</v>
      </c>
      <c r="T26">
        <v>0</v>
      </c>
      <c r="U26">
        <v>0</v>
      </c>
      <c r="V26">
        <v>0</v>
      </c>
      <c r="W26">
        <v>0</v>
      </c>
      <c r="X26">
        <v>0</v>
      </c>
      <c r="Y26">
        <v>0</v>
      </c>
      <c r="Z26">
        <v>0</v>
      </c>
      <c r="AA26">
        <v>0</v>
      </c>
      <c r="AB26">
        <v>0.20100000000000001</v>
      </c>
      <c r="AC26">
        <v>1</v>
      </c>
      <c r="AD26">
        <v>0</v>
      </c>
      <c r="AE26">
        <v>0</v>
      </c>
      <c r="AF26">
        <v>0</v>
      </c>
      <c r="AG26" t="s">
        <v>828</v>
      </c>
      <c r="AH26">
        <v>0</v>
      </c>
      <c r="AI26">
        <v>0</v>
      </c>
      <c r="AJ26">
        <v>0</v>
      </c>
    </row>
    <row r="27" spans="1:36" x14ac:dyDescent="0.3">
      <c r="A27">
        <f t="shared" si="1"/>
        <v>26</v>
      </c>
      <c r="B27" s="28"/>
      <c r="C27" t="s">
        <v>1503</v>
      </c>
      <c r="D27" t="s">
        <v>1373</v>
      </c>
      <c r="E27" t="s">
        <v>825</v>
      </c>
      <c r="F27" t="s">
        <v>841</v>
      </c>
      <c r="G27" t="s">
        <v>1504</v>
      </c>
      <c r="H27" t="s">
        <v>1343</v>
      </c>
      <c r="I27">
        <v>127.6</v>
      </c>
      <c r="J27">
        <v>1</v>
      </c>
      <c r="K27">
        <v>10</v>
      </c>
      <c r="L27">
        <v>10</v>
      </c>
      <c r="M27">
        <v>0.6</v>
      </c>
      <c r="N27" t="s">
        <v>1344</v>
      </c>
      <c r="O27" t="s">
        <v>828</v>
      </c>
      <c r="P27">
        <v>1</v>
      </c>
      <c r="Q27">
        <v>1</v>
      </c>
      <c r="R27">
        <v>0</v>
      </c>
      <c r="S27">
        <v>0</v>
      </c>
      <c r="T27">
        <v>0</v>
      </c>
      <c r="U27">
        <v>0</v>
      </c>
      <c r="V27">
        <v>0</v>
      </c>
      <c r="W27">
        <v>0</v>
      </c>
      <c r="X27">
        <v>0</v>
      </c>
      <c r="Y27">
        <v>0</v>
      </c>
      <c r="Z27">
        <v>0</v>
      </c>
      <c r="AA27">
        <v>0</v>
      </c>
      <c r="AB27">
        <v>0.20100000000000001</v>
      </c>
      <c r="AC27">
        <v>1</v>
      </c>
      <c r="AD27">
        <v>0</v>
      </c>
      <c r="AE27">
        <v>0</v>
      </c>
      <c r="AF27">
        <v>0</v>
      </c>
      <c r="AG27" t="s">
        <v>828</v>
      </c>
      <c r="AH27">
        <v>0</v>
      </c>
      <c r="AI27">
        <v>0</v>
      </c>
      <c r="AJ27">
        <v>0</v>
      </c>
    </row>
    <row r="28" spans="1:36" x14ac:dyDescent="0.3">
      <c r="A28">
        <f t="shared" si="1"/>
        <v>27</v>
      </c>
      <c r="B28" s="28"/>
      <c r="C28" t="s">
        <v>1505</v>
      </c>
      <c r="D28" t="s">
        <v>1373</v>
      </c>
      <c r="E28" t="s">
        <v>825</v>
      </c>
      <c r="F28" t="s">
        <v>837</v>
      </c>
      <c r="G28" t="s">
        <v>1506</v>
      </c>
      <c r="H28" t="s">
        <v>1343</v>
      </c>
      <c r="I28">
        <v>583.20000000000005</v>
      </c>
      <c r="J28">
        <v>1</v>
      </c>
      <c r="K28">
        <v>3</v>
      </c>
      <c r="L28">
        <v>3</v>
      </c>
      <c r="M28">
        <v>0.9</v>
      </c>
      <c r="N28" t="s">
        <v>1344</v>
      </c>
      <c r="O28" t="s">
        <v>828</v>
      </c>
      <c r="P28">
        <v>1</v>
      </c>
      <c r="Q28">
        <v>1</v>
      </c>
      <c r="R28">
        <v>0</v>
      </c>
      <c r="S28">
        <v>0</v>
      </c>
      <c r="T28">
        <v>0</v>
      </c>
      <c r="U28">
        <v>0</v>
      </c>
      <c r="V28">
        <v>0</v>
      </c>
      <c r="W28">
        <v>0</v>
      </c>
      <c r="X28">
        <v>0</v>
      </c>
      <c r="Y28">
        <v>0</v>
      </c>
      <c r="Z28">
        <v>0</v>
      </c>
      <c r="AA28">
        <v>0</v>
      </c>
      <c r="AB28">
        <v>0.20100000000000001</v>
      </c>
      <c r="AC28">
        <v>1</v>
      </c>
      <c r="AD28">
        <v>0</v>
      </c>
      <c r="AE28">
        <v>0</v>
      </c>
      <c r="AF28">
        <v>0</v>
      </c>
      <c r="AG28" t="s">
        <v>828</v>
      </c>
      <c r="AH28">
        <v>0</v>
      </c>
      <c r="AI28">
        <v>0</v>
      </c>
      <c r="AJ28">
        <v>0</v>
      </c>
    </row>
    <row r="29" spans="1:36" x14ac:dyDescent="0.3">
      <c r="B29" s="28"/>
      <c r="C29" t="s">
        <v>1507</v>
      </c>
      <c r="D29" t="s">
        <v>1373</v>
      </c>
      <c r="E29" t="s">
        <v>70</v>
      </c>
      <c r="F29" t="s">
        <v>560</v>
      </c>
      <c r="G29" t="s">
        <v>1508</v>
      </c>
      <c r="H29" t="s">
        <v>1343</v>
      </c>
      <c r="I29">
        <v>369.5</v>
      </c>
      <c r="J29">
        <v>1</v>
      </c>
      <c r="K29">
        <v>3</v>
      </c>
      <c r="L29">
        <v>3</v>
      </c>
      <c r="M29">
        <v>0.6</v>
      </c>
      <c r="N29" t="s">
        <v>1344</v>
      </c>
      <c r="O29" t="s">
        <v>828</v>
      </c>
      <c r="P29">
        <v>1</v>
      </c>
      <c r="Q29">
        <v>1</v>
      </c>
      <c r="R29">
        <v>0</v>
      </c>
      <c r="S29">
        <v>0</v>
      </c>
      <c r="T29">
        <v>0</v>
      </c>
      <c r="U29">
        <v>0</v>
      </c>
      <c r="V29">
        <v>0</v>
      </c>
      <c r="W29">
        <v>0</v>
      </c>
      <c r="X29">
        <v>0</v>
      </c>
      <c r="Y29">
        <v>0</v>
      </c>
      <c r="Z29">
        <v>0</v>
      </c>
      <c r="AA29">
        <v>0</v>
      </c>
      <c r="AB29">
        <v>1</v>
      </c>
      <c r="AC29">
        <v>1</v>
      </c>
      <c r="AD29">
        <v>0</v>
      </c>
      <c r="AE29">
        <v>0</v>
      </c>
      <c r="AF29">
        <v>0</v>
      </c>
      <c r="AG29" t="s">
        <v>828</v>
      </c>
      <c r="AH29">
        <v>0</v>
      </c>
      <c r="AI29">
        <v>0</v>
      </c>
      <c r="AJ29">
        <v>0</v>
      </c>
    </row>
    <row r="30" spans="1:36" x14ac:dyDescent="0.3">
      <c r="B30" s="28"/>
      <c r="C30" t="s">
        <v>1509</v>
      </c>
      <c r="D30" t="s">
        <v>1373</v>
      </c>
      <c r="E30" t="s">
        <v>825</v>
      </c>
      <c r="F30" t="s">
        <v>837</v>
      </c>
      <c r="G30" t="s">
        <v>1510</v>
      </c>
      <c r="H30" t="s">
        <v>1343</v>
      </c>
      <c r="I30">
        <v>621.5</v>
      </c>
      <c r="J30">
        <v>1</v>
      </c>
      <c r="K30">
        <v>3</v>
      </c>
      <c r="L30">
        <v>3</v>
      </c>
      <c r="M30">
        <v>0.9</v>
      </c>
      <c r="N30" t="s">
        <v>1344</v>
      </c>
      <c r="O30" t="s">
        <v>828</v>
      </c>
      <c r="P30">
        <v>1</v>
      </c>
      <c r="Q30">
        <v>1</v>
      </c>
      <c r="R30">
        <v>0</v>
      </c>
      <c r="S30">
        <v>0</v>
      </c>
      <c r="T30">
        <v>0</v>
      </c>
      <c r="U30">
        <v>0</v>
      </c>
      <c r="V30">
        <v>0</v>
      </c>
      <c r="W30">
        <v>0</v>
      </c>
      <c r="X30">
        <v>0</v>
      </c>
      <c r="Y30">
        <v>0</v>
      </c>
      <c r="Z30">
        <v>0</v>
      </c>
      <c r="AA30">
        <v>0</v>
      </c>
      <c r="AB30">
        <v>0.20100000000000001</v>
      </c>
      <c r="AC30">
        <v>1</v>
      </c>
      <c r="AD30">
        <v>0</v>
      </c>
      <c r="AE30">
        <v>0</v>
      </c>
      <c r="AF30">
        <v>0</v>
      </c>
      <c r="AG30" t="s">
        <v>828</v>
      </c>
      <c r="AH30">
        <v>0</v>
      </c>
      <c r="AI30">
        <v>0</v>
      </c>
      <c r="AJ30">
        <v>0</v>
      </c>
    </row>
    <row r="31" spans="1:36" x14ac:dyDescent="0.3">
      <c r="B31" s="28"/>
      <c r="C31" t="s">
        <v>1511</v>
      </c>
      <c r="D31" t="s">
        <v>1373</v>
      </c>
      <c r="E31" t="s">
        <v>70</v>
      </c>
      <c r="F31" t="s">
        <v>560</v>
      </c>
      <c r="G31" t="s">
        <v>1512</v>
      </c>
      <c r="H31" t="s">
        <v>1343</v>
      </c>
      <c r="I31">
        <v>903.5</v>
      </c>
      <c r="J31">
        <v>1</v>
      </c>
      <c r="K31">
        <v>3</v>
      </c>
      <c r="L31">
        <v>3</v>
      </c>
      <c r="M31">
        <v>1.4</v>
      </c>
      <c r="N31" t="s">
        <v>1344</v>
      </c>
      <c r="O31" t="s">
        <v>828</v>
      </c>
      <c r="P31">
        <v>1</v>
      </c>
      <c r="Q31">
        <v>1</v>
      </c>
      <c r="R31">
        <v>0</v>
      </c>
      <c r="S31">
        <v>0</v>
      </c>
      <c r="T31">
        <v>0</v>
      </c>
      <c r="U31">
        <v>0</v>
      </c>
      <c r="V31">
        <v>0</v>
      </c>
      <c r="W31">
        <v>0</v>
      </c>
      <c r="X31">
        <v>0</v>
      </c>
      <c r="Y31">
        <v>0</v>
      </c>
      <c r="Z31">
        <v>0</v>
      </c>
      <c r="AA31">
        <v>0</v>
      </c>
      <c r="AB31">
        <v>1</v>
      </c>
      <c r="AC31">
        <v>1</v>
      </c>
      <c r="AD31">
        <v>0</v>
      </c>
      <c r="AE31">
        <v>0</v>
      </c>
      <c r="AF31">
        <v>0</v>
      </c>
      <c r="AG31" t="s">
        <v>828</v>
      </c>
      <c r="AH31">
        <v>0</v>
      </c>
      <c r="AI31">
        <v>0</v>
      </c>
      <c r="AJ31">
        <v>0</v>
      </c>
    </row>
    <row r="32" spans="1:36" x14ac:dyDescent="0.3">
      <c r="B32" s="28"/>
      <c r="C32" t="s">
        <v>1513</v>
      </c>
      <c r="D32" t="s">
        <v>1373</v>
      </c>
      <c r="E32" t="s">
        <v>70</v>
      </c>
      <c r="F32" t="s">
        <v>560</v>
      </c>
      <c r="G32" t="s">
        <v>1512</v>
      </c>
      <c r="H32" t="s">
        <v>1343</v>
      </c>
      <c r="I32">
        <v>484.8</v>
      </c>
      <c r="J32">
        <v>1</v>
      </c>
      <c r="K32">
        <v>3</v>
      </c>
      <c r="L32">
        <v>3</v>
      </c>
      <c r="M32">
        <v>0.7</v>
      </c>
      <c r="N32" t="s">
        <v>1344</v>
      </c>
      <c r="O32" t="s">
        <v>828</v>
      </c>
      <c r="P32">
        <v>1</v>
      </c>
      <c r="Q32">
        <v>1</v>
      </c>
      <c r="R32">
        <v>0</v>
      </c>
      <c r="S32">
        <v>0</v>
      </c>
      <c r="T32">
        <v>0</v>
      </c>
      <c r="U32">
        <v>0</v>
      </c>
      <c r="V32">
        <v>0</v>
      </c>
      <c r="W32">
        <v>0</v>
      </c>
      <c r="X32">
        <v>0</v>
      </c>
      <c r="Y32">
        <v>0</v>
      </c>
      <c r="Z32">
        <v>0</v>
      </c>
      <c r="AA32">
        <v>0</v>
      </c>
      <c r="AB32">
        <v>1</v>
      </c>
      <c r="AC32">
        <v>1</v>
      </c>
      <c r="AD32">
        <v>0</v>
      </c>
      <c r="AE32">
        <v>0</v>
      </c>
      <c r="AF32">
        <v>0</v>
      </c>
      <c r="AG32" t="s">
        <v>828</v>
      </c>
      <c r="AH32">
        <v>0</v>
      </c>
      <c r="AI32">
        <v>0</v>
      </c>
      <c r="AJ32">
        <v>0</v>
      </c>
    </row>
    <row r="33" spans="2:36" x14ac:dyDescent="0.3">
      <c r="B33" s="28"/>
      <c r="C33" t="s">
        <v>1514</v>
      </c>
      <c r="D33" t="s">
        <v>1373</v>
      </c>
      <c r="E33" t="s">
        <v>70</v>
      </c>
      <c r="F33" t="s">
        <v>560</v>
      </c>
      <c r="G33" t="s">
        <v>1515</v>
      </c>
      <c r="H33" t="s">
        <v>1343</v>
      </c>
      <c r="I33">
        <v>473.6</v>
      </c>
      <c r="J33">
        <v>1</v>
      </c>
      <c r="K33">
        <v>3</v>
      </c>
      <c r="L33">
        <v>3</v>
      </c>
      <c r="M33">
        <v>0.7</v>
      </c>
      <c r="N33" t="s">
        <v>1344</v>
      </c>
      <c r="O33" t="s">
        <v>828</v>
      </c>
      <c r="P33">
        <v>1</v>
      </c>
      <c r="Q33">
        <v>1</v>
      </c>
      <c r="R33">
        <v>0</v>
      </c>
      <c r="S33">
        <v>0</v>
      </c>
      <c r="T33">
        <v>0</v>
      </c>
      <c r="U33">
        <v>0</v>
      </c>
      <c r="V33">
        <v>0</v>
      </c>
      <c r="W33">
        <v>0</v>
      </c>
      <c r="X33">
        <v>0</v>
      </c>
      <c r="Y33">
        <v>0</v>
      </c>
      <c r="Z33">
        <v>0</v>
      </c>
      <c r="AA33">
        <v>0</v>
      </c>
      <c r="AB33">
        <v>1</v>
      </c>
      <c r="AC33">
        <v>1</v>
      </c>
      <c r="AD33">
        <v>0</v>
      </c>
      <c r="AE33">
        <v>0</v>
      </c>
      <c r="AF33">
        <v>0</v>
      </c>
      <c r="AG33" t="s">
        <v>828</v>
      </c>
      <c r="AH33">
        <v>0</v>
      </c>
      <c r="AI33">
        <v>0</v>
      </c>
      <c r="AJ33">
        <v>0</v>
      </c>
    </row>
    <row r="34" spans="2:36" x14ac:dyDescent="0.3">
      <c r="B34" s="28"/>
      <c r="C34" t="s">
        <v>1516</v>
      </c>
      <c r="D34" t="s">
        <v>1373</v>
      </c>
      <c r="E34" t="s">
        <v>70</v>
      </c>
      <c r="F34" t="s">
        <v>560</v>
      </c>
      <c r="G34" t="s">
        <v>1517</v>
      </c>
      <c r="H34" t="s">
        <v>1343</v>
      </c>
      <c r="I34">
        <v>407.4</v>
      </c>
      <c r="J34">
        <v>1</v>
      </c>
      <c r="K34">
        <v>3</v>
      </c>
      <c r="L34">
        <v>3</v>
      </c>
      <c r="M34">
        <v>0.6</v>
      </c>
      <c r="N34" t="s">
        <v>1344</v>
      </c>
      <c r="O34" t="s">
        <v>828</v>
      </c>
      <c r="P34">
        <v>1</v>
      </c>
      <c r="Q34">
        <v>1</v>
      </c>
      <c r="R34">
        <v>0</v>
      </c>
      <c r="S34">
        <v>0</v>
      </c>
      <c r="T34">
        <v>0</v>
      </c>
      <c r="U34">
        <v>0</v>
      </c>
      <c r="V34">
        <v>0</v>
      </c>
      <c r="W34">
        <v>0</v>
      </c>
      <c r="X34">
        <v>0</v>
      </c>
      <c r="Y34">
        <v>0</v>
      </c>
      <c r="Z34">
        <v>0</v>
      </c>
      <c r="AA34">
        <v>0</v>
      </c>
      <c r="AB34">
        <v>1</v>
      </c>
      <c r="AC34">
        <v>1</v>
      </c>
      <c r="AD34">
        <v>0</v>
      </c>
      <c r="AE34">
        <v>0</v>
      </c>
      <c r="AF34">
        <v>0</v>
      </c>
      <c r="AG34" t="s">
        <v>828</v>
      </c>
      <c r="AH34">
        <v>0</v>
      </c>
      <c r="AI34">
        <v>0</v>
      </c>
      <c r="AJ34">
        <v>0</v>
      </c>
    </row>
    <row r="35" spans="2:36" x14ac:dyDescent="0.3">
      <c r="B35" s="28"/>
      <c r="C35" t="s">
        <v>1518</v>
      </c>
      <c r="D35" t="s">
        <v>1373</v>
      </c>
      <c r="E35" t="s">
        <v>70</v>
      </c>
      <c r="F35" t="s">
        <v>834</v>
      </c>
      <c r="G35" t="s">
        <v>1519</v>
      </c>
      <c r="H35" t="s">
        <v>1343</v>
      </c>
      <c r="I35">
        <v>99.6</v>
      </c>
      <c r="J35">
        <v>1</v>
      </c>
      <c r="K35">
        <v>0</v>
      </c>
      <c r="L35">
        <v>0</v>
      </c>
      <c r="M35">
        <v>0</v>
      </c>
      <c r="N35" t="s">
        <v>1344</v>
      </c>
      <c r="O35" t="s">
        <v>828</v>
      </c>
      <c r="P35">
        <v>1</v>
      </c>
      <c r="Q35">
        <v>1</v>
      </c>
      <c r="R35">
        <v>0</v>
      </c>
      <c r="S35">
        <v>0</v>
      </c>
      <c r="T35">
        <v>0</v>
      </c>
      <c r="U35">
        <v>0</v>
      </c>
      <c r="V35">
        <v>0</v>
      </c>
      <c r="W35">
        <v>0</v>
      </c>
      <c r="X35">
        <v>0</v>
      </c>
      <c r="Y35">
        <v>0</v>
      </c>
      <c r="Z35">
        <v>0</v>
      </c>
      <c r="AA35">
        <v>0</v>
      </c>
      <c r="AB35">
        <v>1</v>
      </c>
      <c r="AC35">
        <v>1</v>
      </c>
      <c r="AD35">
        <v>0</v>
      </c>
      <c r="AE35">
        <v>0</v>
      </c>
      <c r="AF35">
        <v>0</v>
      </c>
      <c r="AG35" t="s">
        <v>828</v>
      </c>
      <c r="AH35">
        <v>0</v>
      </c>
      <c r="AI35">
        <v>0</v>
      </c>
      <c r="AJ35">
        <v>0</v>
      </c>
    </row>
    <row r="36" spans="2:36" x14ac:dyDescent="0.3">
      <c r="B36" s="28"/>
      <c r="C36" t="s">
        <v>1520</v>
      </c>
      <c r="D36" t="s">
        <v>1373</v>
      </c>
      <c r="E36" t="s">
        <v>825</v>
      </c>
      <c r="F36" t="s">
        <v>837</v>
      </c>
      <c r="G36" t="s">
        <v>1521</v>
      </c>
      <c r="H36" t="s">
        <v>1343</v>
      </c>
      <c r="I36">
        <v>373.7</v>
      </c>
      <c r="J36">
        <v>1</v>
      </c>
      <c r="K36">
        <v>3</v>
      </c>
      <c r="L36">
        <v>3</v>
      </c>
      <c r="M36">
        <v>0.6</v>
      </c>
      <c r="N36" t="s">
        <v>1344</v>
      </c>
      <c r="O36" t="s">
        <v>828</v>
      </c>
      <c r="P36">
        <v>1</v>
      </c>
      <c r="Q36">
        <v>1</v>
      </c>
      <c r="R36">
        <v>0</v>
      </c>
      <c r="S36">
        <v>0</v>
      </c>
      <c r="T36">
        <v>0</v>
      </c>
      <c r="U36">
        <v>0</v>
      </c>
      <c r="V36">
        <v>0</v>
      </c>
      <c r="W36">
        <v>0</v>
      </c>
      <c r="X36">
        <v>0</v>
      </c>
      <c r="Y36">
        <v>0</v>
      </c>
      <c r="Z36">
        <v>0</v>
      </c>
      <c r="AA36">
        <v>0</v>
      </c>
      <c r="AB36">
        <v>0.20100000000000001</v>
      </c>
      <c r="AC36">
        <v>1</v>
      </c>
      <c r="AD36">
        <v>0</v>
      </c>
      <c r="AE36">
        <v>0</v>
      </c>
      <c r="AF36">
        <v>0</v>
      </c>
      <c r="AG36" t="s">
        <v>828</v>
      </c>
      <c r="AH36">
        <v>0</v>
      </c>
      <c r="AI36">
        <v>0</v>
      </c>
      <c r="AJ36">
        <v>0</v>
      </c>
    </row>
    <row r="37" spans="2:36" x14ac:dyDescent="0.3">
      <c r="B37" s="28"/>
      <c r="C37" t="s">
        <v>1522</v>
      </c>
      <c r="D37" t="s">
        <v>1373</v>
      </c>
      <c r="E37" t="s">
        <v>70</v>
      </c>
      <c r="F37" t="s">
        <v>843</v>
      </c>
      <c r="G37" t="s">
        <v>1523</v>
      </c>
      <c r="H37" t="s">
        <v>1956</v>
      </c>
      <c r="I37">
        <v>6906.9</v>
      </c>
      <c r="J37">
        <v>1</v>
      </c>
      <c r="K37">
        <v>10</v>
      </c>
      <c r="L37">
        <v>10</v>
      </c>
      <c r="M37">
        <v>34.5</v>
      </c>
      <c r="N37" t="s">
        <v>278</v>
      </c>
      <c r="O37" t="s">
        <v>827</v>
      </c>
      <c r="P37">
        <v>1</v>
      </c>
      <c r="Q37">
        <v>1</v>
      </c>
      <c r="R37">
        <v>0.75</v>
      </c>
      <c r="S37">
        <v>0</v>
      </c>
      <c r="T37">
        <v>0</v>
      </c>
      <c r="U37">
        <v>0</v>
      </c>
      <c r="V37">
        <v>5180</v>
      </c>
      <c r="W37">
        <v>0.75</v>
      </c>
      <c r="X37">
        <v>0</v>
      </c>
      <c r="Y37">
        <v>0</v>
      </c>
      <c r="Z37">
        <v>5180</v>
      </c>
      <c r="AA37">
        <v>5180</v>
      </c>
      <c r="AB37">
        <v>1</v>
      </c>
      <c r="AC37">
        <v>1</v>
      </c>
      <c r="AD37">
        <v>0.75</v>
      </c>
      <c r="AE37">
        <v>0</v>
      </c>
      <c r="AF37">
        <v>5180</v>
      </c>
      <c r="AG37" t="s">
        <v>828</v>
      </c>
      <c r="AH37">
        <v>0</v>
      </c>
      <c r="AI37">
        <v>0</v>
      </c>
      <c r="AJ37">
        <v>0</v>
      </c>
    </row>
    <row r="38" spans="2:36" x14ac:dyDescent="0.3">
      <c r="B38" s="28"/>
      <c r="C38" t="s">
        <v>1524</v>
      </c>
      <c r="D38" t="s">
        <v>1373</v>
      </c>
      <c r="E38" t="s">
        <v>70</v>
      </c>
      <c r="F38" t="s">
        <v>843</v>
      </c>
      <c r="G38" t="s">
        <v>1523</v>
      </c>
      <c r="H38" t="s">
        <v>1956</v>
      </c>
      <c r="I38">
        <v>7812.3</v>
      </c>
      <c r="J38">
        <v>1</v>
      </c>
      <c r="K38">
        <v>10</v>
      </c>
      <c r="L38">
        <v>10</v>
      </c>
      <c r="M38">
        <v>39.1</v>
      </c>
      <c r="N38" t="s">
        <v>278</v>
      </c>
      <c r="O38" t="s">
        <v>827</v>
      </c>
      <c r="P38">
        <v>1</v>
      </c>
      <c r="Q38">
        <v>1</v>
      </c>
      <c r="R38">
        <v>0.75</v>
      </c>
      <c r="S38">
        <v>0</v>
      </c>
      <c r="T38">
        <v>0</v>
      </c>
      <c r="U38">
        <v>0</v>
      </c>
      <c r="V38">
        <v>5859</v>
      </c>
      <c r="W38">
        <v>0.75</v>
      </c>
      <c r="X38">
        <v>0</v>
      </c>
      <c r="Y38">
        <v>0</v>
      </c>
      <c r="Z38">
        <v>5859</v>
      </c>
      <c r="AA38">
        <v>5859</v>
      </c>
      <c r="AB38">
        <v>1</v>
      </c>
      <c r="AC38">
        <v>1</v>
      </c>
      <c r="AD38">
        <v>0.75</v>
      </c>
      <c r="AE38">
        <v>0</v>
      </c>
      <c r="AF38">
        <v>5859</v>
      </c>
      <c r="AG38" t="s">
        <v>828</v>
      </c>
      <c r="AH38">
        <v>0</v>
      </c>
      <c r="AI38">
        <v>0</v>
      </c>
      <c r="AJ38">
        <v>0</v>
      </c>
    </row>
    <row r="39" spans="2:36" x14ac:dyDescent="0.3">
      <c r="B39" s="28"/>
      <c r="C39" t="s">
        <v>1525</v>
      </c>
      <c r="D39" t="s">
        <v>1373</v>
      </c>
      <c r="E39" t="s">
        <v>825</v>
      </c>
      <c r="F39" t="s">
        <v>35</v>
      </c>
      <c r="G39" t="s">
        <v>1526</v>
      </c>
      <c r="H39" t="s">
        <v>1814</v>
      </c>
      <c r="I39">
        <v>184.4</v>
      </c>
      <c r="J39">
        <v>1</v>
      </c>
      <c r="K39">
        <v>10</v>
      </c>
      <c r="L39">
        <v>10</v>
      </c>
      <c r="M39">
        <v>0.9</v>
      </c>
      <c r="N39" t="s">
        <v>278</v>
      </c>
      <c r="O39" t="s">
        <v>827</v>
      </c>
      <c r="P39">
        <v>1</v>
      </c>
      <c r="Q39">
        <v>1</v>
      </c>
      <c r="R39">
        <v>0.06</v>
      </c>
      <c r="S39">
        <v>5</v>
      </c>
      <c r="T39">
        <v>0</v>
      </c>
      <c r="U39">
        <v>0</v>
      </c>
      <c r="V39">
        <v>29</v>
      </c>
      <c r="W39">
        <v>0.06</v>
      </c>
      <c r="X39">
        <v>5</v>
      </c>
      <c r="Y39">
        <v>0</v>
      </c>
      <c r="Z39">
        <v>16</v>
      </c>
      <c r="AA39">
        <v>6</v>
      </c>
      <c r="AB39">
        <v>0.20100000000000001</v>
      </c>
      <c r="AC39">
        <v>1</v>
      </c>
      <c r="AD39">
        <v>8.4000000000000005E-2</v>
      </c>
      <c r="AE39">
        <v>0</v>
      </c>
      <c r="AF39">
        <v>0</v>
      </c>
      <c r="AG39" t="s">
        <v>828</v>
      </c>
      <c r="AH39">
        <v>0</v>
      </c>
      <c r="AI39">
        <v>0</v>
      </c>
      <c r="AJ39">
        <v>0</v>
      </c>
    </row>
    <row r="40" spans="2:36" x14ac:dyDescent="0.3">
      <c r="B40" s="28"/>
      <c r="C40" t="s">
        <v>1527</v>
      </c>
      <c r="D40" t="s">
        <v>1373</v>
      </c>
      <c r="E40" t="s">
        <v>70</v>
      </c>
      <c r="F40" t="s">
        <v>843</v>
      </c>
      <c r="G40" t="s">
        <v>1523</v>
      </c>
      <c r="H40" t="s">
        <v>1956</v>
      </c>
      <c r="I40">
        <v>14763.3</v>
      </c>
      <c r="J40">
        <v>1</v>
      </c>
      <c r="K40">
        <v>10</v>
      </c>
      <c r="L40">
        <v>10</v>
      </c>
      <c r="M40">
        <v>73.8</v>
      </c>
      <c r="N40" t="s">
        <v>278</v>
      </c>
      <c r="O40" t="s">
        <v>827</v>
      </c>
      <c r="P40">
        <v>1</v>
      </c>
      <c r="Q40">
        <v>1</v>
      </c>
      <c r="R40">
        <v>0.75</v>
      </c>
      <c r="S40">
        <v>0</v>
      </c>
      <c r="T40">
        <v>0</v>
      </c>
      <c r="U40">
        <v>0</v>
      </c>
      <c r="V40">
        <v>11072</v>
      </c>
      <c r="W40">
        <v>0.75</v>
      </c>
      <c r="X40">
        <v>0</v>
      </c>
      <c r="Y40">
        <v>0</v>
      </c>
      <c r="Z40">
        <v>11072</v>
      </c>
      <c r="AA40">
        <v>11072</v>
      </c>
      <c r="AB40">
        <v>1</v>
      </c>
      <c r="AC40">
        <v>1</v>
      </c>
      <c r="AD40">
        <v>0.75</v>
      </c>
      <c r="AE40">
        <v>0</v>
      </c>
      <c r="AF40">
        <v>11072</v>
      </c>
      <c r="AG40" t="s">
        <v>828</v>
      </c>
      <c r="AH40">
        <v>0</v>
      </c>
      <c r="AI40">
        <v>0</v>
      </c>
      <c r="AJ40">
        <v>0</v>
      </c>
    </row>
    <row r="41" spans="2:36" x14ac:dyDescent="0.3">
      <c r="B41" s="28"/>
      <c r="C41" t="s">
        <v>1528</v>
      </c>
      <c r="D41" t="s">
        <v>1373</v>
      </c>
      <c r="E41" t="s">
        <v>844</v>
      </c>
      <c r="F41" t="s">
        <v>834</v>
      </c>
      <c r="G41" t="s">
        <v>1526</v>
      </c>
      <c r="H41" t="s">
        <v>1814</v>
      </c>
      <c r="I41">
        <v>159.80000000000001</v>
      </c>
      <c r="J41">
        <v>1</v>
      </c>
      <c r="K41">
        <v>0</v>
      </c>
      <c r="L41">
        <v>0</v>
      </c>
      <c r="M41">
        <v>0</v>
      </c>
      <c r="N41" t="s">
        <v>278</v>
      </c>
      <c r="O41" t="s">
        <v>827</v>
      </c>
      <c r="P41">
        <v>1</v>
      </c>
      <c r="Q41">
        <v>1</v>
      </c>
      <c r="R41">
        <v>0</v>
      </c>
      <c r="S41">
        <v>0</v>
      </c>
      <c r="T41">
        <v>0</v>
      </c>
      <c r="U41">
        <v>0</v>
      </c>
      <c r="V41">
        <v>0</v>
      </c>
      <c r="W41">
        <v>0</v>
      </c>
      <c r="X41">
        <v>0</v>
      </c>
      <c r="Y41">
        <v>0</v>
      </c>
      <c r="Z41">
        <v>0</v>
      </c>
      <c r="AA41">
        <v>0</v>
      </c>
      <c r="AB41">
        <v>1</v>
      </c>
      <c r="AC41">
        <v>1</v>
      </c>
      <c r="AD41">
        <v>8.4000000000000005E-2</v>
      </c>
      <c r="AE41">
        <v>0</v>
      </c>
      <c r="AF41">
        <v>0</v>
      </c>
      <c r="AG41" t="s">
        <v>828</v>
      </c>
      <c r="AH41">
        <v>0</v>
      </c>
      <c r="AI41">
        <v>0</v>
      </c>
      <c r="AJ41">
        <v>0</v>
      </c>
    </row>
    <row r="42" spans="2:36" x14ac:dyDescent="0.3">
      <c r="B42" s="28"/>
      <c r="C42" t="s">
        <v>1529</v>
      </c>
      <c r="D42" t="s">
        <v>1373</v>
      </c>
      <c r="E42" t="s">
        <v>825</v>
      </c>
      <c r="F42" t="s">
        <v>841</v>
      </c>
      <c r="G42" t="s">
        <v>1475</v>
      </c>
      <c r="H42" t="s">
        <v>1343</v>
      </c>
      <c r="I42">
        <v>217.2</v>
      </c>
      <c r="J42">
        <v>1</v>
      </c>
      <c r="K42">
        <v>10</v>
      </c>
      <c r="L42">
        <v>10</v>
      </c>
      <c r="M42">
        <v>1.1000000000000001</v>
      </c>
      <c r="N42" t="s">
        <v>1344</v>
      </c>
      <c r="O42" t="s">
        <v>828</v>
      </c>
      <c r="P42">
        <v>1</v>
      </c>
      <c r="Q42">
        <v>1</v>
      </c>
      <c r="R42">
        <v>0</v>
      </c>
      <c r="S42">
        <v>0</v>
      </c>
      <c r="T42">
        <v>0</v>
      </c>
      <c r="U42">
        <v>0</v>
      </c>
      <c r="V42">
        <v>0</v>
      </c>
      <c r="W42">
        <v>0</v>
      </c>
      <c r="X42">
        <v>0</v>
      </c>
      <c r="Y42">
        <v>0</v>
      </c>
      <c r="Z42">
        <v>0</v>
      </c>
      <c r="AA42">
        <v>0</v>
      </c>
      <c r="AB42">
        <v>0.20100000000000001</v>
      </c>
      <c r="AC42">
        <v>1</v>
      </c>
      <c r="AD42">
        <v>0</v>
      </c>
      <c r="AE42">
        <v>0</v>
      </c>
      <c r="AF42">
        <v>0</v>
      </c>
      <c r="AG42" t="s">
        <v>828</v>
      </c>
      <c r="AH42">
        <v>0</v>
      </c>
      <c r="AI42">
        <v>0</v>
      </c>
      <c r="AJ42">
        <v>0</v>
      </c>
    </row>
    <row r="43" spans="2:36" x14ac:dyDescent="0.3">
      <c r="B43" s="28"/>
      <c r="C43" t="s">
        <v>1530</v>
      </c>
      <c r="D43" t="s">
        <v>1373</v>
      </c>
      <c r="E43" t="s">
        <v>70</v>
      </c>
      <c r="F43" t="s">
        <v>560</v>
      </c>
      <c r="G43" t="s">
        <v>1478</v>
      </c>
      <c r="H43" t="s">
        <v>1343</v>
      </c>
      <c r="I43">
        <v>281.8</v>
      </c>
      <c r="J43">
        <v>1</v>
      </c>
      <c r="K43">
        <v>3</v>
      </c>
      <c r="L43">
        <v>3</v>
      </c>
      <c r="M43">
        <v>0.4</v>
      </c>
      <c r="N43" t="s">
        <v>1344</v>
      </c>
      <c r="O43" t="s">
        <v>828</v>
      </c>
      <c r="P43">
        <v>1</v>
      </c>
      <c r="Q43">
        <v>1</v>
      </c>
      <c r="R43">
        <v>0</v>
      </c>
      <c r="S43">
        <v>0</v>
      </c>
      <c r="T43">
        <v>0</v>
      </c>
      <c r="U43">
        <v>0</v>
      </c>
      <c r="V43">
        <v>0</v>
      </c>
      <c r="W43">
        <v>0</v>
      </c>
      <c r="X43">
        <v>0</v>
      </c>
      <c r="Y43">
        <v>0</v>
      </c>
      <c r="Z43">
        <v>0</v>
      </c>
      <c r="AA43">
        <v>0</v>
      </c>
      <c r="AB43">
        <v>1</v>
      </c>
      <c r="AC43">
        <v>1</v>
      </c>
      <c r="AD43">
        <v>0</v>
      </c>
      <c r="AE43">
        <v>0</v>
      </c>
      <c r="AF43">
        <v>0</v>
      </c>
      <c r="AG43" t="s">
        <v>828</v>
      </c>
      <c r="AH43">
        <v>0</v>
      </c>
      <c r="AI43">
        <v>0</v>
      </c>
      <c r="AJ43">
        <v>0</v>
      </c>
    </row>
    <row r="44" spans="2:36" x14ac:dyDescent="0.3">
      <c r="B44" s="28"/>
      <c r="C44" t="s">
        <v>1531</v>
      </c>
      <c r="D44" t="s">
        <v>1373</v>
      </c>
      <c r="E44" t="s">
        <v>825</v>
      </c>
      <c r="F44" t="s">
        <v>841</v>
      </c>
      <c r="G44" t="s">
        <v>1480</v>
      </c>
      <c r="H44" t="s">
        <v>1343</v>
      </c>
      <c r="I44">
        <v>242.1</v>
      </c>
      <c r="J44">
        <v>1</v>
      </c>
      <c r="K44">
        <v>10</v>
      </c>
      <c r="L44">
        <v>10</v>
      </c>
      <c r="M44">
        <v>1.2</v>
      </c>
      <c r="N44" t="s">
        <v>1344</v>
      </c>
      <c r="O44" t="s">
        <v>828</v>
      </c>
      <c r="P44">
        <v>1</v>
      </c>
      <c r="Q44">
        <v>1</v>
      </c>
      <c r="R44">
        <v>0</v>
      </c>
      <c r="S44">
        <v>0</v>
      </c>
      <c r="T44">
        <v>0</v>
      </c>
      <c r="U44">
        <v>0</v>
      </c>
      <c r="V44">
        <v>0</v>
      </c>
      <c r="W44">
        <v>0</v>
      </c>
      <c r="X44">
        <v>0</v>
      </c>
      <c r="Y44">
        <v>0</v>
      </c>
      <c r="Z44">
        <v>0</v>
      </c>
      <c r="AA44">
        <v>0</v>
      </c>
      <c r="AB44">
        <v>0.20100000000000001</v>
      </c>
      <c r="AC44">
        <v>1</v>
      </c>
      <c r="AD44">
        <v>0</v>
      </c>
      <c r="AE44">
        <v>0</v>
      </c>
      <c r="AF44">
        <v>0</v>
      </c>
      <c r="AG44" t="s">
        <v>828</v>
      </c>
      <c r="AH44">
        <v>0</v>
      </c>
      <c r="AI44">
        <v>0</v>
      </c>
      <c r="AJ44">
        <v>0</v>
      </c>
    </row>
    <row r="45" spans="2:36" x14ac:dyDescent="0.3">
      <c r="B45" s="28"/>
      <c r="C45" t="s">
        <v>1532</v>
      </c>
      <c r="D45" t="s">
        <v>1373</v>
      </c>
      <c r="E45" t="s">
        <v>825</v>
      </c>
      <c r="F45" t="s">
        <v>837</v>
      </c>
      <c r="G45" t="s">
        <v>1533</v>
      </c>
      <c r="H45" t="s">
        <v>1343</v>
      </c>
      <c r="I45">
        <v>368.7</v>
      </c>
      <c r="J45">
        <v>1</v>
      </c>
      <c r="K45">
        <v>3</v>
      </c>
      <c r="L45">
        <v>3</v>
      </c>
      <c r="M45">
        <v>0.6</v>
      </c>
      <c r="N45" t="s">
        <v>1344</v>
      </c>
      <c r="O45" t="s">
        <v>828</v>
      </c>
      <c r="P45">
        <v>1</v>
      </c>
      <c r="Q45">
        <v>1</v>
      </c>
      <c r="R45">
        <v>0</v>
      </c>
      <c r="S45">
        <v>0</v>
      </c>
      <c r="T45">
        <v>0</v>
      </c>
      <c r="U45">
        <v>0</v>
      </c>
      <c r="V45">
        <v>0</v>
      </c>
      <c r="W45">
        <v>0</v>
      </c>
      <c r="X45">
        <v>0</v>
      </c>
      <c r="Y45">
        <v>0</v>
      </c>
      <c r="Z45">
        <v>0</v>
      </c>
      <c r="AA45">
        <v>0</v>
      </c>
      <c r="AB45">
        <v>0.20100000000000001</v>
      </c>
      <c r="AC45">
        <v>1</v>
      </c>
      <c r="AD45">
        <v>0</v>
      </c>
      <c r="AE45">
        <v>0</v>
      </c>
      <c r="AF45">
        <v>0</v>
      </c>
      <c r="AG45" t="s">
        <v>828</v>
      </c>
      <c r="AH45">
        <v>0</v>
      </c>
      <c r="AI45">
        <v>0</v>
      </c>
      <c r="AJ45">
        <v>0</v>
      </c>
    </row>
    <row r="46" spans="2:36" x14ac:dyDescent="0.3">
      <c r="B46" s="28"/>
      <c r="C46" t="s">
        <v>1534</v>
      </c>
      <c r="D46" t="s">
        <v>1535</v>
      </c>
      <c r="E46" t="s">
        <v>825</v>
      </c>
      <c r="F46" t="s">
        <v>35</v>
      </c>
      <c r="G46" t="s">
        <v>1536</v>
      </c>
      <c r="H46" t="s">
        <v>1814</v>
      </c>
      <c r="I46">
        <v>775.6</v>
      </c>
      <c r="J46">
        <v>1</v>
      </c>
      <c r="K46">
        <v>10</v>
      </c>
      <c r="L46">
        <v>10</v>
      </c>
      <c r="M46">
        <v>3.9</v>
      </c>
      <c r="N46" t="s">
        <v>278</v>
      </c>
      <c r="O46" t="s">
        <v>827</v>
      </c>
      <c r="P46">
        <v>1</v>
      </c>
      <c r="Q46">
        <v>1</v>
      </c>
      <c r="R46">
        <v>0.06</v>
      </c>
      <c r="S46">
        <v>5</v>
      </c>
      <c r="T46">
        <v>0</v>
      </c>
      <c r="U46">
        <v>0</v>
      </c>
      <c r="V46">
        <v>142</v>
      </c>
      <c r="W46">
        <v>0.06</v>
      </c>
      <c r="X46">
        <v>5</v>
      </c>
      <c r="Y46">
        <v>0</v>
      </c>
      <c r="Z46">
        <v>66</v>
      </c>
      <c r="AA46">
        <v>142</v>
      </c>
      <c r="AB46">
        <v>1</v>
      </c>
      <c r="AC46">
        <v>1</v>
      </c>
      <c r="AD46">
        <v>0.13100000000000001</v>
      </c>
      <c r="AE46">
        <v>0</v>
      </c>
      <c r="AF46">
        <v>0</v>
      </c>
      <c r="AG46" t="s">
        <v>828</v>
      </c>
      <c r="AH46">
        <v>0</v>
      </c>
      <c r="AI46">
        <v>0</v>
      </c>
      <c r="AJ46">
        <v>0</v>
      </c>
    </row>
    <row r="47" spans="2:36" x14ac:dyDescent="0.3">
      <c r="B47" s="28"/>
      <c r="C47" t="s">
        <v>1537</v>
      </c>
      <c r="D47" t="s">
        <v>1535</v>
      </c>
      <c r="E47" t="s">
        <v>825</v>
      </c>
      <c r="F47" t="s">
        <v>826</v>
      </c>
      <c r="G47" t="s">
        <v>1538</v>
      </c>
      <c r="H47" t="s">
        <v>1949</v>
      </c>
      <c r="I47">
        <v>815</v>
      </c>
      <c r="J47">
        <v>1</v>
      </c>
      <c r="K47">
        <v>10</v>
      </c>
      <c r="L47">
        <v>10</v>
      </c>
      <c r="M47">
        <v>4.0999999999999996</v>
      </c>
      <c r="N47" t="s">
        <v>278</v>
      </c>
      <c r="O47" t="s">
        <v>827</v>
      </c>
      <c r="P47">
        <v>1</v>
      </c>
      <c r="Q47">
        <v>1</v>
      </c>
      <c r="R47">
        <v>0.06</v>
      </c>
      <c r="S47">
        <v>5</v>
      </c>
      <c r="T47">
        <v>0</v>
      </c>
      <c r="U47">
        <v>0</v>
      </c>
      <c r="V47">
        <v>69</v>
      </c>
      <c r="W47">
        <v>0.06</v>
      </c>
      <c r="X47">
        <v>5</v>
      </c>
      <c r="Y47">
        <v>0</v>
      </c>
      <c r="Z47">
        <v>69</v>
      </c>
      <c r="AA47">
        <v>69</v>
      </c>
      <c r="AB47">
        <v>1</v>
      </c>
      <c r="AC47">
        <v>1</v>
      </c>
      <c r="AD47">
        <v>8.5000000000000006E-2</v>
      </c>
      <c r="AE47">
        <v>0</v>
      </c>
      <c r="AF47">
        <v>0</v>
      </c>
      <c r="AG47" t="s">
        <v>828</v>
      </c>
      <c r="AH47">
        <v>0</v>
      </c>
      <c r="AI47">
        <v>0</v>
      </c>
      <c r="AJ47">
        <v>0</v>
      </c>
    </row>
    <row r="48" spans="2:36" x14ac:dyDescent="0.3">
      <c r="B48" s="28"/>
      <c r="C48" t="s">
        <v>1539</v>
      </c>
      <c r="D48" t="s">
        <v>1535</v>
      </c>
      <c r="E48" t="s">
        <v>825</v>
      </c>
      <c r="F48" t="s">
        <v>826</v>
      </c>
      <c r="G48" t="s">
        <v>1540</v>
      </c>
      <c r="H48" t="s">
        <v>1950</v>
      </c>
      <c r="I48">
        <v>902.2</v>
      </c>
      <c r="J48">
        <v>1</v>
      </c>
      <c r="K48">
        <v>10</v>
      </c>
      <c r="L48">
        <v>10</v>
      </c>
      <c r="M48">
        <v>4.5</v>
      </c>
      <c r="N48" t="s">
        <v>278</v>
      </c>
      <c r="O48" t="s">
        <v>827</v>
      </c>
      <c r="P48">
        <v>1</v>
      </c>
      <c r="Q48">
        <v>1</v>
      </c>
      <c r="R48">
        <v>0.06</v>
      </c>
      <c r="S48">
        <v>5</v>
      </c>
      <c r="T48">
        <v>0</v>
      </c>
      <c r="U48">
        <v>0</v>
      </c>
      <c r="V48">
        <v>77</v>
      </c>
      <c r="W48">
        <v>0.06</v>
      </c>
      <c r="X48">
        <v>5</v>
      </c>
      <c r="Y48">
        <v>0</v>
      </c>
      <c r="Z48">
        <v>77</v>
      </c>
      <c r="AA48">
        <v>77</v>
      </c>
      <c r="AB48">
        <v>1</v>
      </c>
      <c r="AC48">
        <v>1</v>
      </c>
      <c r="AD48">
        <v>8.5000000000000006E-2</v>
      </c>
      <c r="AE48">
        <v>0</v>
      </c>
      <c r="AF48">
        <v>0</v>
      </c>
      <c r="AG48" t="s">
        <v>828</v>
      </c>
      <c r="AH48">
        <v>0</v>
      </c>
      <c r="AI48">
        <v>0</v>
      </c>
      <c r="AJ48">
        <v>0</v>
      </c>
    </row>
    <row r="49" spans="2:36" x14ac:dyDescent="0.3">
      <c r="B49" s="28"/>
      <c r="C49" t="s">
        <v>1541</v>
      </c>
      <c r="D49" t="s">
        <v>1535</v>
      </c>
      <c r="E49" t="s">
        <v>825</v>
      </c>
      <c r="F49" t="s">
        <v>826</v>
      </c>
      <c r="G49" t="s">
        <v>1542</v>
      </c>
      <c r="H49" t="s">
        <v>1950</v>
      </c>
      <c r="I49">
        <v>3759.8</v>
      </c>
      <c r="J49">
        <v>1</v>
      </c>
      <c r="K49">
        <v>10</v>
      </c>
      <c r="L49">
        <v>10</v>
      </c>
      <c r="M49">
        <v>18.8</v>
      </c>
      <c r="N49" t="s">
        <v>278</v>
      </c>
      <c r="O49" t="s">
        <v>827</v>
      </c>
      <c r="P49">
        <v>1</v>
      </c>
      <c r="Q49">
        <v>1</v>
      </c>
      <c r="R49">
        <v>0.06</v>
      </c>
      <c r="S49">
        <v>5</v>
      </c>
      <c r="T49">
        <v>0</v>
      </c>
      <c r="U49">
        <v>0</v>
      </c>
      <c r="V49">
        <v>320</v>
      </c>
      <c r="W49">
        <v>0.06</v>
      </c>
      <c r="X49">
        <v>5</v>
      </c>
      <c r="Y49">
        <v>0</v>
      </c>
      <c r="Z49">
        <v>320</v>
      </c>
      <c r="AA49">
        <v>320</v>
      </c>
      <c r="AB49">
        <v>1</v>
      </c>
      <c r="AC49">
        <v>1</v>
      </c>
      <c r="AD49">
        <v>8.5000000000000006E-2</v>
      </c>
      <c r="AE49">
        <v>0</v>
      </c>
      <c r="AF49">
        <v>0</v>
      </c>
      <c r="AG49" t="s">
        <v>828</v>
      </c>
      <c r="AH49">
        <v>0</v>
      </c>
      <c r="AI49">
        <v>0</v>
      </c>
      <c r="AJ49">
        <v>0</v>
      </c>
    </row>
    <row r="50" spans="2:36" x14ac:dyDescent="0.3">
      <c r="B50" s="28"/>
      <c r="C50" t="s">
        <v>1543</v>
      </c>
      <c r="D50" t="s">
        <v>1535</v>
      </c>
      <c r="E50" t="s">
        <v>825</v>
      </c>
      <c r="F50" t="s">
        <v>842</v>
      </c>
      <c r="G50" t="s">
        <v>1544</v>
      </c>
      <c r="H50" t="s">
        <v>1395</v>
      </c>
      <c r="I50">
        <v>434.4</v>
      </c>
      <c r="J50">
        <v>1</v>
      </c>
      <c r="K50">
        <v>1.6</v>
      </c>
      <c r="L50">
        <v>0</v>
      </c>
      <c r="M50">
        <v>0.7</v>
      </c>
      <c r="N50" t="s">
        <v>278</v>
      </c>
      <c r="O50" t="s">
        <v>827</v>
      </c>
      <c r="P50">
        <v>1</v>
      </c>
      <c r="Q50">
        <v>1</v>
      </c>
      <c r="R50">
        <v>8.5000000000000006E-2</v>
      </c>
      <c r="S50">
        <v>0</v>
      </c>
      <c r="T50">
        <v>0</v>
      </c>
      <c r="U50">
        <v>0</v>
      </c>
      <c r="V50">
        <v>37</v>
      </c>
      <c r="W50">
        <v>8.5000000000000006E-2</v>
      </c>
      <c r="X50">
        <v>0</v>
      </c>
      <c r="Y50">
        <v>0</v>
      </c>
      <c r="Z50">
        <v>37</v>
      </c>
      <c r="AA50">
        <v>37</v>
      </c>
      <c r="AB50">
        <v>1</v>
      </c>
      <c r="AC50">
        <v>1</v>
      </c>
      <c r="AD50">
        <v>8.5000000000000006E-2</v>
      </c>
      <c r="AE50">
        <v>0</v>
      </c>
      <c r="AF50">
        <v>37</v>
      </c>
      <c r="AG50" t="s">
        <v>828</v>
      </c>
      <c r="AH50">
        <v>0</v>
      </c>
      <c r="AI50">
        <v>0</v>
      </c>
      <c r="AJ50">
        <v>0</v>
      </c>
    </row>
    <row r="51" spans="2:36" x14ac:dyDescent="0.3">
      <c r="B51" s="28"/>
      <c r="C51" t="s">
        <v>1545</v>
      </c>
      <c r="D51" t="s">
        <v>1535</v>
      </c>
      <c r="E51" t="s">
        <v>825</v>
      </c>
      <c r="F51" t="s">
        <v>826</v>
      </c>
      <c r="G51" t="s">
        <v>1546</v>
      </c>
      <c r="H51" t="s">
        <v>1950</v>
      </c>
      <c r="I51">
        <v>2775.6</v>
      </c>
      <c r="J51">
        <v>1</v>
      </c>
      <c r="K51">
        <v>10</v>
      </c>
      <c r="L51">
        <v>10</v>
      </c>
      <c r="M51">
        <v>13.9</v>
      </c>
      <c r="N51" t="s">
        <v>278</v>
      </c>
      <c r="O51" t="s">
        <v>827</v>
      </c>
      <c r="P51">
        <v>1</v>
      </c>
      <c r="Q51">
        <v>1</v>
      </c>
      <c r="R51">
        <v>0.06</v>
      </c>
      <c r="S51">
        <v>5</v>
      </c>
      <c r="T51">
        <v>0</v>
      </c>
      <c r="U51">
        <v>0</v>
      </c>
      <c r="V51">
        <v>236</v>
      </c>
      <c r="W51">
        <v>0.06</v>
      </c>
      <c r="X51">
        <v>5</v>
      </c>
      <c r="Y51">
        <v>0</v>
      </c>
      <c r="Z51">
        <v>236</v>
      </c>
      <c r="AA51">
        <v>236</v>
      </c>
      <c r="AB51">
        <v>1</v>
      </c>
      <c r="AC51">
        <v>1</v>
      </c>
      <c r="AD51">
        <v>8.5000000000000006E-2</v>
      </c>
      <c r="AE51">
        <v>0</v>
      </c>
      <c r="AF51">
        <v>0</v>
      </c>
      <c r="AG51" t="s">
        <v>828</v>
      </c>
      <c r="AH51">
        <v>0</v>
      </c>
      <c r="AI51">
        <v>0</v>
      </c>
      <c r="AJ51">
        <v>0</v>
      </c>
    </row>
    <row r="52" spans="2:36" x14ac:dyDescent="0.3">
      <c r="B52" s="28"/>
      <c r="C52" t="s">
        <v>1547</v>
      </c>
      <c r="D52" t="s">
        <v>1535</v>
      </c>
      <c r="E52" t="s">
        <v>844</v>
      </c>
      <c r="F52" t="s">
        <v>841</v>
      </c>
      <c r="G52" t="s">
        <v>1548</v>
      </c>
      <c r="H52" t="s">
        <v>1343</v>
      </c>
      <c r="I52">
        <v>225.4</v>
      </c>
      <c r="J52">
        <v>1</v>
      </c>
      <c r="K52">
        <v>10</v>
      </c>
      <c r="L52">
        <v>10</v>
      </c>
      <c r="M52">
        <v>1.1000000000000001</v>
      </c>
      <c r="N52" t="s">
        <v>1344</v>
      </c>
      <c r="O52" t="s">
        <v>828</v>
      </c>
      <c r="P52">
        <v>1</v>
      </c>
      <c r="Q52">
        <v>1</v>
      </c>
      <c r="R52">
        <v>0</v>
      </c>
      <c r="S52">
        <v>0</v>
      </c>
      <c r="T52">
        <v>0</v>
      </c>
      <c r="U52">
        <v>0</v>
      </c>
      <c r="V52">
        <v>0</v>
      </c>
      <c r="W52">
        <v>0</v>
      </c>
      <c r="X52">
        <v>0</v>
      </c>
      <c r="Y52">
        <v>0</v>
      </c>
      <c r="Z52">
        <v>0</v>
      </c>
      <c r="AA52">
        <v>0</v>
      </c>
      <c r="AB52">
        <v>1</v>
      </c>
      <c r="AC52">
        <v>1</v>
      </c>
      <c r="AD52">
        <v>0</v>
      </c>
      <c r="AE52">
        <v>0</v>
      </c>
      <c r="AF52">
        <v>0</v>
      </c>
      <c r="AG52" t="s">
        <v>828</v>
      </c>
      <c r="AH52">
        <v>0</v>
      </c>
      <c r="AI52">
        <v>0</v>
      </c>
      <c r="AJ52">
        <v>0</v>
      </c>
    </row>
    <row r="53" spans="2:36" x14ac:dyDescent="0.3">
      <c r="B53" s="28"/>
      <c r="C53" t="s">
        <v>1549</v>
      </c>
      <c r="D53" t="s">
        <v>1535</v>
      </c>
      <c r="E53" t="s">
        <v>844</v>
      </c>
      <c r="F53" t="s">
        <v>836</v>
      </c>
      <c r="G53" t="s">
        <v>1548</v>
      </c>
      <c r="H53" t="s">
        <v>1343</v>
      </c>
      <c r="I53">
        <v>120.9</v>
      </c>
      <c r="J53">
        <v>1</v>
      </c>
      <c r="K53">
        <v>10</v>
      </c>
      <c r="L53">
        <v>10</v>
      </c>
      <c r="M53">
        <v>0.6</v>
      </c>
      <c r="N53" t="s">
        <v>1344</v>
      </c>
      <c r="O53" t="s">
        <v>828</v>
      </c>
      <c r="P53">
        <v>1</v>
      </c>
      <c r="Q53">
        <v>1</v>
      </c>
      <c r="R53">
        <v>0</v>
      </c>
      <c r="S53">
        <v>0</v>
      </c>
      <c r="T53">
        <v>0</v>
      </c>
      <c r="U53">
        <v>0</v>
      </c>
      <c r="V53">
        <v>0</v>
      </c>
      <c r="W53">
        <v>0</v>
      </c>
      <c r="X53">
        <v>0</v>
      </c>
      <c r="Y53">
        <v>0</v>
      </c>
      <c r="Z53">
        <v>0</v>
      </c>
      <c r="AA53">
        <v>0</v>
      </c>
      <c r="AB53">
        <v>1</v>
      </c>
      <c r="AC53">
        <v>1</v>
      </c>
      <c r="AD53">
        <v>0</v>
      </c>
      <c r="AE53">
        <v>0</v>
      </c>
      <c r="AF53">
        <v>0</v>
      </c>
      <c r="AG53" t="s">
        <v>828</v>
      </c>
      <c r="AH53">
        <v>0</v>
      </c>
      <c r="AI53">
        <v>0</v>
      </c>
      <c r="AJ53">
        <v>0</v>
      </c>
    </row>
    <row r="54" spans="2:36" x14ac:dyDescent="0.3">
      <c r="B54" s="28"/>
      <c r="C54" t="s">
        <v>1550</v>
      </c>
      <c r="D54" t="s">
        <v>1535</v>
      </c>
      <c r="E54" t="s">
        <v>825</v>
      </c>
      <c r="F54" t="s">
        <v>842</v>
      </c>
      <c r="G54" t="s">
        <v>1551</v>
      </c>
      <c r="H54" t="s">
        <v>1817</v>
      </c>
      <c r="I54">
        <v>1596.5</v>
      </c>
      <c r="J54">
        <v>1</v>
      </c>
      <c r="K54">
        <v>1.6</v>
      </c>
      <c r="L54">
        <v>0</v>
      </c>
      <c r="M54">
        <v>2.5</v>
      </c>
      <c r="N54" t="s">
        <v>278</v>
      </c>
      <c r="O54" t="s">
        <v>827</v>
      </c>
      <c r="P54">
        <v>1</v>
      </c>
      <c r="Q54">
        <v>1</v>
      </c>
      <c r="R54">
        <v>8.5000000000000006E-2</v>
      </c>
      <c r="S54">
        <v>0</v>
      </c>
      <c r="T54">
        <v>0</v>
      </c>
      <c r="U54">
        <v>0</v>
      </c>
      <c r="V54">
        <v>136</v>
      </c>
      <c r="W54">
        <v>8.5000000000000006E-2</v>
      </c>
      <c r="X54">
        <v>0</v>
      </c>
      <c r="Y54">
        <v>0</v>
      </c>
      <c r="Z54">
        <v>136</v>
      </c>
      <c r="AA54">
        <v>136</v>
      </c>
      <c r="AB54">
        <v>1</v>
      </c>
      <c r="AC54">
        <v>1</v>
      </c>
      <c r="AD54">
        <v>8.5000000000000006E-2</v>
      </c>
      <c r="AE54">
        <v>0</v>
      </c>
      <c r="AF54">
        <v>136</v>
      </c>
      <c r="AG54" t="s">
        <v>828</v>
      </c>
      <c r="AH54">
        <v>0</v>
      </c>
      <c r="AI54">
        <v>0</v>
      </c>
      <c r="AJ54">
        <v>0</v>
      </c>
    </row>
    <row r="55" spans="2:36" x14ac:dyDescent="0.3">
      <c r="B55" s="28"/>
      <c r="C55" t="s">
        <v>1552</v>
      </c>
      <c r="D55" t="s">
        <v>1535</v>
      </c>
      <c r="E55" t="s">
        <v>844</v>
      </c>
      <c r="F55" t="s">
        <v>560</v>
      </c>
      <c r="G55" t="s">
        <v>1553</v>
      </c>
      <c r="H55" t="s">
        <v>1343</v>
      </c>
      <c r="I55">
        <v>153.19999999999999</v>
      </c>
      <c r="J55">
        <v>1</v>
      </c>
      <c r="K55">
        <v>3</v>
      </c>
      <c r="L55">
        <v>3</v>
      </c>
      <c r="M55">
        <v>0.2</v>
      </c>
      <c r="N55" t="s">
        <v>1344</v>
      </c>
      <c r="O55" t="s">
        <v>828</v>
      </c>
      <c r="P55">
        <v>1</v>
      </c>
      <c r="Q55">
        <v>1</v>
      </c>
      <c r="R55">
        <v>0</v>
      </c>
      <c r="S55">
        <v>0</v>
      </c>
      <c r="T55">
        <v>0</v>
      </c>
      <c r="U55">
        <v>0</v>
      </c>
      <c r="V55">
        <v>0</v>
      </c>
      <c r="W55">
        <v>0</v>
      </c>
      <c r="X55">
        <v>0</v>
      </c>
      <c r="Y55">
        <v>0</v>
      </c>
      <c r="Z55">
        <v>0</v>
      </c>
      <c r="AA55">
        <v>0</v>
      </c>
      <c r="AB55">
        <v>1</v>
      </c>
      <c r="AC55">
        <v>1</v>
      </c>
      <c r="AD55">
        <v>0</v>
      </c>
      <c r="AE55">
        <v>0</v>
      </c>
      <c r="AF55">
        <v>0</v>
      </c>
      <c r="AG55" t="s">
        <v>828</v>
      </c>
      <c r="AH55">
        <v>0</v>
      </c>
      <c r="AI55">
        <v>0</v>
      </c>
      <c r="AJ55">
        <v>0</v>
      </c>
    </row>
    <row r="56" spans="2:36" x14ac:dyDescent="0.3">
      <c r="B56" s="28"/>
      <c r="C56" t="s">
        <v>1554</v>
      </c>
      <c r="D56" t="s">
        <v>1535</v>
      </c>
      <c r="E56" t="s">
        <v>844</v>
      </c>
      <c r="F56" t="s">
        <v>560</v>
      </c>
      <c r="G56" t="s">
        <v>1553</v>
      </c>
      <c r="H56" t="s">
        <v>1343</v>
      </c>
      <c r="I56">
        <v>288.39999999999998</v>
      </c>
      <c r="J56">
        <v>1</v>
      </c>
      <c r="K56">
        <v>17.3</v>
      </c>
      <c r="L56">
        <v>3</v>
      </c>
      <c r="M56">
        <v>5</v>
      </c>
      <c r="N56" t="s">
        <v>1344</v>
      </c>
      <c r="O56" t="s">
        <v>828</v>
      </c>
      <c r="P56">
        <v>1</v>
      </c>
      <c r="Q56">
        <v>1</v>
      </c>
      <c r="R56">
        <v>0</v>
      </c>
      <c r="S56">
        <v>0</v>
      </c>
      <c r="T56">
        <v>0</v>
      </c>
      <c r="U56">
        <v>0</v>
      </c>
      <c r="V56">
        <v>0</v>
      </c>
      <c r="W56">
        <v>0</v>
      </c>
      <c r="X56">
        <v>0</v>
      </c>
      <c r="Y56">
        <v>0</v>
      </c>
      <c r="Z56">
        <v>0</v>
      </c>
      <c r="AA56">
        <v>0</v>
      </c>
      <c r="AB56">
        <v>1</v>
      </c>
      <c r="AC56">
        <v>1</v>
      </c>
      <c r="AD56">
        <v>0</v>
      </c>
      <c r="AE56">
        <v>0</v>
      </c>
      <c r="AF56">
        <v>0</v>
      </c>
      <c r="AG56" t="s">
        <v>828</v>
      </c>
      <c r="AH56">
        <v>0</v>
      </c>
      <c r="AI56">
        <v>0</v>
      </c>
      <c r="AJ56">
        <v>0</v>
      </c>
    </row>
    <row r="57" spans="2:36" x14ac:dyDescent="0.3">
      <c r="B57" s="28"/>
      <c r="C57" t="s">
        <v>1555</v>
      </c>
      <c r="D57" t="s">
        <v>1535</v>
      </c>
      <c r="E57" t="s">
        <v>844</v>
      </c>
      <c r="F57" t="s">
        <v>560</v>
      </c>
      <c r="G57" t="s">
        <v>1553</v>
      </c>
      <c r="H57" t="s">
        <v>1343</v>
      </c>
      <c r="I57">
        <v>49.1</v>
      </c>
      <c r="J57">
        <v>1</v>
      </c>
      <c r="K57">
        <v>3</v>
      </c>
      <c r="L57">
        <v>3</v>
      </c>
      <c r="M57">
        <v>0.1</v>
      </c>
      <c r="N57" t="s">
        <v>1344</v>
      </c>
      <c r="O57" t="s">
        <v>828</v>
      </c>
      <c r="P57">
        <v>1</v>
      </c>
      <c r="Q57">
        <v>1</v>
      </c>
      <c r="R57">
        <v>0</v>
      </c>
      <c r="S57">
        <v>0</v>
      </c>
      <c r="T57">
        <v>0</v>
      </c>
      <c r="U57">
        <v>0</v>
      </c>
      <c r="V57">
        <v>0</v>
      </c>
      <c r="W57">
        <v>0</v>
      </c>
      <c r="X57">
        <v>0</v>
      </c>
      <c r="Y57">
        <v>0</v>
      </c>
      <c r="Z57">
        <v>0</v>
      </c>
      <c r="AA57">
        <v>0</v>
      </c>
      <c r="AB57">
        <v>1</v>
      </c>
      <c r="AC57">
        <v>1</v>
      </c>
      <c r="AD57">
        <v>0</v>
      </c>
      <c r="AE57">
        <v>0</v>
      </c>
      <c r="AF57">
        <v>0</v>
      </c>
      <c r="AG57" t="s">
        <v>828</v>
      </c>
      <c r="AH57">
        <v>0</v>
      </c>
      <c r="AI57">
        <v>0</v>
      </c>
      <c r="AJ57">
        <v>0</v>
      </c>
    </row>
    <row r="58" spans="2:36" x14ac:dyDescent="0.3">
      <c r="B58" s="28"/>
      <c r="C58" t="s">
        <v>1556</v>
      </c>
      <c r="D58" t="s">
        <v>1535</v>
      </c>
      <c r="E58" t="s">
        <v>825</v>
      </c>
      <c r="F58" t="s">
        <v>838</v>
      </c>
      <c r="G58" t="s">
        <v>1536</v>
      </c>
      <c r="H58" t="s">
        <v>1814</v>
      </c>
      <c r="I58">
        <v>951.2</v>
      </c>
      <c r="J58">
        <v>1</v>
      </c>
      <c r="K58">
        <v>66.7</v>
      </c>
      <c r="L58">
        <v>66.7</v>
      </c>
      <c r="M58">
        <v>31.7</v>
      </c>
      <c r="N58" t="s">
        <v>278</v>
      </c>
      <c r="O58" t="s">
        <v>827</v>
      </c>
      <c r="P58">
        <v>1</v>
      </c>
      <c r="Q58">
        <v>1</v>
      </c>
      <c r="R58">
        <v>0.06</v>
      </c>
      <c r="S58">
        <v>5</v>
      </c>
      <c r="T58">
        <v>0</v>
      </c>
      <c r="U58">
        <v>0</v>
      </c>
      <c r="V58">
        <v>155</v>
      </c>
      <c r="W58">
        <v>0.06</v>
      </c>
      <c r="X58">
        <v>5</v>
      </c>
      <c r="Y58">
        <v>0</v>
      </c>
      <c r="Z58">
        <v>216</v>
      </c>
      <c r="AA58">
        <v>155</v>
      </c>
      <c r="AB58">
        <v>1</v>
      </c>
      <c r="AC58">
        <v>1</v>
      </c>
      <c r="AD58">
        <v>0.13100000000000001</v>
      </c>
      <c r="AE58">
        <v>0</v>
      </c>
      <c r="AF58">
        <v>0</v>
      </c>
      <c r="AG58" t="s">
        <v>828</v>
      </c>
      <c r="AH58">
        <v>0</v>
      </c>
      <c r="AI58">
        <v>0</v>
      </c>
      <c r="AJ58">
        <v>0</v>
      </c>
    </row>
    <row r="59" spans="2:36" x14ac:dyDescent="0.3">
      <c r="B59" s="28"/>
      <c r="C59" t="s">
        <v>1557</v>
      </c>
      <c r="D59" t="s">
        <v>1535</v>
      </c>
      <c r="E59" t="s">
        <v>825</v>
      </c>
      <c r="F59" t="s">
        <v>826</v>
      </c>
      <c r="G59" t="s">
        <v>1558</v>
      </c>
      <c r="H59" t="s">
        <v>1950</v>
      </c>
      <c r="I59">
        <v>1357.3</v>
      </c>
      <c r="J59">
        <v>1</v>
      </c>
      <c r="K59">
        <v>10</v>
      </c>
      <c r="L59">
        <v>10</v>
      </c>
      <c r="M59">
        <v>6.8</v>
      </c>
      <c r="N59" t="s">
        <v>278</v>
      </c>
      <c r="O59" t="s">
        <v>827</v>
      </c>
      <c r="P59">
        <v>1</v>
      </c>
      <c r="Q59">
        <v>1</v>
      </c>
      <c r="R59">
        <v>0.06</v>
      </c>
      <c r="S59">
        <v>5</v>
      </c>
      <c r="T59">
        <v>0</v>
      </c>
      <c r="U59">
        <v>0</v>
      </c>
      <c r="V59">
        <v>115</v>
      </c>
      <c r="W59">
        <v>0.06</v>
      </c>
      <c r="X59">
        <v>5</v>
      </c>
      <c r="Y59">
        <v>0</v>
      </c>
      <c r="Z59">
        <v>115</v>
      </c>
      <c r="AA59">
        <v>115</v>
      </c>
      <c r="AB59">
        <v>1</v>
      </c>
      <c r="AC59">
        <v>1</v>
      </c>
      <c r="AD59">
        <v>8.5000000000000006E-2</v>
      </c>
      <c r="AE59">
        <v>0</v>
      </c>
      <c r="AF59">
        <v>0</v>
      </c>
      <c r="AG59" t="s">
        <v>828</v>
      </c>
      <c r="AH59">
        <v>0</v>
      </c>
      <c r="AI59">
        <v>0</v>
      </c>
      <c r="AJ59">
        <v>0</v>
      </c>
    </row>
    <row r="60" spans="2:36" x14ac:dyDescent="0.3">
      <c r="B60" s="28"/>
      <c r="C60" t="s">
        <v>1559</v>
      </c>
      <c r="D60" t="s">
        <v>1535</v>
      </c>
      <c r="E60" t="s">
        <v>844</v>
      </c>
      <c r="F60" t="s">
        <v>841</v>
      </c>
      <c r="G60" t="s">
        <v>1536</v>
      </c>
      <c r="H60" t="s">
        <v>1814</v>
      </c>
      <c r="I60">
        <v>188.1</v>
      </c>
      <c r="J60">
        <v>1</v>
      </c>
      <c r="K60">
        <v>10</v>
      </c>
      <c r="L60">
        <v>10</v>
      </c>
      <c r="M60">
        <v>0.9</v>
      </c>
      <c r="N60" t="s">
        <v>278</v>
      </c>
      <c r="O60" t="s">
        <v>827</v>
      </c>
      <c r="P60">
        <v>1</v>
      </c>
      <c r="Q60">
        <v>1</v>
      </c>
      <c r="R60">
        <v>0</v>
      </c>
      <c r="S60">
        <v>0</v>
      </c>
      <c r="T60">
        <v>0</v>
      </c>
      <c r="U60">
        <v>0</v>
      </c>
      <c r="V60">
        <v>0</v>
      </c>
      <c r="W60">
        <v>0</v>
      </c>
      <c r="X60">
        <v>0</v>
      </c>
      <c r="Y60">
        <v>0</v>
      </c>
      <c r="Z60">
        <v>0</v>
      </c>
      <c r="AA60">
        <v>0</v>
      </c>
      <c r="AB60">
        <v>1</v>
      </c>
      <c r="AC60">
        <v>1</v>
      </c>
      <c r="AD60">
        <v>0.13100000000000001</v>
      </c>
      <c r="AE60">
        <v>0</v>
      </c>
      <c r="AF60">
        <v>0</v>
      </c>
      <c r="AG60" t="s">
        <v>828</v>
      </c>
      <c r="AH60">
        <v>0</v>
      </c>
      <c r="AI60">
        <v>0</v>
      </c>
      <c r="AJ60">
        <v>0</v>
      </c>
    </row>
    <row r="61" spans="2:36" x14ac:dyDescent="0.3">
      <c r="B61" s="28"/>
      <c r="C61" t="s">
        <v>1560</v>
      </c>
      <c r="D61" t="s">
        <v>1535</v>
      </c>
      <c r="E61" t="s">
        <v>844</v>
      </c>
      <c r="F61" t="s">
        <v>560</v>
      </c>
      <c r="G61" t="s">
        <v>1553</v>
      </c>
      <c r="H61" t="s">
        <v>1343</v>
      </c>
      <c r="I61">
        <v>105.4</v>
      </c>
      <c r="J61">
        <v>1</v>
      </c>
      <c r="K61">
        <v>3</v>
      </c>
      <c r="L61">
        <v>3</v>
      </c>
      <c r="M61">
        <v>0.2</v>
      </c>
      <c r="N61" t="s">
        <v>1344</v>
      </c>
      <c r="O61" t="s">
        <v>828</v>
      </c>
      <c r="P61">
        <v>1</v>
      </c>
      <c r="Q61">
        <v>1</v>
      </c>
      <c r="R61">
        <v>0</v>
      </c>
      <c r="S61">
        <v>0</v>
      </c>
      <c r="T61">
        <v>0</v>
      </c>
      <c r="U61">
        <v>0</v>
      </c>
      <c r="V61">
        <v>0</v>
      </c>
      <c r="W61">
        <v>0</v>
      </c>
      <c r="X61">
        <v>0</v>
      </c>
      <c r="Y61">
        <v>0</v>
      </c>
      <c r="Z61">
        <v>0</v>
      </c>
      <c r="AA61">
        <v>0</v>
      </c>
      <c r="AB61">
        <v>1</v>
      </c>
      <c r="AC61">
        <v>1</v>
      </c>
      <c r="AD61">
        <v>0</v>
      </c>
      <c r="AE61">
        <v>0</v>
      </c>
      <c r="AF61">
        <v>0</v>
      </c>
      <c r="AG61" t="s">
        <v>828</v>
      </c>
      <c r="AH61">
        <v>0</v>
      </c>
      <c r="AI61">
        <v>0</v>
      </c>
      <c r="AJ61">
        <v>0</v>
      </c>
    </row>
    <row r="62" spans="2:36" x14ac:dyDescent="0.3">
      <c r="B62" s="28"/>
      <c r="C62" t="s">
        <v>1561</v>
      </c>
      <c r="D62" t="s">
        <v>1535</v>
      </c>
      <c r="E62" t="s">
        <v>844</v>
      </c>
      <c r="F62" t="s">
        <v>834</v>
      </c>
      <c r="G62" t="s">
        <v>1536</v>
      </c>
      <c r="H62" t="s">
        <v>1814</v>
      </c>
      <c r="I62">
        <v>83.8</v>
      </c>
      <c r="J62">
        <v>1</v>
      </c>
      <c r="K62">
        <v>0</v>
      </c>
      <c r="L62">
        <v>0</v>
      </c>
      <c r="M62">
        <v>0</v>
      </c>
      <c r="N62" t="s">
        <v>278</v>
      </c>
      <c r="O62" t="s">
        <v>827</v>
      </c>
      <c r="P62">
        <v>1</v>
      </c>
      <c r="Q62">
        <v>1</v>
      </c>
      <c r="R62">
        <v>0</v>
      </c>
      <c r="S62">
        <v>0</v>
      </c>
      <c r="T62">
        <v>0</v>
      </c>
      <c r="U62">
        <v>0</v>
      </c>
      <c r="V62">
        <v>0</v>
      </c>
      <c r="W62">
        <v>0</v>
      </c>
      <c r="X62">
        <v>0</v>
      </c>
      <c r="Y62">
        <v>0</v>
      </c>
      <c r="Z62">
        <v>0</v>
      </c>
      <c r="AA62">
        <v>0</v>
      </c>
      <c r="AB62">
        <v>1</v>
      </c>
      <c r="AC62">
        <v>1</v>
      </c>
      <c r="AD62">
        <v>0.13100000000000001</v>
      </c>
      <c r="AE62">
        <v>0</v>
      </c>
      <c r="AF62">
        <v>0</v>
      </c>
      <c r="AG62" t="s">
        <v>828</v>
      </c>
      <c r="AH62">
        <v>0</v>
      </c>
      <c r="AI62">
        <v>0</v>
      </c>
      <c r="AJ62">
        <v>0</v>
      </c>
    </row>
    <row r="63" spans="2:36" x14ac:dyDescent="0.3">
      <c r="B63" s="28"/>
      <c r="C63" t="s">
        <v>1562</v>
      </c>
      <c r="D63" t="s">
        <v>1535</v>
      </c>
      <c r="E63" t="s">
        <v>844</v>
      </c>
      <c r="F63" t="s">
        <v>836</v>
      </c>
      <c r="G63" t="s">
        <v>1536</v>
      </c>
      <c r="H63" t="s">
        <v>1814</v>
      </c>
      <c r="I63">
        <v>77.900000000000006</v>
      </c>
      <c r="J63">
        <v>1</v>
      </c>
      <c r="K63">
        <v>10</v>
      </c>
      <c r="L63">
        <v>10</v>
      </c>
      <c r="M63">
        <v>0.4</v>
      </c>
      <c r="N63" t="s">
        <v>278</v>
      </c>
      <c r="O63" t="s">
        <v>827</v>
      </c>
      <c r="P63">
        <v>1</v>
      </c>
      <c r="Q63">
        <v>1</v>
      </c>
      <c r="R63">
        <v>0</v>
      </c>
      <c r="S63">
        <v>0</v>
      </c>
      <c r="T63">
        <v>0</v>
      </c>
      <c r="U63">
        <v>0</v>
      </c>
      <c r="V63">
        <v>0</v>
      </c>
      <c r="W63">
        <v>0</v>
      </c>
      <c r="X63">
        <v>0</v>
      </c>
      <c r="Y63">
        <v>0</v>
      </c>
      <c r="Z63">
        <v>0</v>
      </c>
      <c r="AA63">
        <v>0</v>
      </c>
      <c r="AB63">
        <v>1</v>
      </c>
      <c r="AC63">
        <v>1</v>
      </c>
      <c r="AD63">
        <v>0.13100000000000001</v>
      </c>
      <c r="AE63">
        <v>0</v>
      </c>
      <c r="AF63">
        <v>0</v>
      </c>
      <c r="AG63" t="s">
        <v>828</v>
      </c>
      <c r="AH63">
        <v>0</v>
      </c>
      <c r="AI63">
        <v>0</v>
      </c>
      <c r="AJ63">
        <v>0</v>
      </c>
    </row>
    <row r="64" spans="2:36" x14ac:dyDescent="0.3">
      <c r="B64" s="28"/>
      <c r="C64" t="s">
        <v>1563</v>
      </c>
      <c r="D64" t="s">
        <v>1535</v>
      </c>
      <c r="E64" t="s">
        <v>825</v>
      </c>
      <c r="F64" t="s">
        <v>35</v>
      </c>
      <c r="G64" t="s">
        <v>1536</v>
      </c>
      <c r="H64" t="s">
        <v>1814</v>
      </c>
      <c r="I64">
        <v>108.9</v>
      </c>
      <c r="J64">
        <v>1</v>
      </c>
      <c r="K64">
        <v>10</v>
      </c>
      <c r="L64">
        <v>10</v>
      </c>
      <c r="M64">
        <v>0.5</v>
      </c>
      <c r="N64" t="s">
        <v>278</v>
      </c>
      <c r="O64" t="s">
        <v>827</v>
      </c>
      <c r="P64">
        <v>1</v>
      </c>
      <c r="Q64">
        <v>1</v>
      </c>
      <c r="R64">
        <v>0.06</v>
      </c>
      <c r="S64">
        <v>5</v>
      </c>
      <c r="T64">
        <v>0</v>
      </c>
      <c r="U64">
        <v>0</v>
      </c>
      <c r="V64">
        <v>0</v>
      </c>
      <c r="W64">
        <v>0.06</v>
      </c>
      <c r="X64">
        <v>5</v>
      </c>
      <c r="Y64">
        <v>0</v>
      </c>
      <c r="Z64">
        <v>9</v>
      </c>
      <c r="AA64">
        <v>0</v>
      </c>
      <c r="AB64">
        <v>1</v>
      </c>
      <c r="AC64">
        <v>1</v>
      </c>
      <c r="AD64">
        <v>0.13100000000000001</v>
      </c>
      <c r="AE64">
        <v>0</v>
      </c>
      <c r="AF64">
        <v>0</v>
      </c>
      <c r="AG64" t="s">
        <v>828</v>
      </c>
      <c r="AH64">
        <v>0</v>
      </c>
      <c r="AI64">
        <v>0</v>
      </c>
      <c r="AJ64">
        <v>0</v>
      </c>
    </row>
    <row r="65" spans="2:36" x14ac:dyDescent="0.3">
      <c r="B65" s="28"/>
      <c r="C65" t="s">
        <v>1564</v>
      </c>
      <c r="D65" t="s">
        <v>1535</v>
      </c>
      <c r="E65" t="s">
        <v>844</v>
      </c>
      <c r="F65" t="s">
        <v>834</v>
      </c>
      <c r="G65" t="s">
        <v>1536</v>
      </c>
      <c r="H65" t="s">
        <v>1814</v>
      </c>
      <c r="I65">
        <v>83.8</v>
      </c>
      <c r="J65">
        <v>1</v>
      </c>
      <c r="K65">
        <v>0</v>
      </c>
      <c r="L65">
        <v>0</v>
      </c>
      <c r="M65">
        <v>0</v>
      </c>
      <c r="N65" t="s">
        <v>278</v>
      </c>
      <c r="O65" t="s">
        <v>827</v>
      </c>
      <c r="P65">
        <v>1</v>
      </c>
      <c r="Q65">
        <v>1</v>
      </c>
      <c r="R65">
        <v>0</v>
      </c>
      <c r="S65">
        <v>0</v>
      </c>
      <c r="T65">
        <v>0</v>
      </c>
      <c r="U65">
        <v>0</v>
      </c>
      <c r="V65">
        <v>0</v>
      </c>
      <c r="W65">
        <v>0</v>
      </c>
      <c r="X65">
        <v>0</v>
      </c>
      <c r="Y65">
        <v>0</v>
      </c>
      <c r="Z65">
        <v>0</v>
      </c>
      <c r="AA65">
        <v>0</v>
      </c>
      <c r="AB65">
        <v>1</v>
      </c>
      <c r="AC65">
        <v>1</v>
      </c>
      <c r="AD65">
        <v>0.13100000000000001</v>
      </c>
      <c r="AE65">
        <v>0</v>
      </c>
      <c r="AF65">
        <v>0</v>
      </c>
      <c r="AG65" t="s">
        <v>828</v>
      </c>
      <c r="AH65">
        <v>0</v>
      </c>
      <c r="AI65">
        <v>0</v>
      </c>
      <c r="AJ65">
        <v>0</v>
      </c>
    </row>
    <row r="66" spans="2:36" x14ac:dyDescent="0.3">
      <c r="B66" s="28"/>
      <c r="C66" t="s">
        <v>1565</v>
      </c>
      <c r="D66" t="s">
        <v>1566</v>
      </c>
      <c r="E66" t="s">
        <v>825</v>
      </c>
      <c r="F66" t="s">
        <v>842</v>
      </c>
      <c r="G66" t="s">
        <v>1567</v>
      </c>
      <c r="H66" t="s">
        <v>1396</v>
      </c>
      <c r="I66">
        <v>1371.9</v>
      </c>
      <c r="J66">
        <v>1</v>
      </c>
      <c r="K66">
        <v>1.6</v>
      </c>
      <c r="L66">
        <v>0</v>
      </c>
      <c r="M66">
        <v>2.1</v>
      </c>
      <c r="N66" t="s">
        <v>278</v>
      </c>
      <c r="O66" t="s">
        <v>827</v>
      </c>
      <c r="P66">
        <v>1</v>
      </c>
      <c r="Q66">
        <v>1</v>
      </c>
      <c r="R66">
        <v>8.5000000000000006E-2</v>
      </c>
      <c r="S66">
        <v>0</v>
      </c>
      <c r="T66">
        <v>0</v>
      </c>
      <c r="U66">
        <v>0</v>
      </c>
      <c r="V66">
        <v>117</v>
      </c>
      <c r="W66">
        <v>8.5000000000000006E-2</v>
      </c>
      <c r="X66">
        <v>0</v>
      </c>
      <c r="Y66">
        <v>0</v>
      </c>
      <c r="Z66">
        <v>117</v>
      </c>
      <c r="AA66">
        <v>117</v>
      </c>
      <c r="AB66">
        <v>1</v>
      </c>
      <c r="AC66">
        <v>1</v>
      </c>
      <c r="AD66">
        <v>8.5000000000000006E-2</v>
      </c>
      <c r="AE66">
        <v>0</v>
      </c>
      <c r="AF66">
        <v>117</v>
      </c>
      <c r="AG66" t="s">
        <v>828</v>
      </c>
      <c r="AH66">
        <v>0</v>
      </c>
      <c r="AI66">
        <v>0</v>
      </c>
      <c r="AJ66">
        <v>0</v>
      </c>
    </row>
    <row r="67" spans="2:36" x14ac:dyDescent="0.3">
      <c r="B67" s="28"/>
      <c r="C67" t="s">
        <v>1568</v>
      </c>
      <c r="D67" t="s">
        <v>1566</v>
      </c>
      <c r="E67" t="s">
        <v>825</v>
      </c>
      <c r="F67" t="s">
        <v>842</v>
      </c>
      <c r="G67" t="s">
        <v>1569</v>
      </c>
      <c r="H67" t="s">
        <v>1397</v>
      </c>
      <c r="I67">
        <v>691.3</v>
      </c>
      <c r="J67">
        <v>1</v>
      </c>
      <c r="K67">
        <v>1.6</v>
      </c>
      <c r="L67">
        <v>0</v>
      </c>
      <c r="M67">
        <v>1.1000000000000001</v>
      </c>
      <c r="N67" t="s">
        <v>278</v>
      </c>
      <c r="O67" t="s">
        <v>827</v>
      </c>
      <c r="P67">
        <v>1</v>
      </c>
      <c r="Q67">
        <v>1</v>
      </c>
      <c r="R67">
        <v>8.5000000000000006E-2</v>
      </c>
      <c r="S67">
        <v>0</v>
      </c>
      <c r="T67">
        <v>0</v>
      </c>
      <c r="U67">
        <v>0</v>
      </c>
      <c r="V67">
        <v>59</v>
      </c>
      <c r="W67">
        <v>8.5000000000000006E-2</v>
      </c>
      <c r="X67">
        <v>0</v>
      </c>
      <c r="Y67">
        <v>0</v>
      </c>
      <c r="Z67">
        <v>59</v>
      </c>
      <c r="AA67">
        <v>59</v>
      </c>
      <c r="AB67">
        <v>1</v>
      </c>
      <c r="AC67">
        <v>1</v>
      </c>
      <c r="AD67">
        <v>8.5000000000000006E-2</v>
      </c>
      <c r="AE67">
        <v>0</v>
      </c>
      <c r="AF67">
        <v>59</v>
      </c>
      <c r="AG67" t="s">
        <v>828</v>
      </c>
      <c r="AH67">
        <v>0</v>
      </c>
      <c r="AI67">
        <v>0</v>
      </c>
      <c r="AJ67">
        <v>0</v>
      </c>
    </row>
    <row r="68" spans="2:36" x14ac:dyDescent="0.3">
      <c r="B68" s="28"/>
      <c r="C68" t="s">
        <v>1570</v>
      </c>
      <c r="D68" t="s">
        <v>1566</v>
      </c>
      <c r="E68" t="s">
        <v>825</v>
      </c>
      <c r="F68" t="s">
        <v>842</v>
      </c>
      <c r="G68" t="s">
        <v>1571</v>
      </c>
      <c r="H68" t="s">
        <v>1398</v>
      </c>
      <c r="I68">
        <v>1085.8</v>
      </c>
      <c r="J68">
        <v>1</v>
      </c>
      <c r="K68">
        <v>1.6</v>
      </c>
      <c r="L68">
        <v>0</v>
      </c>
      <c r="M68">
        <v>1.7</v>
      </c>
      <c r="N68" t="s">
        <v>278</v>
      </c>
      <c r="O68" t="s">
        <v>827</v>
      </c>
      <c r="P68">
        <v>1</v>
      </c>
      <c r="Q68">
        <v>1</v>
      </c>
      <c r="R68">
        <v>8.5000000000000006E-2</v>
      </c>
      <c r="S68">
        <v>0</v>
      </c>
      <c r="T68">
        <v>0</v>
      </c>
      <c r="U68">
        <v>0</v>
      </c>
      <c r="V68">
        <v>92</v>
      </c>
      <c r="W68">
        <v>8.5000000000000006E-2</v>
      </c>
      <c r="X68">
        <v>0</v>
      </c>
      <c r="Y68">
        <v>0</v>
      </c>
      <c r="Z68">
        <v>92</v>
      </c>
      <c r="AA68">
        <v>92</v>
      </c>
      <c r="AB68">
        <v>1</v>
      </c>
      <c r="AC68">
        <v>1</v>
      </c>
      <c r="AD68">
        <v>8.5000000000000006E-2</v>
      </c>
      <c r="AE68">
        <v>0</v>
      </c>
      <c r="AF68">
        <v>92</v>
      </c>
      <c r="AG68" t="s">
        <v>828</v>
      </c>
      <c r="AH68">
        <v>0</v>
      </c>
      <c r="AI68">
        <v>0</v>
      </c>
      <c r="AJ68">
        <v>0</v>
      </c>
    </row>
    <row r="69" spans="2:36" x14ac:dyDescent="0.3">
      <c r="B69" s="28"/>
      <c r="C69" t="s">
        <v>1572</v>
      </c>
      <c r="D69" t="s">
        <v>1566</v>
      </c>
      <c r="E69" t="s">
        <v>825</v>
      </c>
      <c r="F69" t="s">
        <v>836</v>
      </c>
      <c r="G69" t="s">
        <v>1573</v>
      </c>
      <c r="H69" t="s">
        <v>1818</v>
      </c>
      <c r="I69">
        <v>790.7</v>
      </c>
      <c r="J69">
        <v>1</v>
      </c>
      <c r="K69">
        <v>10</v>
      </c>
      <c r="L69">
        <v>10</v>
      </c>
      <c r="M69">
        <v>4</v>
      </c>
      <c r="N69" t="s">
        <v>278</v>
      </c>
      <c r="O69" t="s">
        <v>827</v>
      </c>
      <c r="P69">
        <v>1</v>
      </c>
      <c r="Q69">
        <v>1</v>
      </c>
      <c r="R69">
        <v>0.18</v>
      </c>
      <c r="S69">
        <v>0</v>
      </c>
      <c r="T69">
        <v>0</v>
      </c>
      <c r="U69">
        <v>0</v>
      </c>
      <c r="V69">
        <v>300</v>
      </c>
      <c r="W69">
        <v>0.12</v>
      </c>
      <c r="X69">
        <v>0</v>
      </c>
      <c r="Y69">
        <v>0</v>
      </c>
      <c r="Z69">
        <v>95</v>
      </c>
      <c r="AA69">
        <v>95</v>
      </c>
      <c r="AB69">
        <v>0.316</v>
      </c>
      <c r="AC69">
        <v>1</v>
      </c>
      <c r="AD69">
        <v>0.223</v>
      </c>
      <c r="AE69">
        <v>0</v>
      </c>
      <c r="AF69">
        <v>0</v>
      </c>
      <c r="AG69" t="s">
        <v>828</v>
      </c>
      <c r="AH69">
        <v>0</v>
      </c>
      <c r="AI69">
        <v>0</v>
      </c>
      <c r="AJ69">
        <v>0</v>
      </c>
    </row>
    <row r="70" spans="2:36" x14ac:dyDescent="0.3">
      <c r="B70" s="28"/>
      <c r="C70" t="s">
        <v>1574</v>
      </c>
      <c r="D70" t="s">
        <v>1566</v>
      </c>
      <c r="E70" t="s">
        <v>825</v>
      </c>
      <c r="F70" t="s">
        <v>842</v>
      </c>
      <c r="G70" t="s">
        <v>1575</v>
      </c>
      <c r="H70" t="s">
        <v>1819</v>
      </c>
      <c r="I70">
        <v>4784.8999999999996</v>
      </c>
      <c r="J70">
        <v>1</v>
      </c>
      <c r="K70">
        <v>1.6</v>
      </c>
      <c r="L70">
        <v>0</v>
      </c>
      <c r="M70">
        <v>7.5</v>
      </c>
      <c r="N70" t="s">
        <v>278</v>
      </c>
      <c r="O70" t="s">
        <v>827</v>
      </c>
      <c r="P70">
        <v>1</v>
      </c>
      <c r="Q70">
        <v>1</v>
      </c>
      <c r="R70">
        <v>8.5000000000000006E-2</v>
      </c>
      <c r="S70">
        <v>0</v>
      </c>
      <c r="T70">
        <v>0</v>
      </c>
      <c r="U70">
        <v>0</v>
      </c>
      <c r="V70">
        <v>407</v>
      </c>
      <c r="W70">
        <v>8.5000000000000006E-2</v>
      </c>
      <c r="X70">
        <v>0</v>
      </c>
      <c r="Y70">
        <v>0</v>
      </c>
      <c r="Z70">
        <v>407</v>
      </c>
      <c r="AA70">
        <v>407</v>
      </c>
      <c r="AB70">
        <v>1</v>
      </c>
      <c r="AC70">
        <v>1</v>
      </c>
      <c r="AD70">
        <v>8.5000000000000006E-2</v>
      </c>
      <c r="AE70">
        <v>0</v>
      </c>
      <c r="AF70">
        <v>407</v>
      </c>
      <c r="AG70" t="s">
        <v>828</v>
      </c>
      <c r="AH70">
        <v>0</v>
      </c>
      <c r="AI70">
        <v>0</v>
      </c>
      <c r="AJ70">
        <v>0</v>
      </c>
    </row>
    <row r="71" spans="2:36" x14ac:dyDescent="0.3">
      <c r="B71" s="28"/>
      <c r="C71" t="s">
        <v>1576</v>
      </c>
      <c r="D71" t="s">
        <v>1566</v>
      </c>
      <c r="E71" t="s">
        <v>825</v>
      </c>
      <c r="F71" t="s">
        <v>842</v>
      </c>
      <c r="G71" t="s">
        <v>1577</v>
      </c>
      <c r="H71" t="s">
        <v>1399</v>
      </c>
      <c r="I71">
        <v>3047.8</v>
      </c>
      <c r="J71">
        <v>1</v>
      </c>
      <c r="K71">
        <v>1.6</v>
      </c>
      <c r="L71">
        <v>0</v>
      </c>
      <c r="M71">
        <v>4.8</v>
      </c>
      <c r="N71" t="s">
        <v>278</v>
      </c>
      <c r="O71" t="s">
        <v>827</v>
      </c>
      <c r="P71">
        <v>1</v>
      </c>
      <c r="Q71">
        <v>1</v>
      </c>
      <c r="R71">
        <v>8.5000000000000006E-2</v>
      </c>
      <c r="S71">
        <v>0</v>
      </c>
      <c r="T71">
        <v>0</v>
      </c>
      <c r="U71">
        <v>0</v>
      </c>
      <c r="V71">
        <v>259</v>
      </c>
      <c r="W71">
        <v>8.5000000000000006E-2</v>
      </c>
      <c r="X71">
        <v>0</v>
      </c>
      <c r="Y71">
        <v>0</v>
      </c>
      <c r="Z71">
        <v>259</v>
      </c>
      <c r="AA71">
        <v>259</v>
      </c>
      <c r="AB71">
        <v>1</v>
      </c>
      <c r="AC71">
        <v>1</v>
      </c>
      <c r="AD71">
        <v>8.5000000000000006E-2</v>
      </c>
      <c r="AE71">
        <v>0</v>
      </c>
      <c r="AF71">
        <v>259</v>
      </c>
      <c r="AG71" t="s">
        <v>828</v>
      </c>
      <c r="AH71">
        <v>0</v>
      </c>
      <c r="AI71">
        <v>0</v>
      </c>
      <c r="AJ71">
        <v>0</v>
      </c>
    </row>
    <row r="72" spans="2:36" x14ac:dyDescent="0.3">
      <c r="B72" s="28"/>
      <c r="C72" t="s">
        <v>1578</v>
      </c>
      <c r="D72" t="s">
        <v>1566</v>
      </c>
      <c r="E72" t="s">
        <v>844</v>
      </c>
      <c r="F72" t="s">
        <v>841</v>
      </c>
      <c r="G72" t="s">
        <v>1573</v>
      </c>
      <c r="H72" t="s">
        <v>1818</v>
      </c>
      <c r="I72">
        <v>225.4</v>
      </c>
      <c r="J72">
        <v>1</v>
      </c>
      <c r="K72">
        <v>10</v>
      </c>
      <c r="L72">
        <v>10</v>
      </c>
      <c r="M72">
        <v>1.1000000000000001</v>
      </c>
      <c r="N72" t="s">
        <v>278</v>
      </c>
      <c r="O72" t="s">
        <v>827</v>
      </c>
      <c r="P72">
        <v>1</v>
      </c>
      <c r="Q72">
        <v>1</v>
      </c>
      <c r="R72">
        <v>0</v>
      </c>
      <c r="S72">
        <v>0</v>
      </c>
      <c r="T72">
        <v>0</v>
      </c>
      <c r="U72">
        <v>0</v>
      </c>
      <c r="V72">
        <v>0</v>
      </c>
      <c r="W72">
        <v>0</v>
      </c>
      <c r="X72">
        <v>0</v>
      </c>
      <c r="Y72">
        <v>0</v>
      </c>
      <c r="Z72">
        <v>0</v>
      </c>
      <c r="AA72">
        <v>0</v>
      </c>
      <c r="AB72">
        <v>0.316</v>
      </c>
      <c r="AC72">
        <v>1</v>
      </c>
      <c r="AD72">
        <v>0.223</v>
      </c>
      <c r="AE72">
        <v>0</v>
      </c>
      <c r="AF72">
        <v>0</v>
      </c>
      <c r="AG72" t="s">
        <v>828</v>
      </c>
      <c r="AH72">
        <v>0</v>
      </c>
      <c r="AI72">
        <v>0</v>
      </c>
      <c r="AJ72">
        <v>0</v>
      </c>
    </row>
    <row r="73" spans="2:36" x14ac:dyDescent="0.3">
      <c r="B73" s="28"/>
      <c r="C73" t="s">
        <v>1579</v>
      </c>
      <c r="D73" t="s">
        <v>1566</v>
      </c>
      <c r="E73" t="s">
        <v>825</v>
      </c>
      <c r="F73" t="s">
        <v>560</v>
      </c>
      <c r="G73" t="s">
        <v>1573</v>
      </c>
      <c r="H73" t="s">
        <v>1818</v>
      </c>
      <c r="I73">
        <v>54.5</v>
      </c>
      <c r="J73">
        <v>1</v>
      </c>
      <c r="K73">
        <v>3</v>
      </c>
      <c r="L73">
        <v>3</v>
      </c>
      <c r="M73">
        <v>0.1</v>
      </c>
      <c r="N73" t="s">
        <v>278</v>
      </c>
      <c r="O73" t="s">
        <v>827</v>
      </c>
      <c r="P73">
        <v>1</v>
      </c>
      <c r="Q73">
        <v>1</v>
      </c>
      <c r="R73">
        <v>0</v>
      </c>
      <c r="S73">
        <v>0</v>
      </c>
      <c r="T73">
        <v>0</v>
      </c>
      <c r="U73">
        <v>0</v>
      </c>
      <c r="V73">
        <v>0</v>
      </c>
      <c r="W73">
        <v>0</v>
      </c>
      <c r="X73">
        <v>0</v>
      </c>
      <c r="Y73">
        <v>0</v>
      </c>
      <c r="Z73">
        <v>0</v>
      </c>
      <c r="AA73">
        <v>0</v>
      </c>
      <c r="AB73">
        <v>0.316</v>
      </c>
      <c r="AC73">
        <v>1</v>
      </c>
      <c r="AD73">
        <v>0.223</v>
      </c>
      <c r="AE73">
        <v>0</v>
      </c>
      <c r="AF73">
        <v>0</v>
      </c>
      <c r="AG73" t="s">
        <v>828</v>
      </c>
      <c r="AH73">
        <v>0</v>
      </c>
      <c r="AI73">
        <v>0</v>
      </c>
      <c r="AJ73">
        <v>0</v>
      </c>
    </row>
    <row r="74" spans="2:36" x14ac:dyDescent="0.3">
      <c r="B74" s="28"/>
      <c r="C74" t="s">
        <v>1580</v>
      </c>
      <c r="D74" t="s">
        <v>1566</v>
      </c>
      <c r="E74" t="s">
        <v>844</v>
      </c>
      <c r="F74" t="s">
        <v>834</v>
      </c>
      <c r="G74" t="s">
        <v>1573</v>
      </c>
      <c r="H74" t="s">
        <v>1818</v>
      </c>
      <c r="I74">
        <v>83.8</v>
      </c>
      <c r="J74">
        <v>1</v>
      </c>
      <c r="K74">
        <v>0</v>
      </c>
      <c r="L74">
        <v>0</v>
      </c>
      <c r="M74">
        <v>0</v>
      </c>
      <c r="N74" t="s">
        <v>278</v>
      </c>
      <c r="O74" t="s">
        <v>827</v>
      </c>
      <c r="P74">
        <v>1</v>
      </c>
      <c r="Q74">
        <v>1</v>
      </c>
      <c r="R74">
        <v>0</v>
      </c>
      <c r="S74">
        <v>0</v>
      </c>
      <c r="T74">
        <v>0</v>
      </c>
      <c r="U74">
        <v>0</v>
      </c>
      <c r="V74">
        <v>0</v>
      </c>
      <c r="W74">
        <v>0</v>
      </c>
      <c r="X74">
        <v>0</v>
      </c>
      <c r="Y74">
        <v>0</v>
      </c>
      <c r="Z74">
        <v>0</v>
      </c>
      <c r="AA74">
        <v>0</v>
      </c>
      <c r="AB74">
        <v>1</v>
      </c>
      <c r="AC74">
        <v>1</v>
      </c>
      <c r="AD74">
        <v>0.223</v>
      </c>
      <c r="AE74">
        <v>0</v>
      </c>
      <c r="AF74">
        <v>0</v>
      </c>
      <c r="AG74" t="s">
        <v>828</v>
      </c>
      <c r="AH74">
        <v>0</v>
      </c>
      <c r="AI74">
        <v>0</v>
      </c>
      <c r="AJ74">
        <v>0</v>
      </c>
    </row>
    <row r="75" spans="2:36" x14ac:dyDescent="0.3">
      <c r="B75" s="28"/>
      <c r="C75" t="s">
        <v>1581</v>
      </c>
      <c r="D75" t="s">
        <v>1566</v>
      </c>
      <c r="E75" t="s">
        <v>844</v>
      </c>
      <c r="F75" t="s">
        <v>829</v>
      </c>
      <c r="G75" t="s">
        <v>1573</v>
      </c>
      <c r="H75" t="s">
        <v>1818</v>
      </c>
      <c r="I75">
        <v>0</v>
      </c>
      <c r="J75">
        <v>1</v>
      </c>
      <c r="K75">
        <v>0</v>
      </c>
      <c r="L75">
        <v>0</v>
      </c>
      <c r="M75">
        <v>0</v>
      </c>
      <c r="N75" t="s">
        <v>278</v>
      </c>
      <c r="O75" t="s">
        <v>827</v>
      </c>
      <c r="P75">
        <v>1</v>
      </c>
      <c r="Q75">
        <v>1</v>
      </c>
      <c r="R75">
        <v>0</v>
      </c>
      <c r="S75">
        <v>0</v>
      </c>
      <c r="T75">
        <v>0</v>
      </c>
      <c r="U75">
        <v>0</v>
      </c>
      <c r="V75">
        <v>0</v>
      </c>
      <c r="W75">
        <v>0</v>
      </c>
      <c r="X75">
        <v>0</v>
      </c>
      <c r="Y75">
        <v>0</v>
      </c>
      <c r="Z75">
        <v>0</v>
      </c>
      <c r="AA75">
        <v>0</v>
      </c>
      <c r="AB75">
        <v>1</v>
      </c>
      <c r="AC75">
        <v>1</v>
      </c>
      <c r="AD75">
        <v>0.223</v>
      </c>
      <c r="AE75">
        <v>0</v>
      </c>
      <c r="AF75">
        <v>0</v>
      </c>
      <c r="AG75" t="s">
        <v>828</v>
      </c>
      <c r="AH75">
        <v>0</v>
      </c>
      <c r="AI75">
        <v>0</v>
      </c>
      <c r="AJ75">
        <v>0</v>
      </c>
    </row>
    <row r="76" spans="2:36" x14ac:dyDescent="0.3">
      <c r="B76" s="28"/>
      <c r="C76" t="s">
        <v>1582</v>
      </c>
      <c r="D76" t="s">
        <v>1566</v>
      </c>
      <c r="E76" t="s">
        <v>844</v>
      </c>
      <c r="F76" t="s">
        <v>841</v>
      </c>
      <c r="G76" t="s">
        <v>1573</v>
      </c>
      <c r="H76" t="s">
        <v>1818</v>
      </c>
      <c r="I76">
        <v>188.1</v>
      </c>
      <c r="J76">
        <v>1</v>
      </c>
      <c r="K76">
        <v>10</v>
      </c>
      <c r="L76">
        <v>10</v>
      </c>
      <c r="M76">
        <v>0.9</v>
      </c>
      <c r="N76" t="s">
        <v>278</v>
      </c>
      <c r="O76" t="s">
        <v>827</v>
      </c>
      <c r="P76">
        <v>1</v>
      </c>
      <c r="Q76">
        <v>1</v>
      </c>
      <c r="R76">
        <v>0</v>
      </c>
      <c r="S76">
        <v>0</v>
      </c>
      <c r="T76">
        <v>0</v>
      </c>
      <c r="U76">
        <v>0</v>
      </c>
      <c r="V76">
        <v>0</v>
      </c>
      <c r="W76">
        <v>0</v>
      </c>
      <c r="X76">
        <v>0</v>
      </c>
      <c r="Y76">
        <v>0</v>
      </c>
      <c r="Z76">
        <v>0</v>
      </c>
      <c r="AA76">
        <v>0</v>
      </c>
      <c r="AB76">
        <v>0.316</v>
      </c>
      <c r="AC76">
        <v>1</v>
      </c>
      <c r="AD76">
        <v>0.223</v>
      </c>
      <c r="AE76">
        <v>0</v>
      </c>
      <c r="AF76">
        <v>0</v>
      </c>
      <c r="AG76" t="s">
        <v>828</v>
      </c>
      <c r="AH76">
        <v>0</v>
      </c>
      <c r="AI76">
        <v>0</v>
      </c>
      <c r="AJ76">
        <v>0</v>
      </c>
    </row>
    <row r="77" spans="2:36" x14ac:dyDescent="0.3">
      <c r="B77" s="28"/>
      <c r="C77" t="s">
        <v>1583</v>
      </c>
      <c r="D77" t="s">
        <v>1566</v>
      </c>
      <c r="E77" t="s">
        <v>825</v>
      </c>
      <c r="F77" t="s">
        <v>842</v>
      </c>
      <c r="G77" t="s">
        <v>1584</v>
      </c>
      <c r="H77" t="s">
        <v>1401</v>
      </c>
      <c r="I77">
        <v>1139.5</v>
      </c>
      <c r="J77">
        <v>1</v>
      </c>
      <c r="K77">
        <v>1.6</v>
      </c>
      <c r="L77">
        <v>0</v>
      </c>
      <c r="M77">
        <v>1.8</v>
      </c>
      <c r="N77" t="s">
        <v>278</v>
      </c>
      <c r="O77" t="s">
        <v>827</v>
      </c>
      <c r="P77">
        <v>1</v>
      </c>
      <c r="Q77">
        <v>1</v>
      </c>
      <c r="R77">
        <v>8.5000000000000006E-2</v>
      </c>
      <c r="S77">
        <v>0</v>
      </c>
      <c r="T77">
        <v>0</v>
      </c>
      <c r="U77">
        <v>0</v>
      </c>
      <c r="V77">
        <v>97</v>
      </c>
      <c r="W77">
        <v>8.5000000000000006E-2</v>
      </c>
      <c r="X77">
        <v>0</v>
      </c>
      <c r="Y77">
        <v>0</v>
      </c>
      <c r="Z77">
        <v>97</v>
      </c>
      <c r="AA77">
        <v>97</v>
      </c>
      <c r="AB77">
        <v>1</v>
      </c>
      <c r="AC77">
        <v>1</v>
      </c>
      <c r="AD77">
        <v>8.5000000000000006E-2</v>
      </c>
      <c r="AE77">
        <v>0</v>
      </c>
      <c r="AF77">
        <v>97</v>
      </c>
      <c r="AG77" t="s">
        <v>828</v>
      </c>
      <c r="AH77">
        <v>0</v>
      </c>
      <c r="AI77">
        <v>0</v>
      </c>
      <c r="AJ77">
        <v>0</v>
      </c>
    </row>
    <row r="78" spans="2:36" x14ac:dyDescent="0.3">
      <c r="B78" s="28"/>
      <c r="C78" t="s">
        <v>1585</v>
      </c>
      <c r="D78" t="s">
        <v>1566</v>
      </c>
      <c r="E78" t="s">
        <v>825</v>
      </c>
      <c r="F78" t="s">
        <v>842</v>
      </c>
      <c r="G78" t="s">
        <v>1586</v>
      </c>
      <c r="H78" t="s">
        <v>1820</v>
      </c>
      <c r="I78">
        <v>1569.8</v>
      </c>
      <c r="J78">
        <v>1</v>
      </c>
      <c r="K78">
        <v>1.6</v>
      </c>
      <c r="L78">
        <v>0</v>
      </c>
      <c r="M78">
        <v>2.5</v>
      </c>
      <c r="N78" t="s">
        <v>278</v>
      </c>
      <c r="O78" t="s">
        <v>827</v>
      </c>
      <c r="P78">
        <v>1</v>
      </c>
      <c r="Q78">
        <v>1</v>
      </c>
      <c r="R78">
        <v>8.5000000000000006E-2</v>
      </c>
      <c r="S78">
        <v>0</v>
      </c>
      <c r="T78">
        <v>0</v>
      </c>
      <c r="U78">
        <v>0</v>
      </c>
      <c r="V78">
        <v>133</v>
      </c>
      <c r="W78">
        <v>8.5000000000000006E-2</v>
      </c>
      <c r="X78">
        <v>0</v>
      </c>
      <c r="Y78">
        <v>0</v>
      </c>
      <c r="Z78">
        <v>133</v>
      </c>
      <c r="AA78">
        <v>133</v>
      </c>
      <c r="AB78">
        <v>1</v>
      </c>
      <c r="AC78">
        <v>1</v>
      </c>
      <c r="AD78">
        <v>8.5000000000000006E-2</v>
      </c>
      <c r="AE78">
        <v>0</v>
      </c>
      <c r="AF78">
        <v>133</v>
      </c>
      <c r="AG78" t="s">
        <v>828</v>
      </c>
      <c r="AH78">
        <v>0</v>
      </c>
      <c r="AI78">
        <v>0</v>
      </c>
      <c r="AJ78">
        <v>0</v>
      </c>
    </row>
    <row r="79" spans="2:36" x14ac:dyDescent="0.3">
      <c r="B79" s="28"/>
      <c r="C79" t="s">
        <v>1587</v>
      </c>
      <c r="D79" t="s">
        <v>1588</v>
      </c>
      <c r="E79" t="s">
        <v>825</v>
      </c>
      <c r="F79" t="s">
        <v>842</v>
      </c>
      <c r="G79" t="s">
        <v>1589</v>
      </c>
      <c r="H79" t="s">
        <v>1402</v>
      </c>
      <c r="I79">
        <v>1371.9</v>
      </c>
      <c r="J79">
        <v>2</v>
      </c>
      <c r="K79">
        <v>1.6</v>
      </c>
      <c r="L79">
        <v>0</v>
      </c>
      <c r="M79">
        <v>2.1</v>
      </c>
      <c r="N79" t="s">
        <v>278</v>
      </c>
      <c r="O79" t="s">
        <v>827</v>
      </c>
      <c r="P79">
        <v>1</v>
      </c>
      <c r="Q79">
        <v>1</v>
      </c>
      <c r="R79">
        <v>8.5000000000000006E-2</v>
      </c>
      <c r="S79">
        <v>0</v>
      </c>
      <c r="T79">
        <v>0</v>
      </c>
      <c r="U79">
        <v>0</v>
      </c>
      <c r="V79">
        <v>117</v>
      </c>
      <c r="W79">
        <v>8.5000000000000006E-2</v>
      </c>
      <c r="X79">
        <v>0</v>
      </c>
      <c r="Y79">
        <v>0</v>
      </c>
      <c r="Z79">
        <v>117</v>
      </c>
      <c r="AA79">
        <v>117</v>
      </c>
      <c r="AB79">
        <v>1</v>
      </c>
      <c r="AC79">
        <v>1</v>
      </c>
      <c r="AD79">
        <v>8.5000000000000006E-2</v>
      </c>
      <c r="AE79">
        <v>0</v>
      </c>
      <c r="AF79">
        <v>117</v>
      </c>
      <c r="AG79" t="s">
        <v>828</v>
      </c>
      <c r="AH79">
        <v>0</v>
      </c>
      <c r="AI79">
        <v>0</v>
      </c>
      <c r="AJ79">
        <v>0</v>
      </c>
    </row>
    <row r="80" spans="2:36" x14ac:dyDescent="0.3">
      <c r="B80" s="28"/>
      <c r="C80" t="s">
        <v>1590</v>
      </c>
      <c r="D80" t="s">
        <v>1588</v>
      </c>
      <c r="E80" t="s">
        <v>825</v>
      </c>
      <c r="F80" t="s">
        <v>842</v>
      </c>
      <c r="G80" t="s">
        <v>1591</v>
      </c>
      <c r="H80" t="s">
        <v>1403</v>
      </c>
      <c r="I80">
        <v>691.3</v>
      </c>
      <c r="J80">
        <v>2</v>
      </c>
      <c r="K80">
        <v>1.6</v>
      </c>
      <c r="L80">
        <v>0</v>
      </c>
      <c r="M80">
        <v>1.1000000000000001</v>
      </c>
      <c r="N80" t="s">
        <v>278</v>
      </c>
      <c r="O80" t="s">
        <v>827</v>
      </c>
      <c r="P80">
        <v>1</v>
      </c>
      <c r="Q80">
        <v>1</v>
      </c>
      <c r="R80">
        <v>8.5000000000000006E-2</v>
      </c>
      <c r="S80">
        <v>0</v>
      </c>
      <c r="T80">
        <v>0</v>
      </c>
      <c r="U80">
        <v>0</v>
      </c>
      <c r="V80">
        <v>59</v>
      </c>
      <c r="W80">
        <v>8.5000000000000006E-2</v>
      </c>
      <c r="X80">
        <v>0</v>
      </c>
      <c r="Y80">
        <v>0</v>
      </c>
      <c r="Z80">
        <v>59</v>
      </c>
      <c r="AA80">
        <v>59</v>
      </c>
      <c r="AB80">
        <v>1</v>
      </c>
      <c r="AC80">
        <v>1</v>
      </c>
      <c r="AD80">
        <v>8.5000000000000006E-2</v>
      </c>
      <c r="AE80">
        <v>0</v>
      </c>
      <c r="AF80">
        <v>59</v>
      </c>
      <c r="AG80" t="s">
        <v>828</v>
      </c>
      <c r="AH80">
        <v>0</v>
      </c>
      <c r="AI80">
        <v>0</v>
      </c>
      <c r="AJ80">
        <v>0</v>
      </c>
    </row>
    <row r="81" spans="2:36" x14ac:dyDescent="0.3">
      <c r="B81" s="28"/>
      <c r="C81" t="s">
        <v>1592</v>
      </c>
      <c r="D81" t="s">
        <v>1588</v>
      </c>
      <c r="E81" t="s">
        <v>825</v>
      </c>
      <c r="F81" t="s">
        <v>842</v>
      </c>
      <c r="G81" t="s">
        <v>1593</v>
      </c>
      <c r="H81" t="s">
        <v>1404</v>
      </c>
      <c r="I81">
        <v>1085.8</v>
      </c>
      <c r="J81">
        <v>2</v>
      </c>
      <c r="K81">
        <v>1.6</v>
      </c>
      <c r="L81">
        <v>0</v>
      </c>
      <c r="M81">
        <v>1.7</v>
      </c>
      <c r="N81" t="s">
        <v>278</v>
      </c>
      <c r="O81" t="s">
        <v>827</v>
      </c>
      <c r="P81">
        <v>1</v>
      </c>
      <c r="Q81">
        <v>1</v>
      </c>
      <c r="R81">
        <v>8.5000000000000006E-2</v>
      </c>
      <c r="S81">
        <v>0</v>
      </c>
      <c r="T81">
        <v>0</v>
      </c>
      <c r="U81">
        <v>0</v>
      </c>
      <c r="V81">
        <v>92</v>
      </c>
      <c r="W81">
        <v>8.5000000000000006E-2</v>
      </c>
      <c r="X81">
        <v>0</v>
      </c>
      <c r="Y81">
        <v>0</v>
      </c>
      <c r="Z81">
        <v>92</v>
      </c>
      <c r="AA81">
        <v>92</v>
      </c>
      <c r="AB81">
        <v>1</v>
      </c>
      <c r="AC81">
        <v>1</v>
      </c>
      <c r="AD81">
        <v>8.5000000000000006E-2</v>
      </c>
      <c r="AE81">
        <v>0</v>
      </c>
      <c r="AF81">
        <v>92</v>
      </c>
      <c r="AG81" t="s">
        <v>828</v>
      </c>
      <c r="AH81">
        <v>0</v>
      </c>
      <c r="AI81">
        <v>0</v>
      </c>
      <c r="AJ81">
        <v>0</v>
      </c>
    </row>
    <row r="82" spans="2:36" x14ac:dyDescent="0.3">
      <c r="B82" s="28"/>
      <c r="C82" t="s">
        <v>1594</v>
      </c>
      <c r="D82" t="s">
        <v>1588</v>
      </c>
      <c r="E82" t="s">
        <v>825</v>
      </c>
      <c r="F82" t="s">
        <v>836</v>
      </c>
      <c r="G82" t="s">
        <v>1595</v>
      </c>
      <c r="H82" t="s">
        <v>1818</v>
      </c>
      <c r="I82">
        <v>790.7</v>
      </c>
      <c r="J82">
        <v>2</v>
      </c>
      <c r="K82">
        <v>10</v>
      </c>
      <c r="L82">
        <v>10</v>
      </c>
      <c r="M82">
        <v>4</v>
      </c>
      <c r="N82" t="s">
        <v>278</v>
      </c>
      <c r="O82" t="s">
        <v>827</v>
      </c>
      <c r="P82">
        <v>1</v>
      </c>
      <c r="Q82">
        <v>1</v>
      </c>
      <c r="R82">
        <v>0.18</v>
      </c>
      <c r="S82">
        <v>0</v>
      </c>
      <c r="T82">
        <v>0</v>
      </c>
      <c r="U82">
        <v>0</v>
      </c>
      <c r="V82">
        <v>300</v>
      </c>
      <c r="W82">
        <v>0.12</v>
      </c>
      <c r="X82">
        <v>0</v>
      </c>
      <c r="Y82">
        <v>0</v>
      </c>
      <c r="Z82">
        <v>95</v>
      </c>
      <c r="AA82">
        <v>95</v>
      </c>
      <c r="AB82">
        <v>0.316</v>
      </c>
      <c r="AC82">
        <v>1</v>
      </c>
      <c r="AD82">
        <v>0.223</v>
      </c>
      <c r="AE82">
        <v>0</v>
      </c>
      <c r="AF82">
        <v>0</v>
      </c>
      <c r="AG82" t="s">
        <v>828</v>
      </c>
      <c r="AH82">
        <v>0</v>
      </c>
      <c r="AI82">
        <v>0</v>
      </c>
      <c r="AJ82">
        <v>0</v>
      </c>
    </row>
    <row r="83" spans="2:36" x14ac:dyDescent="0.3">
      <c r="B83" s="28"/>
      <c r="C83" t="s">
        <v>1596</v>
      </c>
      <c r="D83" t="s">
        <v>1588</v>
      </c>
      <c r="E83" t="s">
        <v>825</v>
      </c>
      <c r="F83" t="s">
        <v>842</v>
      </c>
      <c r="G83" t="s">
        <v>1597</v>
      </c>
      <c r="H83" t="s">
        <v>1405</v>
      </c>
      <c r="I83">
        <v>4784.8999999999996</v>
      </c>
      <c r="J83">
        <v>2</v>
      </c>
      <c r="K83">
        <v>1.6</v>
      </c>
      <c r="L83">
        <v>0</v>
      </c>
      <c r="M83">
        <v>7.5</v>
      </c>
      <c r="N83" t="s">
        <v>278</v>
      </c>
      <c r="O83" t="s">
        <v>827</v>
      </c>
      <c r="P83">
        <v>1</v>
      </c>
      <c r="Q83">
        <v>1</v>
      </c>
      <c r="R83">
        <v>8.5000000000000006E-2</v>
      </c>
      <c r="S83">
        <v>0</v>
      </c>
      <c r="T83">
        <v>0</v>
      </c>
      <c r="U83">
        <v>0</v>
      </c>
      <c r="V83">
        <v>407</v>
      </c>
      <c r="W83">
        <v>8.5000000000000006E-2</v>
      </c>
      <c r="X83">
        <v>0</v>
      </c>
      <c r="Y83">
        <v>0</v>
      </c>
      <c r="Z83">
        <v>407</v>
      </c>
      <c r="AA83">
        <v>407</v>
      </c>
      <c r="AB83">
        <v>1</v>
      </c>
      <c r="AC83">
        <v>1</v>
      </c>
      <c r="AD83">
        <v>8.5000000000000006E-2</v>
      </c>
      <c r="AE83">
        <v>0</v>
      </c>
      <c r="AF83">
        <v>407</v>
      </c>
      <c r="AG83" t="s">
        <v>828</v>
      </c>
      <c r="AH83">
        <v>0</v>
      </c>
      <c r="AI83">
        <v>0</v>
      </c>
      <c r="AJ83">
        <v>0</v>
      </c>
    </row>
    <row r="84" spans="2:36" x14ac:dyDescent="0.3">
      <c r="B84" s="28"/>
      <c r="C84" t="s">
        <v>1598</v>
      </c>
      <c r="D84" t="s">
        <v>1588</v>
      </c>
      <c r="E84" t="s">
        <v>825</v>
      </c>
      <c r="F84" t="s">
        <v>842</v>
      </c>
      <c r="G84" t="s">
        <v>1599</v>
      </c>
      <c r="H84" t="s">
        <v>1406</v>
      </c>
      <c r="I84">
        <v>3047.8</v>
      </c>
      <c r="J84">
        <v>2</v>
      </c>
      <c r="K84">
        <v>1.6</v>
      </c>
      <c r="L84">
        <v>0</v>
      </c>
      <c r="M84">
        <v>4.8</v>
      </c>
      <c r="N84" t="s">
        <v>278</v>
      </c>
      <c r="O84" t="s">
        <v>827</v>
      </c>
      <c r="P84">
        <v>1</v>
      </c>
      <c r="Q84">
        <v>1</v>
      </c>
      <c r="R84">
        <v>8.5000000000000006E-2</v>
      </c>
      <c r="S84">
        <v>0</v>
      </c>
      <c r="T84">
        <v>0</v>
      </c>
      <c r="U84">
        <v>0</v>
      </c>
      <c r="V84">
        <v>259</v>
      </c>
      <c r="W84">
        <v>8.5000000000000006E-2</v>
      </c>
      <c r="X84">
        <v>0</v>
      </c>
      <c r="Y84">
        <v>0</v>
      </c>
      <c r="Z84">
        <v>259</v>
      </c>
      <c r="AA84">
        <v>259</v>
      </c>
      <c r="AB84">
        <v>1</v>
      </c>
      <c r="AC84">
        <v>1</v>
      </c>
      <c r="AD84">
        <v>8.5000000000000006E-2</v>
      </c>
      <c r="AE84">
        <v>0</v>
      </c>
      <c r="AF84">
        <v>259</v>
      </c>
      <c r="AG84" t="s">
        <v>828</v>
      </c>
      <c r="AH84">
        <v>0</v>
      </c>
      <c r="AI84">
        <v>0</v>
      </c>
      <c r="AJ84">
        <v>0</v>
      </c>
    </row>
    <row r="85" spans="2:36" x14ac:dyDescent="0.3">
      <c r="B85" s="28"/>
      <c r="C85" t="s">
        <v>1600</v>
      </c>
      <c r="D85" t="s">
        <v>1588</v>
      </c>
      <c r="E85" t="s">
        <v>825</v>
      </c>
      <c r="F85" t="s">
        <v>841</v>
      </c>
      <c r="G85" t="s">
        <v>1595</v>
      </c>
      <c r="H85" t="s">
        <v>1818</v>
      </c>
      <c r="I85">
        <v>225.4</v>
      </c>
      <c r="J85">
        <v>2</v>
      </c>
      <c r="K85">
        <v>10</v>
      </c>
      <c r="L85">
        <v>10</v>
      </c>
      <c r="M85">
        <v>1.1000000000000001</v>
      </c>
      <c r="N85" t="s">
        <v>278</v>
      </c>
      <c r="O85" t="s">
        <v>827</v>
      </c>
      <c r="P85">
        <v>1</v>
      </c>
      <c r="Q85">
        <v>1</v>
      </c>
      <c r="R85">
        <v>0</v>
      </c>
      <c r="S85">
        <v>0</v>
      </c>
      <c r="T85">
        <v>0</v>
      </c>
      <c r="U85">
        <v>0</v>
      </c>
      <c r="V85">
        <v>0</v>
      </c>
      <c r="W85">
        <v>0</v>
      </c>
      <c r="X85">
        <v>0</v>
      </c>
      <c r="Y85">
        <v>0</v>
      </c>
      <c r="Z85">
        <v>0</v>
      </c>
      <c r="AA85">
        <v>0</v>
      </c>
      <c r="AB85">
        <v>0.316</v>
      </c>
      <c r="AC85">
        <v>1</v>
      </c>
      <c r="AD85">
        <v>0.223</v>
      </c>
      <c r="AE85">
        <v>0</v>
      </c>
      <c r="AF85">
        <v>0</v>
      </c>
      <c r="AG85" t="s">
        <v>828</v>
      </c>
      <c r="AH85">
        <v>0</v>
      </c>
      <c r="AI85">
        <v>0</v>
      </c>
      <c r="AJ85">
        <v>0</v>
      </c>
    </row>
    <row r="86" spans="2:36" x14ac:dyDescent="0.3">
      <c r="B86" s="28"/>
      <c r="C86" t="s">
        <v>1601</v>
      </c>
      <c r="D86" t="s">
        <v>1588</v>
      </c>
      <c r="E86" t="s">
        <v>825</v>
      </c>
      <c r="F86" t="s">
        <v>560</v>
      </c>
      <c r="G86" t="s">
        <v>1595</v>
      </c>
      <c r="H86" t="s">
        <v>1818</v>
      </c>
      <c r="I86">
        <v>54.5</v>
      </c>
      <c r="J86">
        <v>2</v>
      </c>
      <c r="K86">
        <v>3</v>
      </c>
      <c r="L86">
        <v>3</v>
      </c>
      <c r="M86">
        <v>0.1</v>
      </c>
      <c r="N86" t="s">
        <v>278</v>
      </c>
      <c r="O86" t="s">
        <v>827</v>
      </c>
      <c r="P86">
        <v>1</v>
      </c>
      <c r="Q86">
        <v>1</v>
      </c>
      <c r="R86">
        <v>0</v>
      </c>
      <c r="S86">
        <v>0</v>
      </c>
      <c r="T86">
        <v>0</v>
      </c>
      <c r="U86">
        <v>0</v>
      </c>
      <c r="V86">
        <v>0</v>
      </c>
      <c r="W86">
        <v>0</v>
      </c>
      <c r="X86">
        <v>0</v>
      </c>
      <c r="Y86">
        <v>0</v>
      </c>
      <c r="Z86">
        <v>0</v>
      </c>
      <c r="AA86">
        <v>0</v>
      </c>
      <c r="AB86">
        <v>0.316</v>
      </c>
      <c r="AC86">
        <v>1</v>
      </c>
      <c r="AD86">
        <v>0.223</v>
      </c>
      <c r="AE86">
        <v>0</v>
      </c>
      <c r="AF86">
        <v>0</v>
      </c>
      <c r="AG86" t="s">
        <v>828</v>
      </c>
      <c r="AH86">
        <v>0</v>
      </c>
      <c r="AI86">
        <v>0</v>
      </c>
      <c r="AJ86">
        <v>0</v>
      </c>
    </row>
    <row r="87" spans="2:36" x14ac:dyDescent="0.3">
      <c r="B87" s="28"/>
      <c r="C87" t="s">
        <v>1602</v>
      </c>
      <c r="D87" t="s">
        <v>1588</v>
      </c>
      <c r="E87" t="s">
        <v>844</v>
      </c>
      <c r="F87" t="s">
        <v>829</v>
      </c>
      <c r="G87" t="s">
        <v>1595</v>
      </c>
      <c r="H87" t="s">
        <v>1818</v>
      </c>
      <c r="I87">
        <v>0</v>
      </c>
      <c r="J87">
        <v>2</v>
      </c>
      <c r="K87">
        <v>0</v>
      </c>
      <c r="L87">
        <v>0</v>
      </c>
      <c r="M87">
        <v>0</v>
      </c>
      <c r="N87" t="s">
        <v>278</v>
      </c>
      <c r="O87" t="s">
        <v>827</v>
      </c>
      <c r="P87">
        <v>1</v>
      </c>
      <c r="Q87">
        <v>1</v>
      </c>
      <c r="R87">
        <v>0</v>
      </c>
      <c r="S87">
        <v>0</v>
      </c>
      <c r="T87">
        <v>0</v>
      </c>
      <c r="U87">
        <v>0</v>
      </c>
      <c r="V87">
        <v>0</v>
      </c>
      <c r="W87">
        <v>0</v>
      </c>
      <c r="X87">
        <v>0</v>
      </c>
      <c r="Y87">
        <v>0</v>
      </c>
      <c r="Z87">
        <v>0</v>
      </c>
      <c r="AA87">
        <v>0</v>
      </c>
      <c r="AB87">
        <v>1</v>
      </c>
      <c r="AC87">
        <v>1</v>
      </c>
      <c r="AD87">
        <v>0.223</v>
      </c>
      <c r="AE87">
        <v>0</v>
      </c>
      <c r="AF87">
        <v>0</v>
      </c>
      <c r="AG87" t="s">
        <v>828</v>
      </c>
      <c r="AH87">
        <v>0</v>
      </c>
      <c r="AI87">
        <v>0</v>
      </c>
      <c r="AJ87">
        <v>0</v>
      </c>
    </row>
    <row r="88" spans="2:36" x14ac:dyDescent="0.3">
      <c r="B88" s="28"/>
      <c r="C88" t="s">
        <v>1603</v>
      </c>
      <c r="D88" t="s">
        <v>1588</v>
      </c>
      <c r="E88" t="s">
        <v>844</v>
      </c>
      <c r="F88" t="s">
        <v>834</v>
      </c>
      <c r="G88" t="s">
        <v>1595</v>
      </c>
      <c r="H88" t="s">
        <v>1818</v>
      </c>
      <c r="I88">
        <v>83.8</v>
      </c>
      <c r="J88">
        <v>2</v>
      </c>
      <c r="K88">
        <v>0</v>
      </c>
      <c r="L88">
        <v>0</v>
      </c>
      <c r="M88">
        <v>0</v>
      </c>
      <c r="N88" t="s">
        <v>278</v>
      </c>
      <c r="O88" t="s">
        <v>827</v>
      </c>
      <c r="P88">
        <v>1</v>
      </c>
      <c r="Q88">
        <v>1</v>
      </c>
      <c r="R88">
        <v>0</v>
      </c>
      <c r="S88">
        <v>0</v>
      </c>
      <c r="T88">
        <v>0</v>
      </c>
      <c r="U88">
        <v>0</v>
      </c>
      <c r="V88">
        <v>0</v>
      </c>
      <c r="W88">
        <v>0</v>
      </c>
      <c r="X88">
        <v>0</v>
      </c>
      <c r="Y88">
        <v>0</v>
      </c>
      <c r="Z88">
        <v>0</v>
      </c>
      <c r="AA88">
        <v>0</v>
      </c>
      <c r="AB88">
        <v>1</v>
      </c>
      <c r="AC88">
        <v>1</v>
      </c>
      <c r="AD88">
        <v>0.223</v>
      </c>
      <c r="AE88">
        <v>0</v>
      </c>
      <c r="AF88">
        <v>0</v>
      </c>
      <c r="AG88" t="s">
        <v>828</v>
      </c>
      <c r="AH88">
        <v>0</v>
      </c>
      <c r="AI88">
        <v>0</v>
      </c>
      <c r="AJ88">
        <v>0</v>
      </c>
    </row>
    <row r="89" spans="2:36" x14ac:dyDescent="0.3">
      <c r="B89" s="28"/>
      <c r="C89" t="s">
        <v>1604</v>
      </c>
      <c r="D89" t="s">
        <v>1588</v>
      </c>
      <c r="E89" t="s">
        <v>825</v>
      </c>
      <c r="F89" t="s">
        <v>841</v>
      </c>
      <c r="G89" t="s">
        <v>1595</v>
      </c>
      <c r="H89" t="s">
        <v>1818</v>
      </c>
      <c r="I89">
        <v>188.1</v>
      </c>
      <c r="J89">
        <v>2</v>
      </c>
      <c r="K89">
        <v>10</v>
      </c>
      <c r="L89">
        <v>10</v>
      </c>
      <c r="M89">
        <v>0.9</v>
      </c>
      <c r="N89" t="s">
        <v>278</v>
      </c>
      <c r="O89" t="s">
        <v>827</v>
      </c>
      <c r="P89">
        <v>1</v>
      </c>
      <c r="Q89">
        <v>1</v>
      </c>
      <c r="R89">
        <v>0</v>
      </c>
      <c r="S89">
        <v>0</v>
      </c>
      <c r="T89">
        <v>0</v>
      </c>
      <c r="U89">
        <v>0</v>
      </c>
      <c r="V89">
        <v>0</v>
      </c>
      <c r="W89">
        <v>0</v>
      </c>
      <c r="X89">
        <v>0</v>
      </c>
      <c r="Y89">
        <v>0</v>
      </c>
      <c r="Z89">
        <v>0</v>
      </c>
      <c r="AA89">
        <v>0</v>
      </c>
      <c r="AB89">
        <v>0.316</v>
      </c>
      <c r="AC89">
        <v>1</v>
      </c>
      <c r="AD89">
        <v>0.223</v>
      </c>
      <c r="AE89">
        <v>0</v>
      </c>
      <c r="AF89">
        <v>0</v>
      </c>
      <c r="AG89" t="s">
        <v>828</v>
      </c>
      <c r="AH89">
        <v>0</v>
      </c>
      <c r="AI89">
        <v>0</v>
      </c>
      <c r="AJ89">
        <v>0</v>
      </c>
    </row>
    <row r="90" spans="2:36" x14ac:dyDescent="0.3">
      <c r="B90" s="28"/>
      <c r="C90" t="s">
        <v>1605</v>
      </c>
      <c r="D90" t="s">
        <v>1588</v>
      </c>
      <c r="E90" t="s">
        <v>825</v>
      </c>
      <c r="F90" t="s">
        <v>842</v>
      </c>
      <c r="G90" t="s">
        <v>1606</v>
      </c>
      <c r="H90" t="s">
        <v>1407</v>
      </c>
      <c r="I90">
        <v>1139.5</v>
      </c>
      <c r="J90">
        <v>2</v>
      </c>
      <c r="K90">
        <v>1.6</v>
      </c>
      <c r="L90">
        <v>0</v>
      </c>
      <c r="M90">
        <v>1.8</v>
      </c>
      <c r="N90" t="s">
        <v>278</v>
      </c>
      <c r="O90" t="s">
        <v>827</v>
      </c>
      <c r="P90">
        <v>1</v>
      </c>
      <c r="Q90">
        <v>1</v>
      </c>
      <c r="R90">
        <v>8.5000000000000006E-2</v>
      </c>
      <c r="S90">
        <v>0</v>
      </c>
      <c r="T90">
        <v>0</v>
      </c>
      <c r="U90">
        <v>0</v>
      </c>
      <c r="V90">
        <v>97</v>
      </c>
      <c r="W90">
        <v>8.5000000000000006E-2</v>
      </c>
      <c r="X90">
        <v>0</v>
      </c>
      <c r="Y90">
        <v>0</v>
      </c>
      <c r="Z90">
        <v>97</v>
      </c>
      <c r="AA90">
        <v>97</v>
      </c>
      <c r="AB90">
        <v>1</v>
      </c>
      <c r="AC90">
        <v>1</v>
      </c>
      <c r="AD90">
        <v>8.5000000000000006E-2</v>
      </c>
      <c r="AE90">
        <v>0</v>
      </c>
      <c r="AF90">
        <v>97</v>
      </c>
      <c r="AG90" t="s">
        <v>828</v>
      </c>
      <c r="AH90">
        <v>0</v>
      </c>
      <c r="AI90">
        <v>0</v>
      </c>
      <c r="AJ90">
        <v>0</v>
      </c>
    </row>
    <row r="91" spans="2:36" x14ac:dyDescent="0.3">
      <c r="B91" s="28"/>
      <c r="C91" t="s">
        <v>1607</v>
      </c>
      <c r="D91" t="s">
        <v>1588</v>
      </c>
      <c r="E91" t="s">
        <v>825</v>
      </c>
      <c r="F91" t="s">
        <v>842</v>
      </c>
      <c r="G91" t="s">
        <v>1608</v>
      </c>
      <c r="H91" t="s">
        <v>1408</v>
      </c>
      <c r="I91">
        <v>1569.8</v>
      </c>
      <c r="J91">
        <v>2</v>
      </c>
      <c r="K91">
        <v>1.6</v>
      </c>
      <c r="L91">
        <v>0</v>
      </c>
      <c r="M91">
        <v>2.5</v>
      </c>
      <c r="N91" t="s">
        <v>278</v>
      </c>
      <c r="O91" t="s">
        <v>827</v>
      </c>
      <c r="P91">
        <v>1</v>
      </c>
      <c r="Q91">
        <v>1</v>
      </c>
      <c r="R91">
        <v>8.5000000000000006E-2</v>
      </c>
      <c r="S91">
        <v>0</v>
      </c>
      <c r="T91">
        <v>0</v>
      </c>
      <c r="U91">
        <v>0</v>
      </c>
      <c r="V91">
        <v>133</v>
      </c>
      <c r="W91">
        <v>8.5000000000000006E-2</v>
      </c>
      <c r="X91">
        <v>0</v>
      </c>
      <c r="Y91">
        <v>0</v>
      </c>
      <c r="Z91">
        <v>133</v>
      </c>
      <c r="AA91">
        <v>133</v>
      </c>
      <c r="AB91">
        <v>1</v>
      </c>
      <c r="AC91">
        <v>1</v>
      </c>
      <c r="AD91">
        <v>8.5000000000000006E-2</v>
      </c>
      <c r="AE91">
        <v>0</v>
      </c>
      <c r="AF91">
        <v>133</v>
      </c>
      <c r="AG91" t="s">
        <v>828</v>
      </c>
      <c r="AH91">
        <v>0</v>
      </c>
      <c r="AI91">
        <v>0</v>
      </c>
      <c r="AJ91">
        <v>0</v>
      </c>
    </row>
    <row r="92" spans="2:36" x14ac:dyDescent="0.3">
      <c r="B92" s="28"/>
      <c r="C92" t="s">
        <v>1609</v>
      </c>
      <c r="D92" t="s">
        <v>1610</v>
      </c>
      <c r="E92" t="s">
        <v>825</v>
      </c>
      <c r="F92" t="s">
        <v>842</v>
      </c>
      <c r="G92" t="s">
        <v>1611</v>
      </c>
      <c r="H92" t="s">
        <v>1409</v>
      </c>
      <c r="I92">
        <v>1371.9</v>
      </c>
      <c r="J92">
        <v>1</v>
      </c>
      <c r="K92">
        <v>1.6</v>
      </c>
      <c r="L92">
        <v>0</v>
      </c>
      <c r="M92">
        <v>2.1</v>
      </c>
      <c r="N92" t="s">
        <v>278</v>
      </c>
      <c r="O92" t="s">
        <v>827</v>
      </c>
      <c r="P92">
        <v>1</v>
      </c>
      <c r="Q92">
        <v>1</v>
      </c>
      <c r="R92">
        <v>8.5000000000000006E-2</v>
      </c>
      <c r="S92">
        <v>0</v>
      </c>
      <c r="T92">
        <v>0</v>
      </c>
      <c r="U92">
        <v>0</v>
      </c>
      <c r="V92">
        <v>117</v>
      </c>
      <c r="W92">
        <v>8.5000000000000006E-2</v>
      </c>
      <c r="X92">
        <v>0</v>
      </c>
      <c r="Y92">
        <v>0</v>
      </c>
      <c r="Z92">
        <v>117</v>
      </c>
      <c r="AA92">
        <v>117</v>
      </c>
      <c r="AB92">
        <v>1</v>
      </c>
      <c r="AC92">
        <v>1</v>
      </c>
      <c r="AD92">
        <v>8.5000000000000006E-2</v>
      </c>
      <c r="AE92">
        <v>0</v>
      </c>
      <c r="AF92">
        <v>117</v>
      </c>
      <c r="AG92" t="s">
        <v>828</v>
      </c>
      <c r="AH92">
        <v>0</v>
      </c>
      <c r="AI92">
        <v>0</v>
      </c>
      <c r="AJ92">
        <v>0</v>
      </c>
    </row>
    <row r="93" spans="2:36" x14ac:dyDescent="0.3">
      <c r="B93" s="28"/>
      <c r="C93" t="s">
        <v>1612</v>
      </c>
      <c r="D93" t="s">
        <v>1610</v>
      </c>
      <c r="E93" t="s">
        <v>825</v>
      </c>
      <c r="F93" t="s">
        <v>842</v>
      </c>
      <c r="G93" t="s">
        <v>1613</v>
      </c>
      <c r="H93" t="s">
        <v>1410</v>
      </c>
      <c r="I93">
        <v>691.3</v>
      </c>
      <c r="J93">
        <v>1</v>
      </c>
      <c r="K93">
        <v>1.6</v>
      </c>
      <c r="L93">
        <v>0</v>
      </c>
      <c r="M93">
        <v>1.1000000000000001</v>
      </c>
      <c r="N93" t="s">
        <v>278</v>
      </c>
      <c r="O93" t="s">
        <v>827</v>
      </c>
      <c r="P93">
        <v>1</v>
      </c>
      <c r="Q93">
        <v>1</v>
      </c>
      <c r="R93">
        <v>8.5000000000000006E-2</v>
      </c>
      <c r="S93">
        <v>0</v>
      </c>
      <c r="T93">
        <v>0</v>
      </c>
      <c r="U93">
        <v>0</v>
      </c>
      <c r="V93">
        <v>59</v>
      </c>
      <c r="W93">
        <v>8.5000000000000006E-2</v>
      </c>
      <c r="X93">
        <v>0</v>
      </c>
      <c r="Y93">
        <v>0</v>
      </c>
      <c r="Z93">
        <v>59</v>
      </c>
      <c r="AA93">
        <v>59</v>
      </c>
      <c r="AB93">
        <v>1</v>
      </c>
      <c r="AC93">
        <v>1</v>
      </c>
      <c r="AD93">
        <v>8.5000000000000006E-2</v>
      </c>
      <c r="AE93">
        <v>0</v>
      </c>
      <c r="AF93">
        <v>59</v>
      </c>
      <c r="AG93" t="s">
        <v>828</v>
      </c>
      <c r="AH93">
        <v>0</v>
      </c>
      <c r="AI93">
        <v>0</v>
      </c>
      <c r="AJ93">
        <v>0</v>
      </c>
    </row>
    <row r="94" spans="2:36" x14ac:dyDescent="0.3">
      <c r="B94" s="28"/>
      <c r="C94" t="s">
        <v>1614</v>
      </c>
      <c r="D94" t="s">
        <v>1610</v>
      </c>
      <c r="E94" t="s">
        <v>825</v>
      </c>
      <c r="F94" t="s">
        <v>842</v>
      </c>
      <c r="G94" t="s">
        <v>1615</v>
      </c>
      <c r="H94" t="s">
        <v>1411</v>
      </c>
      <c r="I94">
        <v>1085.8</v>
      </c>
      <c r="J94">
        <v>1</v>
      </c>
      <c r="K94">
        <v>1.6</v>
      </c>
      <c r="L94">
        <v>0</v>
      </c>
      <c r="M94">
        <v>1.7</v>
      </c>
      <c r="N94" t="s">
        <v>278</v>
      </c>
      <c r="O94" t="s">
        <v>827</v>
      </c>
      <c r="P94">
        <v>1</v>
      </c>
      <c r="Q94">
        <v>1</v>
      </c>
      <c r="R94">
        <v>8.5000000000000006E-2</v>
      </c>
      <c r="S94">
        <v>0</v>
      </c>
      <c r="T94">
        <v>0</v>
      </c>
      <c r="U94">
        <v>0</v>
      </c>
      <c r="V94">
        <v>92</v>
      </c>
      <c r="W94">
        <v>8.5000000000000006E-2</v>
      </c>
      <c r="X94">
        <v>0</v>
      </c>
      <c r="Y94">
        <v>0</v>
      </c>
      <c r="Z94">
        <v>92</v>
      </c>
      <c r="AA94">
        <v>92</v>
      </c>
      <c r="AB94">
        <v>1</v>
      </c>
      <c r="AC94">
        <v>1</v>
      </c>
      <c r="AD94">
        <v>8.5000000000000006E-2</v>
      </c>
      <c r="AE94">
        <v>0</v>
      </c>
      <c r="AF94">
        <v>92</v>
      </c>
      <c r="AG94" t="s">
        <v>828</v>
      </c>
      <c r="AH94">
        <v>0</v>
      </c>
      <c r="AI94">
        <v>0</v>
      </c>
      <c r="AJ94">
        <v>0</v>
      </c>
    </row>
    <row r="95" spans="2:36" x14ac:dyDescent="0.3">
      <c r="B95" s="28"/>
      <c r="C95" t="s">
        <v>1616</v>
      </c>
      <c r="D95" t="s">
        <v>1610</v>
      </c>
      <c r="E95" t="s">
        <v>825</v>
      </c>
      <c r="F95" t="s">
        <v>836</v>
      </c>
      <c r="G95" t="s">
        <v>1617</v>
      </c>
      <c r="H95" t="s">
        <v>1818</v>
      </c>
      <c r="I95">
        <v>790.7</v>
      </c>
      <c r="J95">
        <v>1</v>
      </c>
      <c r="K95">
        <v>10</v>
      </c>
      <c r="L95">
        <v>10</v>
      </c>
      <c r="M95">
        <v>4</v>
      </c>
      <c r="N95" t="s">
        <v>278</v>
      </c>
      <c r="O95" t="s">
        <v>827</v>
      </c>
      <c r="P95">
        <v>1</v>
      </c>
      <c r="Q95">
        <v>1</v>
      </c>
      <c r="R95">
        <v>0.18</v>
      </c>
      <c r="S95">
        <v>0</v>
      </c>
      <c r="T95">
        <v>0</v>
      </c>
      <c r="U95">
        <v>0</v>
      </c>
      <c r="V95">
        <v>300</v>
      </c>
      <c r="W95">
        <v>0.12</v>
      </c>
      <c r="X95">
        <v>0</v>
      </c>
      <c r="Y95">
        <v>0</v>
      </c>
      <c r="Z95">
        <v>95</v>
      </c>
      <c r="AA95">
        <v>95</v>
      </c>
      <c r="AB95">
        <v>0.316</v>
      </c>
      <c r="AC95">
        <v>1</v>
      </c>
      <c r="AD95">
        <v>0.223</v>
      </c>
      <c r="AE95">
        <v>0</v>
      </c>
      <c r="AF95">
        <v>0</v>
      </c>
      <c r="AG95" t="s">
        <v>828</v>
      </c>
      <c r="AH95">
        <v>0</v>
      </c>
      <c r="AI95">
        <v>0</v>
      </c>
      <c r="AJ95">
        <v>0</v>
      </c>
    </row>
    <row r="96" spans="2:36" x14ac:dyDescent="0.3">
      <c r="B96" s="28"/>
      <c r="C96" t="s">
        <v>1618</v>
      </c>
      <c r="D96" t="s">
        <v>1610</v>
      </c>
      <c r="E96" t="s">
        <v>825</v>
      </c>
      <c r="F96" t="s">
        <v>842</v>
      </c>
      <c r="G96" t="s">
        <v>1619</v>
      </c>
      <c r="H96" t="s">
        <v>1412</v>
      </c>
      <c r="I96">
        <v>4784.8999999999996</v>
      </c>
      <c r="J96">
        <v>1</v>
      </c>
      <c r="K96">
        <v>1.6</v>
      </c>
      <c r="L96">
        <v>0</v>
      </c>
      <c r="M96">
        <v>7.5</v>
      </c>
      <c r="N96" t="s">
        <v>278</v>
      </c>
      <c r="O96" t="s">
        <v>827</v>
      </c>
      <c r="P96">
        <v>1</v>
      </c>
      <c r="Q96">
        <v>1</v>
      </c>
      <c r="R96">
        <v>8.5000000000000006E-2</v>
      </c>
      <c r="S96">
        <v>0</v>
      </c>
      <c r="T96">
        <v>0</v>
      </c>
      <c r="U96">
        <v>0</v>
      </c>
      <c r="V96">
        <v>407</v>
      </c>
      <c r="W96">
        <v>8.5000000000000006E-2</v>
      </c>
      <c r="X96">
        <v>0</v>
      </c>
      <c r="Y96">
        <v>0</v>
      </c>
      <c r="Z96">
        <v>407</v>
      </c>
      <c r="AA96">
        <v>407</v>
      </c>
      <c r="AB96">
        <v>1</v>
      </c>
      <c r="AC96">
        <v>1</v>
      </c>
      <c r="AD96">
        <v>8.5000000000000006E-2</v>
      </c>
      <c r="AE96">
        <v>0</v>
      </c>
      <c r="AF96">
        <v>407</v>
      </c>
      <c r="AG96" t="s">
        <v>828</v>
      </c>
      <c r="AH96">
        <v>0</v>
      </c>
      <c r="AI96">
        <v>0</v>
      </c>
      <c r="AJ96">
        <v>0</v>
      </c>
    </row>
    <row r="97" spans="2:36" x14ac:dyDescent="0.3">
      <c r="B97" s="28"/>
      <c r="C97" t="s">
        <v>1620</v>
      </c>
      <c r="D97" t="s">
        <v>1610</v>
      </c>
      <c r="E97" t="s">
        <v>825</v>
      </c>
      <c r="F97" t="s">
        <v>842</v>
      </c>
      <c r="G97" t="s">
        <v>1621</v>
      </c>
      <c r="H97" t="s">
        <v>1413</v>
      </c>
      <c r="I97">
        <v>3047.8</v>
      </c>
      <c r="J97">
        <v>1</v>
      </c>
      <c r="K97">
        <v>1.6</v>
      </c>
      <c r="L97">
        <v>0</v>
      </c>
      <c r="M97">
        <v>4.8</v>
      </c>
      <c r="N97" t="s">
        <v>278</v>
      </c>
      <c r="O97" t="s">
        <v>827</v>
      </c>
      <c r="P97">
        <v>1</v>
      </c>
      <c r="Q97">
        <v>1</v>
      </c>
      <c r="R97">
        <v>8.5000000000000006E-2</v>
      </c>
      <c r="S97">
        <v>0</v>
      </c>
      <c r="T97">
        <v>0</v>
      </c>
      <c r="U97">
        <v>0</v>
      </c>
      <c r="V97">
        <v>259</v>
      </c>
      <c r="W97">
        <v>8.5000000000000006E-2</v>
      </c>
      <c r="X97">
        <v>0</v>
      </c>
      <c r="Y97">
        <v>0</v>
      </c>
      <c r="Z97">
        <v>259</v>
      </c>
      <c r="AA97">
        <v>259</v>
      </c>
      <c r="AB97">
        <v>1</v>
      </c>
      <c r="AC97">
        <v>1</v>
      </c>
      <c r="AD97">
        <v>8.5000000000000006E-2</v>
      </c>
      <c r="AE97">
        <v>0</v>
      </c>
      <c r="AF97">
        <v>259</v>
      </c>
      <c r="AG97" t="s">
        <v>828</v>
      </c>
      <c r="AH97">
        <v>0</v>
      </c>
      <c r="AI97">
        <v>0</v>
      </c>
      <c r="AJ97">
        <v>0</v>
      </c>
    </row>
    <row r="98" spans="2:36" x14ac:dyDescent="0.3">
      <c r="B98" s="28"/>
      <c r="C98" t="s">
        <v>1622</v>
      </c>
      <c r="D98" t="s">
        <v>1610</v>
      </c>
      <c r="E98" t="s">
        <v>825</v>
      </c>
      <c r="F98" t="s">
        <v>841</v>
      </c>
      <c r="G98" t="s">
        <v>1617</v>
      </c>
      <c r="H98" t="s">
        <v>1818</v>
      </c>
      <c r="I98">
        <v>225.4</v>
      </c>
      <c r="J98">
        <v>1</v>
      </c>
      <c r="K98">
        <v>10</v>
      </c>
      <c r="L98">
        <v>10</v>
      </c>
      <c r="M98">
        <v>1.1000000000000001</v>
      </c>
      <c r="N98" t="s">
        <v>278</v>
      </c>
      <c r="O98" t="s">
        <v>827</v>
      </c>
      <c r="P98">
        <v>1</v>
      </c>
      <c r="Q98">
        <v>1</v>
      </c>
      <c r="R98">
        <v>0</v>
      </c>
      <c r="S98">
        <v>0</v>
      </c>
      <c r="T98">
        <v>0</v>
      </c>
      <c r="U98">
        <v>0</v>
      </c>
      <c r="V98">
        <v>0</v>
      </c>
      <c r="W98">
        <v>0</v>
      </c>
      <c r="X98">
        <v>0</v>
      </c>
      <c r="Y98">
        <v>0</v>
      </c>
      <c r="Z98">
        <v>0</v>
      </c>
      <c r="AA98">
        <v>0</v>
      </c>
      <c r="AB98">
        <v>0.316</v>
      </c>
      <c r="AC98">
        <v>1</v>
      </c>
      <c r="AD98">
        <v>0.223</v>
      </c>
      <c r="AE98">
        <v>0</v>
      </c>
      <c r="AF98">
        <v>0</v>
      </c>
      <c r="AG98" t="s">
        <v>828</v>
      </c>
      <c r="AH98">
        <v>0</v>
      </c>
      <c r="AI98">
        <v>0</v>
      </c>
      <c r="AJ98">
        <v>0</v>
      </c>
    </row>
    <row r="99" spans="2:36" x14ac:dyDescent="0.3">
      <c r="B99" s="28"/>
      <c r="C99" t="s">
        <v>1623</v>
      </c>
      <c r="D99" t="s">
        <v>1610</v>
      </c>
      <c r="E99" t="s">
        <v>825</v>
      </c>
      <c r="F99" t="s">
        <v>560</v>
      </c>
      <c r="G99" t="s">
        <v>1617</v>
      </c>
      <c r="H99" t="s">
        <v>1818</v>
      </c>
      <c r="I99">
        <v>54.5</v>
      </c>
      <c r="J99">
        <v>1</v>
      </c>
      <c r="K99">
        <v>3</v>
      </c>
      <c r="L99">
        <v>3</v>
      </c>
      <c r="M99">
        <v>0.1</v>
      </c>
      <c r="N99" t="s">
        <v>278</v>
      </c>
      <c r="O99" t="s">
        <v>827</v>
      </c>
      <c r="P99">
        <v>1</v>
      </c>
      <c r="Q99">
        <v>1</v>
      </c>
      <c r="R99">
        <v>0</v>
      </c>
      <c r="S99">
        <v>0</v>
      </c>
      <c r="T99">
        <v>0</v>
      </c>
      <c r="U99">
        <v>0</v>
      </c>
      <c r="V99">
        <v>0</v>
      </c>
      <c r="W99">
        <v>0</v>
      </c>
      <c r="X99">
        <v>0</v>
      </c>
      <c r="Y99">
        <v>0</v>
      </c>
      <c r="Z99">
        <v>0</v>
      </c>
      <c r="AA99">
        <v>0</v>
      </c>
      <c r="AB99">
        <v>0.316</v>
      </c>
      <c r="AC99">
        <v>1</v>
      </c>
      <c r="AD99">
        <v>0.223</v>
      </c>
      <c r="AE99">
        <v>0</v>
      </c>
      <c r="AF99">
        <v>0</v>
      </c>
      <c r="AG99" t="s">
        <v>828</v>
      </c>
      <c r="AH99">
        <v>0</v>
      </c>
      <c r="AI99">
        <v>0</v>
      </c>
      <c r="AJ99">
        <v>0</v>
      </c>
    </row>
    <row r="100" spans="2:36" x14ac:dyDescent="0.3">
      <c r="B100" s="28"/>
      <c r="C100" t="s">
        <v>1624</v>
      </c>
      <c r="D100" t="s">
        <v>1610</v>
      </c>
      <c r="E100" t="s">
        <v>844</v>
      </c>
      <c r="F100" t="s">
        <v>834</v>
      </c>
      <c r="G100" t="s">
        <v>1617</v>
      </c>
      <c r="H100" t="s">
        <v>1818</v>
      </c>
      <c r="I100">
        <v>83.8</v>
      </c>
      <c r="J100">
        <v>1</v>
      </c>
      <c r="K100">
        <v>0</v>
      </c>
      <c r="L100">
        <v>0</v>
      </c>
      <c r="M100">
        <v>0</v>
      </c>
      <c r="N100" t="s">
        <v>278</v>
      </c>
      <c r="O100" t="s">
        <v>827</v>
      </c>
      <c r="P100">
        <v>1</v>
      </c>
      <c r="Q100">
        <v>1</v>
      </c>
      <c r="R100">
        <v>0</v>
      </c>
      <c r="S100">
        <v>0</v>
      </c>
      <c r="T100">
        <v>0</v>
      </c>
      <c r="U100">
        <v>0</v>
      </c>
      <c r="V100">
        <v>0</v>
      </c>
      <c r="W100">
        <v>0</v>
      </c>
      <c r="X100">
        <v>0</v>
      </c>
      <c r="Y100">
        <v>0</v>
      </c>
      <c r="Z100">
        <v>0</v>
      </c>
      <c r="AA100">
        <v>0</v>
      </c>
      <c r="AB100">
        <v>1</v>
      </c>
      <c r="AC100">
        <v>1</v>
      </c>
      <c r="AD100">
        <v>0.223</v>
      </c>
      <c r="AE100">
        <v>0</v>
      </c>
      <c r="AF100">
        <v>0</v>
      </c>
      <c r="AG100" t="s">
        <v>828</v>
      </c>
      <c r="AH100">
        <v>0</v>
      </c>
      <c r="AI100">
        <v>0</v>
      </c>
      <c r="AJ100">
        <v>0</v>
      </c>
    </row>
    <row r="101" spans="2:36" x14ac:dyDescent="0.3">
      <c r="B101" s="28"/>
      <c r="C101" t="s">
        <v>1625</v>
      </c>
      <c r="D101" t="s">
        <v>1610</v>
      </c>
      <c r="E101" t="s">
        <v>844</v>
      </c>
      <c r="F101" t="s">
        <v>829</v>
      </c>
      <c r="G101" t="s">
        <v>1617</v>
      </c>
      <c r="H101" t="s">
        <v>1818</v>
      </c>
      <c r="I101">
        <v>0</v>
      </c>
      <c r="J101">
        <v>1</v>
      </c>
      <c r="K101">
        <v>0</v>
      </c>
      <c r="L101">
        <v>0</v>
      </c>
      <c r="M101">
        <v>0</v>
      </c>
      <c r="N101" t="s">
        <v>278</v>
      </c>
      <c r="O101" t="s">
        <v>827</v>
      </c>
      <c r="P101">
        <v>1</v>
      </c>
      <c r="Q101">
        <v>1</v>
      </c>
      <c r="R101">
        <v>0</v>
      </c>
      <c r="S101">
        <v>0</v>
      </c>
      <c r="T101">
        <v>0</v>
      </c>
      <c r="U101">
        <v>0</v>
      </c>
      <c r="V101">
        <v>0</v>
      </c>
      <c r="W101">
        <v>0</v>
      </c>
      <c r="X101">
        <v>0</v>
      </c>
      <c r="Y101">
        <v>0</v>
      </c>
      <c r="Z101">
        <v>0</v>
      </c>
      <c r="AA101">
        <v>0</v>
      </c>
      <c r="AB101">
        <v>1</v>
      </c>
      <c r="AC101">
        <v>1</v>
      </c>
      <c r="AD101">
        <v>0.223</v>
      </c>
      <c r="AE101">
        <v>0</v>
      </c>
      <c r="AF101">
        <v>0</v>
      </c>
      <c r="AG101" t="s">
        <v>828</v>
      </c>
      <c r="AH101">
        <v>0</v>
      </c>
      <c r="AI101">
        <v>0</v>
      </c>
      <c r="AJ101">
        <v>0</v>
      </c>
    </row>
    <row r="102" spans="2:36" x14ac:dyDescent="0.3">
      <c r="B102" s="28"/>
      <c r="C102" t="s">
        <v>1626</v>
      </c>
      <c r="D102" t="s">
        <v>1610</v>
      </c>
      <c r="E102" t="s">
        <v>825</v>
      </c>
      <c r="F102" t="s">
        <v>841</v>
      </c>
      <c r="G102" t="s">
        <v>1617</v>
      </c>
      <c r="H102" t="s">
        <v>1818</v>
      </c>
      <c r="I102">
        <v>188.1</v>
      </c>
      <c r="J102">
        <v>1</v>
      </c>
      <c r="K102">
        <v>10</v>
      </c>
      <c r="L102">
        <v>10</v>
      </c>
      <c r="M102">
        <v>0.9</v>
      </c>
      <c r="N102" t="s">
        <v>278</v>
      </c>
      <c r="O102" t="s">
        <v>827</v>
      </c>
      <c r="P102">
        <v>1</v>
      </c>
      <c r="Q102">
        <v>1</v>
      </c>
      <c r="R102">
        <v>0</v>
      </c>
      <c r="S102">
        <v>0</v>
      </c>
      <c r="T102">
        <v>0</v>
      </c>
      <c r="U102">
        <v>0</v>
      </c>
      <c r="V102">
        <v>0</v>
      </c>
      <c r="W102">
        <v>0</v>
      </c>
      <c r="X102">
        <v>0</v>
      </c>
      <c r="Y102">
        <v>0</v>
      </c>
      <c r="Z102">
        <v>0</v>
      </c>
      <c r="AA102">
        <v>0</v>
      </c>
      <c r="AB102">
        <v>0.316</v>
      </c>
      <c r="AC102">
        <v>1</v>
      </c>
      <c r="AD102">
        <v>0.223</v>
      </c>
      <c r="AE102">
        <v>0</v>
      </c>
      <c r="AF102">
        <v>0</v>
      </c>
      <c r="AG102" t="s">
        <v>828</v>
      </c>
      <c r="AH102">
        <v>0</v>
      </c>
      <c r="AI102">
        <v>0</v>
      </c>
      <c r="AJ102">
        <v>0</v>
      </c>
    </row>
    <row r="103" spans="2:36" x14ac:dyDescent="0.3">
      <c r="B103" s="28"/>
      <c r="C103" t="s">
        <v>1627</v>
      </c>
      <c r="D103" t="s">
        <v>1610</v>
      </c>
      <c r="E103" t="s">
        <v>825</v>
      </c>
      <c r="F103" t="s">
        <v>842</v>
      </c>
      <c r="G103" t="s">
        <v>1628</v>
      </c>
      <c r="H103" t="s">
        <v>1414</v>
      </c>
      <c r="I103">
        <v>1139.5</v>
      </c>
      <c r="J103">
        <v>1</v>
      </c>
      <c r="K103">
        <v>1.6</v>
      </c>
      <c r="L103">
        <v>0</v>
      </c>
      <c r="M103">
        <v>1.8</v>
      </c>
      <c r="N103" t="s">
        <v>278</v>
      </c>
      <c r="O103" t="s">
        <v>827</v>
      </c>
      <c r="P103">
        <v>1</v>
      </c>
      <c r="Q103">
        <v>1</v>
      </c>
      <c r="R103">
        <v>8.5000000000000006E-2</v>
      </c>
      <c r="S103">
        <v>0</v>
      </c>
      <c r="T103">
        <v>0</v>
      </c>
      <c r="U103">
        <v>0</v>
      </c>
      <c r="V103">
        <v>97</v>
      </c>
      <c r="W103">
        <v>8.5000000000000006E-2</v>
      </c>
      <c r="X103">
        <v>0</v>
      </c>
      <c r="Y103">
        <v>0</v>
      </c>
      <c r="Z103">
        <v>97</v>
      </c>
      <c r="AA103">
        <v>97</v>
      </c>
      <c r="AB103">
        <v>1</v>
      </c>
      <c r="AC103">
        <v>1</v>
      </c>
      <c r="AD103">
        <v>8.5000000000000006E-2</v>
      </c>
      <c r="AE103">
        <v>0</v>
      </c>
      <c r="AF103">
        <v>97</v>
      </c>
      <c r="AG103" t="s">
        <v>828</v>
      </c>
      <c r="AH103">
        <v>0</v>
      </c>
      <c r="AI103">
        <v>0</v>
      </c>
      <c r="AJ103">
        <v>0</v>
      </c>
    </row>
    <row r="104" spans="2:36" x14ac:dyDescent="0.3">
      <c r="B104" s="28"/>
      <c r="C104" t="s">
        <v>1629</v>
      </c>
      <c r="D104" t="s">
        <v>1610</v>
      </c>
      <c r="E104" t="s">
        <v>825</v>
      </c>
      <c r="F104" t="s">
        <v>842</v>
      </c>
      <c r="G104" t="s">
        <v>1630</v>
      </c>
      <c r="H104" t="s">
        <v>1415</v>
      </c>
      <c r="I104">
        <v>1569.8</v>
      </c>
      <c r="J104">
        <v>1</v>
      </c>
      <c r="K104">
        <v>1.6</v>
      </c>
      <c r="L104">
        <v>0</v>
      </c>
      <c r="M104">
        <v>2.5</v>
      </c>
      <c r="N104" t="s">
        <v>278</v>
      </c>
      <c r="O104" t="s">
        <v>827</v>
      </c>
      <c r="P104">
        <v>1</v>
      </c>
      <c r="Q104">
        <v>1</v>
      </c>
      <c r="R104">
        <v>8.5000000000000006E-2</v>
      </c>
      <c r="S104">
        <v>0</v>
      </c>
      <c r="T104">
        <v>0</v>
      </c>
      <c r="U104">
        <v>0</v>
      </c>
      <c r="V104">
        <v>133</v>
      </c>
      <c r="W104">
        <v>8.5000000000000006E-2</v>
      </c>
      <c r="X104">
        <v>0</v>
      </c>
      <c r="Y104">
        <v>0</v>
      </c>
      <c r="Z104">
        <v>133</v>
      </c>
      <c r="AA104">
        <v>133</v>
      </c>
      <c r="AB104">
        <v>1</v>
      </c>
      <c r="AC104">
        <v>1</v>
      </c>
      <c r="AD104">
        <v>8.5000000000000006E-2</v>
      </c>
      <c r="AE104">
        <v>0</v>
      </c>
      <c r="AF104">
        <v>133</v>
      </c>
      <c r="AG104" t="s">
        <v>828</v>
      </c>
      <c r="AH104">
        <v>0</v>
      </c>
      <c r="AI104">
        <v>0</v>
      </c>
      <c r="AJ104">
        <v>0</v>
      </c>
    </row>
    <row r="105" spans="2:36" x14ac:dyDescent="0.3">
      <c r="B105" s="28"/>
      <c r="C105" t="s">
        <v>1631</v>
      </c>
      <c r="D105" t="s">
        <v>1632</v>
      </c>
      <c r="E105" t="s">
        <v>844</v>
      </c>
      <c r="F105" t="s">
        <v>560</v>
      </c>
      <c r="G105" t="s">
        <v>1633</v>
      </c>
      <c r="H105" t="s">
        <v>1814</v>
      </c>
      <c r="I105">
        <v>103</v>
      </c>
      <c r="J105">
        <v>1</v>
      </c>
      <c r="K105">
        <v>3</v>
      </c>
      <c r="L105">
        <v>3</v>
      </c>
      <c r="M105">
        <v>0.2</v>
      </c>
      <c r="N105" t="s">
        <v>278</v>
      </c>
      <c r="O105" t="s">
        <v>827</v>
      </c>
      <c r="P105">
        <v>1</v>
      </c>
      <c r="Q105">
        <v>1</v>
      </c>
      <c r="R105">
        <v>0</v>
      </c>
      <c r="S105">
        <v>0</v>
      </c>
      <c r="T105">
        <v>0</v>
      </c>
      <c r="U105">
        <v>0</v>
      </c>
      <c r="V105">
        <v>0</v>
      </c>
      <c r="W105">
        <v>0</v>
      </c>
      <c r="X105">
        <v>0</v>
      </c>
      <c r="Y105">
        <v>0</v>
      </c>
      <c r="Z105">
        <v>0</v>
      </c>
      <c r="AA105">
        <v>0</v>
      </c>
      <c r="AB105">
        <v>0.74299999999999999</v>
      </c>
      <c r="AC105">
        <v>1</v>
      </c>
      <c r="AD105">
        <v>6.9000000000000006E-2</v>
      </c>
      <c r="AE105">
        <v>0</v>
      </c>
      <c r="AF105">
        <v>0</v>
      </c>
      <c r="AG105" t="s">
        <v>828</v>
      </c>
      <c r="AH105">
        <v>0</v>
      </c>
      <c r="AI105">
        <v>0</v>
      </c>
      <c r="AJ105">
        <v>0</v>
      </c>
    </row>
    <row r="106" spans="2:36" x14ac:dyDescent="0.3">
      <c r="B106" s="28"/>
      <c r="C106" t="s">
        <v>1634</v>
      </c>
      <c r="D106" t="s">
        <v>1632</v>
      </c>
      <c r="E106" t="s">
        <v>825</v>
      </c>
      <c r="F106" t="s">
        <v>826</v>
      </c>
      <c r="G106" t="s">
        <v>1635</v>
      </c>
      <c r="H106" t="s">
        <v>1951</v>
      </c>
      <c r="I106">
        <v>2671.4</v>
      </c>
      <c r="J106">
        <v>1</v>
      </c>
      <c r="K106">
        <v>10</v>
      </c>
      <c r="L106">
        <v>10</v>
      </c>
      <c r="M106">
        <v>13.4</v>
      </c>
      <c r="N106" t="s">
        <v>278</v>
      </c>
      <c r="O106" t="s">
        <v>827</v>
      </c>
      <c r="P106">
        <v>1</v>
      </c>
      <c r="Q106">
        <v>1</v>
      </c>
      <c r="R106">
        <v>0.06</v>
      </c>
      <c r="S106">
        <v>5</v>
      </c>
      <c r="T106">
        <v>0</v>
      </c>
      <c r="U106">
        <v>0</v>
      </c>
      <c r="V106">
        <v>227</v>
      </c>
      <c r="W106">
        <v>0.06</v>
      </c>
      <c r="X106">
        <v>5</v>
      </c>
      <c r="Y106">
        <v>0</v>
      </c>
      <c r="Z106">
        <v>227</v>
      </c>
      <c r="AA106">
        <v>169</v>
      </c>
      <c r="AB106">
        <v>0.74299999999999999</v>
      </c>
      <c r="AC106">
        <v>1</v>
      </c>
      <c r="AD106">
        <v>8.5000000000000006E-2</v>
      </c>
      <c r="AE106">
        <v>0</v>
      </c>
      <c r="AF106">
        <v>0</v>
      </c>
      <c r="AG106" t="s">
        <v>828</v>
      </c>
      <c r="AH106">
        <v>0</v>
      </c>
      <c r="AI106">
        <v>0</v>
      </c>
      <c r="AJ106">
        <v>0</v>
      </c>
    </row>
    <row r="107" spans="2:36" x14ac:dyDescent="0.3">
      <c r="B107" s="28"/>
      <c r="C107" t="s">
        <v>1636</v>
      </c>
      <c r="D107" t="s">
        <v>1632</v>
      </c>
      <c r="E107" t="s">
        <v>844</v>
      </c>
      <c r="F107" t="s">
        <v>841</v>
      </c>
      <c r="G107" t="s">
        <v>1637</v>
      </c>
      <c r="H107" t="s">
        <v>1815</v>
      </c>
      <c r="I107">
        <v>222.2</v>
      </c>
      <c r="J107">
        <v>1</v>
      </c>
      <c r="K107">
        <v>10</v>
      </c>
      <c r="L107">
        <v>10</v>
      </c>
      <c r="M107">
        <v>1.1000000000000001</v>
      </c>
      <c r="N107" t="s">
        <v>278</v>
      </c>
      <c r="O107" t="s">
        <v>827</v>
      </c>
      <c r="P107">
        <v>1</v>
      </c>
      <c r="Q107">
        <v>1</v>
      </c>
      <c r="R107">
        <v>0</v>
      </c>
      <c r="S107">
        <v>0</v>
      </c>
      <c r="T107">
        <v>0</v>
      </c>
      <c r="U107">
        <v>0</v>
      </c>
      <c r="V107">
        <v>0</v>
      </c>
      <c r="W107">
        <v>0</v>
      </c>
      <c r="X107">
        <v>0</v>
      </c>
      <c r="Y107">
        <v>0</v>
      </c>
      <c r="Z107">
        <v>0</v>
      </c>
      <c r="AA107">
        <v>0</v>
      </c>
      <c r="AB107">
        <v>0.74299999999999999</v>
      </c>
      <c r="AC107">
        <v>1</v>
      </c>
      <c r="AD107">
        <v>0.28999999999999998</v>
      </c>
      <c r="AE107">
        <v>0</v>
      </c>
      <c r="AF107">
        <v>0</v>
      </c>
      <c r="AG107" t="s">
        <v>828</v>
      </c>
      <c r="AH107">
        <v>0</v>
      </c>
      <c r="AI107">
        <v>0</v>
      </c>
      <c r="AJ107">
        <v>0</v>
      </c>
    </row>
    <row r="108" spans="2:36" x14ac:dyDescent="0.3">
      <c r="B108" s="28"/>
      <c r="C108" t="s">
        <v>1638</v>
      </c>
      <c r="D108" t="s">
        <v>1632</v>
      </c>
      <c r="E108" t="s">
        <v>825</v>
      </c>
      <c r="F108" t="s">
        <v>836</v>
      </c>
      <c r="G108" t="s">
        <v>1637</v>
      </c>
      <c r="H108" t="s">
        <v>1815</v>
      </c>
      <c r="I108">
        <v>1525.3</v>
      </c>
      <c r="J108">
        <v>1</v>
      </c>
      <c r="K108">
        <v>10</v>
      </c>
      <c r="L108">
        <v>10</v>
      </c>
      <c r="M108">
        <v>7.6</v>
      </c>
      <c r="N108" t="s">
        <v>278</v>
      </c>
      <c r="O108" t="s">
        <v>827</v>
      </c>
      <c r="P108">
        <v>1</v>
      </c>
      <c r="Q108">
        <v>1</v>
      </c>
      <c r="R108">
        <v>0.18</v>
      </c>
      <c r="S108">
        <v>0</v>
      </c>
      <c r="T108">
        <v>0</v>
      </c>
      <c r="U108">
        <v>0</v>
      </c>
      <c r="V108">
        <v>600</v>
      </c>
      <c r="W108">
        <v>0.12</v>
      </c>
      <c r="X108">
        <v>0</v>
      </c>
      <c r="Y108">
        <v>0</v>
      </c>
      <c r="Z108">
        <v>183</v>
      </c>
      <c r="AA108">
        <v>446</v>
      </c>
      <c r="AB108">
        <v>0.74299999999999999</v>
      </c>
      <c r="AC108">
        <v>1</v>
      </c>
      <c r="AD108">
        <v>0.28999999999999998</v>
      </c>
      <c r="AE108">
        <v>0</v>
      </c>
      <c r="AF108">
        <v>0</v>
      </c>
      <c r="AG108" t="s">
        <v>828</v>
      </c>
      <c r="AH108">
        <v>0</v>
      </c>
      <c r="AI108">
        <v>0</v>
      </c>
      <c r="AJ108">
        <v>0</v>
      </c>
    </row>
    <row r="109" spans="2:36" x14ac:dyDescent="0.3">
      <c r="B109" s="28"/>
      <c r="C109" t="s">
        <v>1639</v>
      </c>
      <c r="D109" t="s">
        <v>1632</v>
      </c>
      <c r="E109" t="s">
        <v>825</v>
      </c>
      <c r="F109" t="s">
        <v>842</v>
      </c>
      <c r="G109" t="s">
        <v>1640</v>
      </c>
      <c r="H109" t="s">
        <v>1416</v>
      </c>
      <c r="I109">
        <v>2233</v>
      </c>
      <c r="J109">
        <v>1</v>
      </c>
      <c r="K109">
        <v>1.6</v>
      </c>
      <c r="L109">
        <v>0</v>
      </c>
      <c r="M109">
        <v>3.5</v>
      </c>
      <c r="N109" t="s">
        <v>278</v>
      </c>
      <c r="O109" t="s">
        <v>827</v>
      </c>
      <c r="P109">
        <v>1</v>
      </c>
      <c r="Q109">
        <v>1</v>
      </c>
      <c r="R109">
        <v>8.5000000000000006E-2</v>
      </c>
      <c r="S109">
        <v>0</v>
      </c>
      <c r="T109">
        <v>0</v>
      </c>
      <c r="U109">
        <v>0</v>
      </c>
      <c r="V109">
        <v>190</v>
      </c>
      <c r="W109">
        <v>8.5000000000000006E-2</v>
      </c>
      <c r="X109">
        <v>0</v>
      </c>
      <c r="Y109">
        <v>0</v>
      </c>
      <c r="Z109">
        <v>190</v>
      </c>
      <c r="AA109">
        <v>190</v>
      </c>
      <c r="AB109">
        <v>1</v>
      </c>
      <c r="AC109">
        <v>1</v>
      </c>
      <c r="AD109">
        <v>8.5000000000000006E-2</v>
      </c>
      <c r="AE109">
        <v>0</v>
      </c>
      <c r="AF109">
        <v>190</v>
      </c>
      <c r="AG109" t="s">
        <v>828</v>
      </c>
      <c r="AH109">
        <v>0</v>
      </c>
      <c r="AI109">
        <v>0</v>
      </c>
      <c r="AJ109">
        <v>0</v>
      </c>
    </row>
    <row r="110" spans="2:36" x14ac:dyDescent="0.3">
      <c r="B110" s="28"/>
      <c r="C110" t="s">
        <v>1641</v>
      </c>
      <c r="D110" t="s">
        <v>1632</v>
      </c>
      <c r="E110" t="s">
        <v>825</v>
      </c>
      <c r="F110" t="s">
        <v>837</v>
      </c>
      <c r="G110" t="s">
        <v>1633</v>
      </c>
      <c r="H110" t="s">
        <v>1814</v>
      </c>
      <c r="I110">
        <v>105</v>
      </c>
      <c r="J110">
        <v>1</v>
      </c>
      <c r="K110">
        <v>3</v>
      </c>
      <c r="L110">
        <v>3</v>
      </c>
      <c r="M110">
        <v>0.2</v>
      </c>
      <c r="N110" t="s">
        <v>278</v>
      </c>
      <c r="O110" t="s">
        <v>827</v>
      </c>
      <c r="P110">
        <v>1</v>
      </c>
      <c r="Q110">
        <v>1</v>
      </c>
      <c r="R110">
        <v>0</v>
      </c>
      <c r="S110">
        <v>0</v>
      </c>
      <c r="T110">
        <v>0</v>
      </c>
      <c r="U110">
        <v>0</v>
      </c>
      <c r="V110">
        <v>0</v>
      </c>
      <c r="W110">
        <v>0</v>
      </c>
      <c r="X110">
        <v>0</v>
      </c>
      <c r="Y110">
        <v>0</v>
      </c>
      <c r="Z110">
        <v>0</v>
      </c>
      <c r="AA110">
        <v>0</v>
      </c>
      <c r="AB110">
        <v>0.74299999999999999</v>
      </c>
      <c r="AC110">
        <v>1</v>
      </c>
      <c r="AD110">
        <v>6.9000000000000006E-2</v>
      </c>
      <c r="AE110">
        <v>0</v>
      </c>
      <c r="AF110">
        <v>0</v>
      </c>
      <c r="AG110" t="s">
        <v>828</v>
      </c>
      <c r="AH110">
        <v>0</v>
      </c>
      <c r="AI110">
        <v>0</v>
      </c>
      <c r="AJ110">
        <v>0</v>
      </c>
    </row>
    <row r="111" spans="2:36" x14ac:dyDescent="0.3">
      <c r="B111" s="28"/>
      <c r="C111" t="s">
        <v>1642</v>
      </c>
      <c r="D111" t="s">
        <v>1632</v>
      </c>
      <c r="E111" t="s">
        <v>825</v>
      </c>
      <c r="F111" t="s">
        <v>842</v>
      </c>
      <c r="G111" t="s">
        <v>1643</v>
      </c>
      <c r="H111" t="s">
        <v>1417</v>
      </c>
      <c r="I111">
        <v>2194.1</v>
      </c>
      <c r="J111">
        <v>1</v>
      </c>
      <c r="K111">
        <v>1.6</v>
      </c>
      <c r="L111">
        <v>0</v>
      </c>
      <c r="M111">
        <v>3.4</v>
      </c>
      <c r="N111" t="s">
        <v>278</v>
      </c>
      <c r="O111" t="s">
        <v>827</v>
      </c>
      <c r="P111">
        <v>1</v>
      </c>
      <c r="Q111">
        <v>1</v>
      </c>
      <c r="R111">
        <v>8.5000000000000006E-2</v>
      </c>
      <c r="S111">
        <v>0</v>
      </c>
      <c r="T111">
        <v>0</v>
      </c>
      <c r="U111">
        <v>0</v>
      </c>
      <c r="V111">
        <v>186</v>
      </c>
      <c r="W111">
        <v>8.5000000000000006E-2</v>
      </c>
      <c r="X111">
        <v>0</v>
      </c>
      <c r="Y111">
        <v>0</v>
      </c>
      <c r="Z111">
        <v>186</v>
      </c>
      <c r="AA111">
        <v>186</v>
      </c>
      <c r="AB111">
        <v>1</v>
      </c>
      <c r="AC111">
        <v>1</v>
      </c>
      <c r="AD111">
        <v>8.5000000000000006E-2</v>
      </c>
      <c r="AE111">
        <v>0</v>
      </c>
      <c r="AF111">
        <v>186</v>
      </c>
      <c r="AG111" t="s">
        <v>828</v>
      </c>
      <c r="AH111">
        <v>0</v>
      </c>
      <c r="AI111">
        <v>0</v>
      </c>
      <c r="AJ111">
        <v>0</v>
      </c>
    </row>
    <row r="112" spans="2:36" x14ac:dyDescent="0.3">
      <c r="B112" s="28"/>
      <c r="C112" t="s">
        <v>1644</v>
      </c>
      <c r="D112" t="s">
        <v>1632</v>
      </c>
      <c r="E112" t="s">
        <v>844</v>
      </c>
      <c r="F112" t="s">
        <v>834</v>
      </c>
      <c r="G112" t="s">
        <v>1633</v>
      </c>
      <c r="H112" t="s">
        <v>1814</v>
      </c>
      <c r="I112">
        <v>159.80000000000001</v>
      </c>
      <c r="J112">
        <v>1</v>
      </c>
      <c r="K112">
        <v>0</v>
      </c>
      <c r="L112">
        <v>0</v>
      </c>
      <c r="M112">
        <v>0</v>
      </c>
      <c r="N112" t="s">
        <v>278</v>
      </c>
      <c r="O112" t="s">
        <v>827</v>
      </c>
      <c r="P112">
        <v>1</v>
      </c>
      <c r="Q112">
        <v>1</v>
      </c>
      <c r="R112">
        <v>0</v>
      </c>
      <c r="S112">
        <v>0</v>
      </c>
      <c r="T112">
        <v>0</v>
      </c>
      <c r="U112">
        <v>0</v>
      </c>
      <c r="V112">
        <v>0</v>
      </c>
      <c r="W112">
        <v>0</v>
      </c>
      <c r="X112">
        <v>0</v>
      </c>
      <c r="Y112">
        <v>0</v>
      </c>
      <c r="Z112">
        <v>0</v>
      </c>
      <c r="AA112">
        <v>0</v>
      </c>
      <c r="AB112">
        <v>1</v>
      </c>
      <c r="AC112">
        <v>1</v>
      </c>
      <c r="AD112">
        <v>6.9000000000000006E-2</v>
      </c>
      <c r="AE112">
        <v>0</v>
      </c>
      <c r="AF112">
        <v>0</v>
      </c>
      <c r="AG112" t="s">
        <v>828</v>
      </c>
      <c r="AH112">
        <v>0</v>
      </c>
      <c r="AI112">
        <v>0</v>
      </c>
      <c r="AJ112">
        <v>0</v>
      </c>
    </row>
    <row r="113" spans="2:36" x14ac:dyDescent="0.3">
      <c r="B113" s="28"/>
      <c r="C113" t="s">
        <v>1645</v>
      </c>
      <c r="D113" t="s">
        <v>1632</v>
      </c>
      <c r="E113" t="s">
        <v>825</v>
      </c>
      <c r="F113" t="s">
        <v>560</v>
      </c>
      <c r="G113" t="s">
        <v>1637</v>
      </c>
      <c r="H113" t="s">
        <v>1815</v>
      </c>
      <c r="I113">
        <v>65.7</v>
      </c>
      <c r="J113">
        <v>1</v>
      </c>
      <c r="K113">
        <v>3</v>
      </c>
      <c r="L113">
        <v>3</v>
      </c>
      <c r="M113">
        <v>0.1</v>
      </c>
      <c r="N113" t="s">
        <v>278</v>
      </c>
      <c r="O113" t="s">
        <v>827</v>
      </c>
      <c r="P113">
        <v>1</v>
      </c>
      <c r="Q113">
        <v>1</v>
      </c>
      <c r="R113">
        <v>0</v>
      </c>
      <c r="S113">
        <v>0</v>
      </c>
      <c r="T113">
        <v>0</v>
      </c>
      <c r="U113">
        <v>0</v>
      </c>
      <c r="V113">
        <v>0</v>
      </c>
      <c r="W113">
        <v>0</v>
      </c>
      <c r="X113">
        <v>0</v>
      </c>
      <c r="Y113">
        <v>0</v>
      </c>
      <c r="Z113">
        <v>0</v>
      </c>
      <c r="AA113">
        <v>0</v>
      </c>
      <c r="AB113">
        <v>0.74299999999999999</v>
      </c>
      <c r="AC113">
        <v>1</v>
      </c>
      <c r="AD113">
        <v>0.28999999999999998</v>
      </c>
      <c r="AE113">
        <v>0</v>
      </c>
      <c r="AF113">
        <v>0</v>
      </c>
      <c r="AG113" t="s">
        <v>828</v>
      </c>
      <c r="AH113">
        <v>0</v>
      </c>
      <c r="AI113">
        <v>0</v>
      </c>
      <c r="AJ113">
        <v>0</v>
      </c>
    </row>
    <row r="114" spans="2:36" x14ac:dyDescent="0.3">
      <c r="B114" s="28"/>
      <c r="C114" t="s">
        <v>1646</v>
      </c>
      <c r="D114" t="s">
        <v>1632</v>
      </c>
      <c r="E114" t="s">
        <v>844</v>
      </c>
      <c r="F114" t="s">
        <v>841</v>
      </c>
      <c r="G114" t="s">
        <v>1637</v>
      </c>
      <c r="H114" t="s">
        <v>1815</v>
      </c>
      <c r="I114">
        <v>256.60000000000002</v>
      </c>
      <c r="J114">
        <v>1</v>
      </c>
      <c r="K114">
        <v>10</v>
      </c>
      <c r="L114">
        <v>10</v>
      </c>
      <c r="M114">
        <v>1.3</v>
      </c>
      <c r="N114" t="s">
        <v>278</v>
      </c>
      <c r="O114" t="s">
        <v>827</v>
      </c>
      <c r="P114">
        <v>1</v>
      </c>
      <c r="Q114">
        <v>1</v>
      </c>
      <c r="R114">
        <v>0</v>
      </c>
      <c r="S114">
        <v>0</v>
      </c>
      <c r="T114">
        <v>0</v>
      </c>
      <c r="U114">
        <v>0</v>
      </c>
      <c r="V114">
        <v>0</v>
      </c>
      <c r="W114">
        <v>0</v>
      </c>
      <c r="X114">
        <v>0</v>
      </c>
      <c r="Y114">
        <v>0</v>
      </c>
      <c r="Z114">
        <v>0</v>
      </c>
      <c r="AA114">
        <v>0</v>
      </c>
      <c r="AB114">
        <v>0.74299999999999999</v>
      </c>
      <c r="AC114">
        <v>1</v>
      </c>
      <c r="AD114">
        <v>0.28999999999999998</v>
      </c>
      <c r="AE114">
        <v>0</v>
      </c>
      <c r="AF114">
        <v>0</v>
      </c>
      <c r="AG114" t="s">
        <v>828</v>
      </c>
      <c r="AH114">
        <v>0</v>
      </c>
      <c r="AI114">
        <v>0</v>
      </c>
      <c r="AJ114">
        <v>0</v>
      </c>
    </row>
    <row r="115" spans="2:36" x14ac:dyDescent="0.3">
      <c r="B115" s="28"/>
      <c r="C115" t="s">
        <v>1647</v>
      </c>
      <c r="D115" t="s">
        <v>1632</v>
      </c>
      <c r="E115" t="s">
        <v>825</v>
      </c>
      <c r="F115" t="s">
        <v>839</v>
      </c>
      <c r="G115" t="s">
        <v>1633</v>
      </c>
      <c r="H115" t="s">
        <v>1814</v>
      </c>
      <c r="I115">
        <v>257.8</v>
      </c>
      <c r="J115">
        <v>1</v>
      </c>
      <c r="K115">
        <v>10</v>
      </c>
      <c r="L115">
        <v>10</v>
      </c>
      <c r="M115">
        <v>1.3</v>
      </c>
      <c r="N115" t="s">
        <v>278</v>
      </c>
      <c r="O115" t="s">
        <v>827</v>
      </c>
      <c r="P115">
        <v>1</v>
      </c>
      <c r="Q115">
        <v>1</v>
      </c>
      <c r="R115">
        <v>0.06</v>
      </c>
      <c r="S115">
        <v>5</v>
      </c>
      <c r="T115">
        <v>0</v>
      </c>
      <c r="U115">
        <v>0</v>
      </c>
      <c r="V115">
        <v>78</v>
      </c>
      <c r="W115">
        <v>0.06</v>
      </c>
      <c r="X115">
        <v>5</v>
      </c>
      <c r="Y115">
        <v>0</v>
      </c>
      <c r="Z115">
        <v>22</v>
      </c>
      <c r="AA115">
        <v>58</v>
      </c>
      <c r="AB115">
        <v>0.74299999999999999</v>
      </c>
      <c r="AC115">
        <v>1</v>
      </c>
      <c r="AD115">
        <v>6.9000000000000006E-2</v>
      </c>
      <c r="AE115">
        <v>0</v>
      </c>
      <c r="AF115">
        <v>0</v>
      </c>
      <c r="AG115" t="s">
        <v>828</v>
      </c>
      <c r="AH115">
        <v>0</v>
      </c>
      <c r="AI115">
        <v>0</v>
      </c>
      <c r="AJ115">
        <v>0</v>
      </c>
    </row>
    <row r="116" spans="2:36" x14ac:dyDescent="0.3">
      <c r="B116" s="28"/>
      <c r="C116" t="s">
        <v>1648</v>
      </c>
      <c r="D116" t="s">
        <v>1632</v>
      </c>
      <c r="E116" t="s">
        <v>844</v>
      </c>
      <c r="F116" t="s">
        <v>560</v>
      </c>
      <c r="G116" t="s">
        <v>1633</v>
      </c>
      <c r="H116" t="s">
        <v>1814</v>
      </c>
      <c r="I116">
        <v>207.4</v>
      </c>
      <c r="J116">
        <v>1</v>
      </c>
      <c r="K116">
        <v>3</v>
      </c>
      <c r="L116">
        <v>3</v>
      </c>
      <c r="M116">
        <v>0.3</v>
      </c>
      <c r="N116" t="s">
        <v>278</v>
      </c>
      <c r="O116" t="s">
        <v>827</v>
      </c>
      <c r="P116">
        <v>1</v>
      </c>
      <c r="Q116">
        <v>1</v>
      </c>
      <c r="R116">
        <v>0</v>
      </c>
      <c r="S116">
        <v>0</v>
      </c>
      <c r="T116">
        <v>0</v>
      </c>
      <c r="U116">
        <v>0</v>
      </c>
      <c r="V116">
        <v>0</v>
      </c>
      <c r="W116">
        <v>0</v>
      </c>
      <c r="X116">
        <v>0</v>
      </c>
      <c r="Y116">
        <v>0</v>
      </c>
      <c r="Z116">
        <v>0</v>
      </c>
      <c r="AA116">
        <v>0</v>
      </c>
      <c r="AB116">
        <v>0.74299999999999999</v>
      </c>
      <c r="AC116">
        <v>1</v>
      </c>
      <c r="AD116">
        <v>6.9000000000000006E-2</v>
      </c>
      <c r="AE116">
        <v>0</v>
      </c>
      <c r="AF116">
        <v>0</v>
      </c>
      <c r="AG116" t="s">
        <v>828</v>
      </c>
      <c r="AH116">
        <v>0</v>
      </c>
      <c r="AI116">
        <v>0</v>
      </c>
      <c r="AJ116">
        <v>0</v>
      </c>
    </row>
    <row r="117" spans="2:36" x14ac:dyDescent="0.3">
      <c r="B117" s="28"/>
      <c r="C117" t="s">
        <v>1649</v>
      </c>
      <c r="D117" t="s">
        <v>1632</v>
      </c>
      <c r="E117" t="s">
        <v>825</v>
      </c>
      <c r="F117" t="s">
        <v>840</v>
      </c>
      <c r="G117" t="s">
        <v>1633</v>
      </c>
      <c r="H117" t="s">
        <v>1814</v>
      </c>
      <c r="I117">
        <v>130</v>
      </c>
      <c r="J117">
        <v>1</v>
      </c>
      <c r="K117">
        <v>10</v>
      </c>
      <c r="L117">
        <v>10</v>
      </c>
      <c r="M117">
        <v>0.7</v>
      </c>
      <c r="N117" t="s">
        <v>278</v>
      </c>
      <c r="O117" t="s">
        <v>827</v>
      </c>
      <c r="P117">
        <v>1</v>
      </c>
      <c r="Q117">
        <v>1</v>
      </c>
      <c r="R117">
        <v>0</v>
      </c>
      <c r="S117">
        <v>0</v>
      </c>
      <c r="T117">
        <v>0</v>
      </c>
      <c r="U117">
        <v>0</v>
      </c>
      <c r="V117">
        <v>0</v>
      </c>
      <c r="W117">
        <v>0</v>
      </c>
      <c r="X117">
        <v>0</v>
      </c>
      <c r="Y117">
        <v>0</v>
      </c>
      <c r="Z117">
        <v>0</v>
      </c>
      <c r="AA117">
        <v>0</v>
      </c>
      <c r="AB117">
        <v>0.74299999999999999</v>
      </c>
      <c r="AC117">
        <v>1</v>
      </c>
      <c r="AD117">
        <v>6.9000000000000006E-2</v>
      </c>
      <c r="AE117">
        <v>0</v>
      </c>
      <c r="AF117">
        <v>0</v>
      </c>
      <c r="AG117" t="s">
        <v>828</v>
      </c>
      <c r="AH117">
        <v>0</v>
      </c>
      <c r="AI117">
        <v>0</v>
      </c>
      <c r="AJ117">
        <v>0</v>
      </c>
    </row>
    <row r="118" spans="2:36" x14ac:dyDescent="0.3">
      <c r="B118" s="28"/>
      <c r="C118" t="s">
        <v>1650</v>
      </c>
      <c r="D118" t="s">
        <v>1632</v>
      </c>
      <c r="E118" t="s">
        <v>825</v>
      </c>
      <c r="F118" t="s">
        <v>1374</v>
      </c>
      <c r="G118" t="s">
        <v>1651</v>
      </c>
      <c r="H118" t="s">
        <v>1814</v>
      </c>
      <c r="I118">
        <v>756.4</v>
      </c>
      <c r="J118">
        <v>1</v>
      </c>
      <c r="K118">
        <v>66.7</v>
      </c>
      <c r="L118">
        <v>66.7</v>
      </c>
      <c r="M118">
        <v>25.2</v>
      </c>
      <c r="N118" t="s">
        <v>278</v>
      </c>
      <c r="O118" t="s">
        <v>827</v>
      </c>
      <c r="P118">
        <v>1</v>
      </c>
      <c r="Q118">
        <v>1</v>
      </c>
      <c r="R118">
        <v>0.3</v>
      </c>
      <c r="S118">
        <v>0</v>
      </c>
      <c r="T118">
        <v>0</v>
      </c>
      <c r="U118">
        <v>0</v>
      </c>
      <c r="V118">
        <v>140</v>
      </c>
      <c r="W118">
        <v>0.3</v>
      </c>
      <c r="X118">
        <v>0</v>
      </c>
      <c r="Y118">
        <v>0</v>
      </c>
      <c r="Z118">
        <v>227</v>
      </c>
      <c r="AA118">
        <v>104</v>
      </c>
      <c r="AB118">
        <v>0.74299999999999999</v>
      </c>
      <c r="AC118">
        <v>1</v>
      </c>
      <c r="AD118">
        <v>0.185</v>
      </c>
      <c r="AE118">
        <v>0</v>
      </c>
      <c r="AF118">
        <v>0</v>
      </c>
      <c r="AG118" t="s">
        <v>828</v>
      </c>
      <c r="AH118">
        <v>0</v>
      </c>
      <c r="AI118">
        <v>0</v>
      </c>
      <c r="AJ118">
        <v>0</v>
      </c>
    </row>
    <row r="119" spans="2:36" x14ac:dyDescent="0.3">
      <c r="B119" s="28"/>
      <c r="C119" t="s">
        <v>1652</v>
      </c>
      <c r="D119" t="s">
        <v>1632</v>
      </c>
      <c r="E119" t="s">
        <v>825</v>
      </c>
      <c r="F119" t="s">
        <v>842</v>
      </c>
      <c r="G119" t="s">
        <v>1653</v>
      </c>
      <c r="H119" t="s">
        <v>1418</v>
      </c>
      <c r="I119">
        <v>3199</v>
      </c>
      <c r="J119">
        <v>1</v>
      </c>
      <c r="K119">
        <v>1.6</v>
      </c>
      <c r="L119">
        <v>0</v>
      </c>
      <c r="M119">
        <v>5</v>
      </c>
      <c r="N119" t="s">
        <v>278</v>
      </c>
      <c r="O119" t="s">
        <v>827</v>
      </c>
      <c r="P119">
        <v>1</v>
      </c>
      <c r="Q119">
        <v>1</v>
      </c>
      <c r="R119">
        <v>8.5000000000000006E-2</v>
      </c>
      <c r="S119">
        <v>0</v>
      </c>
      <c r="T119">
        <v>0</v>
      </c>
      <c r="U119">
        <v>0</v>
      </c>
      <c r="V119">
        <v>272</v>
      </c>
      <c r="W119">
        <v>8.5000000000000006E-2</v>
      </c>
      <c r="X119">
        <v>0</v>
      </c>
      <c r="Y119">
        <v>0</v>
      </c>
      <c r="Z119">
        <v>272</v>
      </c>
      <c r="AA119">
        <v>272</v>
      </c>
      <c r="AB119">
        <v>1</v>
      </c>
      <c r="AC119">
        <v>1</v>
      </c>
      <c r="AD119">
        <v>8.5000000000000006E-2</v>
      </c>
      <c r="AE119">
        <v>0</v>
      </c>
      <c r="AF119">
        <v>272</v>
      </c>
      <c r="AG119" t="s">
        <v>828</v>
      </c>
      <c r="AH119">
        <v>0</v>
      </c>
      <c r="AI119">
        <v>0</v>
      </c>
      <c r="AJ119">
        <v>0</v>
      </c>
    </row>
    <row r="120" spans="2:36" x14ac:dyDescent="0.3">
      <c r="B120" s="28"/>
      <c r="C120" t="s">
        <v>1654</v>
      </c>
      <c r="D120" t="s">
        <v>1632</v>
      </c>
      <c r="E120" t="s">
        <v>825</v>
      </c>
      <c r="F120" t="s">
        <v>839</v>
      </c>
      <c r="G120" t="s">
        <v>1633</v>
      </c>
      <c r="H120" t="s">
        <v>1814</v>
      </c>
      <c r="I120">
        <v>153.30000000000001</v>
      </c>
      <c r="J120">
        <v>1</v>
      </c>
      <c r="K120">
        <v>10</v>
      </c>
      <c r="L120">
        <v>10</v>
      </c>
      <c r="M120">
        <v>0.8</v>
      </c>
      <c r="N120" t="s">
        <v>278</v>
      </c>
      <c r="O120" t="s">
        <v>827</v>
      </c>
      <c r="P120">
        <v>1</v>
      </c>
      <c r="Q120">
        <v>1</v>
      </c>
      <c r="R120">
        <v>0.06</v>
      </c>
      <c r="S120">
        <v>5</v>
      </c>
      <c r="T120">
        <v>0</v>
      </c>
      <c r="U120">
        <v>0</v>
      </c>
      <c r="V120">
        <v>27</v>
      </c>
      <c r="W120">
        <v>0.06</v>
      </c>
      <c r="X120">
        <v>5</v>
      </c>
      <c r="Y120">
        <v>0</v>
      </c>
      <c r="Z120">
        <v>13</v>
      </c>
      <c r="AA120">
        <v>20</v>
      </c>
      <c r="AB120">
        <v>0.74299999999999999</v>
      </c>
      <c r="AC120">
        <v>1</v>
      </c>
      <c r="AD120">
        <v>6.9000000000000006E-2</v>
      </c>
      <c r="AE120">
        <v>0</v>
      </c>
      <c r="AF120">
        <v>0</v>
      </c>
      <c r="AG120" t="s">
        <v>828</v>
      </c>
      <c r="AH120">
        <v>0</v>
      </c>
      <c r="AI120">
        <v>0</v>
      </c>
      <c r="AJ120">
        <v>0</v>
      </c>
    </row>
    <row r="121" spans="2:36" x14ac:dyDescent="0.3">
      <c r="B121" s="28"/>
      <c r="C121" t="s">
        <v>1655</v>
      </c>
      <c r="D121" t="s">
        <v>1632</v>
      </c>
      <c r="E121" t="s">
        <v>825</v>
      </c>
      <c r="F121" t="s">
        <v>836</v>
      </c>
      <c r="G121" t="s">
        <v>1633</v>
      </c>
      <c r="H121" t="s">
        <v>1814</v>
      </c>
      <c r="I121">
        <v>414.5</v>
      </c>
      <c r="J121">
        <v>1</v>
      </c>
      <c r="K121">
        <v>10</v>
      </c>
      <c r="L121">
        <v>10</v>
      </c>
      <c r="M121">
        <v>2.1</v>
      </c>
      <c r="N121" t="s">
        <v>278</v>
      </c>
      <c r="O121" t="s">
        <v>827</v>
      </c>
      <c r="P121">
        <v>1</v>
      </c>
      <c r="Q121">
        <v>1</v>
      </c>
      <c r="R121">
        <v>0.18</v>
      </c>
      <c r="S121">
        <v>0</v>
      </c>
      <c r="T121">
        <v>0</v>
      </c>
      <c r="U121">
        <v>0</v>
      </c>
      <c r="V121">
        <v>0</v>
      </c>
      <c r="W121">
        <v>0.12</v>
      </c>
      <c r="X121">
        <v>0</v>
      </c>
      <c r="Y121">
        <v>0</v>
      </c>
      <c r="Z121">
        <v>50</v>
      </c>
      <c r="AA121">
        <v>0</v>
      </c>
      <c r="AB121">
        <v>0.74299999999999999</v>
      </c>
      <c r="AC121">
        <v>1</v>
      </c>
      <c r="AD121">
        <v>6.9000000000000006E-2</v>
      </c>
      <c r="AE121">
        <v>0</v>
      </c>
      <c r="AF121">
        <v>0</v>
      </c>
      <c r="AG121" t="s">
        <v>828</v>
      </c>
      <c r="AH121">
        <v>0</v>
      </c>
      <c r="AI121">
        <v>0</v>
      </c>
      <c r="AJ121">
        <v>0</v>
      </c>
    </row>
    <row r="122" spans="2:36" x14ac:dyDescent="0.3">
      <c r="B122" s="28"/>
      <c r="C122" t="s">
        <v>1656</v>
      </c>
      <c r="D122" t="s">
        <v>1632</v>
      </c>
      <c r="E122" t="s">
        <v>825</v>
      </c>
      <c r="F122" t="s">
        <v>842</v>
      </c>
      <c r="G122" t="s">
        <v>1657</v>
      </c>
      <c r="H122" t="s">
        <v>1419</v>
      </c>
      <c r="I122">
        <v>641.20000000000005</v>
      </c>
      <c r="J122">
        <v>1</v>
      </c>
      <c r="K122">
        <v>1.6</v>
      </c>
      <c r="L122">
        <v>0</v>
      </c>
      <c r="M122">
        <v>1</v>
      </c>
      <c r="N122" t="s">
        <v>278</v>
      </c>
      <c r="O122" t="s">
        <v>827</v>
      </c>
      <c r="P122">
        <v>1</v>
      </c>
      <c r="Q122">
        <v>1</v>
      </c>
      <c r="R122">
        <v>8.5000000000000006E-2</v>
      </c>
      <c r="S122">
        <v>0</v>
      </c>
      <c r="T122">
        <v>0</v>
      </c>
      <c r="U122">
        <v>0</v>
      </c>
      <c r="V122">
        <v>55</v>
      </c>
      <c r="W122">
        <v>8.5000000000000006E-2</v>
      </c>
      <c r="X122">
        <v>0</v>
      </c>
      <c r="Y122">
        <v>0</v>
      </c>
      <c r="Z122">
        <v>55</v>
      </c>
      <c r="AA122">
        <v>55</v>
      </c>
      <c r="AB122">
        <v>1</v>
      </c>
      <c r="AC122">
        <v>1</v>
      </c>
      <c r="AD122">
        <v>8.5000000000000006E-2</v>
      </c>
      <c r="AE122">
        <v>0</v>
      </c>
      <c r="AF122">
        <v>55</v>
      </c>
      <c r="AG122" t="s">
        <v>828</v>
      </c>
      <c r="AH122">
        <v>0</v>
      </c>
      <c r="AI122">
        <v>0</v>
      </c>
      <c r="AJ122">
        <v>0</v>
      </c>
    </row>
    <row r="123" spans="2:36" x14ac:dyDescent="0.3">
      <c r="B123" s="28"/>
      <c r="C123" t="s">
        <v>1658</v>
      </c>
      <c r="D123" t="s">
        <v>1632</v>
      </c>
      <c r="E123" t="s">
        <v>825</v>
      </c>
      <c r="F123" t="s">
        <v>842</v>
      </c>
      <c r="G123" t="s">
        <v>1659</v>
      </c>
      <c r="H123" t="s">
        <v>1420</v>
      </c>
      <c r="I123">
        <v>1375.3</v>
      </c>
      <c r="J123">
        <v>1</v>
      </c>
      <c r="K123">
        <v>1.6</v>
      </c>
      <c r="L123">
        <v>0</v>
      </c>
      <c r="M123">
        <v>2.1</v>
      </c>
      <c r="N123" t="s">
        <v>278</v>
      </c>
      <c r="O123" t="s">
        <v>827</v>
      </c>
      <c r="P123">
        <v>1</v>
      </c>
      <c r="Q123">
        <v>1</v>
      </c>
      <c r="R123">
        <v>8.5000000000000006E-2</v>
      </c>
      <c r="S123">
        <v>0</v>
      </c>
      <c r="T123">
        <v>0</v>
      </c>
      <c r="U123">
        <v>0</v>
      </c>
      <c r="V123">
        <v>117</v>
      </c>
      <c r="W123">
        <v>8.5000000000000006E-2</v>
      </c>
      <c r="X123">
        <v>0</v>
      </c>
      <c r="Y123">
        <v>0</v>
      </c>
      <c r="Z123">
        <v>117</v>
      </c>
      <c r="AA123">
        <v>117</v>
      </c>
      <c r="AB123">
        <v>1</v>
      </c>
      <c r="AC123">
        <v>1</v>
      </c>
      <c r="AD123">
        <v>8.5000000000000006E-2</v>
      </c>
      <c r="AE123">
        <v>0</v>
      </c>
      <c r="AF123">
        <v>117</v>
      </c>
      <c r="AG123" t="s">
        <v>828</v>
      </c>
      <c r="AH123">
        <v>0</v>
      </c>
      <c r="AI123">
        <v>0</v>
      </c>
      <c r="AJ123">
        <v>0</v>
      </c>
    </row>
    <row r="124" spans="2:36" x14ac:dyDescent="0.3">
      <c r="B124" s="28"/>
      <c r="C124" t="s">
        <v>1660</v>
      </c>
      <c r="D124" t="s">
        <v>1632</v>
      </c>
      <c r="E124" t="s">
        <v>825</v>
      </c>
      <c r="F124" t="s">
        <v>826</v>
      </c>
      <c r="G124" t="s">
        <v>1661</v>
      </c>
      <c r="H124" t="s">
        <v>1952</v>
      </c>
      <c r="I124">
        <v>3407.5</v>
      </c>
      <c r="J124">
        <v>1</v>
      </c>
      <c r="K124">
        <v>10</v>
      </c>
      <c r="L124">
        <v>10</v>
      </c>
      <c r="M124">
        <v>17</v>
      </c>
      <c r="N124" t="s">
        <v>278</v>
      </c>
      <c r="O124" t="s">
        <v>827</v>
      </c>
      <c r="P124">
        <v>1</v>
      </c>
      <c r="Q124">
        <v>1</v>
      </c>
      <c r="R124">
        <v>0.06</v>
      </c>
      <c r="S124">
        <v>5</v>
      </c>
      <c r="T124">
        <v>0</v>
      </c>
      <c r="U124">
        <v>0</v>
      </c>
      <c r="V124">
        <v>290</v>
      </c>
      <c r="W124">
        <v>0.06</v>
      </c>
      <c r="X124">
        <v>5</v>
      </c>
      <c r="Y124">
        <v>0</v>
      </c>
      <c r="Z124">
        <v>290</v>
      </c>
      <c r="AA124">
        <v>215</v>
      </c>
      <c r="AB124">
        <v>0.74299999999999999</v>
      </c>
      <c r="AC124">
        <v>1</v>
      </c>
      <c r="AD124">
        <v>8.5000000000000006E-2</v>
      </c>
      <c r="AE124">
        <v>0</v>
      </c>
      <c r="AF124">
        <v>0</v>
      </c>
      <c r="AG124" t="s">
        <v>828</v>
      </c>
      <c r="AH124">
        <v>0</v>
      </c>
      <c r="AI124">
        <v>0</v>
      </c>
      <c r="AJ124">
        <v>0</v>
      </c>
    </row>
    <row r="125" spans="2:36" x14ac:dyDescent="0.3">
      <c r="B125" s="28"/>
      <c r="C125" t="s">
        <v>1662</v>
      </c>
      <c r="D125" t="s">
        <v>1632</v>
      </c>
      <c r="E125" t="s">
        <v>844</v>
      </c>
      <c r="F125" t="s">
        <v>829</v>
      </c>
      <c r="G125" t="s">
        <v>1661</v>
      </c>
      <c r="H125" t="s">
        <v>1952</v>
      </c>
      <c r="I125">
        <v>0</v>
      </c>
      <c r="J125">
        <v>1</v>
      </c>
      <c r="K125">
        <v>0</v>
      </c>
      <c r="L125">
        <v>0</v>
      </c>
      <c r="M125">
        <v>0</v>
      </c>
      <c r="N125" t="s">
        <v>278</v>
      </c>
      <c r="O125" t="s">
        <v>827</v>
      </c>
      <c r="P125">
        <v>1</v>
      </c>
      <c r="Q125">
        <v>1</v>
      </c>
      <c r="R125">
        <v>0</v>
      </c>
      <c r="S125">
        <v>0</v>
      </c>
      <c r="T125">
        <v>0</v>
      </c>
      <c r="U125">
        <v>0</v>
      </c>
      <c r="V125">
        <v>0</v>
      </c>
      <c r="W125">
        <v>0</v>
      </c>
      <c r="X125">
        <v>0</v>
      </c>
      <c r="Y125">
        <v>0</v>
      </c>
      <c r="Z125">
        <v>0</v>
      </c>
      <c r="AA125">
        <v>0</v>
      </c>
      <c r="AB125">
        <v>1</v>
      </c>
      <c r="AC125">
        <v>1</v>
      </c>
      <c r="AD125">
        <v>8.5000000000000006E-2</v>
      </c>
      <c r="AE125">
        <v>0</v>
      </c>
      <c r="AF125">
        <v>0</v>
      </c>
      <c r="AG125" t="s">
        <v>828</v>
      </c>
      <c r="AH125">
        <v>0</v>
      </c>
      <c r="AI125">
        <v>0</v>
      </c>
      <c r="AJ125">
        <v>0</v>
      </c>
    </row>
    <row r="126" spans="2:36" x14ac:dyDescent="0.3">
      <c r="B126" s="28"/>
      <c r="C126" t="s">
        <v>1663</v>
      </c>
      <c r="D126" t="s">
        <v>1664</v>
      </c>
      <c r="E126" t="s">
        <v>844</v>
      </c>
      <c r="F126" t="s">
        <v>834</v>
      </c>
      <c r="G126" t="s">
        <v>1665</v>
      </c>
      <c r="H126" t="s">
        <v>1815</v>
      </c>
      <c r="I126">
        <v>159.80000000000001</v>
      </c>
      <c r="J126">
        <v>1</v>
      </c>
      <c r="K126">
        <v>0</v>
      </c>
      <c r="L126">
        <v>0</v>
      </c>
      <c r="M126">
        <v>0</v>
      </c>
      <c r="N126" t="s">
        <v>278</v>
      </c>
      <c r="O126" t="s">
        <v>827</v>
      </c>
      <c r="P126">
        <v>1</v>
      </c>
      <c r="Q126">
        <v>1</v>
      </c>
      <c r="R126">
        <v>0</v>
      </c>
      <c r="S126">
        <v>0</v>
      </c>
      <c r="T126">
        <v>0</v>
      </c>
      <c r="U126">
        <v>0</v>
      </c>
      <c r="V126">
        <v>0</v>
      </c>
      <c r="W126">
        <v>0</v>
      </c>
      <c r="X126">
        <v>0</v>
      </c>
      <c r="Y126">
        <v>0</v>
      </c>
      <c r="Z126">
        <v>0</v>
      </c>
      <c r="AA126">
        <v>0</v>
      </c>
      <c r="AB126">
        <v>1</v>
      </c>
      <c r="AC126">
        <v>1</v>
      </c>
      <c r="AD126">
        <v>0.36199999999999999</v>
      </c>
      <c r="AE126">
        <v>0</v>
      </c>
      <c r="AF126">
        <v>0</v>
      </c>
      <c r="AG126" t="s">
        <v>828</v>
      </c>
      <c r="AH126">
        <v>0</v>
      </c>
      <c r="AI126">
        <v>0</v>
      </c>
      <c r="AJ126">
        <v>0</v>
      </c>
    </row>
    <row r="127" spans="2:36" x14ac:dyDescent="0.3">
      <c r="B127" s="28"/>
      <c r="C127" t="s">
        <v>1666</v>
      </c>
      <c r="D127" t="s">
        <v>1664</v>
      </c>
      <c r="E127" t="s">
        <v>825</v>
      </c>
      <c r="F127" t="s">
        <v>560</v>
      </c>
      <c r="G127" t="s">
        <v>1665</v>
      </c>
      <c r="H127" t="s">
        <v>1815</v>
      </c>
      <c r="I127">
        <v>65.7</v>
      </c>
      <c r="J127">
        <v>1</v>
      </c>
      <c r="K127">
        <v>3</v>
      </c>
      <c r="L127">
        <v>3</v>
      </c>
      <c r="M127">
        <v>0.1</v>
      </c>
      <c r="N127" t="s">
        <v>278</v>
      </c>
      <c r="O127" t="s">
        <v>827</v>
      </c>
      <c r="P127">
        <v>1</v>
      </c>
      <c r="Q127">
        <v>1</v>
      </c>
      <c r="R127">
        <v>0</v>
      </c>
      <c r="S127">
        <v>0</v>
      </c>
      <c r="T127">
        <v>0</v>
      </c>
      <c r="U127">
        <v>0</v>
      </c>
      <c r="V127">
        <v>0</v>
      </c>
      <c r="W127">
        <v>0</v>
      </c>
      <c r="X127">
        <v>0</v>
      </c>
      <c r="Y127">
        <v>0</v>
      </c>
      <c r="Z127">
        <v>0</v>
      </c>
      <c r="AA127">
        <v>0</v>
      </c>
      <c r="AB127">
        <v>0.20399999999999999</v>
      </c>
      <c r="AC127">
        <v>1</v>
      </c>
      <c r="AD127">
        <v>0.36199999999999999</v>
      </c>
      <c r="AE127">
        <v>0</v>
      </c>
      <c r="AF127">
        <v>0</v>
      </c>
      <c r="AG127" t="s">
        <v>828</v>
      </c>
      <c r="AH127">
        <v>0</v>
      </c>
      <c r="AI127">
        <v>0</v>
      </c>
      <c r="AJ127">
        <v>0</v>
      </c>
    </row>
    <row r="128" spans="2:36" x14ac:dyDescent="0.3">
      <c r="B128" s="28"/>
      <c r="C128" t="s">
        <v>1667</v>
      </c>
      <c r="D128" t="s">
        <v>1664</v>
      </c>
      <c r="E128" t="s">
        <v>844</v>
      </c>
      <c r="F128" t="s">
        <v>841</v>
      </c>
      <c r="G128" t="s">
        <v>1665</v>
      </c>
      <c r="H128" t="s">
        <v>1815</v>
      </c>
      <c r="I128">
        <v>218.5</v>
      </c>
      <c r="J128">
        <v>1</v>
      </c>
      <c r="K128">
        <v>10</v>
      </c>
      <c r="L128">
        <v>10</v>
      </c>
      <c r="M128">
        <v>1.1000000000000001</v>
      </c>
      <c r="N128" t="s">
        <v>278</v>
      </c>
      <c r="O128" t="s">
        <v>827</v>
      </c>
      <c r="P128">
        <v>1</v>
      </c>
      <c r="Q128">
        <v>1</v>
      </c>
      <c r="R128">
        <v>0</v>
      </c>
      <c r="S128">
        <v>0</v>
      </c>
      <c r="T128">
        <v>0</v>
      </c>
      <c r="U128">
        <v>0</v>
      </c>
      <c r="V128">
        <v>0</v>
      </c>
      <c r="W128">
        <v>0</v>
      </c>
      <c r="X128">
        <v>0</v>
      </c>
      <c r="Y128">
        <v>0</v>
      </c>
      <c r="Z128">
        <v>0</v>
      </c>
      <c r="AA128">
        <v>0</v>
      </c>
      <c r="AB128">
        <v>0.20399999999999999</v>
      </c>
      <c r="AC128">
        <v>1</v>
      </c>
      <c r="AD128">
        <v>0.36199999999999999</v>
      </c>
      <c r="AE128">
        <v>0</v>
      </c>
      <c r="AF128">
        <v>0</v>
      </c>
      <c r="AG128" t="s">
        <v>828</v>
      </c>
      <c r="AH128">
        <v>0</v>
      </c>
      <c r="AI128">
        <v>0</v>
      </c>
      <c r="AJ128">
        <v>0</v>
      </c>
    </row>
    <row r="129" spans="2:36" x14ac:dyDescent="0.3">
      <c r="B129" s="28"/>
      <c r="C129" t="s">
        <v>1668</v>
      </c>
      <c r="D129" t="s">
        <v>1664</v>
      </c>
      <c r="E129" t="s">
        <v>825</v>
      </c>
      <c r="F129" t="s">
        <v>842</v>
      </c>
      <c r="G129" t="s">
        <v>1669</v>
      </c>
      <c r="H129" t="s">
        <v>1822</v>
      </c>
      <c r="I129">
        <v>1167.5</v>
      </c>
      <c r="J129">
        <v>1</v>
      </c>
      <c r="K129">
        <v>1.6</v>
      </c>
      <c r="L129">
        <v>0</v>
      </c>
      <c r="M129">
        <v>1.8</v>
      </c>
      <c r="N129" t="s">
        <v>278</v>
      </c>
      <c r="O129" t="s">
        <v>827</v>
      </c>
      <c r="P129">
        <v>1</v>
      </c>
      <c r="Q129">
        <v>1</v>
      </c>
      <c r="R129">
        <v>8.5000000000000006E-2</v>
      </c>
      <c r="S129">
        <v>0</v>
      </c>
      <c r="T129">
        <v>0</v>
      </c>
      <c r="U129">
        <v>0</v>
      </c>
      <c r="V129">
        <v>99</v>
      </c>
      <c r="W129">
        <v>8.5000000000000006E-2</v>
      </c>
      <c r="X129">
        <v>0</v>
      </c>
      <c r="Y129">
        <v>0</v>
      </c>
      <c r="Z129">
        <v>99</v>
      </c>
      <c r="AA129">
        <v>99</v>
      </c>
      <c r="AB129">
        <v>1</v>
      </c>
      <c r="AC129">
        <v>1</v>
      </c>
      <c r="AD129">
        <v>8.5000000000000006E-2</v>
      </c>
      <c r="AE129">
        <v>0</v>
      </c>
      <c r="AF129">
        <v>99</v>
      </c>
      <c r="AG129" t="s">
        <v>828</v>
      </c>
      <c r="AH129">
        <v>0</v>
      </c>
      <c r="AI129">
        <v>0</v>
      </c>
      <c r="AJ129">
        <v>0</v>
      </c>
    </row>
    <row r="130" spans="2:36" x14ac:dyDescent="0.3">
      <c r="B130" s="28"/>
      <c r="C130" t="s">
        <v>1670</v>
      </c>
      <c r="D130" t="s">
        <v>1664</v>
      </c>
      <c r="E130" t="s">
        <v>825</v>
      </c>
      <c r="F130" t="s">
        <v>842</v>
      </c>
      <c r="G130" t="s">
        <v>1671</v>
      </c>
      <c r="H130" t="s">
        <v>1823</v>
      </c>
      <c r="I130">
        <v>766.9</v>
      </c>
      <c r="J130">
        <v>1</v>
      </c>
      <c r="K130">
        <v>1.6</v>
      </c>
      <c r="L130">
        <v>0</v>
      </c>
      <c r="M130">
        <v>1.2</v>
      </c>
      <c r="N130" t="s">
        <v>278</v>
      </c>
      <c r="O130" t="s">
        <v>827</v>
      </c>
      <c r="P130">
        <v>1</v>
      </c>
      <c r="Q130">
        <v>1</v>
      </c>
      <c r="R130">
        <v>8.5000000000000006E-2</v>
      </c>
      <c r="S130">
        <v>0</v>
      </c>
      <c r="T130">
        <v>0</v>
      </c>
      <c r="U130">
        <v>0</v>
      </c>
      <c r="V130">
        <v>65</v>
      </c>
      <c r="W130">
        <v>8.5000000000000006E-2</v>
      </c>
      <c r="X130">
        <v>0</v>
      </c>
      <c r="Y130">
        <v>0</v>
      </c>
      <c r="Z130">
        <v>65</v>
      </c>
      <c r="AA130">
        <v>65</v>
      </c>
      <c r="AB130">
        <v>1</v>
      </c>
      <c r="AC130">
        <v>1</v>
      </c>
      <c r="AD130">
        <v>8.5000000000000006E-2</v>
      </c>
      <c r="AE130">
        <v>0</v>
      </c>
      <c r="AF130">
        <v>65</v>
      </c>
      <c r="AG130" t="s">
        <v>828</v>
      </c>
      <c r="AH130">
        <v>0</v>
      </c>
      <c r="AI130">
        <v>0</v>
      </c>
      <c r="AJ130">
        <v>0</v>
      </c>
    </row>
    <row r="131" spans="2:36" x14ac:dyDescent="0.3">
      <c r="B131" s="28"/>
      <c r="C131" t="s">
        <v>1672</v>
      </c>
      <c r="D131" t="s">
        <v>1664</v>
      </c>
      <c r="E131" t="s">
        <v>825</v>
      </c>
      <c r="F131" t="s">
        <v>842</v>
      </c>
      <c r="G131" t="s">
        <v>1673</v>
      </c>
      <c r="H131" t="s">
        <v>1824</v>
      </c>
      <c r="I131">
        <v>1214.9000000000001</v>
      </c>
      <c r="J131">
        <v>1</v>
      </c>
      <c r="K131">
        <v>1.6</v>
      </c>
      <c r="L131">
        <v>0</v>
      </c>
      <c r="M131">
        <v>1.9</v>
      </c>
      <c r="N131" t="s">
        <v>278</v>
      </c>
      <c r="O131" t="s">
        <v>827</v>
      </c>
      <c r="P131">
        <v>1</v>
      </c>
      <c r="Q131">
        <v>1</v>
      </c>
      <c r="R131">
        <v>8.5000000000000006E-2</v>
      </c>
      <c r="S131">
        <v>0</v>
      </c>
      <c r="T131">
        <v>0</v>
      </c>
      <c r="U131">
        <v>0</v>
      </c>
      <c r="V131">
        <v>103</v>
      </c>
      <c r="W131">
        <v>8.5000000000000006E-2</v>
      </c>
      <c r="X131">
        <v>0</v>
      </c>
      <c r="Y131">
        <v>0</v>
      </c>
      <c r="Z131">
        <v>103</v>
      </c>
      <c r="AA131">
        <v>103</v>
      </c>
      <c r="AB131">
        <v>1</v>
      </c>
      <c r="AC131">
        <v>1</v>
      </c>
      <c r="AD131">
        <v>8.5000000000000006E-2</v>
      </c>
      <c r="AE131">
        <v>0</v>
      </c>
      <c r="AF131">
        <v>103</v>
      </c>
      <c r="AG131" t="s">
        <v>828</v>
      </c>
      <c r="AH131">
        <v>0</v>
      </c>
      <c r="AI131">
        <v>0</v>
      </c>
      <c r="AJ131">
        <v>0</v>
      </c>
    </row>
    <row r="132" spans="2:36" x14ac:dyDescent="0.3">
      <c r="B132" s="28"/>
      <c r="C132" t="s">
        <v>1674</v>
      </c>
      <c r="D132" t="s">
        <v>1664</v>
      </c>
      <c r="E132" t="s">
        <v>844</v>
      </c>
      <c r="F132" t="s">
        <v>841</v>
      </c>
      <c r="G132" t="s">
        <v>1665</v>
      </c>
      <c r="H132" t="s">
        <v>1815</v>
      </c>
      <c r="I132">
        <v>192</v>
      </c>
      <c r="J132">
        <v>1</v>
      </c>
      <c r="K132">
        <v>10</v>
      </c>
      <c r="L132">
        <v>10</v>
      </c>
      <c r="M132">
        <v>1</v>
      </c>
      <c r="N132" t="s">
        <v>278</v>
      </c>
      <c r="O132" t="s">
        <v>827</v>
      </c>
      <c r="P132">
        <v>1</v>
      </c>
      <c r="Q132">
        <v>1</v>
      </c>
      <c r="R132">
        <v>0</v>
      </c>
      <c r="S132">
        <v>0</v>
      </c>
      <c r="T132">
        <v>0</v>
      </c>
      <c r="U132">
        <v>0</v>
      </c>
      <c r="V132">
        <v>0</v>
      </c>
      <c r="W132">
        <v>0</v>
      </c>
      <c r="X132">
        <v>0</v>
      </c>
      <c r="Y132">
        <v>0</v>
      </c>
      <c r="Z132">
        <v>0</v>
      </c>
      <c r="AA132">
        <v>0</v>
      </c>
      <c r="AB132">
        <v>0.20399999999999999</v>
      </c>
      <c r="AC132">
        <v>1</v>
      </c>
      <c r="AD132">
        <v>0.36199999999999999</v>
      </c>
      <c r="AE132">
        <v>0</v>
      </c>
      <c r="AF132">
        <v>0</v>
      </c>
      <c r="AG132" t="s">
        <v>828</v>
      </c>
      <c r="AH132">
        <v>0</v>
      </c>
      <c r="AI132">
        <v>0</v>
      </c>
      <c r="AJ132">
        <v>0</v>
      </c>
    </row>
    <row r="133" spans="2:36" x14ac:dyDescent="0.3">
      <c r="B133" s="28"/>
      <c r="C133" t="s">
        <v>1675</v>
      </c>
      <c r="D133" t="s">
        <v>1664</v>
      </c>
      <c r="E133" t="s">
        <v>825</v>
      </c>
      <c r="F133" t="s">
        <v>836</v>
      </c>
      <c r="G133" t="s">
        <v>1665</v>
      </c>
      <c r="H133" t="s">
        <v>1815</v>
      </c>
      <c r="I133">
        <v>1020.2</v>
      </c>
      <c r="J133">
        <v>1</v>
      </c>
      <c r="K133">
        <v>10</v>
      </c>
      <c r="L133">
        <v>10</v>
      </c>
      <c r="M133">
        <v>5.0999999999999996</v>
      </c>
      <c r="N133" t="s">
        <v>278</v>
      </c>
      <c r="O133" t="s">
        <v>827</v>
      </c>
      <c r="P133">
        <v>1</v>
      </c>
      <c r="Q133">
        <v>1</v>
      </c>
      <c r="R133">
        <v>0.18</v>
      </c>
      <c r="S133">
        <v>0</v>
      </c>
      <c r="T133">
        <v>0</v>
      </c>
      <c r="U133">
        <v>0</v>
      </c>
      <c r="V133">
        <v>600</v>
      </c>
      <c r="W133">
        <v>0.12</v>
      </c>
      <c r="X133">
        <v>0</v>
      </c>
      <c r="Y133">
        <v>0</v>
      </c>
      <c r="Z133">
        <v>122</v>
      </c>
      <c r="AA133">
        <v>122</v>
      </c>
      <c r="AB133">
        <v>0.20399999999999999</v>
      </c>
      <c r="AC133">
        <v>1</v>
      </c>
      <c r="AD133">
        <v>0.36199999999999999</v>
      </c>
      <c r="AE133">
        <v>0</v>
      </c>
      <c r="AF133">
        <v>0</v>
      </c>
      <c r="AG133" t="s">
        <v>828</v>
      </c>
      <c r="AH133">
        <v>0</v>
      </c>
      <c r="AI133">
        <v>0</v>
      </c>
      <c r="AJ133">
        <v>0</v>
      </c>
    </row>
    <row r="134" spans="2:36" x14ac:dyDescent="0.3">
      <c r="B134" s="28"/>
      <c r="C134" t="s">
        <v>1676</v>
      </c>
      <c r="D134" t="s">
        <v>1664</v>
      </c>
      <c r="E134" t="s">
        <v>825</v>
      </c>
      <c r="F134" t="s">
        <v>842</v>
      </c>
      <c r="G134" t="s">
        <v>1677</v>
      </c>
      <c r="H134" t="s">
        <v>1825</v>
      </c>
      <c r="I134">
        <v>6691.7</v>
      </c>
      <c r="J134">
        <v>1</v>
      </c>
      <c r="K134">
        <v>1.6</v>
      </c>
      <c r="L134">
        <v>0</v>
      </c>
      <c r="M134">
        <v>10.4</v>
      </c>
      <c r="N134" t="s">
        <v>278</v>
      </c>
      <c r="O134" t="s">
        <v>827</v>
      </c>
      <c r="P134">
        <v>1</v>
      </c>
      <c r="Q134">
        <v>1</v>
      </c>
      <c r="R134">
        <v>8.5000000000000006E-2</v>
      </c>
      <c r="S134">
        <v>0</v>
      </c>
      <c r="T134">
        <v>0</v>
      </c>
      <c r="U134">
        <v>0</v>
      </c>
      <c r="V134">
        <v>569</v>
      </c>
      <c r="W134">
        <v>8.5000000000000006E-2</v>
      </c>
      <c r="X134">
        <v>0</v>
      </c>
      <c r="Y134">
        <v>0</v>
      </c>
      <c r="Z134">
        <v>569</v>
      </c>
      <c r="AA134">
        <v>569</v>
      </c>
      <c r="AB134">
        <v>1</v>
      </c>
      <c r="AC134">
        <v>1</v>
      </c>
      <c r="AD134">
        <v>8.5000000000000006E-2</v>
      </c>
      <c r="AE134">
        <v>0</v>
      </c>
      <c r="AF134">
        <v>569</v>
      </c>
      <c r="AG134" t="s">
        <v>828</v>
      </c>
      <c r="AH134">
        <v>0</v>
      </c>
      <c r="AI134">
        <v>0</v>
      </c>
      <c r="AJ134">
        <v>0</v>
      </c>
    </row>
    <row r="135" spans="2:36" x14ac:dyDescent="0.3">
      <c r="B135" s="28"/>
      <c r="C135" t="s">
        <v>1678</v>
      </c>
      <c r="D135" t="s">
        <v>1664</v>
      </c>
      <c r="E135" t="s">
        <v>825</v>
      </c>
      <c r="F135" t="s">
        <v>842</v>
      </c>
      <c r="G135" t="s">
        <v>1679</v>
      </c>
      <c r="H135" t="s">
        <v>1826</v>
      </c>
      <c r="I135">
        <v>6643</v>
      </c>
      <c r="J135">
        <v>1</v>
      </c>
      <c r="K135">
        <v>1.6</v>
      </c>
      <c r="L135">
        <v>0</v>
      </c>
      <c r="M135">
        <v>10.4</v>
      </c>
      <c r="N135" t="s">
        <v>278</v>
      </c>
      <c r="O135" t="s">
        <v>827</v>
      </c>
      <c r="P135">
        <v>1</v>
      </c>
      <c r="Q135">
        <v>1</v>
      </c>
      <c r="R135">
        <v>8.5000000000000006E-2</v>
      </c>
      <c r="S135">
        <v>0</v>
      </c>
      <c r="T135">
        <v>0</v>
      </c>
      <c r="U135">
        <v>0</v>
      </c>
      <c r="V135">
        <v>565</v>
      </c>
      <c r="W135">
        <v>8.5000000000000006E-2</v>
      </c>
      <c r="X135">
        <v>0</v>
      </c>
      <c r="Y135">
        <v>0</v>
      </c>
      <c r="Z135">
        <v>565</v>
      </c>
      <c r="AA135">
        <v>565</v>
      </c>
      <c r="AB135">
        <v>1</v>
      </c>
      <c r="AC135">
        <v>1</v>
      </c>
      <c r="AD135">
        <v>8.5000000000000006E-2</v>
      </c>
      <c r="AE135">
        <v>0</v>
      </c>
      <c r="AF135">
        <v>565</v>
      </c>
      <c r="AG135" t="s">
        <v>828</v>
      </c>
      <c r="AH135">
        <v>0</v>
      </c>
      <c r="AI135">
        <v>0</v>
      </c>
      <c r="AJ135">
        <v>0</v>
      </c>
    </row>
    <row r="136" spans="2:36" x14ac:dyDescent="0.3">
      <c r="B136" s="28"/>
      <c r="C136" t="s">
        <v>1680</v>
      </c>
      <c r="D136" t="s">
        <v>1681</v>
      </c>
      <c r="E136" t="s">
        <v>825</v>
      </c>
      <c r="F136" t="s">
        <v>842</v>
      </c>
      <c r="G136" t="s">
        <v>1682</v>
      </c>
      <c r="H136" t="s">
        <v>1827</v>
      </c>
      <c r="I136">
        <v>1167.5</v>
      </c>
      <c r="J136">
        <v>2</v>
      </c>
      <c r="K136">
        <v>1.6</v>
      </c>
      <c r="L136">
        <v>0</v>
      </c>
      <c r="M136">
        <v>1.8</v>
      </c>
      <c r="N136" t="s">
        <v>278</v>
      </c>
      <c r="O136" t="s">
        <v>827</v>
      </c>
      <c r="P136">
        <v>1</v>
      </c>
      <c r="Q136">
        <v>1</v>
      </c>
      <c r="R136">
        <v>8.5000000000000006E-2</v>
      </c>
      <c r="S136">
        <v>0</v>
      </c>
      <c r="T136">
        <v>0</v>
      </c>
      <c r="U136">
        <v>0</v>
      </c>
      <c r="V136">
        <v>99</v>
      </c>
      <c r="W136">
        <v>8.5000000000000006E-2</v>
      </c>
      <c r="X136">
        <v>0</v>
      </c>
      <c r="Y136">
        <v>0</v>
      </c>
      <c r="Z136">
        <v>99</v>
      </c>
      <c r="AA136">
        <v>99</v>
      </c>
      <c r="AB136">
        <v>1</v>
      </c>
      <c r="AC136">
        <v>1</v>
      </c>
      <c r="AD136">
        <v>8.5000000000000006E-2</v>
      </c>
      <c r="AE136">
        <v>0</v>
      </c>
      <c r="AF136">
        <v>99</v>
      </c>
      <c r="AG136" t="s">
        <v>828</v>
      </c>
      <c r="AH136">
        <v>0</v>
      </c>
      <c r="AI136">
        <v>0</v>
      </c>
      <c r="AJ136">
        <v>0</v>
      </c>
    </row>
    <row r="137" spans="2:36" x14ac:dyDescent="0.3">
      <c r="B137" s="28"/>
      <c r="C137" t="s">
        <v>1683</v>
      </c>
      <c r="D137" t="s">
        <v>1681</v>
      </c>
      <c r="E137" t="s">
        <v>825</v>
      </c>
      <c r="F137" t="s">
        <v>842</v>
      </c>
      <c r="G137" t="s">
        <v>1684</v>
      </c>
      <c r="H137" t="s">
        <v>1828</v>
      </c>
      <c r="I137">
        <v>766.9</v>
      </c>
      <c r="J137">
        <v>2</v>
      </c>
      <c r="K137">
        <v>1.6</v>
      </c>
      <c r="L137">
        <v>0</v>
      </c>
      <c r="M137">
        <v>1.2</v>
      </c>
      <c r="N137" t="s">
        <v>278</v>
      </c>
      <c r="O137" t="s">
        <v>827</v>
      </c>
      <c r="P137">
        <v>1</v>
      </c>
      <c r="Q137">
        <v>1</v>
      </c>
      <c r="R137">
        <v>8.5000000000000006E-2</v>
      </c>
      <c r="S137">
        <v>0</v>
      </c>
      <c r="T137">
        <v>0</v>
      </c>
      <c r="U137">
        <v>0</v>
      </c>
      <c r="V137">
        <v>65</v>
      </c>
      <c r="W137">
        <v>8.5000000000000006E-2</v>
      </c>
      <c r="X137">
        <v>0</v>
      </c>
      <c r="Y137">
        <v>0</v>
      </c>
      <c r="Z137">
        <v>65</v>
      </c>
      <c r="AA137">
        <v>65</v>
      </c>
      <c r="AB137">
        <v>1</v>
      </c>
      <c r="AC137">
        <v>1</v>
      </c>
      <c r="AD137">
        <v>8.5000000000000006E-2</v>
      </c>
      <c r="AE137">
        <v>0</v>
      </c>
      <c r="AF137">
        <v>65</v>
      </c>
      <c r="AG137" t="s">
        <v>828</v>
      </c>
      <c r="AH137">
        <v>0</v>
      </c>
      <c r="AI137">
        <v>0</v>
      </c>
      <c r="AJ137">
        <v>0</v>
      </c>
    </row>
    <row r="138" spans="2:36" x14ac:dyDescent="0.3">
      <c r="B138" s="28"/>
      <c r="C138" t="s">
        <v>1685</v>
      </c>
      <c r="D138" t="s">
        <v>1681</v>
      </c>
      <c r="E138" t="s">
        <v>825</v>
      </c>
      <c r="F138" t="s">
        <v>842</v>
      </c>
      <c r="G138" t="s">
        <v>1686</v>
      </c>
      <c r="H138" t="s">
        <v>1829</v>
      </c>
      <c r="I138">
        <v>1214.9000000000001</v>
      </c>
      <c r="J138">
        <v>2</v>
      </c>
      <c r="K138">
        <v>1.6</v>
      </c>
      <c r="L138">
        <v>0</v>
      </c>
      <c r="M138">
        <v>1.9</v>
      </c>
      <c r="N138" t="s">
        <v>278</v>
      </c>
      <c r="O138" t="s">
        <v>827</v>
      </c>
      <c r="P138">
        <v>1</v>
      </c>
      <c r="Q138">
        <v>1</v>
      </c>
      <c r="R138">
        <v>8.5000000000000006E-2</v>
      </c>
      <c r="S138">
        <v>0</v>
      </c>
      <c r="T138">
        <v>0</v>
      </c>
      <c r="U138">
        <v>0</v>
      </c>
      <c r="V138">
        <v>103</v>
      </c>
      <c r="W138">
        <v>8.5000000000000006E-2</v>
      </c>
      <c r="X138">
        <v>0</v>
      </c>
      <c r="Y138">
        <v>0</v>
      </c>
      <c r="Z138">
        <v>103</v>
      </c>
      <c r="AA138">
        <v>103</v>
      </c>
      <c r="AB138">
        <v>1</v>
      </c>
      <c r="AC138">
        <v>1</v>
      </c>
      <c r="AD138">
        <v>8.5000000000000006E-2</v>
      </c>
      <c r="AE138">
        <v>0</v>
      </c>
      <c r="AF138">
        <v>103</v>
      </c>
      <c r="AG138" t="s">
        <v>828</v>
      </c>
      <c r="AH138">
        <v>0</v>
      </c>
      <c r="AI138">
        <v>0</v>
      </c>
      <c r="AJ138">
        <v>0</v>
      </c>
    </row>
    <row r="139" spans="2:36" x14ac:dyDescent="0.3">
      <c r="B139" s="28"/>
      <c r="C139" t="s">
        <v>1687</v>
      </c>
      <c r="D139" t="s">
        <v>1681</v>
      </c>
      <c r="E139" t="s">
        <v>825</v>
      </c>
      <c r="F139" t="s">
        <v>841</v>
      </c>
      <c r="G139" t="s">
        <v>1688</v>
      </c>
      <c r="H139" t="s">
        <v>1815</v>
      </c>
      <c r="I139">
        <v>192</v>
      </c>
      <c r="J139">
        <v>2</v>
      </c>
      <c r="K139">
        <v>10</v>
      </c>
      <c r="L139">
        <v>10</v>
      </c>
      <c r="M139">
        <v>1</v>
      </c>
      <c r="N139" t="s">
        <v>278</v>
      </c>
      <c r="O139" t="s">
        <v>827</v>
      </c>
      <c r="P139">
        <v>1</v>
      </c>
      <c r="Q139">
        <v>1</v>
      </c>
      <c r="R139">
        <v>0</v>
      </c>
      <c r="S139">
        <v>0</v>
      </c>
      <c r="T139">
        <v>0</v>
      </c>
      <c r="U139">
        <v>0</v>
      </c>
      <c r="V139">
        <v>0</v>
      </c>
      <c r="W139">
        <v>0</v>
      </c>
      <c r="X139">
        <v>0</v>
      </c>
      <c r="Y139">
        <v>0</v>
      </c>
      <c r="Z139">
        <v>0</v>
      </c>
      <c r="AA139">
        <v>0</v>
      </c>
      <c r="AB139">
        <v>0.20399999999999999</v>
      </c>
      <c r="AC139">
        <v>1</v>
      </c>
      <c r="AD139">
        <v>0.36199999999999999</v>
      </c>
      <c r="AE139">
        <v>0</v>
      </c>
      <c r="AF139">
        <v>0</v>
      </c>
      <c r="AG139" t="s">
        <v>828</v>
      </c>
      <c r="AH139">
        <v>0</v>
      </c>
      <c r="AI139">
        <v>0</v>
      </c>
      <c r="AJ139">
        <v>0</v>
      </c>
    </row>
    <row r="140" spans="2:36" x14ac:dyDescent="0.3">
      <c r="B140" s="28"/>
      <c r="C140" t="s">
        <v>1689</v>
      </c>
      <c r="D140" t="s">
        <v>1681</v>
      </c>
      <c r="E140" t="s">
        <v>825</v>
      </c>
      <c r="F140" t="s">
        <v>836</v>
      </c>
      <c r="G140" t="s">
        <v>1688</v>
      </c>
      <c r="H140" t="s">
        <v>1815</v>
      </c>
      <c r="I140">
        <v>1020.2</v>
      </c>
      <c r="J140">
        <v>2</v>
      </c>
      <c r="K140">
        <v>10</v>
      </c>
      <c r="L140">
        <v>10</v>
      </c>
      <c r="M140">
        <v>5.0999999999999996</v>
      </c>
      <c r="N140" t="s">
        <v>278</v>
      </c>
      <c r="O140" t="s">
        <v>827</v>
      </c>
      <c r="P140">
        <v>1</v>
      </c>
      <c r="Q140">
        <v>1</v>
      </c>
      <c r="R140">
        <v>0.18</v>
      </c>
      <c r="S140">
        <v>0</v>
      </c>
      <c r="T140">
        <v>0</v>
      </c>
      <c r="U140">
        <v>0</v>
      </c>
      <c r="V140">
        <v>600</v>
      </c>
      <c r="W140">
        <v>0.12</v>
      </c>
      <c r="X140">
        <v>0</v>
      </c>
      <c r="Y140">
        <v>0</v>
      </c>
      <c r="Z140">
        <v>122</v>
      </c>
      <c r="AA140">
        <v>122</v>
      </c>
      <c r="AB140">
        <v>0.20399999999999999</v>
      </c>
      <c r="AC140">
        <v>1</v>
      </c>
      <c r="AD140">
        <v>0.36199999999999999</v>
      </c>
      <c r="AE140">
        <v>0</v>
      </c>
      <c r="AF140">
        <v>0</v>
      </c>
      <c r="AG140" t="s">
        <v>828</v>
      </c>
      <c r="AH140">
        <v>0</v>
      </c>
      <c r="AI140">
        <v>0</v>
      </c>
      <c r="AJ140">
        <v>0</v>
      </c>
    </row>
    <row r="141" spans="2:36" x14ac:dyDescent="0.3">
      <c r="B141" s="28"/>
      <c r="C141" t="s">
        <v>1690</v>
      </c>
      <c r="D141" t="s">
        <v>1681</v>
      </c>
      <c r="E141" t="s">
        <v>825</v>
      </c>
      <c r="F141" t="s">
        <v>842</v>
      </c>
      <c r="G141" t="s">
        <v>1691</v>
      </c>
      <c r="H141" t="s">
        <v>1830</v>
      </c>
      <c r="I141">
        <v>5011.2</v>
      </c>
      <c r="J141">
        <v>2</v>
      </c>
      <c r="K141">
        <v>1.6</v>
      </c>
      <c r="L141">
        <v>0</v>
      </c>
      <c r="M141">
        <v>7.8</v>
      </c>
      <c r="N141" t="s">
        <v>278</v>
      </c>
      <c r="O141" t="s">
        <v>827</v>
      </c>
      <c r="P141">
        <v>1</v>
      </c>
      <c r="Q141">
        <v>1</v>
      </c>
      <c r="R141">
        <v>8.5000000000000006E-2</v>
      </c>
      <c r="S141">
        <v>0</v>
      </c>
      <c r="T141">
        <v>0</v>
      </c>
      <c r="U141">
        <v>0</v>
      </c>
      <c r="V141">
        <v>426</v>
      </c>
      <c r="W141">
        <v>8.5000000000000006E-2</v>
      </c>
      <c r="X141">
        <v>0</v>
      </c>
      <c r="Y141">
        <v>0</v>
      </c>
      <c r="Z141">
        <v>426</v>
      </c>
      <c r="AA141">
        <v>426</v>
      </c>
      <c r="AB141">
        <v>1</v>
      </c>
      <c r="AC141">
        <v>1</v>
      </c>
      <c r="AD141">
        <v>8.5000000000000006E-2</v>
      </c>
      <c r="AE141">
        <v>0</v>
      </c>
      <c r="AF141">
        <v>426</v>
      </c>
      <c r="AG141" t="s">
        <v>828</v>
      </c>
      <c r="AH141">
        <v>0</v>
      </c>
      <c r="AI141">
        <v>0</v>
      </c>
      <c r="AJ141">
        <v>0</v>
      </c>
    </row>
    <row r="142" spans="2:36" x14ac:dyDescent="0.3">
      <c r="B142" s="28"/>
      <c r="C142" t="s">
        <v>1692</v>
      </c>
      <c r="D142" t="s">
        <v>1681</v>
      </c>
      <c r="E142" t="s">
        <v>825</v>
      </c>
      <c r="F142" t="s">
        <v>842</v>
      </c>
      <c r="G142" t="s">
        <v>1693</v>
      </c>
      <c r="H142" t="s">
        <v>1831</v>
      </c>
      <c r="I142">
        <v>5477</v>
      </c>
      <c r="J142">
        <v>2</v>
      </c>
      <c r="K142">
        <v>1.6</v>
      </c>
      <c r="L142">
        <v>0</v>
      </c>
      <c r="M142">
        <v>8.5</v>
      </c>
      <c r="N142" t="s">
        <v>278</v>
      </c>
      <c r="O142" t="s">
        <v>827</v>
      </c>
      <c r="P142">
        <v>1</v>
      </c>
      <c r="Q142">
        <v>1</v>
      </c>
      <c r="R142">
        <v>8.5000000000000006E-2</v>
      </c>
      <c r="S142">
        <v>0</v>
      </c>
      <c r="T142">
        <v>0</v>
      </c>
      <c r="U142">
        <v>0</v>
      </c>
      <c r="V142">
        <v>466</v>
      </c>
      <c r="W142">
        <v>8.5000000000000006E-2</v>
      </c>
      <c r="X142">
        <v>0</v>
      </c>
      <c r="Y142">
        <v>0</v>
      </c>
      <c r="Z142">
        <v>466</v>
      </c>
      <c r="AA142">
        <v>466</v>
      </c>
      <c r="AB142">
        <v>1</v>
      </c>
      <c r="AC142">
        <v>1</v>
      </c>
      <c r="AD142">
        <v>8.5000000000000006E-2</v>
      </c>
      <c r="AE142">
        <v>0</v>
      </c>
      <c r="AF142">
        <v>466</v>
      </c>
      <c r="AG142" t="s">
        <v>828</v>
      </c>
      <c r="AH142">
        <v>0</v>
      </c>
      <c r="AI142">
        <v>0</v>
      </c>
      <c r="AJ142">
        <v>0</v>
      </c>
    </row>
    <row r="143" spans="2:36" x14ac:dyDescent="0.3">
      <c r="B143" s="28"/>
      <c r="C143" t="s">
        <v>1694</v>
      </c>
      <c r="D143" t="s">
        <v>1681</v>
      </c>
      <c r="E143" t="s">
        <v>844</v>
      </c>
      <c r="F143" t="s">
        <v>834</v>
      </c>
      <c r="G143" t="s">
        <v>1688</v>
      </c>
      <c r="H143" t="s">
        <v>1815</v>
      </c>
      <c r="I143">
        <v>159.80000000000001</v>
      </c>
      <c r="J143">
        <v>2</v>
      </c>
      <c r="K143">
        <v>0</v>
      </c>
      <c r="L143">
        <v>0</v>
      </c>
      <c r="M143">
        <v>0</v>
      </c>
      <c r="N143" t="s">
        <v>278</v>
      </c>
      <c r="O143" t="s">
        <v>827</v>
      </c>
      <c r="P143">
        <v>1</v>
      </c>
      <c r="Q143">
        <v>1</v>
      </c>
      <c r="R143">
        <v>0</v>
      </c>
      <c r="S143">
        <v>0</v>
      </c>
      <c r="T143">
        <v>0</v>
      </c>
      <c r="U143">
        <v>0</v>
      </c>
      <c r="V143">
        <v>0</v>
      </c>
      <c r="W143">
        <v>0</v>
      </c>
      <c r="X143">
        <v>0</v>
      </c>
      <c r="Y143">
        <v>0</v>
      </c>
      <c r="Z143">
        <v>0</v>
      </c>
      <c r="AA143">
        <v>0</v>
      </c>
      <c r="AB143">
        <v>1</v>
      </c>
      <c r="AC143">
        <v>1</v>
      </c>
      <c r="AD143">
        <v>0.36199999999999999</v>
      </c>
      <c r="AE143">
        <v>0</v>
      </c>
      <c r="AF143">
        <v>0</v>
      </c>
      <c r="AG143" t="s">
        <v>828</v>
      </c>
      <c r="AH143">
        <v>0</v>
      </c>
      <c r="AI143">
        <v>0</v>
      </c>
      <c r="AJ143">
        <v>0</v>
      </c>
    </row>
    <row r="144" spans="2:36" x14ac:dyDescent="0.3">
      <c r="B144" s="28"/>
      <c r="C144" t="s">
        <v>1695</v>
      </c>
      <c r="D144" t="s">
        <v>1681</v>
      </c>
      <c r="E144" t="s">
        <v>825</v>
      </c>
      <c r="F144" t="s">
        <v>560</v>
      </c>
      <c r="G144" t="s">
        <v>1688</v>
      </c>
      <c r="H144" t="s">
        <v>1815</v>
      </c>
      <c r="I144">
        <v>65.7</v>
      </c>
      <c r="J144">
        <v>2</v>
      </c>
      <c r="K144">
        <v>3</v>
      </c>
      <c r="L144">
        <v>3</v>
      </c>
      <c r="M144">
        <v>0.1</v>
      </c>
      <c r="N144" t="s">
        <v>278</v>
      </c>
      <c r="O144" t="s">
        <v>827</v>
      </c>
      <c r="P144">
        <v>1</v>
      </c>
      <c r="Q144">
        <v>1</v>
      </c>
      <c r="R144">
        <v>0</v>
      </c>
      <c r="S144">
        <v>0</v>
      </c>
      <c r="T144">
        <v>0</v>
      </c>
      <c r="U144">
        <v>0</v>
      </c>
      <c r="V144">
        <v>0</v>
      </c>
      <c r="W144">
        <v>0</v>
      </c>
      <c r="X144">
        <v>0</v>
      </c>
      <c r="Y144">
        <v>0</v>
      </c>
      <c r="Z144">
        <v>0</v>
      </c>
      <c r="AA144">
        <v>0</v>
      </c>
      <c r="AB144">
        <v>0.20399999999999999</v>
      </c>
      <c r="AC144">
        <v>1</v>
      </c>
      <c r="AD144">
        <v>0.36199999999999999</v>
      </c>
      <c r="AE144">
        <v>0</v>
      </c>
      <c r="AF144">
        <v>0</v>
      </c>
      <c r="AG144" t="s">
        <v>828</v>
      </c>
      <c r="AH144">
        <v>0</v>
      </c>
      <c r="AI144">
        <v>0</v>
      </c>
      <c r="AJ144">
        <v>0</v>
      </c>
    </row>
    <row r="145" spans="2:36" x14ac:dyDescent="0.3">
      <c r="B145" s="28"/>
      <c r="C145" t="s">
        <v>1696</v>
      </c>
      <c r="D145" t="s">
        <v>1681</v>
      </c>
      <c r="E145" t="s">
        <v>825</v>
      </c>
      <c r="F145" t="s">
        <v>841</v>
      </c>
      <c r="G145" t="s">
        <v>1688</v>
      </c>
      <c r="H145" t="s">
        <v>1815</v>
      </c>
      <c r="I145">
        <v>218.5</v>
      </c>
      <c r="J145">
        <v>2</v>
      </c>
      <c r="K145">
        <v>10</v>
      </c>
      <c r="L145">
        <v>10</v>
      </c>
      <c r="M145">
        <v>1.1000000000000001</v>
      </c>
      <c r="N145" t="s">
        <v>278</v>
      </c>
      <c r="O145" t="s">
        <v>827</v>
      </c>
      <c r="P145">
        <v>1</v>
      </c>
      <c r="Q145">
        <v>1</v>
      </c>
      <c r="R145">
        <v>0</v>
      </c>
      <c r="S145">
        <v>0</v>
      </c>
      <c r="T145">
        <v>0</v>
      </c>
      <c r="U145">
        <v>0</v>
      </c>
      <c r="V145">
        <v>0</v>
      </c>
      <c r="W145">
        <v>0</v>
      </c>
      <c r="X145">
        <v>0</v>
      </c>
      <c r="Y145">
        <v>0</v>
      </c>
      <c r="Z145">
        <v>0</v>
      </c>
      <c r="AA145">
        <v>0</v>
      </c>
      <c r="AB145">
        <v>0.20399999999999999</v>
      </c>
      <c r="AC145">
        <v>1</v>
      </c>
      <c r="AD145">
        <v>0.36199999999999999</v>
      </c>
      <c r="AE145">
        <v>0</v>
      </c>
      <c r="AF145">
        <v>0</v>
      </c>
      <c r="AG145" t="s">
        <v>828</v>
      </c>
      <c r="AH145">
        <v>0</v>
      </c>
      <c r="AI145">
        <v>0</v>
      </c>
      <c r="AJ145">
        <v>0</v>
      </c>
    </row>
    <row r="146" spans="2:36" x14ac:dyDescent="0.3">
      <c r="B146" s="28"/>
      <c r="C146" t="s">
        <v>1697</v>
      </c>
      <c r="D146" t="s">
        <v>1681</v>
      </c>
      <c r="E146" t="s">
        <v>825</v>
      </c>
      <c r="F146" t="s">
        <v>842</v>
      </c>
      <c r="G146" t="s">
        <v>1698</v>
      </c>
      <c r="H146" t="s">
        <v>1832</v>
      </c>
      <c r="I146">
        <v>1680.5</v>
      </c>
      <c r="J146">
        <v>2</v>
      </c>
      <c r="K146">
        <v>1.6</v>
      </c>
      <c r="L146">
        <v>0</v>
      </c>
      <c r="M146">
        <v>2.6</v>
      </c>
      <c r="N146" t="s">
        <v>278</v>
      </c>
      <c r="O146" t="s">
        <v>827</v>
      </c>
      <c r="P146">
        <v>1</v>
      </c>
      <c r="Q146">
        <v>1</v>
      </c>
      <c r="R146">
        <v>8.5000000000000006E-2</v>
      </c>
      <c r="S146">
        <v>0</v>
      </c>
      <c r="T146">
        <v>0</v>
      </c>
      <c r="U146">
        <v>0</v>
      </c>
      <c r="V146">
        <v>143</v>
      </c>
      <c r="W146">
        <v>8.5000000000000006E-2</v>
      </c>
      <c r="X146">
        <v>0</v>
      </c>
      <c r="Y146">
        <v>0</v>
      </c>
      <c r="Z146">
        <v>143</v>
      </c>
      <c r="AA146">
        <v>143</v>
      </c>
      <c r="AB146">
        <v>1</v>
      </c>
      <c r="AC146">
        <v>1</v>
      </c>
      <c r="AD146">
        <v>8.5000000000000006E-2</v>
      </c>
      <c r="AE146">
        <v>0</v>
      </c>
      <c r="AF146">
        <v>143</v>
      </c>
      <c r="AG146" t="s">
        <v>828</v>
      </c>
      <c r="AH146">
        <v>0</v>
      </c>
      <c r="AI146">
        <v>0</v>
      </c>
      <c r="AJ146">
        <v>0</v>
      </c>
    </row>
    <row r="147" spans="2:36" x14ac:dyDescent="0.3">
      <c r="B147" s="28"/>
      <c r="C147" t="s">
        <v>1699</v>
      </c>
      <c r="D147" t="s">
        <v>1681</v>
      </c>
      <c r="E147" t="s">
        <v>825</v>
      </c>
      <c r="F147" t="s">
        <v>842</v>
      </c>
      <c r="G147" t="s">
        <v>1700</v>
      </c>
      <c r="H147" t="s">
        <v>1833</v>
      </c>
      <c r="I147">
        <v>1166</v>
      </c>
      <c r="J147">
        <v>2</v>
      </c>
      <c r="K147">
        <v>1.6</v>
      </c>
      <c r="L147">
        <v>0</v>
      </c>
      <c r="M147">
        <v>1.8</v>
      </c>
      <c r="N147" t="s">
        <v>278</v>
      </c>
      <c r="O147" t="s">
        <v>827</v>
      </c>
      <c r="P147">
        <v>1</v>
      </c>
      <c r="Q147">
        <v>1</v>
      </c>
      <c r="R147">
        <v>8.5000000000000006E-2</v>
      </c>
      <c r="S147">
        <v>0</v>
      </c>
      <c r="T147">
        <v>0</v>
      </c>
      <c r="U147">
        <v>0</v>
      </c>
      <c r="V147">
        <v>99</v>
      </c>
      <c r="W147">
        <v>8.5000000000000006E-2</v>
      </c>
      <c r="X147">
        <v>0</v>
      </c>
      <c r="Y147">
        <v>0</v>
      </c>
      <c r="Z147">
        <v>99</v>
      </c>
      <c r="AA147">
        <v>99</v>
      </c>
      <c r="AB147">
        <v>1</v>
      </c>
      <c r="AC147">
        <v>1</v>
      </c>
      <c r="AD147">
        <v>8.5000000000000006E-2</v>
      </c>
      <c r="AE147">
        <v>0</v>
      </c>
      <c r="AF147">
        <v>99</v>
      </c>
      <c r="AG147" t="s">
        <v>828</v>
      </c>
      <c r="AH147">
        <v>0</v>
      </c>
      <c r="AI147">
        <v>0</v>
      </c>
      <c r="AJ147">
        <v>0</v>
      </c>
    </row>
    <row r="148" spans="2:36" x14ac:dyDescent="0.3">
      <c r="B148" s="28"/>
      <c r="C148" t="s">
        <v>1701</v>
      </c>
      <c r="D148" t="s">
        <v>1702</v>
      </c>
      <c r="E148" t="s">
        <v>825</v>
      </c>
      <c r="F148" t="s">
        <v>842</v>
      </c>
      <c r="G148" t="s">
        <v>1703</v>
      </c>
      <c r="H148" t="s">
        <v>1834</v>
      </c>
      <c r="I148">
        <v>1167.5</v>
      </c>
      <c r="J148">
        <v>1</v>
      </c>
      <c r="K148">
        <v>1.6</v>
      </c>
      <c r="L148">
        <v>0</v>
      </c>
      <c r="M148">
        <v>1.8</v>
      </c>
      <c r="N148" t="s">
        <v>278</v>
      </c>
      <c r="O148" t="s">
        <v>827</v>
      </c>
      <c r="P148">
        <v>1</v>
      </c>
      <c r="Q148">
        <v>1</v>
      </c>
      <c r="R148">
        <v>8.5000000000000006E-2</v>
      </c>
      <c r="S148">
        <v>0</v>
      </c>
      <c r="T148">
        <v>0</v>
      </c>
      <c r="U148">
        <v>0</v>
      </c>
      <c r="V148">
        <v>99</v>
      </c>
      <c r="W148">
        <v>8.5000000000000006E-2</v>
      </c>
      <c r="X148">
        <v>0</v>
      </c>
      <c r="Y148">
        <v>0</v>
      </c>
      <c r="Z148">
        <v>99</v>
      </c>
      <c r="AA148">
        <v>99</v>
      </c>
      <c r="AB148">
        <v>1</v>
      </c>
      <c r="AC148">
        <v>1</v>
      </c>
      <c r="AD148">
        <v>8.5000000000000006E-2</v>
      </c>
      <c r="AE148">
        <v>0</v>
      </c>
      <c r="AF148">
        <v>99</v>
      </c>
      <c r="AG148" t="s">
        <v>828</v>
      </c>
      <c r="AH148">
        <v>0</v>
      </c>
      <c r="AI148">
        <v>0</v>
      </c>
      <c r="AJ148">
        <v>0</v>
      </c>
    </row>
    <row r="149" spans="2:36" x14ac:dyDescent="0.3">
      <c r="B149" s="28"/>
      <c r="C149" t="s">
        <v>1704</v>
      </c>
      <c r="D149" t="s">
        <v>1702</v>
      </c>
      <c r="E149" t="s">
        <v>825</v>
      </c>
      <c r="F149" t="s">
        <v>842</v>
      </c>
      <c r="G149" t="s">
        <v>1705</v>
      </c>
      <c r="H149" t="s">
        <v>1835</v>
      </c>
      <c r="I149">
        <v>766.9</v>
      </c>
      <c r="J149">
        <v>1</v>
      </c>
      <c r="K149">
        <v>1.6</v>
      </c>
      <c r="L149">
        <v>0</v>
      </c>
      <c r="M149">
        <v>1.2</v>
      </c>
      <c r="N149" t="s">
        <v>278</v>
      </c>
      <c r="O149" t="s">
        <v>827</v>
      </c>
      <c r="P149">
        <v>1</v>
      </c>
      <c r="Q149">
        <v>1</v>
      </c>
      <c r="R149">
        <v>8.5000000000000006E-2</v>
      </c>
      <c r="S149">
        <v>0</v>
      </c>
      <c r="T149">
        <v>0</v>
      </c>
      <c r="U149">
        <v>0</v>
      </c>
      <c r="V149">
        <v>65</v>
      </c>
      <c r="W149">
        <v>8.5000000000000006E-2</v>
      </c>
      <c r="X149">
        <v>0</v>
      </c>
      <c r="Y149">
        <v>0</v>
      </c>
      <c r="Z149">
        <v>65</v>
      </c>
      <c r="AA149">
        <v>65</v>
      </c>
      <c r="AB149">
        <v>1</v>
      </c>
      <c r="AC149">
        <v>1</v>
      </c>
      <c r="AD149">
        <v>8.5000000000000006E-2</v>
      </c>
      <c r="AE149">
        <v>0</v>
      </c>
      <c r="AF149">
        <v>65</v>
      </c>
      <c r="AG149" t="s">
        <v>828</v>
      </c>
      <c r="AH149">
        <v>0</v>
      </c>
      <c r="AI149">
        <v>0</v>
      </c>
      <c r="AJ149">
        <v>0</v>
      </c>
    </row>
    <row r="150" spans="2:36" x14ac:dyDescent="0.3">
      <c r="B150" s="28"/>
      <c r="C150" t="s">
        <v>1706</v>
      </c>
      <c r="D150" t="s">
        <v>1702</v>
      </c>
      <c r="E150" t="s">
        <v>825</v>
      </c>
      <c r="F150" t="s">
        <v>842</v>
      </c>
      <c r="G150" t="s">
        <v>1707</v>
      </c>
      <c r="H150" t="s">
        <v>1836</v>
      </c>
      <c r="I150">
        <v>1214.9000000000001</v>
      </c>
      <c r="J150">
        <v>1</v>
      </c>
      <c r="K150">
        <v>1.6</v>
      </c>
      <c r="L150">
        <v>0</v>
      </c>
      <c r="M150">
        <v>1.9</v>
      </c>
      <c r="N150" t="s">
        <v>278</v>
      </c>
      <c r="O150" t="s">
        <v>827</v>
      </c>
      <c r="P150">
        <v>1</v>
      </c>
      <c r="Q150">
        <v>1</v>
      </c>
      <c r="R150">
        <v>8.5000000000000006E-2</v>
      </c>
      <c r="S150">
        <v>0</v>
      </c>
      <c r="T150">
        <v>0</v>
      </c>
      <c r="U150">
        <v>0</v>
      </c>
      <c r="V150">
        <v>103</v>
      </c>
      <c r="W150">
        <v>8.5000000000000006E-2</v>
      </c>
      <c r="X150">
        <v>0</v>
      </c>
      <c r="Y150">
        <v>0</v>
      </c>
      <c r="Z150">
        <v>103</v>
      </c>
      <c r="AA150">
        <v>103</v>
      </c>
      <c r="AB150">
        <v>1</v>
      </c>
      <c r="AC150">
        <v>1</v>
      </c>
      <c r="AD150">
        <v>8.5000000000000006E-2</v>
      </c>
      <c r="AE150">
        <v>0</v>
      </c>
      <c r="AF150">
        <v>103</v>
      </c>
      <c r="AG150" t="s">
        <v>828</v>
      </c>
      <c r="AH150">
        <v>0</v>
      </c>
      <c r="AI150">
        <v>0</v>
      </c>
      <c r="AJ150">
        <v>0</v>
      </c>
    </row>
    <row r="151" spans="2:36" x14ac:dyDescent="0.3">
      <c r="B151" s="28"/>
      <c r="C151" t="s">
        <v>1708</v>
      </c>
      <c r="D151" t="s">
        <v>1702</v>
      </c>
      <c r="E151" t="s">
        <v>825</v>
      </c>
      <c r="F151" t="s">
        <v>841</v>
      </c>
      <c r="G151" t="s">
        <v>1709</v>
      </c>
      <c r="H151" t="s">
        <v>1815</v>
      </c>
      <c r="I151">
        <v>192</v>
      </c>
      <c r="J151">
        <v>1</v>
      </c>
      <c r="K151">
        <v>10</v>
      </c>
      <c r="L151">
        <v>10</v>
      </c>
      <c r="M151">
        <v>1</v>
      </c>
      <c r="N151" t="s">
        <v>278</v>
      </c>
      <c r="O151" t="s">
        <v>827</v>
      </c>
      <c r="P151">
        <v>1</v>
      </c>
      <c r="Q151">
        <v>1</v>
      </c>
      <c r="R151">
        <v>0</v>
      </c>
      <c r="S151">
        <v>0</v>
      </c>
      <c r="T151">
        <v>0</v>
      </c>
      <c r="U151">
        <v>0</v>
      </c>
      <c r="V151">
        <v>0</v>
      </c>
      <c r="W151">
        <v>0</v>
      </c>
      <c r="X151">
        <v>0</v>
      </c>
      <c r="Y151">
        <v>0</v>
      </c>
      <c r="Z151">
        <v>0</v>
      </c>
      <c r="AA151">
        <v>0</v>
      </c>
      <c r="AB151">
        <v>0.20399999999999999</v>
      </c>
      <c r="AC151">
        <v>1</v>
      </c>
      <c r="AD151">
        <v>0.36199999999999999</v>
      </c>
      <c r="AE151">
        <v>0</v>
      </c>
      <c r="AF151">
        <v>0</v>
      </c>
      <c r="AG151" t="s">
        <v>828</v>
      </c>
      <c r="AH151">
        <v>0</v>
      </c>
      <c r="AI151">
        <v>0</v>
      </c>
      <c r="AJ151">
        <v>0</v>
      </c>
    </row>
    <row r="152" spans="2:36" x14ac:dyDescent="0.3">
      <c r="B152" s="28"/>
      <c r="C152" t="s">
        <v>1710</v>
      </c>
      <c r="D152" t="s">
        <v>1702</v>
      </c>
      <c r="E152" t="s">
        <v>825</v>
      </c>
      <c r="F152" t="s">
        <v>836</v>
      </c>
      <c r="G152" t="s">
        <v>1709</v>
      </c>
      <c r="H152" t="s">
        <v>1815</v>
      </c>
      <c r="I152">
        <v>1020.2</v>
      </c>
      <c r="J152">
        <v>1</v>
      </c>
      <c r="K152">
        <v>10</v>
      </c>
      <c r="L152">
        <v>10</v>
      </c>
      <c r="M152">
        <v>5.0999999999999996</v>
      </c>
      <c r="N152" t="s">
        <v>278</v>
      </c>
      <c r="O152" t="s">
        <v>827</v>
      </c>
      <c r="P152">
        <v>1</v>
      </c>
      <c r="Q152">
        <v>1</v>
      </c>
      <c r="R152">
        <v>0.18</v>
      </c>
      <c r="S152">
        <v>0</v>
      </c>
      <c r="T152">
        <v>0</v>
      </c>
      <c r="U152">
        <v>0</v>
      </c>
      <c r="V152">
        <v>600</v>
      </c>
      <c r="W152">
        <v>0.12</v>
      </c>
      <c r="X152">
        <v>0</v>
      </c>
      <c r="Y152">
        <v>0</v>
      </c>
      <c r="Z152">
        <v>122</v>
      </c>
      <c r="AA152">
        <v>122</v>
      </c>
      <c r="AB152">
        <v>0.20399999999999999</v>
      </c>
      <c r="AC152">
        <v>1</v>
      </c>
      <c r="AD152">
        <v>0.36199999999999999</v>
      </c>
      <c r="AE152">
        <v>0</v>
      </c>
      <c r="AF152">
        <v>0</v>
      </c>
      <c r="AG152" t="s">
        <v>828</v>
      </c>
      <c r="AH152">
        <v>0</v>
      </c>
      <c r="AI152">
        <v>0</v>
      </c>
      <c r="AJ152">
        <v>0</v>
      </c>
    </row>
    <row r="153" spans="2:36" x14ac:dyDescent="0.3">
      <c r="B153" s="28"/>
      <c r="C153" t="s">
        <v>1711</v>
      </c>
      <c r="D153" t="s">
        <v>1702</v>
      </c>
      <c r="E153" t="s">
        <v>825</v>
      </c>
      <c r="F153" t="s">
        <v>842</v>
      </c>
      <c r="G153" t="s">
        <v>1712</v>
      </c>
      <c r="H153" t="s">
        <v>1837</v>
      </c>
      <c r="I153">
        <v>5011.2</v>
      </c>
      <c r="J153">
        <v>1</v>
      </c>
      <c r="K153">
        <v>1.6</v>
      </c>
      <c r="L153">
        <v>0</v>
      </c>
      <c r="M153">
        <v>7.8</v>
      </c>
      <c r="N153" t="s">
        <v>278</v>
      </c>
      <c r="O153" t="s">
        <v>827</v>
      </c>
      <c r="P153">
        <v>1</v>
      </c>
      <c r="Q153">
        <v>1</v>
      </c>
      <c r="R153">
        <v>8.5000000000000006E-2</v>
      </c>
      <c r="S153">
        <v>0</v>
      </c>
      <c r="T153">
        <v>0</v>
      </c>
      <c r="U153">
        <v>0</v>
      </c>
      <c r="V153">
        <v>426</v>
      </c>
      <c r="W153">
        <v>8.5000000000000006E-2</v>
      </c>
      <c r="X153">
        <v>0</v>
      </c>
      <c r="Y153">
        <v>0</v>
      </c>
      <c r="Z153">
        <v>426</v>
      </c>
      <c r="AA153">
        <v>426</v>
      </c>
      <c r="AB153">
        <v>1</v>
      </c>
      <c r="AC153">
        <v>1</v>
      </c>
      <c r="AD153">
        <v>8.5000000000000006E-2</v>
      </c>
      <c r="AE153">
        <v>0</v>
      </c>
      <c r="AF153">
        <v>426</v>
      </c>
      <c r="AG153" t="s">
        <v>828</v>
      </c>
      <c r="AH153">
        <v>0</v>
      </c>
      <c r="AI153">
        <v>0</v>
      </c>
      <c r="AJ153">
        <v>0</v>
      </c>
    </row>
    <row r="154" spans="2:36" x14ac:dyDescent="0.3">
      <c r="B154" s="28"/>
      <c r="C154" t="s">
        <v>1713</v>
      </c>
      <c r="D154" t="s">
        <v>1702</v>
      </c>
      <c r="E154" t="s">
        <v>825</v>
      </c>
      <c r="F154" t="s">
        <v>842</v>
      </c>
      <c r="G154" t="s">
        <v>1714</v>
      </c>
      <c r="H154" t="s">
        <v>1838</v>
      </c>
      <c r="I154">
        <v>5477</v>
      </c>
      <c r="J154">
        <v>1</v>
      </c>
      <c r="K154">
        <v>1.6</v>
      </c>
      <c r="L154">
        <v>0</v>
      </c>
      <c r="M154">
        <v>8.5</v>
      </c>
      <c r="N154" t="s">
        <v>278</v>
      </c>
      <c r="O154" t="s">
        <v>827</v>
      </c>
      <c r="P154">
        <v>1</v>
      </c>
      <c r="Q154">
        <v>1</v>
      </c>
      <c r="R154">
        <v>8.5000000000000006E-2</v>
      </c>
      <c r="S154">
        <v>0</v>
      </c>
      <c r="T154">
        <v>0</v>
      </c>
      <c r="U154">
        <v>0</v>
      </c>
      <c r="V154">
        <v>466</v>
      </c>
      <c r="W154">
        <v>8.5000000000000006E-2</v>
      </c>
      <c r="X154">
        <v>0</v>
      </c>
      <c r="Y154">
        <v>0</v>
      </c>
      <c r="Z154">
        <v>466</v>
      </c>
      <c r="AA154">
        <v>466</v>
      </c>
      <c r="AB154">
        <v>1</v>
      </c>
      <c r="AC154">
        <v>1</v>
      </c>
      <c r="AD154">
        <v>8.5000000000000006E-2</v>
      </c>
      <c r="AE154">
        <v>0</v>
      </c>
      <c r="AF154">
        <v>466</v>
      </c>
      <c r="AG154" t="s">
        <v>828</v>
      </c>
      <c r="AH154">
        <v>0</v>
      </c>
      <c r="AI154">
        <v>0</v>
      </c>
      <c r="AJ154">
        <v>0</v>
      </c>
    </row>
    <row r="155" spans="2:36" x14ac:dyDescent="0.3">
      <c r="B155" s="28"/>
      <c r="C155" t="s">
        <v>1715</v>
      </c>
      <c r="D155" t="s">
        <v>1702</v>
      </c>
      <c r="E155" t="s">
        <v>844</v>
      </c>
      <c r="F155" t="s">
        <v>834</v>
      </c>
      <c r="G155" t="s">
        <v>1709</v>
      </c>
      <c r="H155" t="s">
        <v>1815</v>
      </c>
      <c r="I155">
        <v>159.80000000000001</v>
      </c>
      <c r="J155">
        <v>1</v>
      </c>
      <c r="K155">
        <v>0</v>
      </c>
      <c r="L155">
        <v>0</v>
      </c>
      <c r="M155">
        <v>0</v>
      </c>
      <c r="N155" t="s">
        <v>278</v>
      </c>
      <c r="O155" t="s">
        <v>827</v>
      </c>
      <c r="P155">
        <v>1</v>
      </c>
      <c r="Q155">
        <v>1</v>
      </c>
      <c r="R155">
        <v>0</v>
      </c>
      <c r="S155">
        <v>0</v>
      </c>
      <c r="T155">
        <v>0</v>
      </c>
      <c r="U155">
        <v>0</v>
      </c>
      <c r="V155">
        <v>0</v>
      </c>
      <c r="W155">
        <v>0</v>
      </c>
      <c r="X155">
        <v>0</v>
      </c>
      <c r="Y155">
        <v>0</v>
      </c>
      <c r="Z155">
        <v>0</v>
      </c>
      <c r="AA155">
        <v>0</v>
      </c>
      <c r="AB155">
        <v>1</v>
      </c>
      <c r="AC155">
        <v>1</v>
      </c>
      <c r="AD155">
        <v>0.36199999999999999</v>
      </c>
      <c r="AE155">
        <v>0</v>
      </c>
      <c r="AF155">
        <v>0</v>
      </c>
      <c r="AG155" t="s">
        <v>828</v>
      </c>
      <c r="AH155">
        <v>0</v>
      </c>
      <c r="AI155">
        <v>0</v>
      </c>
      <c r="AJ155">
        <v>0</v>
      </c>
    </row>
    <row r="156" spans="2:36" x14ac:dyDescent="0.3">
      <c r="B156" s="28"/>
      <c r="C156" t="s">
        <v>1716</v>
      </c>
      <c r="D156" t="s">
        <v>1702</v>
      </c>
      <c r="E156" t="s">
        <v>825</v>
      </c>
      <c r="F156" t="s">
        <v>560</v>
      </c>
      <c r="G156" t="s">
        <v>1709</v>
      </c>
      <c r="H156" t="s">
        <v>1815</v>
      </c>
      <c r="I156">
        <v>65.7</v>
      </c>
      <c r="J156">
        <v>1</v>
      </c>
      <c r="K156">
        <v>3</v>
      </c>
      <c r="L156">
        <v>3</v>
      </c>
      <c r="M156">
        <v>0.1</v>
      </c>
      <c r="N156" t="s">
        <v>278</v>
      </c>
      <c r="O156" t="s">
        <v>827</v>
      </c>
      <c r="P156">
        <v>1</v>
      </c>
      <c r="Q156">
        <v>1</v>
      </c>
      <c r="R156">
        <v>0</v>
      </c>
      <c r="S156">
        <v>0</v>
      </c>
      <c r="T156">
        <v>0</v>
      </c>
      <c r="U156">
        <v>0</v>
      </c>
      <c r="V156">
        <v>0</v>
      </c>
      <c r="W156">
        <v>0</v>
      </c>
      <c r="X156">
        <v>0</v>
      </c>
      <c r="Y156">
        <v>0</v>
      </c>
      <c r="Z156">
        <v>0</v>
      </c>
      <c r="AA156">
        <v>0</v>
      </c>
      <c r="AB156">
        <v>0.20399999999999999</v>
      </c>
      <c r="AC156">
        <v>1</v>
      </c>
      <c r="AD156">
        <v>0.36199999999999999</v>
      </c>
      <c r="AE156">
        <v>0</v>
      </c>
      <c r="AF156">
        <v>0</v>
      </c>
      <c r="AG156" t="s">
        <v>828</v>
      </c>
      <c r="AH156">
        <v>0</v>
      </c>
      <c r="AI156">
        <v>0</v>
      </c>
      <c r="AJ156">
        <v>0</v>
      </c>
    </row>
    <row r="157" spans="2:36" x14ac:dyDescent="0.3">
      <c r="B157" s="28"/>
      <c r="C157" t="s">
        <v>1717</v>
      </c>
      <c r="D157" t="s">
        <v>1702</v>
      </c>
      <c r="E157" t="s">
        <v>825</v>
      </c>
      <c r="F157" t="s">
        <v>841</v>
      </c>
      <c r="G157" t="s">
        <v>1709</v>
      </c>
      <c r="H157" t="s">
        <v>1815</v>
      </c>
      <c r="I157">
        <v>218.5</v>
      </c>
      <c r="J157">
        <v>1</v>
      </c>
      <c r="K157">
        <v>10</v>
      </c>
      <c r="L157">
        <v>10</v>
      </c>
      <c r="M157">
        <v>1.1000000000000001</v>
      </c>
      <c r="N157" t="s">
        <v>278</v>
      </c>
      <c r="O157" t="s">
        <v>827</v>
      </c>
      <c r="P157">
        <v>1</v>
      </c>
      <c r="Q157">
        <v>1</v>
      </c>
      <c r="R157">
        <v>0</v>
      </c>
      <c r="S157">
        <v>0</v>
      </c>
      <c r="T157">
        <v>0</v>
      </c>
      <c r="U157">
        <v>0</v>
      </c>
      <c r="V157">
        <v>0</v>
      </c>
      <c r="W157">
        <v>0</v>
      </c>
      <c r="X157">
        <v>0</v>
      </c>
      <c r="Y157">
        <v>0</v>
      </c>
      <c r="Z157">
        <v>0</v>
      </c>
      <c r="AA157">
        <v>0</v>
      </c>
      <c r="AB157">
        <v>0.20399999999999999</v>
      </c>
      <c r="AC157">
        <v>1</v>
      </c>
      <c r="AD157">
        <v>0.36199999999999999</v>
      </c>
      <c r="AE157">
        <v>0</v>
      </c>
      <c r="AF157">
        <v>0</v>
      </c>
      <c r="AG157" t="s">
        <v>828</v>
      </c>
      <c r="AH157">
        <v>0</v>
      </c>
      <c r="AI157">
        <v>0</v>
      </c>
      <c r="AJ157">
        <v>0</v>
      </c>
    </row>
    <row r="158" spans="2:36" x14ac:dyDescent="0.3">
      <c r="B158" s="28"/>
      <c r="C158" t="s">
        <v>1718</v>
      </c>
      <c r="D158" t="s">
        <v>1702</v>
      </c>
      <c r="E158" t="s">
        <v>825</v>
      </c>
      <c r="F158" t="s">
        <v>842</v>
      </c>
      <c r="G158" t="s">
        <v>1719</v>
      </c>
      <c r="H158" t="s">
        <v>1839</v>
      </c>
      <c r="I158">
        <v>1389.7</v>
      </c>
      <c r="J158">
        <v>1</v>
      </c>
      <c r="K158">
        <v>1.6</v>
      </c>
      <c r="L158">
        <v>0</v>
      </c>
      <c r="M158">
        <v>2.2000000000000002</v>
      </c>
      <c r="N158" t="s">
        <v>278</v>
      </c>
      <c r="O158" t="s">
        <v>827</v>
      </c>
      <c r="P158">
        <v>1</v>
      </c>
      <c r="Q158">
        <v>1</v>
      </c>
      <c r="R158">
        <v>8.5000000000000006E-2</v>
      </c>
      <c r="S158">
        <v>0</v>
      </c>
      <c r="T158">
        <v>0</v>
      </c>
      <c r="U158">
        <v>0</v>
      </c>
      <c r="V158">
        <v>118</v>
      </c>
      <c r="W158">
        <v>8.5000000000000006E-2</v>
      </c>
      <c r="X158">
        <v>0</v>
      </c>
      <c r="Y158">
        <v>0</v>
      </c>
      <c r="Z158">
        <v>118</v>
      </c>
      <c r="AA158">
        <v>118</v>
      </c>
      <c r="AB158">
        <v>1</v>
      </c>
      <c r="AC158">
        <v>1</v>
      </c>
      <c r="AD158">
        <v>8.5000000000000006E-2</v>
      </c>
      <c r="AE158">
        <v>0</v>
      </c>
      <c r="AF158">
        <v>118</v>
      </c>
      <c r="AG158" t="s">
        <v>828</v>
      </c>
      <c r="AH158">
        <v>0</v>
      </c>
      <c r="AI158">
        <v>0</v>
      </c>
      <c r="AJ158">
        <v>0</v>
      </c>
    </row>
    <row r="159" spans="2:36" x14ac:dyDescent="0.3">
      <c r="B159" s="28"/>
      <c r="C159" t="s">
        <v>1720</v>
      </c>
      <c r="D159" t="s">
        <v>1702</v>
      </c>
      <c r="E159" t="s">
        <v>825</v>
      </c>
      <c r="F159" t="s">
        <v>842</v>
      </c>
      <c r="G159" t="s">
        <v>1721</v>
      </c>
      <c r="H159" t="s">
        <v>1840</v>
      </c>
      <c r="I159">
        <v>1166</v>
      </c>
      <c r="J159">
        <v>1</v>
      </c>
      <c r="K159">
        <v>1.6</v>
      </c>
      <c r="L159">
        <v>0</v>
      </c>
      <c r="M159">
        <v>1.8</v>
      </c>
      <c r="N159" t="s">
        <v>278</v>
      </c>
      <c r="O159" t="s">
        <v>827</v>
      </c>
      <c r="P159">
        <v>1</v>
      </c>
      <c r="Q159">
        <v>1</v>
      </c>
      <c r="R159">
        <v>8.5000000000000006E-2</v>
      </c>
      <c r="S159">
        <v>0</v>
      </c>
      <c r="T159">
        <v>0</v>
      </c>
      <c r="U159">
        <v>0</v>
      </c>
      <c r="V159">
        <v>99</v>
      </c>
      <c r="W159">
        <v>8.5000000000000006E-2</v>
      </c>
      <c r="X159">
        <v>0</v>
      </c>
      <c r="Y159">
        <v>0</v>
      </c>
      <c r="Z159">
        <v>99</v>
      </c>
      <c r="AA159">
        <v>99</v>
      </c>
      <c r="AB159">
        <v>1</v>
      </c>
      <c r="AC159">
        <v>1</v>
      </c>
      <c r="AD159">
        <v>8.5000000000000006E-2</v>
      </c>
      <c r="AE159">
        <v>0</v>
      </c>
      <c r="AF159">
        <v>99</v>
      </c>
      <c r="AG159" t="s">
        <v>828</v>
      </c>
      <c r="AH159">
        <v>0</v>
      </c>
      <c r="AI159">
        <v>0</v>
      </c>
      <c r="AJ159">
        <v>0</v>
      </c>
    </row>
    <row r="160" spans="2:36" x14ac:dyDescent="0.3">
      <c r="B160" s="28"/>
      <c r="C160" t="s">
        <v>1722</v>
      </c>
      <c r="D160" t="s">
        <v>1723</v>
      </c>
      <c r="E160" t="s">
        <v>825</v>
      </c>
      <c r="F160" t="s">
        <v>836</v>
      </c>
      <c r="G160" t="s">
        <v>1724</v>
      </c>
      <c r="H160" t="s">
        <v>1821</v>
      </c>
      <c r="I160">
        <v>1664.3</v>
      </c>
      <c r="J160">
        <v>1</v>
      </c>
      <c r="K160">
        <v>10</v>
      </c>
      <c r="L160">
        <v>10</v>
      </c>
      <c r="M160">
        <v>8.3000000000000007</v>
      </c>
      <c r="N160" t="s">
        <v>278</v>
      </c>
      <c r="O160" t="s">
        <v>827</v>
      </c>
      <c r="P160">
        <v>1</v>
      </c>
      <c r="Q160">
        <v>1</v>
      </c>
      <c r="R160">
        <v>0.18</v>
      </c>
      <c r="S160">
        <v>0</v>
      </c>
      <c r="T160">
        <v>0</v>
      </c>
      <c r="U160">
        <v>0</v>
      </c>
      <c r="V160">
        <v>300</v>
      </c>
      <c r="W160">
        <v>0.12</v>
      </c>
      <c r="X160">
        <v>0</v>
      </c>
      <c r="Y160">
        <v>0</v>
      </c>
      <c r="Z160">
        <v>200</v>
      </c>
      <c r="AA160">
        <v>234</v>
      </c>
      <c r="AB160">
        <v>0.78100000000000003</v>
      </c>
      <c r="AC160">
        <v>1</v>
      </c>
      <c r="AD160">
        <v>0.16700000000000001</v>
      </c>
      <c r="AE160">
        <v>0</v>
      </c>
      <c r="AF160">
        <v>0</v>
      </c>
      <c r="AG160" t="s">
        <v>828</v>
      </c>
      <c r="AH160">
        <v>0</v>
      </c>
      <c r="AI160">
        <v>0</v>
      </c>
      <c r="AJ160">
        <v>0</v>
      </c>
    </row>
    <row r="161" spans="2:36" x14ac:dyDescent="0.3">
      <c r="B161" s="28"/>
      <c r="C161" t="s">
        <v>1725</v>
      </c>
      <c r="D161" t="s">
        <v>1723</v>
      </c>
      <c r="E161" t="s">
        <v>844</v>
      </c>
      <c r="F161" t="s">
        <v>837</v>
      </c>
      <c r="G161" t="s">
        <v>1724</v>
      </c>
      <c r="H161" t="s">
        <v>1821</v>
      </c>
      <c r="I161">
        <v>131.5</v>
      </c>
      <c r="J161">
        <v>1</v>
      </c>
      <c r="K161">
        <v>3</v>
      </c>
      <c r="L161">
        <v>3</v>
      </c>
      <c r="M161">
        <v>0.2</v>
      </c>
      <c r="N161" t="s">
        <v>278</v>
      </c>
      <c r="O161" t="s">
        <v>827</v>
      </c>
      <c r="P161">
        <v>1</v>
      </c>
      <c r="Q161">
        <v>1</v>
      </c>
      <c r="R161">
        <v>0</v>
      </c>
      <c r="S161">
        <v>0</v>
      </c>
      <c r="T161">
        <v>0</v>
      </c>
      <c r="U161">
        <v>0</v>
      </c>
      <c r="V161">
        <v>0</v>
      </c>
      <c r="W161">
        <v>0</v>
      </c>
      <c r="X161">
        <v>0</v>
      </c>
      <c r="Y161">
        <v>0</v>
      </c>
      <c r="Z161">
        <v>0</v>
      </c>
      <c r="AA161">
        <v>0</v>
      </c>
      <c r="AB161">
        <v>0.78100000000000003</v>
      </c>
      <c r="AC161">
        <v>1</v>
      </c>
      <c r="AD161">
        <v>0.16700000000000001</v>
      </c>
      <c r="AE161">
        <v>0</v>
      </c>
      <c r="AF161">
        <v>0</v>
      </c>
      <c r="AG161" t="s">
        <v>828</v>
      </c>
      <c r="AH161">
        <v>0</v>
      </c>
      <c r="AI161">
        <v>0</v>
      </c>
      <c r="AJ161">
        <v>0</v>
      </c>
    </row>
    <row r="162" spans="2:36" x14ac:dyDescent="0.3">
      <c r="B162" s="28"/>
      <c r="C162" t="s">
        <v>1726</v>
      </c>
      <c r="D162" t="s">
        <v>1723</v>
      </c>
      <c r="E162" t="s">
        <v>825</v>
      </c>
      <c r="F162" t="s">
        <v>826</v>
      </c>
      <c r="G162" t="s">
        <v>1727</v>
      </c>
      <c r="H162" t="s">
        <v>1953</v>
      </c>
      <c r="I162">
        <v>3202.1</v>
      </c>
      <c r="J162">
        <v>1</v>
      </c>
      <c r="K162">
        <v>10</v>
      </c>
      <c r="L162">
        <v>10</v>
      </c>
      <c r="M162">
        <v>16</v>
      </c>
      <c r="N162" t="s">
        <v>278</v>
      </c>
      <c r="O162" t="s">
        <v>827</v>
      </c>
      <c r="P162">
        <v>1</v>
      </c>
      <c r="Q162">
        <v>1</v>
      </c>
      <c r="R162">
        <v>0.06</v>
      </c>
      <c r="S162">
        <v>5</v>
      </c>
      <c r="T162">
        <v>0</v>
      </c>
      <c r="U162">
        <v>0</v>
      </c>
      <c r="V162">
        <v>272</v>
      </c>
      <c r="W162">
        <v>0.06</v>
      </c>
      <c r="X162">
        <v>5</v>
      </c>
      <c r="Y162">
        <v>0</v>
      </c>
      <c r="Z162">
        <v>272</v>
      </c>
      <c r="AA162">
        <v>213</v>
      </c>
      <c r="AB162">
        <v>0.78100000000000003</v>
      </c>
      <c r="AC162">
        <v>1</v>
      </c>
      <c r="AD162">
        <v>8.5000000000000006E-2</v>
      </c>
      <c r="AE162">
        <v>0</v>
      </c>
      <c r="AF162">
        <v>0</v>
      </c>
      <c r="AG162" t="s">
        <v>828</v>
      </c>
      <c r="AH162">
        <v>0</v>
      </c>
      <c r="AI162">
        <v>0</v>
      </c>
      <c r="AJ162">
        <v>0</v>
      </c>
    </row>
    <row r="163" spans="2:36" x14ac:dyDescent="0.3">
      <c r="B163" s="28"/>
      <c r="C163" t="s">
        <v>1728</v>
      </c>
      <c r="D163" t="s">
        <v>1723</v>
      </c>
      <c r="E163" t="s">
        <v>844</v>
      </c>
      <c r="F163" t="s">
        <v>841</v>
      </c>
      <c r="G163" t="s">
        <v>1724</v>
      </c>
      <c r="H163" t="s">
        <v>1821</v>
      </c>
      <c r="I163">
        <v>304.7</v>
      </c>
      <c r="J163">
        <v>1</v>
      </c>
      <c r="K163">
        <v>10</v>
      </c>
      <c r="L163">
        <v>10</v>
      </c>
      <c r="M163">
        <v>1.5</v>
      </c>
      <c r="N163" t="s">
        <v>278</v>
      </c>
      <c r="O163" t="s">
        <v>827</v>
      </c>
      <c r="P163">
        <v>1</v>
      </c>
      <c r="Q163">
        <v>1</v>
      </c>
      <c r="R163">
        <v>0</v>
      </c>
      <c r="S163">
        <v>0</v>
      </c>
      <c r="T163">
        <v>0</v>
      </c>
      <c r="U163">
        <v>0</v>
      </c>
      <c r="V163">
        <v>0</v>
      </c>
      <c r="W163">
        <v>0</v>
      </c>
      <c r="X163">
        <v>0</v>
      </c>
      <c r="Y163">
        <v>0</v>
      </c>
      <c r="Z163">
        <v>0</v>
      </c>
      <c r="AA163">
        <v>0</v>
      </c>
      <c r="AB163">
        <v>0.78100000000000003</v>
      </c>
      <c r="AC163">
        <v>1</v>
      </c>
      <c r="AD163">
        <v>0.16700000000000001</v>
      </c>
      <c r="AE163">
        <v>0</v>
      </c>
      <c r="AF163">
        <v>0</v>
      </c>
      <c r="AG163" t="s">
        <v>828</v>
      </c>
      <c r="AH163">
        <v>0</v>
      </c>
      <c r="AI163">
        <v>0</v>
      </c>
      <c r="AJ163">
        <v>0</v>
      </c>
    </row>
    <row r="164" spans="2:36" x14ac:dyDescent="0.3">
      <c r="B164" s="28"/>
      <c r="C164" t="s">
        <v>1729</v>
      </c>
      <c r="D164" t="s">
        <v>1723</v>
      </c>
      <c r="E164" t="s">
        <v>825</v>
      </c>
      <c r="F164" t="s">
        <v>842</v>
      </c>
      <c r="G164" t="s">
        <v>1730</v>
      </c>
      <c r="H164" t="s">
        <v>1841</v>
      </c>
      <c r="I164">
        <v>7614.9</v>
      </c>
      <c r="J164">
        <v>1</v>
      </c>
      <c r="K164">
        <v>1.6</v>
      </c>
      <c r="L164">
        <v>0</v>
      </c>
      <c r="M164">
        <v>11.9</v>
      </c>
      <c r="N164" t="s">
        <v>278</v>
      </c>
      <c r="O164" t="s">
        <v>827</v>
      </c>
      <c r="P164">
        <v>1</v>
      </c>
      <c r="Q164">
        <v>1</v>
      </c>
      <c r="R164">
        <v>8.5000000000000006E-2</v>
      </c>
      <c r="S164">
        <v>0</v>
      </c>
      <c r="T164">
        <v>0</v>
      </c>
      <c r="U164">
        <v>0</v>
      </c>
      <c r="V164">
        <v>647</v>
      </c>
      <c r="W164">
        <v>8.5000000000000006E-2</v>
      </c>
      <c r="X164">
        <v>0</v>
      </c>
      <c r="Y164">
        <v>0</v>
      </c>
      <c r="Z164">
        <v>647</v>
      </c>
      <c r="AA164">
        <v>647</v>
      </c>
      <c r="AB164">
        <v>1</v>
      </c>
      <c r="AC164">
        <v>1</v>
      </c>
      <c r="AD164">
        <v>8.5000000000000006E-2</v>
      </c>
      <c r="AE164">
        <v>0</v>
      </c>
      <c r="AF164">
        <v>647</v>
      </c>
      <c r="AG164" t="s">
        <v>828</v>
      </c>
      <c r="AH164">
        <v>0</v>
      </c>
      <c r="AI164">
        <v>0</v>
      </c>
      <c r="AJ164">
        <v>0</v>
      </c>
    </row>
    <row r="165" spans="2:36" x14ac:dyDescent="0.3">
      <c r="B165" s="28"/>
      <c r="C165" t="s">
        <v>1731</v>
      </c>
      <c r="D165" t="s">
        <v>1723</v>
      </c>
      <c r="E165" t="s">
        <v>825</v>
      </c>
      <c r="F165" t="s">
        <v>842</v>
      </c>
      <c r="G165" t="s">
        <v>1732</v>
      </c>
      <c r="H165" t="s">
        <v>1842</v>
      </c>
      <c r="I165">
        <v>703.6</v>
      </c>
      <c r="J165">
        <v>1</v>
      </c>
      <c r="K165">
        <v>1.6</v>
      </c>
      <c r="L165">
        <v>0</v>
      </c>
      <c r="M165">
        <v>1.1000000000000001</v>
      </c>
      <c r="N165" t="s">
        <v>278</v>
      </c>
      <c r="O165" t="s">
        <v>827</v>
      </c>
      <c r="P165">
        <v>1</v>
      </c>
      <c r="Q165">
        <v>1</v>
      </c>
      <c r="R165">
        <v>8.5000000000000006E-2</v>
      </c>
      <c r="S165">
        <v>0</v>
      </c>
      <c r="T165">
        <v>0</v>
      </c>
      <c r="U165">
        <v>0</v>
      </c>
      <c r="V165">
        <v>60</v>
      </c>
      <c r="W165">
        <v>8.5000000000000006E-2</v>
      </c>
      <c r="X165">
        <v>0</v>
      </c>
      <c r="Y165">
        <v>0</v>
      </c>
      <c r="Z165">
        <v>60</v>
      </c>
      <c r="AA165">
        <v>60</v>
      </c>
      <c r="AB165">
        <v>1</v>
      </c>
      <c r="AC165">
        <v>1</v>
      </c>
      <c r="AD165">
        <v>8.5000000000000006E-2</v>
      </c>
      <c r="AE165">
        <v>0</v>
      </c>
      <c r="AF165">
        <v>60</v>
      </c>
      <c r="AG165" t="s">
        <v>828</v>
      </c>
      <c r="AH165">
        <v>0</v>
      </c>
      <c r="AI165">
        <v>0</v>
      </c>
      <c r="AJ165">
        <v>0</v>
      </c>
    </row>
    <row r="166" spans="2:36" x14ac:dyDescent="0.3">
      <c r="B166" s="28"/>
      <c r="C166" t="s">
        <v>1733</v>
      </c>
      <c r="D166" t="s">
        <v>1723</v>
      </c>
      <c r="E166" t="s">
        <v>844</v>
      </c>
      <c r="F166" t="s">
        <v>834</v>
      </c>
      <c r="G166" t="s">
        <v>1724</v>
      </c>
      <c r="H166" t="s">
        <v>1821</v>
      </c>
      <c r="I166">
        <v>99.2</v>
      </c>
      <c r="J166">
        <v>1</v>
      </c>
      <c r="K166">
        <v>0</v>
      </c>
      <c r="L166">
        <v>0</v>
      </c>
      <c r="M166">
        <v>0</v>
      </c>
      <c r="N166" t="s">
        <v>278</v>
      </c>
      <c r="O166" t="s">
        <v>827</v>
      </c>
      <c r="P166">
        <v>1</v>
      </c>
      <c r="Q166">
        <v>1</v>
      </c>
      <c r="R166">
        <v>0</v>
      </c>
      <c r="S166">
        <v>0</v>
      </c>
      <c r="T166">
        <v>0</v>
      </c>
      <c r="U166">
        <v>0</v>
      </c>
      <c r="V166">
        <v>0</v>
      </c>
      <c r="W166">
        <v>0</v>
      </c>
      <c r="X166">
        <v>0</v>
      </c>
      <c r="Y166">
        <v>0</v>
      </c>
      <c r="Z166">
        <v>0</v>
      </c>
      <c r="AA166">
        <v>0</v>
      </c>
      <c r="AB166">
        <v>1</v>
      </c>
      <c r="AC166">
        <v>1</v>
      </c>
      <c r="AD166">
        <v>0.16700000000000001</v>
      </c>
      <c r="AE166">
        <v>0</v>
      </c>
      <c r="AF166">
        <v>0</v>
      </c>
      <c r="AG166" t="s">
        <v>828</v>
      </c>
      <c r="AH166">
        <v>0</v>
      </c>
      <c r="AI166">
        <v>0</v>
      </c>
      <c r="AJ166">
        <v>0</v>
      </c>
    </row>
    <row r="167" spans="2:36" x14ac:dyDescent="0.3">
      <c r="B167" s="28"/>
      <c r="C167" t="s">
        <v>1734</v>
      </c>
      <c r="D167" t="s">
        <v>1723</v>
      </c>
      <c r="E167" t="s">
        <v>844</v>
      </c>
      <c r="F167" t="s">
        <v>834</v>
      </c>
      <c r="G167" t="s">
        <v>1724</v>
      </c>
      <c r="H167" t="s">
        <v>1821</v>
      </c>
      <c r="I167">
        <v>91.4</v>
      </c>
      <c r="J167">
        <v>1</v>
      </c>
      <c r="K167">
        <v>0</v>
      </c>
      <c r="L167">
        <v>0</v>
      </c>
      <c r="M167">
        <v>0</v>
      </c>
      <c r="N167" t="s">
        <v>278</v>
      </c>
      <c r="O167" t="s">
        <v>827</v>
      </c>
      <c r="P167">
        <v>1</v>
      </c>
      <c r="Q167">
        <v>1</v>
      </c>
      <c r="R167">
        <v>0</v>
      </c>
      <c r="S167">
        <v>0</v>
      </c>
      <c r="T167">
        <v>0</v>
      </c>
      <c r="U167">
        <v>0</v>
      </c>
      <c r="V167">
        <v>0</v>
      </c>
      <c r="W167">
        <v>0</v>
      </c>
      <c r="X167">
        <v>0</v>
      </c>
      <c r="Y167">
        <v>0</v>
      </c>
      <c r="Z167">
        <v>0</v>
      </c>
      <c r="AA167">
        <v>0</v>
      </c>
      <c r="AB167">
        <v>1</v>
      </c>
      <c r="AC167">
        <v>1</v>
      </c>
      <c r="AD167">
        <v>0.16700000000000001</v>
      </c>
      <c r="AE167">
        <v>0</v>
      </c>
      <c r="AF167">
        <v>0</v>
      </c>
      <c r="AG167" t="s">
        <v>828</v>
      </c>
      <c r="AH167">
        <v>0</v>
      </c>
      <c r="AI167">
        <v>0</v>
      </c>
      <c r="AJ167">
        <v>0</v>
      </c>
    </row>
    <row r="168" spans="2:36" x14ac:dyDescent="0.3">
      <c r="B168" s="28"/>
      <c r="C168" t="s">
        <v>1735</v>
      </c>
      <c r="D168" t="s">
        <v>1723</v>
      </c>
      <c r="E168" t="s">
        <v>844</v>
      </c>
      <c r="F168" t="s">
        <v>841</v>
      </c>
      <c r="G168" t="s">
        <v>1724</v>
      </c>
      <c r="H168" t="s">
        <v>1821</v>
      </c>
      <c r="I168">
        <v>262.39999999999998</v>
      </c>
      <c r="J168">
        <v>1</v>
      </c>
      <c r="K168">
        <v>10</v>
      </c>
      <c r="L168">
        <v>10</v>
      </c>
      <c r="M168">
        <v>1.3</v>
      </c>
      <c r="N168" t="s">
        <v>278</v>
      </c>
      <c r="O168" t="s">
        <v>827</v>
      </c>
      <c r="P168">
        <v>1</v>
      </c>
      <c r="Q168">
        <v>1</v>
      </c>
      <c r="R168">
        <v>0</v>
      </c>
      <c r="S168">
        <v>0</v>
      </c>
      <c r="T168">
        <v>0</v>
      </c>
      <c r="U168">
        <v>0</v>
      </c>
      <c r="V168">
        <v>0</v>
      </c>
      <c r="W168">
        <v>0</v>
      </c>
      <c r="X168">
        <v>0</v>
      </c>
      <c r="Y168">
        <v>0</v>
      </c>
      <c r="Z168">
        <v>0</v>
      </c>
      <c r="AA168">
        <v>0</v>
      </c>
      <c r="AB168">
        <v>0.78100000000000003</v>
      </c>
      <c r="AC168">
        <v>1</v>
      </c>
      <c r="AD168">
        <v>0.16700000000000001</v>
      </c>
      <c r="AE168">
        <v>0</v>
      </c>
      <c r="AF168">
        <v>0</v>
      </c>
      <c r="AG168" t="s">
        <v>828</v>
      </c>
      <c r="AH168">
        <v>0</v>
      </c>
      <c r="AI168">
        <v>0</v>
      </c>
      <c r="AJ168">
        <v>0</v>
      </c>
    </row>
    <row r="169" spans="2:36" x14ac:dyDescent="0.3">
      <c r="B169" s="28"/>
      <c r="C169" t="s">
        <v>1736</v>
      </c>
      <c r="D169" t="s">
        <v>1723</v>
      </c>
      <c r="E169" t="s">
        <v>825</v>
      </c>
      <c r="F169" t="s">
        <v>560</v>
      </c>
      <c r="G169" t="s">
        <v>1724</v>
      </c>
      <c r="H169" t="s">
        <v>1821</v>
      </c>
      <c r="I169">
        <v>53.1</v>
      </c>
      <c r="J169">
        <v>1</v>
      </c>
      <c r="K169">
        <v>3</v>
      </c>
      <c r="L169">
        <v>3</v>
      </c>
      <c r="M169">
        <v>0.1</v>
      </c>
      <c r="N169" t="s">
        <v>278</v>
      </c>
      <c r="O169" t="s">
        <v>827</v>
      </c>
      <c r="P169">
        <v>1</v>
      </c>
      <c r="Q169">
        <v>1</v>
      </c>
      <c r="R169">
        <v>0</v>
      </c>
      <c r="S169">
        <v>0</v>
      </c>
      <c r="T169">
        <v>0</v>
      </c>
      <c r="U169">
        <v>0</v>
      </c>
      <c r="V169">
        <v>0</v>
      </c>
      <c r="W169">
        <v>0</v>
      </c>
      <c r="X169">
        <v>0</v>
      </c>
      <c r="Y169">
        <v>0</v>
      </c>
      <c r="Z169">
        <v>0</v>
      </c>
      <c r="AA169">
        <v>0</v>
      </c>
      <c r="AB169">
        <v>0.78100000000000003</v>
      </c>
      <c r="AC169">
        <v>1</v>
      </c>
      <c r="AD169">
        <v>0.16700000000000001</v>
      </c>
      <c r="AE169">
        <v>0</v>
      </c>
      <c r="AF169">
        <v>0</v>
      </c>
      <c r="AG169" t="s">
        <v>828</v>
      </c>
      <c r="AH169">
        <v>0</v>
      </c>
      <c r="AI169">
        <v>0</v>
      </c>
      <c r="AJ169">
        <v>0</v>
      </c>
    </row>
    <row r="170" spans="2:36" x14ac:dyDescent="0.3">
      <c r="B170" s="28"/>
      <c r="C170" t="s">
        <v>1737</v>
      </c>
      <c r="D170" t="s">
        <v>1723</v>
      </c>
      <c r="E170" t="s">
        <v>825</v>
      </c>
      <c r="F170" t="s">
        <v>836</v>
      </c>
      <c r="G170" t="s">
        <v>1724</v>
      </c>
      <c r="H170" t="s">
        <v>1821</v>
      </c>
      <c r="I170">
        <v>536.20000000000005</v>
      </c>
      <c r="J170">
        <v>1</v>
      </c>
      <c r="K170">
        <v>10</v>
      </c>
      <c r="L170">
        <v>10</v>
      </c>
      <c r="M170">
        <v>2.7</v>
      </c>
      <c r="N170" t="s">
        <v>278</v>
      </c>
      <c r="O170" t="s">
        <v>827</v>
      </c>
      <c r="P170">
        <v>1</v>
      </c>
      <c r="Q170">
        <v>1</v>
      </c>
      <c r="R170">
        <v>0.18</v>
      </c>
      <c r="S170">
        <v>0</v>
      </c>
      <c r="T170">
        <v>0</v>
      </c>
      <c r="U170">
        <v>0</v>
      </c>
      <c r="V170">
        <v>300</v>
      </c>
      <c r="W170">
        <v>0.12</v>
      </c>
      <c r="X170">
        <v>0</v>
      </c>
      <c r="Y170">
        <v>0</v>
      </c>
      <c r="Z170">
        <v>64</v>
      </c>
      <c r="AA170">
        <v>234</v>
      </c>
      <c r="AB170">
        <v>0.78100000000000003</v>
      </c>
      <c r="AC170">
        <v>1</v>
      </c>
      <c r="AD170">
        <v>0.16700000000000001</v>
      </c>
      <c r="AE170">
        <v>0</v>
      </c>
      <c r="AF170">
        <v>0</v>
      </c>
      <c r="AG170" t="s">
        <v>828</v>
      </c>
      <c r="AH170">
        <v>0</v>
      </c>
      <c r="AI170">
        <v>0</v>
      </c>
      <c r="AJ170">
        <v>0</v>
      </c>
    </row>
    <row r="171" spans="2:36" x14ac:dyDescent="0.3">
      <c r="B171" s="28"/>
      <c r="C171" t="s">
        <v>1738</v>
      </c>
      <c r="D171" t="s">
        <v>1723</v>
      </c>
      <c r="E171" t="s">
        <v>825</v>
      </c>
      <c r="F171" t="s">
        <v>840</v>
      </c>
      <c r="G171" t="s">
        <v>1724</v>
      </c>
      <c r="H171" t="s">
        <v>1821</v>
      </c>
      <c r="I171">
        <v>444</v>
      </c>
      <c r="J171">
        <v>1</v>
      </c>
      <c r="K171">
        <v>10</v>
      </c>
      <c r="L171">
        <v>10</v>
      </c>
      <c r="M171">
        <v>2.2000000000000002</v>
      </c>
      <c r="N171" t="s">
        <v>278</v>
      </c>
      <c r="O171" t="s">
        <v>827</v>
      </c>
      <c r="P171">
        <v>1</v>
      </c>
      <c r="Q171">
        <v>1</v>
      </c>
      <c r="R171">
        <v>0</v>
      </c>
      <c r="S171">
        <v>0</v>
      </c>
      <c r="T171">
        <v>0</v>
      </c>
      <c r="U171">
        <v>0</v>
      </c>
      <c r="V171">
        <v>0</v>
      </c>
      <c r="W171">
        <v>0</v>
      </c>
      <c r="X171">
        <v>0</v>
      </c>
      <c r="Y171">
        <v>0</v>
      </c>
      <c r="Z171">
        <v>0</v>
      </c>
      <c r="AA171">
        <v>0</v>
      </c>
      <c r="AB171">
        <v>0.78100000000000003</v>
      </c>
      <c r="AC171">
        <v>1</v>
      </c>
      <c r="AD171">
        <v>0.16700000000000001</v>
      </c>
      <c r="AE171">
        <v>0</v>
      </c>
      <c r="AF171">
        <v>0</v>
      </c>
      <c r="AG171" t="s">
        <v>828</v>
      </c>
      <c r="AH171">
        <v>0</v>
      </c>
      <c r="AI171">
        <v>0</v>
      </c>
      <c r="AJ171">
        <v>0</v>
      </c>
    </row>
    <row r="172" spans="2:36" x14ac:dyDescent="0.3">
      <c r="B172" s="28"/>
      <c r="C172" t="s">
        <v>1739</v>
      </c>
      <c r="D172" t="s">
        <v>1723</v>
      </c>
      <c r="E172" t="s">
        <v>825</v>
      </c>
      <c r="F172" t="s">
        <v>826</v>
      </c>
      <c r="G172" t="s">
        <v>1740</v>
      </c>
      <c r="H172" t="s">
        <v>1954</v>
      </c>
      <c r="I172">
        <v>5679.7</v>
      </c>
      <c r="J172">
        <v>1</v>
      </c>
      <c r="K172">
        <v>10</v>
      </c>
      <c r="L172">
        <v>10</v>
      </c>
      <c r="M172">
        <v>28.4</v>
      </c>
      <c r="N172" t="s">
        <v>278</v>
      </c>
      <c r="O172" t="s">
        <v>827</v>
      </c>
      <c r="P172">
        <v>1</v>
      </c>
      <c r="Q172">
        <v>1</v>
      </c>
      <c r="R172">
        <v>0.06</v>
      </c>
      <c r="S172">
        <v>5</v>
      </c>
      <c r="T172">
        <v>0</v>
      </c>
      <c r="U172">
        <v>0</v>
      </c>
      <c r="V172">
        <v>483</v>
      </c>
      <c r="W172">
        <v>0.06</v>
      </c>
      <c r="X172">
        <v>5</v>
      </c>
      <c r="Y172">
        <v>0</v>
      </c>
      <c r="Z172">
        <v>483</v>
      </c>
      <c r="AA172">
        <v>377</v>
      </c>
      <c r="AB172">
        <v>0.78100000000000003</v>
      </c>
      <c r="AC172">
        <v>1</v>
      </c>
      <c r="AD172">
        <v>8.5000000000000006E-2</v>
      </c>
      <c r="AE172">
        <v>0</v>
      </c>
      <c r="AF172">
        <v>0</v>
      </c>
      <c r="AG172" t="s">
        <v>828</v>
      </c>
      <c r="AH172">
        <v>0</v>
      </c>
      <c r="AI172">
        <v>0</v>
      </c>
      <c r="AJ172">
        <v>0</v>
      </c>
    </row>
    <row r="173" spans="2:36" x14ac:dyDescent="0.3">
      <c r="B173" s="28"/>
      <c r="C173" t="s">
        <v>1741</v>
      </c>
      <c r="D173" t="s">
        <v>1723</v>
      </c>
      <c r="E173" t="s">
        <v>825</v>
      </c>
      <c r="F173" t="s">
        <v>826</v>
      </c>
      <c r="G173" t="s">
        <v>1742</v>
      </c>
      <c r="H173" t="s">
        <v>1955</v>
      </c>
      <c r="I173">
        <v>2117.5</v>
      </c>
      <c r="J173">
        <v>1</v>
      </c>
      <c r="K173">
        <v>10</v>
      </c>
      <c r="L173">
        <v>10</v>
      </c>
      <c r="M173">
        <v>10.6</v>
      </c>
      <c r="N173" t="s">
        <v>278</v>
      </c>
      <c r="O173" t="s">
        <v>827</v>
      </c>
      <c r="P173">
        <v>1</v>
      </c>
      <c r="Q173">
        <v>1</v>
      </c>
      <c r="R173">
        <v>0.06</v>
      </c>
      <c r="S173">
        <v>5</v>
      </c>
      <c r="T173">
        <v>0</v>
      </c>
      <c r="U173">
        <v>0</v>
      </c>
      <c r="V173">
        <v>180</v>
      </c>
      <c r="W173">
        <v>0.06</v>
      </c>
      <c r="X173">
        <v>5</v>
      </c>
      <c r="Y173">
        <v>0</v>
      </c>
      <c r="Z173">
        <v>180</v>
      </c>
      <c r="AA173">
        <v>141</v>
      </c>
      <c r="AB173">
        <v>0.78100000000000003</v>
      </c>
      <c r="AC173">
        <v>1</v>
      </c>
      <c r="AD173">
        <v>8.5000000000000006E-2</v>
      </c>
      <c r="AE173">
        <v>0</v>
      </c>
      <c r="AF173">
        <v>0</v>
      </c>
      <c r="AG173" t="s">
        <v>828</v>
      </c>
      <c r="AH173">
        <v>0</v>
      </c>
      <c r="AI173">
        <v>0</v>
      </c>
      <c r="AJ173">
        <v>0</v>
      </c>
    </row>
    <row r="174" spans="2:36" x14ac:dyDescent="0.3">
      <c r="B174" s="28"/>
      <c r="C174" t="s">
        <v>1743</v>
      </c>
      <c r="D174" t="s">
        <v>1723</v>
      </c>
      <c r="E174" t="s">
        <v>844</v>
      </c>
      <c r="F174" t="s">
        <v>560</v>
      </c>
      <c r="G174" t="s">
        <v>1744</v>
      </c>
      <c r="H174" t="s">
        <v>1343</v>
      </c>
      <c r="I174">
        <v>502.6</v>
      </c>
      <c r="J174">
        <v>1</v>
      </c>
      <c r="K174">
        <v>3</v>
      </c>
      <c r="L174">
        <v>3</v>
      </c>
      <c r="M174">
        <v>0.8</v>
      </c>
      <c r="N174" t="s">
        <v>1344</v>
      </c>
      <c r="O174" t="s">
        <v>828</v>
      </c>
      <c r="P174">
        <v>1</v>
      </c>
      <c r="Q174">
        <v>1</v>
      </c>
      <c r="R174">
        <v>0</v>
      </c>
      <c r="S174">
        <v>0</v>
      </c>
      <c r="T174">
        <v>0</v>
      </c>
      <c r="U174">
        <v>0</v>
      </c>
      <c r="V174">
        <v>0</v>
      </c>
      <c r="W174">
        <v>0</v>
      </c>
      <c r="X174">
        <v>0</v>
      </c>
      <c r="Y174">
        <v>0</v>
      </c>
      <c r="Z174">
        <v>0</v>
      </c>
      <c r="AA174">
        <v>0</v>
      </c>
      <c r="AB174">
        <v>0.78100000000000003</v>
      </c>
      <c r="AC174">
        <v>1</v>
      </c>
      <c r="AD174">
        <v>0</v>
      </c>
      <c r="AE174">
        <v>0</v>
      </c>
      <c r="AF174">
        <v>0</v>
      </c>
      <c r="AG174" t="s">
        <v>828</v>
      </c>
      <c r="AH174">
        <v>0</v>
      </c>
      <c r="AI174">
        <v>0</v>
      </c>
      <c r="AJ174">
        <v>0</v>
      </c>
    </row>
    <row r="175" spans="2:36" x14ac:dyDescent="0.3">
      <c r="B175" s="28"/>
      <c r="C175" t="s">
        <v>1745</v>
      </c>
      <c r="D175" t="s">
        <v>1723</v>
      </c>
      <c r="E175" t="s">
        <v>844</v>
      </c>
      <c r="F175" t="s">
        <v>560</v>
      </c>
      <c r="G175" t="s">
        <v>1744</v>
      </c>
      <c r="H175" t="s">
        <v>1343</v>
      </c>
      <c r="I175">
        <v>670.6</v>
      </c>
      <c r="J175">
        <v>1</v>
      </c>
      <c r="K175">
        <v>3</v>
      </c>
      <c r="L175">
        <v>3</v>
      </c>
      <c r="M175">
        <v>1</v>
      </c>
      <c r="N175" t="s">
        <v>1344</v>
      </c>
      <c r="O175" t="s">
        <v>828</v>
      </c>
      <c r="P175">
        <v>1</v>
      </c>
      <c r="Q175">
        <v>1</v>
      </c>
      <c r="R175">
        <v>0</v>
      </c>
      <c r="S175">
        <v>0</v>
      </c>
      <c r="T175">
        <v>0</v>
      </c>
      <c r="U175">
        <v>0</v>
      </c>
      <c r="V175">
        <v>0</v>
      </c>
      <c r="W175">
        <v>0</v>
      </c>
      <c r="X175">
        <v>0</v>
      </c>
      <c r="Y175">
        <v>0</v>
      </c>
      <c r="Z175">
        <v>0</v>
      </c>
      <c r="AA175">
        <v>0</v>
      </c>
      <c r="AB175">
        <v>0.78100000000000003</v>
      </c>
      <c r="AC175">
        <v>1</v>
      </c>
      <c r="AD175">
        <v>0</v>
      </c>
      <c r="AE175">
        <v>0</v>
      </c>
      <c r="AF175">
        <v>0</v>
      </c>
      <c r="AG175" t="s">
        <v>828</v>
      </c>
      <c r="AH175">
        <v>0</v>
      </c>
      <c r="AI175">
        <v>0</v>
      </c>
      <c r="AJ175">
        <v>0</v>
      </c>
    </row>
    <row r="176" spans="2:36" x14ac:dyDescent="0.3">
      <c r="B176" s="28"/>
      <c r="C176" t="s">
        <v>1746</v>
      </c>
      <c r="D176" t="s">
        <v>1747</v>
      </c>
      <c r="E176" t="s">
        <v>844</v>
      </c>
      <c r="F176" t="s">
        <v>837</v>
      </c>
      <c r="G176" t="s">
        <v>1748</v>
      </c>
      <c r="H176" t="s">
        <v>1821</v>
      </c>
      <c r="I176">
        <v>131.5</v>
      </c>
      <c r="J176">
        <v>1</v>
      </c>
      <c r="K176">
        <v>3</v>
      </c>
      <c r="L176">
        <v>3</v>
      </c>
      <c r="M176">
        <v>0.2</v>
      </c>
      <c r="N176" t="s">
        <v>278</v>
      </c>
      <c r="O176" t="s">
        <v>827</v>
      </c>
      <c r="P176">
        <v>1</v>
      </c>
      <c r="Q176">
        <v>1</v>
      </c>
      <c r="R176">
        <v>0</v>
      </c>
      <c r="S176">
        <v>0</v>
      </c>
      <c r="T176">
        <v>0</v>
      </c>
      <c r="U176">
        <v>0</v>
      </c>
      <c r="V176">
        <v>0</v>
      </c>
      <c r="W176">
        <v>0</v>
      </c>
      <c r="X176">
        <v>0</v>
      </c>
      <c r="Y176">
        <v>0</v>
      </c>
      <c r="Z176">
        <v>0</v>
      </c>
      <c r="AA176">
        <v>0</v>
      </c>
      <c r="AB176">
        <v>0.56200000000000006</v>
      </c>
      <c r="AC176">
        <v>1</v>
      </c>
      <c r="AD176">
        <v>0.219</v>
      </c>
      <c r="AE176">
        <v>0</v>
      </c>
      <c r="AF176">
        <v>0</v>
      </c>
      <c r="AG176" t="s">
        <v>828</v>
      </c>
      <c r="AH176">
        <v>0</v>
      </c>
      <c r="AI176">
        <v>0</v>
      </c>
      <c r="AJ176">
        <v>0</v>
      </c>
    </row>
    <row r="177" spans="2:36" x14ac:dyDescent="0.3">
      <c r="B177" s="28"/>
      <c r="C177" t="s">
        <v>1749</v>
      </c>
      <c r="D177" t="s">
        <v>1747</v>
      </c>
      <c r="E177" t="s">
        <v>825</v>
      </c>
      <c r="F177" t="s">
        <v>842</v>
      </c>
      <c r="G177" t="s">
        <v>1750</v>
      </c>
      <c r="H177" t="s">
        <v>1843</v>
      </c>
      <c r="I177">
        <v>1554.2</v>
      </c>
      <c r="J177">
        <v>1</v>
      </c>
      <c r="K177">
        <v>1.6</v>
      </c>
      <c r="L177">
        <v>0</v>
      </c>
      <c r="M177">
        <v>2.4</v>
      </c>
      <c r="N177" t="s">
        <v>278</v>
      </c>
      <c r="O177" t="s">
        <v>827</v>
      </c>
      <c r="P177">
        <v>1</v>
      </c>
      <c r="Q177">
        <v>1</v>
      </c>
      <c r="R177">
        <v>8.5000000000000006E-2</v>
      </c>
      <c r="S177">
        <v>0</v>
      </c>
      <c r="T177">
        <v>0</v>
      </c>
      <c r="U177">
        <v>0</v>
      </c>
      <c r="V177">
        <v>132</v>
      </c>
      <c r="W177">
        <v>8.5000000000000006E-2</v>
      </c>
      <c r="X177">
        <v>0</v>
      </c>
      <c r="Y177">
        <v>0</v>
      </c>
      <c r="Z177">
        <v>132</v>
      </c>
      <c r="AA177">
        <v>132</v>
      </c>
      <c r="AB177">
        <v>1</v>
      </c>
      <c r="AC177">
        <v>1</v>
      </c>
      <c r="AD177">
        <v>8.5000000000000006E-2</v>
      </c>
      <c r="AE177">
        <v>0</v>
      </c>
      <c r="AF177">
        <v>132</v>
      </c>
      <c r="AG177" t="s">
        <v>828</v>
      </c>
      <c r="AH177">
        <v>0</v>
      </c>
      <c r="AI177">
        <v>0</v>
      </c>
      <c r="AJ177">
        <v>0</v>
      </c>
    </row>
    <row r="178" spans="2:36" x14ac:dyDescent="0.3">
      <c r="B178" s="28"/>
      <c r="C178" t="s">
        <v>1751</v>
      </c>
      <c r="D178" t="s">
        <v>1747</v>
      </c>
      <c r="E178" t="s">
        <v>825</v>
      </c>
      <c r="F178" t="s">
        <v>842</v>
      </c>
      <c r="G178" t="s">
        <v>1752</v>
      </c>
      <c r="H178" t="s">
        <v>1844</v>
      </c>
      <c r="I178">
        <v>9121.9</v>
      </c>
      <c r="J178">
        <v>1</v>
      </c>
      <c r="K178">
        <v>1.6</v>
      </c>
      <c r="L178">
        <v>0</v>
      </c>
      <c r="M178">
        <v>14.2</v>
      </c>
      <c r="N178" t="s">
        <v>278</v>
      </c>
      <c r="O178" t="s">
        <v>827</v>
      </c>
      <c r="P178">
        <v>1</v>
      </c>
      <c r="Q178">
        <v>1</v>
      </c>
      <c r="R178">
        <v>8.5000000000000006E-2</v>
      </c>
      <c r="S178">
        <v>0</v>
      </c>
      <c r="T178">
        <v>0</v>
      </c>
      <c r="U178">
        <v>0</v>
      </c>
      <c r="V178">
        <v>775</v>
      </c>
      <c r="W178">
        <v>8.5000000000000006E-2</v>
      </c>
      <c r="X178">
        <v>0</v>
      </c>
      <c r="Y178">
        <v>0</v>
      </c>
      <c r="Z178">
        <v>775</v>
      </c>
      <c r="AA178">
        <v>775</v>
      </c>
      <c r="AB178">
        <v>1</v>
      </c>
      <c r="AC178">
        <v>1</v>
      </c>
      <c r="AD178">
        <v>8.5000000000000006E-2</v>
      </c>
      <c r="AE178">
        <v>0</v>
      </c>
      <c r="AF178">
        <v>775</v>
      </c>
      <c r="AG178" t="s">
        <v>828</v>
      </c>
      <c r="AH178">
        <v>0</v>
      </c>
      <c r="AI178">
        <v>0</v>
      </c>
      <c r="AJ178">
        <v>0</v>
      </c>
    </row>
    <row r="179" spans="2:36" x14ac:dyDescent="0.3">
      <c r="B179" s="28"/>
      <c r="C179" t="s">
        <v>1753</v>
      </c>
      <c r="D179" t="s">
        <v>1747</v>
      </c>
      <c r="E179" t="s">
        <v>825</v>
      </c>
      <c r="F179" t="s">
        <v>842</v>
      </c>
      <c r="G179" t="s">
        <v>1754</v>
      </c>
      <c r="H179" t="s">
        <v>1845</v>
      </c>
      <c r="I179">
        <v>1658.8</v>
      </c>
      <c r="J179">
        <v>1</v>
      </c>
      <c r="K179">
        <v>1.6</v>
      </c>
      <c r="L179">
        <v>0</v>
      </c>
      <c r="M179">
        <v>2.6</v>
      </c>
      <c r="N179" t="s">
        <v>278</v>
      </c>
      <c r="O179" t="s">
        <v>827</v>
      </c>
      <c r="P179">
        <v>1</v>
      </c>
      <c r="Q179">
        <v>1</v>
      </c>
      <c r="R179">
        <v>8.5000000000000006E-2</v>
      </c>
      <c r="S179">
        <v>0</v>
      </c>
      <c r="T179">
        <v>0</v>
      </c>
      <c r="U179">
        <v>0</v>
      </c>
      <c r="V179">
        <v>141</v>
      </c>
      <c r="W179">
        <v>8.5000000000000006E-2</v>
      </c>
      <c r="X179">
        <v>0</v>
      </c>
      <c r="Y179">
        <v>0</v>
      </c>
      <c r="Z179">
        <v>141</v>
      </c>
      <c r="AA179">
        <v>141</v>
      </c>
      <c r="AB179">
        <v>1</v>
      </c>
      <c r="AC179">
        <v>1</v>
      </c>
      <c r="AD179">
        <v>8.5000000000000006E-2</v>
      </c>
      <c r="AE179">
        <v>0</v>
      </c>
      <c r="AF179">
        <v>141</v>
      </c>
      <c r="AG179" t="s">
        <v>828</v>
      </c>
      <c r="AH179">
        <v>0</v>
      </c>
      <c r="AI179">
        <v>0</v>
      </c>
      <c r="AJ179">
        <v>0</v>
      </c>
    </row>
    <row r="180" spans="2:36" x14ac:dyDescent="0.3">
      <c r="B180" s="28"/>
      <c r="C180" t="s">
        <v>1755</v>
      </c>
      <c r="D180" t="s">
        <v>1747</v>
      </c>
      <c r="E180" t="s">
        <v>825</v>
      </c>
      <c r="F180" t="s">
        <v>836</v>
      </c>
      <c r="G180" t="s">
        <v>1748</v>
      </c>
      <c r="H180" t="s">
        <v>1821</v>
      </c>
      <c r="I180">
        <v>1929.3</v>
      </c>
      <c r="J180">
        <v>1</v>
      </c>
      <c r="K180">
        <v>10</v>
      </c>
      <c r="L180">
        <v>10</v>
      </c>
      <c r="M180">
        <v>9.6</v>
      </c>
      <c r="N180" t="s">
        <v>278</v>
      </c>
      <c r="O180" t="s">
        <v>827</v>
      </c>
      <c r="P180">
        <v>1</v>
      </c>
      <c r="Q180">
        <v>1</v>
      </c>
      <c r="R180">
        <v>0.18</v>
      </c>
      <c r="S180">
        <v>0</v>
      </c>
      <c r="T180">
        <v>0</v>
      </c>
      <c r="U180">
        <v>0</v>
      </c>
      <c r="V180">
        <v>600</v>
      </c>
      <c r="W180">
        <v>0.12</v>
      </c>
      <c r="X180">
        <v>0</v>
      </c>
      <c r="Y180">
        <v>0</v>
      </c>
      <c r="Z180">
        <v>232</v>
      </c>
      <c r="AA180">
        <v>337</v>
      </c>
      <c r="AB180">
        <v>0.56200000000000006</v>
      </c>
      <c r="AC180">
        <v>1</v>
      </c>
      <c r="AD180">
        <v>0.219</v>
      </c>
      <c r="AE180">
        <v>0</v>
      </c>
      <c r="AF180">
        <v>0</v>
      </c>
      <c r="AG180" t="s">
        <v>828</v>
      </c>
      <c r="AH180">
        <v>0</v>
      </c>
      <c r="AI180">
        <v>0</v>
      </c>
      <c r="AJ180">
        <v>0</v>
      </c>
    </row>
    <row r="181" spans="2:36" x14ac:dyDescent="0.3">
      <c r="B181" s="28"/>
      <c r="C181" t="s">
        <v>1756</v>
      </c>
      <c r="D181" t="s">
        <v>1747</v>
      </c>
      <c r="E181" t="s">
        <v>825</v>
      </c>
      <c r="F181" t="s">
        <v>838</v>
      </c>
      <c r="G181" t="s">
        <v>1757</v>
      </c>
      <c r="H181" t="s">
        <v>1957</v>
      </c>
      <c r="I181">
        <v>1064.5</v>
      </c>
      <c r="J181">
        <v>1</v>
      </c>
      <c r="K181">
        <v>66.7</v>
      </c>
      <c r="L181">
        <v>66.7</v>
      </c>
      <c r="M181">
        <v>35.5</v>
      </c>
      <c r="N181" t="s">
        <v>278</v>
      </c>
      <c r="O181" t="s">
        <v>827</v>
      </c>
      <c r="P181">
        <v>1</v>
      </c>
      <c r="Q181">
        <v>1</v>
      </c>
      <c r="R181">
        <v>0.06</v>
      </c>
      <c r="S181">
        <v>5</v>
      </c>
      <c r="T181">
        <v>0</v>
      </c>
      <c r="U181">
        <v>0</v>
      </c>
      <c r="V181">
        <v>241</v>
      </c>
      <c r="W181">
        <v>0.06</v>
      </c>
      <c r="X181">
        <v>5</v>
      </c>
      <c r="Y181">
        <v>0</v>
      </c>
      <c r="Z181">
        <v>241</v>
      </c>
      <c r="AA181">
        <v>136</v>
      </c>
      <c r="AB181">
        <v>0.56200000000000006</v>
      </c>
      <c r="AC181">
        <v>1</v>
      </c>
      <c r="AD181">
        <v>0.22700000000000001</v>
      </c>
      <c r="AE181">
        <v>0</v>
      </c>
      <c r="AF181">
        <v>0</v>
      </c>
      <c r="AG181" t="s">
        <v>828</v>
      </c>
      <c r="AH181">
        <v>0</v>
      </c>
      <c r="AI181">
        <v>0</v>
      </c>
      <c r="AJ181">
        <v>0</v>
      </c>
    </row>
    <row r="182" spans="2:36" x14ac:dyDescent="0.3">
      <c r="B182" s="28"/>
      <c r="C182" t="s">
        <v>1758</v>
      </c>
      <c r="D182" t="s">
        <v>1747</v>
      </c>
      <c r="E182" t="s">
        <v>825</v>
      </c>
      <c r="F182" t="s">
        <v>842</v>
      </c>
      <c r="G182" t="s">
        <v>1759</v>
      </c>
      <c r="H182" t="s">
        <v>1846</v>
      </c>
      <c r="I182">
        <v>5744</v>
      </c>
      <c r="J182">
        <v>1</v>
      </c>
      <c r="K182">
        <v>1.6</v>
      </c>
      <c r="L182">
        <v>0</v>
      </c>
      <c r="M182">
        <v>9</v>
      </c>
      <c r="N182" t="s">
        <v>278</v>
      </c>
      <c r="O182" t="s">
        <v>827</v>
      </c>
      <c r="P182">
        <v>1</v>
      </c>
      <c r="Q182">
        <v>1</v>
      </c>
      <c r="R182">
        <v>8.5000000000000006E-2</v>
      </c>
      <c r="S182">
        <v>0</v>
      </c>
      <c r="T182">
        <v>0</v>
      </c>
      <c r="U182">
        <v>0</v>
      </c>
      <c r="V182">
        <v>488</v>
      </c>
      <c r="W182">
        <v>8.5000000000000006E-2</v>
      </c>
      <c r="X182">
        <v>0</v>
      </c>
      <c r="Y182">
        <v>0</v>
      </c>
      <c r="Z182">
        <v>488</v>
      </c>
      <c r="AA182">
        <v>488</v>
      </c>
      <c r="AB182">
        <v>1</v>
      </c>
      <c r="AC182">
        <v>1</v>
      </c>
      <c r="AD182">
        <v>8.5000000000000006E-2</v>
      </c>
      <c r="AE182">
        <v>0</v>
      </c>
      <c r="AF182">
        <v>488</v>
      </c>
      <c r="AG182" t="s">
        <v>828</v>
      </c>
      <c r="AH182">
        <v>0</v>
      </c>
      <c r="AI182">
        <v>0</v>
      </c>
      <c r="AJ182">
        <v>0</v>
      </c>
    </row>
    <row r="183" spans="2:36" x14ac:dyDescent="0.3">
      <c r="B183" s="28"/>
      <c r="C183" t="s">
        <v>1760</v>
      </c>
      <c r="D183" t="s">
        <v>1747</v>
      </c>
      <c r="E183" t="s">
        <v>825</v>
      </c>
      <c r="F183" t="s">
        <v>842</v>
      </c>
      <c r="G183" t="s">
        <v>1761</v>
      </c>
      <c r="H183" t="s">
        <v>1847</v>
      </c>
      <c r="I183">
        <v>1327.3</v>
      </c>
      <c r="J183">
        <v>1</v>
      </c>
      <c r="K183">
        <v>1.6</v>
      </c>
      <c r="L183">
        <v>0</v>
      </c>
      <c r="M183">
        <v>2.1</v>
      </c>
      <c r="N183" t="s">
        <v>278</v>
      </c>
      <c r="O183" t="s">
        <v>827</v>
      </c>
      <c r="P183">
        <v>1</v>
      </c>
      <c r="Q183">
        <v>1</v>
      </c>
      <c r="R183">
        <v>8.5000000000000006E-2</v>
      </c>
      <c r="S183">
        <v>0</v>
      </c>
      <c r="T183">
        <v>0</v>
      </c>
      <c r="U183">
        <v>0</v>
      </c>
      <c r="V183">
        <v>113</v>
      </c>
      <c r="W183">
        <v>8.5000000000000006E-2</v>
      </c>
      <c r="X183">
        <v>0</v>
      </c>
      <c r="Y183">
        <v>0</v>
      </c>
      <c r="Z183">
        <v>113</v>
      </c>
      <c r="AA183">
        <v>113</v>
      </c>
      <c r="AB183">
        <v>1</v>
      </c>
      <c r="AC183">
        <v>1</v>
      </c>
      <c r="AD183">
        <v>8.5000000000000006E-2</v>
      </c>
      <c r="AE183">
        <v>0</v>
      </c>
      <c r="AF183">
        <v>113</v>
      </c>
      <c r="AG183" t="s">
        <v>828</v>
      </c>
      <c r="AH183">
        <v>0</v>
      </c>
      <c r="AI183">
        <v>0</v>
      </c>
      <c r="AJ183">
        <v>0</v>
      </c>
    </row>
    <row r="184" spans="2:36" x14ac:dyDescent="0.3">
      <c r="B184" s="28"/>
      <c r="C184" t="s">
        <v>1762</v>
      </c>
      <c r="D184" t="s">
        <v>1747</v>
      </c>
      <c r="E184" t="s">
        <v>825</v>
      </c>
      <c r="F184" t="s">
        <v>842</v>
      </c>
      <c r="G184" t="s">
        <v>1763</v>
      </c>
      <c r="H184" t="s">
        <v>1848</v>
      </c>
      <c r="I184">
        <v>2406.1</v>
      </c>
      <c r="J184">
        <v>1</v>
      </c>
      <c r="K184">
        <v>1.6</v>
      </c>
      <c r="L184">
        <v>0</v>
      </c>
      <c r="M184">
        <v>3.8</v>
      </c>
      <c r="N184" t="s">
        <v>278</v>
      </c>
      <c r="O184" t="s">
        <v>827</v>
      </c>
      <c r="P184">
        <v>1</v>
      </c>
      <c r="Q184">
        <v>1</v>
      </c>
      <c r="R184">
        <v>8.5000000000000006E-2</v>
      </c>
      <c r="S184">
        <v>0</v>
      </c>
      <c r="T184">
        <v>0</v>
      </c>
      <c r="U184">
        <v>0</v>
      </c>
      <c r="V184">
        <v>205</v>
      </c>
      <c r="W184">
        <v>8.5000000000000006E-2</v>
      </c>
      <c r="X184">
        <v>0</v>
      </c>
      <c r="Y184">
        <v>0</v>
      </c>
      <c r="Z184">
        <v>205</v>
      </c>
      <c r="AA184">
        <v>205</v>
      </c>
      <c r="AB184">
        <v>1</v>
      </c>
      <c r="AC184">
        <v>1</v>
      </c>
      <c r="AD184">
        <v>8.5000000000000006E-2</v>
      </c>
      <c r="AE184">
        <v>0</v>
      </c>
      <c r="AF184">
        <v>205</v>
      </c>
      <c r="AG184" t="s">
        <v>828</v>
      </c>
      <c r="AH184">
        <v>0</v>
      </c>
      <c r="AI184">
        <v>0</v>
      </c>
      <c r="AJ184">
        <v>0</v>
      </c>
    </row>
    <row r="185" spans="2:36" x14ac:dyDescent="0.3">
      <c r="B185" s="28"/>
      <c r="C185" t="s">
        <v>1764</v>
      </c>
      <c r="D185" t="s">
        <v>1747</v>
      </c>
      <c r="E185" t="s">
        <v>844</v>
      </c>
      <c r="F185" t="s">
        <v>834</v>
      </c>
      <c r="G185" t="s">
        <v>1748</v>
      </c>
      <c r="H185" t="s">
        <v>1821</v>
      </c>
      <c r="I185">
        <v>99.2</v>
      </c>
      <c r="J185">
        <v>1</v>
      </c>
      <c r="K185">
        <v>0</v>
      </c>
      <c r="L185">
        <v>0</v>
      </c>
      <c r="M185">
        <v>0</v>
      </c>
      <c r="N185" t="s">
        <v>278</v>
      </c>
      <c r="O185" t="s">
        <v>827</v>
      </c>
      <c r="P185">
        <v>1</v>
      </c>
      <c r="Q185">
        <v>1</v>
      </c>
      <c r="R185">
        <v>0</v>
      </c>
      <c r="S185">
        <v>0</v>
      </c>
      <c r="T185">
        <v>0</v>
      </c>
      <c r="U185">
        <v>0</v>
      </c>
      <c r="V185">
        <v>0</v>
      </c>
      <c r="W185">
        <v>0</v>
      </c>
      <c r="X185">
        <v>0</v>
      </c>
      <c r="Y185">
        <v>0</v>
      </c>
      <c r="Z185">
        <v>0</v>
      </c>
      <c r="AA185">
        <v>0</v>
      </c>
      <c r="AB185">
        <v>1</v>
      </c>
      <c r="AC185">
        <v>1</v>
      </c>
      <c r="AD185">
        <v>0.219</v>
      </c>
      <c r="AE185">
        <v>0</v>
      </c>
      <c r="AF185">
        <v>0</v>
      </c>
      <c r="AG185" t="s">
        <v>828</v>
      </c>
      <c r="AH185">
        <v>0</v>
      </c>
      <c r="AI185">
        <v>0</v>
      </c>
      <c r="AJ185">
        <v>0</v>
      </c>
    </row>
    <row r="186" spans="2:36" x14ac:dyDescent="0.3">
      <c r="B186" s="28"/>
      <c r="C186" t="s">
        <v>1765</v>
      </c>
      <c r="D186" t="s">
        <v>1747</v>
      </c>
      <c r="E186" t="s">
        <v>844</v>
      </c>
      <c r="F186" t="s">
        <v>834</v>
      </c>
      <c r="G186" t="s">
        <v>1748</v>
      </c>
      <c r="H186" t="s">
        <v>1821</v>
      </c>
      <c r="I186">
        <v>91.4</v>
      </c>
      <c r="J186">
        <v>1</v>
      </c>
      <c r="K186">
        <v>0</v>
      </c>
      <c r="L186">
        <v>0</v>
      </c>
      <c r="M186">
        <v>0</v>
      </c>
      <c r="N186" t="s">
        <v>278</v>
      </c>
      <c r="O186" t="s">
        <v>827</v>
      </c>
      <c r="P186">
        <v>1</v>
      </c>
      <c r="Q186">
        <v>1</v>
      </c>
      <c r="R186">
        <v>0</v>
      </c>
      <c r="S186">
        <v>0</v>
      </c>
      <c r="T186">
        <v>0</v>
      </c>
      <c r="U186">
        <v>0</v>
      </c>
      <c r="V186">
        <v>0</v>
      </c>
      <c r="W186">
        <v>0</v>
      </c>
      <c r="X186">
        <v>0</v>
      </c>
      <c r="Y186">
        <v>0</v>
      </c>
      <c r="Z186">
        <v>0</v>
      </c>
      <c r="AA186">
        <v>0</v>
      </c>
      <c r="AB186">
        <v>1</v>
      </c>
      <c r="AC186">
        <v>1</v>
      </c>
      <c r="AD186">
        <v>0.219</v>
      </c>
      <c r="AE186">
        <v>0</v>
      </c>
      <c r="AF186">
        <v>0</v>
      </c>
      <c r="AG186" t="s">
        <v>828</v>
      </c>
      <c r="AH186">
        <v>0</v>
      </c>
      <c r="AI186">
        <v>0</v>
      </c>
      <c r="AJ186">
        <v>0</v>
      </c>
    </row>
    <row r="187" spans="2:36" x14ac:dyDescent="0.3">
      <c r="B187" s="28"/>
      <c r="C187" t="s">
        <v>1766</v>
      </c>
      <c r="D187" t="s">
        <v>1747</v>
      </c>
      <c r="E187" t="s">
        <v>844</v>
      </c>
      <c r="F187" t="s">
        <v>841</v>
      </c>
      <c r="G187" t="s">
        <v>1748</v>
      </c>
      <c r="H187" t="s">
        <v>1821</v>
      </c>
      <c r="I187">
        <v>228.6</v>
      </c>
      <c r="J187">
        <v>1</v>
      </c>
      <c r="K187">
        <v>10</v>
      </c>
      <c r="L187">
        <v>10</v>
      </c>
      <c r="M187">
        <v>1.1000000000000001</v>
      </c>
      <c r="N187" t="s">
        <v>278</v>
      </c>
      <c r="O187" t="s">
        <v>827</v>
      </c>
      <c r="P187">
        <v>1</v>
      </c>
      <c r="Q187">
        <v>1</v>
      </c>
      <c r="R187">
        <v>0</v>
      </c>
      <c r="S187">
        <v>0</v>
      </c>
      <c r="T187">
        <v>0</v>
      </c>
      <c r="U187">
        <v>0</v>
      </c>
      <c r="V187">
        <v>0</v>
      </c>
      <c r="W187">
        <v>0</v>
      </c>
      <c r="X187">
        <v>0</v>
      </c>
      <c r="Y187">
        <v>0</v>
      </c>
      <c r="Z187">
        <v>0</v>
      </c>
      <c r="AA187">
        <v>0</v>
      </c>
      <c r="AB187">
        <v>0.56200000000000006</v>
      </c>
      <c r="AC187">
        <v>1</v>
      </c>
      <c r="AD187">
        <v>0.219</v>
      </c>
      <c r="AE187">
        <v>0</v>
      </c>
      <c r="AF187">
        <v>0</v>
      </c>
      <c r="AG187" t="s">
        <v>828</v>
      </c>
      <c r="AH187">
        <v>0</v>
      </c>
      <c r="AI187">
        <v>0</v>
      </c>
      <c r="AJ187">
        <v>0</v>
      </c>
    </row>
    <row r="188" spans="2:36" x14ac:dyDescent="0.3">
      <c r="B188" s="28"/>
      <c r="C188" t="s">
        <v>1767</v>
      </c>
      <c r="D188" t="s">
        <v>1747</v>
      </c>
      <c r="E188" t="s">
        <v>825</v>
      </c>
      <c r="F188" t="s">
        <v>560</v>
      </c>
      <c r="G188" t="s">
        <v>1748</v>
      </c>
      <c r="H188" t="s">
        <v>1821</v>
      </c>
      <c r="I188">
        <v>53.1</v>
      </c>
      <c r="J188">
        <v>1</v>
      </c>
      <c r="K188">
        <v>3</v>
      </c>
      <c r="L188">
        <v>3</v>
      </c>
      <c r="M188">
        <v>0.1</v>
      </c>
      <c r="N188" t="s">
        <v>278</v>
      </c>
      <c r="O188" t="s">
        <v>827</v>
      </c>
      <c r="P188">
        <v>1</v>
      </c>
      <c r="Q188">
        <v>1</v>
      </c>
      <c r="R188">
        <v>0</v>
      </c>
      <c r="S188">
        <v>0</v>
      </c>
      <c r="T188">
        <v>0</v>
      </c>
      <c r="U188">
        <v>0</v>
      </c>
      <c r="V188">
        <v>0</v>
      </c>
      <c r="W188">
        <v>0</v>
      </c>
      <c r="X188">
        <v>0</v>
      </c>
      <c r="Y188">
        <v>0</v>
      </c>
      <c r="Z188">
        <v>0</v>
      </c>
      <c r="AA188">
        <v>0</v>
      </c>
      <c r="AB188">
        <v>0.56200000000000006</v>
      </c>
      <c r="AC188">
        <v>1</v>
      </c>
      <c r="AD188">
        <v>0.219</v>
      </c>
      <c r="AE188">
        <v>0</v>
      </c>
      <c r="AF188">
        <v>0</v>
      </c>
      <c r="AG188" t="s">
        <v>828</v>
      </c>
      <c r="AH188">
        <v>0</v>
      </c>
      <c r="AI188">
        <v>0</v>
      </c>
      <c r="AJ188">
        <v>0</v>
      </c>
    </row>
    <row r="189" spans="2:36" x14ac:dyDescent="0.3">
      <c r="B189" s="28"/>
      <c r="C189" t="s">
        <v>1768</v>
      </c>
      <c r="D189" t="s">
        <v>1747</v>
      </c>
      <c r="E189" t="s">
        <v>844</v>
      </c>
      <c r="F189" t="s">
        <v>841</v>
      </c>
      <c r="G189" t="s">
        <v>1748</v>
      </c>
      <c r="H189" t="s">
        <v>1821</v>
      </c>
      <c r="I189">
        <v>201.7</v>
      </c>
      <c r="J189">
        <v>1</v>
      </c>
      <c r="K189">
        <v>10</v>
      </c>
      <c r="L189">
        <v>10</v>
      </c>
      <c r="M189">
        <v>1</v>
      </c>
      <c r="N189" t="s">
        <v>278</v>
      </c>
      <c r="O189" t="s">
        <v>827</v>
      </c>
      <c r="P189">
        <v>1</v>
      </c>
      <c r="Q189">
        <v>1</v>
      </c>
      <c r="R189">
        <v>0</v>
      </c>
      <c r="S189">
        <v>0</v>
      </c>
      <c r="T189">
        <v>0</v>
      </c>
      <c r="U189">
        <v>0</v>
      </c>
      <c r="V189">
        <v>0</v>
      </c>
      <c r="W189">
        <v>0</v>
      </c>
      <c r="X189">
        <v>0</v>
      </c>
      <c r="Y189">
        <v>0</v>
      </c>
      <c r="Z189">
        <v>0</v>
      </c>
      <c r="AA189">
        <v>0</v>
      </c>
      <c r="AB189">
        <v>0.56200000000000006</v>
      </c>
      <c r="AC189">
        <v>1</v>
      </c>
      <c r="AD189">
        <v>0.219</v>
      </c>
      <c r="AE189">
        <v>0</v>
      </c>
      <c r="AF189">
        <v>0</v>
      </c>
      <c r="AG189" t="s">
        <v>828</v>
      </c>
      <c r="AH189">
        <v>0</v>
      </c>
      <c r="AI189">
        <v>0</v>
      </c>
      <c r="AJ189">
        <v>0</v>
      </c>
    </row>
    <row r="190" spans="2:36" x14ac:dyDescent="0.3">
      <c r="B190" s="28"/>
      <c r="C190" t="s">
        <v>1769</v>
      </c>
      <c r="D190" t="s">
        <v>1770</v>
      </c>
      <c r="E190" t="s">
        <v>825</v>
      </c>
      <c r="F190" t="s">
        <v>842</v>
      </c>
      <c r="G190" t="s">
        <v>1771</v>
      </c>
      <c r="H190" t="s">
        <v>1849</v>
      </c>
      <c r="I190">
        <v>5744</v>
      </c>
      <c r="J190">
        <v>2</v>
      </c>
      <c r="K190">
        <v>1.6</v>
      </c>
      <c r="L190">
        <v>0</v>
      </c>
      <c r="M190">
        <v>9</v>
      </c>
      <c r="N190" t="s">
        <v>278</v>
      </c>
      <c r="O190" t="s">
        <v>827</v>
      </c>
      <c r="P190">
        <v>1</v>
      </c>
      <c r="Q190">
        <v>1</v>
      </c>
      <c r="R190">
        <v>8.5000000000000006E-2</v>
      </c>
      <c r="S190">
        <v>0</v>
      </c>
      <c r="T190">
        <v>0</v>
      </c>
      <c r="U190">
        <v>0</v>
      </c>
      <c r="V190">
        <v>488</v>
      </c>
      <c r="W190">
        <v>8.5000000000000006E-2</v>
      </c>
      <c r="X190">
        <v>0</v>
      </c>
      <c r="Y190">
        <v>0</v>
      </c>
      <c r="Z190">
        <v>488</v>
      </c>
      <c r="AA190">
        <v>488</v>
      </c>
      <c r="AB190">
        <v>1</v>
      </c>
      <c r="AC190">
        <v>1</v>
      </c>
      <c r="AD190">
        <v>8.5000000000000006E-2</v>
      </c>
      <c r="AE190">
        <v>0</v>
      </c>
      <c r="AF190">
        <v>488</v>
      </c>
      <c r="AG190" t="s">
        <v>828</v>
      </c>
      <c r="AH190">
        <v>0</v>
      </c>
      <c r="AI190">
        <v>0</v>
      </c>
      <c r="AJ190">
        <v>0</v>
      </c>
    </row>
    <row r="191" spans="2:36" x14ac:dyDescent="0.3">
      <c r="B191" s="28"/>
      <c r="C191" t="s">
        <v>1772</v>
      </c>
      <c r="D191" t="s">
        <v>1770</v>
      </c>
      <c r="E191" t="s">
        <v>844</v>
      </c>
      <c r="F191" t="s">
        <v>834</v>
      </c>
      <c r="G191" t="s">
        <v>1773</v>
      </c>
      <c r="H191" t="s">
        <v>1821</v>
      </c>
      <c r="I191">
        <v>99.2</v>
      </c>
      <c r="J191">
        <v>2</v>
      </c>
      <c r="K191">
        <v>0</v>
      </c>
      <c r="L191">
        <v>0</v>
      </c>
      <c r="M191">
        <v>0</v>
      </c>
      <c r="N191" t="s">
        <v>278</v>
      </c>
      <c r="O191" t="s">
        <v>827</v>
      </c>
      <c r="P191">
        <v>1</v>
      </c>
      <c r="Q191">
        <v>1</v>
      </c>
      <c r="R191">
        <v>0</v>
      </c>
      <c r="S191">
        <v>0</v>
      </c>
      <c r="T191">
        <v>0</v>
      </c>
      <c r="U191">
        <v>0</v>
      </c>
      <c r="V191">
        <v>0</v>
      </c>
      <c r="W191">
        <v>0</v>
      </c>
      <c r="X191">
        <v>0</v>
      </c>
      <c r="Y191">
        <v>0</v>
      </c>
      <c r="Z191">
        <v>0</v>
      </c>
      <c r="AA191">
        <v>0</v>
      </c>
      <c r="AB191">
        <v>1</v>
      </c>
      <c r="AC191">
        <v>1</v>
      </c>
      <c r="AD191">
        <v>0.23</v>
      </c>
      <c r="AE191">
        <v>0</v>
      </c>
      <c r="AF191">
        <v>0</v>
      </c>
      <c r="AG191" t="s">
        <v>828</v>
      </c>
      <c r="AH191">
        <v>0</v>
      </c>
      <c r="AI191">
        <v>0</v>
      </c>
      <c r="AJ191">
        <v>0</v>
      </c>
    </row>
    <row r="192" spans="2:36" x14ac:dyDescent="0.3">
      <c r="B192" s="28"/>
      <c r="C192" t="s">
        <v>1774</v>
      </c>
      <c r="D192" t="s">
        <v>1770</v>
      </c>
      <c r="E192" t="s">
        <v>825</v>
      </c>
      <c r="F192" t="s">
        <v>836</v>
      </c>
      <c r="G192" t="s">
        <v>1773</v>
      </c>
      <c r="H192" t="s">
        <v>1821</v>
      </c>
      <c r="I192">
        <v>1929.3</v>
      </c>
      <c r="J192">
        <v>2</v>
      </c>
      <c r="K192">
        <v>10</v>
      </c>
      <c r="L192">
        <v>10</v>
      </c>
      <c r="M192">
        <v>9.6</v>
      </c>
      <c r="N192" t="s">
        <v>278</v>
      </c>
      <c r="O192" t="s">
        <v>827</v>
      </c>
      <c r="P192">
        <v>1</v>
      </c>
      <c r="Q192">
        <v>1</v>
      </c>
      <c r="R192">
        <v>0.18</v>
      </c>
      <c r="S192">
        <v>0</v>
      </c>
      <c r="T192">
        <v>0</v>
      </c>
      <c r="U192">
        <v>0</v>
      </c>
      <c r="V192">
        <v>600</v>
      </c>
      <c r="W192">
        <v>0.12</v>
      </c>
      <c r="X192">
        <v>0</v>
      </c>
      <c r="Y192">
        <v>0</v>
      </c>
      <c r="Z192">
        <v>232</v>
      </c>
      <c r="AA192">
        <v>232</v>
      </c>
      <c r="AB192">
        <v>0.38600000000000001</v>
      </c>
      <c r="AC192">
        <v>1</v>
      </c>
      <c r="AD192">
        <v>0.23</v>
      </c>
      <c r="AE192">
        <v>0</v>
      </c>
      <c r="AF192">
        <v>0</v>
      </c>
      <c r="AG192" t="s">
        <v>828</v>
      </c>
      <c r="AH192">
        <v>0</v>
      </c>
      <c r="AI192">
        <v>0</v>
      </c>
      <c r="AJ192">
        <v>0</v>
      </c>
    </row>
    <row r="193" spans="2:36" x14ac:dyDescent="0.3">
      <c r="B193" s="28"/>
      <c r="C193" t="s">
        <v>1775</v>
      </c>
      <c r="D193" t="s">
        <v>1770</v>
      </c>
      <c r="E193" t="s">
        <v>844</v>
      </c>
      <c r="F193" t="s">
        <v>834</v>
      </c>
      <c r="G193" t="s">
        <v>1773</v>
      </c>
      <c r="H193" t="s">
        <v>1821</v>
      </c>
      <c r="I193">
        <v>91.4</v>
      </c>
      <c r="J193">
        <v>2</v>
      </c>
      <c r="K193">
        <v>0</v>
      </c>
      <c r="L193">
        <v>0</v>
      </c>
      <c r="M193">
        <v>0</v>
      </c>
      <c r="N193" t="s">
        <v>278</v>
      </c>
      <c r="O193" t="s">
        <v>827</v>
      </c>
      <c r="P193">
        <v>1</v>
      </c>
      <c r="Q193">
        <v>1</v>
      </c>
      <c r="R193">
        <v>0</v>
      </c>
      <c r="S193">
        <v>0</v>
      </c>
      <c r="T193">
        <v>0</v>
      </c>
      <c r="U193">
        <v>0</v>
      </c>
      <c r="V193">
        <v>0</v>
      </c>
      <c r="W193">
        <v>0</v>
      </c>
      <c r="X193">
        <v>0</v>
      </c>
      <c r="Y193">
        <v>0</v>
      </c>
      <c r="Z193">
        <v>0</v>
      </c>
      <c r="AA193">
        <v>0</v>
      </c>
      <c r="AB193">
        <v>1</v>
      </c>
      <c r="AC193">
        <v>1</v>
      </c>
      <c r="AD193">
        <v>0.23</v>
      </c>
      <c r="AE193">
        <v>0</v>
      </c>
      <c r="AF193">
        <v>0</v>
      </c>
      <c r="AG193" t="s">
        <v>828</v>
      </c>
      <c r="AH193">
        <v>0</v>
      </c>
      <c r="AI193">
        <v>0</v>
      </c>
      <c r="AJ193">
        <v>0</v>
      </c>
    </row>
    <row r="194" spans="2:36" x14ac:dyDescent="0.3">
      <c r="B194" s="28"/>
      <c r="C194" t="s">
        <v>1776</v>
      </c>
      <c r="D194" t="s">
        <v>1770</v>
      </c>
      <c r="E194" t="s">
        <v>825</v>
      </c>
      <c r="F194" t="s">
        <v>842</v>
      </c>
      <c r="G194" t="s">
        <v>1777</v>
      </c>
      <c r="H194" t="s">
        <v>1850</v>
      </c>
      <c r="I194">
        <v>9253.4</v>
      </c>
      <c r="J194">
        <v>2</v>
      </c>
      <c r="K194">
        <v>1.6</v>
      </c>
      <c r="L194">
        <v>0</v>
      </c>
      <c r="M194">
        <v>14.4</v>
      </c>
      <c r="N194" t="s">
        <v>278</v>
      </c>
      <c r="O194" t="s">
        <v>827</v>
      </c>
      <c r="P194">
        <v>1</v>
      </c>
      <c r="Q194">
        <v>1</v>
      </c>
      <c r="R194">
        <v>8.5000000000000006E-2</v>
      </c>
      <c r="S194">
        <v>0</v>
      </c>
      <c r="T194">
        <v>0</v>
      </c>
      <c r="U194">
        <v>0</v>
      </c>
      <c r="V194">
        <v>787</v>
      </c>
      <c r="W194">
        <v>8.5000000000000006E-2</v>
      </c>
      <c r="X194">
        <v>0</v>
      </c>
      <c r="Y194">
        <v>0</v>
      </c>
      <c r="Z194">
        <v>787</v>
      </c>
      <c r="AA194">
        <v>787</v>
      </c>
      <c r="AB194">
        <v>1</v>
      </c>
      <c r="AC194">
        <v>1</v>
      </c>
      <c r="AD194">
        <v>8.5000000000000006E-2</v>
      </c>
      <c r="AE194">
        <v>0</v>
      </c>
      <c r="AF194">
        <v>787</v>
      </c>
      <c r="AG194" t="s">
        <v>828</v>
      </c>
      <c r="AH194">
        <v>0</v>
      </c>
      <c r="AI194">
        <v>0</v>
      </c>
      <c r="AJ194">
        <v>0</v>
      </c>
    </row>
    <row r="195" spans="2:36" x14ac:dyDescent="0.3">
      <c r="B195" s="28"/>
      <c r="C195" t="s">
        <v>1778</v>
      </c>
      <c r="D195" t="s">
        <v>1770</v>
      </c>
      <c r="E195" t="s">
        <v>825</v>
      </c>
      <c r="F195" t="s">
        <v>842</v>
      </c>
      <c r="G195" t="s">
        <v>1779</v>
      </c>
      <c r="H195" t="s">
        <v>1851</v>
      </c>
      <c r="I195">
        <v>2406.1</v>
      </c>
      <c r="J195">
        <v>2</v>
      </c>
      <c r="K195">
        <v>1.6</v>
      </c>
      <c r="L195">
        <v>0</v>
      </c>
      <c r="M195">
        <v>3.8</v>
      </c>
      <c r="N195" t="s">
        <v>278</v>
      </c>
      <c r="O195" t="s">
        <v>827</v>
      </c>
      <c r="P195">
        <v>1</v>
      </c>
      <c r="Q195">
        <v>1</v>
      </c>
      <c r="R195">
        <v>8.5000000000000006E-2</v>
      </c>
      <c r="S195">
        <v>0</v>
      </c>
      <c r="T195">
        <v>0</v>
      </c>
      <c r="U195">
        <v>0</v>
      </c>
      <c r="V195">
        <v>205</v>
      </c>
      <c r="W195">
        <v>8.5000000000000006E-2</v>
      </c>
      <c r="X195">
        <v>0</v>
      </c>
      <c r="Y195">
        <v>0</v>
      </c>
      <c r="Z195">
        <v>205</v>
      </c>
      <c r="AA195">
        <v>205</v>
      </c>
      <c r="AB195">
        <v>1</v>
      </c>
      <c r="AC195">
        <v>1</v>
      </c>
      <c r="AD195">
        <v>8.5000000000000006E-2</v>
      </c>
      <c r="AE195">
        <v>0</v>
      </c>
      <c r="AF195">
        <v>205</v>
      </c>
      <c r="AG195" t="s">
        <v>828</v>
      </c>
      <c r="AH195">
        <v>0</v>
      </c>
      <c r="AI195">
        <v>0</v>
      </c>
      <c r="AJ195">
        <v>0</v>
      </c>
    </row>
    <row r="196" spans="2:36" x14ac:dyDescent="0.3">
      <c r="B196" s="28"/>
      <c r="C196" t="s">
        <v>1780</v>
      </c>
      <c r="D196" t="s">
        <v>1770</v>
      </c>
      <c r="E196" t="s">
        <v>825</v>
      </c>
      <c r="F196" t="s">
        <v>842</v>
      </c>
      <c r="G196" t="s">
        <v>1781</v>
      </c>
      <c r="H196" t="s">
        <v>1852</v>
      </c>
      <c r="I196">
        <v>1064.5</v>
      </c>
      <c r="J196">
        <v>2</v>
      </c>
      <c r="K196">
        <v>1.6</v>
      </c>
      <c r="L196">
        <v>0</v>
      </c>
      <c r="M196">
        <v>1.7</v>
      </c>
      <c r="N196" t="s">
        <v>278</v>
      </c>
      <c r="O196" t="s">
        <v>827</v>
      </c>
      <c r="P196">
        <v>1</v>
      </c>
      <c r="Q196">
        <v>1</v>
      </c>
      <c r="R196">
        <v>8.5000000000000006E-2</v>
      </c>
      <c r="S196">
        <v>0</v>
      </c>
      <c r="T196">
        <v>0</v>
      </c>
      <c r="U196">
        <v>0</v>
      </c>
      <c r="V196">
        <v>90</v>
      </c>
      <c r="W196">
        <v>8.5000000000000006E-2</v>
      </c>
      <c r="X196">
        <v>0</v>
      </c>
      <c r="Y196">
        <v>0</v>
      </c>
      <c r="Z196">
        <v>90</v>
      </c>
      <c r="AA196">
        <v>90</v>
      </c>
      <c r="AB196">
        <v>1</v>
      </c>
      <c r="AC196">
        <v>1</v>
      </c>
      <c r="AD196">
        <v>8.5000000000000006E-2</v>
      </c>
      <c r="AE196">
        <v>0</v>
      </c>
      <c r="AF196">
        <v>90</v>
      </c>
      <c r="AG196" t="s">
        <v>828</v>
      </c>
      <c r="AH196">
        <v>0</v>
      </c>
      <c r="AI196">
        <v>0</v>
      </c>
      <c r="AJ196">
        <v>0</v>
      </c>
    </row>
    <row r="197" spans="2:36" x14ac:dyDescent="0.3">
      <c r="B197" s="28"/>
      <c r="C197" t="s">
        <v>1782</v>
      </c>
      <c r="D197" t="s">
        <v>1770</v>
      </c>
      <c r="E197" t="s">
        <v>825</v>
      </c>
      <c r="F197" t="s">
        <v>842</v>
      </c>
      <c r="G197" t="s">
        <v>1783</v>
      </c>
      <c r="H197" t="s">
        <v>1853</v>
      </c>
      <c r="I197">
        <v>1658.8</v>
      </c>
      <c r="J197">
        <v>2</v>
      </c>
      <c r="K197">
        <v>1.6</v>
      </c>
      <c r="L197">
        <v>0</v>
      </c>
      <c r="M197">
        <v>2.6</v>
      </c>
      <c r="N197" t="s">
        <v>278</v>
      </c>
      <c r="O197" t="s">
        <v>827</v>
      </c>
      <c r="P197">
        <v>1</v>
      </c>
      <c r="Q197">
        <v>1</v>
      </c>
      <c r="R197">
        <v>8.5000000000000006E-2</v>
      </c>
      <c r="S197">
        <v>0</v>
      </c>
      <c r="T197">
        <v>0</v>
      </c>
      <c r="U197">
        <v>0</v>
      </c>
      <c r="V197">
        <v>141</v>
      </c>
      <c r="W197">
        <v>8.5000000000000006E-2</v>
      </c>
      <c r="X197">
        <v>0</v>
      </c>
      <c r="Y197">
        <v>0</v>
      </c>
      <c r="Z197">
        <v>141</v>
      </c>
      <c r="AA197">
        <v>141</v>
      </c>
      <c r="AB197">
        <v>1</v>
      </c>
      <c r="AC197">
        <v>1</v>
      </c>
      <c r="AD197">
        <v>8.5000000000000006E-2</v>
      </c>
      <c r="AE197">
        <v>0</v>
      </c>
      <c r="AF197">
        <v>141</v>
      </c>
      <c r="AG197" t="s">
        <v>828</v>
      </c>
      <c r="AH197">
        <v>0</v>
      </c>
      <c r="AI197">
        <v>0</v>
      </c>
      <c r="AJ197">
        <v>0</v>
      </c>
    </row>
    <row r="198" spans="2:36" x14ac:dyDescent="0.3">
      <c r="B198" s="28"/>
      <c r="C198" t="s">
        <v>1784</v>
      </c>
      <c r="D198" t="s">
        <v>1770</v>
      </c>
      <c r="E198" t="s">
        <v>825</v>
      </c>
      <c r="F198" t="s">
        <v>841</v>
      </c>
      <c r="G198" t="s">
        <v>1773</v>
      </c>
      <c r="H198" t="s">
        <v>1821</v>
      </c>
      <c r="I198">
        <v>201.7</v>
      </c>
      <c r="J198">
        <v>2</v>
      </c>
      <c r="K198">
        <v>10</v>
      </c>
      <c r="L198">
        <v>10</v>
      </c>
      <c r="M198">
        <v>1</v>
      </c>
      <c r="N198" t="s">
        <v>278</v>
      </c>
      <c r="O198" t="s">
        <v>827</v>
      </c>
      <c r="P198">
        <v>1</v>
      </c>
      <c r="Q198">
        <v>1</v>
      </c>
      <c r="R198">
        <v>0</v>
      </c>
      <c r="S198">
        <v>0</v>
      </c>
      <c r="T198">
        <v>0</v>
      </c>
      <c r="U198">
        <v>0</v>
      </c>
      <c r="V198">
        <v>0</v>
      </c>
      <c r="W198">
        <v>0</v>
      </c>
      <c r="X198">
        <v>0</v>
      </c>
      <c r="Y198">
        <v>0</v>
      </c>
      <c r="Z198">
        <v>0</v>
      </c>
      <c r="AA198">
        <v>0</v>
      </c>
      <c r="AB198">
        <v>0.38600000000000001</v>
      </c>
      <c r="AC198">
        <v>1</v>
      </c>
      <c r="AD198">
        <v>0.23</v>
      </c>
      <c r="AE198">
        <v>0</v>
      </c>
      <c r="AF198">
        <v>0</v>
      </c>
      <c r="AG198" t="s">
        <v>828</v>
      </c>
      <c r="AH198">
        <v>0</v>
      </c>
      <c r="AI198">
        <v>0</v>
      </c>
      <c r="AJ198">
        <v>0</v>
      </c>
    </row>
    <row r="199" spans="2:36" x14ac:dyDescent="0.3">
      <c r="B199" s="28"/>
      <c r="C199" t="s">
        <v>1785</v>
      </c>
      <c r="D199" t="s">
        <v>1770</v>
      </c>
      <c r="E199" t="s">
        <v>825</v>
      </c>
      <c r="F199" t="s">
        <v>842</v>
      </c>
      <c r="G199" t="s">
        <v>1786</v>
      </c>
      <c r="H199" t="s">
        <v>1854</v>
      </c>
      <c r="I199">
        <v>1327.3</v>
      </c>
      <c r="J199">
        <v>2</v>
      </c>
      <c r="K199">
        <v>1.6</v>
      </c>
      <c r="L199">
        <v>0</v>
      </c>
      <c r="M199">
        <v>2.1</v>
      </c>
      <c r="N199" t="s">
        <v>278</v>
      </c>
      <c r="O199" t="s">
        <v>827</v>
      </c>
      <c r="P199">
        <v>1</v>
      </c>
      <c r="Q199">
        <v>1</v>
      </c>
      <c r="R199">
        <v>8.5000000000000006E-2</v>
      </c>
      <c r="S199">
        <v>0</v>
      </c>
      <c r="T199">
        <v>0</v>
      </c>
      <c r="U199">
        <v>0</v>
      </c>
      <c r="V199">
        <v>113</v>
      </c>
      <c r="W199">
        <v>8.5000000000000006E-2</v>
      </c>
      <c r="X199">
        <v>0</v>
      </c>
      <c r="Y199">
        <v>0</v>
      </c>
      <c r="Z199">
        <v>113</v>
      </c>
      <c r="AA199">
        <v>113</v>
      </c>
      <c r="AB199">
        <v>1</v>
      </c>
      <c r="AC199">
        <v>1</v>
      </c>
      <c r="AD199">
        <v>8.5000000000000006E-2</v>
      </c>
      <c r="AE199">
        <v>0</v>
      </c>
      <c r="AF199">
        <v>113</v>
      </c>
      <c r="AG199" t="s">
        <v>828</v>
      </c>
      <c r="AH199">
        <v>0</v>
      </c>
      <c r="AI199">
        <v>0</v>
      </c>
      <c r="AJ199">
        <v>0</v>
      </c>
    </row>
    <row r="200" spans="2:36" x14ac:dyDescent="0.3">
      <c r="B200" s="28"/>
      <c r="C200" t="s">
        <v>1787</v>
      </c>
      <c r="D200" t="s">
        <v>1770</v>
      </c>
      <c r="E200" t="s">
        <v>825</v>
      </c>
      <c r="F200" t="s">
        <v>560</v>
      </c>
      <c r="G200" t="s">
        <v>1773</v>
      </c>
      <c r="H200" t="s">
        <v>1821</v>
      </c>
      <c r="I200">
        <v>53.1</v>
      </c>
      <c r="J200">
        <v>2</v>
      </c>
      <c r="K200">
        <v>3</v>
      </c>
      <c r="L200">
        <v>3</v>
      </c>
      <c r="M200">
        <v>0.1</v>
      </c>
      <c r="N200" t="s">
        <v>278</v>
      </c>
      <c r="O200" t="s">
        <v>827</v>
      </c>
      <c r="P200">
        <v>1</v>
      </c>
      <c r="Q200">
        <v>1</v>
      </c>
      <c r="R200">
        <v>0</v>
      </c>
      <c r="S200">
        <v>0</v>
      </c>
      <c r="T200">
        <v>0</v>
      </c>
      <c r="U200">
        <v>0</v>
      </c>
      <c r="V200">
        <v>0</v>
      </c>
      <c r="W200">
        <v>0</v>
      </c>
      <c r="X200">
        <v>0</v>
      </c>
      <c r="Y200">
        <v>0</v>
      </c>
      <c r="Z200">
        <v>0</v>
      </c>
      <c r="AA200">
        <v>0</v>
      </c>
      <c r="AB200">
        <v>0.38600000000000001</v>
      </c>
      <c r="AC200">
        <v>1</v>
      </c>
      <c r="AD200">
        <v>0.23</v>
      </c>
      <c r="AE200">
        <v>0</v>
      </c>
      <c r="AF200">
        <v>0</v>
      </c>
      <c r="AG200" t="s">
        <v>828</v>
      </c>
      <c r="AH200">
        <v>0</v>
      </c>
      <c r="AI200">
        <v>0</v>
      </c>
      <c r="AJ200">
        <v>0</v>
      </c>
    </row>
    <row r="201" spans="2:36" x14ac:dyDescent="0.3">
      <c r="B201" s="28"/>
      <c r="C201" t="s">
        <v>1788</v>
      </c>
      <c r="D201" t="s">
        <v>1770</v>
      </c>
      <c r="E201" t="s">
        <v>825</v>
      </c>
      <c r="F201" t="s">
        <v>841</v>
      </c>
      <c r="G201" t="s">
        <v>1773</v>
      </c>
      <c r="H201" t="s">
        <v>1821</v>
      </c>
      <c r="I201">
        <v>228.6</v>
      </c>
      <c r="J201">
        <v>2</v>
      </c>
      <c r="K201">
        <v>10</v>
      </c>
      <c r="L201">
        <v>10</v>
      </c>
      <c r="M201">
        <v>1.1000000000000001</v>
      </c>
      <c r="N201" t="s">
        <v>278</v>
      </c>
      <c r="O201" t="s">
        <v>827</v>
      </c>
      <c r="P201">
        <v>1</v>
      </c>
      <c r="Q201">
        <v>1</v>
      </c>
      <c r="R201">
        <v>0</v>
      </c>
      <c r="S201">
        <v>0</v>
      </c>
      <c r="T201">
        <v>0</v>
      </c>
      <c r="U201">
        <v>0</v>
      </c>
      <c r="V201">
        <v>0</v>
      </c>
      <c r="W201">
        <v>0</v>
      </c>
      <c r="X201">
        <v>0</v>
      </c>
      <c r="Y201">
        <v>0</v>
      </c>
      <c r="Z201">
        <v>0</v>
      </c>
      <c r="AA201">
        <v>0</v>
      </c>
      <c r="AB201">
        <v>0.38600000000000001</v>
      </c>
      <c r="AC201">
        <v>1</v>
      </c>
      <c r="AD201">
        <v>0.23</v>
      </c>
      <c r="AE201">
        <v>0</v>
      </c>
      <c r="AF201">
        <v>0</v>
      </c>
      <c r="AG201" t="s">
        <v>828</v>
      </c>
      <c r="AH201">
        <v>0</v>
      </c>
      <c r="AI201">
        <v>0</v>
      </c>
      <c r="AJ201">
        <v>0</v>
      </c>
    </row>
    <row r="202" spans="2:36" x14ac:dyDescent="0.3">
      <c r="B202" s="28"/>
      <c r="C202" t="s">
        <v>1789</v>
      </c>
      <c r="D202" t="s">
        <v>1770</v>
      </c>
      <c r="E202" t="s">
        <v>825</v>
      </c>
      <c r="F202" t="s">
        <v>842</v>
      </c>
      <c r="G202" t="s">
        <v>1790</v>
      </c>
      <c r="H202" t="s">
        <v>1855</v>
      </c>
      <c r="I202">
        <v>1554.2</v>
      </c>
      <c r="J202">
        <v>2</v>
      </c>
      <c r="K202">
        <v>1.6</v>
      </c>
      <c r="L202">
        <v>0</v>
      </c>
      <c r="M202">
        <v>2.4</v>
      </c>
      <c r="N202" t="s">
        <v>278</v>
      </c>
      <c r="O202" t="s">
        <v>827</v>
      </c>
      <c r="P202">
        <v>1</v>
      </c>
      <c r="Q202">
        <v>1</v>
      </c>
      <c r="R202">
        <v>8.5000000000000006E-2</v>
      </c>
      <c r="S202">
        <v>0</v>
      </c>
      <c r="T202">
        <v>0</v>
      </c>
      <c r="U202">
        <v>0</v>
      </c>
      <c r="V202">
        <v>132</v>
      </c>
      <c r="W202">
        <v>8.5000000000000006E-2</v>
      </c>
      <c r="X202">
        <v>0</v>
      </c>
      <c r="Y202">
        <v>0</v>
      </c>
      <c r="Z202">
        <v>132</v>
      </c>
      <c r="AA202">
        <v>132</v>
      </c>
      <c r="AB202">
        <v>1</v>
      </c>
      <c r="AC202">
        <v>1</v>
      </c>
      <c r="AD202">
        <v>8.5000000000000006E-2</v>
      </c>
      <c r="AE202">
        <v>0</v>
      </c>
      <c r="AF202">
        <v>132</v>
      </c>
      <c r="AG202" t="s">
        <v>828</v>
      </c>
      <c r="AH202">
        <v>0</v>
      </c>
      <c r="AI202">
        <v>0</v>
      </c>
      <c r="AJ202">
        <v>0</v>
      </c>
    </row>
    <row r="203" spans="2:36" x14ac:dyDescent="0.3">
      <c r="B203" s="28"/>
      <c r="C203" t="s">
        <v>1791</v>
      </c>
      <c r="D203" t="s">
        <v>1792</v>
      </c>
      <c r="E203" t="s">
        <v>825</v>
      </c>
      <c r="F203" t="s">
        <v>842</v>
      </c>
      <c r="G203" t="s">
        <v>1793</v>
      </c>
      <c r="H203" t="s">
        <v>1856</v>
      </c>
      <c r="I203">
        <v>1348.2</v>
      </c>
      <c r="J203">
        <v>1</v>
      </c>
      <c r="K203">
        <v>1.6</v>
      </c>
      <c r="L203">
        <v>0</v>
      </c>
      <c r="M203">
        <v>2.1</v>
      </c>
      <c r="N203" t="s">
        <v>278</v>
      </c>
      <c r="O203" t="s">
        <v>827</v>
      </c>
      <c r="P203">
        <v>1</v>
      </c>
      <c r="Q203">
        <v>1</v>
      </c>
      <c r="R203">
        <v>8.5000000000000006E-2</v>
      </c>
      <c r="S203">
        <v>0</v>
      </c>
      <c r="T203">
        <v>0</v>
      </c>
      <c r="U203">
        <v>0</v>
      </c>
      <c r="V203">
        <v>115</v>
      </c>
      <c r="W203">
        <v>8.5000000000000006E-2</v>
      </c>
      <c r="X203">
        <v>0</v>
      </c>
      <c r="Y203">
        <v>0</v>
      </c>
      <c r="Z203">
        <v>115</v>
      </c>
      <c r="AA203">
        <v>115</v>
      </c>
      <c r="AB203">
        <v>1</v>
      </c>
      <c r="AC203">
        <v>1</v>
      </c>
      <c r="AD203">
        <v>8.5000000000000006E-2</v>
      </c>
      <c r="AE203">
        <v>0</v>
      </c>
      <c r="AF203">
        <v>115</v>
      </c>
      <c r="AG203" t="s">
        <v>828</v>
      </c>
      <c r="AH203">
        <v>0</v>
      </c>
      <c r="AI203">
        <v>0</v>
      </c>
      <c r="AJ203">
        <v>0</v>
      </c>
    </row>
    <row r="204" spans="2:36" x14ac:dyDescent="0.3">
      <c r="B204" s="28"/>
      <c r="C204" t="s">
        <v>1794</v>
      </c>
      <c r="D204" t="s">
        <v>1792</v>
      </c>
      <c r="E204" t="s">
        <v>825</v>
      </c>
      <c r="F204" t="s">
        <v>842</v>
      </c>
      <c r="G204" t="s">
        <v>1795</v>
      </c>
      <c r="H204" t="s">
        <v>1857</v>
      </c>
      <c r="I204">
        <v>9253.4</v>
      </c>
      <c r="J204">
        <v>1</v>
      </c>
      <c r="K204">
        <v>1.6</v>
      </c>
      <c r="L204">
        <v>0</v>
      </c>
      <c r="M204">
        <v>14.4</v>
      </c>
      <c r="N204" t="s">
        <v>278</v>
      </c>
      <c r="O204" t="s">
        <v>827</v>
      </c>
      <c r="P204">
        <v>1</v>
      </c>
      <c r="Q204">
        <v>1</v>
      </c>
      <c r="R204">
        <v>8.5000000000000006E-2</v>
      </c>
      <c r="S204">
        <v>0</v>
      </c>
      <c r="T204">
        <v>0</v>
      </c>
      <c r="U204">
        <v>0</v>
      </c>
      <c r="V204">
        <v>787</v>
      </c>
      <c r="W204">
        <v>8.5000000000000006E-2</v>
      </c>
      <c r="X204">
        <v>0</v>
      </c>
      <c r="Y204">
        <v>0</v>
      </c>
      <c r="Z204">
        <v>787</v>
      </c>
      <c r="AA204">
        <v>787</v>
      </c>
      <c r="AB204">
        <v>1</v>
      </c>
      <c r="AC204">
        <v>1</v>
      </c>
      <c r="AD204">
        <v>8.5000000000000006E-2</v>
      </c>
      <c r="AE204">
        <v>0</v>
      </c>
      <c r="AF204">
        <v>787</v>
      </c>
      <c r="AG204" t="s">
        <v>828</v>
      </c>
      <c r="AH204">
        <v>0</v>
      </c>
      <c r="AI204">
        <v>0</v>
      </c>
      <c r="AJ204">
        <v>0</v>
      </c>
    </row>
    <row r="205" spans="2:36" x14ac:dyDescent="0.3">
      <c r="B205" s="28"/>
      <c r="C205" t="s">
        <v>1796</v>
      </c>
      <c r="D205" t="s">
        <v>1792</v>
      </c>
      <c r="E205" t="s">
        <v>825</v>
      </c>
      <c r="F205" t="s">
        <v>842</v>
      </c>
      <c r="G205" t="s">
        <v>1797</v>
      </c>
      <c r="H205" t="s">
        <v>1858</v>
      </c>
      <c r="I205">
        <v>1658.8</v>
      </c>
      <c r="J205">
        <v>1</v>
      </c>
      <c r="K205">
        <v>1.6</v>
      </c>
      <c r="L205">
        <v>0</v>
      </c>
      <c r="M205">
        <v>2.6</v>
      </c>
      <c r="N205" t="s">
        <v>278</v>
      </c>
      <c r="O205" t="s">
        <v>827</v>
      </c>
      <c r="P205">
        <v>1</v>
      </c>
      <c r="Q205">
        <v>1</v>
      </c>
      <c r="R205">
        <v>8.5000000000000006E-2</v>
      </c>
      <c r="S205">
        <v>0</v>
      </c>
      <c r="T205">
        <v>0</v>
      </c>
      <c r="U205">
        <v>0</v>
      </c>
      <c r="V205">
        <v>141</v>
      </c>
      <c r="W205">
        <v>8.5000000000000006E-2</v>
      </c>
      <c r="X205">
        <v>0</v>
      </c>
      <c r="Y205">
        <v>0</v>
      </c>
      <c r="Z205">
        <v>141</v>
      </c>
      <c r="AA205">
        <v>141</v>
      </c>
      <c r="AB205">
        <v>1</v>
      </c>
      <c r="AC205">
        <v>1</v>
      </c>
      <c r="AD205">
        <v>8.5000000000000006E-2</v>
      </c>
      <c r="AE205">
        <v>0</v>
      </c>
      <c r="AF205">
        <v>141</v>
      </c>
      <c r="AG205" t="s">
        <v>828</v>
      </c>
      <c r="AH205">
        <v>0</v>
      </c>
      <c r="AI205">
        <v>0</v>
      </c>
      <c r="AJ205">
        <v>0</v>
      </c>
    </row>
    <row r="206" spans="2:36" x14ac:dyDescent="0.3">
      <c r="B206" s="28"/>
      <c r="C206" t="s">
        <v>1798</v>
      </c>
      <c r="D206" t="s">
        <v>1792</v>
      </c>
      <c r="E206" t="s">
        <v>825</v>
      </c>
      <c r="F206" t="s">
        <v>836</v>
      </c>
      <c r="G206" t="s">
        <v>1799</v>
      </c>
      <c r="H206" t="s">
        <v>1821</v>
      </c>
      <c r="I206">
        <v>2019.2</v>
      </c>
      <c r="J206">
        <v>1</v>
      </c>
      <c r="K206">
        <v>10</v>
      </c>
      <c r="L206">
        <v>10</v>
      </c>
      <c r="M206">
        <v>10.1</v>
      </c>
      <c r="N206" t="s">
        <v>278</v>
      </c>
      <c r="O206" t="s">
        <v>827</v>
      </c>
      <c r="P206">
        <v>1</v>
      </c>
      <c r="Q206">
        <v>1</v>
      </c>
      <c r="R206">
        <v>0.18</v>
      </c>
      <c r="S206">
        <v>0</v>
      </c>
      <c r="T206">
        <v>0</v>
      </c>
      <c r="U206">
        <v>0</v>
      </c>
      <c r="V206">
        <v>600</v>
      </c>
      <c r="W206">
        <v>0.12</v>
      </c>
      <c r="X206">
        <v>0</v>
      </c>
      <c r="Y206">
        <v>0</v>
      </c>
      <c r="Z206">
        <v>242</v>
      </c>
      <c r="AA206">
        <v>288</v>
      </c>
      <c r="AB206">
        <v>0.47899999999999998</v>
      </c>
      <c r="AC206">
        <v>1</v>
      </c>
      <c r="AD206">
        <v>0.223</v>
      </c>
      <c r="AE206">
        <v>0</v>
      </c>
      <c r="AF206">
        <v>0</v>
      </c>
      <c r="AG206" t="s">
        <v>828</v>
      </c>
      <c r="AH206">
        <v>0</v>
      </c>
      <c r="AI206">
        <v>0</v>
      </c>
      <c r="AJ206">
        <v>0</v>
      </c>
    </row>
    <row r="207" spans="2:36" x14ac:dyDescent="0.3">
      <c r="B207" s="28"/>
      <c r="C207" t="s">
        <v>1800</v>
      </c>
      <c r="D207" t="s">
        <v>1792</v>
      </c>
      <c r="E207" t="s">
        <v>825</v>
      </c>
      <c r="F207" t="s">
        <v>838</v>
      </c>
      <c r="G207" t="s">
        <v>1801</v>
      </c>
      <c r="H207" t="s">
        <v>1859</v>
      </c>
      <c r="I207">
        <v>834.1</v>
      </c>
      <c r="J207">
        <v>1</v>
      </c>
      <c r="K207">
        <v>66.7</v>
      </c>
      <c r="L207">
        <v>66.7</v>
      </c>
      <c r="M207">
        <v>27.8</v>
      </c>
      <c r="N207" t="s">
        <v>278</v>
      </c>
      <c r="O207" t="s">
        <v>827</v>
      </c>
      <c r="P207">
        <v>1</v>
      </c>
      <c r="Q207">
        <v>1</v>
      </c>
      <c r="R207">
        <v>0.06</v>
      </c>
      <c r="S207">
        <v>5</v>
      </c>
      <c r="T207">
        <v>0</v>
      </c>
      <c r="U207">
        <v>0</v>
      </c>
      <c r="V207">
        <v>300</v>
      </c>
      <c r="W207">
        <v>0.06</v>
      </c>
      <c r="X207">
        <v>5</v>
      </c>
      <c r="Y207">
        <v>0</v>
      </c>
      <c r="Z207">
        <v>189</v>
      </c>
      <c r="AA207">
        <v>144</v>
      </c>
      <c r="AB207">
        <v>0.47899999999999998</v>
      </c>
      <c r="AC207">
        <v>1</v>
      </c>
      <c r="AD207">
        <v>0.36</v>
      </c>
      <c r="AE207">
        <v>0</v>
      </c>
      <c r="AF207">
        <v>0</v>
      </c>
      <c r="AG207" t="s">
        <v>828</v>
      </c>
      <c r="AH207">
        <v>0</v>
      </c>
      <c r="AI207">
        <v>0</v>
      </c>
      <c r="AJ207">
        <v>0</v>
      </c>
    </row>
    <row r="208" spans="2:36" x14ac:dyDescent="0.3">
      <c r="B208" s="28"/>
      <c r="C208" t="s">
        <v>1802</v>
      </c>
      <c r="D208" t="s">
        <v>1792</v>
      </c>
      <c r="E208" t="s">
        <v>825</v>
      </c>
      <c r="F208" t="s">
        <v>842</v>
      </c>
      <c r="G208" t="s">
        <v>1803</v>
      </c>
      <c r="H208" t="s">
        <v>1860</v>
      </c>
      <c r="I208">
        <v>5744</v>
      </c>
      <c r="J208">
        <v>1</v>
      </c>
      <c r="K208">
        <v>1.6</v>
      </c>
      <c r="L208">
        <v>0</v>
      </c>
      <c r="M208">
        <v>9</v>
      </c>
      <c r="N208" t="s">
        <v>278</v>
      </c>
      <c r="O208" t="s">
        <v>827</v>
      </c>
      <c r="P208">
        <v>1</v>
      </c>
      <c r="Q208">
        <v>1</v>
      </c>
      <c r="R208">
        <v>8.5000000000000006E-2</v>
      </c>
      <c r="S208">
        <v>0</v>
      </c>
      <c r="T208">
        <v>0</v>
      </c>
      <c r="U208">
        <v>0</v>
      </c>
      <c r="V208">
        <v>488</v>
      </c>
      <c r="W208">
        <v>8.5000000000000006E-2</v>
      </c>
      <c r="X208">
        <v>0</v>
      </c>
      <c r="Y208">
        <v>0</v>
      </c>
      <c r="Z208">
        <v>488</v>
      </c>
      <c r="AA208">
        <v>488</v>
      </c>
      <c r="AB208">
        <v>1</v>
      </c>
      <c r="AC208">
        <v>1</v>
      </c>
      <c r="AD208">
        <v>8.5000000000000006E-2</v>
      </c>
      <c r="AE208">
        <v>0</v>
      </c>
      <c r="AF208">
        <v>488</v>
      </c>
      <c r="AG208" t="s">
        <v>828</v>
      </c>
      <c r="AH208">
        <v>0</v>
      </c>
      <c r="AI208">
        <v>0</v>
      </c>
      <c r="AJ208">
        <v>0</v>
      </c>
    </row>
    <row r="209" spans="2:36" x14ac:dyDescent="0.3">
      <c r="B209" s="28"/>
      <c r="C209" t="s">
        <v>1804</v>
      </c>
      <c r="D209" t="s">
        <v>1792</v>
      </c>
      <c r="E209" t="s">
        <v>825</v>
      </c>
      <c r="F209" t="s">
        <v>842</v>
      </c>
      <c r="G209" t="s">
        <v>1805</v>
      </c>
      <c r="H209" t="s">
        <v>1861</v>
      </c>
      <c r="I209">
        <v>1327.3</v>
      </c>
      <c r="J209">
        <v>1</v>
      </c>
      <c r="K209">
        <v>1.6</v>
      </c>
      <c r="L209">
        <v>0</v>
      </c>
      <c r="M209">
        <v>2.1</v>
      </c>
      <c r="N209" t="s">
        <v>278</v>
      </c>
      <c r="O209" t="s">
        <v>827</v>
      </c>
      <c r="P209">
        <v>1</v>
      </c>
      <c r="Q209">
        <v>1</v>
      </c>
      <c r="R209">
        <v>8.5000000000000006E-2</v>
      </c>
      <c r="S209">
        <v>0</v>
      </c>
      <c r="T209">
        <v>0</v>
      </c>
      <c r="U209">
        <v>0</v>
      </c>
      <c r="V209">
        <v>113</v>
      </c>
      <c r="W209">
        <v>8.5000000000000006E-2</v>
      </c>
      <c r="X209">
        <v>0</v>
      </c>
      <c r="Y209">
        <v>0</v>
      </c>
      <c r="Z209">
        <v>113</v>
      </c>
      <c r="AA209">
        <v>113</v>
      </c>
      <c r="AB209">
        <v>1</v>
      </c>
      <c r="AC209">
        <v>1</v>
      </c>
      <c r="AD209">
        <v>8.5000000000000006E-2</v>
      </c>
      <c r="AE209">
        <v>0</v>
      </c>
      <c r="AF209">
        <v>113</v>
      </c>
      <c r="AG209" t="s">
        <v>828</v>
      </c>
      <c r="AH209">
        <v>0</v>
      </c>
      <c r="AI209">
        <v>0</v>
      </c>
      <c r="AJ209">
        <v>0</v>
      </c>
    </row>
    <row r="210" spans="2:36" x14ac:dyDescent="0.3">
      <c r="B210" s="28"/>
      <c r="C210" t="s">
        <v>1806</v>
      </c>
      <c r="D210" t="s">
        <v>1792</v>
      </c>
      <c r="E210" t="s">
        <v>825</v>
      </c>
      <c r="F210" t="s">
        <v>842</v>
      </c>
      <c r="G210" t="s">
        <v>1807</v>
      </c>
      <c r="H210" t="s">
        <v>1862</v>
      </c>
      <c r="I210">
        <v>2406.1</v>
      </c>
      <c r="J210">
        <v>1</v>
      </c>
      <c r="K210">
        <v>1.6</v>
      </c>
      <c r="L210">
        <v>0</v>
      </c>
      <c r="M210">
        <v>3.8</v>
      </c>
      <c r="N210" t="s">
        <v>278</v>
      </c>
      <c r="O210" t="s">
        <v>827</v>
      </c>
      <c r="P210">
        <v>1</v>
      </c>
      <c r="Q210">
        <v>1</v>
      </c>
      <c r="R210">
        <v>8.5000000000000006E-2</v>
      </c>
      <c r="S210">
        <v>0</v>
      </c>
      <c r="T210">
        <v>0</v>
      </c>
      <c r="U210">
        <v>0</v>
      </c>
      <c r="V210">
        <v>205</v>
      </c>
      <c r="W210">
        <v>8.5000000000000006E-2</v>
      </c>
      <c r="X210">
        <v>0</v>
      </c>
      <c r="Y210">
        <v>0</v>
      </c>
      <c r="Z210">
        <v>205</v>
      </c>
      <c r="AA210">
        <v>205</v>
      </c>
      <c r="AB210">
        <v>1</v>
      </c>
      <c r="AC210">
        <v>1</v>
      </c>
      <c r="AD210">
        <v>8.5000000000000006E-2</v>
      </c>
      <c r="AE210">
        <v>0</v>
      </c>
      <c r="AF210">
        <v>205</v>
      </c>
      <c r="AG210" t="s">
        <v>828</v>
      </c>
      <c r="AH210">
        <v>0</v>
      </c>
      <c r="AI210">
        <v>0</v>
      </c>
      <c r="AJ210">
        <v>0</v>
      </c>
    </row>
    <row r="211" spans="2:36" x14ac:dyDescent="0.3">
      <c r="B211" s="28"/>
      <c r="C211" t="s">
        <v>1808</v>
      </c>
      <c r="D211" t="s">
        <v>1792</v>
      </c>
      <c r="E211" t="s">
        <v>844</v>
      </c>
      <c r="F211" t="s">
        <v>834</v>
      </c>
      <c r="G211" t="s">
        <v>1799</v>
      </c>
      <c r="H211" t="s">
        <v>1821</v>
      </c>
      <c r="I211">
        <v>99.2</v>
      </c>
      <c r="J211">
        <v>1</v>
      </c>
      <c r="K211">
        <v>0</v>
      </c>
      <c r="L211">
        <v>0</v>
      </c>
      <c r="M211">
        <v>0</v>
      </c>
      <c r="N211" t="s">
        <v>278</v>
      </c>
      <c r="O211" t="s">
        <v>827</v>
      </c>
      <c r="P211">
        <v>1</v>
      </c>
      <c r="Q211">
        <v>1</v>
      </c>
      <c r="R211">
        <v>0</v>
      </c>
      <c r="S211">
        <v>0</v>
      </c>
      <c r="T211">
        <v>0</v>
      </c>
      <c r="U211">
        <v>0</v>
      </c>
      <c r="V211">
        <v>0</v>
      </c>
      <c r="W211">
        <v>0</v>
      </c>
      <c r="X211">
        <v>0</v>
      </c>
      <c r="Y211">
        <v>0</v>
      </c>
      <c r="Z211">
        <v>0</v>
      </c>
      <c r="AA211">
        <v>0</v>
      </c>
      <c r="AB211">
        <v>1</v>
      </c>
      <c r="AC211">
        <v>1</v>
      </c>
      <c r="AD211">
        <v>0.223</v>
      </c>
      <c r="AE211">
        <v>0</v>
      </c>
      <c r="AF211">
        <v>0</v>
      </c>
      <c r="AG211" t="s">
        <v>828</v>
      </c>
      <c r="AH211">
        <v>0</v>
      </c>
      <c r="AI211">
        <v>0</v>
      </c>
      <c r="AJ211">
        <v>0</v>
      </c>
    </row>
    <row r="212" spans="2:36" x14ac:dyDescent="0.3">
      <c r="B212" s="28"/>
      <c r="C212" t="s">
        <v>1809</v>
      </c>
      <c r="D212" t="s">
        <v>1792</v>
      </c>
      <c r="E212" t="s">
        <v>844</v>
      </c>
      <c r="F212" t="s">
        <v>834</v>
      </c>
      <c r="G212" t="s">
        <v>1799</v>
      </c>
      <c r="H212" t="s">
        <v>1821</v>
      </c>
      <c r="I212">
        <v>91.4</v>
      </c>
      <c r="J212">
        <v>1</v>
      </c>
      <c r="K212">
        <v>0</v>
      </c>
      <c r="L212">
        <v>0</v>
      </c>
      <c r="M212">
        <v>0</v>
      </c>
      <c r="N212" t="s">
        <v>278</v>
      </c>
      <c r="O212" t="s">
        <v>827</v>
      </c>
      <c r="P212">
        <v>1</v>
      </c>
      <c r="Q212">
        <v>1</v>
      </c>
      <c r="R212">
        <v>0</v>
      </c>
      <c r="S212">
        <v>0</v>
      </c>
      <c r="T212">
        <v>0</v>
      </c>
      <c r="U212">
        <v>0</v>
      </c>
      <c r="V212">
        <v>0</v>
      </c>
      <c r="W212">
        <v>0</v>
      </c>
      <c r="X212">
        <v>0</v>
      </c>
      <c r="Y212">
        <v>0</v>
      </c>
      <c r="Z212">
        <v>0</v>
      </c>
      <c r="AA212">
        <v>0</v>
      </c>
      <c r="AB212">
        <v>1</v>
      </c>
      <c r="AC212">
        <v>1</v>
      </c>
      <c r="AD212">
        <v>0.223</v>
      </c>
      <c r="AE212">
        <v>0</v>
      </c>
      <c r="AF212">
        <v>0</v>
      </c>
      <c r="AG212" t="s">
        <v>828</v>
      </c>
      <c r="AH212">
        <v>0</v>
      </c>
      <c r="AI212">
        <v>0</v>
      </c>
      <c r="AJ212">
        <v>0</v>
      </c>
    </row>
    <row r="213" spans="2:36" x14ac:dyDescent="0.3">
      <c r="B213" s="28"/>
      <c r="C213" t="s">
        <v>1810</v>
      </c>
      <c r="D213" t="s">
        <v>1792</v>
      </c>
      <c r="E213" t="s">
        <v>825</v>
      </c>
      <c r="F213" t="s">
        <v>841</v>
      </c>
      <c r="G213" t="s">
        <v>1799</v>
      </c>
      <c r="H213" t="s">
        <v>1821</v>
      </c>
      <c r="I213">
        <v>228.6</v>
      </c>
      <c r="J213">
        <v>1</v>
      </c>
      <c r="K213">
        <v>10</v>
      </c>
      <c r="L213">
        <v>10</v>
      </c>
      <c r="M213">
        <v>1.1000000000000001</v>
      </c>
      <c r="N213" t="s">
        <v>278</v>
      </c>
      <c r="O213" t="s">
        <v>827</v>
      </c>
      <c r="P213">
        <v>1</v>
      </c>
      <c r="Q213">
        <v>1</v>
      </c>
      <c r="R213">
        <v>0</v>
      </c>
      <c r="S213">
        <v>0</v>
      </c>
      <c r="T213">
        <v>0</v>
      </c>
      <c r="U213">
        <v>0</v>
      </c>
      <c r="V213">
        <v>0</v>
      </c>
      <c r="W213">
        <v>0</v>
      </c>
      <c r="X213">
        <v>0</v>
      </c>
      <c r="Y213">
        <v>0</v>
      </c>
      <c r="Z213">
        <v>0</v>
      </c>
      <c r="AA213">
        <v>0</v>
      </c>
      <c r="AB213">
        <v>0.47899999999999998</v>
      </c>
      <c r="AC213">
        <v>1</v>
      </c>
      <c r="AD213">
        <v>0.223</v>
      </c>
      <c r="AE213">
        <v>0</v>
      </c>
      <c r="AF213">
        <v>0</v>
      </c>
      <c r="AG213" t="s">
        <v>828</v>
      </c>
      <c r="AH213">
        <v>0</v>
      </c>
      <c r="AI213">
        <v>0</v>
      </c>
      <c r="AJ213">
        <v>0</v>
      </c>
    </row>
    <row r="214" spans="2:36" x14ac:dyDescent="0.3">
      <c r="B214" s="28"/>
      <c r="C214" t="s">
        <v>1811</v>
      </c>
      <c r="D214" t="s">
        <v>1792</v>
      </c>
      <c r="E214" t="s">
        <v>825</v>
      </c>
      <c r="F214" t="s">
        <v>560</v>
      </c>
      <c r="G214" t="s">
        <v>1799</v>
      </c>
      <c r="H214" t="s">
        <v>1821</v>
      </c>
      <c r="I214">
        <v>53.1</v>
      </c>
      <c r="J214">
        <v>1</v>
      </c>
      <c r="K214">
        <v>3</v>
      </c>
      <c r="L214">
        <v>3</v>
      </c>
      <c r="M214">
        <v>0.1</v>
      </c>
      <c r="N214" t="s">
        <v>278</v>
      </c>
      <c r="O214" t="s">
        <v>827</v>
      </c>
      <c r="P214">
        <v>1</v>
      </c>
      <c r="Q214">
        <v>1</v>
      </c>
      <c r="R214">
        <v>0</v>
      </c>
      <c r="S214">
        <v>0</v>
      </c>
      <c r="T214">
        <v>0</v>
      </c>
      <c r="U214">
        <v>0</v>
      </c>
      <c r="V214">
        <v>0</v>
      </c>
      <c r="W214">
        <v>0</v>
      </c>
      <c r="X214">
        <v>0</v>
      </c>
      <c r="Y214">
        <v>0</v>
      </c>
      <c r="Z214">
        <v>0</v>
      </c>
      <c r="AA214">
        <v>0</v>
      </c>
      <c r="AB214">
        <v>0.47899999999999998</v>
      </c>
      <c r="AC214">
        <v>1</v>
      </c>
      <c r="AD214">
        <v>0.223</v>
      </c>
      <c r="AE214">
        <v>0</v>
      </c>
      <c r="AF214">
        <v>0</v>
      </c>
      <c r="AG214" t="s">
        <v>828</v>
      </c>
      <c r="AH214">
        <v>0</v>
      </c>
      <c r="AI214">
        <v>0</v>
      </c>
      <c r="AJ214">
        <v>0</v>
      </c>
    </row>
    <row r="215" spans="2:36" x14ac:dyDescent="0.3">
      <c r="B215" s="28"/>
      <c r="C215" t="s">
        <v>1812</v>
      </c>
      <c r="D215" t="s">
        <v>1792</v>
      </c>
      <c r="E215" t="s">
        <v>825</v>
      </c>
      <c r="F215" t="s">
        <v>841</v>
      </c>
      <c r="G215" t="s">
        <v>1799</v>
      </c>
      <c r="H215" t="s">
        <v>1821</v>
      </c>
      <c r="I215">
        <v>201.7</v>
      </c>
      <c r="J215">
        <v>1</v>
      </c>
      <c r="K215">
        <v>10</v>
      </c>
      <c r="L215">
        <v>10</v>
      </c>
      <c r="M215">
        <v>1</v>
      </c>
      <c r="N215" t="s">
        <v>278</v>
      </c>
      <c r="O215" t="s">
        <v>827</v>
      </c>
      <c r="P215">
        <v>1</v>
      </c>
      <c r="Q215">
        <v>1</v>
      </c>
      <c r="R215">
        <v>0</v>
      </c>
      <c r="S215">
        <v>0</v>
      </c>
      <c r="T215">
        <v>0</v>
      </c>
      <c r="U215">
        <v>0</v>
      </c>
      <c r="V215">
        <v>0</v>
      </c>
      <c r="W215">
        <v>0</v>
      </c>
      <c r="X215">
        <v>0</v>
      </c>
      <c r="Y215">
        <v>0</v>
      </c>
      <c r="Z215">
        <v>0</v>
      </c>
      <c r="AA215">
        <v>0</v>
      </c>
      <c r="AB215">
        <v>0.47899999999999998</v>
      </c>
      <c r="AC215">
        <v>1</v>
      </c>
      <c r="AD215">
        <v>0.223</v>
      </c>
      <c r="AE215">
        <v>0</v>
      </c>
      <c r="AF215">
        <v>0</v>
      </c>
      <c r="AG215" t="s">
        <v>828</v>
      </c>
      <c r="AH215">
        <v>0</v>
      </c>
      <c r="AI215">
        <v>0</v>
      </c>
      <c r="AJ215">
        <v>0</v>
      </c>
    </row>
    <row r="216" spans="2:36" x14ac:dyDescent="0.3">
      <c r="B216" s="28"/>
    </row>
    <row r="217" spans="2:36" x14ac:dyDescent="0.3">
      <c r="B217" s="28"/>
    </row>
    <row r="218" spans="2:36" x14ac:dyDescent="0.3">
      <c r="B218" s="28"/>
    </row>
    <row r="219" spans="2:36" x14ac:dyDescent="0.3">
      <c r="B219" s="28"/>
    </row>
    <row r="220" spans="2:36" x14ac:dyDescent="0.3">
      <c r="B220" s="28"/>
    </row>
    <row r="221" spans="2:36" x14ac:dyDescent="0.3">
      <c r="B221" s="28"/>
    </row>
    <row r="222" spans="2:36" x14ac:dyDescent="0.3">
      <c r="B222" s="28"/>
    </row>
    <row r="223" spans="2:36" x14ac:dyDescent="0.3">
      <c r="B223" s="28"/>
    </row>
    <row r="224" spans="2:36" x14ac:dyDescent="0.3">
      <c r="B224" s="28"/>
    </row>
    <row r="225" spans="2:2" x14ac:dyDescent="0.3">
      <c r="B225" s="28"/>
    </row>
    <row r="226" spans="2:2" x14ac:dyDescent="0.3">
      <c r="B226" s="28"/>
    </row>
    <row r="227" spans="2:2" x14ac:dyDescent="0.3">
      <c r="B227" s="28"/>
    </row>
    <row r="228" spans="2:2" x14ac:dyDescent="0.3">
      <c r="B228" s="28"/>
    </row>
    <row r="229" spans="2:2" x14ac:dyDescent="0.3">
      <c r="B229" s="28"/>
    </row>
    <row r="230" spans="2:2" x14ac:dyDescent="0.3">
      <c r="B230" s="28"/>
    </row>
    <row r="231" spans="2:2" x14ac:dyDescent="0.3">
      <c r="B231" s="28"/>
    </row>
    <row r="232" spans="2:2" x14ac:dyDescent="0.3">
      <c r="B232" s="28"/>
    </row>
    <row r="233" spans="2:2" x14ac:dyDescent="0.3">
      <c r="B233" s="28"/>
    </row>
    <row r="234" spans="2:2" x14ac:dyDescent="0.3">
      <c r="B234" s="28"/>
    </row>
    <row r="235" spans="2:2" x14ac:dyDescent="0.3">
      <c r="B235" s="28"/>
    </row>
    <row r="236" spans="2:2" x14ac:dyDescent="0.3">
      <c r="B236" s="28"/>
    </row>
    <row r="237" spans="2:2" x14ac:dyDescent="0.3">
      <c r="B237" s="28"/>
    </row>
    <row r="238" spans="2:2" x14ac:dyDescent="0.3">
      <c r="B238" s="28"/>
    </row>
    <row r="239" spans="2:2" x14ac:dyDescent="0.3">
      <c r="B239" s="28"/>
    </row>
    <row r="240" spans="2:2" x14ac:dyDescent="0.3">
      <c r="B240" s="28"/>
    </row>
    <row r="241" spans="2:2" x14ac:dyDescent="0.3">
      <c r="B241" s="28"/>
    </row>
    <row r="242" spans="2:2" x14ac:dyDescent="0.3">
      <c r="B242" s="28"/>
    </row>
    <row r="243" spans="2:2" x14ac:dyDescent="0.3">
      <c r="B243" s="28"/>
    </row>
    <row r="244" spans="2:2" x14ac:dyDescent="0.3">
      <c r="B244" s="28"/>
    </row>
    <row r="245" spans="2:2" x14ac:dyDescent="0.3">
      <c r="B245" s="28"/>
    </row>
    <row r="246" spans="2:2" x14ac:dyDescent="0.3">
      <c r="B246" s="28"/>
    </row>
    <row r="247" spans="2:2" x14ac:dyDescent="0.3">
      <c r="B247" s="28"/>
    </row>
    <row r="248" spans="2:2" x14ac:dyDescent="0.3">
      <c r="B248" s="28"/>
    </row>
    <row r="249" spans="2:2" x14ac:dyDescent="0.3">
      <c r="B249" s="28"/>
    </row>
    <row r="250" spans="2:2" x14ac:dyDescent="0.3">
      <c r="B250" s="28"/>
    </row>
    <row r="251" spans="2:2" x14ac:dyDescent="0.3">
      <c r="B251" s="28"/>
    </row>
    <row r="252" spans="2:2" x14ac:dyDescent="0.3">
      <c r="B252" s="28"/>
    </row>
    <row r="253" spans="2:2" x14ac:dyDescent="0.3">
      <c r="B253" s="28"/>
    </row>
    <row r="254" spans="2:2" x14ac:dyDescent="0.3">
      <c r="B254" s="28"/>
    </row>
    <row r="255" spans="2:2" x14ac:dyDescent="0.3">
      <c r="B255" s="28"/>
    </row>
    <row r="256" spans="2:2" x14ac:dyDescent="0.3">
      <c r="B256" s="28"/>
    </row>
    <row r="257" spans="2:2" x14ac:dyDescent="0.3">
      <c r="B257" s="28"/>
    </row>
    <row r="258" spans="2:2" x14ac:dyDescent="0.3">
      <c r="B258" s="28"/>
    </row>
    <row r="259" spans="2:2" x14ac:dyDescent="0.3">
      <c r="B259" s="28"/>
    </row>
    <row r="260" spans="2:2" x14ac:dyDescent="0.3">
      <c r="B260" s="28"/>
    </row>
    <row r="261" spans="2:2" x14ac:dyDescent="0.3">
      <c r="B261" s="28"/>
    </row>
    <row r="262" spans="2:2" x14ac:dyDescent="0.3">
      <c r="B262" s="28"/>
    </row>
    <row r="263" spans="2:2" x14ac:dyDescent="0.3">
      <c r="B263" s="28"/>
    </row>
    <row r="264" spans="2:2" x14ac:dyDescent="0.3">
      <c r="B264" s="28"/>
    </row>
    <row r="265" spans="2:2" x14ac:dyDescent="0.3">
      <c r="B265" s="28"/>
    </row>
    <row r="266" spans="2:2" x14ac:dyDescent="0.3">
      <c r="B266" s="28"/>
    </row>
    <row r="267" spans="2:2" x14ac:dyDescent="0.3">
      <c r="B267" s="28"/>
    </row>
    <row r="268" spans="2:2" x14ac:dyDescent="0.3">
      <c r="B268" s="28"/>
    </row>
    <row r="269" spans="2:2" x14ac:dyDescent="0.3">
      <c r="B269" s="28"/>
    </row>
    <row r="270" spans="2:2" x14ac:dyDescent="0.3">
      <c r="B270" s="28"/>
    </row>
    <row r="271" spans="2:2" x14ac:dyDescent="0.3">
      <c r="B271" s="28"/>
    </row>
    <row r="272" spans="2:2" x14ac:dyDescent="0.3">
      <c r="B272" s="28"/>
    </row>
    <row r="273" spans="2:2" x14ac:dyDescent="0.3">
      <c r="B273" s="28"/>
    </row>
    <row r="274" spans="2:2" x14ac:dyDescent="0.3">
      <c r="B274" s="28"/>
    </row>
    <row r="275" spans="2:2" x14ac:dyDescent="0.3">
      <c r="B275" s="28"/>
    </row>
    <row r="276" spans="2:2" x14ac:dyDescent="0.3">
      <c r="B276" s="28"/>
    </row>
    <row r="277" spans="2:2" x14ac:dyDescent="0.3">
      <c r="B277" s="28"/>
    </row>
    <row r="278" spans="2:2" x14ac:dyDescent="0.3">
      <c r="B278" s="28"/>
    </row>
    <row r="279" spans="2:2" x14ac:dyDescent="0.3">
      <c r="B279" s="28"/>
    </row>
    <row r="280" spans="2:2" x14ac:dyDescent="0.3">
      <c r="B280" s="28"/>
    </row>
    <row r="281" spans="2:2" x14ac:dyDescent="0.3">
      <c r="B281" s="28"/>
    </row>
    <row r="282" spans="2:2" x14ac:dyDescent="0.3">
      <c r="B282" s="28"/>
    </row>
    <row r="283" spans="2:2" x14ac:dyDescent="0.3">
      <c r="B283" s="28"/>
    </row>
    <row r="284" spans="2:2" x14ac:dyDescent="0.3">
      <c r="B284" s="28"/>
    </row>
    <row r="285" spans="2:2" x14ac:dyDescent="0.3">
      <c r="B285" s="28"/>
    </row>
    <row r="286" spans="2:2" x14ac:dyDescent="0.3">
      <c r="B286" s="28"/>
    </row>
    <row r="287" spans="2:2" x14ac:dyDescent="0.3">
      <c r="B287" s="28"/>
    </row>
    <row r="288" spans="2:2" x14ac:dyDescent="0.3">
      <c r="B288" s="28"/>
    </row>
    <row r="289" spans="2:2" x14ac:dyDescent="0.3">
      <c r="B289" s="28"/>
    </row>
    <row r="290" spans="2:2" x14ac:dyDescent="0.3">
      <c r="B290" s="28"/>
    </row>
    <row r="291" spans="2:2" x14ac:dyDescent="0.3">
      <c r="B291" s="28"/>
    </row>
    <row r="292" spans="2:2" x14ac:dyDescent="0.3">
      <c r="B292" s="28"/>
    </row>
    <row r="293" spans="2:2" x14ac:dyDescent="0.3">
      <c r="B293" s="28"/>
    </row>
    <row r="294" spans="2:2" x14ac:dyDescent="0.3">
      <c r="B294" s="28"/>
    </row>
    <row r="295" spans="2:2" x14ac:dyDescent="0.3">
      <c r="B295" s="28"/>
    </row>
    <row r="296" spans="2:2" x14ac:dyDescent="0.3">
      <c r="B296" s="28"/>
    </row>
    <row r="297" spans="2:2" x14ac:dyDescent="0.3">
      <c r="B297" s="28"/>
    </row>
    <row r="298" spans="2:2" x14ac:dyDescent="0.3">
      <c r="B298" s="28"/>
    </row>
    <row r="299" spans="2:2" x14ac:dyDescent="0.3">
      <c r="B299" s="28"/>
    </row>
    <row r="300" spans="2:2" x14ac:dyDescent="0.3">
      <c r="B300" s="28"/>
    </row>
    <row r="301" spans="2:2" x14ac:dyDescent="0.3">
      <c r="B301" s="28"/>
    </row>
    <row r="302" spans="2:2" x14ac:dyDescent="0.3">
      <c r="B302" s="28"/>
    </row>
    <row r="303" spans="2:2" x14ac:dyDescent="0.3">
      <c r="B303" s="28"/>
    </row>
    <row r="304" spans="2:2" x14ac:dyDescent="0.3">
      <c r="B304" s="28"/>
    </row>
    <row r="305" spans="2:2" x14ac:dyDescent="0.3">
      <c r="B305" s="28"/>
    </row>
    <row r="306" spans="2:2" x14ac:dyDescent="0.3">
      <c r="B306" s="28"/>
    </row>
    <row r="307" spans="2:2" x14ac:dyDescent="0.3">
      <c r="B307" s="28"/>
    </row>
    <row r="308" spans="2:2" x14ac:dyDescent="0.3">
      <c r="B308" s="28"/>
    </row>
    <row r="309" spans="2:2" x14ac:dyDescent="0.3">
      <c r="B309" s="28"/>
    </row>
    <row r="310" spans="2:2" x14ac:dyDescent="0.3">
      <c r="B310" s="28"/>
    </row>
    <row r="311" spans="2:2" x14ac:dyDescent="0.3">
      <c r="B311" s="28"/>
    </row>
    <row r="312" spans="2:2" x14ac:dyDescent="0.3">
      <c r="B312" s="28"/>
    </row>
    <row r="313" spans="2:2" x14ac:dyDescent="0.3">
      <c r="B313" s="28"/>
    </row>
    <row r="314" spans="2:2" x14ac:dyDescent="0.3">
      <c r="B314" s="28"/>
    </row>
    <row r="315" spans="2:2" x14ac:dyDescent="0.3">
      <c r="B315" s="28"/>
    </row>
    <row r="316" spans="2:2" x14ac:dyDescent="0.3">
      <c r="B316" s="28"/>
    </row>
    <row r="317" spans="2:2" x14ac:dyDescent="0.3">
      <c r="B317" s="28"/>
    </row>
    <row r="318" spans="2:2" x14ac:dyDescent="0.3">
      <c r="B318" s="28"/>
    </row>
    <row r="319" spans="2:2" x14ac:dyDescent="0.3">
      <c r="B319" s="28"/>
    </row>
    <row r="320" spans="2:2" x14ac:dyDescent="0.3">
      <c r="B320" s="28"/>
    </row>
    <row r="321" spans="2:2" x14ac:dyDescent="0.3">
      <c r="B321" s="28"/>
    </row>
    <row r="322" spans="2:2" x14ac:dyDescent="0.3">
      <c r="B322" s="28"/>
    </row>
    <row r="323" spans="2:2" x14ac:dyDescent="0.3">
      <c r="B323" s="28"/>
    </row>
    <row r="324" spans="2:2" x14ac:dyDescent="0.3">
      <c r="B324" s="28"/>
    </row>
    <row r="325" spans="2:2" x14ac:dyDescent="0.3">
      <c r="B325" s="28"/>
    </row>
    <row r="326" spans="2:2" x14ac:dyDescent="0.3">
      <c r="B326" s="28"/>
    </row>
    <row r="327" spans="2:2" x14ac:dyDescent="0.3">
      <c r="B327" s="28"/>
    </row>
    <row r="328" spans="2:2" x14ac:dyDescent="0.3">
      <c r="B328" s="28"/>
    </row>
    <row r="329" spans="2:2" x14ac:dyDescent="0.3">
      <c r="B329" s="28"/>
    </row>
    <row r="330" spans="2:2" x14ac:dyDescent="0.3">
      <c r="B330" s="28"/>
    </row>
    <row r="331" spans="2:2" x14ac:dyDescent="0.3">
      <c r="B331" s="28"/>
    </row>
    <row r="332" spans="2:2" x14ac:dyDescent="0.3">
      <c r="B332" s="28"/>
    </row>
    <row r="333" spans="2:2" x14ac:dyDescent="0.3">
      <c r="B333" s="28"/>
    </row>
    <row r="334" spans="2:2" x14ac:dyDescent="0.3">
      <c r="B334" s="28"/>
    </row>
    <row r="335" spans="2:2" x14ac:dyDescent="0.3">
      <c r="B335" s="28"/>
    </row>
    <row r="336" spans="2:2" x14ac:dyDescent="0.3">
      <c r="B336" s="28"/>
    </row>
    <row r="337" spans="2:2" x14ac:dyDescent="0.3">
      <c r="B337" s="28"/>
    </row>
    <row r="338" spans="2:2" x14ac:dyDescent="0.3">
      <c r="B338" s="28"/>
    </row>
    <row r="339" spans="2:2" x14ac:dyDescent="0.3">
      <c r="B339" s="28"/>
    </row>
    <row r="340" spans="2:2" x14ac:dyDescent="0.3">
      <c r="B340" s="28"/>
    </row>
    <row r="341" spans="2:2" x14ac:dyDescent="0.3">
      <c r="B341" s="28"/>
    </row>
    <row r="342" spans="2:2" x14ac:dyDescent="0.3">
      <c r="B342" s="28"/>
    </row>
    <row r="343" spans="2:2" x14ac:dyDescent="0.3">
      <c r="B343" s="28"/>
    </row>
    <row r="344" spans="2:2" x14ac:dyDescent="0.3">
      <c r="B344" s="28"/>
    </row>
    <row r="345" spans="2:2" x14ac:dyDescent="0.3">
      <c r="B345" s="28"/>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B847-5CA8-41B5-8E1F-306DF5A5DA07}">
  <sheetPr codeName="Sheet28">
    <tabColor rgb="FFFFFF00"/>
  </sheetPr>
  <dimension ref="A1:AH426"/>
  <sheetViews>
    <sheetView topLeftCell="K1" workbookViewId="0">
      <selection activeCell="Y3" sqref="Y3"/>
    </sheetView>
  </sheetViews>
  <sheetFormatPr defaultColWidth="9.109375" defaultRowHeight="16.2" x14ac:dyDescent="0.4"/>
  <cols>
    <col min="1" max="1" width="9.109375" style="2210"/>
    <col min="2" max="3" width="38.44140625" style="2210" customWidth="1"/>
    <col min="4" max="4" width="28.88671875" style="2210" customWidth="1"/>
    <col min="5" max="7" width="9.109375" style="2210"/>
    <col min="8" max="8" width="24.5546875" style="2210" bestFit="1" customWidth="1"/>
    <col min="9" max="12" width="9.109375" style="2210"/>
    <col min="13" max="13" width="22.88671875" style="2210" customWidth="1"/>
    <col min="14" max="14" width="9.109375" style="2210"/>
    <col min="15" max="15" width="25.109375" style="2210" customWidth="1"/>
    <col min="16" max="21" width="9.109375" style="2210"/>
    <col min="22" max="22" width="14.5546875" style="2210" customWidth="1"/>
    <col min="23" max="23" width="9.109375" style="2210"/>
    <col min="24" max="25" width="25.6640625" style="2210" customWidth="1"/>
    <col min="26" max="31" width="9.109375" style="2210"/>
    <col min="32" max="32" width="44.44140625" style="2210" bestFit="1" customWidth="1"/>
    <col min="33" max="33" width="16.5546875" style="2210" customWidth="1"/>
    <col min="34" max="34" width="25.5546875" style="2210" bestFit="1" customWidth="1"/>
    <col min="35" max="16384" width="9.109375" style="2210"/>
  </cols>
  <sheetData>
    <row r="1" spans="1:34" x14ac:dyDescent="0.4">
      <c r="B1" s="2211" t="s">
        <v>2121</v>
      </c>
      <c r="I1" s="2212"/>
      <c r="M1" s="2210" t="s">
        <v>2122</v>
      </c>
      <c r="V1" s="2210" t="s">
        <v>85</v>
      </c>
      <c r="AF1" s="2210" t="e" cm="1">
        <f t="array" aca="1" ref="AF1" ca="1">ISEmpty(AF3)</f>
        <v>#NAME?</v>
      </c>
    </row>
    <row r="2" spans="1:34" ht="13.5" customHeight="1" x14ac:dyDescent="0.4">
      <c r="B2" s="2213" t="s">
        <v>2123</v>
      </c>
      <c r="C2" s="2213" t="s">
        <v>2124</v>
      </c>
      <c r="D2" s="2213" t="s">
        <v>2125</v>
      </c>
      <c r="E2" s="2213" t="s">
        <v>2126</v>
      </c>
      <c r="F2" s="2213" t="s">
        <v>11</v>
      </c>
      <c r="G2" s="2213" t="s">
        <v>2127</v>
      </c>
      <c r="H2" s="2213" t="s">
        <v>2128</v>
      </c>
      <c r="I2" s="2213" t="s">
        <v>2129</v>
      </c>
      <c r="M2" s="2210" t="s">
        <v>2123</v>
      </c>
      <c r="N2" s="2210" t="s">
        <v>2130</v>
      </c>
      <c r="O2" s="2210" t="s">
        <v>2125</v>
      </c>
      <c r="P2" s="2210" t="s">
        <v>2126</v>
      </c>
      <c r="Q2" s="2210" t="s">
        <v>11</v>
      </c>
      <c r="R2" s="2210" t="s">
        <v>2127</v>
      </c>
      <c r="S2" s="2210" t="s">
        <v>2128</v>
      </c>
      <c r="V2" s="2210" t="s">
        <v>2123</v>
      </c>
      <c r="W2" s="2210" t="s">
        <v>2130</v>
      </c>
      <c r="X2" s="2210" t="s">
        <v>2125</v>
      </c>
      <c r="Y2" s="2210" t="s">
        <v>2131</v>
      </c>
      <c r="Z2" s="2210" t="s">
        <v>2126</v>
      </c>
      <c r="AA2" s="2210" t="s">
        <v>11</v>
      </c>
      <c r="AB2" s="2210" t="s">
        <v>2127</v>
      </c>
      <c r="AC2" s="2210" t="s">
        <v>2128</v>
      </c>
      <c r="AF2" s="2210" t="s">
        <v>2132</v>
      </c>
      <c r="AG2" s="2210" t="s">
        <v>2133</v>
      </c>
      <c r="AH2" s="2210" t="s">
        <v>2134</v>
      </c>
    </row>
    <row r="3" spans="1:34" ht="15" customHeight="1" x14ac:dyDescent="0.4">
      <c r="A3" s="2210">
        <v>1</v>
      </c>
      <c r="B3" s="2214"/>
      <c r="C3" s="2214"/>
      <c r="D3" s="2214"/>
      <c r="E3" s="2214"/>
      <c r="F3" s="2214"/>
      <c r="G3" s="2214"/>
      <c r="H3" s="2214"/>
      <c r="M3" s="2210">
        <f>IF($H3="Interior Lighting",$B3,0)</f>
        <v>0</v>
      </c>
      <c r="N3" s="2210">
        <f>IF($H3="Interior Lighting",$C3,0)</f>
        <v>0</v>
      </c>
      <c r="O3" s="2210">
        <f>IF($H3="Interior Lighting",$D3,0)</f>
        <v>0</v>
      </c>
      <c r="P3" s="2210">
        <f>IF($H3="Interior Lighting",$E3,0)</f>
        <v>0</v>
      </c>
      <c r="Q3" s="2210">
        <f>IF($H3="Interior Lighting",$F3,0)</f>
        <v>0</v>
      </c>
      <c r="R3" s="2210">
        <f>IF($H3="Interior Lighting",$G3,0)</f>
        <v>0</v>
      </c>
      <c r="S3" s="2210">
        <f>IF($H3="Interior Lighting",$H3,0)</f>
        <v>0</v>
      </c>
      <c r="V3" s="2210">
        <f>IF($H3="Exterior Lighting",$B3,)</f>
        <v>0</v>
      </c>
      <c r="W3" s="2210">
        <f>IF($H3="Exterior Lighting",$C3,0)</f>
        <v>0</v>
      </c>
      <c r="X3" s="2210">
        <f>IF($H3="Exterior Lighting",$D3,0)</f>
        <v>0</v>
      </c>
      <c r="Y3" s="2210">
        <f>IF(OR(V3=0,LEN(X3)&lt;7),0,_xlfn.CONCAT(V3,",",X3))</f>
        <v>0</v>
      </c>
      <c r="Z3" s="2210">
        <f>IF($H3="Exterior Lighting",$E3,0)</f>
        <v>0</v>
      </c>
      <c r="AA3" s="2210">
        <f>IF($H3="Exterior Lighting",$F3,0)</f>
        <v>0</v>
      </c>
      <c r="AB3" s="2210">
        <f>IF($H3="Exterior Lighting",$G3,0)</f>
        <v>0</v>
      </c>
      <c r="AC3" s="2210">
        <f>IF($H3="Exterior Lighting",$H3,0)</f>
        <v>0</v>
      </c>
      <c r="AF3" s="2210" t="e" cm="1" vm="1">
        <f t="array" ref="AF3">_xlfn.UNIQUE(_xlfn._xlws.FILTER(Y3:Y426,Y3:Y426&lt;&gt;0))</f>
        <v>#VALUE!</v>
      </c>
      <c r="AG3" s="2210" t="e" vm="2">
        <f>IF(AF3 = 0,0,LEFT(AF3,SEARCH(",",AF3)-1))</f>
        <v>#VALUE!</v>
      </c>
      <c r="AH3" s="2210" t="e" vm="2">
        <f>IF(AF3=0,0,MID(AF3,SEARCH(",",AF3)+1,LEN(AF3)))</f>
        <v>#VALUE!</v>
      </c>
    </row>
    <row r="4" spans="1:34" ht="15" customHeight="1" x14ac:dyDescent="0.4">
      <c r="A4" s="2210">
        <f>A3+1</f>
        <v>2</v>
      </c>
      <c r="B4" s="2214"/>
      <c r="C4" s="2214"/>
      <c r="D4" s="2214"/>
      <c r="E4" s="2214"/>
      <c r="F4" s="2214"/>
      <c r="G4" s="2214"/>
      <c r="H4" s="2214"/>
      <c r="M4" s="2210">
        <f t="shared" ref="M4:M67" si="0">IF($H4="Interior Lighting",$B4,0)</f>
        <v>0</v>
      </c>
      <c r="N4" s="2210">
        <f t="shared" ref="N4:N67" si="1">IF($H4="Interior Lighting",$C4,0)</f>
        <v>0</v>
      </c>
      <c r="O4" s="2210">
        <f t="shared" ref="O4:O67" si="2">IF($H4="Interior Lighting",$D4,0)</f>
        <v>0</v>
      </c>
      <c r="P4" s="2210">
        <f t="shared" ref="P4:P67" si="3">IF($H4="Interior Lighting",$E4,0)</f>
        <v>0</v>
      </c>
      <c r="Q4" s="2210">
        <f t="shared" ref="Q4:Q67" si="4">IF($H4="Interior Lighting",$F4,0)</f>
        <v>0</v>
      </c>
      <c r="R4" s="2210">
        <f t="shared" ref="R4:R67" si="5">IF($H4="Interior Lighting",$G4,0)</f>
        <v>0</v>
      </c>
      <c r="S4" s="2210">
        <f t="shared" ref="S4:S67" si="6">IF($H4="Interior Lighting",$H4,0)</f>
        <v>0</v>
      </c>
      <c r="V4" s="2210">
        <f t="shared" ref="V4:V67" si="7">IF($H4="Exterior Lighting",$B4,0)</f>
        <v>0</v>
      </c>
      <c r="W4" s="2210">
        <f t="shared" ref="W4:W67" si="8">IF($H4="Exterior Lighting",$C4,0)</f>
        <v>0</v>
      </c>
      <c r="X4" s="2210">
        <f t="shared" ref="X4:X67" si="9">IF($H4="Exterior Lighting",$D4,0)</f>
        <v>0</v>
      </c>
      <c r="Y4" s="2210">
        <f t="shared" ref="Y4:Y18" si="10">IF(OR(V4=0,LEN(X4)&lt;7),0,_xlfn.CONCAT(V4,",",X4))</f>
        <v>0</v>
      </c>
      <c r="Z4" s="2210">
        <f t="shared" ref="Z4:Z67" si="11">IF($H4="Exterior Lighting",$E4,0)</f>
        <v>0</v>
      </c>
      <c r="AA4" s="2210">
        <f t="shared" ref="AA4:AA67" si="12">IF($H4="Exterior Lighting",$F4,0)</f>
        <v>0</v>
      </c>
      <c r="AB4" s="2210">
        <f t="shared" ref="AB4:AB67" si="13">IF($H4="Exterior Lighting",$G4,0)</f>
        <v>0</v>
      </c>
      <c r="AC4" s="2210">
        <f t="shared" ref="AC4:AC67" si="14">IF($H4="Exterior Lighting",$H4,0)</f>
        <v>0</v>
      </c>
      <c r="AG4" s="2210">
        <f t="shared" ref="AG4:AG67" si="15">IF(AF4 = 0,0,LEFT(AF4,SEARCH(",",AF4)-1))</f>
        <v>0</v>
      </c>
      <c r="AH4" s="2210">
        <f t="shared" ref="AH4:AH67" si="16">IF(AF4=0,0,MID(AF4,SEARCH(",",AF4)+1,LEN(AF4)))</f>
        <v>0</v>
      </c>
    </row>
    <row r="5" spans="1:34" ht="13.5" customHeight="1" x14ac:dyDescent="0.4">
      <c r="A5" s="2210">
        <f t="shared" ref="A5:A68" si="17">A4+1</f>
        <v>3</v>
      </c>
      <c r="B5" s="2214"/>
      <c r="C5" s="2214"/>
      <c r="D5" s="2214"/>
      <c r="E5" s="2214"/>
      <c r="F5" s="2214"/>
      <c r="G5" s="2214"/>
      <c r="H5" s="2214"/>
      <c r="M5" s="2210">
        <f t="shared" si="0"/>
        <v>0</v>
      </c>
      <c r="N5" s="2210">
        <f t="shared" si="1"/>
        <v>0</v>
      </c>
      <c r="O5" s="2210">
        <f t="shared" si="2"/>
        <v>0</v>
      </c>
      <c r="P5" s="2210">
        <f t="shared" si="3"/>
        <v>0</v>
      </c>
      <c r="Q5" s="2210">
        <f t="shared" si="4"/>
        <v>0</v>
      </c>
      <c r="R5" s="2210">
        <f t="shared" si="5"/>
        <v>0</v>
      </c>
      <c r="S5" s="2210">
        <f t="shared" si="6"/>
        <v>0</v>
      </c>
      <c r="V5" s="2210">
        <f t="shared" si="7"/>
        <v>0</v>
      </c>
      <c r="W5" s="2210">
        <f t="shared" si="8"/>
        <v>0</v>
      </c>
      <c r="X5" s="2210">
        <f t="shared" si="9"/>
        <v>0</v>
      </c>
      <c r="Y5" s="2210">
        <f t="shared" si="10"/>
        <v>0</v>
      </c>
      <c r="Z5" s="2210">
        <f t="shared" si="11"/>
        <v>0</v>
      </c>
      <c r="AA5" s="2210">
        <f t="shared" si="12"/>
        <v>0</v>
      </c>
      <c r="AB5" s="2210">
        <f t="shared" si="13"/>
        <v>0</v>
      </c>
      <c r="AC5" s="2210">
        <f t="shared" si="14"/>
        <v>0</v>
      </c>
      <c r="AG5" s="2210">
        <f t="shared" si="15"/>
        <v>0</v>
      </c>
      <c r="AH5" s="2210">
        <f t="shared" si="16"/>
        <v>0</v>
      </c>
    </row>
    <row r="6" spans="1:34" x14ac:dyDescent="0.4">
      <c r="A6" s="2210">
        <f t="shared" si="17"/>
        <v>4</v>
      </c>
      <c r="B6" s="2214"/>
      <c r="C6" s="2214"/>
      <c r="D6" s="2214"/>
      <c r="E6" s="2214"/>
      <c r="F6" s="2214"/>
      <c r="G6" s="2214"/>
      <c r="H6" s="2214"/>
      <c r="M6" s="2210">
        <f t="shared" si="0"/>
        <v>0</v>
      </c>
      <c r="N6" s="2210">
        <f t="shared" si="1"/>
        <v>0</v>
      </c>
      <c r="O6" s="2210">
        <f t="shared" si="2"/>
        <v>0</v>
      </c>
      <c r="P6" s="2210">
        <f t="shared" si="3"/>
        <v>0</v>
      </c>
      <c r="Q6" s="2210">
        <f t="shared" si="4"/>
        <v>0</v>
      </c>
      <c r="R6" s="2210">
        <f t="shared" si="5"/>
        <v>0</v>
      </c>
      <c r="S6" s="2210">
        <f t="shared" si="6"/>
        <v>0</v>
      </c>
      <c r="V6" s="2210">
        <f t="shared" si="7"/>
        <v>0</v>
      </c>
      <c r="W6" s="2210">
        <f t="shared" si="8"/>
        <v>0</v>
      </c>
      <c r="X6" s="2210">
        <f t="shared" si="9"/>
        <v>0</v>
      </c>
      <c r="Y6" s="2210">
        <f t="shared" si="10"/>
        <v>0</v>
      </c>
      <c r="Z6" s="2210">
        <f t="shared" si="11"/>
        <v>0</v>
      </c>
      <c r="AA6" s="2210">
        <f t="shared" si="12"/>
        <v>0</v>
      </c>
      <c r="AB6" s="2210">
        <f t="shared" si="13"/>
        <v>0</v>
      </c>
      <c r="AC6" s="2210">
        <f t="shared" si="14"/>
        <v>0</v>
      </c>
      <c r="AG6" s="2210">
        <f t="shared" si="15"/>
        <v>0</v>
      </c>
      <c r="AH6" s="2210">
        <f t="shared" si="16"/>
        <v>0</v>
      </c>
    </row>
    <row r="7" spans="1:34" x14ac:dyDescent="0.4">
      <c r="A7" s="2210">
        <f t="shared" si="17"/>
        <v>5</v>
      </c>
      <c r="B7" s="2214"/>
      <c r="C7" s="2214"/>
      <c r="D7" s="2214"/>
      <c r="E7" s="2214"/>
      <c r="F7" s="2214"/>
      <c r="G7" s="2214"/>
      <c r="H7" s="2214"/>
      <c r="M7" s="2210">
        <f t="shared" si="0"/>
        <v>0</v>
      </c>
      <c r="N7" s="2210">
        <f t="shared" si="1"/>
        <v>0</v>
      </c>
      <c r="O7" s="2210">
        <f t="shared" si="2"/>
        <v>0</v>
      </c>
      <c r="P7" s="2210">
        <f t="shared" si="3"/>
        <v>0</v>
      </c>
      <c r="Q7" s="2210">
        <f t="shared" si="4"/>
        <v>0</v>
      </c>
      <c r="R7" s="2210">
        <f t="shared" si="5"/>
        <v>0</v>
      </c>
      <c r="S7" s="2210">
        <f t="shared" si="6"/>
        <v>0</v>
      </c>
      <c r="V7" s="2210">
        <f t="shared" si="7"/>
        <v>0</v>
      </c>
      <c r="W7" s="2210">
        <f t="shared" si="8"/>
        <v>0</v>
      </c>
      <c r="X7" s="2210">
        <f t="shared" si="9"/>
        <v>0</v>
      </c>
      <c r="Y7" s="2210">
        <f t="shared" si="10"/>
        <v>0</v>
      </c>
      <c r="Z7" s="2210">
        <f t="shared" si="11"/>
        <v>0</v>
      </c>
      <c r="AA7" s="2210">
        <f t="shared" si="12"/>
        <v>0</v>
      </c>
      <c r="AB7" s="2210">
        <f t="shared" si="13"/>
        <v>0</v>
      </c>
      <c r="AC7" s="2210">
        <f t="shared" si="14"/>
        <v>0</v>
      </c>
      <c r="AG7" s="2210">
        <f t="shared" si="15"/>
        <v>0</v>
      </c>
      <c r="AH7" s="2210">
        <f t="shared" si="16"/>
        <v>0</v>
      </c>
    </row>
    <row r="8" spans="1:34" x14ac:dyDescent="0.4">
      <c r="A8" s="2210">
        <f t="shared" si="17"/>
        <v>6</v>
      </c>
      <c r="B8" s="2214"/>
      <c r="C8" s="2214"/>
      <c r="D8" s="2214"/>
      <c r="E8" s="2214"/>
      <c r="F8" s="2214"/>
      <c r="G8" s="2214"/>
      <c r="H8" s="2214"/>
      <c r="M8" s="2210">
        <f t="shared" si="0"/>
        <v>0</v>
      </c>
      <c r="N8" s="2210">
        <f t="shared" si="1"/>
        <v>0</v>
      </c>
      <c r="O8" s="2210">
        <f t="shared" si="2"/>
        <v>0</v>
      </c>
      <c r="P8" s="2210">
        <f t="shared" si="3"/>
        <v>0</v>
      </c>
      <c r="Q8" s="2210">
        <f t="shared" si="4"/>
        <v>0</v>
      </c>
      <c r="R8" s="2210">
        <f t="shared" si="5"/>
        <v>0</v>
      </c>
      <c r="S8" s="2210">
        <f t="shared" si="6"/>
        <v>0</v>
      </c>
      <c r="V8" s="2210">
        <f t="shared" si="7"/>
        <v>0</v>
      </c>
      <c r="W8" s="2210">
        <f t="shared" si="8"/>
        <v>0</v>
      </c>
      <c r="X8" s="2210">
        <f t="shared" si="9"/>
        <v>0</v>
      </c>
      <c r="Y8" s="2210">
        <f t="shared" si="10"/>
        <v>0</v>
      </c>
      <c r="Z8" s="2210">
        <f t="shared" si="11"/>
        <v>0</v>
      </c>
      <c r="AA8" s="2210">
        <f t="shared" si="12"/>
        <v>0</v>
      </c>
      <c r="AB8" s="2210">
        <f t="shared" si="13"/>
        <v>0</v>
      </c>
      <c r="AC8" s="2210">
        <f t="shared" si="14"/>
        <v>0</v>
      </c>
      <c r="AG8" s="2210">
        <f t="shared" si="15"/>
        <v>0</v>
      </c>
      <c r="AH8" s="2210">
        <f t="shared" si="16"/>
        <v>0</v>
      </c>
    </row>
    <row r="9" spans="1:34" x14ac:dyDescent="0.4">
      <c r="A9" s="2210">
        <f t="shared" si="17"/>
        <v>7</v>
      </c>
      <c r="B9" s="2214"/>
      <c r="C9" s="2214"/>
      <c r="D9" s="2214"/>
      <c r="E9" s="2214"/>
      <c r="F9" s="2214"/>
      <c r="G9" s="2214"/>
      <c r="H9" s="2214"/>
      <c r="M9" s="2210">
        <f t="shared" si="0"/>
        <v>0</v>
      </c>
      <c r="N9" s="2210">
        <f t="shared" si="1"/>
        <v>0</v>
      </c>
      <c r="O9" s="2210">
        <f t="shared" si="2"/>
        <v>0</v>
      </c>
      <c r="P9" s="2210">
        <f t="shared" si="3"/>
        <v>0</v>
      </c>
      <c r="Q9" s="2210">
        <f t="shared" si="4"/>
        <v>0</v>
      </c>
      <c r="R9" s="2210">
        <f t="shared" si="5"/>
        <v>0</v>
      </c>
      <c r="S9" s="2210">
        <f t="shared" si="6"/>
        <v>0</v>
      </c>
      <c r="V9" s="2210">
        <f t="shared" si="7"/>
        <v>0</v>
      </c>
      <c r="W9" s="2210">
        <f t="shared" si="8"/>
        <v>0</v>
      </c>
      <c r="X9" s="2210">
        <f t="shared" si="9"/>
        <v>0</v>
      </c>
      <c r="Y9" s="2210">
        <f t="shared" si="10"/>
        <v>0</v>
      </c>
      <c r="Z9" s="2210">
        <f t="shared" si="11"/>
        <v>0</v>
      </c>
      <c r="AA9" s="2210">
        <f t="shared" si="12"/>
        <v>0</v>
      </c>
      <c r="AB9" s="2210">
        <f t="shared" si="13"/>
        <v>0</v>
      </c>
      <c r="AC9" s="2210">
        <f t="shared" si="14"/>
        <v>0</v>
      </c>
      <c r="AG9" s="2210">
        <f t="shared" si="15"/>
        <v>0</v>
      </c>
      <c r="AH9" s="2210">
        <f t="shared" si="16"/>
        <v>0</v>
      </c>
    </row>
    <row r="10" spans="1:34" x14ac:dyDescent="0.4">
      <c r="A10" s="2210">
        <f t="shared" si="17"/>
        <v>8</v>
      </c>
      <c r="B10" s="2214"/>
      <c r="C10" s="2214"/>
      <c r="D10" s="2214"/>
      <c r="E10" s="2214"/>
      <c r="F10" s="2214"/>
      <c r="G10" s="2214"/>
      <c r="H10" s="2214"/>
      <c r="M10" s="2210">
        <f t="shared" si="0"/>
        <v>0</v>
      </c>
      <c r="N10" s="2210">
        <f t="shared" si="1"/>
        <v>0</v>
      </c>
      <c r="O10" s="2210">
        <f t="shared" si="2"/>
        <v>0</v>
      </c>
      <c r="P10" s="2210">
        <f t="shared" si="3"/>
        <v>0</v>
      </c>
      <c r="Q10" s="2210">
        <f t="shared" si="4"/>
        <v>0</v>
      </c>
      <c r="R10" s="2210">
        <f t="shared" si="5"/>
        <v>0</v>
      </c>
      <c r="S10" s="2210">
        <f t="shared" si="6"/>
        <v>0</v>
      </c>
      <c r="V10" s="2210">
        <f t="shared" si="7"/>
        <v>0</v>
      </c>
      <c r="W10" s="2210">
        <f t="shared" si="8"/>
        <v>0</v>
      </c>
      <c r="X10" s="2210">
        <f t="shared" si="9"/>
        <v>0</v>
      </c>
      <c r="Y10" s="2210">
        <f t="shared" si="10"/>
        <v>0</v>
      </c>
      <c r="Z10" s="2210">
        <f t="shared" si="11"/>
        <v>0</v>
      </c>
      <c r="AA10" s="2210">
        <f t="shared" si="12"/>
        <v>0</v>
      </c>
      <c r="AB10" s="2210">
        <f t="shared" si="13"/>
        <v>0</v>
      </c>
      <c r="AC10" s="2210">
        <f t="shared" si="14"/>
        <v>0</v>
      </c>
      <c r="AG10" s="2210">
        <f t="shared" si="15"/>
        <v>0</v>
      </c>
      <c r="AH10" s="2210">
        <f t="shared" si="16"/>
        <v>0</v>
      </c>
    </row>
    <row r="11" spans="1:34" x14ac:dyDescent="0.4">
      <c r="A11" s="2210">
        <f t="shared" si="17"/>
        <v>9</v>
      </c>
      <c r="B11" s="2214"/>
      <c r="C11" s="2214"/>
      <c r="D11" s="2214"/>
      <c r="E11" s="2214"/>
      <c r="F11" s="2214"/>
      <c r="G11" s="2214"/>
      <c r="H11" s="2214"/>
      <c r="M11" s="2210">
        <f t="shared" si="0"/>
        <v>0</v>
      </c>
      <c r="N11" s="2210">
        <f t="shared" si="1"/>
        <v>0</v>
      </c>
      <c r="O11" s="2210">
        <f t="shared" si="2"/>
        <v>0</v>
      </c>
      <c r="P11" s="2210">
        <f t="shared" si="3"/>
        <v>0</v>
      </c>
      <c r="Q11" s="2210">
        <f t="shared" si="4"/>
        <v>0</v>
      </c>
      <c r="R11" s="2210">
        <f t="shared" si="5"/>
        <v>0</v>
      </c>
      <c r="S11" s="2210">
        <f t="shared" si="6"/>
        <v>0</v>
      </c>
      <c r="V11" s="2210">
        <f t="shared" si="7"/>
        <v>0</v>
      </c>
      <c r="W11" s="2210">
        <f t="shared" si="8"/>
        <v>0</v>
      </c>
      <c r="X11" s="2210">
        <f t="shared" si="9"/>
        <v>0</v>
      </c>
      <c r="Y11" s="2210">
        <f t="shared" si="10"/>
        <v>0</v>
      </c>
      <c r="Z11" s="2210">
        <f t="shared" si="11"/>
        <v>0</v>
      </c>
      <c r="AA11" s="2210">
        <f t="shared" si="12"/>
        <v>0</v>
      </c>
      <c r="AB11" s="2210">
        <f t="shared" si="13"/>
        <v>0</v>
      </c>
      <c r="AC11" s="2210">
        <f t="shared" si="14"/>
        <v>0</v>
      </c>
      <c r="AG11" s="2210">
        <f t="shared" si="15"/>
        <v>0</v>
      </c>
      <c r="AH11" s="2210">
        <f t="shared" si="16"/>
        <v>0</v>
      </c>
    </row>
    <row r="12" spans="1:34" x14ac:dyDescent="0.4">
      <c r="A12" s="2210">
        <f t="shared" si="17"/>
        <v>10</v>
      </c>
      <c r="B12" s="2214"/>
      <c r="C12" s="2214"/>
      <c r="D12" s="2214"/>
      <c r="E12" s="2214"/>
      <c r="F12" s="2214"/>
      <c r="G12" s="2214"/>
      <c r="H12" s="2214"/>
      <c r="M12" s="2210">
        <f t="shared" si="0"/>
        <v>0</v>
      </c>
      <c r="N12" s="2210">
        <f t="shared" si="1"/>
        <v>0</v>
      </c>
      <c r="O12" s="2210">
        <f t="shared" si="2"/>
        <v>0</v>
      </c>
      <c r="P12" s="2210">
        <f t="shared" si="3"/>
        <v>0</v>
      </c>
      <c r="Q12" s="2210">
        <f t="shared" si="4"/>
        <v>0</v>
      </c>
      <c r="R12" s="2210">
        <f t="shared" si="5"/>
        <v>0</v>
      </c>
      <c r="S12" s="2210">
        <f t="shared" si="6"/>
        <v>0</v>
      </c>
      <c r="V12" s="2210">
        <f t="shared" si="7"/>
        <v>0</v>
      </c>
      <c r="W12" s="2210">
        <f t="shared" si="8"/>
        <v>0</v>
      </c>
      <c r="X12" s="2210">
        <f t="shared" si="9"/>
        <v>0</v>
      </c>
      <c r="Y12" s="2210">
        <f t="shared" si="10"/>
        <v>0</v>
      </c>
      <c r="Z12" s="2210">
        <f t="shared" si="11"/>
        <v>0</v>
      </c>
      <c r="AA12" s="2210">
        <f t="shared" si="12"/>
        <v>0</v>
      </c>
      <c r="AB12" s="2210">
        <f t="shared" si="13"/>
        <v>0</v>
      </c>
      <c r="AC12" s="2210">
        <f t="shared" si="14"/>
        <v>0</v>
      </c>
      <c r="AG12" s="2210">
        <f t="shared" si="15"/>
        <v>0</v>
      </c>
      <c r="AH12" s="2210">
        <f t="shared" si="16"/>
        <v>0</v>
      </c>
    </row>
    <row r="13" spans="1:34" x14ac:dyDescent="0.4">
      <c r="A13" s="2210">
        <f t="shared" si="17"/>
        <v>11</v>
      </c>
      <c r="B13" s="2214"/>
      <c r="C13" s="2214"/>
      <c r="D13" s="2214"/>
      <c r="E13" s="2214"/>
      <c r="F13" s="2214"/>
      <c r="G13" s="2214"/>
      <c r="H13" s="2214"/>
      <c r="M13" s="2210">
        <f t="shared" si="0"/>
        <v>0</v>
      </c>
      <c r="N13" s="2210">
        <f t="shared" si="1"/>
        <v>0</v>
      </c>
      <c r="O13" s="2210">
        <f t="shared" si="2"/>
        <v>0</v>
      </c>
      <c r="P13" s="2210">
        <f t="shared" si="3"/>
        <v>0</v>
      </c>
      <c r="Q13" s="2210">
        <f t="shared" si="4"/>
        <v>0</v>
      </c>
      <c r="R13" s="2210">
        <f t="shared" si="5"/>
        <v>0</v>
      </c>
      <c r="S13" s="2210">
        <f t="shared" si="6"/>
        <v>0</v>
      </c>
      <c r="V13" s="2210">
        <f t="shared" si="7"/>
        <v>0</v>
      </c>
      <c r="W13" s="2210">
        <f t="shared" si="8"/>
        <v>0</v>
      </c>
      <c r="X13" s="2210">
        <f t="shared" si="9"/>
        <v>0</v>
      </c>
      <c r="Y13" s="2210">
        <f t="shared" si="10"/>
        <v>0</v>
      </c>
      <c r="Z13" s="2210">
        <f t="shared" si="11"/>
        <v>0</v>
      </c>
      <c r="AA13" s="2210">
        <f t="shared" si="12"/>
        <v>0</v>
      </c>
      <c r="AB13" s="2210">
        <f t="shared" si="13"/>
        <v>0</v>
      </c>
      <c r="AC13" s="2210">
        <f t="shared" si="14"/>
        <v>0</v>
      </c>
      <c r="AG13" s="2210">
        <f t="shared" si="15"/>
        <v>0</v>
      </c>
      <c r="AH13" s="2210">
        <f t="shared" si="16"/>
        <v>0</v>
      </c>
    </row>
    <row r="14" spans="1:34" x14ac:dyDescent="0.4">
      <c r="A14" s="2210">
        <f t="shared" si="17"/>
        <v>12</v>
      </c>
      <c r="B14" s="2214"/>
      <c r="C14" s="2214"/>
      <c r="D14" s="2214"/>
      <c r="E14" s="2214"/>
      <c r="F14" s="2214"/>
      <c r="G14" s="2214"/>
      <c r="H14" s="2214"/>
      <c r="M14" s="2210">
        <f t="shared" si="0"/>
        <v>0</v>
      </c>
      <c r="N14" s="2210">
        <f t="shared" si="1"/>
        <v>0</v>
      </c>
      <c r="O14" s="2210">
        <f t="shared" si="2"/>
        <v>0</v>
      </c>
      <c r="P14" s="2210">
        <f t="shared" si="3"/>
        <v>0</v>
      </c>
      <c r="Q14" s="2210">
        <f t="shared" si="4"/>
        <v>0</v>
      </c>
      <c r="R14" s="2210">
        <f t="shared" si="5"/>
        <v>0</v>
      </c>
      <c r="S14" s="2210">
        <f t="shared" si="6"/>
        <v>0</v>
      </c>
      <c r="V14" s="2210">
        <f t="shared" si="7"/>
        <v>0</v>
      </c>
      <c r="W14" s="2210">
        <f t="shared" si="8"/>
        <v>0</v>
      </c>
      <c r="X14" s="2210">
        <f t="shared" si="9"/>
        <v>0</v>
      </c>
      <c r="Y14" s="2210">
        <f t="shared" si="10"/>
        <v>0</v>
      </c>
      <c r="Z14" s="2210">
        <f t="shared" si="11"/>
        <v>0</v>
      </c>
      <c r="AA14" s="2210">
        <f t="shared" si="12"/>
        <v>0</v>
      </c>
      <c r="AB14" s="2210">
        <f t="shared" si="13"/>
        <v>0</v>
      </c>
      <c r="AC14" s="2210">
        <f t="shared" si="14"/>
        <v>0</v>
      </c>
      <c r="AG14" s="2210">
        <f t="shared" si="15"/>
        <v>0</v>
      </c>
      <c r="AH14" s="2210">
        <f t="shared" si="16"/>
        <v>0</v>
      </c>
    </row>
    <row r="15" spans="1:34" x14ac:dyDescent="0.4">
      <c r="A15" s="2210">
        <f t="shared" si="17"/>
        <v>13</v>
      </c>
      <c r="B15" s="2214"/>
      <c r="C15" s="2214"/>
      <c r="D15" s="2214"/>
      <c r="E15" s="2214"/>
      <c r="F15" s="2214"/>
      <c r="G15" s="2214"/>
      <c r="H15" s="2214"/>
      <c r="M15" s="2210">
        <f t="shared" si="0"/>
        <v>0</v>
      </c>
      <c r="N15" s="2210">
        <f t="shared" si="1"/>
        <v>0</v>
      </c>
      <c r="O15" s="2210">
        <f t="shared" si="2"/>
        <v>0</v>
      </c>
      <c r="P15" s="2210">
        <f t="shared" si="3"/>
        <v>0</v>
      </c>
      <c r="Q15" s="2210">
        <f t="shared" si="4"/>
        <v>0</v>
      </c>
      <c r="R15" s="2210">
        <f t="shared" si="5"/>
        <v>0</v>
      </c>
      <c r="S15" s="2210">
        <f t="shared" si="6"/>
        <v>0</v>
      </c>
      <c r="V15" s="2210">
        <f t="shared" si="7"/>
        <v>0</v>
      </c>
      <c r="W15" s="2210">
        <f t="shared" si="8"/>
        <v>0</v>
      </c>
      <c r="X15" s="2210">
        <f t="shared" si="9"/>
        <v>0</v>
      </c>
      <c r="Y15" s="2210">
        <f t="shared" si="10"/>
        <v>0</v>
      </c>
      <c r="Z15" s="2210">
        <f t="shared" si="11"/>
        <v>0</v>
      </c>
      <c r="AA15" s="2210">
        <f t="shared" si="12"/>
        <v>0</v>
      </c>
      <c r="AB15" s="2210">
        <f t="shared" si="13"/>
        <v>0</v>
      </c>
      <c r="AC15" s="2210">
        <f t="shared" si="14"/>
        <v>0</v>
      </c>
      <c r="AG15" s="2210">
        <f t="shared" si="15"/>
        <v>0</v>
      </c>
      <c r="AH15" s="2210">
        <f t="shared" si="16"/>
        <v>0</v>
      </c>
    </row>
    <row r="16" spans="1:34" x14ac:dyDescent="0.4">
      <c r="A16" s="2210">
        <f t="shared" si="17"/>
        <v>14</v>
      </c>
      <c r="B16" s="2214"/>
      <c r="C16" s="2214"/>
      <c r="D16" s="2214"/>
      <c r="E16" s="2214"/>
      <c r="F16" s="2214"/>
      <c r="G16" s="2214"/>
      <c r="H16" s="2214"/>
      <c r="M16" s="2210">
        <f t="shared" si="0"/>
        <v>0</v>
      </c>
      <c r="N16" s="2210">
        <f t="shared" si="1"/>
        <v>0</v>
      </c>
      <c r="O16" s="2210">
        <f t="shared" si="2"/>
        <v>0</v>
      </c>
      <c r="P16" s="2210">
        <f t="shared" si="3"/>
        <v>0</v>
      </c>
      <c r="Q16" s="2210">
        <f t="shared" si="4"/>
        <v>0</v>
      </c>
      <c r="R16" s="2210">
        <f t="shared" si="5"/>
        <v>0</v>
      </c>
      <c r="S16" s="2210">
        <f t="shared" si="6"/>
        <v>0</v>
      </c>
      <c r="V16" s="2210">
        <f t="shared" si="7"/>
        <v>0</v>
      </c>
      <c r="W16" s="2210">
        <f t="shared" si="8"/>
        <v>0</v>
      </c>
      <c r="X16" s="2210">
        <f t="shared" si="9"/>
        <v>0</v>
      </c>
      <c r="Y16" s="2210">
        <f t="shared" si="10"/>
        <v>0</v>
      </c>
      <c r="Z16" s="2210">
        <f t="shared" si="11"/>
        <v>0</v>
      </c>
      <c r="AA16" s="2210">
        <f t="shared" si="12"/>
        <v>0</v>
      </c>
      <c r="AB16" s="2210">
        <f t="shared" si="13"/>
        <v>0</v>
      </c>
      <c r="AC16" s="2210">
        <f t="shared" si="14"/>
        <v>0</v>
      </c>
      <c r="AG16" s="2210">
        <f t="shared" si="15"/>
        <v>0</v>
      </c>
      <c r="AH16" s="2210">
        <f t="shared" si="16"/>
        <v>0</v>
      </c>
    </row>
    <row r="17" spans="1:34" x14ac:dyDescent="0.4">
      <c r="A17" s="2210">
        <f t="shared" si="17"/>
        <v>15</v>
      </c>
      <c r="B17" s="2214"/>
      <c r="C17" s="2214"/>
      <c r="D17" s="2214"/>
      <c r="E17" s="2214"/>
      <c r="F17" s="2214"/>
      <c r="G17" s="2214"/>
      <c r="H17" s="2214"/>
      <c r="M17" s="2210">
        <f t="shared" si="0"/>
        <v>0</v>
      </c>
      <c r="N17" s="2210">
        <f t="shared" si="1"/>
        <v>0</v>
      </c>
      <c r="O17" s="2210">
        <f t="shared" si="2"/>
        <v>0</v>
      </c>
      <c r="P17" s="2210">
        <f t="shared" si="3"/>
        <v>0</v>
      </c>
      <c r="Q17" s="2210">
        <f t="shared" si="4"/>
        <v>0</v>
      </c>
      <c r="R17" s="2210">
        <f t="shared" si="5"/>
        <v>0</v>
      </c>
      <c r="S17" s="2210">
        <f t="shared" si="6"/>
        <v>0</v>
      </c>
      <c r="V17" s="2210">
        <f t="shared" si="7"/>
        <v>0</v>
      </c>
      <c r="W17" s="2210">
        <f t="shared" si="8"/>
        <v>0</v>
      </c>
      <c r="X17" s="2210">
        <f t="shared" si="9"/>
        <v>0</v>
      </c>
      <c r="Y17" s="2210">
        <f t="shared" si="10"/>
        <v>0</v>
      </c>
      <c r="Z17" s="2210">
        <f t="shared" si="11"/>
        <v>0</v>
      </c>
      <c r="AA17" s="2210">
        <f t="shared" si="12"/>
        <v>0</v>
      </c>
      <c r="AB17" s="2210">
        <f t="shared" si="13"/>
        <v>0</v>
      </c>
      <c r="AC17" s="2210">
        <f t="shared" si="14"/>
        <v>0</v>
      </c>
      <c r="AG17" s="2210">
        <f t="shared" si="15"/>
        <v>0</v>
      </c>
      <c r="AH17" s="2210">
        <f t="shared" si="16"/>
        <v>0</v>
      </c>
    </row>
    <row r="18" spans="1:34" x14ac:dyDescent="0.4">
      <c r="A18" s="2210">
        <f t="shared" si="17"/>
        <v>16</v>
      </c>
      <c r="B18" s="2214"/>
      <c r="C18" s="2214"/>
      <c r="D18" s="2214"/>
      <c r="E18" s="2214"/>
      <c r="F18" s="2214"/>
      <c r="G18" s="2214"/>
      <c r="H18" s="2214"/>
      <c r="M18" s="2210">
        <f t="shared" si="0"/>
        <v>0</v>
      </c>
      <c r="N18" s="2210">
        <f t="shared" si="1"/>
        <v>0</v>
      </c>
      <c r="O18" s="2210">
        <f t="shared" si="2"/>
        <v>0</v>
      </c>
      <c r="P18" s="2210">
        <f t="shared" si="3"/>
        <v>0</v>
      </c>
      <c r="Q18" s="2210">
        <f t="shared" si="4"/>
        <v>0</v>
      </c>
      <c r="R18" s="2210">
        <f t="shared" si="5"/>
        <v>0</v>
      </c>
      <c r="S18" s="2210">
        <f t="shared" si="6"/>
        <v>0</v>
      </c>
      <c r="V18" s="2210">
        <f t="shared" si="7"/>
        <v>0</v>
      </c>
      <c r="W18" s="2210">
        <f t="shared" si="8"/>
        <v>0</v>
      </c>
      <c r="X18" s="2210">
        <f t="shared" si="9"/>
        <v>0</v>
      </c>
      <c r="Y18" s="2210">
        <f t="shared" si="10"/>
        <v>0</v>
      </c>
      <c r="Z18" s="2210">
        <f t="shared" si="11"/>
        <v>0</v>
      </c>
      <c r="AA18" s="2210">
        <f t="shared" si="12"/>
        <v>0</v>
      </c>
      <c r="AB18" s="2210">
        <f t="shared" si="13"/>
        <v>0</v>
      </c>
      <c r="AC18" s="2210">
        <f t="shared" si="14"/>
        <v>0</v>
      </c>
      <c r="AG18" s="2210">
        <f t="shared" si="15"/>
        <v>0</v>
      </c>
      <c r="AH18" s="2210">
        <f t="shared" si="16"/>
        <v>0</v>
      </c>
    </row>
    <row r="19" spans="1:34" x14ac:dyDescent="0.4">
      <c r="A19" s="2210">
        <f t="shared" si="17"/>
        <v>17</v>
      </c>
      <c r="B19" s="2214"/>
      <c r="C19" s="2214"/>
      <c r="D19" s="2214"/>
      <c r="E19" s="2214"/>
      <c r="F19" s="2214"/>
      <c r="G19" s="2214"/>
      <c r="H19" s="2214"/>
      <c r="M19" s="2210">
        <f t="shared" si="0"/>
        <v>0</v>
      </c>
      <c r="N19" s="2210">
        <f t="shared" si="1"/>
        <v>0</v>
      </c>
      <c r="O19" s="2210">
        <f t="shared" si="2"/>
        <v>0</v>
      </c>
      <c r="P19" s="2210">
        <f t="shared" si="3"/>
        <v>0</v>
      </c>
      <c r="Q19" s="2210">
        <f t="shared" si="4"/>
        <v>0</v>
      </c>
      <c r="R19" s="2210">
        <f t="shared" si="5"/>
        <v>0</v>
      </c>
      <c r="S19" s="2210">
        <f t="shared" si="6"/>
        <v>0</v>
      </c>
      <c r="V19" s="2210">
        <f t="shared" si="7"/>
        <v>0</v>
      </c>
      <c r="W19" s="2210">
        <f t="shared" si="8"/>
        <v>0</v>
      </c>
      <c r="X19" s="2210">
        <f t="shared" si="9"/>
        <v>0</v>
      </c>
      <c r="Y19" s="2210">
        <f t="shared" ref="Y19:Y66" si="18">IF(OR(V19=0,LEN(X19)&lt;4),0,_xlfn.CONCAT(V19,",",X19))</f>
        <v>0</v>
      </c>
      <c r="Z19" s="2210">
        <f t="shared" si="11"/>
        <v>0</v>
      </c>
      <c r="AA19" s="2210">
        <f t="shared" si="12"/>
        <v>0</v>
      </c>
      <c r="AB19" s="2210">
        <f t="shared" si="13"/>
        <v>0</v>
      </c>
      <c r="AC19" s="2210">
        <f t="shared" si="14"/>
        <v>0</v>
      </c>
      <c r="AG19" s="2210">
        <f t="shared" si="15"/>
        <v>0</v>
      </c>
      <c r="AH19" s="2210">
        <f t="shared" si="16"/>
        <v>0</v>
      </c>
    </row>
    <row r="20" spans="1:34" x14ac:dyDescent="0.4">
      <c r="A20" s="2210">
        <f t="shared" si="17"/>
        <v>18</v>
      </c>
      <c r="B20" s="2214"/>
      <c r="C20" s="2214"/>
      <c r="D20" s="2214"/>
      <c r="E20" s="2214"/>
      <c r="F20" s="2214"/>
      <c r="G20" s="2214"/>
      <c r="H20" s="2214"/>
      <c r="M20" s="2210">
        <f t="shared" si="0"/>
        <v>0</v>
      </c>
      <c r="N20" s="2210">
        <f t="shared" si="1"/>
        <v>0</v>
      </c>
      <c r="O20" s="2210">
        <f t="shared" si="2"/>
        <v>0</v>
      </c>
      <c r="P20" s="2210">
        <f t="shared" si="3"/>
        <v>0</v>
      </c>
      <c r="Q20" s="2210">
        <f t="shared" si="4"/>
        <v>0</v>
      </c>
      <c r="R20" s="2210">
        <f t="shared" si="5"/>
        <v>0</v>
      </c>
      <c r="S20" s="2210">
        <f t="shared" si="6"/>
        <v>0</v>
      </c>
      <c r="V20" s="2210">
        <f t="shared" si="7"/>
        <v>0</v>
      </c>
      <c r="W20" s="2210">
        <f t="shared" si="8"/>
        <v>0</v>
      </c>
      <c r="X20" s="2210">
        <f t="shared" si="9"/>
        <v>0</v>
      </c>
      <c r="Y20" s="2210">
        <f t="shared" si="18"/>
        <v>0</v>
      </c>
      <c r="Z20" s="2210">
        <f t="shared" si="11"/>
        <v>0</v>
      </c>
      <c r="AA20" s="2210">
        <f t="shared" si="12"/>
        <v>0</v>
      </c>
      <c r="AB20" s="2210">
        <f t="shared" si="13"/>
        <v>0</v>
      </c>
      <c r="AC20" s="2210">
        <f t="shared" si="14"/>
        <v>0</v>
      </c>
      <c r="AG20" s="2210">
        <f t="shared" si="15"/>
        <v>0</v>
      </c>
      <c r="AH20" s="2210">
        <f t="shared" si="16"/>
        <v>0</v>
      </c>
    </row>
    <row r="21" spans="1:34" x14ac:dyDescent="0.4">
      <c r="A21" s="2210">
        <f t="shared" si="17"/>
        <v>19</v>
      </c>
      <c r="B21" s="2214"/>
      <c r="C21" s="2214"/>
      <c r="D21" s="2214"/>
      <c r="E21" s="2214"/>
      <c r="F21" s="2214"/>
      <c r="G21" s="2214"/>
      <c r="H21" s="2214"/>
      <c r="M21" s="2210">
        <f t="shared" si="0"/>
        <v>0</v>
      </c>
      <c r="N21" s="2210">
        <f t="shared" si="1"/>
        <v>0</v>
      </c>
      <c r="O21" s="2210">
        <f t="shared" si="2"/>
        <v>0</v>
      </c>
      <c r="P21" s="2210">
        <f t="shared" si="3"/>
        <v>0</v>
      </c>
      <c r="Q21" s="2210">
        <f t="shared" si="4"/>
        <v>0</v>
      </c>
      <c r="R21" s="2210">
        <f t="shared" si="5"/>
        <v>0</v>
      </c>
      <c r="S21" s="2210">
        <f t="shared" si="6"/>
        <v>0</v>
      </c>
      <c r="V21" s="2210">
        <f t="shared" si="7"/>
        <v>0</v>
      </c>
      <c r="W21" s="2210">
        <f t="shared" si="8"/>
        <v>0</v>
      </c>
      <c r="X21" s="2210">
        <f t="shared" si="9"/>
        <v>0</v>
      </c>
      <c r="Y21" s="2210">
        <f t="shared" si="18"/>
        <v>0</v>
      </c>
      <c r="Z21" s="2210">
        <f t="shared" si="11"/>
        <v>0</v>
      </c>
      <c r="AA21" s="2210">
        <f t="shared" si="12"/>
        <v>0</v>
      </c>
      <c r="AB21" s="2210">
        <f t="shared" si="13"/>
        <v>0</v>
      </c>
      <c r="AC21" s="2210">
        <f t="shared" si="14"/>
        <v>0</v>
      </c>
      <c r="AG21" s="2210">
        <f t="shared" si="15"/>
        <v>0</v>
      </c>
      <c r="AH21" s="2210">
        <f t="shared" si="16"/>
        <v>0</v>
      </c>
    </row>
    <row r="22" spans="1:34" x14ac:dyDescent="0.4">
      <c r="A22" s="2210">
        <f t="shared" si="17"/>
        <v>20</v>
      </c>
      <c r="B22" s="2214"/>
      <c r="C22" s="2214"/>
      <c r="D22" s="2214"/>
      <c r="E22" s="2214"/>
      <c r="F22" s="2214"/>
      <c r="G22" s="2214"/>
      <c r="H22" s="2214"/>
      <c r="M22" s="2210">
        <f t="shared" si="0"/>
        <v>0</v>
      </c>
      <c r="N22" s="2210">
        <f t="shared" si="1"/>
        <v>0</v>
      </c>
      <c r="O22" s="2210">
        <f t="shared" si="2"/>
        <v>0</v>
      </c>
      <c r="P22" s="2210">
        <f t="shared" si="3"/>
        <v>0</v>
      </c>
      <c r="Q22" s="2210">
        <f t="shared" si="4"/>
        <v>0</v>
      </c>
      <c r="R22" s="2210">
        <f t="shared" si="5"/>
        <v>0</v>
      </c>
      <c r="S22" s="2210">
        <f t="shared" si="6"/>
        <v>0</v>
      </c>
      <c r="V22" s="2210">
        <f t="shared" si="7"/>
        <v>0</v>
      </c>
      <c r="W22" s="2210">
        <f t="shared" si="8"/>
        <v>0</v>
      </c>
      <c r="X22" s="2210">
        <f t="shared" si="9"/>
        <v>0</v>
      </c>
      <c r="Y22" s="2210">
        <f t="shared" si="18"/>
        <v>0</v>
      </c>
      <c r="Z22" s="2210">
        <f t="shared" si="11"/>
        <v>0</v>
      </c>
      <c r="AA22" s="2210">
        <f t="shared" si="12"/>
        <v>0</v>
      </c>
      <c r="AB22" s="2210">
        <f t="shared" si="13"/>
        <v>0</v>
      </c>
      <c r="AC22" s="2210">
        <f t="shared" si="14"/>
        <v>0</v>
      </c>
      <c r="AG22" s="2210">
        <f t="shared" si="15"/>
        <v>0</v>
      </c>
      <c r="AH22" s="2210">
        <f t="shared" si="16"/>
        <v>0</v>
      </c>
    </row>
    <row r="23" spans="1:34" x14ac:dyDescent="0.4">
      <c r="A23" s="2210">
        <f t="shared" si="17"/>
        <v>21</v>
      </c>
      <c r="B23" s="2214"/>
      <c r="C23" s="2214"/>
      <c r="D23" s="2214"/>
      <c r="E23" s="2214"/>
      <c r="F23" s="2214"/>
      <c r="G23" s="2214"/>
      <c r="H23" s="2214"/>
      <c r="M23" s="2210">
        <f t="shared" si="0"/>
        <v>0</v>
      </c>
      <c r="N23" s="2210">
        <f t="shared" si="1"/>
        <v>0</v>
      </c>
      <c r="O23" s="2210">
        <f t="shared" si="2"/>
        <v>0</v>
      </c>
      <c r="P23" s="2210">
        <f t="shared" si="3"/>
        <v>0</v>
      </c>
      <c r="Q23" s="2210">
        <f t="shared" si="4"/>
        <v>0</v>
      </c>
      <c r="R23" s="2210">
        <f t="shared" si="5"/>
        <v>0</v>
      </c>
      <c r="S23" s="2210">
        <f t="shared" si="6"/>
        <v>0</v>
      </c>
      <c r="V23" s="2210">
        <f t="shared" si="7"/>
        <v>0</v>
      </c>
      <c r="W23" s="2210">
        <f t="shared" si="8"/>
        <v>0</v>
      </c>
      <c r="X23" s="2210">
        <f t="shared" si="9"/>
        <v>0</v>
      </c>
      <c r="Y23" s="2210">
        <f t="shared" si="18"/>
        <v>0</v>
      </c>
      <c r="Z23" s="2210">
        <f t="shared" si="11"/>
        <v>0</v>
      </c>
      <c r="AA23" s="2210">
        <f t="shared" si="12"/>
        <v>0</v>
      </c>
      <c r="AB23" s="2210">
        <f t="shared" si="13"/>
        <v>0</v>
      </c>
      <c r="AC23" s="2210">
        <f t="shared" si="14"/>
        <v>0</v>
      </c>
      <c r="AG23" s="2210">
        <f t="shared" si="15"/>
        <v>0</v>
      </c>
      <c r="AH23" s="2210">
        <f t="shared" si="16"/>
        <v>0</v>
      </c>
    </row>
    <row r="24" spans="1:34" x14ac:dyDescent="0.4">
      <c r="A24" s="2210">
        <f t="shared" si="17"/>
        <v>22</v>
      </c>
      <c r="B24" s="2214"/>
      <c r="C24" s="2214"/>
      <c r="D24" s="2214"/>
      <c r="E24" s="2214"/>
      <c r="F24" s="2214"/>
      <c r="G24" s="2214"/>
      <c r="H24" s="2214"/>
      <c r="M24" s="2210">
        <f t="shared" si="0"/>
        <v>0</v>
      </c>
      <c r="N24" s="2210">
        <f t="shared" si="1"/>
        <v>0</v>
      </c>
      <c r="O24" s="2210">
        <f t="shared" si="2"/>
        <v>0</v>
      </c>
      <c r="P24" s="2210">
        <f t="shared" si="3"/>
        <v>0</v>
      </c>
      <c r="Q24" s="2210">
        <f t="shared" si="4"/>
        <v>0</v>
      </c>
      <c r="R24" s="2210">
        <f t="shared" si="5"/>
        <v>0</v>
      </c>
      <c r="S24" s="2210">
        <f t="shared" si="6"/>
        <v>0</v>
      </c>
      <c r="V24" s="2210">
        <f t="shared" si="7"/>
        <v>0</v>
      </c>
      <c r="W24" s="2210">
        <f t="shared" si="8"/>
        <v>0</v>
      </c>
      <c r="X24" s="2210">
        <f t="shared" si="9"/>
        <v>0</v>
      </c>
      <c r="Y24" s="2210">
        <f t="shared" si="18"/>
        <v>0</v>
      </c>
      <c r="Z24" s="2210">
        <f t="shared" si="11"/>
        <v>0</v>
      </c>
      <c r="AA24" s="2210">
        <f t="shared" si="12"/>
        <v>0</v>
      </c>
      <c r="AB24" s="2210">
        <f t="shared" si="13"/>
        <v>0</v>
      </c>
      <c r="AC24" s="2210">
        <f t="shared" si="14"/>
        <v>0</v>
      </c>
      <c r="AG24" s="2210">
        <f t="shared" si="15"/>
        <v>0</v>
      </c>
      <c r="AH24" s="2210">
        <f t="shared" si="16"/>
        <v>0</v>
      </c>
    </row>
    <row r="25" spans="1:34" x14ac:dyDescent="0.4">
      <c r="A25" s="2210">
        <f t="shared" si="17"/>
        <v>23</v>
      </c>
      <c r="B25" s="2214"/>
      <c r="C25" s="2214"/>
      <c r="D25" s="2214"/>
      <c r="E25" s="2214"/>
      <c r="F25" s="2214"/>
      <c r="G25" s="2214"/>
      <c r="H25" s="2214"/>
      <c r="M25" s="2210">
        <f t="shared" si="0"/>
        <v>0</v>
      </c>
      <c r="N25" s="2210">
        <f t="shared" si="1"/>
        <v>0</v>
      </c>
      <c r="O25" s="2210">
        <f t="shared" si="2"/>
        <v>0</v>
      </c>
      <c r="P25" s="2210">
        <f t="shared" si="3"/>
        <v>0</v>
      </c>
      <c r="Q25" s="2210">
        <f t="shared" si="4"/>
        <v>0</v>
      </c>
      <c r="R25" s="2210">
        <f t="shared" si="5"/>
        <v>0</v>
      </c>
      <c r="S25" s="2210">
        <f t="shared" si="6"/>
        <v>0</v>
      </c>
      <c r="V25" s="2210">
        <f t="shared" si="7"/>
        <v>0</v>
      </c>
      <c r="W25" s="2210">
        <f t="shared" si="8"/>
        <v>0</v>
      </c>
      <c r="X25" s="2210">
        <f t="shared" si="9"/>
        <v>0</v>
      </c>
      <c r="Y25" s="2210">
        <f t="shared" si="18"/>
        <v>0</v>
      </c>
      <c r="Z25" s="2210">
        <f t="shared" si="11"/>
        <v>0</v>
      </c>
      <c r="AA25" s="2210">
        <f t="shared" si="12"/>
        <v>0</v>
      </c>
      <c r="AB25" s="2210">
        <f t="shared" si="13"/>
        <v>0</v>
      </c>
      <c r="AC25" s="2210">
        <f t="shared" si="14"/>
        <v>0</v>
      </c>
      <c r="AG25" s="2210">
        <f t="shared" si="15"/>
        <v>0</v>
      </c>
      <c r="AH25" s="2210">
        <f t="shared" si="16"/>
        <v>0</v>
      </c>
    </row>
    <row r="26" spans="1:34" x14ac:dyDescent="0.4">
      <c r="A26" s="2210">
        <f t="shared" si="17"/>
        <v>24</v>
      </c>
      <c r="B26" s="2214"/>
      <c r="C26" s="2214"/>
      <c r="D26" s="2214"/>
      <c r="E26" s="2214"/>
      <c r="F26" s="2214"/>
      <c r="G26" s="2214"/>
      <c r="H26" s="2214"/>
      <c r="M26" s="2210">
        <f t="shared" si="0"/>
        <v>0</v>
      </c>
      <c r="N26" s="2210">
        <f t="shared" si="1"/>
        <v>0</v>
      </c>
      <c r="O26" s="2210">
        <f t="shared" si="2"/>
        <v>0</v>
      </c>
      <c r="P26" s="2210">
        <f t="shared" si="3"/>
        <v>0</v>
      </c>
      <c r="Q26" s="2210">
        <f t="shared" si="4"/>
        <v>0</v>
      </c>
      <c r="R26" s="2210">
        <f t="shared" si="5"/>
        <v>0</v>
      </c>
      <c r="S26" s="2210">
        <f t="shared" si="6"/>
        <v>0</v>
      </c>
      <c r="V26" s="2210">
        <f t="shared" si="7"/>
        <v>0</v>
      </c>
      <c r="W26" s="2210">
        <f t="shared" si="8"/>
        <v>0</v>
      </c>
      <c r="X26" s="2210">
        <f t="shared" si="9"/>
        <v>0</v>
      </c>
      <c r="Y26" s="2210">
        <f t="shared" si="18"/>
        <v>0</v>
      </c>
      <c r="Z26" s="2210">
        <f t="shared" si="11"/>
        <v>0</v>
      </c>
      <c r="AA26" s="2210">
        <f t="shared" si="12"/>
        <v>0</v>
      </c>
      <c r="AB26" s="2210">
        <f t="shared" si="13"/>
        <v>0</v>
      </c>
      <c r="AC26" s="2210">
        <f t="shared" si="14"/>
        <v>0</v>
      </c>
      <c r="AG26" s="2210">
        <f t="shared" si="15"/>
        <v>0</v>
      </c>
      <c r="AH26" s="2210">
        <f t="shared" si="16"/>
        <v>0</v>
      </c>
    </row>
    <row r="27" spans="1:34" x14ac:dyDescent="0.4">
      <c r="A27" s="2210">
        <f t="shared" si="17"/>
        <v>25</v>
      </c>
      <c r="B27" s="2214"/>
      <c r="C27" s="2214"/>
      <c r="D27" s="2214"/>
      <c r="E27" s="2214"/>
      <c r="F27" s="2214"/>
      <c r="G27" s="2214"/>
      <c r="H27" s="2214"/>
      <c r="M27" s="2210">
        <f t="shared" si="0"/>
        <v>0</v>
      </c>
      <c r="N27" s="2210">
        <f t="shared" si="1"/>
        <v>0</v>
      </c>
      <c r="O27" s="2210">
        <f t="shared" si="2"/>
        <v>0</v>
      </c>
      <c r="P27" s="2210">
        <f t="shared" si="3"/>
        <v>0</v>
      </c>
      <c r="Q27" s="2210">
        <f t="shared" si="4"/>
        <v>0</v>
      </c>
      <c r="R27" s="2210">
        <f t="shared" si="5"/>
        <v>0</v>
      </c>
      <c r="S27" s="2210">
        <f t="shared" si="6"/>
        <v>0</v>
      </c>
      <c r="V27" s="2210">
        <f t="shared" si="7"/>
        <v>0</v>
      </c>
      <c r="W27" s="2210">
        <f t="shared" si="8"/>
        <v>0</v>
      </c>
      <c r="X27" s="2210">
        <f t="shared" si="9"/>
        <v>0</v>
      </c>
      <c r="Y27" s="2210">
        <f t="shared" si="18"/>
        <v>0</v>
      </c>
      <c r="Z27" s="2210">
        <f t="shared" si="11"/>
        <v>0</v>
      </c>
      <c r="AA27" s="2210">
        <f t="shared" si="12"/>
        <v>0</v>
      </c>
      <c r="AB27" s="2210">
        <f t="shared" si="13"/>
        <v>0</v>
      </c>
      <c r="AC27" s="2210">
        <f t="shared" si="14"/>
        <v>0</v>
      </c>
      <c r="AG27" s="2210">
        <f t="shared" si="15"/>
        <v>0</v>
      </c>
      <c r="AH27" s="2210">
        <f t="shared" si="16"/>
        <v>0</v>
      </c>
    </row>
    <row r="28" spans="1:34" x14ac:dyDescent="0.4">
      <c r="A28" s="2210">
        <f t="shared" si="17"/>
        <v>26</v>
      </c>
      <c r="B28" s="2214"/>
      <c r="C28" s="2214"/>
      <c r="D28" s="2214"/>
      <c r="E28" s="2214"/>
      <c r="F28" s="2214"/>
      <c r="G28" s="2214"/>
      <c r="H28" s="2214"/>
      <c r="M28" s="2210">
        <f t="shared" si="0"/>
        <v>0</v>
      </c>
      <c r="N28" s="2210">
        <f t="shared" si="1"/>
        <v>0</v>
      </c>
      <c r="O28" s="2210">
        <f t="shared" si="2"/>
        <v>0</v>
      </c>
      <c r="P28" s="2210">
        <f t="shared" si="3"/>
        <v>0</v>
      </c>
      <c r="Q28" s="2210">
        <f t="shared" si="4"/>
        <v>0</v>
      </c>
      <c r="R28" s="2210">
        <f t="shared" si="5"/>
        <v>0</v>
      </c>
      <c r="S28" s="2210">
        <f t="shared" si="6"/>
        <v>0</v>
      </c>
      <c r="V28" s="2210">
        <f t="shared" si="7"/>
        <v>0</v>
      </c>
      <c r="W28" s="2210">
        <f t="shared" si="8"/>
        <v>0</v>
      </c>
      <c r="X28" s="2210">
        <f t="shared" si="9"/>
        <v>0</v>
      </c>
      <c r="Y28" s="2210">
        <f t="shared" si="18"/>
        <v>0</v>
      </c>
      <c r="Z28" s="2210">
        <f t="shared" si="11"/>
        <v>0</v>
      </c>
      <c r="AA28" s="2210">
        <f t="shared" si="12"/>
        <v>0</v>
      </c>
      <c r="AB28" s="2210">
        <f t="shared" si="13"/>
        <v>0</v>
      </c>
      <c r="AC28" s="2210">
        <f t="shared" si="14"/>
        <v>0</v>
      </c>
      <c r="AG28" s="2210">
        <f t="shared" si="15"/>
        <v>0</v>
      </c>
      <c r="AH28" s="2210">
        <f t="shared" si="16"/>
        <v>0</v>
      </c>
    </row>
    <row r="29" spans="1:34" x14ac:dyDescent="0.4">
      <c r="A29" s="2210">
        <f t="shared" si="17"/>
        <v>27</v>
      </c>
      <c r="B29" s="2214"/>
      <c r="C29" s="2214"/>
      <c r="D29" s="2214"/>
      <c r="E29" s="2214"/>
      <c r="F29" s="2214"/>
      <c r="G29" s="2214"/>
      <c r="H29" s="2214"/>
      <c r="M29" s="2210">
        <f t="shared" si="0"/>
        <v>0</v>
      </c>
      <c r="N29" s="2210">
        <f t="shared" si="1"/>
        <v>0</v>
      </c>
      <c r="O29" s="2210">
        <f t="shared" si="2"/>
        <v>0</v>
      </c>
      <c r="P29" s="2210">
        <f t="shared" si="3"/>
        <v>0</v>
      </c>
      <c r="Q29" s="2210">
        <f t="shared" si="4"/>
        <v>0</v>
      </c>
      <c r="R29" s="2210">
        <f t="shared" si="5"/>
        <v>0</v>
      </c>
      <c r="S29" s="2210">
        <f t="shared" si="6"/>
        <v>0</v>
      </c>
      <c r="V29" s="2210">
        <f t="shared" si="7"/>
        <v>0</v>
      </c>
      <c r="W29" s="2210">
        <f t="shared" si="8"/>
        <v>0</v>
      </c>
      <c r="X29" s="2210">
        <f t="shared" si="9"/>
        <v>0</v>
      </c>
      <c r="Y29" s="2210">
        <f t="shared" si="18"/>
        <v>0</v>
      </c>
      <c r="Z29" s="2210">
        <f t="shared" si="11"/>
        <v>0</v>
      </c>
      <c r="AA29" s="2210">
        <f t="shared" si="12"/>
        <v>0</v>
      </c>
      <c r="AB29" s="2210">
        <f t="shared" si="13"/>
        <v>0</v>
      </c>
      <c r="AC29" s="2210">
        <f t="shared" si="14"/>
        <v>0</v>
      </c>
      <c r="AG29" s="2210">
        <f t="shared" si="15"/>
        <v>0</v>
      </c>
      <c r="AH29" s="2210">
        <f t="shared" si="16"/>
        <v>0</v>
      </c>
    </row>
    <row r="30" spans="1:34" x14ac:dyDescent="0.4">
      <c r="A30" s="2210">
        <f t="shared" si="17"/>
        <v>28</v>
      </c>
      <c r="B30" s="2214"/>
      <c r="C30" s="2214"/>
      <c r="D30" s="2214"/>
      <c r="E30" s="2214"/>
      <c r="F30" s="2214"/>
      <c r="G30" s="2214"/>
      <c r="H30" s="2214"/>
      <c r="M30" s="2210">
        <f t="shared" si="0"/>
        <v>0</v>
      </c>
      <c r="N30" s="2210">
        <f t="shared" si="1"/>
        <v>0</v>
      </c>
      <c r="O30" s="2210">
        <f t="shared" si="2"/>
        <v>0</v>
      </c>
      <c r="P30" s="2210">
        <f t="shared" si="3"/>
        <v>0</v>
      </c>
      <c r="Q30" s="2210">
        <f t="shared" si="4"/>
        <v>0</v>
      </c>
      <c r="R30" s="2210">
        <f t="shared" si="5"/>
        <v>0</v>
      </c>
      <c r="S30" s="2210">
        <f t="shared" si="6"/>
        <v>0</v>
      </c>
      <c r="V30" s="2210">
        <f t="shared" si="7"/>
        <v>0</v>
      </c>
      <c r="W30" s="2210">
        <f t="shared" si="8"/>
        <v>0</v>
      </c>
      <c r="X30" s="2210">
        <f t="shared" si="9"/>
        <v>0</v>
      </c>
      <c r="Y30" s="2210">
        <f t="shared" si="18"/>
        <v>0</v>
      </c>
      <c r="Z30" s="2210">
        <f t="shared" si="11"/>
        <v>0</v>
      </c>
      <c r="AA30" s="2210">
        <f t="shared" si="12"/>
        <v>0</v>
      </c>
      <c r="AB30" s="2210">
        <f t="shared" si="13"/>
        <v>0</v>
      </c>
      <c r="AC30" s="2210">
        <f t="shared" si="14"/>
        <v>0</v>
      </c>
      <c r="AG30" s="2210">
        <f t="shared" si="15"/>
        <v>0</v>
      </c>
      <c r="AH30" s="2210">
        <f t="shared" si="16"/>
        <v>0</v>
      </c>
    </row>
    <row r="31" spans="1:34" x14ac:dyDescent="0.4">
      <c r="A31" s="2210">
        <f t="shared" si="17"/>
        <v>29</v>
      </c>
      <c r="B31" s="2214"/>
      <c r="C31" s="2214"/>
      <c r="D31" s="2214"/>
      <c r="E31" s="2214"/>
      <c r="F31" s="2214"/>
      <c r="G31" s="2214"/>
      <c r="H31" s="2214"/>
      <c r="M31" s="2210">
        <f t="shared" si="0"/>
        <v>0</v>
      </c>
      <c r="N31" s="2210">
        <f t="shared" si="1"/>
        <v>0</v>
      </c>
      <c r="O31" s="2210">
        <f t="shared" si="2"/>
        <v>0</v>
      </c>
      <c r="P31" s="2210">
        <f t="shared" si="3"/>
        <v>0</v>
      </c>
      <c r="Q31" s="2210">
        <f t="shared" si="4"/>
        <v>0</v>
      </c>
      <c r="R31" s="2210">
        <f t="shared" si="5"/>
        <v>0</v>
      </c>
      <c r="S31" s="2210">
        <f t="shared" si="6"/>
        <v>0</v>
      </c>
      <c r="V31" s="2210">
        <f t="shared" si="7"/>
        <v>0</v>
      </c>
      <c r="W31" s="2210">
        <f t="shared" si="8"/>
        <v>0</v>
      </c>
      <c r="X31" s="2210">
        <f t="shared" si="9"/>
        <v>0</v>
      </c>
      <c r="Y31" s="2210">
        <f t="shared" si="18"/>
        <v>0</v>
      </c>
      <c r="Z31" s="2210">
        <f t="shared" si="11"/>
        <v>0</v>
      </c>
      <c r="AA31" s="2210">
        <f t="shared" si="12"/>
        <v>0</v>
      </c>
      <c r="AB31" s="2210">
        <f t="shared" si="13"/>
        <v>0</v>
      </c>
      <c r="AC31" s="2210">
        <f t="shared" si="14"/>
        <v>0</v>
      </c>
      <c r="AG31" s="2210">
        <f t="shared" si="15"/>
        <v>0</v>
      </c>
      <c r="AH31" s="2210">
        <f t="shared" si="16"/>
        <v>0</v>
      </c>
    </row>
    <row r="32" spans="1:34" x14ac:dyDescent="0.4">
      <c r="A32" s="2210">
        <f t="shared" si="17"/>
        <v>30</v>
      </c>
      <c r="B32" s="2214"/>
      <c r="C32" s="2214"/>
      <c r="D32" s="2214"/>
      <c r="E32" s="2214"/>
      <c r="F32" s="2214"/>
      <c r="G32" s="2214"/>
      <c r="H32" s="2214"/>
      <c r="M32" s="2210">
        <f t="shared" si="0"/>
        <v>0</v>
      </c>
      <c r="N32" s="2210">
        <f t="shared" si="1"/>
        <v>0</v>
      </c>
      <c r="O32" s="2210">
        <f t="shared" si="2"/>
        <v>0</v>
      </c>
      <c r="P32" s="2210">
        <f t="shared" si="3"/>
        <v>0</v>
      </c>
      <c r="Q32" s="2210">
        <f t="shared" si="4"/>
        <v>0</v>
      </c>
      <c r="R32" s="2210">
        <f t="shared" si="5"/>
        <v>0</v>
      </c>
      <c r="S32" s="2210">
        <f t="shared" si="6"/>
        <v>0</v>
      </c>
      <c r="V32" s="2210">
        <f t="shared" si="7"/>
        <v>0</v>
      </c>
      <c r="W32" s="2210">
        <f t="shared" si="8"/>
        <v>0</v>
      </c>
      <c r="X32" s="2210">
        <f t="shared" si="9"/>
        <v>0</v>
      </c>
      <c r="Y32" s="2210">
        <f t="shared" si="18"/>
        <v>0</v>
      </c>
      <c r="Z32" s="2210">
        <f t="shared" si="11"/>
        <v>0</v>
      </c>
      <c r="AA32" s="2210">
        <f t="shared" si="12"/>
        <v>0</v>
      </c>
      <c r="AB32" s="2210">
        <f t="shared" si="13"/>
        <v>0</v>
      </c>
      <c r="AC32" s="2210">
        <f t="shared" si="14"/>
        <v>0</v>
      </c>
      <c r="AG32" s="2210">
        <f t="shared" si="15"/>
        <v>0</v>
      </c>
      <c r="AH32" s="2210">
        <f t="shared" si="16"/>
        <v>0</v>
      </c>
    </row>
    <row r="33" spans="1:34" x14ac:dyDescent="0.4">
      <c r="A33" s="2210">
        <f t="shared" si="17"/>
        <v>31</v>
      </c>
      <c r="B33" s="2214"/>
      <c r="C33" s="2214"/>
      <c r="D33" s="2214"/>
      <c r="E33" s="2214"/>
      <c r="F33" s="2214"/>
      <c r="G33" s="2214"/>
      <c r="H33" s="2214"/>
      <c r="M33" s="2210">
        <f t="shared" si="0"/>
        <v>0</v>
      </c>
      <c r="N33" s="2210">
        <f t="shared" si="1"/>
        <v>0</v>
      </c>
      <c r="O33" s="2210">
        <f t="shared" si="2"/>
        <v>0</v>
      </c>
      <c r="P33" s="2210">
        <f t="shared" si="3"/>
        <v>0</v>
      </c>
      <c r="Q33" s="2210">
        <f t="shared" si="4"/>
        <v>0</v>
      </c>
      <c r="R33" s="2210">
        <f t="shared" si="5"/>
        <v>0</v>
      </c>
      <c r="S33" s="2210">
        <f t="shared" si="6"/>
        <v>0</v>
      </c>
      <c r="V33" s="2210">
        <f t="shared" si="7"/>
        <v>0</v>
      </c>
      <c r="W33" s="2210">
        <f t="shared" si="8"/>
        <v>0</v>
      </c>
      <c r="X33" s="2210">
        <f t="shared" si="9"/>
        <v>0</v>
      </c>
      <c r="Y33" s="2210">
        <f t="shared" si="18"/>
        <v>0</v>
      </c>
      <c r="Z33" s="2210">
        <f t="shared" si="11"/>
        <v>0</v>
      </c>
      <c r="AA33" s="2210">
        <f t="shared" si="12"/>
        <v>0</v>
      </c>
      <c r="AB33" s="2210">
        <f t="shared" si="13"/>
        <v>0</v>
      </c>
      <c r="AC33" s="2210">
        <f t="shared" si="14"/>
        <v>0</v>
      </c>
      <c r="AG33" s="2210">
        <f t="shared" si="15"/>
        <v>0</v>
      </c>
      <c r="AH33" s="2210">
        <f t="shared" si="16"/>
        <v>0</v>
      </c>
    </row>
    <row r="34" spans="1:34" x14ac:dyDescent="0.4">
      <c r="A34" s="2210">
        <f t="shared" si="17"/>
        <v>32</v>
      </c>
      <c r="B34" s="2214"/>
      <c r="C34" s="2214"/>
      <c r="D34" s="2214"/>
      <c r="E34" s="2214"/>
      <c r="F34" s="2214"/>
      <c r="G34" s="2214"/>
      <c r="H34" s="2214"/>
      <c r="M34" s="2210">
        <f t="shared" si="0"/>
        <v>0</v>
      </c>
      <c r="N34" s="2210">
        <f t="shared" si="1"/>
        <v>0</v>
      </c>
      <c r="O34" s="2210">
        <f t="shared" si="2"/>
        <v>0</v>
      </c>
      <c r="P34" s="2210">
        <f t="shared" si="3"/>
        <v>0</v>
      </c>
      <c r="Q34" s="2210">
        <f t="shared" si="4"/>
        <v>0</v>
      </c>
      <c r="R34" s="2210">
        <f t="shared" si="5"/>
        <v>0</v>
      </c>
      <c r="S34" s="2210">
        <f t="shared" si="6"/>
        <v>0</v>
      </c>
      <c r="V34" s="2210">
        <f t="shared" si="7"/>
        <v>0</v>
      </c>
      <c r="W34" s="2210">
        <f t="shared" si="8"/>
        <v>0</v>
      </c>
      <c r="X34" s="2210">
        <f t="shared" si="9"/>
        <v>0</v>
      </c>
      <c r="Y34" s="2210">
        <f t="shared" si="18"/>
        <v>0</v>
      </c>
      <c r="Z34" s="2210">
        <f t="shared" si="11"/>
        <v>0</v>
      </c>
      <c r="AA34" s="2210">
        <f t="shared" si="12"/>
        <v>0</v>
      </c>
      <c r="AB34" s="2210">
        <f t="shared" si="13"/>
        <v>0</v>
      </c>
      <c r="AC34" s="2210">
        <f t="shared" si="14"/>
        <v>0</v>
      </c>
      <c r="AG34" s="2210">
        <f t="shared" si="15"/>
        <v>0</v>
      </c>
      <c r="AH34" s="2210">
        <f t="shared" si="16"/>
        <v>0</v>
      </c>
    </row>
    <row r="35" spans="1:34" x14ac:dyDescent="0.4">
      <c r="A35" s="2210">
        <f t="shared" si="17"/>
        <v>33</v>
      </c>
      <c r="B35" s="2214"/>
      <c r="C35" s="2214"/>
      <c r="D35" s="2214"/>
      <c r="E35" s="2214"/>
      <c r="F35" s="2214"/>
      <c r="G35" s="2214"/>
      <c r="H35" s="2214"/>
      <c r="M35" s="2210">
        <f t="shared" si="0"/>
        <v>0</v>
      </c>
      <c r="N35" s="2210">
        <f t="shared" si="1"/>
        <v>0</v>
      </c>
      <c r="O35" s="2210">
        <f t="shared" si="2"/>
        <v>0</v>
      </c>
      <c r="P35" s="2210">
        <f t="shared" si="3"/>
        <v>0</v>
      </c>
      <c r="Q35" s="2210">
        <f t="shared" si="4"/>
        <v>0</v>
      </c>
      <c r="R35" s="2210">
        <f t="shared" si="5"/>
        <v>0</v>
      </c>
      <c r="S35" s="2210">
        <f t="shared" si="6"/>
        <v>0</v>
      </c>
      <c r="V35" s="2210">
        <f t="shared" si="7"/>
        <v>0</v>
      </c>
      <c r="W35" s="2210">
        <f t="shared" si="8"/>
        <v>0</v>
      </c>
      <c r="X35" s="2210">
        <f t="shared" si="9"/>
        <v>0</v>
      </c>
      <c r="Y35" s="2210">
        <f t="shared" si="18"/>
        <v>0</v>
      </c>
      <c r="Z35" s="2210">
        <f t="shared" si="11"/>
        <v>0</v>
      </c>
      <c r="AA35" s="2210">
        <f t="shared" si="12"/>
        <v>0</v>
      </c>
      <c r="AB35" s="2210">
        <f t="shared" si="13"/>
        <v>0</v>
      </c>
      <c r="AC35" s="2210">
        <f t="shared" si="14"/>
        <v>0</v>
      </c>
      <c r="AG35" s="2210">
        <f t="shared" si="15"/>
        <v>0</v>
      </c>
      <c r="AH35" s="2210">
        <f t="shared" si="16"/>
        <v>0</v>
      </c>
    </row>
    <row r="36" spans="1:34" x14ac:dyDescent="0.4">
      <c r="A36" s="2210">
        <f t="shared" si="17"/>
        <v>34</v>
      </c>
      <c r="B36" s="2214"/>
      <c r="C36" s="2214"/>
      <c r="D36" s="2214"/>
      <c r="E36" s="2214"/>
      <c r="F36" s="2214"/>
      <c r="G36" s="2214"/>
      <c r="H36" s="2214"/>
      <c r="M36" s="2210">
        <f t="shared" si="0"/>
        <v>0</v>
      </c>
      <c r="N36" s="2210">
        <f t="shared" si="1"/>
        <v>0</v>
      </c>
      <c r="O36" s="2210">
        <f t="shared" si="2"/>
        <v>0</v>
      </c>
      <c r="P36" s="2210">
        <f t="shared" si="3"/>
        <v>0</v>
      </c>
      <c r="Q36" s="2210">
        <f t="shared" si="4"/>
        <v>0</v>
      </c>
      <c r="R36" s="2210">
        <f t="shared" si="5"/>
        <v>0</v>
      </c>
      <c r="S36" s="2210">
        <f t="shared" si="6"/>
        <v>0</v>
      </c>
      <c r="V36" s="2210">
        <f t="shared" si="7"/>
        <v>0</v>
      </c>
      <c r="W36" s="2210">
        <f t="shared" si="8"/>
        <v>0</v>
      </c>
      <c r="X36" s="2210">
        <f t="shared" si="9"/>
        <v>0</v>
      </c>
      <c r="Y36" s="2210">
        <f t="shared" si="18"/>
        <v>0</v>
      </c>
      <c r="Z36" s="2210">
        <f t="shared" si="11"/>
        <v>0</v>
      </c>
      <c r="AA36" s="2210">
        <f t="shared" si="12"/>
        <v>0</v>
      </c>
      <c r="AB36" s="2210">
        <f t="shared" si="13"/>
        <v>0</v>
      </c>
      <c r="AC36" s="2210">
        <f t="shared" si="14"/>
        <v>0</v>
      </c>
      <c r="AG36" s="2210">
        <f t="shared" si="15"/>
        <v>0</v>
      </c>
      <c r="AH36" s="2210">
        <f t="shared" si="16"/>
        <v>0</v>
      </c>
    </row>
    <row r="37" spans="1:34" x14ac:dyDescent="0.4">
      <c r="A37" s="2210">
        <f t="shared" si="17"/>
        <v>35</v>
      </c>
      <c r="B37" s="2214"/>
      <c r="C37" s="2214"/>
      <c r="D37" s="2214"/>
      <c r="E37" s="2214"/>
      <c r="F37" s="2214"/>
      <c r="G37" s="2214"/>
      <c r="H37" s="2214"/>
      <c r="M37" s="2210">
        <f t="shared" si="0"/>
        <v>0</v>
      </c>
      <c r="N37" s="2210">
        <f t="shared" si="1"/>
        <v>0</v>
      </c>
      <c r="O37" s="2210">
        <f t="shared" si="2"/>
        <v>0</v>
      </c>
      <c r="P37" s="2210">
        <f t="shared" si="3"/>
        <v>0</v>
      </c>
      <c r="Q37" s="2210">
        <f t="shared" si="4"/>
        <v>0</v>
      </c>
      <c r="R37" s="2210">
        <f t="shared" si="5"/>
        <v>0</v>
      </c>
      <c r="S37" s="2210">
        <f t="shared" si="6"/>
        <v>0</v>
      </c>
      <c r="V37" s="2210">
        <f t="shared" si="7"/>
        <v>0</v>
      </c>
      <c r="W37" s="2210">
        <f t="shared" si="8"/>
        <v>0</v>
      </c>
      <c r="X37" s="2210">
        <f t="shared" si="9"/>
        <v>0</v>
      </c>
      <c r="Y37" s="2210">
        <f t="shared" si="18"/>
        <v>0</v>
      </c>
      <c r="Z37" s="2210">
        <f t="shared" si="11"/>
        <v>0</v>
      </c>
      <c r="AA37" s="2210">
        <f t="shared" si="12"/>
        <v>0</v>
      </c>
      <c r="AB37" s="2210">
        <f t="shared" si="13"/>
        <v>0</v>
      </c>
      <c r="AC37" s="2210">
        <f t="shared" si="14"/>
        <v>0</v>
      </c>
      <c r="AG37" s="2210">
        <f t="shared" si="15"/>
        <v>0</v>
      </c>
      <c r="AH37" s="2210">
        <f t="shared" si="16"/>
        <v>0</v>
      </c>
    </row>
    <row r="38" spans="1:34" x14ac:dyDescent="0.4">
      <c r="A38" s="2210">
        <f t="shared" si="17"/>
        <v>36</v>
      </c>
      <c r="B38" s="2214"/>
      <c r="C38" s="2214"/>
      <c r="D38" s="2214"/>
      <c r="E38" s="2214"/>
      <c r="F38" s="2214"/>
      <c r="G38" s="2214"/>
      <c r="H38" s="2214"/>
      <c r="M38" s="2210">
        <f t="shared" si="0"/>
        <v>0</v>
      </c>
      <c r="N38" s="2210">
        <f t="shared" si="1"/>
        <v>0</v>
      </c>
      <c r="O38" s="2210">
        <f t="shared" si="2"/>
        <v>0</v>
      </c>
      <c r="P38" s="2210">
        <f t="shared" si="3"/>
        <v>0</v>
      </c>
      <c r="Q38" s="2210">
        <f t="shared" si="4"/>
        <v>0</v>
      </c>
      <c r="R38" s="2210">
        <f t="shared" si="5"/>
        <v>0</v>
      </c>
      <c r="S38" s="2210">
        <f t="shared" si="6"/>
        <v>0</v>
      </c>
      <c r="V38" s="2210">
        <f t="shared" si="7"/>
        <v>0</v>
      </c>
      <c r="W38" s="2210">
        <f t="shared" si="8"/>
        <v>0</v>
      </c>
      <c r="X38" s="2210">
        <f t="shared" si="9"/>
        <v>0</v>
      </c>
      <c r="Y38" s="2210">
        <f t="shared" si="18"/>
        <v>0</v>
      </c>
      <c r="Z38" s="2210">
        <f t="shared" si="11"/>
        <v>0</v>
      </c>
      <c r="AA38" s="2210">
        <f t="shared" si="12"/>
        <v>0</v>
      </c>
      <c r="AB38" s="2210">
        <f t="shared" si="13"/>
        <v>0</v>
      </c>
      <c r="AC38" s="2210">
        <f t="shared" si="14"/>
        <v>0</v>
      </c>
      <c r="AG38" s="2210">
        <f t="shared" si="15"/>
        <v>0</v>
      </c>
      <c r="AH38" s="2210">
        <f t="shared" si="16"/>
        <v>0</v>
      </c>
    </row>
    <row r="39" spans="1:34" x14ac:dyDescent="0.4">
      <c r="A39" s="2210">
        <f t="shared" si="17"/>
        <v>37</v>
      </c>
      <c r="B39" s="2214"/>
      <c r="C39" s="2214"/>
      <c r="D39" s="2214"/>
      <c r="E39" s="2214"/>
      <c r="F39" s="2214"/>
      <c r="G39" s="2214"/>
      <c r="H39" s="2214"/>
      <c r="M39" s="2210">
        <f t="shared" si="0"/>
        <v>0</v>
      </c>
      <c r="N39" s="2210">
        <f t="shared" si="1"/>
        <v>0</v>
      </c>
      <c r="O39" s="2210">
        <f t="shared" si="2"/>
        <v>0</v>
      </c>
      <c r="P39" s="2210">
        <f t="shared" si="3"/>
        <v>0</v>
      </c>
      <c r="Q39" s="2210">
        <f t="shared" si="4"/>
        <v>0</v>
      </c>
      <c r="R39" s="2210">
        <f t="shared" si="5"/>
        <v>0</v>
      </c>
      <c r="S39" s="2210">
        <f t="shared" si="6"/>
        <v>0</v>
      </c>
      <c r="V39" s="2210">
        <f t="shared" si="7"/>
        <v>0</v>
      </c>
      <c r="W39" s="2210">
        <f t="shared" si="8"/>
        <v>0</v>
      </c>
      <c r="X39" s="2210">
        <f t="shared" si="9"/>
        <v>0</v>
      </c>
      <c r="Y39" s="2210">
        <f t="shared" si="18"/>
        <v>0</v>
      </c>
      <c r="Z39" s="2210">
        <f t="shared" si="11"/>
        <v>0</v>
      </c>
      <c r="AA39" s="2210">
        <f t="shared" si="12"/>
        <v>0</v>
      </c>
      <c r="AB39" s="2210">
        <f t="shared" si="13"/>
        <v>0</v>
      </c>
      <c r="AC39" s="2210">
        <f t="shared" si="14"/>
        <v>0</v>
      </c>
      <c r="AG39" s="2210">
        <f t="shared" si="15"/>
        <v>0</v>
      </c>
      <c r="AH39" s="2210">
        <f t="shared" si="16"/>
        <v>0</v>
      </c>
    </row>
    <row r="40" spans="1:34" x14ac:dyDescent="0.4">
      <c r="A40" s="2210">
        <f t="shared" si="17"/>
        <v>38</v>
      </c>
      <c r="B40" s="2214"/>
      <c r="C40" s="2214"/>
      <c r="D40" s="2214"/>
      <c r="E40" s="2214"/>
      <c r="F40" s="2214"/>
      <c r="G40" s="2214"/>
      <c r="H40" s="2214"/>
      <c r="M40" s="2210">
        <f t="shared" si="0"/>
        <v>0</v>
      </c>
      <c r="N40" s="2210">
        <f t="shared" si="1"/>
        <v>0</v>
      </c>
      <c r="O40" s="2210">
        <f t="shared" si="2"/>
        <v>0</v>
      </c>
      <c r="P40" s="2210">
        <f t="shared" si="3"/>
        <v>0</v>
      </c>
      <c r="Q40" s="2210">
        <f t="shared" si="4"/>
        <v>0</v>
      </c>
      <c r="R40" s="2210">
        <f t="shared" si="5"/>
        <v>0</v>
      </c>
      <c r="S40" s="2210">
        <f t="shared" si="6"/>
        <v>0</v>
      </c>
      <c r="V40" s="2210">
        <f t="shared" si="7"/>
        <v>0</v>
      </c>
      <c r="W40" s="2210">
        <f t="shared" si="8"/>
        <v>0</v>
      </c>
      <c r="X40" s="2210">
        <f t="shared" si="9"/>
        <v>0</v>
      </c>
      <c r="Y40" s="2210">
        <f t="shared" si="18"/>
        <v>0</v>
      </c>
      <c r="Z40" s="2210">
        <f t="shared" si="11"/>
        <v>0</v>
      </c>
      <c r="AA40" s="2210">
        <f t="shared" si="12"/>
        <v>0</v>
      </c>
      <c r="AB40" s="2210">
        <f t="shared" si="13"/>
        <v>0</v>
      </c>
      <c r="AC40" s="2210">
        <f t="shared" si="14"/>
        <v>0</v>
      </c>
      <c r="AG40" s="2210">
        <f t="shared" si="15"/>
        <v>0</v>
      </c>
      <c r="AH40" s="2210">
        <f t="shared" si="16"/>
        <v>0</v>
      </c>
    </row>
    <row r="41" spans="1:34" x14ac:dyDescent="0.4">
      <c r="A41" s="2210">
        <f t="shared" si="17"/>
        <v>39</v>
      </c>
      <c r="B41" s="2214"/>
      <c r="C41" s="2214"/>
      <c r="D41" s="2214"/>
      <c r="E41" s="2214"/>
      <c r="F41" s="2214"/>
      <c r="G41" s="2214"/>
      <c r="H41" s="2214"/>
      <c r="M41" s="2210">
        <f t="shared" si="0"/>
        <v>0</v>
      </c>
      <c r="N41" s="2210">
        <f t="shared" si="1"/>
        <v>0</v>
      </c>
      <c r="O41" s="2210">
        <f t="shared" si="2"/>
        <v>0</v>
      </c>
      <c r="P41" s="2210">
        <f t="shared" si="3"/>
        <v>0</v>
      </c>
      <c r="Q41" s="2210">
        <f t="shared" si="4"/>
        <v>0</v>
      </c>
      <c r="R41" s="2210">
        <f t="shared" si="5"/>
        <v>0</v>
      </c>
      <c r="S41" s="2210">
        <f t="shared" si="6"/>
        <v>0</v>
      </c>
      <c r="V41" s="2210">
        <f t="shared" si="7"/>
        <v>0</v>
      </c>
      <c r="W41" s="2210">
        <f t="shared" si="8"/>
        <v>0</v>
      </c>
      <c r="X41" s="2210">
        <f t="shared" si="9"/>
        <v>0</v>
      </c>
      <c r="Y41" s="2210">
        <f t="shared" si="18"/>
        <v>0</v>
      </c>
      <c r="Z41" s="2210">
        <f t="shared" si="11"/>
        <v>0</v>
      </c>
      <c r="AA41" s="2210">
        <f t="shared" si="12"/>
        <v>0</v>
      </c>
      <c r="AB41" s="2210">
        <f t="shared" si="13"/>
        <v>0</v>
      </c>
      <c r="AC41" s="2210">
        <f t="shared" si="14"/>
        <v>0</v>
      </c>
      <c r="AG41" s="2210">
        <f t="shared" si="15"/>
        <v>0</v>
      </c>
      <c r="AH41" s="2210">
        <f t="shared" si="16"/>
        <v>0</v>
      </c>
    </row>
    <row r="42" spans="1:34" x14ac:dyDescent="0.4">
      <c r="A42" s="2210">
        <f t="shared" si="17"/>
        <v>40</v>
      </c>
      <c r="B42" s="2214"/>
      <c r="C42" s="2214"/>
      <c r="D42" s="2214"/>
      <c r="E42" s="2214"/>
      <c r="F42" s="2214"/>
      <c r="G42" s="2214"/>
      <c r="H42" s="2214"/>
      <c r="M42" s="2210">
        <f t="shared" si="0"/>
        <v>0</v>
      </c>
      <c r="N42" s="2210">
        <f t="shared" si="1"/>
        <v>0</v>
      </c>
      <c r="O42" s="2210">
        <f t="shared" si="2"/>
        <v>0</v>
      </c>
      <c r="P42" s="2210">
        <f t="shared" si="3"/>
        <v>0</v>
      </c>
      <c r="Q42" s="2210">
        <f t="shared" si="4"/>
        <v>0</v>
      </c>
      <c r="R42" s="2210">
        <f t="shared" si="5"/>
        <v>0</v>
      </c>
      <c r="S42" s="2210">
        <f t="shared" si="6"/>
        <v>0</v>
      </c>
      <c r="V42" s="2210">
        <f t="shared" si="7"/>
        <v>0</v>
      </c>
      <c r="W42" s="2210">
        <f t="shared" si="8"/>
        <v>0</v>
      </c>
      <c r="X42" s="2210">
        <f t="shared" si="9"/>
        <v>0</v>
      </c>
      <c r="Y42" s="2210">
        <f t="shared" si="18"/>
        <v>0</v>
      </c>
      <c r="Z42" s="2210">
        <f t="shared" si="11"/>
        <v>0</v>
      </c>
      <c r="AA42" s="2210">
        <f t="shared" si="12"/>
        <v>0</v>
      </c>
      <c r="AB42" s="2210">
        <f t="shared" si="13"/>
        <v>0</v>
      </c>
      <c r="AC42" s="2210">
        <f t="shared" si="14"/>
        <v>0</v>
      </c>
      <c r="AG42" s="2210">
        <f t="shared" si="15"/>
        <v>0</v>
      </c>
      <c r="AH42" s="2210">
        <f t="shared" si="16"/>
        <v>0</v>
      </c>
    </row>
    <row r="43" spans="1:34" x14ac:dyDescent="0.4">
      <c r="A43" s="2210">
        <f t="shared" si="17"/>
        <v>41</v>
      </c>
      <c r="B43" s="2214"/>
      <c r="C43" s="2214"/>
      <c r="D43" s="2214"/>
      <c r="E43" s="2214"/>
      <c r="F43" s="2214"/>
      <c r="G43" s="2214"/>
      <c r="H43" s="2214"/>
      <c r="M43" s="2210">
        <f t="shared" si="0"/>
        <v>0</v>
      </c>
      <c r="N43" s="2210">
        <f t="shared" si="1"/>
        <v>0</v>
      </c>
      <c r="O43" s="2210">
        <f t="shared" si="2"/>
        <v>0</v>
      </c>
      <c r="P43" s="2210">
        <f t="shared" si="3"/>
        <v>0</v>
      </c>
      <c r="Q43" s="2210">
        <f t="shared" si="4"/>
        <v>0</v>
      </c>
      <c r="R43" s="2210">
        <f t="shared" si="5"/>
        <v>0</v>
      </c>
      <c r="S43" s="2210">
        <f t="shared" si="6"/>
        <v>0</v>
      </c>
      <c r="V43" s="2210">
        <f t="shared" si="7"/>
        <v>0</v>
      </c>
      <c r="W43" s="2210">
        <f t="shared" si="8"/>
        <v>0</v>
      </c>
      <c r="X43" s="2210">
        <f t="shared" si="9"/>
        <v>0</v>
      </c>
      <c r="Y43" s="2210">
        <f t="shared" si="18"/>
        <v>0</v>
      </c>
      <c r="Z43" s="2210">
        <f t="shared" si="11"/>
        <v>0</v>
      </c>
      <c r="AA43" s="2210">
        <f t="shared" si="12"/>
        <v>0</v>
      </c>
      <c r="AB43" s="2210">
        <f t="shared" si="13"/>
        <v>0</v>
      </c>
      <c r="AC43" s="2210">
        <f t="shared" si="14"/>
        <v>0</v>
      </c>
      <c r="AG43" s="2210">
        <f t="shared" si="15"/>
        <v>0</v>
      </c>
      <c r="AH43" s="2210">
        <f t="shared" si="16"/>
        <v>0</v>
      </c>
    </row>
    <row r="44" spans="1:34" x14ac:dyDescent="0.4">
      <c r="A44" s="2210">
        <f t="shared" si="17"/>
        <v>42</v>
      </c>
      <c r="B44" s="2214"/>
      <c r="C44" s="2214"/>
      <c r="D44" s="2214"/>
      <c r="E44" s="2214"/>
      <c r="F44" s="2214"/>
      <c r="G44" s="2214"/>
      <c r="H44" s="2214"/>
      <c r="M44" s="2210">
        <f t="shared" si="0"/>
        <v>0</v>
      </c>
      <c r="N44" s="2210">
        <f t="shared" si="1"/>
        <v>0</v>
      </c>
      <c r="O44" s="2210">
        <f t="shared" si="2"/>
        <v>0</v>
      </c>
      <c r="P44" s="2210">
        <f t="shared" si="3"/>
        <v>0</v>
      </c>
      <c r="Q44" s="2210">
        <f t="shared" si="4"/>
        <v>0</v>
      </c>
      <c r="R44" s="2210">
        <f t="shared" si="5"/>
        <v>0</v>
      </c>
      <c r="S44" s="2210">
        <f t="shared" si="6"/>
        <v>0</v>
      </c>
      <c r="V44" s="2210">
        <f t="shared" si="7"/>
        <v>0</v>
      </c>
      <c r="W44" s="2210">
        <f t="shared" si="8"/>
        <v>0</v>
      </c>
      <c r="X44" s="2210">
        <f t="shared" si="9"/>
        <v>0</v>
      </c>
      <c r="Y44" s="2210">
        <f t="shared" si="18"/>
        <v>0</v>
      </c>
      <c r="Z44" s="2210">
        <f t="shared" si="11"/>
        <v>0</v>
      </c>
      <c r="AA44" s="2210">
        <f t="shared" si="12"/>
        <v>0</v>
      </c>
      <c r="AB44" s="2210">
        <f t="shared" si="13"/>
        <v>0</v>
      </c>
      <c r="AC44" s="2210">
        <f t="shared" si="14"/>
        <v>0</v>
      </c>
      <c r="AG44" s="2210">
        <f t="shared" si="15"/>
        <v>0</v>
      </c>
      <c r="AH44" s="2210">
        <f t="shared" si="16"/>
        <v>0</v>
      </c>
    </row>
    <row r="45" spans="1:34" x14ac:dyDescent="0.4">
      <c r="A45" s="2210">
        <f t="shared" si="17"/>
        <v>43</v>
      </c>
      <c r="B45" s="2214"/>
      <c r="C45" s="2214"/>
      <c r="D45" s="2214"/>
      <c r="E45" s="2214"/>
      <c r="F45" s="2214"/>
      <c r="G45" s="2214"/>
      <c r="H45" s="2214"/>
      <c r="M45" s="2210">
        <f t="shared" si="0"/>
        <v>0</v>
      </c>
      <c r="N45" s="2210">
        <f t="shared" si="1"/>
        <v>0</v>
      </c>
      <c r="O45" s="2210">
        <f t="shared" si="2"/>
        <v>0</v>
      </c>
      <c r="P45" s="2210">
        <f t="shared" si="3"/>
        <v>0</v>
      </c>
      <c r="Q45" s="2210">
        <f t="shared" si="4"/>
        <v>0</v>
      </c>
      <c r="R45" s="2210">
        <f t="shared" si="5"/>
        <v>0</v>
      </c>
      <c r="S45" s="2210">
        <f t="shared" si="6"/>
        <v>0</v>
      </c>
      <c r="V45" s="2210">
        <f t="shared" si="7"/>
        <v>0</v>
      </c>
      <c r="W45" s="2210">
        <f t="shared" si="8"/>
        <v>0</v>
      </c>
      <c r="X45" s="2210">
        <f t="shared" si="9"/>
        <v>0</v>
      </c>
      <c r="Y45" s="2210">
        <f t="shared" si="18"/>
        <v>0</v>
      </c>
      <c r="Z45" s="2210">
        <f t="shared" si="11"/>
        <v>0</v>
      </c>
      <c r="AA45" s="2210">
        <f t="shared" si="12"/>
        <v>0</v>
      </c>
      <c r="AB45" s="2210">
        <f t="shared" si="13"/>
        <v>0</v>
      </c>
      <c r="AC45" s="2210">
        <f t="shared" si="14"/>
        <v>0</v>
      </c>
      <c r="AG45" s="2210">
        <f t="shared" si="15"/>
        <v>0</v>
      </c>
      <c r="AH45" s="2210">
        <f t="shared" si="16"/>
        <v>0</v>
      </c>
    </row>
    <row r="46" spans="1:34" x14ac:dyDescent="0.4">
      <c r="A46" s="2210">
        <f t="shared" si="17"/>
        <v>44</v>
      </c>
      <c r="B46" s="2214"/>
      <c r="C46" s="2214"/>
      <c r="D46" s="2214"/>
      <c r="E46" s="2214"/>
      <c r="F46" s="2214"/>
      <c r="G46" s="2214"/>
      <c r="H46" s="2214"/>
      <c r="M46" s="2210">
        <f t="shared" si="0"/>
        <v>0</v>
      </c>
      <c r="N46" s="2210">
        <f t="shared" si="1"/>
        <v>0</v>
      </c>
      <c r="O46" s="2210">
        <f t="shared" si="2"/>
        <v>0</v>
      </c>
      <c r="P46" s="2210">
        <f t="shared" si="3"/>
        <v>0</v>
      </c>
      <c r="Q46" s="2210">
        <f t="shared" si="4"/>
        <v>0</v>
      </c>
      <c r="R46" s="2210">
        <f t="shared" si="5"/>
        <v>0</v>
      </c>
      <c r="S46" s="2210">
        <f t="shared" si="6"/>
        <v>0</v>
      </c>
      <c r="V46" s="2210">
        <f t="shared" si="7"/>
        <v>0</v>
      </c>
      <c r="W46" s="2210">
        <f t="shared" si="8"/>
        <v>0</v>
      </c>
      <c r="X46" s="2210">
        <f t="shared" si="9"/>
        <v>0</v>
      </c>
      <c r="Y46" s="2210">
        <f t="shared" si="18"/>
        <v>0</v>
      </c>
      <c r="Z46" s="2210">
        <f t="shared" si="11"/>
        <v>0</v>
      </c>
      <c r="AA46" s="2210">
        <f t="shared" si="12"/>
        <v>0</v>
      </c>
      <c r="AB46" s="2210">
        <f t="shared" si="13"/>
        <v>0</v>
      </c>
      <c r="AC46" s="2210">
        <f t="shared" si="14"/>
        <v>0</v>
      </c>
      <c r="AG46" s="2210">
        <f t="shared" si="15"/>
        <v>0</v>
      </c>
      <c r="AH46" s="2210">
        <f t="shared" si="16"/>
        <v>0</v>
      </c>
    </row>
    <row r="47" spans="1:34" x14ac:dyDescent="0.4">
      <c r="A47" s="2210">
        <f t="shared" si="17"/>
        <v>45</v>
      </c>
      <c r="B47" s="2214"/>
      <c r="C47" s="2214"/>
      <c r="D47" s="2214"/>
      <c r="E47" s="2214"/>
      <c r="F47" s="2214"/>
      <c r="G47" s="2214"/>
      <c r="H47" s="2214"/>
      <c r="M47" s="2210">
        <f t="shared" si="0"/>
        <v>0</v>
      </c>
      <c r="N47" s="2210">
        <f t="shared" si="1"/>
        <v>0</v>
      </c>
      <c r="O47" s="2210">
        <f t="shared" si="2"/>
        <v>0</v>
      </c>
      <c r="P47" s="2210">
        <f t="shared" si="3"/>
        <v>0</v>
      </c>
      <c r="Q47" s="2210">
        <f t="shared" si="4"/>
        <v>0</v>
      </c>
      <c r="R47" s="2210">
        <f t="shared" si="5"/>
        <v>0</v>
      </c>
      <c r="S47" s="2210">
        <f t="shared" si="6"/>
        <v>0</v>
      </c>
      <c r="V47" s="2210">
        <f t="shared" si="7"/>
        <v>0</v>
      </c>
      <c r="W47" s="2210">
        <f t="shared" si="8"/>
        <v>0</v>
      </c>
      <c r="X47" s="2210">
        <f t="shared" si="9"/>
        <v>0</v>
      </c>
      <c r="Y47" s="2210">
        <f t="shared" si="18"/>
        <v>0</v>
      </c>
      <c r="Z47" s="2210">
        <f t="shared" si="11"/>
        <v>0</v>
      </c>
      <c r="AA47" s="2210">
        <f t="shared" si="12"/>
        <v>0</v>
      </c>
      <c r="AB47" s="2210">
        <f t="shared" si="13"/>
        <v>0</v>
      </c>
      <c r="AC47" s="2210">
        <f t="shared" si="14"/>
        <v>0</v>
      </c>
      <c r="AG47" s="2210">
        <f t="shared" si="15"/>
        <v>0</v>
      </c>
      <c r="AH47" s="2210">
        <f t="shared" si="16"/>
        <v>0</v>
      </c>
    </row>
    <row r="48" spans="1:34" x14ac:dyDescent="0.4">
      <c r="A48" s="2210">
        <f t="shared" si="17"/>
        <v>46</v>
      </c>
      <c r="B48" s="2214"/>
      <c r="C48" s="2214"/>
      <c r="D48" s="2214"/>
      <c r="E48" s="2214"/>
      <c r="F48" s="2214"/>
      <c r="G48" s="2214"/>
      <c r="H48" s="2214"/>
      <c r="M48" s="2210">
        <f t="shared" si="0"/>
        <v>0</v>
      </c>
      <c r="N48" s="2210">
        <f t="shared" si="1"/>
        <v>0</v>
      </c>
      <c r="O48" s="2210">
        <f t="shared" si="2"/>
        <v>0</v>
      </c>
      <c r="P48" s="2210">
        <f t="shared" si="3"/>
        <v>0</v>
      </c>
      <c r="Q48" s="2210">
        <f t="shared" si="4"/>
        <v>0</v>
      </c>
      <c r="R48" s="2210">
        <f t="shared" si="5"/>
        <v>0</v>
      </c>
      <c r="S48" s="2210">
        <f t="shared" si="6"/>
        <v>0</v>
      </c>
      <c r="V48" s="2210">
        <f t="shared" si="7"/>
        <v>0</v>
      </c>
      <c r="W48" s="2210">
        <f t="shared" si="8"/>
        <v>0</v>
      </c>
      <c r="X48" s="2210">
        <f t="shared" si="9"/>
        <v>0</v>
      </c>
      <c r="Y48" s="2210">
        <f t="shared" si="18"/>
        <v>0</v>
      </c>
      <c r="Z48" s="2210">
        <f t="shared" si="11"/>
        <v>0</v>
      </c>
      <c r="AA48" s="2210">
        <f t="shared" si="12"/>
        <v>0</v>
      </c>
      <c r="AB48" s="2210">
        <f t="shared" si="13"/>
        <v>0</v>
      </c>
      <c r="AC48" s="2210">
        <f t="shared" si="14"/>
        <v>0</v>
      </c>
      <c r="AG48" s="2210">
        <f t="shared" si="15"/>
        <v>0</v>
      </c>
      <c r="AH48" s="2210">
        <f t="shared" si="16"/>
        <v>0</v>
      </c>
    </row>
    <row r="49" spans="1:34" x14ac:dyDescent="0.4">
      <c r="A49" s="2210">
        <f t="shared" si="17"/>
        <v>47</v>
      </c>
      <c r="B49" s="2214"/>
      <c r="C49" s="2214"/>
      <c r="D49" s="2214"/>
      <c r="E49" s="2214"/>
      <c r="F49" s="2214"/>
      <c r="G49" s="2214"/>
      <c r="H49" s="2214"/>
      <c r="M49" s="2210">
        <f t="shared" si="0"/>
        <v>0</v>
      </c>
      <c r="N49" s="2210">
        <f t="shared" si="1"/>
        <v>0</v>
      </c>
      <c r="O49" s="2210">
        <f t="shared" si="2"/>
        <v>0</v>
      </c>
      <c r="P49" s="2210">
        <f t="shared" si="3"/>
        <v>0</v>
      </c>
      <c r="Q49" s="2210">
        <f t="shared" si="4"/>
        <v>0</v>
      </c>
      <c r="R49" s="2210">
        <f t="shared" si="5"/>
        <v>0</v>
      </c>
      <c r="S49" s="2210">
        <f t="shared" si="6"/>
        <v>0</v>
      </c>
      <c r="V49" s="2210">
        <f t="shared" si="7"/>
        <v>0</v>
      </c>
      <c r="W49" s="2210">
        <f t="shared" si="8"/>
        <v>0</v>
      </c>
      <c r="X49" s="2210">
        <f t="shared" si="9"/>
        <v>0</v>
      </c>
      <c r="Y49" s="2210">
        <f t="shared" si="18"/>
        <v>0</v>
      </c>
      <c r="Z49" s="2210">
        <f t="shared" si="11"/>
        <v>0</v>
      </c>
      <c r="AA49" s="2210">
        <f t="shared" si="12"/>
        <v>0</v>
      </c>
      <c r="AB49" s="2210">
        <f t="shared" si="13"/>
        <v>0</v>
      </c>
      <c r="AC49" s="2210">
        <f t="shared" si="14"/>
        <v>0</v>
      </c>
      <c r="AG49" s="2210">
        <f t="shared" si="15"/>
        <v>0</v>
      </c>
      <c r="AH49" s="2210">
        <f t="shared" si="16"/>
        <v>0</v>
      </c>
    </row>
    <row r="50" spans="1:34" x14ac:dyDescent="0.4">
      <c r="A50" s="2210">
        <f t="shared" si="17"/>
        <v>48</v>
      </c>
      <c r="B50" s="2214"/>
      <c r="C50" s="2214"/>
      <c r="D50" s="2214"/>
      <c r="E50" s="2214"/>
      <c r="F50" s="2214"/>
      <c r="G50" s="2214"/>
      <c r="H50" s="2214"/>
      <c r="M50" s="2210">
        <f t="shared" si="0"/>
        <v>0</v>
      </c>
      <c r="N50" s="2210">
        <f t="shared" si="1"/>
        <v>0</v>
      </c>
      <c r="O50" s="2210">
        <f t="shared" si="2"/>
        <v>0</v>
      </c>
      <c r="P50" s="2210">
        <f t="shared" si="3"/>
        <v>0</v>
      </c>
      <c r="Q50" s="2210">
        <f t="shared" si="4"/>
        <v>0</v>
      </c>
      <c r="R50" s="2210">
        <f t="shared" si="5"/>
        <v>0</v>
      </c>
      <c r="S50" s="2210">
        <f t="shared" si="6"/>
        <v>0</v>
      </c>
      <c r="V50" s="2210">
        <f t="shared" si="7"/>
        <v>0</v>
      </c>
      <c r="W50" s="2210">
        <f t="shared" si="8"/>
        <v>0</v>
      </c>
      <c r="X50" s="2210">
        <f t="shared" si="9"/>
        <v>0</v>
      </c>
      <c r="Y50" s="2210">
        <f t="shared" si="18"/>
        <v>0</v>
      </c>
      <c r="Z50" s="2210">
        <f t="shared" si="11"/>
        <v>0</v>
      </c>
      <c r="AA50" s="2210">
        <f t="shared" si="12"/>
        <v>0</v>
      </c>
      <c r="AB50" s="2210">
        <f t="shared" si="13"/>
        <v>0</v>
      </c>
      <c r="AC50" s="2210">
        <f t="shared" si="14"/>
        <v>0</v>
      </c>
      <c r="AG50" s="2210">
        <f t="shared" si="15"/>
        <v>0</v>
      </c>
      <c r="AH50" s="2210">
        <f t="shared" si="16"/>
        <v>0</v>
      </c>
    </row>
    <row r="51" spans="1:34" x14ac:dyDescent="0.4">
      <c r="A51" s="2210">
        <f t="shared" si="17"/>
        <v>49</v>
      </c>
      <c r="B51" s="2214"/>
      <c r="C51" s="2214"/>
      <c r="D51" s="2214"/>
      <c r="E51" s="2214"/>
      <c r="F51" s="2214"/>
      <c r="G51" s="2214"/>
      <c r="H51" s="2214"/>
      <c r="M51" s="2210">
        <f t="shared" si="0"/>
        <v>0</v>
      </c>
      <c r="N51" s="2210">
        <f t="shared" si="1"/>
        <v>0</v>
      </c>
      <c r="O51" s="2210">
        <f t="shared" si="2"/>
        <v>0</v>
      </c>
      <c r="P51" s="2210">
        <f t="shared" si="3"/>
        <v>0</v>
      </c>
      <c r="Q51" s="2210">
        <f t="shared" si="4"/>
        <v>0</v>
      </c>
      <c r="R51" s="2210">
        <f t="shared" si="5"/>
        <v>0</v>
      </c>
      <c r="S51" s="2210">
        <f t="shared" si="6"/>
        <v>0</v>
      </c>
      <c r="V51" s="2210">
        <f t="shared" si="7"/>
        <v>0</v>
      </c>
      <c r="W51" s="2210">
        <f t="shared" si="8"/>
        <v>0</v>
      </c>
      <c r="X51" s="2210">
        <f t="shared" si="9"/>
        <v>0</v>
      </c>
      <c r="Y51" s="2210">
        <f t="shared" si="18"/>
        <v>0</v>
      </c>
      <c r="Z51" s="2210">
        <f t="shared" si="11"/>
        <v>0</v>
      </c>
      <c r="AA51" s="2210">
        <f t="shared" si="12"/>
        <v>0</v>
      </c>
      <c r="AB51" s="2210">
        <f t="shared" si="13"/>
        <v>0</v>
      </c>
      <c r="AC51" s="2210">
        <f t="shared" si="14"/>
        <v>0</v>
      </c>
      <c r="AG51" s="2210">
        <f t="shared" si="15"/>
        <v>0</v>
      </c>
      <c r="AH51" s="2210">
        <f t="shared" si="16"/>
        <v>0</v>
      </c>
    </row>
    <row r="52" spans="1:34" x14ac:dyDescent="0.4">
      <c r="A52" s="2210">
        <f t="shared" si="17"/>
        <v>50</v>
      </c>
      <c r="B52" s="2214"/>
      <c r="C52" s="2214"/>
      <c r="D52" s="2214"/>
      <c r="E52" s="2214"/>
      <c r="F52" s="2214"/>
      <c r="G52" s="2214"/>
      <c r="H52" s="2214"/>
      <c r="M52" s="2210">
        <f t="shared" si="0"/>
        <v>0</v>
      </c>
      <c r="N52" s="2210">
        <f t="shared" si="1"/>
        <v>0</v>
      </c>
      <c r="O52" s="2210">
        <f t="shared" si="2"/>
        <v>0</v>
      </c>
      <c r="P52" s="2210">
        <f t="shared" si="3"/>
        <v>0</v>
      </c>
      <c r="Q52" s="2210">
        <f t="shared" si="4"/>
        <v>0</v>
      </c>
      <c r="R52" s="2210">
        <f t="shared" si="5"/>
        <v>0</v>
      </c>
      <c r="S52" s="2210">
        <f t="shared" si="6"/>
        <v>0</v>
      </c>
      <c r="V52" s="2210">
        <f t="shared" si="7"/>
        <v>0</v>
      </c>
      <c r="W52" s="2210">
        <f t="shared" si="8"/>
        <v>0</v>
      </c>
      <c r="X52" s="2210">
        <f t="shared" si="9"/>
        <v>0</v>
      </c>
      <c r="Y52" s="2210">
        <f t="shared" si="18"/>
        <v>0</v>
      </c>
      <c r="Z52" s="2210">
        <f t="shared" si="11"/>
        <v>0</v>
      </c>
      <c r="AA52" s="2210">
        <f t="shared" si="12"/>
        <v>0</v>
      </c>
      <c r="AB52" s="2210">
        <f t="shared" si="13"/>
        <v>0</v>
      </c>
      <c r="AC52" s="2210">
        <f t="shared" si="14"/>
        <v>0</v>
      </c>
      <c r="AG52" s="2210">
        <f t="shared" si="15"/>
        <v>0</v>
      </c>
      <c r="AH52" s="2210">
        <f t="shared" si="16"/>
        <v>0</v>
      </c>
    </row>
    <row r="53" spans="1:34" x14ac:dyDescent="0.4">
      <c r="A53" s="2210">
        <f t="shared" si="17"/>
        <v>51</v>
      </c>
      <c r="B53" s="2214"/>
      <c r="C53" s="2214"/>
      <c r="D53" s="2214"/>
      <c r="E53" s="2214"/>
      <c r="F53" s="2214"/>
      <c r="G53" s="2214"/>
      <c r="H53" s="2214"/>
      <c r="M53" s="2210">
        <f t="shared" si="0"/>
        <v>0</v>
      </c>
      <c r="N53" s="2210">
        <f t="shared" si="1"/>
        <v>0</v>
      </c>
      <c r="O53" s="2210">
        <f t="shared" si="2"/>
        <v>0</v>
      </c>
      <c r="P53" s="2210">
        <f t="shared" si="3"/>
        <v>0</v>
      </c>
      <c r="Q53" s="2210">
        <f t="shared" si="4"/>
        <v>0</v>
      </c>
      <c r="R53" s="2210">
        <f t="shared" si="5"/>
        <v>0</v>
      </c>
      <c r="S53" s="2210">
        <f t="shared" si="6"/>
        <v>0</v>
      </c>
      <c r="V53" s="2210">
        <f t="shared" si="7"/>
        <v>0</v>
      </c>
      <c r="W53" s="2210">
        <f t="shared" si="8"/>
        <v>0</v>
      </c>
      <c r="X53" s="2210">
        <f t="shared" si="9"/>
        <v>0</v>
      </c>
      <c r="Y53" s="2210">
        <f t="shared" si="18"/>
        <v>0</v>
      </c>
      <c r="Z53" s="2210">
        <f t="shared" si="11"/>
        <v>0</v>
      </c>
      <c r="AA53" s="2210">
        <f t="shared" si="12"/>
        <v>0</v>
      </c>
      <c r="AB53" s="2210">
        <f t="shared" si="13"/>
        <v>0</v>
      </c>
      <c r="AC53" s="2210">
        <f t="shared" si="14"/>
        <v>0</v>
      </c>
      <c r="AG53" s="2210">
        <f t="shared" si="15"/>
        <v>0</v>
      </c>
      <c r="AH53" s="2210">
        <f t="shared" si="16"/>
        <v>0</v>
      </c>
    </row>
    <row r="54" spans="1:34" x14ac:dyDescent="0.4">
      <c r="A54" s="2210">
        <f t="shared" si="17"/>
        <v>52</v>
      </c>
      <c r="B54" s="2214"/>
      <c r="C54" s="2214"/>
      <c r="D54" s="2214"/>
      <c r="E54" s="2214"/>
      <c r="F54" s="2214"/>
      <c r="G54" s="2214"/>
      <c r="H54" s="2214"/>
      <c r="M54" s="2210">
        <f t="shared" si="0"/>
        <v>0</v>
      </c>
      <c r="N54" s="2210">
        <f t="shared" si="1"/>
        <v>0</v>
      </c>
      <c r="O54" s="2210">
        <f t="shared" si="2"/>
        <v>0</v>
      </c>
      <c r="P54" s="2210">
        <f t="shared" si="3"/>
        <v>0</v>
      </c>
      <c r="Q54" s="2210">
        <f t="shared" si="4"/>
        <v>0</v>
      </c>
      <c r="R54" s="2210">
        <f t="shared" si="5"/>
        <v>0</v>
      </c>
      <c r="S54" s="2210">
        <f t="shared" si="6"/>
        <v>0</v>
      </c>
      <c r="V54" s="2210">
        <f t="shared" si="7"/>
        <v>0</v>
      </c>
      <c r="W54" s="2210">
        <f t="shared" si="8"/>
        <v>0</v>
      </c>
      <c r="X54" s="2210">
        <f t="shared" si="9"/>
        <v>0</v>
      </c>
      <c r="Y54" s="2210">
        <f t="shared" si="18"/>
        <v>0</v>
      </c>
      <c r="Z54" s="2210">
        <f t="shared" si="11"/>
        <v>0</v>
      </c>
      <c r="AA54" s="2210">
        <f t="shared" si="12"/>
        <v>0</v>
      </c>
      <c r="AB54" s="2210">
        <f t="shared" si="13"/>
        <v>0</v>
      </c>
      <c r="AC54" s="2210">
        <f t="shared" si="14"/>
        <v>0</v>
      </c>
      <c r="AG54" s="2210">
        <f t="shared" si="15"/>
        <v>0</v>
      </c>
      <c r="AH54" s="2210">
        <f t="shared" si="16"/>
        <v>0</v>
      </c>
    </row>
    <row r="55" spans="1:34" x14ac:dyDescent="0.4">
      <c r="A55" s="2210">
        <f t="shared" si="17"/>
        <v>53</v>
      </c>
      <c r="B55" s="2214"/>
      <c r="C55" s="2214"/>
      <c r="D55" s="2214"/>
      <c r="E55" s="2214"/>
      <c r="F55" s="2214"/>
      <c r="G55" s="2214"/>
      <c r="H55" s="2214"/>
      <c r="M55" s="2210">
        <f t="shared" si="0"/>
        <v>0</v>
      </c>
      <c r="N55" s="2210">
        <f t="shared" si="1"/>
        <v>0</v>
      </c>
      <c r="O55" s="2210">
        <f t="shared" si="2"/>
        <v>0</v>
      </c>
      <c r="P55" s="2210">
        <f t="shared" si="3"/>
        <v>0</v>
      </c>
      <c r="Q55" s="2210">
        <f t="shared" si="4"/>
        <v>0</v>
      </c>
      <c r="R55" s="2210">
        <f t="shared" si="5"/>
        <v>0</v>
      </c>
      <c r="S55" s="2210">
        <f t="shared" si="6"/>
        <v>0</v>
      </c>
      <c r="V55" s="2210">
        <f t="shared" si="7"/>
        <v>0</v>
      </c>
      <c r="W55" s="2210">
        <f t="shared" si="8"/>
        <v>0</v>
      </c>
      <c r="X55" s="2210">
        <f t="shared" si="9"/>
        <v>0</v>
      </c>
      <c r="Y55" s="2210">
        <f t="shared" si="18"/>
        <v>0</v>
      </c>
      <c r="Z55" s="2210">
        <f t="shared" si="11"/>
        <v>0</v>
      </c>
      <c r="AA55" s="2210">
        <f t="shared" si="12"/>
        <v>0</v>
      </c>
      <c r="AB55" s="2210">
        <f t="shared" si="13"/>
        <v>0</v>
      </c>
      <c r="AC55" s="2210">
        <f t="shared" si="14"/>
        <v>0</v>
      </c>
      <c r="AG55" s="2210">
        <f t="shared" si="15"/>
        <v>0</v>
      </c>
      <c r="AH55" s="2210">
        <f t="shared" si="16"/>
        <v>0</v>
      </c>
    </row>
    <row r="56" spans="1:34" x14ac:dyDescent="0.4">
      <c r="A56" s="2210">
        <f t="shared" si="17"/>
        <v>54</v>
      </c>
      <c r="B56" s="2214"/>
      <c r="C56" s="2214"/>
      <c r="D56" s="2214"/>
      <c r="E56" s="2214"/>
      <c r="F56" s="2214"/>
      <c r="G56" s="2214"/>
      <c r="H56" s="2214"/>
      <c r="M56" s="2210">
        <f t="shared" si="0"/>
        <v>0</v>
      </c>
      <c r="N56" s="2210">
        <f t="shared" si="1"/>
        <v>0</v>
      </c>
      <c r="O56" s="2210">
        <f t="shared" si="2"/>
        <v>0</v>
      </c>
      <c r="P56" s="2210">
        <f t="shared" si="3"/>
        <v>0</v>
      </c>
      <c r="Q56" s="2210">
        <f t="shared" si="4"/>
        <v>0</v>
      </c>
      <c r="R56" s="2210">
        <f t="shared" si="5"/>
        <v>0</v>
      </c>
      <c r="S56" s="2210">
        <f t="shared" si="6"/>
        <v>0</v>
      </c>
      <c r="V56" s="2210">
        <f t="shared" si="7"/>
        <v>0</v>
      </c>
      <c r="W56" s="2210">
        <f t="shared" si="8"/>
        <v>0</v>
      </c>
      <c r="X56" s="2210">
        <f t="shared" si="9"/>
        <v>0</v>
      </c>
      <c r="Y56" s="2210">
        <f t="shared" si="18"/>
        <v>0</v>
      </c>
      <c r="Z56" s="2210">
        <f t="shared" si="11"/>
        <v>0</v>
      </c>
      <c r="AA56" s="2210">
        <f t="shared" si="12"/>
        <v>0</v>
      </c>
      <c r="AB56" s="2210">
        <f t="shared" si="13"/>
        <v>0</v>
      </c>
      <c r="AC56" s="2210">
        <f t="shared" si="14"/>
        <v>0</v>
      </c>
      <c r="AG56" s="2210">
        <f t="shared" si="15"/>
        <v>0</v>
      </c>
      <c r="AH56" s="2210">
        <f t="shared" si="16"/>
        <v>0</v>
      </c>
    </row>
    <row r="57" spans="1:34" x14ac:dyDescent="0.4">
      <c r="A57" s="2210">
        <f t="shared" si="17"/>
        <v>55</v>
      </c>
      <c r="B57" s="2214"/>
      <c r="C57" s="2214"/>
      <c r="D57" s="2214"/>
      <c r="E57" s="2214"/>
      <c r="F57" s="2214"/>
      <c r="G57" s="2214"/>
      <c r="H57" s="2214"/>
      <c r="M57" s="2210">
        <f t="shared" si="0"/>
        <v>0</v>
      </c>
      <c r="N57" s="2210">
        <f t="shared" si="1"/>
        <v>0</v>
      </c>
      <c r="O57" s="2210">
        <f t="shared" si="2"/>
        <v>0</v>
      </c>
      <c r="P57" s="2210">
        <f t="shared" si="3"/>
        <v>0</v>
      </c>
      <c r="Q57" s="2210">
        <f t="shared" si="4"/>
        <v>0</v>
      </c>
      <c r="R57" s="2210">
        <f t="shared" si="5"/>
        <v>0</v>
      </c>
      <c r="S57" s="2210">
        <f t="shared" si="6"/>
        <v>0</v>
      </c>
      <c r="V57" s="2210">
        <f t="shared" si="7"/>
        <v>0</v>
      </c>
      <c r="W57" s="2210">
        <f t="shared" si="8"/>
        <v>0</v>
      </c>
      <c r="X57" s="2210">
        <f t="shared" si="9"/>
        <v>0</v>
      </c>
      <c r="Y57" s="2210">
        <f t="shared" si="18"/>
        <v>0</v>
      </c>
      <c r="Z57" s="2210">
        <f t="shared" si="11"/>
        <v>0</v>
      </c>
      <c r="AA57" s="2210">
        <f t="shared" si="12"/>
        <v>0</v>
      </c>
      <c r="AB57" s="2210">
        <f t="shared" si="13"/>
        <v>0</v>
      </c>
      <c r="AC57" s="2210">
        <f t="shared" si="14"/>
        <v>0</v>
      </c>
      <c r="AG57" s="2210">
        <f t="shared" si="15"/>
        <v>0</v>
      </c>
      <c r="AH57" s="2210">
        <f t="shared" si="16"/>
        <v>0</v>
      </c>
    </row>
    <row r="58" spans="1:34" x14ac:dyDescent="0.4">
      <c r="A58" s="2210">
        <f t="shared" si="17"/>
        <v>56</v>
      </c>
      <c r="B58" s="2214"/>
      <c r="C58" s="2214"/>
      <c r="D58" s="2214"/>
      <c r="E58" s="2214"/>
      <c r="F58" s="2214"/>
      <c r="G58" s="2214"/>
      <c r="H58" s="2214"/>
      <c r="M58" s="2210">
        <f t="shared" si="0"/>
        <v>0</v>
      </c>
      <c r="N58" s="2210">
        <f t="shared" si="1"/>
        <v>0</v>
      </c>
      <c r="O58" s="2210">
        <f t="shared" si="2"/>
        <v>0</v>
      </c>
      <c r="P58" s="2210">
        <f t="shared" si="3"/>
        <v>0</v>
      </c>
      <c r="Q58" s="2210">
        <f t="shared" si="4"/>
        <v>0</v>
      </c>
      <c r="R58" s="2210">
        <f t="shared" si="5"/>
        <v>0</v>
      </c>
      <c r="S58" s="2210">
        <f t="shared" si="6"/>
        <v>0</v>
      </c>
      <c r="V58" s="2210">
        <f t="shared" si="7"/>
        <v>0</v>
      </c>
      <c r="W58" s="2210">
        <f t="shared" si="8"/>
        <v>0</v>
      </c>
      <c r="X58" s="2210">
        <f t="shared" si="9"/>
        <v>0</v>
      </c>
      <c r="Y58" s="2210">
        <f t="shared" si="18"/>
        <v>0</v>
      </c>
      <c r="Z58" s="2210">
        <f t="shared" si="11"/>
        <v>0</v>
      </c>
      <c r="AA58" s="2210">
        <f t="shared" si="12"/>
        <v>0</v>
      </c>
      <c r="AB58" s="2210">
        <f t="shared" si="13"/>
        <v>0</v>
      </c>
      <c r="AC58" s="2210">
        <f t="shared" si="14"/>
        <v>0</v>
      </c>
      <c r="AG58" s="2210">
        <f t="shared" si="15"/>
        <v>0</v>
      </c>
      <c r="AH58" s="2210">
        <f t="shared" si="16"/>
        <v>0</v>
      </c>
    </row>
    <row r="59" spans="1:34" x14ac:dyDescent="0.4">
      <c r="A59" s="2210">
        <f t="shared" si="17"/>
        <v>57</v>
      </c>
      <c r="B59" s="2214"/>
      <c r="C59" s="2214"/>
      <c r="D59" s="2214"/>
      <c r="E59" s="2214"/>
      <c r="F59" s="2214"/>
      <c r="G59" s="2214"/>
      <c r="H59" s="2214"/>
      <c r="M59" s="2210">
        <f t="shared" si="0"/>
        <v>0</v>
      </c>
      <c r="N59" s="2210">
        <f t="shared" si="1"/>
        <v>0</v>
      </c>
      <c r="O59" s="2210">
        <f t="shared" si="2"/>
        <v>0</v>
      </c>
      <c r="P59" s="2210">
        <f t="shared" si="3"/>
        <v>0</v>
      </c>
      <c r="Q59" s="2210">
        <f t="shared" si="4"/>
        <v>0</v>
      </c>
      <c r="R59" s="2210">
        <f t="shared" si="5"/>
        <v>0</v>
      </c>
      <c r="S59" s="2210">
        <f t="shared" si="6"/>
        <v>0</v>
      </c>
      <c r="V59" s="2210">
        <f t="shared" si="7"/>
        <v>0</v>
      </c>
      <c r="W59" s="2210">
        <f t="shared" si="8"/>
        <v>0</v>
      </c>
      <c r="X59" s="2210">
        <f t="shared" si="9"/>
        <v>0</v>
      </c>
      <c r="Y59" s="2210">
        <f t="shared" si="18"/>
        <v>0</v>
      </c>
      <c r="Z59" s="2210">
        <f t="shared" si="11"/>
        <v>0</v>
      </c>
      <c r="AA59" s="2210">
        <f t="shared" si="12"/>
        <v>0</v>
      </c>
      <c r="AB59" s="2210">
        <f t="shared" si="13"/>
        <v>0</v>
      </c>
      <c r="AC59" s="2210">
        <f t="shared" si="14"/>
        <v>0</v>
      </c>
      <c r="AG59" s="2210">
        <f t="shared" si="15"/>
        <v>0</v>
      </c>
      <c r="AH59" s="2210">
        <f t="shared" si="16"/>
        <v>0</v>
      </c>
    </row>
    <row r="60" spans="1:34" x14ac:dyDescent="0.4">
      <c r="A60" s="2210">
        <f t="shared" si="17"/>
        <v>58</v>
      </c>
      <c r="B60" s="2214"/>
      <c r="C60" s="2214"/>
      <c r="D60" s="2214"/>
      <c r="E60" s="2214"/>
      <c r="F60" s="2214"/>
      <c r="G60" s="2214"/>
      <c r="H60" s="2214"/>
      <c r="M60" s="2210">
        <f t="shared" si="0"/>
        <v>0</v>
      </c>
      <c r="N60" s="2210">
        <f t="shared" si="1"/>
        <v>0</v>
      </c>
      <c r="O60" s="2210">
        <f t="shared" si="2"/>
        <v>0</v>
      </c>
      <c r="P60" s="2210">
        <f t="shared" si="3"/>
        <v>0</v>
      </c>
      <c r="Q60" s="2210">
        <f t="shared" si="4"/>
        <v>0</v>
      </c>
      <c r="R60" s="2210">
        <f t="shared" si="5"/>
        <v>0</v>
      </c>
      <c r="S60" s="2210">
        <f t="shared" si="6"/>
        <v>0</v>
      </c>
      <c r="V60" s="2210">
        <f t="shared" si="7"/>
        <v>0</v>
      </c>
      <c r="W60" s="2210">
        <f t="shared" si="8"/>
        <v>0</v>
      </c>
      <c r="X60" s="2210">
        <f t="shared" si="9"/>
        <v>0</v>
      </c>
      <c r="Y60" s="2210">
        <f t="shared" si="18"/>
        <v>0</v>
      </c>
      <c r="Z60" s="2210">
        <f t="shared" si="11"/>
        <v>0</v>
      </c>
      <c r="AA60" s="2210">
        <f t="shared" si="12"/>
        <v>0</v>
      </c>
      <c r="AB60" s="2210">
        <f t="shared" si="13"/>
        <v>0</v>
      </c>
      <c r="AC60" s="2210">
        <f t="shared" si="14"/>
        <v>0</v>
      </c>
      <c r="AG60" s="2210">
        <f t="shared" si="15"/>
        <v>0</v>
      </c>
      <c r="AH60" s="2210">
        <f t="shared" si="16"/>
        <v>0</v>
      </c>
    </row>
    <row r="61" spans="1:34" x14ac:dyDescent="0.4">
      <c r="A61" s="2210">
        <f t="shared" si="17"/>
        <v>59</v>
      </c>
      <c r="B61" s="2214"/>
      <c r="C61" s="2214"/>
      <c r="D61" s="2214"/>
      <c r="E61" s="2214"/>
      <c r="F61" s="2214"/>
      <c r="G61" s="2214"/>
      <c r="H61" s="2214"/>
      <c r="M61" s="2210">
        <f t="shared" si="0"/>
        <v>0</v>
      </c>
      <c r="N61" s="2210">
        <f t="shared" si="1"/>
        <v>0</v>
      </c>
      <c r="O61" s="2210">
        <f t="shared" si="2"/>
        <v>0</v>
      </c>
      <c r="P61" s="2210">
        <f t="shared" si="3"/>
        <v>0</v>
      </c>
      <c r="Q61" s="2210">
        <f t="shared" si="4"/>
        <v>0</v>
      </c>
      <c r="R61" s="2210">
        <f t="shared" si="5"/>
        <v>0</v>
      </c>
      <c r="S61" s="2210">
        <f t="shared" si="6"/>
        <v>0</v>
      </c>
      <c r="V61" s="2210">
        <f t="shared" si="7"/>
        <v>0</v>
      </c>
      <c r="W61" s="2210">
        <f t="shared" si="8"/>
        <v>0</v>
      </c>
      <c r="X61" s="2210">
        <f t="shared" si="9"/>
        <v>0</v>
      </c>
      <c r="Y61" s="2210">
        <f t="shared" si="18"/>
        <v>0</v>
      </c>
      <c r="Z61" s="2210">
        <f t="shared" si="11"/>
        <v>0</v>
      </c>
      <c r="AA61" s="2210">
        <f t="shared" si="12"/>
        <v>0</v>
      </c>
      <c r="AB61" s="2210">
        <f t="shared" si="13"/>
        <v>0</v>
      </c>
      <c r="AC61" s="2210">
        <f t="shared" si="14"/>
        <v>0</v>
      </c>
      <c r="AG61" s="2210">
        <f t="shared" si="15"/>
        <v>0</v>
      </c>
      <c r="AH61" s="2210">
        <f t="shared" si="16"/>
        <v>0</v>
      </c>
    </row>
    <row r="62" spans="1:34" x14ac:dyDescent="0.4">
      <c r="A62" s="2210">
        <f t="shared" si="17"/>
        <v>60</v>
      </c>
      <c r="B62" s="2214"/>
      <c r="C62" s="2214"/>
      <c r="D62" s="2214"/>
      <c r="E62" s="2214"/>
      <c r="F62" s="2214"/>
      <c r="G62" s="2214"/>
      <c r="H62" s="2214"/>
      <c r="M62" s="2210">
        <f t="shared" si="0"/>
        <v>0</v>
      </c>
      <c r="N62" s="2210">
        <f t="shared" si="1"/>
        <v>0</v>
      </c>
      <c r="O62" s="2210">
        <f t="shared" si="2"/>
        <v>0</v>
      </c>
      <c r="P62" s="2210">
        <f t="shared" si="3"/>
        <v>0</v>
      </c>
      <c r="Q62" s="2210">
        <f t="shared" si="4"/>
        <v>0</v>
      </c>
      <c r="R62" s="2210">
        <f t="shared" si="5"/>
        <v>0</v>
      </c>
      <c r="S62" s="2210">
        <f t="shared" si="6"/>
        <v>0</v>
      </c>
      <c r="V62" s="2210">
        <f t="shared" si="7"/>
        <v>0</v>
      </c>
      <c r="W62" s="2210">
        <f t="shared" si="8"/>
        <v>0</v>
      </c>
      <c r="X62" s="2210">
        <f t="shared" si="9"/>
        <v>0</v>
      </c>
      <c r="Y62" s="2210">
        <f t="shared" si="18"/>
        <v>0</v>
      </c>
      <c r="Z62" s="2210">
        <f t="shared" si="11"/>
        <v>0</v>
      </c>
      <c r="AA62" s="2210">
        <f t="shared" si="12"/>
        <v>0</v>
      </c>
      <c r="AB62" s="2210">
        <f t="shared" si="13"/>
        <v>0</v>
      </c>
      <c r="AC62" s="2210">
        <f t="shared" si="14"/>
        <v>0</v>
      </c>
      <c r="AG62" s="2210">
        <f t="shared" si="15"/>
        <v>0</v>
      </c>
      <c r="AH62" s="2210">
        <f t="shared" si="16"/>
        <v>0</v>
      </c>
    </row>
    <row r="63" spans="1:34" x14ac:dyDescent="0.4">
      <c r="A63" s="2210">
        <f t="shared" si="17"/>
        <v>61</v>
      </c>
      <c r="B63" s="2214"/>
      <c r="C63" s="2214"/>
      <c r="D63" s="2214"/>
      <c r="E63" s="2214"/>
      <c r="F63" s="2214"/>
      <c r="G63" s="2214"/>
      <c r="H63" s="2214"/>
      <c r="M63" s="2210">
        <f t="shared" si="0"/>
        <v>0</v>
      </c>
      <c r="N63" s="2210">
        <f t="shared" si="1"/>
        <v>0</v>
      </c>
      <c r="O63" s="2210">
        <f t="shared" si="2"/>
        <v>0</v>
      </c>
      <c r="P63" s="2210">
        <f t="shared" si="3"/>
        <v>0</v>
      </c>
      <c r="Q63" s="2210">
        <f t="shared" si="4"/>
        <v>0</v>
      </c>
      <c r="R63" s="2210">
        <f t="shared" si="5"/>
        <v>0</v>
      </c>
      <c r="S63" s="2210">
        <f t="shared" si="6"/>
        <v>0</v>
      </c>
      <c r="V63" s="2210">
        <f t="shared" si="7"/>
        <v>0</v>
      </c>
      <c r="W63" s="2210">
        <f t="shared" si="8"/>
        <v>0</v>
      </c>
      <c r="X63" s="2210">
        <f t="shared" si="9"/>
        <v>0</v>
      </c>
      <c r="Y63" s="2210">
        <f t="shared" si="18"/>
        <v>0</v>
      </c>
      <c r="Z63" s="2210">
        <f t="shared" si="11"/>
        <v>0</v>
      </c>
      <c r="AA63" s="2210">
        <f t="shared" si="12"/>
        <v>0</v>
      </c>
      <c r="AB63" s="2210">
        <f t="shared" si="13"/>
        <v>0</v>
      </c>
      <c r="AC63" s="2210">
        <f t="shared" si="14"/>
        <v>0</v>
      </c>
      <c r="AG63" s="2210">
        <f t="shared" si="15"/>
        <v>0</v>
      </c>
      <c r="AH63" s="2210">
        <f t="shared" si="16"/>
        <v>0</v>
      </c>
    </row>
    <row r="64" spans="1:34" x14ac:dyDescent="0.4">
      <c r="A64" s="2210">
        <f t="shared" si="17"/>
        <v>62</v>
      </c>
      <c r="B64" s="2214"/>
      <c r="C64" s="2214"/>
      <c r="D64" s="2214"/>
      <c r="E64" s="2214"/>
      <c r="F64" s="2214"/>
      <c r="G64" s="2214"/>
      <c r="H64" s="2214"/>
      <c r="M64" s="2210">
        <f t="shared" si="0"/>
        <v>0</v>
      </c>
      <c r="N64" s="2210">
        <f t="shared" si="1"/>
        <v>0</v>
      </c>
      <c r="O64" s="2210">
        <f t="shared" si="2"/>
        <v>0</v>
      </c>
      <c r="P64" s="2210">
        <f t="shared" si="3"/>
        <v>0</v>
      </c>
      <c r="Q64" s="2210">
        <f t="shared" si="4"/>
        <v>0</v>
      </c>
      <c r="R64" s="2210">
        <f t="shared" si="5"/>
        <v>0</v>
      </c>
      <c r="S64" s="2210">
        <f t="shared" si="6"/>
        <v>0</v>
      </c>
      <c r="V64" s="2210">
        <f t="shared" si="7"/>
        <v>0</v>
      </c>
      <c r="W64" s="2210">
        <f t="shared" si="8"/>
        <v>0</v>
      </c>
      <c r="X64" s="2210">
        <f t="shared" si="9"/>
        <v>0</v>
      </c>
      <c r="Y64" s="2210">
        <f t="shared" si="18"/>
        <v>0</v>
      </c>
      <c r="Z64" s="2210">
        <f t="shared" si="11"/>
        <v>0</v>
      </c>
      <c r="AA64" s="2210">
        <f t="shared" si="12"/>
        <v>0</v>
      </c>
      <c r="AB64" s="2210">
        <f t="shared" si="13"/>
        <v>0</v>
      </c>
      <c r="AC64" s="2210">
        <f t="shared" si="14"/>
        <v>0</v>
      </c>
      <c r="AG64" s="2210">
        <f t="shared" si="15"/>
        <v>0</v>
      </c>
      <c r="AH64" s="2210">
        <f t="shared" si="16"/>
        <v>0</v>
      </c>
    </row>
    <row r="65" spans="1:34" x14ac:dyDescent="0.4">
      <c r="A65" s="2210">
        <f t="shared" si="17"/>
        <v>63</v>
      </c>
      <c r="B65" s="2214"/>
      <c r="C65" s="2214"/>
      <c r="D65" s="2214"/>
      <c r="E65" s="2214"/>
      <c r="F65" s="2214"/>
      <c r="G65" s="2214"/>
      <c r="H65" s="2214"/>
      <c r="M65" s="2210">
        <f t="shared" si="0"/>
        <v>0</v>
      </c>
      <c r="N65" s="2210">
        <f t="shared" si="1"/>
        <v>0</v>
      </c>
      <c r="O65" s="2210">
        <f t="shared" si="2"/>
        <v>0</v>
      </c>
      <c r="P65" s="2210">
        <f t="shared" si="3"/>
        <v>0</v>
      </c>
      <c r="Q65" s="2210">
        <f t="shared" si="4"/>
        <v>0</v>
      </c>
      <c r="R65" s="2210">
        <f t="shared" si="5"/>
        <v>0</v>
      </c>
      <c r="S65" s="2210">
        <f t="shared" si="6"/>
        <v>0</v>
      </c>
      <c r="V65" s="2210">
        <f t="shared" si="7"/>
        <v>0</v>
      </c>
      <c r="W65" s="2210">
        <f t="shared" si="8"/>
        <v>0</v>
      </c>
      <c r="X65" s="2210">
        <f t="shared" si="9"/>
        <v>0</v>
      </c>
      <c r="Y65" s="2210">
        <f t="shared" si="18"/>
        <v>0</v>
      </c>
      <c r="Z65" s="2210">
        <f t="shared" si="11"/>
        <v>0</v>
      </c>
      <c r="AA65" s="2210">
        <f t="shared" si="12"/>
        <v>0</v>
      </c>
      <c r="AB65" s="2210">
        <f t="shared" si="13"/>
        <v>0</v>
      </c>
      <c r="AC65" s="2210">
        <f t="shared" si="14"/>
        <v>0</v>
      </c>
      <c r="AG65" s="2210">
        <f t="shared" si="15"/>
        <v>0</v>
      </c>
      <c r="AH65" s="2210">
        <f t="shared" si="16"/>
        <v>0</v>
      </c>
    </row>
    <row r="66" spans="1:34" x14ac:dyDescent="0.4">
      <c r="A66" s="2210">
        <f t="shared" si="17"/>
        <v>64</v>
      </c>
      <c r="B66" s="2214"/>
      <c r="C66" s="2214"/>
      <c r="D66" s="2214"/>
      <c r="E66" s="2214"/>
      <c r="F66" s="2214"/>
      <c r="G66" s="2214"/>
      <c r="H66" s="2214"/>
      <c r="M66" s="2210">
        <f t="shared" si="0"/>
        <v>0</v>
      </c>
      <c r="N66" s="2210">
        <f t="shared" si="1"/>
        <v>0</v>
      </c>
      <c r="O66" s="2210">
        <f t="shared" si="2"/>
        <v>0</v>
      </c>
      <c r="P66" s="2210">
        <f t="shared" si="3"/>
        <v>0</v>
      </c>
      <c r="Q66" s="2210">
        <f t="shared" si="4"/>
        <v>0</v>
      </c>
      <c r="R66" s="2210">
        <f t="shared" si="5"/>
        <v>0</v>
      </c>
      <c r="S66" s="2210">
        <f t="shared" si="6"/>
        <v>0</v>
      </c>
      <c r="V66" s="2210">
        <f t="shared" si="7"/>
        <v>0</v>
      </c>
      <c r="W66" s="2210">
        <f t="shared" si="8"/>
        <v>0</v>
      </c>
      <c r="X66" s="2210">
        <f t="shared" si="9"/>
        <v>0</v>
      </c>
      <c r="Y66" s="2210">
        <f t="shared" si="18"/>
        <v>0</v>
      </c>
      <c r="Z66" s="2210">
        <f t="shared" si="11"/>
        <v>0</v>
      </c>
      <c r="AA66" s="2210">
        <f t="shared" si="12"/>
        <v>0</v>
      </c>
      <c r="AB66" s="2210">
        <f t="shared" si="13"/>
        <v>0</v>
      </c>
      <c r="AC66" s="2210">
        <f t="shared" si="14"/>
        <v>0</v>
      </c>
      <c r="AG66" s="2210">
        <f t="shared" si="15"/>
        <v>0</v>
      </c>
      <c r="AH66" s="2210">
        <f t="shared" si="16"/>
        <v>0</v>
      </c>
    </row>
    <row r="67" spans="1:34" x14ac:dyDescent="0.4">
      <c r="A67" s="2210">
        <f t="shared" si="17"/>
        <v>65</v>
      </c>
      <c r="B67" s="2214"/>
      <c r="C67" s="2214"/>
      <c r="D67" s="2214"/>
      <c r="E67" s="2214"/>
      <c r="F67" s="2214"/>
      <c r="G67" s="2214"/>
      <c r="H67" s="2214"/>
      <c r="M67" s="2210">
        <f t="shared" si="0"/>
        <v>0</v>
      </c>
      <c r="N67" s="2210">
        <f t="shared" si="1"/>
        <v>0</v>
      </c>
      <c r="O67" s="2210">
        <f t="shared" si="2"/>
        <v>0</v>
      </c>
      <c r="P67" s="2210">
        <f t="shared" si="3"/>
        <v>0</v>
      </c>
      <c r="Q67" s="2210">
        <f t="shared" si="4"/>
        <v>0</v>
      </c>
      <c r="R67" s="2210">
        <f t="shared" si="5"/>
        <v>0</v>
      </c>
      <c r="S67" s="2210">
        <f t="shared" si="6"/>
        <v>0</v>
      </c>
      <c r="V67" s="2210">
        <f t="shared" si="7"/>
        <v>0</v>
      </c>
      <c r="W67" s="2210">
        <f t="shared" si="8"/>
        <v>0</v>
      </c>
      <c r="X67" s="2210">
        <f t="shared" si="9"/>
        <v>0</v>
      </c>
      <c r="Y67" s="2210">
        <f t="shared" ref="Y67:Y110" si="19">IF(OR(V67=0,LEN(X67)&lt;4),0,_xlfn.CONCAT(V67,",",X67))</f>
        <v>0</v>
      </c>
      <c r="Z67" s="2210">
        <f t="shared" si="11"/>
        <v>0</v>
      </c>
      <c r="AA67" s="2210">
        <f t="shared" si="12"/>
        <v>0</v>
      </c>
      <c r="AB67" s="2210">
        <f t="shared" si="13"/>
        <v>0</v>
      </c>
      <c r="AC67" s="2210">
        <f t="shared" si="14"/>
        <v>0</v>
      </c>
      <c r="AG67" s="2210">
        <f t="shared" si="15"/>
        <v>0</v>
      </c>
      <c r="AH67" s="2210">
        <f t="shared" si="16"/>
        <v>0</v>
      </c>
    </row>
    <row r="68" spans="1:34" x14ac:dyDescent="0.4">
      <c r="A68" s="2210">
        <f t="shared" si="17"/>
        <v>66</v>
      </c>
      <c r="B68" s="2214"/>
      <c r="C68" s="2214"/>
      <c r="D68" s="2214"/>
      <c r="E68" s="2214"/>
      <c r="F68" s="2214"/>
      <c r="G68" s="2214"/>
      <c r="H68" s="2214"/>
      <c r="M68" s="2210">
        <f t="shared" ref="M68:M131" si="20">IF($H68="Interior Lighting",$B68,0)</f>
        <v>0</v>
      </c>
      <c r="N68" s="2210">
        <f t="shared" ref="N68:N131" si="21">IF($H68="Interior Lighting",$C68,0)</f>
        <v>0</v>
      </c>
      <c r="O68" s="2210">
        <f t="shared" ref="O68:O131" si="22">IF($H68="Interior Lighting",$D68,0)</f>
        <v>0</v>
      </c>
      <c r="P68" s="2210">
        <f t="shared" ref="P68:P131" si="23">IF($H68="Interior Lighting",$E68,0)</f>
        <v>0</v>
      </c>
      <c r="Q68" s="2210">
        <f t="shared" ref="Q68:Q131" si="24">IF($H68="Interior Lighting",$F68,0)</f>
        <v>0</v>
      </c>
      <c r="R68" s="2210">
        <f t="shared" ref="R68:R131" si="25">IF($H68="Interior Lighting",$G68,0)</f>
        <v>0</v>
      </c>
      <c r="S68" s="2210">
        <f t="shared" ref="S68:S131" si="26">IF($H68="Interior Lighting",$H68,0)</f>
        <v>0</v>
      </c>
      <c r="V68" s="2210">
        <f t="shared" ref="V68:V131" si="27">IF($H68="Exterior Lighting",$B68,0)</f>
        <v>0</v>
      </c>
      <c r="W68" s="2210">
        <f t="shared" ref="W68:W131" si="28">IF($H68="Exterior Lighting",$C68,0)</f>
        <v>0</v>
      </c>
      <c r="X68" s="2210">
        <f t="shared" ref="X68:X110" si="29">IF($H68="Exterior Lighting",$D68,0)</f>
        <v>0</v>
      </c>
      <c r="Y68" s="2210">
        <f t="shared" si="19"/>
        <v>0</v>
      </c>
      <c r="Z68" s="2210">
        <f t="shared" ref="Z68:Z110" si="30">IF($H68="Exterior Lighting",$E68,0)</f>
        <v>0</v>
      </c>
      <c r="AA68" s="2210">
        <f t="shared" ref="AA68:AA110" si="31">IF($H68="Exterior Lighting",$F68,0)</f>
        <v>0</v>
      </c>
      <c r="AB68" s="2210">
        <f t="shared" ref="AB68:AB110" si="32">IF($H68="Exterior Lighting",$G68,0)</f>
        <v>0</v>
      </c>
      <c r="AC68" s="2210">
        <f t="shared" ref="AC68:AC131" si="33">IF($H68="Exterior Lighting",$H68,0)</f>
        <v>0</v>
      </c>
      <c r="AG68" s="2210">
        <f t="shared" ref="AG68:AG110" si="34">IF(AF68 = 0,0,LEFT(AF68,SEARCH(",",AF68)-1))</f>
        <v>0</v>
      </c>
      <c r="AH68" s="2210">
        <f t="shared" ref="AH68:AH131" si="35">IF(AF68=0,0,MID(AF68,SEARCH(",",AF68)+1,LEN(AF68)))</f>
        <v>0</v>
      </c>
    </row>
    <row r="69" spans="1:34" x14ac:dyDescent="0.4">
      <c r="A69" s="2210">
        <f t="shared" ref="A69:A132" si="36">A68+1</f>
        <v>67</v>
      </c>
      <c r="B69" s="2214"/>
      <c r="C69" s="2214"/>
      <c r="D69" s="2214"/>
      <c r="E69" s="2214"/>
      <c r="F69" s="2214"/>
      <c r="G69" s="2214"/>
      <c r="H69" s="2214"/>
      <c r="M69" s="2210">
        <f t="shared" si="20"/>
        <v>0</v>
      </c>
      <c r="N69" s="2210">
        <f t="shared" si="21"/>
        <v>0</v>
      </c>
      <c r="O69" s="2210">
        <f t="shared" si="22"/>
        <v>0</v>
      </c>
      <c r="P69" s="2210">
        <f t="shared" si="23"/>
        <v>0</v>
      </c>
      <c r="Q69" s="2210">
        <f t="shared" si="24"/>
        <v>0</v>
      </c>
      <c r="R69" s="2210">
        <f t="shared" si="25"/>
        <v>0</v>
      </c>
      <c r="S69" s="2210">
        <f t="shared" si="26"/>
        <v>0</v>
      </c>
      <c r="V69" s="2210">
        <f t="shared" si="27"/>
        <v>0</v>
      </c>
      <c r="W69" s="2210">
        <f t="shared" si="28"/>
        <v>0</v>
      </c>
      <c r="X69" s="2210">
        <f t="shared" si="29"/>
        <v>0</v>
      </c>
      <c r="Y69" s="2210">
        <f t="shared" si="19"/>
        <v>0</v>
      </c>
      <c r="Z69" s="2210">
        <f t="shared" si="30"/>
        <v>0</v>
      </c>
      <c r="AA69" s="2210">
        <f t="shared" si="31"/>
        <v>0</v>
      </c>
      <c r="AB69" s="2210">
        <f t="shared" si="32"/>
        <v>0</v>
      </c>
      <c r="AC69" s="2210">
        <f t="shared" si="33"/>
        <v>0</v>
      </c>
      <c r="AG69" s="2210">
        <f t="shared" si="34"/>
        <v>0</v>
      </c>
      <c r="AH69" s="2210">
        <f t="shared" si="35"/>
        <v>0</v>
      </c>
    </row>
    <row r="70" spans="1:34" x14ac:dyDescent="0.4">
      <c r="A70" s="2210">
        <f t="shared" si="36"/>
        <v>68</v>
      </c>
      <c r="B70" s="2214"/>
      <c r="C70" s="2214"/>
      <c r="D70" s="2214"/>
      <c r="E70" s="2214"/>
      <c r="F70" s="2214"/>
      <c r="G70" s="2214"/>
      <c r="H70" s="2214"/>
      <c r="M70" s="2210">
        <f t="shared" si="20"/>
        <v>0</v>
      </c>
      <c r="N70" s="2210">
        <f t="shared" si="21"/>
        <v>0</v>
      </c>
      <c r="O70" s="2210">
        <f t="shared" si="22"/>
        <v>0</v>
      </c>
      <c r="P70" s="2210">
        <f t="shared" si="23"/>
        <v>0</v>
      </c>
      <c r="Q70" s="2210">
        <f t="shared" si="24"/>
        <v>0</v>
      </c>
      <c r="R70" s="2210">
        <f t="shared" si="25"/>
        <v>0</v>
      </c>
      <c r="S70" s="2210">
        <f t="shared" si="26"/>
        <v>0</v>
      </c>
      <c r="V70" s="2210">
        <f t="shared" si="27"/>
        <v>0</v>
      </c>
      <c r="W70" s="2210">
        <f t="shared" si="28"/>
        <v>0</v>
      </c>
      <c r="X70" s="2210">
        <f t="shared" si="29"/>
        <v>0</v>
      </c>
      <c r="Y70" s="2210">
        <f t="shared" si="19"/>
        <v>0</v>
      </c>
      <c r="Z70" s="2210">
        <f t="shared" si="30"/>
        <v>0</v>
      </c>
      <c r="AA70" s="2210">
        <f t="shared" si="31"/>
        <v>0</v>
      </c>
      <c r="AB70" s="2210">
        <f t="shared" si="32"/>
        <v>0</v>
      </c>
      <c r="AC70" s="2210">
        <f t="shared" si="33"/>
        <v>0</v>
      </c>
      <c r="AG70" s="2210">
        <f t="shared" si="34"/>
        <v>0</v>
      </c>
      <c r="AH70" s="2210">
        <f t="shared" si="35"/>
        <v>0</v>
      </c>
    </row>
    <row r="71" spans="1:34" x14ac:dyDescent="0.4">
      <c r="A71" s="2210">
        <f t="shared" si="36"/>
        <v>69</v>
      </c>
      <c r="B71" s="2214"/>
      <c r="C71" s="2214"/>
      <c r="D71" s="2214"/>
      <c r="E71" s="2214"/>
      <c r="F71" s="2214"/>
      <c r="G71" s="2214"/>
      <c r="H71" s="2214"/>
      <c r="M71" s="2210">
        <f t="shared" si="20"/>
        <v>0</v>
      </c>
      <c r="N71" s="2210">
        <f t="shared" si="21"/>
        <v>0</v>
      </c>
      <c r="O71" s="2210">
        <f t="shared" si="22"/>
        <v>0</v>
      </c>
      <c r="P71" s="2210">
        <f t="shared" si="23"/>
        <v>0</v>
      </c>
      <c r="Q71" s="2210">
        <f t="shared" si="24"/>
        <v>0</v>
      </c>
      <c r="R71" s="2210">
        <f t="shared" si="25"/>
        <v>0</v>
      </c>
      <c r="S71" s="2210">
        <f t="shared" si="26"/>
        <v>0</v>
      </c>
      <c r="V71" s="2210">
        <f t="shared" si="27"/>
        <v>0</v>
      </c>
      <c r="W71" s="2210">
        <f t="shared" si="28"/>
        <v>0</v>
      </c>
      <c r="X71" s="2210">
        <f t="shared" si="29"/>
        <v>0</v>
      </c>
      <c r="Y71" s="2210">
        <f t="shared" si="19"/>
        <v>0</v>
      </c>
      <c r="Z71" s="2210">
        <f t="shared" si="30"/>
        <v>0</v>
      </c>
      <c r="AA71" s="2210">
        <f t="shared" si="31"/>
        <v>0</v>
      </c>
      <c r="AB71" s="2210">
        <f t="shared" si="32"/>
        <v>0</v>
      </c>
      <c r="AC71" s="2210">
        <f t="shared" si="33"/>
        <v>0</v>
      </c>
      <c r="AG71" s="2210">
        <f t="shared" si="34"/>
        <v>0</v>
      </c>
      <c r="AH71" s="2210">
        <f t="shared" si="35"/>
        <v>0</v>
      </c>
    </row>
    <row r="72" spans="1:34" x14ac:dyDescent="0.4">
      <c r="A72" s="2210">
        <f t="shared" si="36"/>
        <v>70</v>
      </c>
      <c r="B72" s="2214"/>
      <c r="C72" s="2214"/>
      <c r="D72" s="2214"/>
      <c r="E72" s="2214"/>
      <c r="F72" s="2214"/>
      <c r="G72" s="2214"/>
      <c r="H72" s="2214"/>
      <c r="M72" s="2210">
        <f t="shared" si="20"/>
        <v>0</v>
      </c>
      <c r="N72" s="2210">
        <f t="shared" si="21"/>
        <v>0</v>
      </c>
      <c r="O72" s="2210">
        <f t="shared" si="22"/>
        <v>0</v>
      </c>
      <c r="P72" s="2210">
        <f t="shared" si="23"/>
        <v>0</v>
      </c>
      <c r="Q72" s="2210">
        <f t="shared" si="24"/>
        <v>0</v>
      </c>
      <c r="R72" s="2210">
        <f t="shared" si="25"/>
        <v>0</v>
      </c>
      <c r="S72" s="2210">
        <f t="shared" si="26"/>
        <v>0</v>
      </c>
      <c r="V72" s="2210">
        <f t="shared" si="27"/>
        <v>0</v>
      </c>
      <c r="W72" s="2210">
        <f t="shared" si="28"/>
        <v>0</v>
      </c>
      <c r="X72" s="2210">
        <f t="shared" si="29"/>
        <v>0</v>
      </c>
      <c r="Y72" s="2210">
        <f t="shared" si="19"/>
        <v>0</v>
      </c>
      <c r="Z72" s="2210">
        <f t="shared" si="30"/>
        <v>0</v>
      </c>
      <c r="AA72" s="2210">
        <f t="shared" si="31"/>
        <v>0</v>
      </c>
      <c r="AB72" s="2210">
        <f t="shared" si="32"/>
        <v>0</v>
      </c>
      <c r="AC72" s="2210">
        <f t="shared" si="33"/>
        <v>0</v>
      </c>
      <c r="AG72" s="2210">
        <f t="shared" si="34"/>
        <v>0</v>
      </c>
      <c r="AH72" s="2210">
        <f t="shared" si="35"/>
        <v>0</v>
      </c>
    </row>
    <row r="73" spans="1:34" x14ac:dyDescent="0.4">
      <c r="A73" s="2210">
        <f t="shared" si="36"/>
        <v>71</v>
      </c>
      <c r="B73" s="2214"/>
      <c r="C73" s="2214"/>
      <c r="D73" s="2214"/>
      <c r="E73" s="2214"/>
      <c r="F73" s="2214"/>
      <c r="G73" s="2214"/>
      <c r="H73" s="2214"/>
      <c r="M73" s="2210">
        <f t="shared" si="20"/>
        <v>0</v>
      </c>
      <c r="N73" s="2210">
        <f t="shared" si="21"/>
        <v>0</v>
      </c>
      <c r="O73" s="2210">
        <f t="shared" si="22"/>
        <v>0</v>
      </c>
      <c r="P73" s="2210">
        <f t="shared" si="23"/>
        <v>0</v>
      </c>
      <c r="Q73" s="2210">
        <f t="shared" si="24"/>
        <v>0</v>
      </c>
      <c r="R73" s="2210">
        <f t="shared" si="25"/>
        <v>0</v>
      </c>
      <c r="S73" s="2210">
        <f t="shared" si="26"/>
        <v>0</v>
      </c>
      <c r="V73" s="2210">
        <f t="shared" si="27"/>
        <v>0</v>
      </c>
      <c r="W73" s="2210">
        <f t="shared" si="28"/>
        <v>0</v>
      </c>
      <c r="X73" s="2210">
        <f t="shared" si="29"/>
        <v>0</v>
      </c>
      <c r="Y73" s="2210">
        <f t="shared" si="19"/>
        <v>0</v>
      </c>
      <c r="Z73" s="2210">
        <f t="shared" si="30"/>
        <v>0</v>
      </c>
      <c r="AA73" s="2210">
        <f t="shared" si="31"/>
        <v>0</v>
      </c>
      <c r="AB73" s="2210">
        <f t="shared" si="32"/>
        <v>0</v>
      </c>
      <c r="AC73" s="2210">
        <f t="shared" si="33"/>
        <v>0</v>
      </c>
      <c r="AG73" s="2210">
        <f t="shared" si="34"/>
        <v>0</v>
      </c>
      <c r="AH73" s="2210">
        <f t="shared" si="35"/>
        <v>0</v>
      </c>
    </row>
    <row r="74" spans="1:34" x14ac:dyDescent="0.4">
      <c r="A74" s="2210">
        <f t="shared" si="36"/>
        <v>72</v>
      </c>
      <c r="B74" s="2214"/>
      <c r="C74" s="2214"/>
      <c r="D74" s="2214"/>
      <c r="E74" s="2214"/>
      <c r="F74" s="2214"/>
      <c r="G74" s="2214"/>
      <c r="H74" s="2214"/>
      <c r="M74" s="2210">
        <f t="shared" si="20"/>
        <v>0</v>
      </c>
      <c r="N74" s="2210">
        <f t="shared" si="21"/>
        <v>0</v>
      </c>
      <c r="O74" s="2210">
        <f t="shared" si="22"/>
        <v>0</v>
      </c>
      <c r="P74" s="2210">
        <f t="shared" si="23"/>
        <v>0</v>
      </c>
      <c r="Q74" s="2210">
        <f t="shared" si="24"/>
        <v>0</v>
      </c>
      <c r="R74" s="2210">
        <f t="shared" si="25"/>
        <v>0</v>
      </c>
      <c r="S74" s="2210">
        <f t="shared" si="26"/>
        <v>0</v>
      </c>
      <c r="V74" s="2210">
        <f t="shared" si="27"/>
        <v>0</v>
      </c>
      <c r="W74" s="2210">
        <f t="shared" si="28"/>
        <v>0</v>
      </c>
      <c r="X74" s="2210">
        <f t="shared" si="29"/>
        <v>0</v>
      </c>
      <c r="Y74" s="2210">
        <f t="shared" si="19"/>
        <v>0</v>
      </c>
      <c r="Z74" s="2210">
        <f t="shared" si="30"/>
        <v>0</v>
      </c>
      <c r="AA74" s="2210">
        <f t="shared" si="31"/>
        <v>0</v>
      </c>
      <c r="AB74" s="2210">
        <f t="shared" si="32"/>
        <v>0</v>
      </c>
      <c r="AC74" s="2210">
        <f t="shared" si="33"/>
        <v>0</v>
      </c>
      <c r="AG74" s="2210">
        <f t="shared" si="34"/>
        <v>0</v>
      </c>
      <c r="AH74" s="2210">
        <f t="shared" si="35"/>
        <v>0</v>
      </c>
    </row>
    <row r="75" spans="1:34" x14ac:dyDescent="0.4">
      <c r="A75" s="2210">
        <f t="shared" si="36"/>
        <v>73</v>
      </c>
      <c r="B75" s="2214"/>
      <c r="C75" s="2214"/>
      <c r="D75" s="2214"/>
      <c r="E75" s="2214"/>
      <c r="F75" s="2214"/>
      <c r="G75" s="2214"/>
      <c r="H75" s="2214"/>
      <c r="M75" s="2210">
        <f t="shared" si="20"/>
        <v>0</v>
      </c>
      <c r="N75" s="2210">
        <f t="shared" si="21"/>
        <v>0</v>
      </c>
      <c r="O75" s="2210">
        <f t="shared" si="22"/>
        <v>0</v>
      </c>
      <c r="P75" s="2210">
        <f t="shared" si="23"/>
        <v>0</v>
      </c>
      <c r="Q75" s="2210">
        <f t="shared" si="24"/>
        <v>0</v>
      </c>
      <c r="R75" s="2210">
        <f t="shared" si="25"/>
        <v>0</v>
      </c>
      <c r="S75" s="2210">
        <f t="shared" si="26"/>
        <v>0</v>
      </c>
      <c r="V75" s="2210">
        <f t="shared" si="27"/>
        <v>0</v>
      </c>
      <c r="W75" s="2210">
        <f t="shared" si="28"/>
        <v>0</v>
      </c>
      <c r="X75" s="2210">
        <f t="shared" si="29"/>
        <v>0</v>
      </c>
      <c r="Y75" s="2210">
        <f t="shared" si="19"/>
        <v>0</v>
      </c>
      <c r="Z75" s="2210">
        <f t="shared" si="30"/>
        <v>0</v>
      </c>
      <c r="AA75" s="2210">
        <f t="shared" si="31"/>
        <v>0</v>
      </c>
      <c r="AB75" s="2210">
        <f t="shared" si="32"/>
        <v>0</v>
      </c>
      <c r="AC75" s="2210">
        <f t="shared" si="33"/>
        <v>0</v>
      </c>
      <c r="AG75" s="2210">
        <f t="shared" si="34"/>
        <v>0</v>
      </c>
      <c r="AH75" s="2210">
        <f t="shared" si="35"/>
        <v>0</v>
      </c>
    </row>
    <row r="76" spans="1:34" x14ac:dyDescent="0.4">
      <c r="A76" s="2210">
        <f t="shared" si="36"/>
        <v>74</v>
      </c>
      <c r="B76" s="2214"/>
      <c r="C76" s="2214"/>
      <c r="D76" s="2214"/>
      <c r="E76" s="2214"/>
      <c r="F76" s="2214"/>
      <c r="G76" s="2214"/>
      <c r="H76" s="2214"/>
      <c r="M76" s="2210">
        <f t="shared" si="20"/>
        <v>0</v>
      </c>
      <c r="N76" s="2210">
        <f t="shared" si="21"/>
        <v>0</v>
      </c>
      <c r="O76" s="2210">
        <f t="shared" si="22"/>
        <v>0</v>
      </c>
      <c r="P76" s="2210">
        <f t="shared" si="23"/>
        <v>0</v>
      </c>
      <c r="Q76" s="2210">
        <f t="shared" si="24"/>
        <v>0</v>
      </c>
      <c r="R76" s="2210">
        <f t="shared" si="25"/>
        <v>0</v>
      </c>
      <c r="S76" s="2210">
        <f t="shared" si="26"/>
        <v>0</v>
      </c>
      <c r="V76" s="2210">
        <f t="shared" si="27"/>
        <v>0</v>
      </c>
      <c r="W76" s="2210">
        <f t="shared" si="28"/>
        <v>0</v>
      </c>
      <c r="X76" s="2210">
        <f t="shared" si="29"/>
        <v>0</v>
      </c>
      <c r="Y76" s="2210">
        <f t="shared" si="19"/>
        <v>0</v>
      </c>
      <c r="Z76" s="2210">
        <f t="shared" si="30"/>
        <v>0</v>
      </c>
      <c r="AA76" s="2210">
        <f t="shared" si="31"/>
        <v>0</v>
      </c>
      <c r="AB76" s="2210">
        <f t="shared" si="32"/>
        <v>0</v>
      </c>
      <c r="AC76" s="2210">
        <f t="shared" si="33"/>
        <v>0</v>
      </c>
      <c r="AG76" s="2210">
        <f t="shared" si="34"/>
        <v>0</v>
      </c>
      <c r="AH76" s="2210">
        <f t="shared" si="35"/>
        <v>0</v>
      </c>
    </row>
    <row r="77" spans="1:34" x14ac:dyDescent="0.4">
      <c r="A77" s="2210">
        <f t="shared" si="36"/>
        <v>75</v>
      </c>
      <c r="B77" s="2214"/>
      <c r="C77" s="2214"/>
      <c r="D77" s="2214"/>
      <c r="E77" s="2214"/>
      <c r="F77" s="2214"/>
      <c r="G77" s="2214"/>
      <c r="H77" s="2214"/>
      <c r="M77" s="2210">
        <f t="shared" si="20"/>
        <v>0</v>
      </c>
      <c r="N77" s="2210">
        <f t="shared" si="21"/>
        <v>0</v>
      </c>
      <c r="O77" s="2210">
        <f t="shared" si="22"/>
        <v>0</v>
      </c>
      <c r="P77" s="2210">
        <f t="shared" si="23"/>
        <v>0</v>
      </c>
      <c r="Q77" s="2210">
        <f t="shared" si="24"/>
        <v>0</v>
      </c>
      <c r="R77" s="2210">
        <f t="shared" si="25"/>
        <v>0</v>
      </c>
      <c r="S77" s="2210">
        <f t="shared" si="26"/>
        <v>0</v>
      </c>
      <c r="V77" s="2210">
        <f t="shared" si="27"/>
        <v>0</v>
      </c>
      <c r="W77" s="2210">
        <f t="shared" si="28"/>
        <v>0</v>
      </c>
      <c r="X77" s="2210">
        <f t="shared" si="29"/>
        <v>0</v>
      </c>
      <c r="Y77" s="2210">
        <f t="shared" si="19"/>
        <v>0</v>
      </c>
      <c r="Z77" s="2210">
        <f t="shared" si="30"/>
        <v>0</v>
      </c>
      <c r="AA77" s="2210">
        <f t="shared" si="31"/>
        <v>0</v>
      </c>
      <c r="AB77" s="2210">
        <f t="shared" si="32"/>
        <v>0</v>
      </c>
      <c r="AC77" s="2210">
        <f t="shared" si="33"/>
        <v>0</v>
      </c>
      <c r="AG77" s="2210">
        <f t="shared" si="34"/>
        <v>0</v>
      </c>
      <c r="AH77" s="2210">
        <f t="shared" si="35"/>
        <v>0</v>
      </c>
    </row>
    <row r="78" spans="1:34" x14ac:dyDescent="0.4">
      <c r="A78" s="2210">
        <f t="shared" si="36"/>
        <v>76</v>
      </c>
      <c r="B78" s="2214"/>
      <c r="C78" s="2214"/>
      <c r="D78" s="2214"/>
      <c r="E78" s="2214"/>
      <c r="F78" s="2214"/>
      <c r="G78" s="2214"/>
      <c r="H78" s="2214"/>
      <c r="M78" s="2210">
        <f t="shared" si="20"/>
        <v>0</v>
      </c>
      <c r="N78" s="2210">
        <f t="shared" si="21"/>
        <v>0</v>
      </c>
      <c r="O78" s="2210">
        <f t="shared" si="22"/>
        <v>0</v>
      </c>
      <c r="P78" s="2210">
        <f t="shared" si="23"/>
        <v>0</v>
      </c>
      <c r="Q78" s="2210">
        <f t="shared" si="24"/>
        <v>0</v>
      </c>
      <c r="R78" s="2210">
        <f t="shared" si="25"/>
        <v>0</v>
      </c>
      <c r="S78" s="2210">
        <f t="shared" si="26"/>
        <v>0</v>
      </c>
      <c r="V78" s="2210">
        <f t="shared" si="27"/>
        <v>0</v>
      </c>
      <c r="W78" s="2210">
        <f t="shared" si="28"/>
        <v>0</v>
      </c>
      <c r="X78" s="2210">
        <f t="shared" si="29"/>
        <v>0</v>
      </c>
      <c r="Y78" s="2210">
        <f t="shared" si="19"/>
        <v>0</v>
      </c>
      <c r="Z78" s="2210">
        <f t="shared" si="30"/>
        <v>0</v>
      </c>
      <c r="AA78" s="2210">
        <f t="shared" si="31"/>
        <v>0</v>
      </c>
      <c r="AB78" s="2210">
        <f t="shared" si="32"/>
        <v>0</v>
      </c>
      <c r="AC78" s="2210">
        <f t="shared" si="33"/>
        <v>0</v>
      </c>
      <c r="AG78" s="2210">
        <f t="shared" si="34"/>
        <v>0</v>
      </c>
      <c r="AH78" s="2210">
        <f t="shared" si="35"/>
        <v>0</v>
      </c>
    </row>
    <row r="79" spans="1:34" x14ac:dyDescent="0.4">
      <c r="A79" s="2210">
        <f t="shared" si="36"/>
        <v>77</v>
      </c>
      <c r="B79" s="2214"/>
      <c r="C79" s="2214"/>
      <c r="D79" s="2214"/>
      <c r="E79" s="2214"/>
      <c r="F79" s="2214"/>
      <c r="G79" s="2214"/>
      <c r="H79" s="2214"/>
      <c r="M79" s="2210">
        <f t="shared" si="20"/>
        <v>0</v>
      </c>
      <c r="N79" s="2210">
        <f t="shared" si="21"/>
        <v>0</v>
      </c>
      <c r="O79" s="2210">
        <f t="shared" si="22"/>
        <v>0</v>
      </c>
      <c r="P79" s="2210">
        <f t="shared" si="23"/>
        <v>0</v>
      </c>
      <c r="Q79" s="2210">
        <f t="shared" si="24"/>
        <v>0</v>
      </c>
      <c r="R79" s="2210">
        <f t="shared" si="25"/>
        <v>0</v>
      </c>
      <c r="S79" s="2210">
        <f t="shared" si="26"/>
        <v>0</v>
      </c>
      <c r="V79" s="2210">
        <f t="shared" si="27"/>
        <v>0</v>
      </c>
      <c r="W79" s="2210">
        <f t="shared" si="28"/>
        <v>0</v>
      </c>
      <c r="X79" s="2210">
        <f t="shared" si="29"/>
        <v>0</v>
      </c>
      <c r="Y79" s="2210">
        <f t="shared" si="19"/>
        <v>0</v>
      </c>
      <c r="Z79" s="2210">
        <f t="shared" si="30"/>
        <v>0</v>
      </c>
      <c r="AA79" s="2210">
        <f t="shared" si="31"/>
        <v>0</v>
      </c>
      <c r="AB79" s="2210">
        <f t="shared" si="32"/>
        <v>0</v>
      </c>
      <c r="AC79" s="2210">
        <f t="shared" si="33"/>
        <v>0</v>
      </c>
      <c r="AG79" s="2210">
        <f t="shared" si="34"/>
        <v>0</v>
      </c>
      <c r="AH79" s="2210">
        <f t="shared" si="35"/>
        <v>0</v>
      </c>
    </row>
    <row r="80" spans="1:34" x14ac:dyDescent="0.4">
      <c r="A80" s="2210">
        <f t="shared" si="36"/>
        <v>78</v>
      </c>
      <c r="B80" s="2214"/>
      <c r="C80" s="2214"/>
      <c r="D80" s="2214"/>
      <c r="E80" s="2214"/>
      <c r="F80" s="2214"/>
      <c r="G80" s="2214"/>
      <c r="H80" s="2214"/>
      <c r="M80" s="2210">
        <f t="shared" si="20"/>
        <v>0</v>
      </c>
      <c r="N80" s="2210">
        <f t="shared" si="21"/>
        <v>0</v>
      </c>
      <c r="O80" s="2210">
        <f t="shared" si="22"/>
        <v>0</v>
      </c>
      <c r="P80" s="2210">
        <f t="shared" si="23"/>
        <v>0</v>
      </c>
      <c r="Q80" s="2210">
        <f t="shared" si="24"/>
        <v>0</v>
      </c>
      <c r="R80" s="2210">
        <f t="shared" si="25"/>
        <v>0</v>
      </c>
      <c r="S80" s="2210">
        <f t="shared" si="26"/>
        <v>0</v>
      </c>
      <c r="V80" s="2210">
        <f t="shared" si="27"/>
        <v>0</v>
      </c>
      <c r="W80" s="2210">
        <f t="shared" si="28"/>
        <v>0</v>
      </c>
      <c r="X80" s="2210">
        <f t="shared" si="29"/>
        <v>0</v>
      </c>
      <c r="Y80" s="2210">
        <f t="shared" si="19"/>
        <v>0</v>
      </c>
      <c r="Z80" s="2210">
        <f t="shared" si="30"/>
        <v>0</v>
      </c>
      <c r="AA80" s="2210">
        <f t="shared" si="31"/>
        <v>0</v>
      </c>
      <c r="AB80" s="2210">
        <f t="shared" si="32"/>
        <v>0</v>
      </c>
      <c r="AC80" s="2210">
        <f t="shared" si="33"/>
        <v>0</v>
      </c>
      <c r="AG80" s="2210">
        <f t="shared" si="34"/>
        <v>0</v>
      </c>
      <c r="AH80" s="2210">
        <f t="shared" si="35"/>
        <v>0</v>
      </c>
    </row>
    <row r="81" spans="1:34" x14ac:dyDescent="0.4">
      <c r="A81" s="2210">
        <f t="shared" si="36"/>
        <v>79</v>
      </c>
      <c r="B81" s="2214"/>
      <c r="C81" s="2214"/>
      <c r="D81" s="2214"/>
      <c r="E81" s="2214"/>
      <c r="F81" s="2214"/>
      <c r="G81" s="2214"/>
      <c r="H81" s="2214"/>
      <c r="M81" s="2210">
        <f t="shared" si="20"/>
        <v>0</v>
      </c>
      <c r="N81" s="2210">
        <f t="shared" si="21"/>
        <v>0</v>
      </c>
      <c r="O81" s="2210">
        <f t="shared" si="22"/>
        <v>0</v>
      </c>
      <c r="P81" s="2210">
        <f t="shared" si="23"/>
        <v>0</v>
      </c>
      <c r="Q81" s="2210">
        <f t="shared" si="24"/>
        <v>0</v>
      </c>
      <c r="R81" s="2210">
        <f t="shared" si="25"/>
        <v>0</v>
      </c>
      <c r="S81" s="2210">
        <f t="shared" si="26"/>
        <v>0</v>
      </c>
      <c r="V81" s="2210">
        <f t="shared" si="27"/>
        <v>0</v>
      </c>
      <c r="W81" s="2210">
        <f t="shared" si="28"/>
        <v>0</v>
      </c>
      <c r="X81" s="2210">
        <f t="shared" si="29"/>
        <v>0</v>
      </c>
      <c r="Y81" s="2210">
        <f t="shared" si="19"/>
        <v>0</v>
      </c>
      <c r="Z81" s="2210">
        <f t="shared" si="30"/>
        <v>0</v>
      </c>
      <c r="AA81" s="2210">
        <f t="shared" si="31"/>
        <v>0</v>
      </c>
      <c r="AB81" s="2210">
        <f t="shared" si="32"/>
        <v>0</v>
      </c>
      <c r="AC81" s="2210">
        <f t="shared" si="33"/>
        <v>0</v>
      </c>
      <c r="AG81" s="2210">
        <f t="shared" si="34"/>
        <v>0</v>
      </c>
      <c r="AH81" s="2210">
        <f t="shared" si="35"/>
        <v>0</v>
      </c>
    </row>
    <row r="82" spans="1:34" x14ac:dyDescent="0.4">
      <c r="A82" s="2210">
        <f t="shared" si="36"/>
        <v>80</v>
      </c>
      <c r="B82" s="2214"/>
      <c r="C82" s="2214"/>
      <c r="D82" s="2214"/>
      <c r="E82" s="2214"/>
      <c r="F82" s="2214"/>
      <c r="G82" s="2214"/>
      <c r="H82" s="2214"/>
      <c r="M82" s="2210">
        <f t="shared" si="20"/>
        <v>0</v>
      </c>
      <c r="N82" s="2210">
        <f t="shared" si="21"/>
        <v>0</v>
      </c>
      <c r="O82" s="2210">
        <f t="shared" si="22"/>
        <v>0</v>
      </c>
      <c r="P82" s="2210">
        <f t="shared" si="23"/>
        <v>0</v>
      </c>
      <c r="Q82" s="2210">
        <f t="shared" si="24"/>
        <v>0</v>
      </c>
      <c r="R82" s="2210">
        <f t="shared" si="25"/>
        <v>0</v>
      </c>
      <c r="S82" s="2210">
        <f t="shared" si="26"/>
        <v>0</v>
      </c>
      <c r="V82" s="2210">
        <f t="shared" si="27"/>
        <v>0</v>
      </c>
      <c r="W82" s="2210">
        <f t="shared" si="28"/>
        <v>0</v>
      </c>
      <c r="X82" s="2210">
        <f t="shared" si="29"/>
        <v>0</v>
      </c>
      <c r="Y82" s="2210">
        <f t="shared" si="19"/>
        <v>0</v>
      </c>
      <c r="Z82" s="2210">
        <f t="shared" si="30"/>
        <v>0</v>
      </c>
      <c r="AA82" s="2210">
        <f t="shared" si="31"/>
        <v>0</v>
      </c>
      <c r="AB82" s="2210">
        <f t="shared" si="32"/>
        <v>0</v>
      </c>
      <c r="AC82" s="2210">
        <f t="shared" si="33"/>
        <v>0</v>
      </c>
      <c r="AG82" s="2210">
        <f t="shared" si="34"/>
        <v>0</v>
      </c>
      <c r="AH82" s="2210">
        <f t="shared" si="35"/>
        <v>0</v>
      </c>
    </row>
    <row r="83" spans="1:34" x14ac:dyDescent="0.4">
      <c r="A83" s="2210">
        <f t="shared" si="36"/>
        <v>81</v>
      </c>
      <c r="B83" s="2214"/>
      <c r="C83" s="2214"/>
      <c r="D83" s="2214"/>
      <c r="E83" s="2214"/>
      <c r="F83" s="2214"/>
      <c r="G83" s="2214"/>
      <c r="H83" s="2214"/>
      <c r="M83" s="2210">
        <f t="shared" si="20"/>
        <v>0</v>
      </c>
      <c r="N83" s="2210">
        <f t="shared" si="21"/>
        <v>0</v>
      </c>
      <c r="O83" s="2210">
        <f t="shared" si="22"/>
        <v>0</v>
      </c>
      <c r="P83" s="2210">
        <f t="shared" si="23"/>
        <v>0</v>
      </c>
      <c r="Q83" s="2210">
        <f t="shared" si="24"/>
        <v>0</v>
      </c>
      <c r="R83" s="2210">
        <f t="shared" si="25"/>
        <v>0</v>
      </c>
      <c r="S83" s="2210">
        <f t="shared" si="26"/>
        <v>0</v>
      </c>
      <c r="V83" s="2210">
        <f t="shared" si="27"/>
        <v>0</v>
      </c>
      <c r="W83" s="2210">
        <f t="shared" si="28"/>
        <v>0</v>
      </c>
      <c r="X83" s="2210">
        <f t="shared" si="29"/>
        <v>0</v>
      </c>
      <c r="Y83" s="2210">
        <f t="shared" si="19"/>
        <v>0</v>
      </c>
      <c r="Z83" s="2210">
        <f t="shared" si="30"/>
        <v>0</v>
      </c>
      <c r="AA83" s="2210">
        <f t="shared" si="31"/>
        <v>0</v>
      </c>
      <c r="AB83" s="2210">
        <f t="shared" si="32"/>
        <v>0</v>
      </c>
      <c r="AC83" s="2210">
        <f t="shared" si="33"/>
        <v>0</v>
      </c>
      <c r="AG83" s="2210">
        <f t="shared" si="34"/>
        <v>0</v>
      </c>
      <c r="AH83" s="2210">
        <f t="shared" si="35"/>
        <v>0</v>
      </c>
    </row>
    <row r="84" spans="1:34" x14ac:dyDescent="0.4">
      <c r="A84" s="2210">
        <f t="shared" si="36"/>
        <v>82</v>
      </c>
      <c r="B84" s="2214"/>
      <c r="C84" s="2214"/>
      <c r="D84" s="2214"/>
      <c r="E84" s="2214"/>
      <c r="F84" s="2214"/>
      <c r="G84" s="2214"/>
      <c r="H84" s="2214"/>
      <c r="M84" s="2210">
        <f t="shared" si="20"/>
        <v>0</v>
      </c>
      <c r="N84" s="2210">
        <f t="shared" si="21"/>
        <v>0</v>
      </c>
      <c r="O84" s="2210">
        <f t="shared" si="22"/>
        <v>0</v>
      </c>
      <c r="P84" s="2210">
        <f t="shared" si="23"/>
        <v>0</v>
      </c>
      <c r="Q84" s="2210">
        <f t="shared" si="24"/>
        <v>0</v>
      </c>
      <c r="R84" s="2210">
        <f t="shared" si="25"/>
        <v>0</v>
      </c>
      <c r="S84" s="2210">
        <f t="shared" si="26"/>
        <v>0</v>
      </c>
      <c r="V84" s="2210">
        <f t="shared" si="27"/>
        <v>0</v>
      </c>
      <c r="W84" s="2210">
        <f t="shared" si="28"/>
        <v>0</v>
      </c>
      <c r="X84" s="2210">
        <f t="shared" si="29"/>
        <v>0</v>
      </c>
      <c r="Y84" s="2210">
        <f t="shared" si="19"/>
        <v>0</v>
      </c>
      <c r="Z84" s="2210">
        <f t="shared" si="30"/>
        <v>0</v>
      </c>
      <c r="AA84" s="2210">
        <f t="shared" si="31"/>
        <v>0</v>
      </c>
      <c r="AB84" s="2210">
        <f t="shared" si="32"/>
        <v>0</v>
      </c>
      <c r="AC84" s="2210">
        <f t="shared" si="33"/>
        <v>0</v>
      </c>
      <c r="AG84" s="2210">
        <f t="shared" si="34"/>
        <v>0</v>
      </c>
      <c r="AH84" s="2210">
        <f t="shared" si="35"/>
        <v>0</v>
      </c>
    </row>
    <row r="85" spans="1:34" x14ac:dyDescent="0.4">
      <c r="A85" s="2210">
        <f t="shared" si="36"/>
        <v>83</v>
      </c>
      <c r="B85" s="2214"/>
      <c r="C85" s="2214"/>
      <c r="D85" s="2214"/>
      <c r="E85" s="2214"/>
      <c r="F85" s="2214"/>
      <c r="G85" s="2214"/>
      <c r="H85" s="2214"/>
      <c r="M85" s="2210">
        <f t="shared" si="20"/>
        <v>0</v>
      </c>
      <c r="N85" s="2210">
        <f t="shared" si="21"/>
        <v>0</v>
      </c>
      <c r="O85" s="2210">
        <f t="shared" si="22"/>
        <v>0</v>
      </c>
      <c r="P85" s="2210">
        <f t="shared" si="23"/>
        <v>0</v>
      </c>
      <c r="Q85" s="2210">
        <f t="shared" si="24"/>
        <v>0</v>
      </c>
      <c r="R85" s="2210">
        <f t="shared" si="25"/>
        <v>0</v>
      </c>
      <c r="S85" s="2210">
        <f t="shared" si="26"/>
        <v>0</v>
      </c>
      <c r="V85" s="2210">
        <f t="shared" si="27"/>
        <v>0</v>
      </c>
      <c r="W85" s="2210">
        <f t="shared" si="28"/>
        <v>0</v>
      </c>
      <c r="X85" s="2210">
        <f t="shared" si="29"/>
        <v>0</v>
      </c>
      <c r="Y85" s="2210">
        <f t="shared" si="19"/>
        <v>0</v>
      </c>
      <c r="Z85" s="2210">
        <f t="shared" si="30"/>
        <v>0</v>
      </c>
      <c r="AA85" s="2210">
        <f t="shared" si="31"/>
        <v>0</v>
      </c>
      <c r="AB85" s="2210">
        <f t="shared" si="32"/>
        <v>0</v>
      </c>
      <c r="AC85" s="2210">
        <f t="shared" si="33"/>
        <v>0</v>
      </c>
      <c r="AG85" s="2210">
        <f t="shared" si="34"/>
        <v>0</v>
      </c>
      <c r="AH85" s="2210">
        <f t="shared" si="35"/>
        <v>0</v>
      </c>
    </row>
    <row r="86" spans="1:34" x14ac:dyDescent="0.4">
      <c r="A86" s="2210">
        <f t="shared" si="36"/>
        <v>84</v>
      </c>
      <c r="B86" s="2214"/>
      <c r="C86" s="2214"/>
      <c r="D86" s="2214"/>
      <c r="E86" s="2214"/>
      <c r="F86" s="2214"/>
      <c r="G86" s="2214"/>
      <c r="H86" s="2214"/>
      <c r="M86" s="2210">
        <f t="shared" si="20"/>
        <v>0</v>
      </c>
      <c r="N86" s="2210">
        <f t="shared" si="21"/>
        <v>0</v>
      </c>
      <c r="O86" s="2210">
        <f t="shared" si="22"/>
        <v>0</v>
      </c>
      <c r="P86" s="2210">
        <f t="shared" si="23"/>
        <v>0</v>
      </c>
      <c r="Q86" s="2210">
        <f t="shared" si="24"/>
        <v>0</v>
      </c>
      <c r="R86" s="2210">
        <f t="shared" si="25"/>
        <v>0</v>
      </c>
      <c r="S86" s="2210">
        <f t="shared" si="26"/>
        <v>0</v>
      </c>
      <c r="V86" s="2210">
        <f t="shared" si="27"/>
        <v>0</v>
      </c>
      <c r="W86" s="2210">
        <f t="shared" si="28"/>
        <v>0</v>
      </c>
      <c r="X86" s="2210">
        <f t="shared" si="29"/>
        <v>0</v>
      </c>
      <c r="Y86" s="2210">
        <f t="shared" si="19"/>
        <v>0</v>
      </c>
      <c r="Z86" s="2210">
        <f t="shared" si="30"/>
        <v>0</v>
      </c>
      <c r="AA86" s="2210">
        <f t="shared" si="31"/>
        <v>0</v>
      </c>
      <c r="AB86" s="2210">
        <f t="shared" si="32"/>
        <v>0</v>
      </c>
      <c r="AC86" s="2210">
        <f t="shared" si="33"/>
        <v>0</v>
      </c>
      <c r="AG86" s="2210">
        <f t="shared" si="34"/>
        <v>0</v>
      </c>
      <c r="AH86" s="2210">
        <f t="shared" si="35"/>
        <v>0</v>
      </c>
    </row>
    <row r="87" spans="1:34" x14ac:dyDescent="0.4">
      <c r="A87" s="2210">
        <f t="shared" si="36"/>
        <v>85</v>
      </c>
      <c r="B87" s="2214"/>
      <c r="C87" s="2214"/>
      <c r="D87" s="2214"/>
      <c r="E87" s="2214"/>
      <c r="F87" s="2214"/>
      <c r="G87" s="2214"/>
      <c r="H87" s="2214"/>
      <c r="M87" s="2210">
        <f t="shared" si="20"/>
        <v>0</v>
      </c>
      <c r="N87" s="2210">
        <f t="shared" si="21"/>
        <v>0</v>
      </c>
      <c r="O87" s="2210">
        <f t="shared" si="22"/>
        <v>0</v>
      </c>
      <c r="P87" s="2210">
        <f t="shared" si="23"/>
        <v>0</v>
      </c>
      <c r="Q87" s="2210">
        <f t="shared" si="24"/>
        <v>0</v>
      </c>
      <c r="R87" s="2210">
        <f t="shared" si="25"/>
        <v>0</v>
      </c>
      <c r="S87" s="2210">
        <f t="shared" si="26"/>
        <v>0</v>
      </c>
      <c r="V87" s="2210">
        <f t="shared" si="27"/>
        <v>0</v>
      </c>
      <c r="W87" s="2210">
        <f t="shared" si="28"/>
        <v>0</v>
      </c>
      <c r="X87" s="2210">
        <f t="shared" si="29"/>
        <v>0</v>
      </c>
      <c r="Y87" s="2210">
        <f t="shared" si="19"/>
        <v>0</v>
      </c>
      <c r="Z87" s="2210">
        <f t="shared" si="30"/>
        <v>0</v>
      </c>
      <c r="AA87" s="2210">
        <f t="shared" si="31"/>
        <v>0</v>
      </c>
      <c r="AB87" s="2210">
        <f t="shared" si="32"/>
        <v>0</v>
      </c>
      <c r="AC87" s="2210">
        <f t="shared" si="33"/>
        <v>0</v>
      </c>
      <c r="AG87" s="2210">
        <f t="shared" si="34"/>
        <v>0</v>
      </c>
      <c r="AH87" s="2210">
        <f t="shared" si="35"/>
        <v>0</v>
      </c>
    </row>
    <row r="88" spans="1:34" x14ac:dyDescent="0.4">
      <c r="A88" s="2210">
        <f t="shared" si="36"/>
        <v>86</v>
      </c>
      <c r="B88" s="2214"/>
      <c r="C88" s="2214"/>
      <c r="D88" s="2214"/>
      <c r="E88" s="2214"/>
      <c r="F88" s="2214"/>
      <c r="G88" s="2214"/>
      <c r="H88" s="2214"/>
      <c r="M88" s="2210">
        <f t="shared" si="20"/>
        <v>0</v>
      </c>
      <c r="N88" s="2210">
        <f t="shared" si="21"/>
        <v>0</v>
      </c>
      <c r="O88" s="2210">
        <f t="shared" si="22"/>
        <v>0</v>
      </c>
      <c r="P88" s="2210">
        <f t="shared" si="23"/>
        <v>0</v>
      </c>
      <c r="Q88" s="2210">
        <f t="shared" si="24"/>
        <v>0</v>
      </c>
      <c r="R88" s="2210">
        <f t="shared" si="25"/>
        <v>0</v>
      </c>
      <c r="S88" s="2210">
        <f t="shared" si="26"/>
        <v>0</v>
      </c>
      <c r="V88" s="2210">
        <f t="shared" si="27"/>
        <v>0</v>
      </c>
      <c r="W88" s="2210">
        <f t="shared" si="28"/>
        <v>0</v>
      </c>
      <c r="X88" s="2210">
        <f t="shared" si="29"/>
        <v>0</v>
      </c>
      <c r="Y88" s="2210">
        <f t="shared" si="19"/>
        <v>0</v>
      </c>
      <c r="Z88" s="2210">
        <f t="shared" si="30"/>
        <v>0</v>
      </c>
      <c r="AA88" s="2210">
        <f t="shared" si="31"/>
        <v>0</v>
      </c>
      <c r="AB88" s="2210">
        <f t="shared" si="32"/>
        <v>0</v>
      </c>
      <c r="AC88" s="2210">
        <f t="shared" si="33"/>
        <v>0</v>
      </c>
      <c r="AG88" s="2210">
        <f t="shared" si="34"/>
        <v>0</v>
      </c>
      <c r="AH88" s="2210">
        <f t="shared" si="35"/>
        <v>0</v>
      </c>
    </row>
    <row r="89" spans="1:34" x14ac:dyDescent="0.4">
      <c r="A89" s="2210">
        <f t="shared" si="36"/>
        <v>87</v>
      </c>
      <c r="B89" s="2214"/>
      <c r="C89" s="2214"/>
      <c r="D89" s="2214"/>
      <c r="E89" s="2214"/>
      <c r="F89" s="2214"/>
      <c r="G89" s="2214"/>
      <c r="H89" s="2214"/>
      <c r="M89" s="2210">
        <f t="shared" si="20"/>
        <v>0</v>
      </c>
      <c r="N89" s="2210">
        <f t="shared" si="21"/>
        <v>0</v>
      </c>
      <c r="O89" s="2210">
        <f t="shared" si="22"/>
        <v>0</v>
      </c>
      <c r="P89" s="2210">
        <f t="shared" si="23"/>
        <v>0</v>
      </c>
      <c r="Q89" s="2210">
        <f t="shared" si="24"/>
        <v>0</v>
      </c>
      <c r="R89" s="2210">
        <f t="shared" si="25"/>
        <v>0</v>
      </c>
      <c r="S89" s="2210">
        <f t="shared" si="26"/>
        <v>0</v>
      </c>
      <c r="V89" s="2210">
        <f t="shared" si="27"/>
        <v>0</v>
      </c>
      <c r="W89" s="2210">
        <f t="shared" si="28"/>
        <v>0</v>
      </c>
      <c r="X89" s="2210">
        <f t="shared" si="29"/>
        <v>0</v>
      </c>
      <c r="Y89" s="2210">
        <f t="shared" si="19"/>
        <v>0</v>
      </c>
      <c r="Z89" s="2210">
        <f t="shared" si="30"/>
        <v>0</v>
      </c>
      <c r="AA89" s="2210">
        <f t="shared" si="31"/>
        <v>0</v>
      </c>
      <c r="AB89" s="2210">
        <f t="shared" si="32"/>
        <v>0</v>
      </c>
      <c r="AC89" s="2210">
        <f t="shared" si="33"/>
        <v>0</v>
      </c>
      <c r="AG89" s="2210">
        <f t="shared" si="34"/>
        <v>0</v>
      </c>
      <c r="AH89" s="2210">
        <f t="shared" si="35"/>
        <v>0</v>
      </c>
    </row>
    <row r="90" spans="1:34" x14ac:dyDescent="0.4">
      <c r="A90" s="2210">
        <f t="shared" si="36"/>
        <v>88</v>
      </c>
      <c r="B90" s="2214"/>
      <c r="C90" s="2214"/>
      <c r="D90" s="2214"/>
      <c r="E90" s="2214"/>
      <c r="F90" s="2214"/>
      <c r="G90" s="2214"/>
      <c r="H90" s="2214"/>
      <c r="M90" s="2210">
        <f t="shared" si="20"/>
        <v>0</v>
      </c>
      <c r="N90" s="2210">
        <f t="shared" si="21"/>
        <v>0</v>
      </c>
      <c r="O90" s="2210">
        <f t="shared" si="22"/>
        <v>0</v>
      </c>
      <c r="P90" s="2210">
        <f t="shared" si="23"/>
        <v>0</v>
      </c>
      <c r="Q90" s="2210">
        <f t="shared" si="24"/>
        <v>0</v>
      </c>
      <c r="R90" s="2210">
        <f t="shared" si="25"/>
        <v>0</v>
      </c>
      <c r="S90" s="2210">
        <f t="shared" si="26"/>
        <v>0</v>
      </c>
      <c r="V90" s="2210">
        <f t="shared" si="27"/>
        <v>0</v>
      </c>
      <c r="W90" s="2210">
        <f t="shared" si="28"/>
        <v>0</v>
      </c>
      <c r="X90" s="2210">
        <f t="shared" si="29"/>
        <v>0</v>
      </c>
      <c r="Y90" s="2210">
        <f t="shared" si="19"/>
        <v>0</v>
      </c>
      <c r="Z90" s="2210">
        <f t="shared" si="30"/>
        <v>0</v>
      </c>
      <c r="AA90" s="2210">
        <f t="shared" si="31"/>
        <v>0</v>
      </c>
      <c r="AB90" s="2210">
        <f t="shared" si="32"/>
        <v>0</v>
      </c>
      <c r="AC90" s="2210">
        <f t="shared" si="33"/>
        <v>0</v>
      </c>
      <c r="AG90" s="2210">
        <f t="shared" si="34"/>
        <v>0</v>
      </c>
      <c r="AH90" s="2210">
        <f t="shared" si="35"/>
        <v>0</v>
      </c>
    </row>
    <row r="91" spans="1:34" x14ac:dyDescent="0.4">
      <c r="A91" s="2210">
        <f t="shared" si="36"/>
        <v>89</v>
      </c>
      <c r="B91" s="2214"/>
      <c r="C91" s="2214"/>
      <c r="D91" s="2214"/>
      <c r="E91" s="2214"/>
      <c r="F91" s="2214"/>
      <c r="G91" s="2214"/>
      <c r="H91" s="2214"/>
      <c r="M91" s="2210">
        <f t="shared" si="20"/>
        <v>0</v>
      </c>
      <c r="N91" s="2210">
        <f t="shared" si="21"/>
        <v>0</v>
      </c>
      <c r="O91" s="2210">
        <f t="shared" si="22"/>
        <v>0</v>
      </c>
      <c r="P91" s="2210">
        <f t="shared" si="23"/>
        <v>0</v>
      </c>
      <c r="Q91" s="2210">
        <f t="shared" si="24"/>
        <v>0</v>
      </c>
      <c r="R91" s="2210">
        <f t="shared" si="25"/>
        <v>0</v>
      </c>
      <c r="S91" s="2210">
        <f t="shared" si="26"/>
        <v>0</v>
      </c>
      <c r="V91" s="2210">
        <f t="shared" si="27"/>
        <v>0</v>
      </c>
      <c r="W91" s="2210">
        <f t="shared" si="28"/>
        <v>0</v>
      </c>
      <c r="X91" s="2210">
        <f t="shared" si="29"/>
        <v>0</v>
      </c>
      <c r="Y91" s="2210">
        <f t="shared" si="19"/>
        <v>0</v>
      </c>
      <c r="Z91" s="2210">
        <f t="shared" si="30"/>
        <v>0</v>
      </c>
      <c r="AA91" s="2210">
        <f t="shared" si="31"/>
        <v>0</v>
      </c>
      <c r="AB91" s="2210">
        <f t="shared" si="32"/>
        <v>0</v>
      </c>
      <c r="AC91" s="2210">
        <f t="shared" si="33"/>
        <v>0</v>
      </c>
      <c r="AG91" s="2210">
        <f t="shared" si="34"/>
        <v>0</v>
      </c>
      <c r="AH91" s="2210">
        <f t="shared" si="35"/>
        <v>0</v>
      </c>
    </row>
    <row r="92" spans="1:34" x14ac:dyDescent="0.4">
      <c r="A92" s="2210">
        <f t="shared" si="36"/>
        <v>90</v>
      </c>
      <c r="B92" s="2214"/>
      <c r="C92" s="2214"/>
      <c r="D92" s="2214"/>
      <c r="E92" s="2214"/>
      <c r="F92" s="2214"/>
      <c r="G92" s="2214"/>
      <c r="H92" s="2214"/>
      <c r="M92" s="2210">
        <f t="shared" si="20"/>
        <v>0</v>
      </c>
      <c r="N92" s="2210">
        <f t="shared" si="21"/>
        <v>0</v>
      </c>
      <c r="O92" s="2210">
        <f t="shared" si="22"/>
        <v>0</v>
      </c>
      <c r="P92" s="2210">
        <f t="shared" si="23"/>
        <v>0</v>
      </c>
      <c r="Q92" s="2210">
        <f t="shared" si="24"/>
        <v>0</v>
      </c>
      <c r="R92" s="2210">
        <f t="shared" si="25"/>
        <v>0</v>
      </c>
      <c r="S92" s="2210">
        <f t="shared" si="26"/>
        <v>0</v>
      </c>
      <c r="V92" s="2210">
        <f t="shared" si="27"/>
        <v>0</v>
      </c>
      <c r="W92" s="2210">
        <f t="shared" si="28"/>
        <v>0</v>
      </c>
      <c r="X92" s="2210">
        <f t="shared" si="29"/>
        <v>0</v>
      </c>
      <c r="Y92" s="2210">
        <f t="shared" si="19"/>
        <v>0</v>
      </c>
      <c r="Z92" s="2210">
        <f t="shared" si="30"/>
        <v>0</v>
      </c>
      <c r="AA92" s="2210">
        <f t="shared" si="31"/>
        <v>0</v>
      </c>
      <c r="AB92" s="2210">
        <f t="shared" si="32"/>
        <v>0</v>
      </c>
      <c r="AC92" s="2210">
        <f t="shared" si="33"/>
        <v>0</v>
      </c>
      <c r="AG92" s="2210">
        <f t="shared" si="34"/>
        <v>0</v>
      </c>
      <c r="AH92" s="2210">
        <f t="shared" si="35"/>
        <v>0</v>
      </c>
    </row>
    <row r="93" spans="1:34" x14ac:dyDescent="0.4">
      <c r="A93" s="2210">
        <f t="shared" si="36"/>
        <v>91</v>
      </c>
      <c r="B93" s="2214"/>
      <c r="C93" s="2214"/>
      <c r="D93" s="2214"/>
      <c r="E93" s="2214"/>
      <c r="F93" s="2214"/>
      <c r="G93" s="2214"/>
      <c r="H93" s="2214"/>
      <c r="M93" s="2210">
        <f t="shared" si="20"/>
        <v>0</v>
      </c>
      <c r="N93" s="2210">
        <f t="shared" si="21"/>
        <v>0</v>
      </c>
      <c r="O93" s="2210">
        <f t="shared" si="22"/>
        <v>0</v>
      </c>
      <c r="P93" s="2210">
        <f t="shared" si="23"/>
        <v>0</v>
      </c>
      <c r="Q93" s="2210">
        <f t="shared" si="24"/>
        <v>0</v>
      </c>
      <c r="R93" s="2210">
        <f t="shared" si="25"/>
        <v>0</v>
      </c>
      <c r="S93" s="2210">
        <f t="shared" si="26"/>
        <v>0</v>
      </c>
      <c r="V93" s="2210">
        <f t="shared" si="27"/>
        <v>0</v>
      </c>
      <c r="W93" s="2210">
        <f t="shared" si="28"/>
        <v>0</v>
      </c>
      <c r="X93" s="2210">
        <f t="shared" si="29"/>
        <v>0</v>
      </c>
      <c r="Y93" s="2210">
        <f t="shared" si="19"/>
        <v>0</v>
      </c>
      <c r="Z93" s="2210">
        <f t="shared" si="30"/>
        <v>0</v>
      </c>
      <c r="AA93" s="2210">
        <f t="shared" si="31"/>
        <v>0</v>
      </c>
      <c r="AB93" s="2210">
        <f t="shared" si="32"/>
        <v>0</v>
      </c>
      <c r="AC93" s="2210">
        <f t="shared" si="33"/>
        <v>0</v>
      </c>
      <c r="AG93" s="2210">
        <f t="shared" si="34"/>
        <v>0</v>
      </c>
      <c r="AH93" s="2210">
        <f t="shared" si="35"/>
        <v>0</v>
      </c>
    </row>
    <row r="94" spans="1:34" x14ac:dyDescent="0.4">
      <c r="A94" s="2210">
        <f t="shared" si="36"/>
        <v>92</v>
      </c>
      <c r="B94" s="2214"/>
      <c r="C94" s="2214"/>
      <c r="D94" s="2214"/>
      <c r="E94" s="2214"/>
      <c r="F94" s="2214"/>
      <c r="G94" s="2214"/>
      <c r="H94" s="2214"/>
      <c r="M94" s="2210">
        <f t="shared" si="20"/>
        <v>0</v>
      </c>
      <c r="N94" s="2210">
        <f t="shared" si="21"/>
        <v>0</v>
      </c>
      <c r="O94" s="2210">
        <f t="shared" si="22"/>
        <v>0</v>
      </c>
      <c r="P94" s="2210">
        <f t="shared" si="23"/>
        <v>0</v>
      </c>
      <c r="Q94" s="2210">
        <f t="shared" si="24"/>
        <v>0</v>
      </c>
      <c r="R94" s="2210">
        <f t="shared" si="25"/>
        <v>0</v>
      </c>
      <c r="S94" s="2210">
        <f t="shared" si="26"/>
        <v>0</v>
      </c>
      <c r="V94" s="2210">
        <f t="shared" si="27"/>
        <v>0</v>
      </c>
      <c r="W94" s="2210">
        <f t="shared" si="28"/>
        <v>0</v>
      </c>
      <c r="X94" s="2210">
        <f t="shared" si="29"/>
        <v>0</v>
      </c>
      <c r="Y94" s="2210">
        <f t="shared" si="19"/>
        <v>0</v>
      </c>
      <c r="Z94" s="2210">
        <f t="shared" si="30"/>
        <v>0</v>
      </c>
      <c r="AA94" s="2210">
        <f t="shared" si="31"/>
        <v>0</v>
      </c>
      <c r="AB94" s="2210">
        <f t="shared" si="32"/>
        <v>0</v>
      </c>
      <c r="AC94" s="2210">
        <f t="shared" si="33"/>
        <v>0</v>
      </c>
      <c r="AG94" s="2210">
        <f t="shared" si="34"/>
        <v>0</v>
      </c>
      <c r="AH94" s="2210">
        <f t="shared" si="35"/>
        <v>0</v>
      </c>
    </row>
    <row r="95" spans="1:34" x14ac:dyDescent="0.4">
      <c r="A95" s="2210">
        <f t="shared" si="36"/>
        <v>93</v>
      </c>
      <c r="B95" s="2214"/>
      <c r="C95" s="2214"/>
      <c r="D95" s="2214"/>
      <c r="E95" s="2214"/>
      <c r="F95" s="2214"/>
      <c r="G95" s="2214"/>
      <c r="H95" s="2214"/>
      <c r="M95" s="2210">
        <f t="shared" si="20"/>
        <v>0</v>
      </c>
      <c r="N95" s="2210">
        <f t="shared" si="21"/>
        <v>0</v>
      </c>
      <c r="O95" s="2210">
        <f t="shared" si="22"/>
        <v>0</v>
      </c>
      <c r="P95" s="2210">
        <f t="shared" si="23"/>
        <v>0</v>
      </c>
      <c r="Q95" s="2210">
        <f t="shared" si="24"/>
        <v>0</v>
      </c>
      <c r="R95" s="2210">
        <f t="shared" si="25"/>
        <v>0</v>
      </c>
      <c r="S95" s="2210">
        <f t="shared" si="26"/>
        <v>0</v>
      </c>
      <c r="V95" s="2210">
        <f t="shared" si="27"/>
        <v>0</v>
      </c>
      <c r="W95" s="2210">
        <f t="shared" si="28"/>
        <v>0</v>
      </c>
      <c r="X95" s="2210">
        <f t="shared" si="29"/>
        <v>0</v>
      </c>
      <c r="Y95" s="2210">
        <f t="shared" si="19"/>
        <v>0</v>
      </c>
      <c r="Z95" s="2210">
        <f t="shared" si="30"/>
        <v>0</v>
      </c>
      <c r="AA95" s="2210">
        <f t="shared" si="31"/>
        <v>0</v>
      </c>
      <c r="AB95" s="2210">
        <f t="shared" si="32"/>
        <v>0</v>
      </c>
      <c r="AC95" s="2210">
        <f t="shared" si="33"/>
        <v>0</v>
      </c>
      <c r="AG95" s="2210">
        <f t="shared" si="34"/>
        <v>0</v>
      </c>
      <c r="AH95" s="2210">
        <f t="shared" si="35"/>
        <v>0</v>
      </c>
    </row>
    <row r="96" spans="1:34" x14ac:dyDescent="0.4">
      <c r="A96" s="2210">
        <f t="shared" si="36"/>
        <v>94</v>
      </c>
      <c r="B96" s="2214"/>
      <c r="C96" s="2214"/>
      <c r="D96" s="2214"/>
      <c r="E96" s="2214"/>
      <c r="F96" s="2214"/>
      <c r="G96" s="2214"/>
      <c r="H96" s="2214"/>
      <c r="M96" s="2210">
        <f t="shared" si="20"/>
        <v>0</v>
      </c>
      <c r="N96" s="2210">
        <f t="shared" si="21"/>
        <v>0</v>
      </c>
      <c r="O96" s="2210">
        <f t="shared" si="22"/>
        <v>0</v>
      </c>
      <c r="P96" s="2210">
        <f t="shared" si="23"/>
        <v>0</v>
      </c>
      <c r="Q96" s="2210">
        <f t="shared" si="24"/>
        <v>0</v>
      </c>
      <c r="R96" s="2210">
        <f t="shared" si="25"/>
        <v>0</v>
      </c>
      <c r="S96" s="2210">
        <f t="shared" si="26"/>
        <v>0</v>
      </c>
      <c r="V96" s="2210">
        <f t="shared" si="27"/>
        <v>0</v>
      </c>
      <c r="W96" s="2210">
        <f t="shared" si="28"/>
        <v>0</v>
      </c>
      <c r="X96" s="2210">
        <f t="shared" si="29"/>
        <v>0</v>
      </c>
      <c r="Y96" s="2210">
        <f t="shared" si="19"/>
        <v>0</v>
      </c>
      <c r="Z96" s="2210">
        <f t="shared" si="30"/>
        <v>0</v>
      </c>
      <c r="AA96" s="2210">
        <f t="shared" si="31"/>
        <v>0</v>
      </c>
      <c r="AB96" s="2210">
        <f t="shared" si="32"/>
        <v>0</v>
      </c>
      <c r="AC96" s="2210">
        <f t="shared" si="33"/>
        <v>0</v>
      </c>
      <c r="AG96" s="2210">
        <f t="shared" si="34"/>
        <v>0</v>
      </c>
      <c r="AH96" s="2210">
        <f t="shared" si="35"/>
        <v>0</v>
      </c>
    </row>
    <row r="97" spans="1:34" x14ac:dyDescent="0.4">
      <c r="A97" s="2210">
        <f t="shared" si="36"/>
        <v>95</v>
      </c>
      <c r="B97" s="2214"/>
      <c r="C97" s="2214"/>
      <c r="D97" s="2214"/>
      <c r="E97" s="2214"/>
      <c r="F97" s="2214"/>
      <c r="G97" s="2214"/>
      <c r="H97" s="2214"/>
      <c r="M97" s="2210">
        <f t="shared" si="20"/>
        <v>0</v>
      </c>
      <c r="N97" s="2210">
        <f t="shared" si="21"/>
        <v>0</v>
      </c>
      <c r="O97" s="2210">
        <f t="shared" si="22"/>
        <v>0</v>
      </c>
      <c r="P97" s="2210">
        <f t="shared" si="23"/>
        <v>0</v>
      </c>
      <c r="Q97" s="2210">
        <f t="shared" si="24"/>
        <v>0</v>
      </c>
      <c r="R97" s="2210">
        <f t="shared" si="25"/>
        <v>0</v>
      </c>
      <c r="S97" s="2210">
        <f t="shared" si="26"/>
        <v>0</v>
      </c>
      <c r="V97" s="2210">
        <f t="shared" si="27"/>
        <v>0</v>
      </c>
      <c r="W97" s="2210">
        <f t="shared" si="28"/>
        <v>0</v>
      </c>
      <c r="X97" s="2210">
        <f t="shared" si="29"/>
        <v>0</v>
      </c>
      <c r="Y97" s="2210">
        <f t="shared" si="19"/>
        <v>0</v>
      </c>
      <c r="Z97" s="2210">
        <f t="shared" si="30"/>
        <v>0</v>
      </c>
      <c r="AA97" s="2210">
        <f t="shared" si="31"/>
        <v>0</v>
      </c>
      <c r="AB97" s="2210">
        <f t="shared" si="32"/>
        <v>0</v>
      </c>
      <c r="AC97" s="2210">
        <f t="shared" si="33"/>
        <v>0</v>
      </c>
      <c r="AG97" s="2210">
        <f t="shared" si="34"/>
        <v>0</v>
      </c>
      <c r="AH97" s="2210">
        <f t="shared" si="35"/>
        <v>0</v>
      </c>
    </row>
    <row r="98" spans="1:34" x14ac:dyDescent="0.4">
      <c r="A98" s="2210">
        <f t="shared" si="36"/>
        <v>96</v>
      </c>
      <c r="B98" s="2214"/>
      <c r="C98" s="2214"/>
      <c r="D98" s="2214"/>
      <c r="E98" s="2214"/>
      <c r="F98" s="2214"/>
      <c r="G98" s="2214"/>
      <c r="H98" s="2214"/>
      <c r="M98" s="2210">
        <f t="shared" si="20"/>
        <v>0</v>
      </c>
      <c r="N98" s="2210">
        <f t="shared" si="21"/>
        <v>0</v>
      </c>
      <c r="O98" s="2210">
        <f t="shared" si="22"/>
        <v>0</v>
      </c>
      <c r="P98" s="2210">
        <f t="shared" si="23"/>
        <v>0</v>
      </c>
      <c r="Q98" s="2210">
        <f t="shared" si="24"/>
        <v>0</v>
      </c>
      <c r="R98" s="2210">
        <f t="shared" si="25"/>
        <v>0</v>
      </c>
      <c r="S98" s="2210">
        <f t="shared" si="26"/>
        <v>0</v>
      </c>
      <c r="V98" s="2210">
        <f t="shared" si="27"/>
        <v>0</v>
      </c>
      <c r="W98" s="2210">
        <f t="shared" si="28"/>
        <v>0</v>
      </c>
      <c r="X98" s="2210">
        <f t="shared" si="29"/>
        <v>0</v>
      </c>
      <c r="Y98" s="2210">
        <f t="shared" si="19"/>
        <v>0</v>
      </c>
      <c r="Z98" s="2210">
        <f t="shared" si="30"/>
        <v>0</v>
      </c>
      <c r="AA98" s="2210">
        <f t="shared" si="31"/>
        <v>0</v>
      </c>
      <c r="AB98" s="2210">
        <f t="shared" si="32"/>
        <v>0</v>
      </c>
      <c r="AC98" s="2210">
        <f t="shared" si="33"/>
        <v>0</v>
      </c>
      <c r="AG98" s="2210">
        <f t="shared" si="34"/>
        <v>0</v>
      </c>
      <c r="AH98" s="2210">
        <f t="shared" si="35"/>
        <v>0</v>
      </c>
    </row>
    <row r="99" spans="1:34" x14ac:dyDescent="0.4">
      <c r="A99" s="2210">
        <f t="shared" si="36"/>
        <v>97</v>
      </c>
      <c r="B99" s="2214"/>
      <c r="C99" s="2214"/>
      <c r="D99" s="2214"/>
      <c r="E99" s="2214"/>
      <c r="F99" s="2214"/>
      <c r="G99" s="2214"/>
      <c r="H99" s="2214"/>
      <c r="M99" s="2210">
        <f t="shared" si="20"/>
        <v>0</v>
      </c>
      <c r="N99" s="2210">
        <f t="shared" si="21"/>
        <v>0</v>
      </c>
      <c r="O99" s="2210">
        <f t="shared" si="22"/>
        <v>0</v>
      </c>
      <c r="P99" s="2210">
        <f t="shared" si="23"/>
        <v>0</v>
      </c>
      <c r="Q99" s="2210">
        <f t="shared" si="24"/>
        <v>0</v>
      </c>
      <c r="R99" s="2210">
        <f t="shared" si="25"/>
        <v>0</v>
      </c>
      <c r="S99" s="2210">
        <f t="shared" si="26"/>
        <v>0</v>
      </c>
      <c r="V99" s="2210">
        <f t="shared" si="27"/>
        <v>0</v>
      </c>
      <c r="W99" s="2210">
        <f t="shared" si="28"/>
        <v>0</v>
      </c>
      <c r="X99" s="2210">
        <f t="shared" si="29"/>
        <v>0</v>
      </c>
      <c r="Y99" s="2210">
        <f t="shared" si="19"/>
        <v>0</v>
      </c>
      <c r="Z99" s="2210">
        <f t="shared" si="30"/>
        <v>0</v>
      </c>
      <c r="AA99" s="2210">
        <f t="shared" si="31"/>
        <v>0</v>
      </c>
      <c r="AB99" s="2210">
        <f t="shared" si="32"/>
        <v>0</v>
      </c>
      <c r="AC99" s="2210">
        <f t="shared" si="33"/>
        <v>0</v>
      </c>
      <c r="AG99" s="2210">
        <f t="shared" si="34"/>
        <v>0</v>
      </c>
      <c r="AH99" s="2210">
        <f t="shared" si="35"/>
        <v>0</v>
      </c>
    </row>
    <row r="100" spans="1:34" x14ac:dyDescent="0.4">
      <c r="A100" s="2210">
        <f t="shared" si="36"/>
        <v>98</v>
      </c>
      <c r="B100" s="2214"/>
      <c r="C100" s="2214"/>
      <c r="D100" s="2214"/>
      <c r="E100" s="2214"/>
      <c r="F100" s="2214"/>
      <c r="G100" s="2214"/>
      <c r="H100" s="2214"/>
      <c r="M100" s="2210">
        <f t="shared" si="20"/>
        <v>0</v>
      </c>
      <c r="N100" s="2210">
        <f t="shared" si="21"/>
        <v>0</v>
      </c>
      <c r="O100" s="2210">
        <f t="shared" si="22"/>
        <v>0</v>
      </c>
      <c r="P100" s="2210">
        <f t="shared" si="23"/>
        <v>0</v>
      </c>
      <c r="Q100" s="2210">
        <f t="shared" si="24"/>
        <v>0</v>
      </c>
      <c r="R100" s="2210">
        <f t="shared" si="25"/>
        <v>0</v>
      </c>
      <c r="S100" s="2210">
        <f t="shared" si="26"/>
        <v>0</v>
      </c>
      <c r="V100" s="2210">
        <f t="shared" si="27"/>
        <v>0</v>
      </c>
      <c r="W100" s="2210">
        <f t="shared" si="28"/>
        <v>0</v>
      </c>
      <c r="X100" s="2210">
        <f t="shared" si="29"/>
        <v>0</v>
      </c>
      <c r="Y100" s="2210">
        <f t="shared" si="19"/>
        <v>0</v>
      </c>
      <c r="Z100" s="2210">
        <f t="shared" si="30"/>
        <v>0</v>
      </c>
      <c r="AA100" s="2210">
        <f t="shared" si="31"/>
        <v>0</v>
      </c>
      <c r="AB100" s="2210">
        <f t="shared" si="32"/>
        <v>0</v>
      </c>
      <c r="AC100" s="2210">
        <f t="shared" si="33"/>
        <v>0</v>
      </c>
      <c r="AG100" s="2210">
        <f t="shared" si="34"/>
        <v>0</v>
      </c>
      <c r="AH100" s="2210">
        <f t="shared" si="35"/>
        <v>0</v>
      </c>
    </row>
    <row r="101" spans="1:34" x14ac:dyDescent="0.4">
      <c r="A101" s="2210">
        <f t="shared" si="36"/>
        <v>99</v>
      </c>
      <c r="B101" s="2214"/>
      <c r="C101" s="2214"/>
      <c r="D101" s="2214"/>
      <c r="E101" s="2214"/>
      <c r="F101" s="2214"/>
      <c r="G101" s="2214"/>
      <c r="H101" s="2214"/>
      <c r="M101" s="2210">
        <f t="shared" si="20"/>
        <v>0</v>
      </c>
      <c r="N101" s="2210">
        <f t="shared" si="21"/>
        <v>0</v>
      </c>
      <c r="O101" s="2210">
        <f t="shared" si="22"/>
        <v>0</v>
      </c>
      <c r="P101" s="2210">
        <f t="shared" si="23"/>
        <v>0</v>
      </c>
      <c r="Q101" s="2210">
        <f t="shared" si="24"/>
        <v>0</v>
      </c>
      <c r="R101" s="2210">
        <f t="shared" si="25"/>
        <v>0</v>
      </c>
      <c r="S101" s="2210">
        <f t="shared" si="26"/>
        <v>0</v>
      </c>
      <c r="V101" s="2210">
        <f t="shared" si="27"/>
        <v>0</v>
      </c>
      <c r="W101" s="2210">
        <f t="shared" si="28"/>
        <v>0</v>
      </c>
      <c r="X101" s="2210">
        <f t="shared" si="29"/>
        <v>0</v>
      </c>
      <c r="Y101" s="2210">
        <f t="shared" si="19"/>
        <v>0</v>
      </c>
      <c r="Z101" s="2210">
        <f t="shared" si="30"/>
        <v>0</v>
      </c>
      <c r="AA101" s="2210">
        <f t="shared" si="31"/>
        <v>0</v>
      </c>
      <c r="AB101" s="2210">
        <f t="shared" si="32"/>
        <v>0</v>
      </c>
      <c r="AC101" s="2210">
        <f t="shared" si="33"/>
        <v>0</v>
      </c>
      <c r="AG101" s="2210">
        <f t="shared" si="34"/>
        <v>0</v>
      </c>
      <c r="AH101" s="2210">
        <f t="shared" si="35"/>
        <v>0</v>
      </c>
    </row>
    <row r="102" spans="1:34" x14ac:dyDescent="0.4">
      <c r="A102" s="2210">
        <f t="shared" si="36"/>
        <v>100</v>
      </c>
      <c r="B102" s="2214"/>
      <c r="C102" s="2214"/>
      <c r="D102" s="2214"/>
      <c r="E102" s="2214"/>
      <c r="F102" s="2214"/>
      <c r="G102" s="2214"/>
      <c r="H102" s="2214"/>
      <c r="M102" s="2210">
        <f t="shared" si="20"/>
        <v>0</v>
      </c>
      <c r="N102" s="2210">
        <f t="shared" si="21"/>
        <v>0</v>
      </c>
      <c r="O102" s="2210">
        <f t="shared" si="22"/>
        <v>0</v>
      </c>
      <c r="P102" s="2210">
        <f t="shared" si="23"/>
        <v>0</v>
      </c>
      <c r="Q102" s="2210">
        <f t="shared" si="24"/>
        <v>0</v>
      </c>
      <c r="R102" s="2210">
        <f t="shared" si="25"/>
        <v>0</v>
      </c>
      <c r="S102" s="2210">
        <f t="shared" si="26"/>
        <v>0</v>
      </c>
      <c r="V102" s="2210">
        <f t="shared" si="27"/>
        <v>0</v>
      </c>
      <c r="W102" s="2210">
        <f t="shared" si="28"/>
        <v>0</v>
      </c>
      <c r="X102" s="2210">
        <f t="shared" si="29"/>
        <v>0</v>
      </c>
      <c r="Y102" s="2210">
        <f t="shared" si="19"/>
        <v>0</v>
      </c>
      <c r="Z102" s="2210">
        <f t="shared" si="30"/>
        <v>0</v>
      </c>
      <c r="AA102" s="2210">
        <f t="shared" si="31"/>
        <v>0</v>
      </c>
      <c r="AB102" s="2210">
        <f t="shared" si="32"/>
        <v>0</v>
      </c>
      <c r="AC102" s="2210">
        <f t="shared" si="33"/>
        <v>0</v>
      </c>
      <c r="AG102" s="2210">
        <f t="shared" si="34"/>
        <v>0</v>
      </c>
      <c r="AH102" s="2210">
        <f t="shared" si="35"/>
        <v>0</v>
      </c>
    </row>
    <row r="103" spans="1:34" x14ac:dyDescent="0.4">
      <c r="A103" s="2210">
        <f t="shared" si="36"/>
        <v>101</v>
      </c>
      <c r="B103" s="2214"/>
      <c r="C103" s="2214"/>
      <c r="D103" s="2214"/>
      <c r="E103" s="2214"/>
      <c r="F103" s="2214"/>
      <c r="G103" s="2214"/>
      <c r="H103" s="2214"/>
      <c r="M103" s="2210">
        <f t="shared" si="20"/>
        <v>0</v>
      </c>
      <c r="N103" s="2210">
        <f t="shared" si="21"/>
        <v>0</v>
      </c>
      <c r="O103" s="2210">
        <f t="shared" si="22"/>
        <v>0</v>
      </c>
      <c r="P103" s="2210">
        <f t="shared" si="23"/>
        <v>0</v>
      </c>
      <c r="Q103" s="2210">
        <f t="shared" si="24"/>
        <v>0</v>
      </c>
      <c r="R103" s="2210">
        <f t="shared" si="25"/>
        <v>0</v>
      </c>
      <c r="S103" s="2210">
        <f t="shared" si="26"/>
        <v>0</v>
      </c>
      <c r="V103" s="2210">
        <f t="shared" si="27"/>
        <v>0</v>
      </c>
      <c r="W103" s="2210">
        <f t="shared" si="28"/>
        <v>0</v>
      </c>
      <c r="X103" s="2210">
        <f t="shared" si="29"/>
        <v>0</v>
      </c>
      <c r="Y103" s="2210">
        <f t="shared" si="19"/>
        <v>0</v>
      </c>
      <c r="Z103" s="2210">
        <f t="shared" si="30"/>
        <v>0</v>
      </c>
      <c r="AA103" s="2210">
        <f t="shared" si="31"/>
        <v>0</v>
      </c>
      <c r="AB103" s="2210">
        <f t="shared" si="32"/>
        <v>0</v>
      </c>
      <c r="AC103" s="2210">
        <f t="shared" si="33"/>
        <v>0</v>
      </c>
      <c r="AG103" s="2210">
        <f t="shared" si="34"/>
        <v>0</v>
      </c>
      <c r="AH103" s="2210">
        <f t="shared" si="35"/>
        <v>0</v>
      </c>
    </row>
    <row r="104" spans="1:34" x14ac:dyDescent="0.4">
      <c r="A104" s="2210">
        <f t="shared" si="36"/>
        <v>102</v>
      </c>
      <c r="B104" s="2214"/>
      <c r="C104" s="2214"/>
      <c r="D104" s="2214"/>
      <c r="E104" s="2214"/>
      <c r="F104" s="2214"/>
      <c r="G104" s="2214"/>
      <c r="H104" s="2214"/>
      <c r="M104" s="2210">
        <f t="shared" si="20"/>
        <v>0</v>
      </c>
      <c r="N104" s="2210">
        <f t="shared" si="21"/>
        <v>0</v>
      </c>
      <c r="O104" s="2210">
        <f t="shared" si="22"/>
        <v>0</v>
      </c>
      <c r="P104" s="2210">
        <f t="shared" si="23"/>
        <v>0</v>
      </c>
      <c r="Q104" s="2210">
        <f t="shared" si="24"/>
        <v>0</v>
      </c>
      <c r="R104" s="2210">
        <f t="shared" si="25"/>
        <v>0</v>
      </c>
      <c r="S104" s="2210">
        <f t="shared" si="26"/>
        <v>0</v>
      </c>
      <c r="V104" s="2210">
        <f t="shared" si="27"/>
        <v>0</v>
      </c>
      <c r="W104" s="2210">
        <f t="shared" si="28"/>
        <v>0</v>
      </c>
      <c r="X104" s="2210">
        <f t="shared" si="29"/>
        <v>0</v>
      </c>
      <c r="Y104" s="2210">
        <f t="shared" si="19"/>
        <v>0</v>
      </c>
      <c r="Z104" s="2210">
        <f t="shared" si="30"/>
        <v>0</v>
      </c>
      <c r="AA104" s="2210">
        <f t="shared" si="31"/>
        <v>0</v>
      </c>
      <c r="AB104" s="2210">
        <f t="shared" si="32"/>
        <v>0</v>
      </c>
      <c r="AC104" s="2210">
        <f t="shared" si="33"/>
        <v>0</v>
      </c>
      <c r="AG104" s="2210">
        <f t="shared" si="34"/>
        <v>0</v>
      </c>
      <c r="AH104" s="2210">
        <f t="shared" si="35"/>
        <v>0</v>
      </c>
    </row>
    <row r="105" spans="1:34" x14ac:dyDescent="0.4">
      <c r="A105" s="2210">
        <f t="shared" si="36"/>
        <v>103</v>
      </c>
      <c r="B105" s="2214"/>
      <c r="C105" s="2214"/>
      <c r="D105" s="2214"/>
      <c r="E105" s="2214"/>
      <c r="F105" s="2214"/>
      <c r="G105" s="2214"/>
      <c r="H105" s="2214"/>
      <c r="M105" s="2210">
        <f t="shared" si="20"/>
        <v>0</v>
      </c>
      <c r="N105" s="2210">
        <f t="shared" si="21"/>
        <v>0</v>
      </c>
      <c r="O105" s="2210">
        <f t="shared" si="22"/>
        <v>0</v>
      </c>
      <c r="P105" s="2210">
        <f t="shared" si="23"/>
        <v>0</v>
      </c>
      <c r="Q105" s="2210">
        <f t="shared" si="24"/>
        <v>0</v>
      </c>
      <c r="R105" s="2210">
        <f t="shared" si="25"/>
        <v>0</v>
      </c>
      <c r="S105" s="2210">
        <f t="shared" si="26"/>
        <v>0</v>
      </c>
      <c r="V105" s="2210">
        <f t="shared" si="27"/>
        <v>0</v>
      </c>
      <c r="W105" s="2210">
        <f t="shared" si="28"/>
        <v>0</v>
      </c>
      <c r="X105" s="2210">
        <f t="shared" si="29"/>
        <v>0</v>
      </c>
      <c r="Y105" s="2210">
        <f t="shared" si="19"/>
        <v>0</v>
      </c>
      <c r="Z105" s="2210">
        <f t="shared" si="30"/>
        <v>0</v>
      </c>
      <c r="AA105" s="2210">
        <f t="shared" si="31"/>
        <v>0</v>
      </c>
      <c r="AB105" s="2210">
        <f t="shared" si="32"/>
        <v>0</v>
      </c>
      <c r="AC105" s="2210">
        <f t="shared" si="33"/>
        <v>0</v>
      </c>
      <c r="AG105" s="2210">
        <f t="shared" si="34"/>
        <v>0</v>
      </c>
      <c r="AH105" s="2210">
        <f t="shared" si="35"/>
        <v>0</v>
      </c>
    </row>
    <row r="106" spans="1:34" x14ac:dyDescent="0.4">
      <c r="A106" s="2210">
        <f t="shared" si="36"/>
        <v>104</v>
      </c>
      <c r="B106" s="2214"/>
      <c r="C106" s="2214"/>
      <c r="D106" s="2214"/>
      <c r="E106" s="2214"/>
      <c r="F106" s="2214"/>
      <c r="G106" s="2214"/>
      <c r="H106" s="2214"/>
      <c r="M106" s="2210">
        <f t="shared" si="20"/>
        <v>0</v>
      </c>
      <c r="N106" s="2210">
        <f t="shared" si="21"/>
        <v>0</v>
      </c>
      <c r="O106" s="2210">
        <f t="shared" si="22"/>
        <v>0</v>
      </c>
      <c r="P106" s="2210">
        <f t="shared" si="23"/>
        <v>0</v>
      </c>
      <c r="Q106" s="2210">
        <f t="shared" si="24"/>
        <v>0</v>
      </c>
      <c r="R106" s="2210">
        <f t="shared" si="25"/>
        <v>0</v>
      </c>
      <c r="S106" s="2210">
        <f t="shared" si="26"/>
        <v>0</v>
      </c>
      <c r="V106" s="2210">
        <f t="shared" si="27"/>
        <v>0</v>
      </c>
      <c r="W106" s="2210">
        <f t="shared" si="28"/>
        <v>0</v>
      </c>
      <c r="X106" s="2210">
        <f t="shared" si="29"/>
        <v>0</v>
      </c>
      <c r="Y106" s="2210">
        <f t="shared" si="19"/>
        <v>0</v>
      </c>
      <c r="Z106" s="2210">
        <f t="shared" si="30"/>
        <v>0</v>
      </c>
      <c r="AA106" s="2210">
        <f t="shared" si="31"/>
        <v>0</v>
      </c>
      <c r="AB106" s="2210">
        <f t="shared" si="32"/>
        <v>0</v>
      </c>
      <c r="AC106" s="2210">
        <f t="shared" si="33"/>
        <v>0</v>
      </c>
      <c r="AG106" s="2210">
        <f t="shared" si="34"/>
        <v>0</v>
      </c>
      <c r="AH106" s="2210">
        <f t="shared" si="35"/>
        <v>0</v>
      </c>
    </row>
    <row r="107" spans="1:34" x14ac:dyDescent="0.4">
      <c r="A107" s="2210">
        <f t="shared" si="36"/>
        <v>105</v>
      </c>
      <c r="B107" s="2214"/>
      <c r="C107" s="2214"/>
      <c r="D107" s="2214"/>
      <c r="E107" s="2214"/>
      <c r="F107" s="2214"/>
      <c r="G107" s="2214"/>
      <c r="H107" s="2214"/>
      <c r="M107" s="2210">
        <f t="shared" si="20"/>
        <v>0</v>
      </c>
      <c r="N107" s="2210">
        <f t="shared" si="21"/>
        <v>0</v>
      </c>
      <c r="O107" s="2210">
        <f t="shared" si="22"/>
        <v>0</v>
      </c>
      <c r="P107" s="2210">
        <f t="shared" si="23"/>
        <v>0</v>
      </c>
      <c r="Q107" s="2210">
        <f t="shared" si="24"/>
        <v>0</v>
      </c>
      <c r="R107" s="2210">
        <f t="shared" si="25"/>
        <v>0</v>
      </c>
      <c r="S107" s="2210">
        <f t="shared" si="26"/>
        <v>0</v>
      </c>
      <c r="V107" s="2210">
        <f t="shared" si="27"/>
        <v>0</v>
      </c>
      <c r="W107" s="2210">
        <f t="shared" si="28"/>
        <v>0</v>
      </c>
      <c r="X107" s="2210">
        <f t="shared" si="29"/>
        <v>0</v>
      </c>
      <c r="Y107" s="2210">
        <f t="shared" si="19"/>
        <v>0</v>
      </c>
      <c r="Z107" s="2210">
        <f t="shared" si="30"/>
        <v>0</v>
      </c>
      <c r="AA107" s="2210">
        <f t="shared" si="31"/>
        <v>0</v>
      </c>
      <c r="AB107" s="2210">
        <f t="shared" si="32"/>
        <v>0</v>
      </c>
      <c r="AC107" s="2210">
        <f t="shared" si="33"/>
        <v>0</v>
      </c>
      <c r="AG107" s="2210">
        <f t="shared" si="34"/>
        <v>0</v>
      </c>
      <c r="AH107" s="2210">
        <f t="shared" si="35"/>
        <v>0</v>
      </c>
    </row>
    <row r="108" spans="1:34" x14ac:dyDescent="0.4">
      <c r="A108" s="2210">
        <f t="shared" si="36"/>
        <v>106</v>
      </c>
      <c r="B108" s="2214"/>
      <c r="C108" s="2214"/>
      <c r="D108" s="2214"/>
      <c r="E108" s="2214"/>
      <c r="F108" s="2214"/>
      <c r="G108" s="2214"/>
      <c r="H108" s="2214"/>
      <c r="M108" s="2210">
        <f t="shared" si="20"/>
        <v>0</v>
      </c>
      <c r="N108" s="2210">
        <f t="shared" si="21"/>
        <v>0</v>
      </c>
      <c r="O108" s="2210">
        <f t="shared" si="22"/>
        <v>0</v>
      </c>
      <c r="P108" s="2210">
        <f t="shared" si="23"/>
        <v>0</v>
      </c>
      <c r="Q108" s="2210">
        <f t="shared" si="24"/>
        <v>0</v>
      </c>
      <c r="R108" s="2210">
        <f t="shared" si="25"/>
        <v>0</v>
      </c>
      <c r="S108" s="2210">
        <f t="shared" si="26"/>
        <v>0</v>
      </c>
      <c r="V108" s="2210">
        <f t="shared" si="27"/>
        <v>0</v>
      </c>
      <c r="W108" s="2210">
        <f t="shared" si="28"/>
        <v>0</v>
      </c>
      <c r="X108" s="2210">
        <f t="shared" si="29"/>
        <v>0</v>
      </c>
      <c r="Y108" s="2210">
        <f t="shared" si="19"/>
        <v>0</v>
      </c>
      <c r="Z108" s="2210">
        <f t="shared" si="30"/>
        <v>0</v>
      </c>
      <c r="AA108" s="2210">
        <f t="shared" si="31"/>
        <v>0</v>
      </c>
      <c r="AB108" s="2210">
        <f t="shared" si="32"/>
        <v>0</v>
      </c>
      <c r="AC108" s="2210">
        <f t="shared" si="33"/>
        <v>0</v>
      </c>
      <c r="AG108" s="2210">
        <f t="shared" si="34"/>
        <v>0</v>
      </c>
      <c r="AH108" s="2210">
        <f t="shared" si="35"/>
        <v>0</v>
      </c>
    </row>
    <row r="109" spans="1:34" x14ac:dyDescent="0.4">
      <c r="A109" s="2210">
        <f t="shared" si="36"/>
        <v>107</v>
      </c>
      <c r="B109" s="2214"/>
      <c r="C109" s="2214"/>
      <c r="D109" s="2214"/>
      <c r="E109" s="2214"/>
      <c r="F109" s="2214"/>
      <c r="G109" s="2214"/>
      <c r="H109" s="2214"/>
      <c r="M109" s="2210">
        <f t="shared" si="20"/>
        <v>0</v>
      </c>
      <c r="N109" s="2210">
        <f t="shared" si="21"/>
        <v>0</v>
      </c>
      <c r="O109" s="2210">
        <f t="shared" si="22"/>
        <v>0</v>
      </c>
      <c r="P109" s="2210">
        <f t="shared" si="23"/>
        <v>0</v>
      </c>
      <c r="Q109" s="2210">
        <f t="shared" si="24"/>
        <v>0</v>
      </c>
      <c r="R109" s="2210">
        <f t="shared" si="25"/>
        <v>0</v>
      </c>
      <c r="S109" s="2210">
        <f t="shared" si="26"/>
        <v>0</v>
      </c>
      <c r="V109" s="2210">
        <f t="shared" si="27"/>
        <v>0</v>
      </c>
      <c r="W109" s="2210">
        <f t="shared" si="28"/>
        <v>0</v>
      </c>
      <c r="X109" s="2210">
        <f t="shared" si="29"/>
        <v>0</v>
      </c>
      <c r="Y109" s="2210">
        <f t="shared" si="19"/>
        <v>0</v>
      </c>
      <c r="Z109" s="2210">
        <f t="shared" si="30"/>
        <v>0</v>
      </c>
      <c r="AA109" s="2210">
        <f t="shared" si="31"/>
        <v>0</v>
      </c>
      <c r="AB109" s="2210">
        <f t="shared" si="32"/>
        <v>0</v>
      </c>
      <c r="AC109" s="2210">
        <f t="shared" si="33"/>
        <v>0</v>
      </c>
      <c r="AG109" s="2210">
        <f t="shared" si="34"/>
        <v>0</v>
      </c>
      <c r="AH109" s="2210">
        <f t="shared" si="35"/>
        <v>0</v>
      </c>
    </row>
    <row r="110" spans="1:34" x14ac:dyDescent="0.4">
      <c r="A110" s="2210">
        <f t="shared" si="36"/>
        <v>108</v>
      </c>
      <c r="B110" s="2214"/>
      <c r="C110" s="2214"/>
      <c r="D110" s="2214"/>
      <c r="E110" s="2214"/>
      <c r="F110" s="2214"/>
      <c r="G110" s="2214"/>
      <c r="H110" s="2214"/>
      <c r="M110" s="2210">
        <f t="shared" si="20"/>
        <v>0</v>
      </c>
      <c r="N110" s="2210">
        <f t="shared" si="21"/>
        <v>0</v>
      </c>
      <c r="O110" s="2210">
        <f t="shared" si="22"/>
        <v>0</v>
      </c>
      <c r="P110" s="2210">
        <f t="shared" si="23"/>
        <v>0</v>
      </c>
      <c r="Q110" s="2210">
        <f t="shared" si="24"/>
        <v>0</v>
      </c>
      <c r="R110" s="2210">
        <f t="shared" si="25"/>
        <v>0</v>
      </c>
      <c r="S110" s="2210">
        <f t="shared" si="26"/>
        <v>0</v>
      </c>
      <c r="V110" s="2210">
        <f t="shared" si="27"/>
        <v>0</v>
      </c>
      <c r="W110" s="2210">
        <f t="shared" si="28"/>
        <v>0</v>
      </c>
      <c r="X110" s="2210">
        <f t="shared" si="29"/>
        <v>0</v>
      </c>
      <c r="Y110" s="2210">
        <f t="shared" si="19"/>
        <v>0</v>
      </c>
      <c r="Z110" s="2210">
        <f t="shared" si="30"/>
        <v>0</v>
      </c>
      <c r="AA110" s="2210">
        <f t="shared" si="31"/>
        <v>0</v>
      </c>
      <c r="AB110" s="2210">
        <f t="shared" si="32"/>
        <v>0</v>
      </c>
      <c r="AC110" s="2210">
        <f t="shared" si="33"/>
        <v>0</v>
      </c>
      <c r="AG110" s="2210">
        <f t="shared" si="34"/>
        <v>0</v>
      </c>
      <c r="AH110" s="2210">
        <f t="shared" si="35"/>
        <v>0</v>
      </c>
    </row>
    <row r="111" spans="1:34" x14ac:dyDescent="0.4">
      <c r="A111" s="2210">
        <f t="shared" si="36"/>
        <v>109</v>
      </c>
      <c r="B111" s="2214" t="s">
        <v>2135</v>
      </c>
      <c r="C111" s="2214"/>
      <c r="D111" s="2214"/>
      <c r="E111" s="2214"/>
      <c r="F111" s="2214"/>
      <c r="G111" s="2214"/>
      <c r="H111" s="2214"/>
      <c r="M111" s="2210">
        <f t="shared" si="20"/>
        <v>0</v>
      </c>
      <c r="N111" s="2210">
        <f t="shared" si="21"/>
        <v>0</v>
      </c>
      <c r="O111" s="2210">
        <f t="shared" si="22"/>
        <v>0</v>
      </c>
      <c r="P111" s="2210">
        <f t="shared" si="23"/>
        <v>0</v>
      </c>
      <c r="Q111" s="2210">
        <f t="shared" si="24"/>
        <v>0</v>
      </c>
      <c r="R111" s="2210">
        <f t="shared" si="25"/>
        <v>0</v>
      </c>
      <c r="S111" s="2210">
        <f t="shared" si="26"/>
        <v>0</v>
      </c>
      <c r="V111" s="2210">
        <f t="shared" si="27"/>
        <v>0</v>
      </c>
      <c r="W111" s="2210">
        <f t="shared" si="28"/>
        <v>0</v>
      </c>
      <c r="X111" s="2210">
        <f t="shared" ref="X111:X131" si="37">IF($H111="Exterior Lighting",$D111,0)</f>
        <v>0</v>
      </c>
      <c r="Y111" s="2210">
        <f t="shared" ref="Y111:Y133" si="38">IF(OR(V111=0,LEN(X111)&lt;4),0,_xlfn.CONCAT(V111,",",X111))</f>
        <v>0</v>
      </c>
      <c r="Z111" s="2210">
        <f t="shared" ref="Z111:Z131" si="39">IF($H111="Exterior Lighting",$E111,0)</f>
        <v>0</v>
      </c>
      <c r="AA111" s="2210">
        <f t="shared" ref="AA111:AA131" si="40">IF($H111="Exterior Lighting",$F111,0)</f>
        <v>0</v>
      </c>
      <c r="AB111" s="2210">
        <f t="shared" ref="AB111:AB131" si="41">IF($H111="Exterior Lighting",$G111,0)</f>
        <v>0</v>
      </c>
      <c r="AC111" s="2210">
        <f t="shared" si="33"/>
        <v>0</v>
      </c>
      <c r="AG111" s="2210">
        <f t="shared" ref="AG111:AG133" si="42">IF(AF111=0,0,LEFT(AF111,SEARCH(",",AF111)-1))</f>
        <v>0</v>
      </c>
      <c r="AH111" s="2210">
        <f t="shared" si="35"/>
        <v>0</v>
      </c>
    </row>
    <row r="112" spans="1:34" x14ac:dyDescent="0.4">
      <c r="A112" s="2210">
        <f t="shared" si="36"/>
        <v>110</v>
      </c>
      <c r="B112" s="2214" t="s">
        <v>2135</v>
      </c>
      <c r="C112" s="2214"/>
      <c r="D112" s="2214"/>
      <c r="E112" s="2214"/>
      <c r="F112" s="2214"/>
      <c r="G112" s="2214"/>
      <c r="H112" s="2214"/>
      <c r="M112" s="2210">
        <f t="shared" si="20"/>
        <v>0</v>
      </c>
      <c r="N112" s="2210">
        <f t="shared" si="21"/>
        <v>0</v>
      </c>
      <c r="O112" s="2210">
        <f t="shared" si="22"/>
        <v>0</v>
      </c>
      <c r="P112" s="2210">
        <f t="shared" si="23"/>
        <v>0</v>
      </c>
      <c r="Q112" s="2210">
        <f t="shared" si="24"/>
        <v>0</v>
      </c>
      <c r="R112" s="2210">
        <f t="shared" si="25"/>
        <v>0</v>
      </c>
      <c r="S112" s="2210">
        <f t="shared" si="26"/>
        <v>0</v>
      </c>
      <c r="V112" s="2210">
        <f t="shared" si="27"/>
        <v>0</v>
      </c>
      <c r="W112" s="2210">
        <f t="shared" si="28"/>
        <v>0</v>
      </c>
      <c r="X112" s="2210">
        <f t="shared" si="37"/>
        <v>0</v>
      </c>
      <c r="Y112" s="2210">
        <f t="shared" si="38"/>
        <v>0</v>
      </c>
      <c r="Z112" s="2210">
        <f t="shared" si="39"/>
        <v>0</v>
      </c>
      <c r="AA112" s="2210">
        <f t="shared" si="40"/>
        <v>0</v>
      </c>
      <c r="AB112" s="2210">
        <f t="shared" si="41"/>
        <v>0</v>
      </c>
      <c r="AC112" s="2210">
        <f t="shared" si="33"/>
        <v>0</v>
      </c>
      <c r="AG112" s="2210">
        <f t="shared" si="42"/>
        <v>0</v>
      </c>
      <c r="AH112" s="2210">
        <f t="shared" si="35"/>
        <v>0</v>
      </c>
    </row>
    <row r="113" spans="1:34" x14ac:dyDescent="0.4">
      <c r="A113" s="2210">
        <f t="shared" si="36"/>
        <v>111</v>
      </c>
      <c r="B113" s="2214"/>
      <c r="C113" s="2214"/>
      <c r="D113" s="2214"/>
      <c r="E113" s="2214"/>
      <c r="F113" s="2214"/>
      <c r="G113" s="2214"/>
      <c r="H113" s="2214"/>
      <c r="M113" s="2210">
        <f t="shared" si="20"/>
        <v>0</v>
      </c>
      <c r="N113" s="2210">
        <f t="shared" si="21"/>
        <v>0</v>
      </c>
      <c r="O113" s="2210">
        <f t="shared" si="22"/>
        <v>0</v>
      </c>
      <c r="P113" s="2210">
        <f t="shared" si="23"/>
        <v>0</v>
      </c>
      <c r="Q113" s="2210">
        <f t="shared" si="24"/>
        <v>0</v>
      </c>
      <c r="R113" s="2210">
        <f t="shared" si="25"/>
        <v>0</v>
      </c>
      <c r="S113" s="2210">
        <f t="shared" si="26"/>
        <v>0</v>
      </c>
      <c r="V113" s="2210">
        <f t="shared" si="27"/>
        <v>0</v>
      </c>
      <c r="W113" s="2210">
        <f t="shared" si="28"/>
        <v>0</v>
      </c>
      <c r="X113" s="2210">
        <f t="shared" si="37"/>
        <v>0</v>
      </c>
      <c r="Y113" s="2210">
        <f t="shared" si="38"/>
        <v>0</v>
      </c>
      <c r="Z113" s="2210">
        <f t="shared" si="39"/>
        <v>0</v>
      </c>
      <c r="AA113" s="2210">
        <f t="shared" si="40"/>
        <v>0</v>
      </c>
      <c r="AB113" s="2210">
        <f t="shared" si="41"/>
        <v>0</v>
      </c>
      <c r="AC113" s="2210">
        <f t="shared" si="33"/>
        <v>0</v>
      </c>
      <c r="AG113" s="2210">
        <f t="shared" ref="AG113:AG118" si="43">IF(AF113 = 0,0,LEFT(AF113,SEARCH(",",AF113)-1))</f>
        <v>0</v>
      </c>
      <c r="AH113" s="2210">
        <f t="shared" si="35"/>
        <v>0</v>
      </c>
    </row>
    <row r="114" spans="1:34" x14ac:dyDescent="0.4">
      <c r="A114" s="2210">
        <f t="shared" si="36"/>
        <v>112</v>
      </c>
      <c r="B114" s="2214"/>
      <c r="C114" s="2214"/>
      <c r="D114" s="2214"/>
      <c r="E114" s="2214"/>
      <c r="F114" s="2214"/>
      <c r="G114" s="2214"/>
      <c r="H114" s="2214"/>
      <c r="M114" s="2210">
        <f t="shared" si="20"/>
        <v>0</v>
      </c>
      <c r="N114" s="2210">
        <f t="shared" si="21"/>
        <v>0</v>
      </c>
      <c r="O114" s="2210">
        <f t="shared" si="22"/>
        <v>0</v>
      </c>
      <c r="P114" s="2210">
        <f t="shared" si="23"/>
        <v>0</v>
      </c>
      <c r="Q114" s="2210">
        <f t="shared" si="24"/>
        <v>0</v>
      </c>
      <c r="R114" s="2210">
        <f t="shared" si="25"/>
        <v>0</v>
      </c>
      <c r="S114" s="2210">
        <f t="shared" si="26"/>
        <v>0</v>
      </c>
      <c r="V114" s="2210">
        <f t="shared" si="27"/>
        <v>0</v>
      </c>
      <c r="W114" s="2210">
        <f t="shared" si="28"/>
        <v>0</v>
      </c>
      <c r="X114" s="2210">
        <f t="shared" si="37"/>
        <v>0</v>
      </c>
      <c r="Y114" s="2210">
        <f t="shared" si="38"/>
        <v>0</v>
      </c>
      <c r="Z114" s="2210">
        <f t="shared" si="39"/>
        <v>0</v>
      </c>
      <c r="AA114" s="2210">
        <f t="shared" si="40"/>
        <v>0</v>
      </c>
      <c r="AB114" s="2210">
        <f t="shared" si="41"/>
        <v>0</v>
      </c>
      <c r="AC114" s="2210">
        <f t="shared" si="33"/>
        <v>0</v>
      </c>
      <c r="AG114" s="2210">
        <f t="shared" si="43"/>
        <v>0</v>
      </c>
      <c r="AH114" s="2210">
        <f t="shared" si="35"/>
        <v>0</v>
      </c>
    </row>
    <row r="115" spans="1:34" x14ac:dyDescent="0.4">
      <c r="A115" s="2210">
        <f t="shared" si="36"/>
        <v>113</v>
      </c>
      <c r="B115" s="2214"/>
      <c r="C115" s="2214"/>
      <c r="D115" s="2214"/>
      <c r="E115" s="2214"/>
      <c r="F115" s="2214"/>
      <c r="G115" s="2214"/>
      <c r="H115" s="2214"/>
      <c r="M115" s="2210">
        <f t="shared" si="20"/>
        <v>0</v>
      </c>
      <c r="N115" s="2210">
        <f t="shared" si="21"/>
        <v>0</v>
      </c>
      <c r="O115" s="2210">
        <f t="shared" si="22"/>
        <v>0</v>
      </c>
      <c r="P115" s="2210">
        <f t="shared" si="23"/>
        <v>0</v>
      </c>
      <c r="Q115" s="2210">
        <f t="shared" si="24"/>
        <v>0</v>
      </c>
      <c r="R115" s="2210">
        <f t="shared" si="25"/>
        <v>0</v>
      </c>
      <c r="S115" s="2210">
        <f t="shared" si="26"/>
        <v>0</v>
      </c>
      <c r="V115" s="2210">
        <f t="shared" si="27"/>
        <v>0</v>
      </c>
      <c r="W115" s="2210">
        <f t="shared" si="28"/>
        <v>0</v>
      </c>
      <c r="X115" s="2210">
        <f t="shared" si="37"/>
        <v>0</v>
      </c>
      <c r="Y115" s="2210">
        <f t="shared" si="38"/>
        <v>0</v>
      </c>
      <c r="Z115" s="2210">
        <f t="shared" si="39"/>
        <v>0</v>
      </c>
      <c r="AA115" s="2210">
        <f t="shared" si="40"/>
        <v>0</v>
      </c>
      <c r="AB115" s="2210">
        <f t="shared" si="41"/>
        <v>0</v>
      </c>
      <c r="AC115" s="2210">
        <f t="shared" si="33"/>
        <v>0</v>
      </c>
      <c r="AG115" s="2210">
        <f t="shared" si="43"/>
        <v>0</v>
      </c>
      <c r="AH115" s="2210">
        <f t="shared" si="35"/>
        <v>0</v>
      </c>
    </row>
    <row r="116" spans="1:34" x14ac:dyDescent="0.4">
      <c r="A116" s="2210">
        <f t="shared" si="36"/>
        <v>114</v>
      </c>
      <c r="B116" s="2214"/>
      <c r="C116" s="2214"/>
      <c r="D116" s="2214"/>
      <c r="E116" s="2214"/>
      <c r="F116" s="2214"/>
      <c r="G116" s="2214"/>
      <c r="H116" s="2214"/>
      <c r="M116" s="2210">
        <f t="shared" si="20"/>
        <v>0</v>
      </c>
      <c r="N116" s="2210">
        <f t="shared" si="21"/>
        <v>0</v>
      </c>
      <c r="O116" s="2210">
        <f t="shared" si="22"/>
        <v>0</v>
      </c>
      <c r="P116" s="2210">
        <f t="shared" si="23"/>
        <v>0</v>
      </c>
      <c r="Q116" s="2210">
        <f t="shared" si="24"/>
        <v>0</v>
      </c>
      <c r="R116" s="2210">
        <f t="shared" si="25"/>
        <v>0</v>
      </c>
      <c r="S116" s="2210">
        <f t="shared" si="26"/>
        <v>0</v>
      </c>
      <c r="V116" s="2210">
        <f t="shared" si="27"/>
        <v>0</v>
      </c>
      <c r="W116" s="2210">
        <f t="shared" si="28"/>
        <v>0</v>
      </c>
      <c r="X116" s="2210">
        <f t="shared" si="37"/>
        <v>0</v>
      </c>
      <c r="Y116" s="2210">
        <f t="shared" si="38"/>
        <v>0</v>
      </c>
      <c r="Z116" s="2210">
        <f t="shared" si="39"/>
        <v>0</v>
      </c>
      <c r="AA116" s="2210">
        <f t="shared" si="40"/>
        <v>0</v>
      </c>
      <c r="AB116" s="2210">
        <f t="shared" si="41"/>
        <v>0</v>
      </c>
      <c r="AC116" s="2210">
        <f t="shared" si="33"/>
        <v>0</v>
      </c>
      <c r="AG116" s="2210">
        <f t="shared" si="43"/>
        <v>0</v>
      </c>
      <c r="AH116" s="2210">
        <f t="shared" si="35"/>
        <v>0</v>
      </c>
    </row>
    <row r="117" spans="1:34" x14ac:dyDescent="0.4">
      <c r="A117" s="2210">
        <f t="shared" si="36"/>
        <v>115</v>
      </c>
      <c r="B117" s="2214"/>
      <c r="C117" s="2214"/>
      <c r="D117" s="2214"/>
      <c r="E117" s="2214"/>
      <c r="F117" s="2214"/>
      <c r="G117" s="2214"/>
      <c r="H117" s="2214"/>
      <c r="M117" s="2210">
        <f t="shared" si="20"/>
        <v>0</v>
      </c>
      <c r="N117" s="2210">
        <f t="shared" si="21"/>
        <v>0</v>
      </c>
      <c r="O117" s="2210">
        <f t="shared" si="22"/>
        <v>0</v>
      </c>
      <c r="P117" s="2210">
        <f t="shared" si="23"/>
        <v>0</v>
      </c>
      <c r="Q117" s="2210">
        <f t="shared" si="24"/>
        <v>0</v>
      </c>
      <c r="R117" s="2210">
        <f t="shared" si="25"/>
        <v>0</v>
      </c>
      <c r="S117" s="2210">
        <f t="shared" si="26"/>
        <v>0</v>
      </c>
      <c r="V117" s="2210">
        <f t="shared" si="27"/>
        <v>0</v>
      </c>
      <c r="W117" s="2210">
        <f t="shared" si="28"/>
        <v>0</v>
      </c>
      <c r="X117" s="2210">
        <f t="shared" si="37"/>
        <v>0</v>
      </c>
      <c r="Y117" s="2210">
        <f t="shared" si="38"/>
        <v>0</v>
      </c>
      <c r="Z117" s="2210">
        <f t="shared" si="39"/>
        <v>0</v>
      </c>
      <c r="AA117" s="2210">
        <f t="shared" si="40"/>
        <v>0</v>
      </c>
      <c r="AB117" s="2210">
        <f t="shared" si="41"/>
        <v>0</v>
      </c>
      <c r="AC117" s="2210">
        <f t="shared" si="33"/>
        <v>0</v>
      </c>
      <c r="AG117" s="2210">
        <f t="shared" si="43"/>
        <v>0</v>
      </c>
      <c r="AH117" s="2210">
        <f t="shared" si="35"/>
        <v>0</v>
      </c>
    </row>
    <row r="118" spans="1:34" x14ac:dyDescent="0.4">
      <c r="A118" s="2210">
        <f t="shared" si="36"/>
        <v>116</v>
      </c>
      <c r="B118" s="2214"/>
      <c r="C118" s="2214"/>
      <c r="D118" s="2214"/>
      <c r="E118" s="2214"/>
      <c r="F118" s="2214"/>
      <c r="G118" s="2214"/>
      <c r="H118" s="2214"/>
      <c r="M118" s="2210">
        <f t="shared" si="20"/>
        <v>0</v>
      </c>
      <c r="N118" s="2210">
        <f t="shared" si="21"/>
        <v>0</v>
      </c>
      <c r="O118" s="2210">
        <f t="shared" si="22"/>
        <v>0</v>
      </c>
      <c r="P118" s="2210">
        <f t="shared" si="23"/>
        <v>0</v>
      </c>
      <c r="Q118" s="2210">
        <f t="shared" si="24"/>
        <v>0</v>
      </c>
      <c r="R118" s="2210">
        <f t="shared" si="25"/>
        <v>0</v>
      </c>
      <c r="S118" s="2210">
        <f t="shared" si="26"/>
        <v>0</v>
      </c>
      <c r="V118" s="2210">
        <f t="shared" si="27"/>
        <v>0</v>
      </c>
      <c r="W118" s="2210">
        <f t="shared" si="28"/>
        <v>0</v>
      </c>
      <c r="X118" s="2210">
        <f t="shared" si="37"/>
        <v>0</v>
      </c>
      <c r="Y118" s="2210">
        <f t="shared" si="38"/>
        <v>0</v>
      </c>
      <c r="Z118" s="2210">
        <f t="shared" si="39"/>
        <v>0</v>
      </c>
      <c r="AA118" s="2210">
        <f t="shared" si="40"/>
        <v>0</v>
      </c>
      <c r="AB118" s="2210">
        <f t="shared" si="41"/>
        <v>0</v>
      </c>
      <c r="AC118" s="2210">
        <f t="shared" si="33"/>
        <v>0</v>
      </c>
      <c r="AG118" s="2210">
        <f t="shared" si="43"/>
        <v>0</v>
      </c>
      <c r="AH118" s="2210">
        <f t="shared" si="35"/>
        <v>0</v>
      </c>
    </row>
    <row r="119" spans="1:34" x14ac:dyDescent="0.4">
      <c r="A119" s="2210">
        <f t="shared" si="36"/>
        <v>117</v>
      </c>
      <c r="B119" s="2214"/>
      <c r="C119" s="2214"/>
      <c r="D119" s="2214"/>
      <c r="E119" s="2214"/>
      <c r="F119" s="2214"/>
      <c r="G119" s="2214"/>
      <c r="H119" s="2214"/>
      <c r="M119" s="2210">
        <f t="shared" si="20"/>
        <v>0</v>
      </c>
      <c r="N119" s="2210">
        <f t="shared" si="21"/>
        <v>0</v>
      </c>
      <c r="O119" s="2210">
        <f t="shared" si="22"/>
        <v>0</v>
      </c>
      <c r="P119" s="2210">
        <f t="shared" si="23"/>
        <v>0</v>
      </c>
      <c r="Q119" s="2210">
        <f t="shared" si="24"/>
        <v>0</v>
      </c>
      <c r="R119" s="2210">
        <f t="shared" si="25"/>
        <v>0</v>
      </c>
      <c r="S119" s="2210">
        <f t="shared" si="26"/>
        <v>0</v>
      </c>
      <c r="V119" s="2210">
        <f t="shared" si="27"/>
        <v>0</v>
      </c>
      <c r="W119" s="2210">
        <f t="shared" si="28"/>
        <v>0</v>
      </c>
      <c r="X119" s="2210">
        <f t="shared" si="37"/>
        <v>0</v>
      </c>
      <c r="Y119" s="2210">
        <f t="shared" si="38"/>
        <v>0</v>
      </c>
      <c r="Z119" s="2210">
        <f t="shared" si="39"/>
        <v>0</v>
      </c>
      <c r="AA119" s="2210">
        <f t="shared" si="40"/>
        <v>0</v>
      </c>
      <c r="AB119" s="2210">
        <f t="shared" si="41"/>
        <v>0</v>
      </c>
      <c r="AC119" s="2210">
        <f t="shared" si="33"/>
        <v>0</v>
      </c>
      <c r="AG119" s="2210">
        <f t="shared" si="42"/>
        <v>0</v>
      </c>
      <c r="AH119" s="2210">
        <f t="shared" si="35"/>
        <v>0</v>
      </c>
    </row>
    <row r="120" spans="1:34" x14ac:dyDescent="0.4">
      <c r="A120" s="2210">
        <f t="shared" si="36"/>
        <v>118</v>
      </c>
      <c r="B120" s="2214"/>
      <c r="C120" s="2214"/>
      <c r="D120" s="2214"/>
      <c r="E120" s="2214"/>
      <c r="F120" s="2214"/>
      <c r="G120" s="2214"/>
      <c r="H120" s="2214"/>
      <c r="M120" s="2210">
        <f t="shared" si="20"/>
        <v>0</v>
      </c>
      <c r="N120" s="2210">
        <f t="shared" si="21"/>
        <v>0</v>
      </c>
      <c r="O120" s="2210">
        <f t="shared" si="22"/>
        <v>0</v>
      </c>
      <c r="P120" s="2210">
        <f t="shared" si="23"/>
        <v>0</v>
      </c>
      <c r="Q120" s="2210">
        <f t="shared" si="24"/>
        <v>0</v>
      </c>
      <c r="R120" s="2210">
        <f t="shared" si="25"/>
        <v>0</v>
      </c>
      <c r="S120" s="2210">
        <f t="shared" si="26"/>
        <v>0</v>
      </c>
      <c r="V120" s="2210">
        <f t="shared" si="27"/>
        <v>0</v>
      </c>
      <c r="W120" s="2210">
        <f t="shared" si="28"/>
        <v>0</v>
      </c>
      <c r="X120" s="2210">
        <f t="shared" si="37"/>
        <v>0</v>
      </c>
      <c r="Y120" s="2210">
        <f t="shared" si="38"/>
        <v>0</v>
      </c>
      <c r="Z120" s="2210">
        <f t="shared" si="39"/>
        <v>0</v>
      </c>
      <c r="AA120" s="2210">
        <f t="shared" si="40"/>
        <v>0</v>
      </c>
      <c r="AB120" s="2210">
        <f t="shared" si="41"/>
        <v>0</v>
      </c>
      <c r="AC120" s="2210">
        <f t="shared" si="33"/>
        <v>0</v>
      </c>
      <c r="AG120" s="2210">
        <f t="shared" si="42"/>
        <v>0</v>
      </c>
      <c r="AH120" s="2210">
        <f t="shared" si="35"/>
        <v>0</v>
      </c>
    </row>
    <row r="121" spans="1:34" x14ac:dyDescent="0.4">
      <c r="A121" s="2210">
        <f t="shared" si="36"/>
        <v>119</v>
      </c>
      <c r="B121" s="2214"/>
      <c r="C121" s="2214"/>
      <c r="D121" s="2214"/>
      <c r="E121" s="2214"/>
      <c r="F121" s="2214"/>
      <c r="G121" s="2214"/>
      <c r="H121" s="2214"/>
      <c r="M121" s="2210">
        <f t="shared" si="20"/>
        <v>0</v>
      </c>
      <c r="N121" s="2210">
        <f t="shared" si="21"/>
        <v>0</v>
      </c>
      <c r="O121" s="2210">
        <f t="shared" si="22"/>
        <v>0</v>
      </c>
      <c r="P121" s="2210">
        <f t="shared" si="23"/>
        <v>0</v>
      </c>
      <c r="Q121" s="2210">
        <f t="shared" si="24"/>
        <v>0</v>
      </c>
      <c r="R121" s="2210">
        <f t="shared" si="25"/>
        <v>0</v>
      </c>
      <c r="S121" s="2210">
        <f t="shared" si="26"/>
        <v>0</v>
      </c>
      <c r="V121" s="2210">
        <f t="shared" si="27"/>
        <v>0</v>
      </c>
      <c r="W121" s="2210">
        <f t="shared" si="28"/>
        <v>0</v>
      </c>
      <c r="X121" s="2210">
        <f t="shared" si="37"/>
        <v>0</v>
      </c>
      <c r="Y121" s="2210">
        <f t="shared" si="38"/>
        <v>0</v>
      </c>
      <c r="Z121" s="2210">
        <f t="shared" si="39"/>
        <v>0</v>
      </c>
      <c r="AA121" s="2210">
        <f t="shared" si="40"/>
        <v>0</v>
      </c>
      <c r="AB121" s="2210">
        <f t="shared" si="41"/>
        <v>0</v>
      </c>
      <c r="AC121" s="2210">
        <f t="shared" si="33"/>
        <v>0</v>
      </c>
      <c r="AG121" s="2210">
        <f t="shared" si="42"/>
        <v>0</v>
      </c>
      <c r="AH121" s="2210">
        <f t="shared" si="35"/>
        <v>0</v>
      </c>
    </row>
    <row r="122" spans="1:34" x14ac:dyDescent="0.4">
      <c r="A122" s="2210">
        <f t="shared" si="36"/>
        <v>120</v>
      </c>
      <c r="B122" s="2214"/>
      <c r="C122" s="2214"/>
      <c r="D122" s="2214"/>
      <c r="E122" s="2214"/>
      <c r="F122" s="2214"/>
      <c r="G122" s="2214"/>
      <c r="H122" s="2214"/>
      <c r="M122" s="2210">
        <f t="shared" si="20"/>
        <v>0</v>
      </c>
      <c r="N122" s="2210">
        <f t="shared" si="21"/>
        <v>0</v>
      </c>
      <c r="O122" s="2210">
        <f t="shared" si="22"/>
        <v>0</v>
      </c>
      <c r="P122" s="2210">
        <f t="shared" si="23"/>
        <v>0</v>
      </c>
      <c r="Q122" s="2210">
        <f t="shared" si="24"/>
        <v>0</v>
      </c>
      <c r="R122" s="2210">
        <f t="shared" si="25"/>
        <v>0</v>
      </c>
      <c r="S122" s="2210">
        <f t="shared" si="26"/>
        <v>0</v>
      </c>
      <c r="V122" s="2210">
        <f t="shared" si="27"/>
        <v>0</v>
      </c>
      <c r="W122" s="2210">
        <f t="shared" si="28"/>
        <v>0</v>
      </c>
      <c r="X122" s="2210">
        <f t="shared" si="37"/>
        <v>0</v>
      </c>
      <c r="Y122" s="2210">
        <f t="shared" si="38"/>
        <v>0</v>
      </c>
      <c r="Z122" s="2210">
        <f t="shared" si="39"/>
        <v>0</v>
      </c>
      <c r="AA122" s="2210">
        <f t="shared" si="40"/>
        <v>0</v>
      </c>
      <c r="AB122" s="2210">
        <f t="shared" si="41"/>
        <v>0</v>
      </c>
      <c r="AC122" s="2210">
        <f t="shared" si="33"/>
        <v>0</v>
      </c>
      <c r="AG122" s="2210">
        <f t="shared" si="42"/>
        <v>0</v>
      </c>
      <c r="AH122" s="2210">
        <f t="shared" si="35"/>
        <v>0</v>
      </c>
    </row>
    <row r="123" spans="1:34" x14ac:dyDescent="0.4">
      <c r="A123" s="2210">
        <f t="shared" si="36"/>
        <v>121</v>
      </c>
      <c r="B123" s="2214"/>
      <c r="C123" s="2214"/>
      <c r="D123" s="2214"/>
      <c r="E123" s="2214"/>
      <c r="F123" s="2214"/>
      <c r="G123" s="2214"/>
      <c r="H123" s="2214"/>
      <c r="M123" s="2210">
        <f t="shared" si="20"/>
        <v>0</v>
      </c>
      <c r="N123" s="2210">
        <f t="shared" si="21"/>
        <v>0</v>
      </c>
      <c r="O123" s="2210">
        <f t="shared" si="22"/>
        <v>0</v>
      </c>
      <c r="P123" s="2210">
        <f t="shared" si="23"/>
        <v>0</v>
      </c>
      <c r="Q123" s="2210">
        <f t="shared" si="24"/>
        <v>0</v>
      </c>
      <c r="R123" s="2210">
        <f t="shared" si="25"/>
        <v>0</v>
      </c>
      <c r="S123" s="2210">
        <f t="shared" si="26"/>
        <v>0</v>
      </c>
      <c r="V123" s="2210">
        <f t="shared" si="27"/>
        <v>0</v>
      </c>
      <c r="W123" s="2210">
        <f t="shared" si="28"/>
        <v>0</v>
      </c>
      <c r="X123" s="2210">
        <f t="shared" si="37"/>
        <v>0</v>
      </c>
      <c r="Y123" s="2210">
        <f t="shared" si="38"/>
        <v>0</v>
      </c>
      <c r="Z123" s="2210">
        <f t="shared" si="39"/>
        <v>0</v>
      </c>
      <c r="AA123" s="2210">
        <f t="shared" si="40"/>
        <v>0</v>
      </c>
      <c r="AB123" s="2210">
        <f t="shared" si="41"/>
        <v>0</v>
      </c>
      <c r="AC123" s="2210">
        <f t="shared" si="33"/>
        <v>0</v>
      </c>
      <c r="AG123" s="2210">
        <f t="shared" si="42"/>
        <v>0</v>
      </c>
      <c r="AH123" s="2210">
        <f t="shared" si="35"/>
        <v>0</v>
      </c>
    </row>
    <row r="124" spans="1:34" x14ac:dyDescent="0.4">
      <c r="A124" s="2210">
        <f t="shared" si="36"/>
        <v>122</v>
      </c>
      <c r="B124" s="2214"/>
      <c r="C124" s="2214"/>
      <c r="D124" s="2214"/>
      <c r="E124" s="2214"/>
      <c r="F124" s="2214"/>
      <c r="G124" s="2214"/>
      <c r="H124" s="2214"/>
      <c r="M124" s="2210">
        <f t="shared" si="20"/>
        <v>0</v>
      </c>
      <c r="N124" s="2210">
        <f t="shared" si="21"/>
        <v>0</v>
      </c>
      <c r="O124" s="2210">
        <f t="shared" si="22"/>
        <v>0</v>
      </c>
      <c r="P124" s="2210">
        <f t="shared" si="23"/>
        <v>0</v>
      </c>
      <c r="Q124" s="2210">
        <f t="shared" si="24"/>
        <v>0</v>
      </c>
      <c r="R124" s="2210">
        <f t="shared" si="25"/>
        <v>0</v>
      </c>
      <c r="S124" s="2210">
        <f t="shared" si="26"/>
        <v>0</v>
      </c>
      <c r="V124" s="2210">
        <f t="shared" si="27"/>
        <v>0</v>
      </c>
      <c r="W124" s="2210">
        <f t="shared" si="28"/>
        <v>0</v>
      </c>
      <c r="X124" s="2210">
        <f t="shared" si="37"/>
        <v>0</v>
      </c>
      <c r="Y124" s="2210">
        <f t="shared" si="38"/>
        <v>0</v>
      </c>
      <c r="Z124" s="2210">
        <f t="shared" si="39"/>
        <v>0</v>
      </c>
      <c r="AA124" s="2210">
        <f t="shared" si="40"/>
        <v>0</v>
      </c>
      <c r="AB124" s="2210">
        <f t="shared" si="41"/>
        <v>0</v>
      </c>
      <c r="AC124" s="2210">
        <f t="shared" si="33"/>
        <v>0</v>
      </c>
      <c r="AG124" s="2210">
        <f t="shared" si="42"/>
        <v>0</v>
      </c>
      <c r="AH124" s="2210">
        <f t="shared" si="35"/>
        <v>0</v>
      </c>
    </row>
    <row r="125" spans="1:34" x14ac:dyDescent="0.4">
      <c r="A125" s="2210">
        <f t="shared" si="36"/>
        <v>123</v>
      </c>
      <c r="B125" s="2214"/>
      <c r="C125" s="2214"/>
      <c r="D125" s="2214"/>
      <c r="E125" s="2214"/>
      <c r="F125" s="2214"/>
      <c r="G125" s="2214"/>
      <c r="H125" s="2214"/>
      <c r="M125" s="2210">
        <f t="shared" si="20"/>
        <v>0</v>
      </c>
      <c r="N125" s="2210">
        <f t="shared" si="21"/>
        <v>0</v>
      </c>
      <c r="O125" s="2210">
        <f t="shared" si="22"/>
        <v>0</v>
      </c>
      <c r="P125" s="2210">
        <f t="shared" si="23"/>
        <v>0</v>
      </c>
      <c r="Q125" s="2210">
        <f t="shared" si="24"/>
        <v>0</v>
      </c>
      <c r="R125" s="2210">
        <f t="shared" si="25"/>
        <v>0</v>
      </c>
      <c r="S125" s="2210">
        <f t="shared" si="26"/>
        <v>0</v>
      </c>
      <c r="V125" s="2210">
        <f t="shared" si="27"/>
        <v>0</v>
      </c>
      <c r="W125" s="2210">
        <f t="shared" si="28"/>
        <v>0</v>
      </c>
      <c r="X125" s="2210">
        <f t="shared" si="37"/>
        <v>0</v>
      </c>
      <c r="Y125" s="2210">
        <f t="shared" si="38"/>
        <v>0</v>
      </c>
      <c r="Z125" s="2210">
        <f t="shared" si="39"/>
        <v>0</v>
      </c>
      <c r="AA125" s="2210">
        <f t="shared" si="40"/>
        <v>0</v>
      </c>
      <c r="AB125" s="2210">
        <f t="shared" si="41"/>
        <v>0</v>
      </c>
      <c r="AC125" s="2210">
        <f t="shared" si="33"/>
        <v>0</v>
      </c>
      <c r="AG125" s="2210">
        <f t="shared" si="42"/>
        <v>0</v>
      </c>
      <c r="AH125" s="2210">
        <f t="shared" si="35"/>
        <v>0</v>
      </c>
    </row>
    <row r="126" spans="1:34" x14ac:dyDescent="0.4">
      <c r="A126" s="2210">
        <f t="shared" si="36"/>
        <v>124</v>
      </c>
      <c r="B126" s="2214"/>
      <c r="C126" s="2214"/>
      <c r="D126" s="2214"/>
      <c r="E126" s="2214"/>
      <c r="F126" s="2214"/>
      <c r="G126" s="2214"/>
      <c r="H126" s="2214"/>
      <c r="M126" s="2210">
        <f t="shared" si="20"/>
        <v>0</v>
      </c>
      <c r="N126" s="2210">
        <f t="shared" si="21"/>
        <v>0</v>
      </c>
      <c r="O126" s="2210">
        <f t="shared" si="22"/>
        <v>0</v>
      </c>
      <c r="P126" s="2210">
        <f t="shared" si="23"/>
        <v>0</v>
      </c>
      <c r="Q126" s="2210">
        <f t="shared" si="24"/>
        <v>0</v>
      </c>
      <c r="R126" s="2210">
        <f t="shared" si="25"/>
        <v>0</v>
      </c>
      <c r="S126" s="2210">
        <f t="shared" si="26"/>
        <v>0</v>
      </c>
      <c r="V126" s="2210">
        <f t="shared" si="27"/>
        <v>0</v>
      </c>
      <c r="W126" s="2210">
        <f t="shared" si="28"/>
        <v>0</v>
      </c>
      <c r="X126" s="2210">
        <f t="shared" si="37"/>
        <v>0</v>
      </c>
      <c r="Y126" s="2210">
        <f t="shared" si="38"/>
        <v>0</v>
      </c>
      <c r="Z126" s="2210">
        <f t="shared" si="39"/>
        <v>0</v>
      </c>
      <c r="AA126" s="2210">
        <f t="shared" si="40"/>
        <v>0</v>
      </c>
      <c r="AB126" s="2210">
        <f t="shared" si="41"/>
        <v>0</v>
      </c>
      <c r="AC126" s="2210">
        <f t="shared" si="33"/>
        <v>0</v>
      </c>
      <c r="AG126" s="2210">
        <f t="shared" si="42"/>
        <v>0</v>
      </c>
      <c r="AH126" s="2210">
        <f t="shared" si="35"/>
        <v>0</v>
      </c>
    </row>
    <row r="127" spans="1:34" x14ac:dyDescent="0.4">
      <c r="A127" s="2210">
        <f t="shared" si="36"/>
        <v>125</v>
      </c>
      <c r="B127" s="2214"/>
      <c r="C127" s="2214"/>
      <c r="D127" s="2214"/>
      <c r="E127" s="2214"/>
      <c r="F127" s="2214"/>
      <c r="G127" s="2214"/>
      <c r="H127" s="2214"/>
      <c r="M127" s="2210">
        <f t="shared" si="20"/>
        <v>0</v>
      </c>
      <c r="N127" s="2210">
        <f t="shared" si="21"/>
        <v>0</v>
      </c>
      <c r="O127" s="2210">
        <f t="shared" si="22"/>
        <v>0</v>
      </c>
      <c r="P127" s="2210">
        <f t="shared" si="23"/>
        <v>0</v>
      </c>
      <c r="Q127" s="2210">
        <f t="shared" si="24"/>
        <v>0</v>
      </c>
      <c r="R127" s="2210">
        <f t="shared" si="25"/>
        <v>0</v>
      </c>
      <c r="S127" s="2210">
        <f t="shared" si="26"/>
        <v>0</v>
      </c>
      <c r="V127" s="2210">
        <f t="shared" si="27"/>
        <v>0</v>
      </c>
      <c r="W127" s="2210">
        <f t="shared" si="28"/>
        <v>0</v>
      </c>
      <c r="X127" s="2210">
        <f t="shared" si="37"/>
        <v>0</v>
      </c>
      <c r="Y127" s="2210">
        <f t="shared" si="38"/>
        <v>0</v>
      </c>
      <c r="Z127" s="2210">
        <f t="shared" si="39"/>
        <v>0</v>
      </c>
      <c r="AA127" s="2210">
        <f t="shared" si="40"/>
        <v>0</v>
      </c>
      <c r="AB127" s="2210">
        <f t="shared" si="41"/>
        <v>0</v>
      </c>
      <c r="AC127" s="2210">
        <f t="shared" si="33"/>
        <v>0</v>
      </c>
      <c r="AG127" s="2210">
        <f t="shared" si="42"/>
        <v>0</v>
      </c>
      <c r="AH127" s="2210">
        <f t="shared" si="35"/>
        <v>0</v>
      </c>
    </row>
    <row r="128" spans="1:34" x14ac:dyDescent="0.4">
      <c r="A128" s="2210">
        <f t="shared" si="36"/>
        <v>126</v>
      </c>
      <c r="B128" s="2214"/>
      <c r="C128" s="2214"/>
      <c r="D128" s="2214"/>
      <c r="E128" s="2214"/>
      <c r="F128" s="2214"/>
      <c r="G128" s="2214"/>
      <c r="H128" s="2214"/>
      <c r="M128" s="2210">
        <f t="shared" si="20"/>
        <v>0</v>
      </c>
      <c r="N128" s="2210">
        <f t="shared" si="21"/>
        <v>0</v>
      </c>
      <c r="O128" s="2210">
        <f t="shared" si="22"/>
        <v>0</v>
      </c>
      <c r="P128" s="2210">
        <f t="shared" si="23"/>
        <v>0</v>
      </c>
      <c r="Q128" s="2210">
        <f t="shared" si="24"/>
        <v>0</v>
      </c>
      <c r="R128" s="2210">
        <f t="shared" si="25"/>
        <v>0</v>
      </c>
      <c r="S128" s="2210">
        <f t="shared" si="26"/>
        <v>0</v>
      </c>
      <c r="V128" s="2210">
        <f t="shared" si="27"/>
        <v>0</v>
      </c>
      <c r="W128" s="2210">
        <f t="shared" si="28"/>
        <v>0</v>
      </c>
      <c r="X128" s="2210">
        <f t="shared" si="37"/>
        <v>0</v>
      </c>
      <c r="Y128" s="2210">
        <f t="shared" si="38"/>
        <v>0</v>
      </c>
      <c r="Z128" s="2210">
        <f t="shared" si="39"/>
        <v>0</v>
      </c>
      <c r="AA128" s="2210">
        <f t="shared" si="40"/>
        <v>0</v>
      </c>
      <c r="AB128" s="2210">
        <f t="shared" si="41"/>
        <v>0</v>
      </c>
      <c r="AC128" s="2210">
        <f t="shared" si="33"/>
        <v>0</v>
      </c>
      <c r="AG128" s="2210">
        <f t="shared" si="42"/>
        <v>0</v>
      </c>
      <c r="AH128" s="2210">
        <f t="shared" si="35"/>
        <v>0</v>
      </c>
    </row>
    <row r="129" spans="1:34" x14ac:dyDescent="0.4">
      <c r="A129" s="2210">
        <f t="shared" si="36"/>
        <v>127</v>
      </c>
      <c r="B129" s="2214"/>
      <c r="C129" s="2214"/>
      <c r="D129" s="2214"/>
      <c r="E129" s="2214"/>
      <c r="F129" s="2214"/>
      <c r="G129" s="2214"/>
      <c r="H129" s="2214"/>
      <c r="M129" s="2210">
        <f t="shared" si="20"/>
        <v>0</v>
      </c>
      <c r="N129" s="2210">
        <f t="shared" si="21"/>
        <v>0</v>
      </c>
      <c r="O129" s="2210">
        <f t="shared" si="22"/>
        <v>0</v>
      </c>
      <c r="P129" s="2210">
        <f t="shared" si="23"/>
        <v>0</v>
      </c>
      <c r="Q129" s="2210">
        <f t="shared" si="24"/>
        <v>0</v>
      </c>
      <c r="R129" s="2210">
        <f t="shared" si="25"/>
        <v>0</v>
      </c>
      <c r="S129" s="2210">
        <f t="shared" si="26"/>
        <v>0</v>
      </c>
      <c r="V129" s="2210">
        <f t="shared" si="27"/>
        <v>0</v>
      </c>
      <c r="W129" s="2210">
        <f t="shared" si="28"/>
        <v>0</v>
      </c>
      <c r="X129" s="2210">
        <f t="shared" si="37"/>
        <v>0</v>
      </c>
      <c r="Y129" s="2210">
        <f t="shared" si="38"/>
        <v>0</v>
      </c>
      <c r="Z129" s="2210">
        <f t="shared" si="39"/>
        <v>0</v>
      </c>
      <c r="AA129" s="2210">
        <f t="shared" si="40"/>
        <v>0</v>
      </c>
      <c r="AB129" s="2210">
        <f t="shared" si="41"/>
        <v>0</v>
      </c>
      <c r="AC129" s="2210">
        <f t="shared" si="33"/>
        <v>0</v>
      </c>
      <c r="AG129" s="2210">
        <f t="shared" si="42"/>
        <v>0</v>
      </c>
      <c r="AH129" s="2210">
        <f t="shared" si="35"/>
        <v>0</v>
      </c>
    </row>
    <row r="130" spans="1:34" x14ac:dyDescent="0.4">
      <c r="A130" s="2210">
        <f t="shared" si="36"/>
        <v>128</v>
      </c>
      <c r="B130" s="2214"/>
      <c r="C130" s="2214"/>
      <c r="D130" s="2214"/>
      <c r="E130" s="2214"/>
      <c r="F130" s="2214"/>
      <c r="G130" s="2214"/>
      <c r="H130" s="2214"/>
      <c r="M130" s="2210">
        <f t="shared" si="20"/>
        <v>0</v>
      </c>
      <c r="N130" s="2210">
        <f t="shared" si="21"/>
        <v>0</v>
      </c>
      <c r="O130" s="2210">
        <f t="shared" si="22"/>
        <v>0</v>
      </c>
      <c r="P130" s="2210">
        <f t="shared" si="23"/>
        <v>0</v>
      </c>
      <c r="Q130" s="2210">
        <f t="shared" si="24"/>
        <v>0</v>
      </c>
      <c r="R130" s="2210">
        <f t="shared" si="25"/>
        <v>0</v>
      </c>
      <c r="S130" s="2210">
        <f t="shared" si="26"/>
        <v>0</v>
      </c>
      <c r="V130" s="2210">
        <f t="shared" si="27"/>
        <v>0</v>
      </c>
      <c r="W130" s="2210">
        <f t="shared" si="28"/>
        <v>0</v>
      </c>
      <c r="X130" s="2210">
        <f t="shared" si="37"/>
        <v>0</v>
      </c>
      <c r="Y130" s="2210">
        <f t="shared" si="38"/>
        <v>0</v>
      </c>
      <c r="Z130" s="2210">
        <f t="shared" si="39"/>
        <v>0</v>
      </c>
      <c r="AA130" s="2210">
        <f t="shared" si="40"/>
        <v>0</v>
      </c>
      <c r="AB130" s="2210">
        <f t="shared" si="41"/>
        <v>0</v>
      </c>
      <c r="AC130" s="2210">
        <f t="shared" si="33"/>
        <v>0</v>
      </c>
      <c r="AG130" s="2210">
        <f t="shared" si="42"/>
        <v>0</v>
      </c>
      <c r="AH130" s="2210">
        <f t="shared" si="35"/>
        <v>0</v>
      </c>
    </row>
    <row r="131" spans="1:34" x14ac:dyDescent="0.4">
      <c r="A131" s="2210">
        <f t="shared" si="36"/>
        <v>129</v>
      </c>
      <c r="B131" s="2214"/>
      <c r="C131" s="2214"/>
      <c r="D131" s="2214"/>
      <c r="E131" s="2214"/>
      <c r="F131" s="2214"/>
      <c r="G131" s="2214"/>
      <c r="H131" s="2214"/>
      <c r="M131" s="2210">
        <f t="shared" si="20"/>
        <v>0</v>
      </c>
      <c r="N131" s="2210">
        <f t="shared" si="21"/>
        <v>0</v>
      </c>
      <c r="O131" s="2210">
        <f t="shared" si="22"/>
        <v>0</v>
      </c>
      <c r="P131" s="2210">
        <f t="shared" si="23"/>
        <v>0</v>
      </c>
      <c r="Q131" s="2210">
        <f t="shared" si="24"/>
        <v>0</v>
      </c>
      <c r="R131" s="2210">
        <f t="shared" si="25"/>
        <v>0</v>
      </c>
      <c r="S131" s="2210">
        <f t="shared" si="26"/>
        <v>0</v>
      </c>
      <c r="V131" s="2210">
        <f t="shared" si="27"/>
        <v>0</v>
      </c>
      <c r="W131" s="2210">
        <f t="shared" si="28"/>
        <v>0</v>
      </c>
      <c r="X131" s="2210">
        <f t="shared" si="37"/>
        <v>0</v>
      </c>
      <c r="Y131" s="2210">
        <f t="shared" si="38"/>
        <v>0</v>
      </c>
      <c r="Z131" s="2210">
        <f t="shared" si="39"/>
        <v>0</v>
      </c>
      <c r="AA131" s="2210">
        <f t="shared" si="40"/>
        <v>0</v>
      </c>
      <c r="AB131" s="2210">
        <f t="shared" si="41"/>
        <v>0</v>
      </c>
      <c r="AC131" s="2210">
        <f t="shared" si="33"/>
        <v>0</v>
      </c>
      <c r="AG131" s="2210">
        <f t="shared" si="42"/>
        <v>0</v>
      </c>
      <c r="AH131" s="2210">
        <f t="shared" si="35"/>
        <v>0</v>
      </c>
    </row>
    <row r="132" spans="1:34" x14ac:dyDescent="0.4">
      <c r="A132" s="2210">
        <f t="shared" si="36"/>
        <v>130</v>
      </c>
      <c r="B132" s="2214"/>
      <c r="C132" s="2214"/>
      <c r="D132" s="2214"/>
      <c r="E132" s="2214"/>
      <c r="F132" s="2214"/>
      <c r="G132" s="2214"/>
      <c r="H132" s="2214"/>
      <c r="M132" s="2210">
        <f t="shared" ref="M132:M195" si="44">IF($H132="Interior Lighting",$B132,0)</f>
        <v>0</v>
      </c>
      <c r="N132" s="2210">
        <f t="shared" ref="N132:N195" si="45">IF($H132="Interior Lighting",$C132,0)</f>
        <v>0</v>
      </c>
      <c r="O132" s="2210">
        <f t="shared" ref="O132:O195" si="46">IF($H132="Interior Lighting",$D132,0)</f>
        <v>0</v>
      </c>
      <c r="P132" s="2210">
        <f t="shared" ref="P132:P195" si="47">IF($H132="Interior Lighting",$E132,0)</f>
        <v>0</v>
      </c>
      <c r="Q132" s="2210">
        <f t="shared" ref="Q132:Q195" si="48">IF($H132="Interior Lighting",$F132,0)</f>
        <v>0</v>
      </c>
      <c r="R132" s="2210">
        <f t="shared" ref="R132:R195" si="49">IF($H132="Interior Lighting",$G132,0)</f>
        <v>0</v>
      </c>
      <c r="S132" s="2210">
        <f t="shared" ref="S132:S195" si="50">IF($H132="Interior Lighting",$H132,0)</f>
        <v>0</v>
      </c>
      <c r="V132" s="2210">
        <f t="shared" ref="V132:V195" si="51">IF($H132="Exterior Lighting",$B132,0)</f>
        <v>0</v>
      </c>
      <c r="W132" s="2210">
        <f t="shared" ref="W132:W195" si="52">IF($H132="Exterior Lighting",$C132,0)</f>
        <v>0</v>
      </c>
      <c r="X132" s="2210">
        <f t="shared" ref="X132:X195" si="53">IF($H132="Exterior Lighting",$D132,0)</f>
        <v>0</v>
      </c>
      <c r="Y132" s="2210">
        <f t="shared" si="38"/>
        <v>0</v>
      </c>
      <c r="Z132" s="2210">
        <f t="shared" ref="Z132:Z195" si="54">IF($H132="Exterior Lighting",$E132,0)</f>
        <v>0</v>
      </c>
      <c r="AA132" s="2210">
        <f t="shared" ref="AA132:AA195" si="55">IF($H132="Exterior Lighting",$F132,0)</f>
        <v>0</v>
      </c>
      <c r="AB132" s="2210">
        <f t="shared" ref="AB132:AB195" si="56">IF($H132="Exterior Lighting",$G132,0)</f>
        <v>0</v>
      </c>
      <c r="AC132" s="2210">
        <f t="shared" ref="AC132:AC195" si="57">IF($H132="Exterior Lighting",$H132,0)</f>
        <v>0</v>
      </c>
      <c r="AG132" s="2210">
        <f t="shared" si="42"/>
        <v>0</v>
      </c>
      <c r="AH132" s="2210">
        <f t="shared" ref="AH132:AH195" si="58">IF(AF132=0,0,MID(AF132,SEARCH(",",AF132)+1,LEN(AF132)))</f>
        <v>0</v>
      </c>
    </row>
    <row r="133" spans="1:34" x14ac:dyDescent="0.4">
      <c r="A133" s="2210">
        <f t="shared" ref="A133:A175" si="59">A132+1</f>
        <v>131</v>
      </c>
      <c r="B133" s="2214"/>
      <c r="C133" s="2214"/>
      <c r="D133" s="2214"/>
      <c r="E133" s="2214"/>
      <c r="F133" s="2214"/>
      <c r="G133" s="2214"/>
      <c r="H133" s="2214"/>
      <c r="M133" s="2210">
        <f t="shared" si="44"/>
        <v>0</v>
      </c>
      <c r="N133" s="2210">
        <f t="shared" si="45"/>
        <v>0</v>
      </c>
      <c r="O133" s="2210">
        <f t="shared" si="46"/>
        <v>0</v>
      </c>
      <c r="P133" s="2210">
        <f t="shared" si="47"/>
        <v>0</v>
      </c>
      <c r="Q133" s="2210">
        <f t="shared" si="48"/>
        <v>0</v>
      </c>
      <c r="R133" s="2210">
        <f t="shared" si="49"/>
        <v>0</v>
      </c>
      <c r="S133" s="2210">
        <f t="shared" si="50"/>
        <v>0</v>
      </c>
      <c r="V133" s="2210">
        <f t="shared" si="51"/>
        <v>0</v>
      </c>
      <c r="W133" s="2210">
        <f t="shared" si="52"/>
        <v>0</v>
      </c>
      <c r="X133" s="2210">
        <f t="shared" si="53"/>
        <v>0</v>
      </c>
      <c r="Y133" s="2210">
        <f t="shared" si="38"/>
        <v>0</v>
      </c>
      <c r="Z133" s="2210">
        <f t="shared" si="54"/>
        <v>0</v>
      </c>
      <c r="AA133" s="2210">
        <f t="shared" si="55"/>
        <v>0</v>
      </c>
      <c r="AB133" s="2210">
        <f t="shared" si="56"/>
        <v>0</v>
      </c>
      <c r="AC133" s="2210">
        <f t="shared" si="57"/>
        <v>0</v>
      </c>
      <c r="AG133" s="2210">
        <f t="shared" si="42"/>
        <v>0</v>
      </c>
      <c r="AH133" s="2210">
        <f t="shared" si="58"/>
        <v>0</v>
      </c>
    </row>
    <row r="134" spans="1:34" x14ac:dyDescent="0.4">
      <c r="A134" s="2210">
        <f t="shared" si="59"/>
        <v>132</v>
      </c>
      <c r="B134" s="2214"/>
      <c r="C134" s="2214"/>
      <c r="D134" s="2214"/>
      <c r="E134" s="2214"/>
      <c r="F134" s="2214"/>
      <c r="G134" s="2214"/>
      <c r="H134" s="2214"/>
      <c r="M134" s="2210">
        <f t="shared" si="44"/>
        <v>0</v>
      </c>
      <c r="N134" s="2210">
        <f t="shared" si="45"/>
        <v>0</v>
      </c>
      <c r="O134" s="2210">
        <f t="shared" si="46"/>
        <v>0</v>
      </c>
      <c r="P134" s="2210">
        <f t="shared" si="47"/>
        <v>0</v>
      </c>
      <c r="Q134" s="2210">
        <f t="shared" si="48"/>
        <v>0</v>
      </c>
      <c r="R134" s="2210">
        <f t="shared" si="49"/>
        <v>0</v>
      </c>
      <c r="S134" s="2210">
        <f t="shared" si="50"/>
        <v>0</v>
      </c>
      <c r="V134" s="2210">
        <f t="shared" si="51"/>
        <v>0</v>
      </c>
      <c r="W134" s="2210">
        <f t="shared" si="52"/>
        <v>0</v>
      </c>
      <c r="X134" s="2210">
        <f t="shared" si="53"/>
        <v>0</v>
      </c>
      <c r="Y134" s="2210">
        <f t="shared" ref="Y134:Y197" si="60">IF(OR(V134=0,LEN(X134)&lt;4),0,_xlfn.CONCAT(V134,",",X134))</f>
        <v>0</v>
      </c>
      <c r="Z134" s="2210">
        <f t="shared" si="54"/>
        <v>0</v>
      </c>
      <c r="AA134" s="2210">
        <f t="shared" si="55"/>
        <v>0</v>
      </c>
      <c r="AB134" s="2210">
        <f t="shared" si="56"/>
        <v>0</v>
      </c>
      <c r="AC134" s="2210">
        <f t="shared" si="57"/>
        <v>0</v>
      </c>
      <c r="AG134" s="2210">
        <f t="shared" ref="AG134:AG197" si="61">IF(AF134=0,0,LEFT(AF134,SEARCH(",",AF134)-1))</f>
        <v>0</v>
      </c>
      <c r="AH134" s="2210">
        <f t="shared" si="58"/>
        <v>0</v>
      </c>
    </row>
    <row r="135" spans="1:34" x14ac:dyDescent="0.4">
      <c r="A135" s="2210">
        <f t="shared" si="59"/>
        <v>133</v>
      </c>
      <c r="B135" s="2214"/>
      <c r="C135" s="2214"/>
      <c r="D135" s="2214"/>
      <c r="E135" s="2214"/>
      <c r="F135" s="2214"/>
      <c r="G135" s="2214"/>
      <c r="H135" s="2214"/>
      <c r="M135" s="2210">
        <f t="shared" si="44"/>
        <v>0</v>
      </c>
      <c r="N135" s="2210">
        <f t="shared" si="45"/>
        <v>0</v>
      </c>
      <c r="O135" s="2210">
        <f t="shared" si="46"/>
        <v>0</v>
      </c>
      <c r="P135" s="2210">
        <f t="shared" si="47"/>
        <v>0</v>
      </c>
      <c r="Q135" s="2210">
        <f t="shared" si="48"/>
        <v>0</v>
      </c>
      <c r="R135" s="2210">
        <f t="shared" si="49"/>
        <v>0</v>
      </c>
      <c r="S135" s="2210">
        <f t="shared" si="50"/>
        <v>0</v>
      </c>
      <c r="V135" s="2210">
        <f t="shared" si="51"/>
        <v>0</v>
      </c>
      <c r="W135" s="2210">
        <f t="shared" si="52"/>
        <v>0</v>
      </c>
      <c r="X135" s="2210">
        <f t="shared" si="53"/>
        <v>0</v>
      </c>
      <c r="Y135" s="2210">
        <f t="shared" si="60"/>
        <v>0</v>
      </c>
      <c r="Z135" s="2210">
        <f t="shared" si="54"/>
        <v>0</v>
      </c>
      <c r="AA135" s="2210">
        <f t="shared" si="55"/>
        <v>0</v>
      </c>
      <c r="AB135" s="2210">
        <f t="shared" si="56"/>
        <v>0</v>
      </c>
      <c r="AC135" s="2210">
        <f t="shared" si="57"/>
        <v>0</v>
      </c>
      <c r="AG135" s="2210">
        <f t="shared" si="61"/>
        <v>0</v>
      </c>
      <c r="AH135" s="2210">
        <f t="shared" si="58"/>
        <v>0</v>
      </c>
    </row>
    <row r="136" spans="1:34" x14ac:dyDescent="0.4">
      <c r="A136" s="2210">
        <f t="shared" si="59"/>
        <v>134</v>
      </c>
      <c r="B136" s="2214"/>
      <c r="C136" s="2214"/>
      <c r="D136" s="2214"/>
      <c r="E136" s="2214"/>
      <c r="F136" s="2214"/>
      <c r="G136" s="2214"/>
      <c r="H136" s="2214"/>
      <c r="M136" s="2210">
        <f t="shared" si="44"/>
        <v>0</v>
      </c>
      <c r="N136" s="2210">
        <f t="shared" si="45"/>
        <v>0</v>
      </c>
      <c r="O136" s="2210">
        <f t="shared" si="46"/>
        <v>0</v>
      </c>
      <c r="P136" s="2210">
        <f t="shared" si="47"/>
        <v>0</v>
      </c>
      <c r="Q136" s="2210">
        <f t="shared" si="48"/>
        <v>0</v>
      </c>
      <c r="R136" s="2210">
        <f t="shared" si="49"/>
        <v>0</v>
      </c>
      <c r="S136" s="2210">
        <f t="shared" si="50"/>
        <v>0</v>
      </c>
      <c r="V136" s="2210">
        <f t="shared" si="51"/>
        <v>0</v>
      </c>
      <c r="W136" s="2210">
        <f t="shared" si="52"/>
        <v>0</v>
      </c>
      <c r="X136" s="2210">
        <f t="shared" si="53"/>
        <v>0</v>
      </c>
      <c r="Y136" s="2210">
        <f t="shared" si="60"/>
        <v>0</v>
      </c>
      <c r="Z136" s="2210">
        <f t="shared" si="54"/>
        <v>0</v>
      </c>
      <c r="AA136" s="2210">
        <f t="shared" si="55"/>
        <v>0</v>
      </c>
      <c r="AB136" s="2210">
        <f t="shared" si="56"/>
        <v>0</v>
      </c>
      <c r="AC136" s="2210">
        <f t="shared" si="57"/>
        <v>0</v>
      </c>
      <c r="AG136" s="2210">
        <f t="shared" si="61"/>
        <v>0</v>
      </c>
      <c r="AH136" s="2210">
        <f t="shared" si="58"/>
        <v>0</v>
      </c>
    </row>
    <row r="137" spans="1:34" x14ac:dyDescent="0.4">
      <c r="A137" s="2210">
        <f t="shared" si="59"/>
        <v>135</v>
      </c>
      <c r="B137" s="2214"/>
      <c r="C137" s="2214"/>
      <c r="D137" s="2214"/>
      <c r="E137" s="2214"/>
      <c r="F137" s="2214"/>
      <c r="G137" s="2214"/>
      <c r="H137" s="2214"/>
      <c r="M137" s="2210">
        <f t="shared" si="44"/>
        <v>0</v>
      </c>
      <c r="N137" s="2210">
        <f t="shared" si="45"/>
        <v>0</v>
      </c>
      <c r="O137" s="2210">
        <f t="shared" si="46"/>
        <v>0</v>
      </c>
      <c r="P137" s="2210">
        <f t="shared" si="47"/>
        <v>0</v>
      </c>
      <c r="Q137" s="2210">
        <f t="shared" si="48"/>
        <v>0</v>
      </c>
      <c r="R137" s="2210">
        <f t="shared" si="49"/>
        <v>0</v>
      </c>
      <c r="S137" s="2210">
        <f t="shared" si="50"/>
        <v>0</v>
      </c>
      <c r="V137" s="2210">
        <f t="shared" si="51"/>
        <v>0</v>
      </c>
      <c r="W137" s="2210">
        <f t="shared" si="52"/>
        <v>0</v>
      </c>
      <c r="X137" s="2210">
        <f t="shared" si="53"/>
        <v>0</v>
      </c>
      <c r="Y137" s="2210">
        <f t="shared" si="60"/>
        <v>0</v>
      </c>
      <c r="Z137" s="2210">
        <f t="shared" si="54"/>
        <v>0</v>
      </c>
      <c r="AA137" s="2210">
        <f t="shared" si="55"/>
        <v>0</v>
      </c>
      <c r="AB137" s="2210">
        <f t="shared" si="56"/>
        <v>0</v>
      </c>
      <c r="AC137" s="2210">
        <f t="shared" si="57"/>
        <v>0</v>
      </c>
      <c r="AG137" s="2210">
        <f t="shared" si="61"/>
        <v>0</v>
      </c>
      <c r="AH137" s="2210">
        <f t="shared" si="58"/>
        <v>0</v>
      </c>
    </row>
    <row r="138" spans="1:34" x14ac:dyDescent="0.4">
      <c r="A138" s="2210">
        <f t="shared" si="59"/>
        <v>136</v>
      </c>
      <c r="B138" s="2214"/>
      <c r="C138" s="2214"/>
      <c r="D138" s="2214"/>
      <c r="E138" s="2214"/>
      <c r="F138" s="2214"/>
      <c r="G138" s="2214"/>
      <c r="H138" s="2214"/>
      <c r="M138" s="2210">
        <f t="shared" si="44"/>
        <v>0</v>
      </c>
      <c r="N138" s="2210">
        <f t="shared" si="45"/>
        <v>0</v>
      </c>
      <c r="O138" s="2210">
        <f t="shared" si="46"/>
        <v>0</v>
      </c>
      <c r="P138" s="2210">
        <f t="shared" si="47"/>
        <v>0</v>
      </c>
      <c r="Q138" s="2210">
        <f t="shared" si="48"/>
        <v>0</v>
      </c>
      <c r="R138" s="2210">
        <f t="shared" si="49"/>
        <v>0</v>
      </c>
      <c r="S138" s="2210">
        <f t="shared" si="50"/>
        <v>0</v>
      </c>
      <c r="V138" s="2210">
        <f t="shared" si="51"/>
        <v>0</v>
      </c>
      <c r="W138" s="2210">
        <f t="shared" si="52"/>
        <v>0</v>
      </c>
      <c r="X138" s="2210">
        <f t="shared" si="53"/>
        <v>0</v>
      </c>
      <c r="Y138" s="2210">
        <f t="shared" si="60"/>
        <v>0</v>
      </c>
      <c r="Z138" s="2210">
        <f t="shared" si="54"/>
        <v>0</v>
      </c>
      <c r="AA138" s="2210">
        <f t="shared" si="55"/>
        <v>0</v>
      </c>
      <c r="AB138" s="2210">
        <f t="shared" si="56"/>
        <v>0</v>
      </c>
      <c r="AC138" s="2210">
        <f t="shared" si="57"/>
        <v>0</v>
      </c>
      <c r="AG138" s="2210">
        <f t="shared" si="61"/>
        <v>0</v>
      </c>
      <c r="AH138" s="2210">
        <f t="shared" si="58"/>
        <v>0</v>
      </c>
    </row>
    <row r="139" spans="1:34" x14ac:dyDescent="0.4">
      <c r="A139" s="2210">
        <f t="shared" si="59"/>
        <v>137</v>
      </c>
      <c r="B139" s="2214"/>
      <c r="C139" s="2214"/>
      <c r="D139" s="2214"/>
      <c r="E139" s="2214"/>
      <c r="F139" s="2214"/>
      <c r="G139" s="2214"/>
      <c r="H139" s="2214"/>
      <c r="M139" s="2210">
        <f t="shared" si="44"/>
        <v>0</v>
      </c>
      <c r="N139" s="2210">
        <f t="shared" si="45"/>
        <v>0</v>
      </c>
      <c r="O139" s="2210">
        <f t="shared" si="46"/>
        <v>0</v>
      </c>
      <c r="P139" s="2210">
        <f t="shared" si="47"/>
        <v>0</v>
      </c>
      <c r="Q139" s="2210">
        <f t="shared" si="48"/>
        <v>0</v>
      </c>
      <c r="R139" s="2210">
        <f t="shared" si="49"/>
        <v>0</v>
      </c>
      <c r="S139" s="2210">
        <f t="shared" si="50"/>
        <v>0</v>
      </c>
      <c r="V139" s="2210">
        <f t="shared" si="51"/>
        <v>0</v>
      </c>
      <c r="W139" s="2210">
        <f t="shared" si="52"/>
        <v>0</v>
      </c>
      <c r="X139" s="2210">
        <f t="shared" si="53"/>
        <v>0</v>
      </c>
      <c r="Y139" s="2210">
        <f t="shared" si="60"/>
        <v>0</v>
      </c>
      <c r="Z139" s="2210">
        <f t="shared" si="54"/>
        <v>0</v>
      </c>
      <c r="AA139" s="2210">
        <f t="shared" si="55"/>
        <v>0</v>
      </c>
      <c r="AB139" s="2210">
        <f t="shared" si="56"/>
        <v>0</v>
      </c>
      <c r="AC139" s="2210">
        <f t="shared" si="57"/>
        <v>0</v>
      </c>
      <c r="AG139" s="2210">
        <f t="shared" si="61"/>
        <v>0</v>
      </c>
      <c r="AH139" s="2210">
        <f t="shared" si="58"/>
        <v>0</v>
      </c>
    </row>
    <row r="140" spans="1:34" x14ac:dyDescent="0.4">
      <c r="A140" s="2210">
        <f t="shared" si="59"/>
        <v>138</v>
      </c>
      <c r="B140" s="2214"/>
      <c r="C140" s="2214"/>
      <c r="D140" s="2214"/>
      <c r="E140" s="2214"/>
      <c r="F140" s="2214"/>
      <c r="G140" s="2214"/>
      <c r="H140" s="2214"/>
      <c r="M140" s="2210">
        <f t="shared" si="44"/>
        <v>0</v>
      </c>
      <c r="N140" s="2210">
        <f t="shared" si="45"/>
        <v>0</v>
      </c>
      <c r="O140" s="2210">
        <f t="shared" si="46"/>
        <v>0</v>
      </c>
      <c r="P140" s="2210">
        <f t="shared" si="47"/>
        <v>0</v>
      </c>
      <c r="Q140" s="2210">
        <f t="shared" si="48"/>
        <v>0</v>
      </c>
      <c r="R140" s="2210">
        <f t="shared" si="49"/>
        <v>0</v>
      </c>
      <c r="S140" s="2210">
        <f t="shared" si="50"/>
        <v>0</v>
      </c>
      <c r="V140" s="2210">
        <f t="shared" si="51"/>
        <v>0</v>
      </c>
      <c r="W140" s="2210">
        <f t="shared" si="52"/>
        <v>0</v>
      </c>
      <c r="X140" s="2210">
        <f t="shared" si="53"/>
        <v>0</v>
      </c>
      <c r="Y140" s="2210">
        <f t="shared" si="60"/>
        <v>0</v>
      </c>
      <c r="Z140" s="2210">
        <f t="shared" si="54"/>
        <v>0</v>
      </c>
      <c r="AA140" s="2210">
        <f t="shared" si="55"/>
        <v>0</v>
      </c>
      <c r="AB140" s="2210">
        <f t="shared" si="56"/>
        <v>0</v>
      </c>
      <c r="AC140" s="2210">
        <f t="shared" si="57"/>
        <v>0</v>
      </c>
      <c r="AG140" s="2210">
        <f t="shared" si="61"/>
        <v>0</v>
      </c>
      <c r="AH140" s="2210">
        <f t="shared" si="58"/>
        <v>0</v>
      </c>
    </row>
    <row r="141" spans="1:34" x14ac:dyDescent="0.4">
      <c r="A141" s="2210">
        <f t="shared" si="59"/>
        <v>139</v>
      </c>
      <c r="B141" s="2214"/>
      <c r="C141" s="2214"/>
      <c r="D141" s="2214"/>
      <c r="E141" s="2214"/>
      <c r="F141" s="2214"/>
      <c r="G141" s="2214"/>
      <c r="H141" s="2214"/>
      <c r="M141" s="2210">
        <f t="shared" si="44"/>
        <v>0</v>
      </c>
      <c r="N141" s="2210">
        <f t="shared" si="45"/>
        <v>0</v>
      </c>
      <c r="O141" s="2210">
        <f t="shared" si="46"/>
        <v>0</v>
      </c>
      <c r="P141" s="2210">
        <f t="shared" si="47"/>
        <v>0</v>
      </c>
      <c r="Q141" s="2210">
        <f t="shared" si="48"/>
        <v>0</v>
      </c>
      <c r="R141" s="2210">
        <f t="shared" si="49"/>
        <v>0</v>
      </c>
      <c r="S141" s="2210">
        <f t="shared" si="50"/>
        <v>0</v>
      </c>
      <c r="V141" s="2210">
        <f t="shared" si="51"/>
        <v>0</v>
      </c>
      <c r="W141" s="2210">
        <f t="shared" si="52"/>
        <v>0</v>
      </c>
      <c r="X141" s="2210">
        <f t="shared" si="53"/>
        <v>0</v>
      </c>
      <c r="Y141" s="2210">
        <f t="shared" si="60"/>
        <v>0</v>
      </c>
      <c r="Z141" s="2210">
        <f t="shared" si="54"/>
        <v>0</v>
      </c>
      <c r="AA141" s="2210">
        <f t="shared" si="55"/>
        <v>0</v>
      </c>
      <c r="AB141" s="2210">
        <f t="shared" si="56"/>
        <v>0</v>
      </c>
      <c r="AC141" s="2210">
        <f t="shared" si="57"/>
        <v>0</v>
      </c>
      <c r="AG141" s="2210">
        <f t="shared" si="61"/>
        <v>0</v>
      </c>
      <c r="AH141" s="2210">
        <f t="shared" si="58"/>
        <v>0</v>
      </c>
    </row>
    <row r="142" spans="1:34" x14ac:dyDescent="0.4">
      <c r="A142" s="2210">
        <f t="shared" si="59"/>
        <v>140</v>
      </c>
      <c r="B142" s="2214"/>
      <c r="C142" s="2214"/>
      <c r="D142" s="2214"/>
      <c r="E142" s="2214"/>
      <c r="F142" s="2214"/>
      <c r="G142" s="2214"/>
      <c r="H142" s="2214"/>
      <c r="M142" s="2210">
        <f t="shared" si="44"/>
        <v>0</v>
      </c>
      <c r="N142" s="2210">
        <f t="shared" si="45"/>
        <v>0</v>
      </c>
      <c r="O142" s="2210">
        <f t="shared" si="46"/>
        <v>0</v>
      </c>
      <c r="P142" s="2210">
        <f t="shared" si="47"/>
        <v>0</v>
      </c>
      <c r="Q142" s="2210">
        <f t="shared" si="48"/>
        <v>0</v>
      </c>
      <c r="R142" s="2210">
        <f t="shared" si="49"/>
        <v>0</v>
      </c>
      <c r="S142" s="2210">
        <f t="shared" si="50"/>
        <v>0</v>
      </c>
      <c r="V142" s="2210">
        <f t="shared" si="51"/>
        <v>0</v>
      </c>
      <c r="W142" s="2210">
        <f t="shared" si="52"/>
        <v>0</v>
      </c>
      <c r="X142" s="2210">
        <f t="shared" si="53"/>
        <v>0</v>
      </c>
      <c r="Y142" s="2210">
        <f t="shared" si="60"/>
        <v>0</v>
      </c>
      <c r="Z142" s="2210">
        <f t="shared" si="54"/>
        <v>0</v>
      </c>
      <c r="AA142" s="2210">
        <f t="shared" si="55"/>
        <v>0</v>
      </c>
      <c r="AB142" s="2210">
        <f t="shared" si="56"/>
        <v>0</v>
      </c>
      <c r="AC142" s="2210">
        <f t="shared" si="57"/>
        <v>0</v>
      </c>
      <c r="AG142" s="2210">
        <f t="shared" si="61"/>
        <v>0</v>
      </c>
      <c r="AH142" s="2210">
        <f t="shared" si="58"/>
        <v>0</v>
      </c>
    </row>
    <row r="143" spans="1:34" x14ac:dyDescent="0.4">
      <c r="A143" s="2210">
        <f t="shared" si="59"/>
        <v>141</v>
      </c>
      <c r="B143" s="2214"/>
      <c r="C143" s="2214"/>
      <c r="D143" s="2214"/>
      <c r="E143" s="2214"/>
      <c r="F143" s="2214"/>
      <c r="G143" s="2214"/>
      <c r="H143" s="2214"/>
      <c r="M143" s="2210">
        <f t="shared" si="44"/>
        <v>0</v>
      </c>
      <c r="N143" s="2210">
        <f t="shared" si="45"/>
        <v>0</v>
      </c>
      <c r="O143" s="2210">
        <f t="shared" si="46"/>
        <v>0</v>
      </c>
      <c r="P143" s="2210">
        <f t="shared" si="47"/>
        <v>0</v>
      </c>
      <c r="Q143" s="2210">
        <f t="shared" si="48"/>
        <v>0</v>
      </c>
      <c r="R143" s="2210">
        <f t="shared" si="49"/>
        <v>0</v>
      </c>
      <c r="S143" s="2210">
        <f t="shared" si="50"/>
        <v>0</v>
      </c>
      <c r="V143" s="2210">
        <f t="shared" si="51"/>
        <v>0</v>
      </c>
      <c r="W143" s="2210">
        <f t="shared" si="52"/>
        <v>0</v>
      </c>
      <c r="X143" s="2210">
        <f t="shared" si="53"/>
        <v>0</v>
      </c>
      <c r="Y143" s="2210">
        <f t="shared" si="60"/>
        <v>0</v>
      </c>
      <c r="Z143" s="2210">
        <f t="shared" si="54"/>
        <v>0</v>
      </c>
      <c r="AA143" s="2210">
        <f t="shared" si="55"/>
        <v>0</v>
      </c>
      <c r="AB143" s="2210">
        <f t="shared" si="56"/>
        <v>0</v>
      </c>
      <c r="AC143" s="2210">
        <f t="shared" si="57"/>
        <v>0</v>
      </c>
      <c r="AG143" s="2210">
        <f t="shared" si="61"/>
        <v>0</v>
      </c>
      <c r="AH143" s="2210">
        <f t="shared" si="58"/>
        <v>0</v>
      </c>
    </row>
    <row r="144" spans="1:34" x14ac:dyDescent="0.4">
      <c r="A144" s="2210">
        <f t="shared" si="59"/>
        <v>142</v>
      </c>
      <c r="B144" s="2214"/>
      <c r="C144" s="2214"/>
      <c r="D144" s="2214"/>
      <c r="E144" s="2214"/>
      <c r="F144" s="2214"/>
      <c r="G144" s="2214"/>
      <c r="H144" s="2214"/>
      <c r="M144" s="2210">
        <f t="shared" si="44"/>
        <v>0</v>
      </c>
      <c r="N144" s="2210">
        <f t="shared" si="45"/>
        <v>0</v>
      </c>
      <c r="O144" s="2210">
        <f t="shared" si="46"/>
        <v>0</v>
      </c>
      <c r="P144" s="2210">
        <f t="shared" si="47"/>
        <v>0</v>
      </c>
      <c r="Q144" s="2210">
        <f t="shared" si="48"/>
        <v>0</v>
      </c>
      <c r="R144" s="2210">
        <f t="shared" si="49"/>
        <v>0</v>
      </c>
      <c r="S144" s="2210">
        <f t="shared" si="50"/>
        <v>0</v>
      </c>
      <c r="V144" s="2210">
        <f t="shared" si="51"/>
        <v>0</v>
      </c>
      <c r="W144" s="2210">
        <f t="shared" si="52"/>
        <v>0</v>
      </c>
      <c r="X144" s="2210">
        <f t="shared" si="53"/>
        <v>0</v>
      </c>
      <c r="Y144" s="2210">
        <f t="shared" si="60"/>
        <v>0</v>
      </c>
      <c r="Z144" s="2210">
        <f t="shared" si="54"/>
        <v>0</v>
      </c>
      <c r="AA144" s="2210">
        <f t="shared" si="55"/>
        <v>0</v>
      </c>
      <c r="AB144" s="2210">
        <f t="shared" si="56"/>
        <v>0</v>
      </c>
      <c r="AC144" s="2210">
        <f t="shared" si="57"/>
        <v>0</v>
      </c>
      <c r="AG144" s="2210">
        <f t="shared" si="61"/>
        <v>0</v>
      </c>
      <c r="AH144" s="2210">
        <f t="shared" si="58"/>
        <v>0</v>
      </c>
    </row>
    <row r="145" spans="1:34" x14ac:dyDescent="0.4">
      <c r="A145" s="2210">
        <f t="shared" si="59"/>
        <v>143</v>
      </c>
      <c r="B145" s="2214"/>
      <c r="C145" s="2214"/>
      <c r="D145" s="2214"/>
      <c r="E145" s="2214"/>
      <c r="F145" s="2214"/>
      <c r="G145" s="2214"/>
      <c r="H145" s="2214"/>
      <c r="M145" s="2210">
        <f t="shared" si="44"/>
        <v>0</v>
      </c>
      <c r="N145" s="2210">
        <f t="shared" si="45"/>
        <v>0</v>
      </c>
      <c r="O145" s="2210">
        <f t="shared" si="46"/>
        <v>0</v>
      </c>
      <c r="P145" s="2210">
        <f t="shared" si="47"/>
        <v>0</v>
      </c>
      <c r="Q145" s="2210">
        <f t="shared" si="48"/>
        <v>0</v>
      </c>
      <c r="R145" s="2210">
        <f t="shared" si="49"/>
        <v>0</v>
      </c>
      <c r="S145" s="2210">
        <f t="shared" si="50"/>
        <v>0</v>
      </c>
      <c r="V145" s="2210">
        <f t="shared" si="51"/>
        <v>0</v>
      </c>
      <c r="W145" s="2210">
        <f t="shared" si="52"/>
        <v>0</v>
      </c>
      <c r="X145" s="2210">
        <f t="shared" si="53"/>
        <v>0</v>
      </c>
      <c r="Y145" s="2210">
        <f t="shared" si="60"/>
        <v>0</v>
      </c>
      <c r="Z145" s="2210">
        <f t="shared" si="54"/>
        <v>0</v>
      </c>
      <c r="AA145" s="2210">
        <f t="shared" si="55"/>
        <v>0</v>
      </c>
      <c r="AB145" s="2210">
        <f t="shared" si="56"/>
        <v>0</v>
      </c>
      <c r="AC145" s="2210">
        <f t="shared" si="57"/>
        <v>0</v>
      </c>
      <c r="AG145" s="2210">
        <f t="shared" si="61"/>
        <v>0</v>
      </c>
      <c r="AH145" s="2210">
        <f t="shared" si="58"/>
        <v>0</v>
      </c>
    </row>
    <row r="146" spans="1:34" x14ac:dyDescent="0.4">
      <c r="A146" s="2210">
        <f t="shared" si="59"/>
        <v>144</v>
      </c>
      <c r="B146" s="2214"/>
      <c r="C146" s="2214"/>
      <c r="D146" s="2214"/>
      <c r="E146" s="2214"/>
      <c r="F146" s="2214"/>
      <c r="G146" s="2214"/>
      <c r="H146" s="2214"/>
      <c r="M146" s="2210">
        <f t="shared" si="44"/>
        <v>0</v>
      </c>
      <c r="N146" s="2210">
        <f t="shared" si="45"/>
        <v>0</v>
      </c>
      <c r="O146" s="2210">
        <f t="shared" si="46"/>
        <v>0</v>
      </c>
      <c r="P146" s="2210">
        <f t="shared" si="47"/>
        <v>0</v>
      </c>
      <c r="Q146" s="2210">
        <f t="shared" si="48"/>
        <v>0</v>
      </c>
      <c r="R146" s="2210">
        <f t="shared" si="49"/>
        <v>0</v>
      </c>
      <c r="S146" s="2210">
        <f t="shared" si="50"/>
        <v>0</v>
      </c>
      <c r="V146" s="2210">
        <f t="shared" si="51"/>
        <v>0</v>
      </c>
      <c r="W146" s="2210">
        <f t="shared" si="52"/>
        <v>0</v>
      </c>
      <c r="X146" s="2210">
        <f t="shared" si="53"/>
        <v>0</v>
      </c>
      <c r="Y146" s="2210">
        <f t="shared" si="60"/>
        <v>0</v>
      </c>
      <c r="Z146" s="2210">
        <f t="shared" si="54"/>
        <v>0</v>
      </c>
      <c r="AA146" s="2210">
        <f t="shared" si="55"/>
        <v>0</v>
      </c>
      <c r="AB146" s="2210">
        <f t="shared" si="56"/>
        <v>0</v>
      </c>
      <c r="AC146" s="2210">
        <f t="shared" si="57"/>
        <v>0</v>
      </c>
      <c r="AG146" s="2210">
        <f t="shared" si="61"/>
        <v>0</v>
      </c>
      <c r="AH146" s="2210">
        <f t="shared" si="58"/>
        <v>0</v>
      </c>
    </row>
    <row r="147" spans="1:34" x14ac:dyDescent="0.4">
      <c r="A147" s="2210">
        <f t="shared" si="59"/>
        <v>145</v>
      </c>
      <c r="B147" s="2214"/>
      <c r="C147" s="2214"/>
      <c r="D147" s="2214"/>
      <c r="E147" s="2214"/>
      <c r="F147" s="2214"/>
      <c r="G147" s="2214"/>
      <c r="H147" s="2214"/>
      <c r="M147" s="2210">
        <f t="shared" si="44"/>
        <v>0</v>
      </c>
      <c r="N147" s="2210">
        <f t="shared" si="45"/>
        <v>0</v>
      </c>
      <c r="O147" s="2210">
        <f t="shared" si="46"/>
        <v>0</v>
      </c>
      <c r="P147" s="2210">
        <f t="shared" si="47"/>
        <v>0</v>
      </c>
      <c r="Q147" s="2210">
        <f t="shared" si="48"/>
        <v>0</v>
      </c>
      <c r="R147" s="2210">
        <f t="shared" si="49"/>
        <v>0</v>
      </c>
      <c r="S147" s="2210">
        <f t="shared" si="50"/>
        <v>0</v>
      </c>
      <c r="V147" s="2210">
        <f t="shared" si="51"/>
        <v>0</v>
      </c>
      <c r="W147" s="2210">
        <f t="shared" si="52"/>
        <v>0</v>
      </c>
      <c r="X147" s="2210">
        <f t="shared" si="53"/>
        <v>0</v>
      </c>
      <c r="Y147" s="2210">
        <f t="shared" si="60"/>
        <v>0</v>
      </c>
      <c r="Z147" s="2210">
        <f t="shared" si="54"/>
        <v>0</v>
      </c>
      <c r="AA147" s="2210">
        <f t="shared" si="55"/>
        <v>0</v>
      </c>
      <c r="AB147" s="2210">
        <f t="shared" si="56"/>
        <v>0</v>
      </c>
      <c r="AC147" s="2210">
        <f t="shared" si="57"/>
        <v>0</v>
      </c>
      <c r="AG147" s="2210">
        <f t="shared" si="61"/>
        <v>0</v>
      </c>
      <c r="AH147" s="2210">
        <f t="shared" si="58"/>
        <v>0</v>
      </c>
    </row>
    <row r="148" spans="1:34" x14ac:dyDescent="0.4">
      <c r="A148" s="2210">
        <f t="shared" si="59"/>
        <v>146</v>
      </c>
      <c r="B148" s="2214"/>
      <c r="C148" s="2214"/>
      <c r="D148" s="2214"/>
      <c r="E148" s="2214"/>
      <c r="F148" s="2214"/>
      <c r="G148" s="2214"/>
      <c r="H148" s="2214"/>
      <c r="M148" s="2210">
        <f t="shared" si="44"/>
        <v>0</v>
      </c>
      <c r="N148" s="2210">
        <f t="shared" si="45"/>
        <v>0</v>
      </c>
      <c r="O148" s="2210">
        <f t="shared" si="46"/>
        <v>0</v>
      </c>
      <c r="P148" s="2210">
        <f t="shared" si="47"/>
        <v>0</v>
      </c>
      <c r="Q148" s="2210">
        <f t="shared" si="48"/>
        <v>0</v>
      </c>
      <c r="R148" s="2210">
        <f t="shared" si="49"/>
        <v>0</v>
      </c>
      <c r="S148" s="2210">
        <f t="shared" si="50"/>
        <v>0</v>
      </c>
      <c r="V148" s="2210">
        <f t="shared" si="51"/>
        <v>0</v>
      </c>
      <c r="W148" s="2210">
        <f t="shared" si="52"/>
        <v>0</v>
      </c>
      <c r="X148" s="2210">
        <f t="shared" si="53"/>
        <v>0</v>
      </c>
      <c r="Y148" s="2210">
        <f t="shared" si="60"/>
        <v>0</v>
      </c>
      <c r="Z148" s="2210">
        <f t="shared" si="54"/>
        <v>0</v>
      </c>
      <c r="AA148" s="2210">
        <f t="shared" si="55"/>
        <v>0</v>
      </c>
      <c r="AB148" s="2210">
        <f t="shared" si="56"/>
        <v>0</v>
      </c>
      <c r="AC148" s="2210">
        <f t="shared" si="57"/>
        <v>0</v>
      </c>
      <c r="AG148" s="2210">
        <f t="shared" si="61"/>
        <v>0</v>
      </c>
      <c r="AH148" s="2210">
        <f t="shared" si="58"/>
        <v>0</v>
      </c>
    </row>
    <row r="149" spans="1:34" x14ac:dyDescent="0.4">
      <c r="A149" s="2210">
        <f t="shared" si="59"/>
        <v>147</v>
      </c>
      <c r="B149" s="2214"/>
      <c r="C149" s="2214"/>
      <c r="D149" s="2214"/>
      <c r="E149" s="2214"/>
      <c r="F149" s="2214"/>
      <c r="G149" s="2214"/>
      <c r="H149" s="2214"/>
      <c r="M149" s="2210">
        <f t="shared" si="44"/>
        <v>0</v>
      </c>
      <c r="N149" s="2210">
        <f t="shared" si="45"/>
        <v>0</v>
      </c>
      <c r="O149" s="2210">
        <f t="shared" si="46"/>
        <v>0</v>
      </c>
      <c r="P149" s="2210">
        <f t="shared" si="47"/>
        <v>0</v>
      </c>
      <c r="Q149" s="2210">
        <f t="shared" si="48"/>
        <v>0</v>
      </c>
      <c r="R149" s="2210">
        <f t="shared" si="49"/>
        <v>0</v>
      </c>
      <c r="S149" s="2210">
        <f t="shared" si="50"/>
        <v>0</v>
      </c>
      <c r="V149" s="2210">
        <f t="shared" si="51"/>
        <v>0</v>
      </c>
      <c r="W149" s="2210">
        <f t="shared" si="52"/>
        <v>0</v>
      </c>
      <c r="X149" s="2210">
        <f t="shared" si="53"/>
        <v>0</v>
      </c>
      <c r="Y149" s="2210">
        <f t="shared" si="60"/>
        <v>0</v>
      </c>
      <c r="Z149" s="2210">
        <f t="shared" si="54"/>
        <v>0</v>
      </c>
      <c r="AA149" s="2210">
        <f t="shared" si="55"/>
        <v>0</v>
      </c>
      <c r="AB149" s="2210">
        <f t="shared" si="56"/>
        <v>0</v>
      </c>
      <c r="AC149" s="2210">
        <f t="shared" si="57"/>
        <v>0</v>
      </c>
      <c r="AG149" s="2210">
        <f t="shared" si="61"/>
        <v>0</v>
      </c>
      <c r="AH149" s="2210">
        <f t="shared" si="58"/>
        <v>0</v>
      </c>
    </row>
    <row r="150" spans="1:34" x14ac:dyDescent="0.4">
      <c r="A150" s="2210">
        <f t="shared" si="59"/>
        <v>148</v>
      </c>
      <c r="B150" s="2214"/>
      <c r="C150" s="2214"/>
      <c r="D150" s="2214"/>
      <c r="E150" s="2214"/>
      <c r="F150" s="2214"/>
      <c r="G150" s="2214"/>
      <c r="H150" s="2214"/>
      <c r="M150" s="2210">
        <f t="shared" si="44"/>
        <v>0</v>
      </c>
      <c r="N150" s="2210">
        <f t="shared" si="45"/>
        <v>0</v>
      </c>
      <c r="O150" s="2210">
        <f t="shared" si="46"/>
        <v>0</v>
      </c>
      <c r="P150" s="2210">
        <f t="shared" si="47"/>
        <v>0</v>
      </c>
      <c r="Q150" s="2210">
        <f t="shared" si="48"/>
        <v>0</v>
      </c>
      <c r="R150" s="2210">
        <f t="shared" si="49"/>
        <v>0</v>
      </c>
      <c r="S150" s="2210">
        <f t="shared" si="50"/>
        <v>0</v>
      </c>
      <c r="V150" s="2210">
        <f t="shared" si="51"/>
        <v>0</v>
      </c>
      <c r="W150" s="2210">
        <f t="shared" si="52"/>
        <v>0</v>
      </c>
      <c r="X150" s="2210">
        <f t="shared" si="53"/>
        <v>0</v>
      </c>
      <c r="Y150" s="2210">
        <f t="shared" si="60"/>
        <v>0</v>
      </c>
      <c r="Z150" s="2210">
        <f t="shared" si="54"/>
        <v>0</v>
      </c>
      <c r="AA150" s="2210">
        <f t="shared" si="55"/>
        <v>0</v>
      </c>
      <c r="AB150" s="2210">
        <f t="shared" si="56"/>
        <v>0</v>
      </c>
      <c r="AC150" s="2210">
        <f t="shared" si="57"/>
        <v>0</v>
      </c>
      <c r="AG150" s="2210">
        <f t="shared" si="61"/>
        <v>0</v>
      </c>
      <c r="AH150" s="2210">
        <f t="shared" si="58"/>
        <v>0</v>
      </c>
    </row>
    <row r="151" spans="1:34" x14ac:dyDescent="0.4">
      <c r="A151" s="2210">
        <f t="shared" si="59"/>
        <v>149</v>
      </c>
      <c r="B151" s="2214"/>
      <c r="C151" s="2214"/>
      <c r="D151" s="2214"/>
      <c r="E151" s="2214"/>
      <c r="F151" s="2214"/>
      <c r="G151" s="2214"/>
      <c r="H151" s="2214"/>
      <c r="M151" s="2210">
        <f t="shared" si="44"/>
        <v>0</v>
      </c>
      <c r="N151" s="2210">
        <f t="shared" si="45"/>
        <v>0</v>
      </c>
      <c r="O151" s="2210">
        <f t="shared" si="46"/>
        <v>0</v>
      </c>
      <c r="P151" s="2210">
        <f t="shared" si="47"/>
        <v>0</v>
      </c>
      <c r="Q151" s="2210">
        <f t="shared" si="48"/>
        <v>0</v>
      </c>
      <c r="R151" s="2210">
        <f t="shared" si="49"/>
        <v>0</v>
      </c>
      <c r="S151" s="2210">
        <f t="shared" si="50"/>
        <v>0</v>
      </c>
      <c r="V151" s="2210">
        <f t="shared" si="51"/>
        <v>0</v>
      </c>
      <c r="W151" s="2210">
        <f t="shared" si="52"/>
        <v>0</v>
      </c>
      <c r="X151" s="2210">
        <f t="shared" si="53"/>
        <v>0</v>
      </c>
      <c r="Y151" s="2210">
        <f t="shared" si="60"/>
        <v>0</v>
      </c>
      <c r="Z151" s="2210">
        <f t="shared" si="54"/>
        <v>0</v>
      </c>
      <c r="AA151" s="2210">
        <f t="shared" si="55"/>
        <v>0</v>
      </c>
      <c r="AB151" s="2210">
        <f t="shared" si="56"/>
        <v>0</v>
      </c>
      <c r="AC151" s="2210">
        <f t="shared" si="57"/>
        <v>0</v>
      </c>
      <c r="AG151" s="2210">
        <f t="shared" si="61"/>
        <v>0</v>
      </c>
      <c r="AH151" s="2210">
        <f t="shared" si="58"/>
        <v>0</v>
      </c>
    </row>
    <row r="152" spans="1:34" x14ac:dyDescent="0.4">
      <c r="A152" s="2210">
        <f t="shared" si="59"/>
        <v>150</v>
      </c>
      <c r="B152" s="2214"/>
      <c r="C152" s="2214"/>
      <c r="D152" s="2214"/>
      <c r="E152" s="2214"/>
      <c r="F152" s="2214"/>
      <c r="G152" s="2214"/>
      <c r="H152" s="2214"/>
      <c r="M152" s="2210">
        <f t="shared" si="44"/>
        <v>0</v>
      </c>
      <c r="N152" s="2210">
        <f t="shared" si="45"/>
        <v>0</v>
      </c>
      <c r="O152" s="2210">
        <f t="shared" si="46"/>
        <v>0</v>
      </c>
      <c r="P152" s="2210">
        <f t="shared" si="47"/>
        <v>0</v>
      </c>
      <c r="Q152" s="2210">
        <f t="shared" si="48"/>
        <v>0</v>
      </c>
      <c r="R152" s="2210">
        <f t="shared" si="49"/>
        <v>0</v>
      </c>
      <c r="S152" s="2210">
        <f t="shared" si="50"/>
        <v>0</v>
      </c>
      <c r="V152" s="2210">
        <f t="shared" si="51"/>
        <v>0</v>
      </c>
      <c r="W152" s="2210">
        <f t="shared" si="52"/>
        <v>0</v>
      </c>
      <c r="X152" s="2210">
        <f t="shared" si="53"/>
        <v>0</v>
      </c>
      <c r="Y152" s="2210">
        <f t="shared" si="60"/>
        <v>0</v>
      </c>
      <c r="Z152" s="2210">
        <f t="shared" si="54"/>
        <v>0</v>
      </c>
      <c r="AA152" s="2210">
        <f t="shared" si="55"/>
        <v>0</v>
      </c>
      <c r="AB152" s="2210">
        <f t="shared" si="56"/>
        <v>0</v>
      </c>
      <c r="AC152" s="2210">
        <f t="shared" si="57"/>
        <v>0</v>
      </c>
      <c r="AG152" s="2210">
        <f t="shared" si="61"/>
        <v>0</v>
      </c>
      <c r="AH152" s="2210">
        <f t="shared" si="58"/>
        <v>0</v>
      </c>
    </row>
    <row r="153" spans="1:34" x14ac:dyDescent="0.4">
      <c r="A153" s="2210">
        <f t="shared" si="59"/>
        <v>151</v>
      </c>
      <c r="B153" s="2214"/>
      <c r="C153" s="2214"/>
      <c r="D153" s="2214"/>
      <c r="E153" s="2214"/>
      <c r="F153" s="2214"/>
      <c r="G153" s="2214"/>
      <c r="H153" s="2214"/>
      <c r="M153" s="2210">
        <f t="shared" si="44"/>
        <v>0</v>
      </c>
      <c r="N153" s="2210">
        <f t="shared" si="45"/>
        <v>0</v>
      </c>
      <c r="O153" s="2210">
        <f t="shared" si="46"/>
        <v>0</v>
      </c>
      <c r="P153" s="2210">
        <f t="shared" si="47"/>
        <v>0</v>
      </c>
      <c r="Q153" s="2210">
        <f t="shared" si="48"/>
        <v>0</v>
      </c>
      <c r="R153" s="2210">
        <f t="shared" si="49"/>
        <v>0</v>
      </c>
      <c r="S153" s="2210">
        <f t="shared" si="50"/>
        <v>0</v>
      </c>
      <c r="V153" s="2210">
        <f t="shared" si="51"/>
        <v>0</v>
      </c>
      <c r="W153" s="2210">
        <f t="shared" si="52"/>
        <v>0</v>
      </c>
      <c r="X153" s="2210">
        <f t="shared" si="53"/>
        <v>0</v>
      </c>
      <c r="Y153" s="2210">
        <f t="shared" si="60"/>
        <v>0</v>
      </c>
      <c r="Z153" s="2210">
        <f t="shared" si="54"/>
        <v>0</v>
      </c>
      <c r="AA153" s="2210">
        <f t="shared" si="55"/>
        <v>0</v>
      </c>
      <c r="AB153" s="2210">
        <f t="shared" si="56"/>
        <v>0</v>
      </c>
      <c r="AC153" s="2210">
        <f t="shared" si="57"/>
        <v>0</v>
      </c>
      <c r="AG153" s="2210">
        <f t="shared" si="61"/>
        <v>0</v>
      </c>
      <c r="AH153" s="2210">
        <f t="shared" si="58"/>
        <v>0</v>
      </c>
    </row>
    <row r="154" spans="1:34" x14ac:dyDescent="0.4">
      <c r="A154" s="2210">
        <f t="shared" si="59"/>
        <v>152</v>
      </c>
      <c r="B154" s="2214"/>
      <c r="C154" s="2214"/>
      <c r="D154" s="2214"/>
      <c r="E154" s="2214"/>
      <c r="F154" s="2214"/>
      <c r="G154" s="2214"/>
      <c r="H154" s="2214"/>
      <c r="M154" s="2210">
        <f t="shared" si="44"/>
        <v>0</v>
      </c>
      <c r="N154" s="2210">
        <f t="shared" si="45"/>
        <v>0</v>
      </c>
      <c r="O154" s="2210">
        <f t="shared" si="46"/>
        <v>0</v>
      </c>
      <c r="P154" s="2210">
        <f t="shared" si="47"/>
        <v>0</v>
      </c>
      <c r="Q154" s="2210">
        <f t="shared" si="48"/>
        <v>0</v>
      </c>
      <c r="R154" s="2210">
        <f t="shared" si="49"/>
        <v>0</v>
      </c>
      <c r="S154" s="2210">
        <f>IF($H154="Interior Lighting",$H154,0)</f>
        <v>0</v>
      </c>
      <c r="V154" s="2210">
        <f t="shared" si="51"/>
        <v>0</v>
      </c>
      <c r="W154" s="2210">
        <f t="shared" si="52"/>
        <v>0</v>
      </c>
      <c r="X154" s="2210">
        <f>IF($H154="Exterior Lighting",$D154,0)</f>
        <v>0</v>
      </c>
      <c r="Y154" s="2210">
        <f t="shared" si="60"/>
        <v>0</v>
      </c>
      <c r="Z154" s="2210">
        <f>IF($H154="Exterior Lighting",$E154,0)</f>
        <v>0</v>
      </c>
      <c r="AA154" s="2210">
        <f>IF($H154="Exterior Lighting",$F154,0)</f>
        <v>0</v>
      </c>
      <c r="AB154" s="2210">
        <f>IF($H154="Exterior Lighting",$G154,0)</f>
        <v>0</v>
      </c>
      <c r="AC154" s="2210">
        <f t="shared" si="57"/>
        <v>0</v>
      </c>
      <c r="AG154" s="2210">
        <f>IF(AF154 = 0,0,LEFT(AF154,SEARCH(",",AF154)-1))</f>
        <v>0</v>
      </c>
      <c r="AH154" s="2210">
        <f t="shared" si="58"/>
        <v>0</v>
      </c>
    </row>
    <row r="155" spans="1:34" x14ac:dyDescent="0.4">
      <c r="A155" s="2210">
        <f t="shared" si="59"/>
        <v>153</v>
      </c>
      <c r="B155" s="2214"/>
      <c r="C155" s="2214"/>
      <c r="D155" s="2214"/>
      <c r="E155" s="2214"/>
      <c r="F155" s="2214"/>
      <c r="G155" s="2214"/>
      <c r="H155" s="2214"/>
      <c r="M155" s="2210">
        <f t="shared" si="44"/>
        <v>0</v>
      </c>
      <c r="N155" s="2210">
        <f t="shared" si="45"/>
        <v>0</v>
      </c>
      <c r="O155" s="2210">
        <f t="shared" si="46"/>
        <v>0</v>
      </c>
      <c r="P155" s="2210">
        <f t="shared" si="47"/>
        <v>0</v>
      </c>
      <c r="Q155" s="2210">
        <f t="shared" si="48"/>
        <v>0</v>
      </c>
      <c r="R155" s="2210">
        <f t="shared" si="49"/>
        <v>0</v>
      </c>
      <c r="S155" s="2210">
        <f t="shared" si="50"/>
        <v>0</v>
      </c>
      <c r="V155" s="2210">
        <f t="shared" si="51"/>
        <v>0</v>
      </c>
      <c r="W155" s="2210">
        <f t="shared" si="52"/>
        <v>0</v>
      </c>
      <c r="X155" s="2210">
        <f t="shared" si="53"/>
        <v>0</v>
      </c>
      <c r="Y155" s="2210">
        <f t="shared" si="60"/>
        <v>0</v>
      </c>
      <c r="Z155" s="2210">
        <f t="shared" si="54"/>
        <v>0</v>
      </c>
      <c r="AA155" s="2210">
        <f t="shared" si="55"/>
        <v>0</v>
      </c>
      <c r="AB155" s="2210">
        <f t="shared" si="56"/>
        <v>0</v>
      </c>
      <c r="AC155" s="2210">
        <f t="shared" si="57"/>
        <v>0</v>
      </c>
      <c r="AG155" s="2210">
        <f t="shared" si="61"/>
        <v>0</v>
      </c>
      <c r="AH155" s="2210">
        <f t="shared" si="58"/>
        <v>0</v>
      </c>
    </row>
    <row r="156" spans="1:34" x14ac:dyDescent="0.4">
      <c r="A156" s="2210">
        <f t="shared" si="59"/>
        <v>154</v>
      </c>
      <c r="B156" s="2214"/>
      <c r="C156" s="2214"/>
      <c r="D156" s="2214"/>
      <c r="E156" s="2214"/>
      <c r="F156" s="2214"/>
      <c r="G156" s="2214"/>
      <c r="H156" s="2214"/>
      <c r="M156" s="2210">
        <f t="shared" si="44"/>
        <v>0</v>
      </c>
      <c r="N156" s="2210">
        <f t="shared" si="45"/>
        <v>0</v>
      </c>
      <c r="O156" s="2210">
        <f t="shared" si="46"/>
        <v>0</v>
      </c>
      <c r="P156" s="2210">
        <f t="shared" si="47"/>
        <v>0</v>
      </c>
      <c r="Q156" s="2210">
        <f t="shared" si="48"/>
        <v>0</v>
      </c>
      <c r="R156" s="2210">
        <f t="shared" si="49"/>
        <v>0</v>
      </c>
      <c r="S156" s="2210">
        <f t="shared" si="50"/>
        <v>0</v>
      </c>
      <c r="V156" s="2210">
        <f t="shared" si="51"/>
        <v>0</v>
      </c>
      <c r="W156" s="2210">
        <f t="shared" si="52"/>
        <v>0</v>
      </c>
      <c r="X156" s="2210">
        <f t="shared" si="53"/>
        <v>0</v>
      </c>
      <c r="Y156" s="2210">
        <f t="shared" si="60"/>
        <v>0</v>
      </c>
      <c r="Z156" s="2210">
        <f t="shared" si="54"/>
        <v>0</v>
      </c>
      <c r="AA156" s="2210">
        <f t="shared" si="55"/>
        <v>0</v>
      </c>
      <c r="AB156" s="2210">
        <f t="shared" si="56"/>
        <v>0</v>
      </c>
      <c r="AC156" s="2210">
        <f t="shared" si="57"/>
        <v>0</v>
      </c>
      <c r="AG156" s="2210">
        <f t="shared" si="61"/>
        <v>0</v>
      </c>
      <c r="AH156" s="2210">
        <f t="shared" si="58"/>
        <v>0</v>
      </c>
    </row>
    <row r="157" spans="1:34" x14ac:dyDescent="0.4">
      <c r="A157" s="2210">
        <f t="shared" si="59"/>
        <v>155</v>
      </c>
      <c r="B157" s="2214"/>
      <c r="C157" s="2214"/>
      <c r="D157" s="2214"/>
      <c r="E157" s="2214"/>
      <c r="F157" s="2214"/>
      <c r="G157" s="2214"/>
      <c r="H157" s="2214"/>
      <c r="M157" s="2210">
        <f t="shared" si="44"/>
        <v>0</v>
      </c>
      <c r="N157" s="2210">
        <f t="shared" si="45"/>
        <v>0</v>
      </c>
      <c r="O157" s="2210">
        <f t="shared" si="46"/>
        <v>0</v>
      </c>
      <c r="P157" s="2210">
        <f t="shared" si="47"/>
        <v>0</v>
      </c>
      <c r="Q157" s="2210">
        <f t="shared" si="48"/>
        <v>0</v>
      </c>
      <c r="R157" s="2210">
        <f t="shared" si="49"/>
        <v>0</v>
      </c>
      <c r="S157" s="2210">
        <f t="shared" si="50"/>
        <v>0</v>
      </c>
      <c r="V157" s="2210">
        <f t="shared" si="51"/>
        <v>0</v>
      </c>
      <c r="W157" s="2210">
        <f t="shared" si="52"/>
        <v>0</v>
      </c>
      <c r="X157" s="2210">
        <f t="shared" si="53"/>
        <v>0</v>
      </c>
      <c r="Y157" s="2210">
        <f t="shared" si="60"/>
        <v>0</v>
      </c>
      <c r="Z157" s="2210">
        <f t="shared" si="54"/>
        <v>0</v>
      </c>
      <c r="AA157" s="2210">
        <f t="shared" si="55"/>
        <v>0</v>
      </c>
      <c r="AB157" s="2210">
        <f t="shared" si="56"/>
        <v>0</v>
      </c>
      <c r="AC157" s="2210">
        <f t="shared" si="57"/>
        <v>0</v>
      </c>
      <c r="AG157" s="2210">
        <f t="shared" si="61"/>
        <v>0</v>
      </c>
      <c r="AH157" s="2210">
        <f t="shared" si="58"/>
        <v>0</v>
      </c>
    </row>
    <row r="158" spans="1:34" x14ac:dyDescent="0.4">
      <c r="A158" s="2210">
        <f t="shared" si="59"/>
        <v>156</v>
      </c>
      <c r="B158" s="2214"/>
      <c r="C158" s="2214"/>
      <c r="D158" s="2214"/>
      <c r="E158" s="2214"/>
      <c r="F158" s="2214"/>
      <c r="G158" s="2214"/>
      <c r="H158" s="2214"/>
      <c r="M158" s="2210">
        <f t="shared" si="44"/>
        <v>0</v>
      </c>
      <c r="N158" s="2210">
        <f t="shared" si="45"/>
        <v>0</v>
      </c>
      <c r="O158" s="2210">
        <f t="shared" si="46"/>
        <v>0</v>
      </c>
      <c r="P158" s="2210">
        <f t="shared" si="47"/>
        <v>0</v>
      </c>
      <c r="Q158" s="2210">
        <f t="shared" si="48"/>
        <v>0</v>
      </c>
      <c r="R158" s="2210">
        <f t="shared" si="49"/>
        <v>0</v>
      </c>
      <c r="S158" s="2210">
        <f t="shared" si="50"/>
        <v>0</v>
      </c>
      <c r="V158" s="2210">
        <f t="shared" si="51"/>
        <v>0</v>
      </c>
      <c r="W158" s="2210">
        <f t="shared" si="52"/>
        <v>0</v>
      </c>
      <c r="X158" s="2210">
        <f t="shared" si="53"/>
        <v>0</v>
      </c>
      <c r="Y158" s="2210">
        <f t="shared" si="60"/>
        <v>0</v>
      </c>
      <c r="Z158" s="2210">
        <f t="shared" si="54"/>
        <v>0</v>
      </c>
      <c r="AA158" s="2210">
        <f t="shared" si="55"/>
        <v>0</v>
      </c>
      <c r="AB158" s="2210">
        <f t="shared" si="56"/>
        <v>0</v>
      </c>
      <c r="AC158" s="2210">
        <f t="shared" si="57"/>
        <v>0</v>
      </c>
      <c r="AG158" s="2210">
        <f t="shared" si="61"/>
        <v>0</v>
      </c>
      <c r="AH158" s="2210">
        <f t="shared" si="58"/>
        <v>0</v>
      </c>
    </row>
    <row r="159" spans="1:34" x14ac:dyDescent="0.4">
      <c r="A159" s="2210">
        <f t="shared" si="59"/>
        <v>157</v>
      </c>
      <c r="B159" s="2214"/>
      <c r="C159" s="2214"/>
      <c r="D159" s="2214"/>
      <c r="E159" s="2214"/>
      <c r="F159" s="2214"/>
      <c r="G159" s="2214"/>
      <c r="H159" s="2214"/>
      <c r="M159" s="2210">
        <f t="shared" si="44"/>
        <v>0</v>
      </c>
      <c r="N159" s="2210">
        <f t="shared" si="45"/>
        <v>0</v>
      </c>
      <c r="O159" s="2210">
        <f t="shared" si="46"/>
        <v>0</v>
      </c>
      <c r="P159" s="2210">
        <f t="shared" si="47"/>
        <v>0</v>
      </c>
      <c r="Q159" s="2210">
        <f t="shared" si="48"/>
        <v>0</v>
      </c>
      <c r="R159" s="2210">
        <f t="shared" si="49"/>
        <v>0</v>
      </c>
      <c r="S159" s="2210">
        <f t="shared" si="50"/>
        <v>0</v>
      </c>
      <c r="V159" s="2210">
        <f t="shared" si="51"/>
        <v>0</v>
      </c>
      <c r="W159" s="2210">
        <f t="shared" si="52"/>
        <v>0</v>
      </c>
      <c r="X159" s="2210">
        <f t="shared" si="53"/>
        <v>0</v>
      </c>
      <c r="Y159" s="2210">
        <f t="shared" si="60"/>
        <v>0</v>
      </c>
      <c r="Z159" s="2210">
        <f t="shared" si="54"/>
        <v>0</v>
      </c>
      <c r="AA159" s="2210">
        <f t="shared" si="55"/>
        <v>0</v>
      </c>
      <c r="AB159" s="2210">
        <f t="shared" si="56"/>
        <v>0</v>
      </c>
      <c r="AC159" s="2210">
        <f t="shared" si="57"/>
        <v>0</v>
      </c>
      <c r="AG159" s="2210">
        <f t="shared" si="61"/>
        <v>0</v>
      </c>
      <c r="AH159" s="2210">
        <f t="shared" si="58"/>
        <v>0</v>
      </c>
    </row>
    <row r="160" spans="1:34" x14ac:dyDescent="0.4">
      <c r="A160" s="2210">
        <f t="shared" si="59"/>
        <v>158</v>
      </c>
      <c r="B160" s="2214"/>
      <c r="C160" s="2214"/>
      <c r="D160" s="2214"/>
      <c r="E160" s="2214"/>
      <c r="F160" s="2214"/>
      <c r="G160" s="2214"/>
      <c r="H160" s="2214"/>
      <c r="M160" s="2210">
        <f t="shared" si="44"/>
        <v>0</v>
      </c>
      <c r="N160" s="2210">
        <f t="shared" si="45"/>
        <v>0</v>
      </c>
      <c r="O160" s="2210">
        <f t="shared" si="46"/>
        <v>0</v>
      </c>
      <c r="P160" s="2210">
        <f t="shared" si="47"/>
        <v>0</v>
      </c>
      <c r="Q160" s="2210">
        <f t="shared" si="48"/>
        <v>0</v>
      </c>
      <c r="R160" s="2210">
        <f t="shared" si="49"/>
        <v>0</v>
      </c>
      <c r="S160" s="2210">
        <f t="shared" si="50"/>
        <v>0</v>
      </c>
      <c r="V160" s="2210">
        <f t="shared" si="51"/>
        <v>0</v>
      </c>
      <c r="W160" s="2210">
        <f t="shared" si="52"/>
        <v>0</v>
      </c>
      <c r="X160" s="2210">
        <f t="shared" si="53"/>
        <v>0</v>
      </c>
      <c r="Y160" s="2210">
        <f t="shared" si="60"/>
        <v>0</v>
      </c>
      <c r="Z160" s="2210">
        <f t="shared" si="54"/>
        <v>0</v>
      </c>
      <c r="AA160" s="2210">
        <f t="shared" si="55"/>
        <v>0</v>
      </c>
      <c r="AB160" s="2210">
        <f t="shared" si="56"/>
        <v>0</v>
      </c>
      <c r="AC160" s="2210">
        <f t="shared" si="57"/>
        <v>0</v>
      </c>
      <c r="AG160" s="2210">
        <f t="shared" si="61"/>
        <v>0</v>
      </c>
      <c r="AH160" s="2210">
        <f t="shared" si="58"/>
        <v>0</v>
      </c>
    </row>
    <row r="161" spans="1:34" x14ac:dyDescent="0.4">
      <c r="A161" s="2210">
        <f t="shared" si="59"/>
        <v>159</v>
      </c>
      <c r="B161" s="2214"/>
      <c r="C161" s="2214"/>
      <c r="D161" s="2214"/>
      <c r="E161" s="2214"/>
      <c r="F161" s="2214"/>
      <c r="G161" s="2214"/>
      <c r="H161" s="2214"/>
      <c r="M161" s="2210">
        <f t="shared" si="44"/>
        <v>0</v>
      </c>
      <c r="N161" s="2210">
        <f t="shared" si="45"/>
        <v>0</v>
      </c>
      <c r="O161" s="2210">
        <f t="shared" si="46"/>
        <v>0</v>
      </c>
      <c r="P161" s="2210">
        <f t="shared" si="47"/>
        <v>0</v>
      </c>
      <c r="Q161" s="2210">
        <f t="shared" si="48"/>
        <v>0</v>
      </c>
      <c r="R161" s="2210">
        <f t="shared" si="49"/>
        <v>0</v>
      </c>
      <c r="S161" s="2210">
        <f t="shared" si="50"/>
        <v>0</v>
      </c>
      <c r="V161" s="2210">
        <f t="shared" si="51"/>
        <v>0</v>
      </c>
      <c r="W161" s="2210">
        <f t="shared" si="52"/>
        <v>0</v>
      </c>
      <c r="X161" s="2210">
        <f t="shared" si="53"/>
        <v>0</v>
      </c>
      <c r="Y161" s="2210">
        <f t="shared" si="60"/>
        <v>0</v>
      </c>
      <c r="Z161" s="2210">
        <f t="shared" si="54"/>
        <v>0</v>
      </c>
      <c r="AA161" s="2210">
        <f t="shared" si="55"/>
        <v>0</v>
      </c>
      <c r="AB161" s="2210">
        <f t="shared" si="56"/>
        <v>0</v>
      </c>
      <c r="AC161" s="2210">
        <f t="shared" si="57"/>
        <v>0</v>
      </c>
      <c r="AG161" s="2210">
        <f t="shared" si="61"/>
        <v>0</v>
      </c>
      <c r="AH161" s="2210">
        <f t="shared" si="58"/>
        <v>0</v>
      </c>
    </row>
    <row r="162" spans="1:34" x14ac:dyDescent="0.4">
      <c r="A162" s="2210">
        <f t="shared" si="59"/>
        <v>160</v>
      </c>
      <c r="B162" s="2214"/>
      <c r="C162" s="2214"/>
      <c r="D162" s="2214"/>
      <c r="E162" s="2214"/>
      <c r="F162" s="2214"/>
      <c r="G162" s="2214"/>
      <c r="H162" s="2214"/>
      <c r="M162" s="2210">
        <f t="shared" si="44"/>
        <v>0</v>
      </c>
      <c r="N162" s="2210">
        <f t="shared" si="45"/>
        <v>0</v>
      </c>
      <c r="O162" s="2210">
        <f t="shared" si="46"/>
        <v>0</v>
      </c>
      <c r="P162" s="2210">
        <f t="shared" si="47"/>
        <v>0</v>
      </c>
      <c r="Q162" s="2210">
        <f t="shared" si="48"/>
        <v>0</v>
      </c>
      <c r="R162" s="2210">
        <f t="shared" si="49"/>
        <v>0</v>
      </c>
      <c r="S162" s="2210">
        <f t="shared" si="50"/>
        <v>0</v>
      </c>
      <c r="V162" s="2210">
        <f t="shared" si="51"/>
        <v>0</v>
      </c>
      <c r="W162" s="2210">
        <f t="shared" si="52"/>
        <v>0</v>
      </c>
      <c r="X162" s="2210">
        <f t="shared" si="53"/>
        <v>0</v>
      </c>
      <c r="Y162" s="2210">
        <f t="shared" si="60"/>
        <v>0</v>
      </c>
      <c r="Z162" s="2210">
        <f t="shared" si="54"/>
        <v>0</v>
      </c>
      <c r="AA162" s="2210">
        <f t="shared" si="55"/>
        <v>0</v>
      </c>
      <c r="AB162" s="2210">
        <f t="shared" si="56"/>
        <v>0</v>
      </c>
      <c r="AC162" s="2210">
        <f t="shared" si="57"/>
        <v>0</v>
      </c>
      <c r="AG162" s="2210">
        <f t="shared" si="61"/>
        <v>0</v>
      </c>
      <c r="AH162" s="2210">
        <f t="shared" si="58"/>
        <v>0</v>
      </c>
    </row>
    <row r="163" spans="1:34" x14ac:dyDescent="0.4">
      <c r="A163" s="2210">
        <f t="shared" si="59"/>
        <v>161</v>
      </c>
      <c r="B163" s="2214"/>
      <c r="C163" s="2214"/>
      <c r="D163" s="2214"/>
      <c r="E163" s="2214"/>
      <c r="F163" s="2214"/>
      <c r="G163" s="2214"/>
      <c r="H163" s="2214"/>
      <c r="M163" s="2210">
        <f t="shared" si="44"/>
        <v>0</v>
      </c>
      <c r="N163" s="2210">
        <f t="shared" si="45"/>
        <v>0</v>
      </c>
      <c r="O163" s="2210">
        <f t="shared" si="46"/>
        <v>0</v>
      </c>
      <c r="P163" s="2210">
        <f t="shared" si="47"/>
        <v>0</v>
      </c>
      <c r="Q163" s="2210">
        <f t="shared" si="48"/>
        <v>0</v>
      </c>
      <c r="R163" s="2210">
        <f t="shared" si="49"/>
        <v>0</v>
      </c>
      <c r="S163" s="2210">
        <f t="shared" si="50"/>
        <v>0</v>
      </c>
      <c r="V163" s="2210">
        <f t="shared" si="51"/>
        <v>0</v>
      </c>
      <c r="W163" s="2210">
        <f t="shared" si="52"/>
        <v>0</v>
      </c>
      <c r="X163" s="2210">
        <f t="shared" si="53"/>
        <v>0</v>
      </c>
      <c r="Y163" s="2210">
        <f t="shared" si="60"/>
        <v>0</v>
      </c>
      <c r="Z163" s="2210">
        <f t="shared" si="54"/>
        <v>0</v>
      </c>
      <c r="AA163" s="2210">
        <f t="shared" si="55"/>
        <v>0</v>
      </c>
      <c r="AB163" s="2210">
        <f t="shared" si="56"/>
        <v>0</v>
      </c>
      <c r="AC163" s="2210">
        <f t="shared" si="57"/>
        <v>0</v>
      </c>
      <c r="AG163" s="2210">
        <f t="shared" si="61"/>
        <v>0</v>
      </c>
      <c r="AH163" s="2210">
        <f t="shared" si="58"/>
        <v>0</v>
      </c>
    </row>
    <row r="164" spans="1:34" x14ac:dyDescent="0.4">
      <c r="A164" s="2210">
        <f t="shared" si="59"/>
        <v>162</v>
      </c>
      <c r="B164" s="2214"/>
      <c r="C164" s="2214"/>
      <c r="D164" s="2214"/>
      <c r="E164" s="2214"/>
      <c r="F164" s="2214"/>
      <c r="G164" s="2214"/>
      <c r="H164" s="2214"/>
      <c r="M164" s="2210">
        <f t="shared" si="44"/>
        <v>0</v>
      </c>
      <c r="N164" s="2210">
        <f t="shared" si="45"/>
        <v>0</v>
      </c>
      <c r="O164" s="2210">
        <f t="shared" si="46"/>
        <v>0</v>
      </c>
      <c r="P164" s="2210">
        <f t="shared" si="47"/>
        <v>0</v>
      </c>
      <c r="Q164" s="2210">
        <f t="shared" si="48"/>
        <v>0</v>
      </c>
      <c r="R164" s="2210">
        <f t="shared" si="49"/>
        <v>0</v>
      </c>
      <c r="S164" s="2210">
        <f t="shared" si="50"/>
        <v>0</v>
      </c>
      <c r="V164" s="2210">
        <f t="shared" si="51"/>
        <v>0</v>
      </c>
      <c r="W164" s="2210">
        <f t="shared" si="52"/>
        <v>0</v>
      </c>
      <c r="X164" s="2210">
        <f t="shared" si="53"/>
        <v>0</v>
      </c>
      <c r="Y164" s="2210">
        <f t="shared" si="60"/>
        <v>0</v>
      </c>
      <c r="Z164" s="2210">
        <f t="shared" si="54"/>
        <v>0</v>
      </c>
      <c r="AA164" s="2210">
        <f t="shared" si="55"/>
        <v>0</v>
      </c>
      <c r="AB164" s="2210">
        <f t="shared" si="56"/>
        <v>0</v>
      </c>
      <c r="AC164" s="2210">
        <f t="shared" si="57"/>
        <v>0</v>
      </c>
      <c r="AG164" s="2210">
        <f t="shared" si="61"/>
        <v>0</v>
      </c>
      <c r="AH164" s="2210">
        <f t="shared" si="58"/>
        <v>0</v>
      </c>
    </row>
    <row r="165" spans="1:34" x14ac:dyDescent="0.4">
      <c r="A165" s="2210">
        <f t="shared" si="59"/>
        <v>163</v>
      </c>
      <c r="B165" s="2214"/>
      <c r="C165" s="2214"/>
      <c r="D165" s="2214"/>
      <c r="E165" s="2214"/>
      <c r="F165" s="2214"/>
      <c r="G165" s="2214"/>
      <c r="H165" s="2214"/>
      <c r="M165" s="2210">
        <f t="shared" si="44"/>
        <v>0</v>
      </c>
      <c r="N165" s="2210">
        <f t="shared" si="45"/>
        <v>0</v>
      </c>
      <c r="O165" s="2210">
        <f t="shared" si="46"/>
        <v>0</v>
      </c>
      <c r="P165" s="2210">
        <f t="shared" si="47"/>
        <v>0</v>
      </c>
      <c r="Q165" s="2210">
        <f t="shared" si="48"/>
        <v>0</v>
      </c>
      <c r="R165" s="2210">
        <f t="shared" si="49"/>
        <v>0</v>
      </c>
      <c r="S165" s="2210">
        <f t="shared" si="50"/>
        <v>0</v>
      </c>
      <c r="V165" s="2210">
        <f t="shared" si="51"/>
        <v>0</v>
      </c>
      <c r="W165" s="2210">
        <f t="shared" si="52"/>
        <v>0</v>
      </c>
      <c r="X165" s="2210">
        <f t="shared" si="53"/>
        <v>0</v>
      </c>
      <c r="Y165" s="2210">
        <f t="shared" si="60"/>
        <v>0</v>
      </c>
      <c r="Z165" s="2210">
        <f t="shared" si="54"/>
        <v>0</v>
      </c>
      <c r="AA165" s="2210">
        <f t="shared" si="55"/>
        <v>0</v>
      </c>
      <c r="AB165" s="2210">
        <f t="shared" si="56"/>
        <v>0</v>
      </c>
      <c r="AC165" s="2210">
        <f t="shared" si="57"/>
        <v>0</v>
      </c>
      <c r="AG165" s="2210">
        <f t="shared" si="61"/>
        <v>0</v>
      </c>
      <c r="AH165" s="2210">
        <f t="shared" si="58"/>
        <v>0</v>
      </c>
    </row>
    <row r="166" spans="1:34" x14ac:dyDescent="0.4">
      <c r="A166" s="2210">
        <f t="shared" si="59"/>
        <v>164</v>
      </c>
      <c r="B166" s="2214"/>
      <c r="C166" s="2214"/>
      <c r="D166" s="2214"/>
      <c r="E166" s="2214"/>
      <c r="F166" s="2214"/>
      <c r="G166" s="2214"/>
      <c r="H166" s="2214"/>
      <c r="M166" s="2210">
        <f t="shared" si="44"/>
        <v>0</v>
      </c>
      <c r="N166" s="2210">
        <f t="shared" si="45"/>
        <v>0</v>
      </c>
      <c r="O166" s="2210">
        <f t="shared" si="46"/>
        <v>0</v>
      </c>
      <c r="P166" s="2210">
        <f t="shared" si="47"/>
        <v>0</v>
      </c>
      <c r="Q166" s="2210">
        <f t="shared" si="48"/>
        <v>0</v>
      </c>
      <c r="R166" s="2210">
        <f t="shared" si="49"/>
        <v>0</v>
      </c>
      <c r="S166" s="2210">
        <f t="shared" si="50"/>
        <v>0</v>
      </c>
      <c r="V166" s="2210">
        <f t="shared" si="51"/>
        <v>0</v>
      </c>
      <c r="W166" s="2210">
        <f t="shared" si="52"/>
        <v>0</v>
      </c>
      <c r="X166" s="2210">
        <f t="shared" si="53"/>
        <v>0</v>
      </c>
      <c r="Y166" s="2210">
        <f t="shared" si="60"/>
        <v>0</v>
      </c>
      <c r="Z166" s="2210">
        <f t="shared" si="54"/>
        <v>0</v>
      </c>
      <c r="AA166" s="2210">
        <f t="shared" si="55"/>
        <v>0</v>
      </c>
      <c r="AB166" s="2210">
        <f t="shared" si="56"/>
        <v>0</v>
      </c>
      <c r="AC166" s="2210">
        <f t="shared" si="57"/>
        <v>0</v>
      </c>
      <c r="AG166" s="2210">
        <f t="shared" si="61"/>
        <v>0</v>
      </c>
      <c r="AH166" s="2210">
        <f t="shared" si="58"/>
        <v>0</v>
      </c>
    </row>
    <row r="167" spans="1:34" x14ac:dyDescent="0.4">
      <c r="A167" s="2210">
        <f t="shared" si="59"/>
        <v>165</v>
      </c>
      <c r="B167" s="2214"/>
      <c r="C167" s="2214"/>
      <c r="D167" s="2214"/>
      <c r="E167" s="2214"/>
      <c r="F167" s="2214"/>
      <c r="G167" s="2214"/>
      <c r="H167" s="2214"/>
      <c r="M167" s="2210">
        <f t="shared" si="44"/>
        <v>0</v>
      </c>
      <c r="N167" s="2210">
        <f t="shared" si="45"/>
        <v>0</v>
      </c>
      <c r="O167" s="2210">
        <f t="shared" si="46"/>
        <v>0</v>
      </c>
      <c r="P167" s="2210">
        <f t="shared" si="47"/>
        <v>0</v>
      </c>
      <c r="Q167" s="2210">
        <f t="shared" si="48"/>
        <v>0</v>
      </c>
      <c r="R167" s="2210">
        <f t="shared" si="49"/>
        <v>0</v>
      </c>
      <c r="S167" s="2210">
        <f t="shared" si="50"/>
        <v>0</v>
      </c>
      <c r="V167" s="2210">
        <f t="shared" si="51"/>
        <v>0</v>
      </c>
      <c r="W167" s="2210">
        <f t="shared" si="52"/>
        <v>0</v>
      </c>
      <c r="X167" s="2210">
        <f t="shared" si="53"/>
        <v>0</v>
      </c>
      <c r="Y167" s="2210">
        <f t="shared" si="60"/>
        <v>0</v>
      </c>
      <c r="Z167" s="2210">
        <f t="shared" si="54"/>
        <v>0</v>
      </c>
      <c r="AA167" s="2210">
        <f t="shared" si="55"/>
        <v>0</v>
      </c>
      <c r="AB167" s="2210">
        <f t="shared" si="56"/>
        <v>0</v>
      </c>
      <c r="AC167" s="2210">
        <f t="shared" si="57"/>
        <v>0</v>
      </c>
      <c r="AG167" s="2210">
        <f t="shared" si="61"/>
        <v>0</v>
      </c>
      <c r="AH167" s="2210">
        <f t="shared" si="58"/>
        <v>0</v>
      </c>
    </row>
    <row r="168" spans="1:34" x14ac:dyDescent="0.4">
      <c r="A168" s="2210">
        <f t="shared" si="59"/>
        <v>166</v>
      </c>
      <c r="B168" s="2214"/>
      <c r="C168" s="2214"/>
      <c r="D168" s="2214"/>
      <c r="E168" s="2214"/>
      <c r="F168" s="2214"/>
      <c r="G168" s="2214"/>
      <c r="H168" s="2214"/>
      <c r="M168" s="2210">
        <f t="shared" si="44"/>
        <v>0</v>
      </c>
      <c r="N168" s="2210">
        <f t="shared" si="45"/>
        <v>0</v>
      </c>
      <c r="O168" s="2210">
        <f t="shared" si="46"/>
        <v>0</v>
      </c>
      <c r="P168" s="2210">
        <f t="shared" si="47"/>
        <v>0</v>
      </c>
      <c r="Q168" s="2210">
        <f t="shared" si="48"/>
        <v>0</v>
      </c>
      <c r="R168" s="2210">
        <f t="shared" si="49"/>
        <v>0</v>
      </c>
      <c r="S168" s="2210">
        <f t="shared" si="50"/>
        <v>0</v>
      </c>
      <c r="V168" s="2210">
        <f t="shared" si="51"/>
        <v>0</v>
      </c>
      <c r="W168" s="2210">
        <f t="shared" si="52"/>
        <v>0</v>
      </c>
      <c r="X168" s="2210">
        <f t="shared" si="53"/>
        <v>0</v>
      </c>
      <c r="Y168" s="2210">
        <f t="shared" si="60"/>
        <v>0</v>
      </c>
      <c r="Z168" s="2210">
        <f t="shared" si="54"/>
        <v>0</v>
      </c>
      <c r="AA168" s="2210">
        <f t="shared" si="55"/>
        <v>0</v>
      </c>
      <c r="AB168" s="2210">
        <f t="shared" si="56"/>
        <v>0</v>
      </c>
      <c r="AC168" s="2210">
        <f t="shared" si="57"/>
        <v>0</v>
      </c>
      <c r="AG168" s="2210">
        <f t="shared" si="61"/>
        <v>0</v>
      </c>
      <c r="AH168" s="2210">
        <f t="shared" si="58"/>
        <v>0</v>
      </c>
    </row>
    <row r="169" spans="1:34" x14ac:dyDescent="0.4">
      <c r="A169" s="2210">
        <f t="shared" si="59"/>
        <v>167</v>
      </c>
      <c r="B169" s="2214"/>
      <c r="C169" s="2214"/>
      <c r="D169" s="2214"/>
      <c r="E169" s="2214"/>
      <c r="F169" s="2214"/>
      <c r="G169" s="2214"/>
      <c r="H169" s="2214"/>
      <c r="M169" s="2210">
        <f t="shared" si="44"/>
        <v>0</v>
      </c>
      <c r="N169" s="2210">
        <f t="shared" si="45"/>
        <v>0</v>
      </c>
      <c r="O169" s="2210">
        <f t="shared" si="46"/>
        <v>0</v>
      </c>
      <c r="P169" s="2210">
        <f t="shared" si="47"/>
        <v>0</v>
      </c>
      <c r="Q169" s="2210">
        <f t="shared" si="48"/>
        <v>0</v>
      </c>
      <c r="R169" s="2210">
        <f t="shared" si="49"/>
        <v>0</v>
      </c>
      <c r="S169" s="2210">
        <f t="shared" si="50"/>
        <v>0</v>
      </c>
      <c r="V169" s="2210">
        <f t="shared" si="51"/>
        <v>0</v>
      </c>
      <c r="W169" s="2210">
        <f t="shared" si="52"/>
        <v>0</v>
      </c>
      <c r="X169" s="2210">
        <f t="shared" si="53"/>
        <v>0</v>
      </c>
      <c r="Y169" s="2210">
        <f t="shared" si="60"/>
        <v>0</v>
      </c>
      <c r="Z169" s="2210">
        <f t="shared" si="54"/>
        <v>0</v>
      </c>
      <c r="AA169" s="2210">
        <f t="shared" si="55"/>
        <v>0</v>
      </c>
      <c r="AB169" s="2210">
        <f t="shared" si="56"/>
        <v>0</v>
      </c>
      <c r="AC169" s="2210">
        <f t="shared" si="57"/>
        <v>0</v>
      </c>
      <c r="AG169" s="2210">
        <f t="shared" si="61"/>
        <v>0</v>
      </c>
      <c r="AH169" s="2210">
        <f t="shared" si="58"/>
        <v>0</v>
      </c>
    </row>
    <row r="170" spans="1:34" x14ac:dyDescent="0.4">
      <c r="A170" s="2210">
        <f t="shared" si="59"/>
        <v>168</v>
      </c>
      <c r="B170" s="2214"/>
      <c r="C170" s="2214"/>
      <c r="D170" s="2214"/>
      <c r="E170" s="2214"/>
      <c r="F170" s="2214"/>
      <c r="G170" s="2214"/>
      <c r="H170" s="2214"/>
      <c r="M170" s="2210">
        <f t="shared" si="44"/>
        <v>0</v>
      </c>
      <c r="N170" s="2210">
        <f t="shared" si="45"/>
        <v>0</v>
      </c>
      <c r="O170" s="2210">
        <f t="shared" si="46"/>
        <v>0</v>
      </c>
      <c r="P170" s="2210">
        <f t="shared" si="47"/>
        <v>0</v>
      </c>
      <c r="Q170" s="2210">
        <f t="shared" si="48"/>
        <v>0</v>
      </c>
      <c r="R170" s="2210">
        <f t="shared" si="49"/>
        <v>0</v>
      </c>
      <c r="S170" s="2210">
        <f t="shared" si="50"/>
        <v>0</v>
      </c>
      <c r="V170" s="2210">
        <f t="shared" si="51"/>
        <v>0</v>
      </c>
      <c r="W170" s="2210">
        <f t="shared" si="52"/>
        <v>0</v>
      </c>
      <c r="X170" s="2210">
        <f t="shared" si="53"/>
        <v>0</v>
      </c>
      <c r="Y170" s="2210">
        <f t="shared" si="60"/>
        <v>0</v>
      </c>
      <c r="Z170" s="2210">
        <f t="shared" si="54"/>
        <v>0</v>
      </c>
      <c r="AA170" s="2210">
        <f t="shared" si="55"/>
        <v>0</v>
      </c>
      <c r="AB170" s="2210">
        <f t="shared" si="56"/>
        <v>0</v>
      </c>
      <c r="AC170" s="2210">
        <f t="shared" si="57"/>
        <v>0</v>
      </c>
      <c r="AG170" s="2210">
        <f t="shared" si="61"/>
        <v>0</v>
      </c>
      <c r="AH170" s="2210">
        <f t="shared" si="58"/>
        <v>0</v>
      </c>
    </row>
    <row r="171" spans="1:34" x14ac:dyDescent="0.4">
      <c r="A171" s="2210">
        <f t="shared" si="59"/>
        <v>169</v>
      </c>
      <c r="B171" s="2214"/>
      <c r="C171" s="2214"/>
      <c r="D171" s="2214"/>
      <c r="E171" s="2214"/>
      <c r="F171" s="2214"/>
      <c r="G171" s="2214"/>
      <c r="H171" s="2214"/>
      <c r="M171" s="2210">
        <f t="shared" si="44"/>
        <v>0</v>
      </c>
      <c r="N171" s="2210">
        <f t="shared" si="45"/>
        <v>0</v>
      </c>
      <c r="O171" s="2210">
        <f t="shared" si="46"/>
        <v>0</v>
      </c>
      <c r="P171" s="2210">
        <f t="shared" si="47"/>
        <v>0</v>
      </c>
      <c r="Q171" s="2210">
        <f t="shared" si="48"/>
        <v>0</v>
      </c>
      <c r="R171" s="2210">
        <f t="shared" si="49"/>
        <v>0</v>
      </c>
      <c r="S171" s="2210">
        <f t="shared" si="50"/>
        <v>0</v>
      </c>
      <c r="V171" s="2210">
        <f t="shared" si="51"/>
        <v>0</v>
      </c>
      <c r="W171" s="2210">
        <f t="shared" si="52"/>
        <v>0</v>
      </c>
      <c r="X171" s="2210">
        <f t="shared" si="53"/>
        <v>0</v>
      </c>
      <c r="Y171" s="2210">
        <f t="shared" si="60"/>
        <v>0</v>
      </c>
      <c r="Z171" s="2210">
        <f t="shared" si="54"/>
        <v>0</v>
      </c>
      <c r="AA171" s="2210">
        <f t="shared" si="55"/>
        <v>0</v>
      </c>
      <c r="AB171" s="2210">
        <f t="shared" si="56"/>
        <v>0</v>
      </c>
      <c r="AC171" s="2210">
        <f t="shared" si="57"/>
        <v>0</v>
      </c>
      <c r="AG171" s="2210">
        <f t="shared" si="61"/>
        <v>0</v>
      </c>
      <c r="AH171" s="2210">
        <f t="shared" si="58"/>
        <v>0</v>
      </c>
    </row>
    <row r="172" spans="1:34" x14ac:dyDescent="0.4">
      <c r="A172" s="2210">
        <f t="shared" si="59"/>
        <v>170</v>
      </c>
      <c r="B172" s="2214"/>
      <c r="C172" s="2214"/>
      <c r="D172" s="2214"/>
      <c r="E172" s="2214"/>
      <c r="F172" s="2214"/>
      <c r="G172" s="2214"/>
      <c r="H172" s="2214"/>
      <c r="M172" s="2210">
        <f t="shared" si="44"/>
        <v>0</v>
      </c>
      <c r="N172" s="2210">
        <f t="shared" si="45"/>
        <v>0</v>
      </c>
      <c r="O172" s="2210">
        <f t="shared" si="46"/>
        <v>0</v>
      </c>
      <c r="P172" s="2210">
        <f t="shared" si="47"/>
        <v>0</v>
      </c>
      <c r="Q172" s="2210">
        <f t="shared" si="48"/>
        <v>0</v>
      </c>
      <c r="R172" s="2210">
        <f t="shared" si="49"/>
        <v>0</v>
      </c>
      <c r="S172" s="2210">
        <f t="shared" si="50"/>
        <v>0</v>
      </c>
      <c r="V172" s="2210">
        <f t="shared" si="51"/>
        <v>0</v>
      </c>
      <c r="W172" s="2210">
        <f t="shared" si="52"/>
        <v>0</v>
      </c>
      <c r="X172" s="2210">
        <f t="shared" si="53"/>
        <v>0</v>
      </c>
      <c r="Y172" s="2210">
        <f t="shared" si="60"/>
        <v>0</v>
      </c>
      <c r="Z172" s="2210">
        <f t="shared" si="54"/>
        <v>0</v>
      </c>
      <c r="AA172" s="2210">
        <f t="shared" si="55"/>
        <v>0</v>
      </c>
      <c r="AB172" s="2210">
        <f t="shared" si="56"/>
        <v>0</v>
      </c>
      <c r="AC172" s="2210">
        <f t="shared" si="57"/>
        <v>0</v>
      </c>
      <c r="AG172" s="2210">
        <f t="shared" si="61"/>
        <v>0</v>
      </c>
      <c r="AH172" s="2210">
        <f t="shared" si="58"/>
        <v>0</v>
      </c>
    </row>
    <row r="173" spans="1:34" x14ac:dyDescent="0.4">
      <c r="A173" s="2210">
        <f t="shared" si="59"/>
        <v>171</v>
      </c>
      <c r="B173" s="2214"/>
      <c r="C173" s="2214"/>
      <c r="D173" s="2214"/>
      <c r="E173" s="2214"/>
      <c r="F173" s="2214"/>
      <c r="G173" s="2214"/>
      <c r="H173" s="2214"/>
      <c r="M173" s="2210">
        <f t="shared" si="44"/>
        <v>0</v>
      </c>
      <c r="N173" s="2210">
        <f t="shared" si="45"/>
        <v>0</v>
      </c>
      <c r="O173" s="2210">
        <f t="shared" si="46"/>
        <v>0</v>
      </c>
      <c r="P173" s="2210">
        <f t="shared" si="47"/>
        <v>0</v>
      </c>
      <c r="Q173" s="2210">
        <f t="shared" si="48"/>
        <v>0</v>
      </c>
      <c r="R173" s="2210">
        <f t="shared" si="49"/>
        <v>0</v>
      </c>
      <c r="S173" s="2210">
        <f t="shared" si="50"/>
        <v>0</v>
      </c>
      <c r="V173" s="2210">
        <f t="shared" si="51"/>
        <v>0</v>
      </c>
      <c r="W173" s="2210">
        <f t="shared" si="52"/>
        <v>0</v>
      </c>
      <c r="X173" s="2210">
        <f t="shared" si="53"/>
        <v>0</v>
      </c>
      <c r="Y173" s="2210">
        <f t="shared" si="60"/>
        <v>0</v>
      </c>
      <c r="Z173" s="2210">
        <f t="shared" si="54"/>
        <v>0</v>
      </c>
      <c r="AA173" s="2210">
        <f t="shared" si="55"/>
        <v>0</v>
      </c>
      <c r="AB173" s="2210">
        <f t="shared" si="56"/>
        <v>0</v>
      </c>
      <c r="AC173" s="2210">
        <f t="shared" si="57"/>
        <v>0</v>
      </c>
      <c r="AG173" s="2210">
        <f t="shared" si="61"/>
        <v>0</v>
      </c>
      <c r="AH173" s="2210">
        <f t="shared" si="58"/>
        <v>0</v>
      </c>
    </row>
    <row r="174" spans="1:34" x14ac:dyDescent="0.4">
      <c r="A174" s="2210">
        <f t="shared" si="59"/>
        <v>172</v>
      </c>
      <c r="B174" s="2214"/>
      <c r="C174" s="2214"/>
      <c r="D174" s="2214"/>
      <c r="E174" s="2214"/>
      <c r="F174" s="2214"/>
      <c r="G174" s="2214"/>
      <c r="H174" s="2214"/>
      <c r="M174" s="2210">
        <f t="shared" si="44"/>
        <v>0</v>
      </c>
      <c r="N174" s="2210">
        <f t="shared" si="45"/>
        <v>0</v>
      </c>
      <c r="O174" s="2210">
        <f t="shared" si="46"/>
        <v>0</v>
      </c>
      <c r="P174" s="2210">
        <f t="shared" si="47"/>
        <v>0</v>
      </c>
      <c r="Q174" s="2210">
        <f t="shared" si="48"/>
        <v>0</v>
      </c>
      <c r="R174" s="2210">
        <f t="shared" si="49"/>
        <v>0</v>
      </c>
      <c r="S174" s="2210">
        <f t="shared" si="50"/>
        <v>0</v>
      </c>
      <c r="V174" s="2210">
        <f t="shared" si="51"/>
        <v>0</v>
      </c>
      <c r="W174" s="2210">
        <f t="shared" si="52"/>
        <v>0</v>
      </c>
      <c r="X174" s="2210">
        <f t="shared" si="53"/>
        <v>0</v>
      </c>
      <c r="Y174" s="2210">
        <f t="shared" si="60"/>
        <v>0</v>
      </c>
      <c r="Z174" s="2210">
        <f t="shared" si="54"/>
        <v>0</v>
      </c>
      <c r="AA174" s="2210">
        <f t="shared" si="55"/>
        <v>0</v>
      </c>
      <c r="AB174" s="2210">
        <f t="shared" si="56"/>
        <v>0</v>
      </c>
      <c r="AC174" s="2210">
        <f t="shared" si="57"/>
        <v>0</v>
      </c>
      <c r="AG174" s="2210">
        <f t="shared" si="61"/>
        <v>0</v>
      </c>
      <c r="AH174" s="2210">
        <f t="shared" si="58"/>
        <v>0</v>
      </c>
    </row>
    <row r="175" spans="1:34" x14ac:dyDescent="0.4">
      <c r="A175" s="2210">
        <f t="shared" si="59"/>
        <v>173</v>
      </c>
      <c r="B175" s="2214"/>
      <c r="C175" s="2214"/>
      <c r="D175" s="2214"/>
      <c r="E175" s="2214"/>
      <c r="F175" s="2214"/>
      <c r="G175" s="2214"/>
      <c r="H175" s="2214"/>
      <c r="M175" s="2210">
        <f t="shared" si="44"/>
        <v>0</v>
      </c>
      <c r="N175" s="2210">
        <f t="shared" si="45"/>
        <v>0</v>
      </c>
      <c r="O175" s="2210">
        <f t="shared" si="46"/>
        <v>0</v>
      </c>
      <c r="P175" s="2210">
        <f t="shared" si="47"/>
        <v>0</v>
      </c>
      <c r="Q175" s="2210">
        <f t="shared" si="48"/>
        <v>0</v>
      </c>
      <c r="R175" s="2210">
        <f t="shared" si="49"/>
        <v>0</v>
      </c>
      <c r="S175" s="2210">
        <f t="shared" si="50"/>
        <v>0</v>
      </c>
      <c r="V175" s="2210">
        <f t="shared" si="51"/>
        <v>0</v>
      </c>
      <c r="W175" s="2210">
        <f t="shared" si="52"/>
        <v>0</v>
      </c>
      <c r="X175" s="2210">
        <f t="shared" si="53"/>
        <v>0</v>
      </c>
      <c r="Y175" s="2210">
        <f t="shared" si="60"/>
        <v>0</v>
      </c>
      <c r="Z175" s="2210">
        <f t="shared" si="54"/>
        <v>0</v>
      </c>
      <c r="AA175" s="2210">
        <f t="shared" si="55"/>
        <v>0</v>
      </c>
      <c r="AB175" s="2210">
        <f t="shared" si="56"/>
        <v>0</v>
      </c>
      <c r="AC175" s="2210">
        <f t="shared" si="57"/>
        <v>0</v>
      </c>
      <c r="AG175" s="2210">
        <f t="shared" si="61"/>
        <v>0</v>
      </c>
      <c r="AH175" s="2210">
        <f t="shared" si="58"/>
        <v>0</v>
      </c>
    </row>
    <row r="176" spans="1:34" x14ac:dyDescent="0.4">
      <c r="A176" s="2210">
        <f>A175+1</f>
        <v>174</v>
      </c>
      <c r="B176" s="2214"/>
      <c r="C176" s="2214"/>
      <c r="D176" s="2214"/>
      <c r="E176" s="2214"/>
      <c r="F176" s="2214"/>
      <c r="G176" s="2214"/>
      <c r="H176" s="2214"/>
      <c r="M176" s="2210">
        <f t="shared" si="44"/>
        <v>0</v>
      </c>
      <c r="N176" s="2210">
        <f t="shared" si="45"/>
        <v>0</v>
      </c>
      <c r="O176" s="2210">
        <f t="shared" si="46"/>
        <v>0</v>
      </c>
      <c r="P176" s="2210">
        <f t="shared" si="47"/>
        <v>0</v>
      </c>
      <c r="Q176" s="2210">
        <f t="shared" si="48"/>
        <v>0</v>
      </c>
      <c r="R176" s="2210">
        <f t="shared" si="49"/>
        <v>0</v>
      </c>
      <c r="S176" s="2210">
        <f t="shared" si="50"/>
        <v>0</v>
      </c>
      <c r="V176" s="2210">
        <f t="shared" si="51"/>
        <v>0</v>
      </c>
      <c r="W176" s="2210">
        <f t="shared" si="52"/>
        <v>0</v>
      </c>
      <c r="X176" s="2210">
        <f t="shared" si="53"/>
        <v>0</v>
      </c>
      <c r="Y176" s="2210">
        <f t="shared" si="60"/>
        <v>0</v>
      </c>
      <c r="Z176" s="2210">
        <f t="shared" si="54"/>
        <v>0</v>
      </c>
      <c r="AA176" s="2210">
        <f t="shared" si="55"/>
        <v>0</v>
      </c>
      <c r="AB176" s="2210">
        <f t="shared" si="56"/>
        <v>0</v>
      </c>
      <c r="AC176" s="2210">
        <f t="shared" si="57"/>
        <v>0</v>
      </c>
      <c r="AG176" s="2210">
        <f t="shared" si="61"/>
        <v>0</v>
      </c>
      <c r="AH176" s="2210">
        <f t="shared" si="58"/>
        <v>0</v>
      </c>
    </row>
    <row r="177" spans="1:34" x14ac:dyDescent="0.4">
      <c r="A177" s="2210">
        <f t="shared" ref="A177:A240" si="62">A176+1</f>
        <v>175</v>
      </c>
      <c r="B177" s="2214"/>
      <c r="C177" s="2214"/>
      <c r="D177" s="2214"/>
      <c r="E177" s="2214"/>
      <c r="F177" s="2214"/>
      <c r="G177" s="2214"/>
      <c r="H177" s="2214"/>
      <c r="M177" s="2210">
        <f t="shared" si="44"/>
        <v>0</v>
      </c>
      <c r="N177" s="2210">
        <f t="shared" si="45"/>
        <v>0</v>
      </c>
      <c r="O177" s="2210">
        <f t="shared" si="46"/>
        <v>0</v>
      </c>
      <c r="P177" s="2210">
        <f t="shared" si="47"/>
        <v>0</v>
      </c>
      <c r="Q177" s="2210">
        <f t="shared" si="48"/>
        <v>0</v>
      </c>
      <c r="R177" s="2210">
        <f t="shared" si="49"/>
        <v>0</v>
      </c>
      <c r="S177" s="2210">
        <f t="shared" si="50"/>
        <v>0</v>
      </c>
      <c r="V177" s="2210">
        <f t="shared" si="51"/>
        <v>0</v>
      </c>
      <c r="W177" s="2210">
        <f t="shared" si="52"/>
        <v>0</v>
      </c>
      <c r="X177" s="2210">
        <f t="shared" si="53"/>
        <v>0</v>
      </c>
      <c r="Y177" s="2210">
        <f t="shared" si="60"/>
        <v>0</v>
      </c>
      <c r="Z177" s="2210">
        <f t="shared" si="54"/>
        <v>0</v>
      </c>
      <c r="AA177" s="2210">
        <f t="shared" si="55"/>
        <v>0</v>
      </c>
      <c r="AB177" s="2210">
        <f t="shared" si="56"/>
        <v>0</v>
      </c>
      <c r="AC177" s="2210">
        <f t="shared" si="57"/>
        <v>0</v>
      </c>
      <c r="AG177" s="2210">
        <f t="shared" si="61"/>
        <v>0</v>
      </c>
      <c r="AH177" s="2210">
        <f t="shared" si="58"/>
        <v>0</v>
      </c>
    </row>
    <row r="178" spans="1:34" x14ac:dyDescent="0.4">
      <c r="A178" s="2210">
        <f t="shared" si="62"/>
        <v>176</v>
      </c>
      <c r="B178" s="2214"/>
      <c r="C178" s="2214"/>
      <c r="D178" s="2214"/>
      <c r="E178" s="2214"/>
      <c r="F178" s="2214"/>
      <c r="G178" s="2214"/>
      <c r="H178" s="2214"/>
      <c r="M178" s="2210">
        <f t="shared" si="44"/>
        <v>0</v>
      </c>
      <c r="N178" s="2210">
        <f t="shared" si="45"/>
        <v>0</v>
      </c>
      <c r="O178" s="2210">
        <f t="shared" si="46"/>
        <v>0</v>
      </c>
      <c r="P178" s="2210">
        <f t="shared" si="47"/>
        <v>0</v>
      </c>
      <c r="Q178" s="2210">
        <f t="shared" si="48"/>
        <v>0</v>
      </c>
      <c r="R178" s="2210">
        <f t="shared" si="49"/>
        <v>0</v>
      </c>
      <c r="S178" s="2210">
        <f t="shared" si="50"/>
        <v>0</v>
      </c>
      <c r="V178" s="2210">
        <f t="shared" si="51"/>
        <v>0</v>
      </c>
      <c r="W178" s="2210">
        <f t="shared" si="52"/>
        <v>0</v>
      </c>
      <c r="X178" s="2210">
        <f t="shared" si="53"/>
        <v>0</v>
      </c>
      <c r="Y178" s="2210">
        <f t="shared" si="60"/>
        <v>0</v>
      </c>
      <c r="Z178" s="2210">
        <f t="shared" si="54"/>
        <v>0</v>
      </c>
      <c r="AA178" s="2210">
        <f t="shared" si="55"/>
        <v>0</v>
      </c>
      <c r="AB178" s="2210">
        <f t="shared" si="56"/>
        <v>0</v>
      </c>
      <c r="AC178" s="2210">
        <f t="shared" si="57"/>
        <v>0</v>
      </c>
      <c r="AG178" s="2210">
        <f t="shared" si="61"/>
        <v>0</v>
      </c>
      <c r="AH178" s="2210">
        <f t="shared" si="58"/>
        <v>0</v>
      </c>
    </row>
    <row r="179" spans="1:34" x14ac:dyDescent="0.4">
      <c r="A179" s="2210">
        <f t="shared" si="62"/>
        <v>177</v>
      </c>
      <c r="B179" s="2214"/>
      <c r="C179" s="2214"/>
      <c r="D179" s="2214"/>
      <c r="E179" s="2214"/>
      <c r="F179" s="2214"/>
      <c r="G179" s="2214"/>
      <c r="H179" s="2214"/>
      <c r="M179" s="2210">
        <f t="shared" si="44"/>
        <v>0</v>
      </c>
      <c r="N179" s="2210">
        <f t="shared" si="45"/>
        <v>0</v>
      </c>
      <c r="O179" s="2210">
        <f t="shared" si="46"/>
        <v>0</v>
      </c>
      <c r="P179" s="2210">
        <f t="shared" si="47"/>
        <v>0</v>
      </c>
      <c r="Q179" s="2210">
        <f t="shared" si="48"/>
        <v>0</v>
      </c>
      <c r="R179" s="2210">
        <f t="shared" si="49"/>
        <v>0</v>
      </c>
      <c r="S179" s="2210">
        <f t="shared" si="50"/>
        <v>0</v>
      </c>
      <c r="V179" s="2210">
        <f t="shared" si="51"/>
        <v>0</v>
      </c>
      <c r="W179" s="2210">
        <f t="shared" si="52"/>
        <v>0</v>
      </c>
      <c r="X179" s="2210">
        <f t="shared" si="53"/>
        <v>0</v>
      </c>
      <c r="Y179" s="2210">
        <f t="shared" si="60"/>
        <v>0</v>
      </c>
      <c r="Z179" s="2210">
        <f t="shared" si="54"/>
        <v>0</v>
      </c>
      <c r="AA179" s="2210">
        <f t="shared" si="55"/>
        <v>0</v>
      </c>
      <c r="AB179" s="2210">
        <f t="shared" si="56"/>
        <v>0</v>
      </c>
      <c r="AC179" s="2210">
        <f t="shared" si="57"/>
        <v>0</v>
      </c>
      <c r="AG179" s="2210">
        <f t="shared" si="61"/>
        <v>0</v>
      </c>
      <c r="AH179" s="2210">
        <f t="shared" si="58"/>
        <v>0</v>
      </c>
    </row>
    <row r="180" spans="1:34" x14ac:dyDescent="0.4">
      <c r="A180" s="2210">
        <f t="shared" si="62"/>
        <v>178</v>
      </c>
      <c r="B180" s="2214"/>
      <c r="C180" s="2214"/>
      <c r="D180" s="2214"/>
      <c r="E180" s="2214"/>
      <c r="F180" s="2214"/>
      <c r="G180" s="2214"/>
      <c r="H180" s="2214"/>
      <c r="M180" s="2210">
        <f t="shared" si="44"/>
        <v>0</v>
      </c>
      <c r="N180" s="2210">
        <f t="shared" si="45"/>
        <v>0</v>
      </c>
      <c r="O180" s="2210">
        <f t="shared" si="46"/>
        <v>0</v>
      </c>
      <c r="P180" s="2210">
        <f t="shared" si="47"/>
        <v>0</v>
      </c>
      <c r="Q180" s="2210">
        <f t="shared" si="48"/>
        <v>0</v>
      </c>
      <c r="R180" s="2210">
        <f t="shared" si="49"/>
        <v>0</v>
      </c>
      <c r="S180" s="2210">
        <f t="shared" si="50"/>
        <v>0</v>
      </c>
      <c r="V180" s="2210">
        <f t="shared" si="51"/>
        <v>0</v>
      </c>
      <c r="W180" s="2210">
        <f t="shared" si="52"/>
        <v>0</v>
      </c>
      <c r="X180" s="2210">
        <f t="shared" si="53"/>
        <v>0</v>
      </c>
      <c r="Y180" s="2210">
        <f t="shared" si="60"/>
        <v>0</v>
      </c>
      <c r="Z180" s="2210">
        <f t="shared" si="54"/>
        <v>0</v>
      </c>
      <c r="AA180" s="2210">
        <f t="shared" si="55"/>
        <v>0</v>
      </c>
      <c r="AB180" s="2210">
        <f t="shared" si="56"/>
        <v>0</v>
      </c>
      <c r="AC180" s="2210">
        <f t="shared" si="57"/>
        <v>0</v>
      </c>
      <c r="AG180" s="2210">
        <f t="shared" si="61"/>
        <v>0</v>
      </c>
      <c r="AH180" s="2210">
        <f t="shared" si="58"/>
        <v>0</v>
      </c>
    </row>
    <row r="181" spans="1:34" x14ac:dyDescent="0.4">
      <c r="A181" s="2210">
        <f t="shared" si="62"/>
        <v>179</v>
      </c>
      <c r="B181" s="2214"/>
      <c r="C181" s="2214"/>
      <c r="D181" s="2214"/>
      <c r="E181" s="2214"/>
      <c r="F181" s="2214"/>
      <c r="G181" s="2214"/>
      <c r="H181" s="2214"/>
      <c r="M181" s="2210">
        <f t="shared" si="44"/>
        <v>0</v>
      </c>
      <c r="N181" s="2210">
        <f t="shared" si="45"/>
        <v>0</v>
      </c>
      <c r="O181" s="2210">
        <f t="shared" si="46"/>
        <v>0</v>
      </c>
      <c r="P181" s="2210">
        <f t="shared" si="47"/>
        <v>0</v>
      </c>
      <c r="Q181" s="2210">
        <f t="shared" si="48"/>
        <v>0</v>
      </c>
      <c r="R181" s="2210">
        <f t="shared" si="49"/>
        <v>0</v>
      </c>
      <c r="S181" s="2210">
        <f t="shared" si="50"/>
        <v>0</v>
      </c>
      <c r="V181" s="2210">
        <f t="shared" si="51"/>
        <v>0</v>
      </c>
      <c r="W181" s="2210">
        <f t="shared" si="52"/>
        <v>0</v>
      </c>
      <c r="X181" s="2210">
        <f t="shared" si="53"/>
        <v>0</v>
      </c>
      <c r="Y181" s="2210">
        <f t="shared" si="60"/>
        <v>0</v>
      </c>
      <c r="Z181" s="2210">
        <f t="shared" si="54"/>
        <v>0</v>
      </c>
      <c r="AA181" s="2210">
        <f t="shared" si="55"/>
        <v>0</v>
      </c>
      <c r="AB181" s="2210">
        <f t="shared" si="56"/>
        <v>0</v>
      </c>
      <c r="AC181" s="2210">
        <f t="shared" si="57"/>
        <v>0</v>
      </c>
      <c r="AG181" s="2210">
        <f t="shared" si="61"/>
        <v>0</v>
      </c>
      <c r="AH181" s="2210">
        <f t="shared" si="58"/>
        <v>0</v>
      </c>
    </row>
    <row r="182" spans="1:34" x14ac:dyDescent="0.4">
      <c r="A182" s="2210">
        <f t="shared" si="62"/>
        <v>180</v>
      </c>
      <c r="B182" s="2214"/>
      <c r="C182" s="2214"/>
      <c r="D182" s="2214"/>
      <c r="E182" s="2214"/>
      <c r="F182" s="2214"/>
      <c r="G182" s="2214"/>
      <c r="H182" s="2214"/>
      <c r="M182" s="2210">
        <f t="shared" si="44"/>
        <v>0</v>
      </c>
      <c r="N182" s="2210">
        <f t="shared" si="45"/>
        <v>0</v>
      </c>
      <c r="O182" s="2210">
        <f t="shared" si="46"/>
        <v>0</v>
      </c>
      <c r="P182" s="2210">
        <f t="shared" si="47"/>
        <v>0</v>
      </c>
      <c r="Q182" s="2210">
        <f t="shared" si="48"/>
        <v>0</v>
      </c>
      <c r="R182" s="2210">
        <f t="shared" si="49"/>
        <v>0</v>
      </c>
      <c r="S182" s="2210">
        <f t="shared" si="50"/>
        <v>0</v>
      </c>
      <c r="V182" s="2210">
        <f t="shared" si="51"/>
        <v>0</v>
      </c>
      <c r="W182" s="2210">
        <f t="shared" si="52"/>
        <v>0</v>
      </c>
      <c r="X182" s="2210">
        <f t="shared" si="53"/>
        <v>0</v>
      </c>
      <c r="Y182" s="2210">
        <f t="shared" si="60"/>
        <v>0</v>
      </c>
      <c r="Z182" s="2210">
        <f t="shared" si="54"/>
        <v>0</v>
      </c>
      <c r="AA182" s="2210">
        <f t="shared" si="55"/>
        <v>0</v>
      </c>
      <c r="AB182" s="2210">
        <f t="shared" si="56"/>
        <v>0</v>
      </c>
      <c r="AC182" s="2210">
        <f t="shared" si="57"/>
        <v>0</v>
      </c>
      <c r="AG182" s="2210">
        <f t="shared" si="61"/>
        <v>0</v>
      </c>
      <c r="AH182" s="2210">
        <f t="shared" si="58"/>
        <v>0</v>
      </c>
    </row>
    <row r="183" spans="1:34" x14ac:dyDescent="0.4">
      <c r="A183" s="2210">
        <f t="shared" si="62"/>
        <v>181</v>
      </c>
      <c r="B183" s="2214"/>
      <c r="C183" s="2214"/>
      <c r="D183" s="2214"/>
      <c r="E183" s="2214"/>
      <c r="F183" s="2214"/>
      <c r="G183" s="2214"/>
      <c r="H183" s="2214"/>
      <c r="M183" s="2210">
        <f t="shared" si="44"/>
        <v>0</v>
      </c>
      <c r="N183" s="2210">
        <f t="shared" si="45"/>
        <v>0</v>
      </c>
      <c r="O183" s="2210">
        <f t="shared" si="46"/>
        <v>0</v>
      </c>
      <c r="P183" s="2210">
        <f t="shared" si="47"/>
        <v>0</v>
      </c>
      <c r="Q183" s="2210">
        <f t="shared" si="48"/>
        <v>0</v>
      </c>
      <c r="R183" s="2210">
        <f t="shared" si="49"/>
        <v>0</v>
      </c>
      <c r="S183" s="2210">
        <f t="shared" si="50"/>
        <v>0</v>
      </c>
      <c r="V183" s="2210">
        <f t="shared" si="51"/>
        <v>0</v>
      </c>
      <c r="W183" s="2210">
        <f t="shared" si="52"/>
        <v>0</v>
      </c>
      <c r="X183" s="2210">
        <f t="shared" si="53"/>
        <v>0</v>
      </c>
      <c r="Y183" s="2210">
        <f t="shared" si="60"/>
        <v>0</v>
      </c>
      <c r="Z183" s="2210">
        <f t="shared" si="54"/>
        <v>0</v>
      </c>
      <c r="AA183" s="2210">
        <f t="shared" si="55"/>
        <v>0</v>
      </c>
      <c r="AB183" s="2210">
        <f t="shared" si="56"/>
        <v>0</v>
      </c>
      <c r="AC183" s="2210">
        <f t="shared" si="57"/>
        <v>0</v>
      </c>
      <c r="AG183" s="2210">
        <f t="shared" si="61"/>
        <v>0</v>
      </c>
      <c r="AH183" s="2210">
        <f t="shared" si="58"/>
        <v>0</v>
      </c>
    </row>
    <row r="184" spans="1:34" x14ac:dyDescent="0.4">
      <c r="A184" s="2210">
        <f t="shared" si="62"/>
        <v>182</v>
      </c>
      <c r="B184" s="2214"/>
      <c r="C184" s="2214"/>
      <c r="D184" s="2214"/>
      <c r="E184" s="2214"/>
      <c r="F184" s="2214"/>
      <c r="G184" s="2214"/>
      <c r="H184" s="2214"/>
      <c r="M184" s="2210">
        <f t="shared" si="44"/>
        <v>0</v>
      </c>
      <c r="N184" s="2210">
        <f t="shared" si="45"/>
        <v>0</v>
      </c>
      <c r="O184" s="2210">
        <f t="shared" si="46"/>
        <v>0</v>
      </c>
      <c r="P184" s="2210">
        <f t="shared" si="47"/>
        <v>0</v>
      </c>
      <c r="Q184" s="2210">
        <f t="shared" si="48"/>
        <v>0</v>
      </c>
      <c r="R184" s="2210">
        <f t="shared" si="49"/>
        <v>0</v>
      </c>
      <c r="S184" s="2210">
        <f t="shared" si="50"/>
        <v>0</v>
      </c>
      <c r="V184" s="2210">
        <f t="shared" si="51"/>
        <v>0</v>
      </c>
      <c r="W184" s="2210">
        <f t="shared" si="52"/>
        <v>0</v>
      </c>
      <c r="X184" s="2210">
        <f t="shared" si="53"/>
        <v>0</v>
      </c>
      <c r="Y184" s="2210">
        <f t="shared" si="60"/>
        <v>0</v>
      </c>
      <c r="Z184" s="2210">
        <f t="shared" si="54"/>
        <v>0</v>
      </c>
      <c r="AA184" s="2210">
        <f t="shared" si="55"/>
        <v>0</v>
      </c>
      <c r="AB184" s="2210">
        <f t="shared" si="56"/>
        <v>0</v>
      </c>
      <c r="AC184" s="2210">
        <f t="shared" si="57"/>
        <v>0</v>
      </c>
      <c r="AG184" s="2210">
        <f t="shared" si="61"/>
        <v>0</v>
      </c>
      <c r="AH184" s="2210">
        <f t="shared" si="58"/>
        <v>0</v>
      </c>
    </row>
    <row r="185" spans="1:34" x14ac:dyDescent="0.4">
      <c r="A185" s="2210">
        <f t="shared" si="62"/>
        <v>183</v>
      </c>
      <c r="B185" s="2214"/>
      <c r="C185" s="2214"/>
      <c r="D185" s="2214"/>
      <c r="E185" s="2214"/>
      <c r="F185" s="2214"/>
      <c r="G185" s="2214"/>
      <c r="H185" s="2214"/>
      <c r="M185" s="2210">
        <f t="shared" si="44"/>
        <v>0</v>
      </c>
      <c r="N185" s="2210">
        <f t="shared" si="45"/>
        <v>0</v>
      </c>
      <c r="O185" s="2210">
        <f t="shared" si="46"/>
        <v>0</v>
      </c>
      <c r="P185" s="2210">
        <f t="shared" si="47"/>
        <v>0</v>
      </c>
      <c r="Q185" s="2210">
        <f t="shared" si="48"/>
        <v>0</v>
      </c>
      <c r="R185" s="2210">
        <f t="shared" si="49"/>
        <v>0</v>
      </c>
      <c r="S185" s="2210">
        <f t="shared" si="50"/>
        <v>0</v>
      </c>
      <c r="V185" s="2210">
        <f t="shared" si="51"/>
        <v>0</v>
      </c>
      <c r="W185" s="2210">
        <f t="shared" si="52"/>
        <v>0</v>
      </c>
      <c r="X185" s="2210">
        <f t="shared" si="53"/>
        <v>0</v>
      </c>
      <c r="Y185" s="2210">
        <f t="shared" si="60"/>
        <v>0</v>
      </c>
      <c r="Z185" s="2210">
        <f t="shared" si="54"/>
        <v>0</v>
      </c>
      <c r="AA185" s="2210">
        <f t="shared" si="55"/>
        <v>0</v>
      </c>
      <c r="AB185" s="2210">
        <f t="shared" si="56"/>
        <v>0</v>
      </c>
      <c r="AC185" s="2210">
        <f t="shared" si="57"/>
        <v>0</v>
      </c>
      <c r="AG185" s="2210">
        <f t="shared" si="61"/>
        <v>0</v>
      </c>
      <c r="AH185" s="2210">
        <f t="shared" si="58"/>
        <v>0</v>
      </c>
    </row>
    <row r="186" spans="1:34" x14ac:dyDescent="0.4">
      <c r="A186" s="2210">
        <f t="shared" si="62"/>
        <v>184</v>
      </c>
      <c r="B186" s="2214"/>
      <c r="C186" s="2214"/>
      <c r="D186" s="2214"/>
      <c r="E186" s="2214"/>
      <c r="F186" s="2214"/>
      <c r="G186" s="2214"/>
      <c r="H186" s="2214"/>
      <c r="M186" s="2210">
        <f t="shared" si="44"/>
        <v>0</v>
      </c>
      <c r="N186" s="2210">
        <f t="shared" si="45"/>
        <v>0</v>
      </c>
      <c r="O186" s="2210">
        <f t="shared" si="46"/>
        <v>0</v>
      </c>
      <c r="P186" s="2210">
        <f t="shared" si="47"/>
        <v>0</v>
      </c>
      <c r="Q186" s="2210">
        <f t="shared" si="48"/>
        <v>0</v>
      </c>
      <c r="R186" s="2210">
        <f t="shared" si="49"/>
        <v>0</v>
      </c>
      <c r="S186" s="2210">
        <f t="shared" si="50"/>
        <v>0</v>
      </c>
      <c r="V186" s="2210">
        <f t="shared" si="51"/>
        <v>0</v>
      </c>
      <c r="W186" s="2210">
        <f t="shared" si="52"/>
        <v>0</v>
      </c>
      <c r="X186" s="2210">
        <f t="shared" si="53"/>
        <v>0</v>
      </c>
      <c r="Y186" s="2210">
        <f t="shared" si="60"/>
        <v>0</v>
      </c>
      <c r="Z186" s="2210">
        <f t="shared" si="54"/>
        <v>0</v>
      </c>
      <c r="AA186" s="2210">
        <f t="shared" si="55"/>
        <v>0</v>
      </c>
      <c r="AB186" s="2210">
        <f t="shared" si="56"/>
        <v>0</v>
      </c>
      <c r="AC186" s="2210">
        <f t="shared" si="57"/>
        <v>0</v>
      </c>
      <c r="AG186" s="2210">
        <f t="shared" si="61"/>
        <v>0</v>
      </c>
      <c r="AH186" s="2210">
        <f t="shared" si="58"/>
        <v>0</v>
      </c>
    </row>
    <row r="187" spans="1:34" x14ac:dyDescent="0.4">
      <c r="A187" s="2210">
        <f t="shared" si="62"/>
        <v>185</v>
      </c>
      <c r="B187" s="2214"/>
      <c r="C187" s="2214"/>
      <c r="D187" s="2214"/>
      <c r="E187" s="2214"/>
      <c r="F187" s="2214"/>
      <c r="G187" s="2214"/>
      <c r="H187" s="2214"/>
      <c r="M187" s="2210">
        <f t="shared" si="44"/>
        <v>0</v>
      </c>
      <c r="N187" s="2210">
        <f t="shared" si="45"/>
        <v>0</v>
      </c>
      <c r="O187" s="2210">
        <f t="shared" si="46"/>
        <v>0</v>
      </c>
      <c r="P187" s="2210">
        <f t="shared" si="47"/>
        <v>0</v>
      </c>
      <c r="Q187" s="2210">
        <f t="shared" si="48"/>
        <v>0</v>
      </c>
      <c r="R187" s="2210">
        <f t="shared" si="49"/>
        <v>0</v>
      </c>
      <c r="S187" s="2210">
        <f t="shared" si="50"/>
        <v>0</v>
      </c>
      <c r="V187" s="2210">
        <f t="shared" si="51"/>
        <v>0</v>
      </c>
      <c r="W187" s="2210">
        <f t="shared" si="52"/>
        <v>0</v>
      </c>
      <c r="X187" s="2210">
        <f t="shared" si="53"/>
        <v>0</v>
      </c>
      <c r="Y187" s="2210">
        <f t="shared" si="60"/>
        <v>0</v>
      </c>
      <c r="Z187" s="2210">
        <f t="shared" si="54"/>
        <v>0</v>
      </c>
      <c r="AA187" s="2210">
        <f t="shared" si="55"/>
        <v>0</v>
      </c>
      <c r="AB187" s="2210">
        <f t="shared" si="56"/>
        <v>0</v>
      </c>
      <c r="AC187" s="2210">
        <f t="shared" si="57"/>
        <v>0</v>
      </c>
      <c r="AG187" s="2210">
        <f t="shared" si="61"/>
        <v>0</v>
      </c>
      <c r="AH187" s="2210">
        <f t="shared" si="58"/>
        <v>0</v>
      </c>
    </row>
    <row r="188" spans="1:34" x14ac:dyDescent="0.4">
      <c r="A188" s="2210">
        <f t="shared" si="62"/>
        <v>186</v>
      </c>
      <c r="B188" s="2214"/>
      <c r="C188" s="2214"/>
      <c r="D188" s="2214"/>
      <c r="E188" s="2214"/>
      <c r="F188" s="2214"/>
      <c r="G188" s="2214"/>
      <c r="H188" s="2214"/>
      <c r="M188" s="2210">
        <f t="shared" si="44"/>
        <v>0</v>
      </c>
      <c r="N188" s="2210">
        <f t="shared" si="45"/>
        <v>0</v>
      </c>
      <c r="O188" s="2210">
        <f t="shared" si="46"/>
        <v>0</v>
      </c>
      <c r="P188" s="2210">
        <f t="shared" si="47"/>
        <v>0</v>
      </c>
      <c r="Q188" s="2210">
        <f t="shared" si="48"/>
        <v>0</v>
      </c>
      <c r="R188" s="2210">
        <f t="shared" si="49"/>
        <v>0</v>
      </c>
      <c r="S188" s="2210">
        <f t="shared" si="50"/>
        <v>0</v>
      </c>
      <c r="V188" s="2210">
        <f t="shared" si="51"/>
        <v>0</v>
      </c>
      <c r="W188" s="2210">
        <f t="shared" si="52"/>
        <v>0</v>
      </c>
      <c r="X188" s="2210">
        <f t="shared" si="53"/>
        <v>0</v>
      </c>
      <c r="Y188" s="2210">
        <f t="shared" si="60"/>
        <v>0</v>
      </c>
      <c r="Z188" s="2210">
        <f t="shared" si="54"/>
        <v>0</v>
      </c>
      <c r="AA188" s="2210">
        <f t="shared" si="55"/>
        <v>0</v>
      </c>
      <c r="AB188" s="2210">
        <f t="shared" si="56"/>
        <v>0</v>
      </c>
      <c r="AC188" s="2210">
        <f t="shared" si="57"/>
        <v>0</v>
      </c>
      <c r="AG188" s="2210">
        <f t="shared" si="61"/>
        <v>0</v>
      </c>
      <c r="AH188" s="2210">
        <f t="shared" si="58"/>
        <v>0</v>
      </c>
    </row>
    <row r="189" spans="1:34" x14ac:dyDescent="0.4">
      <c r="A189" s="2210">
        <f t="shared" si="62"/>
        <v>187</v>
      </c>
      <c r="B189" s="2214"/>
      <c r="C189" s="2214"/>
      <c r="D189" s="2214"/>
      <c r="E189" s="2214"/>
      <c r="F189" s="2214"/>
      <c r="G189" s="2214"/>
      <c r="H189" s="2214"/>
      <c r="M189" s="2210">
        <f t="shared" si="44"/>
        <v>0</v>
      </c>
      <c r="N189" s="2210">
        <f t="shared" si="45"/>
        <v>0</v>
      </c>
      <c r="O189" s="2210">
        <f t="shared" si="46"/>
        <v>0</v>
      </c>
      <c r="P189" s="2210">
        <f t="shared" si="47"/>
        <v>0</v>
      </c>
      <c r="Q189" s="2210">
        <f t="shared" si="48"/>
        <v>0</v>
      </c>
      <c r="R189" s="2210">
        <f t="shared" si="49"/>
        <v>0</v>
      </c>
      <c r="S189" s="2210">
        <f t="shared" si="50"/>
        <v>0</v>
      </c>
      <c r="V189" s="2210">
        <f t="shared" si="51"/>
        <v>0</v>
      </c>
      <c r="W189" s="2210">
        <f t="shared" si="52"/>
        <v>0</v>
      </c>
      <c r="X189" s="2210">
        <f t="shared" si="53"/>
        <v>0</v>
      </c>
      <c r="Y189" s="2210">
        <f t="shared" si="60"/>
        <v>0</v>
      </c>
      <c r="Z189" s="2210">
        <f t="shared" si="54"/>
        <v>0</v>
      </c>
      <c r="AA189" s="2210">
        <f t="shared" si="55"/>
        <v>0</v>
      </c>
      <c r="AB189" s="2210">
        <f t="shared" si="56"/>
        <v>0</v>
      </c>
      <c r="AC189" s="2210">
        <f t="shared" si="57"/>
        <v>0</v>
      </c>
      <c r="AG189" s="2210">
        <f t="shared" si="61"/>
        <v>0</v>
      </c>
      <c r="AH189" s="2210">
        <f t="shared" si="58"/>
        <v>0</v>
      </c>
    </row>
    <row r="190" spans="1:34" x14ac:dyDescent="0.4">
      <c r="A190" s="2210">
        <f t="shared" si="62"/>
        <v>188</v>
      </c>
      <c r="B190" s="2214"/>
      <c r="C190" s="2214"/>
      <c r="D190" s="2214"/>
      <c r="E190" s="2214"/>
      <c r="F190" s="2214"/>
      <c r="G190" s="2214"/>
      <c r="H190" s="2214"/>
      <c r="M190" s="2210">
        <f t="shared" si="44"/>
        <v>0</v>
      </c>
      <c r="N190" s="2210">
        <f t="shared" si="45"/>
        <v>0</v>
      </c>
      <c r="O190" s="2210">
        <f t="shared" si="46"/>
        <v>0</v>
      </c>
      <c r="P190" s="2210">
        <f t="shared" si="47"/>
        <v>0</v>
      </c>
      <c r="Q190" s="2210">
        <f t="shared" si="48"/>
        <v>0</v>
      </c>
      <c r="R190" s="2210">
        <f t="shared" si="49"/>
        <v>0</v>
      </c>
      <c r="S190" s="2210">
        <f t="shared" si="50"/>
        <v>0</v>
      </c>
      <c r="V190" s="2210">
        <f t="shared" si="51"/>
        <v>0</v>
      </c>
      <c r="W190" s="2210">
        <f t="shared" si="52"/>
        <v>0</v>
      </c>
      <c r="X190" s="2210">
        <f t="shared" si="53"/>
        <v>0</v>
      </c>
      <c r="Y190" s="2210">
        <f t="shared" si="60"/>
        <v>0</v>
      </c>
      <c r="Z190" s="2210">
        <f t="shared" si="54"/>
        <v>0</v>
      </c>
      <c r="AA190" s="2210">
        <f t="shared" si="55"/>
        <v>0</v>
      </c>
      <c r="AB190" s="2210">
        <f t="shared" si="56"/>
        <v>0</v>
      </c>
      <c r="AC190" s="2210">
        <f t="shared" si="57"/>
        <v>0</v>
      </c>
      <c r="AG190" s="2210">
        <f t="shared" si="61"/>
        <v>0</v>
      </c>
      <c r="AH190" s="2210">
        <f t="shared" si="58"/>
        <v>0</v>
      </c>
    </row>
    <row r="191" spans="1:34" x14ac:dyDescent="0.4">
      <c r="A191" s="2210">
        <f t="shared" si="62"/>
        <v>189</v>
      </c>
      <c r="B191" s="2214"/>
      <c r="C191" s="2214"/>
      <c r="D191" s="2214"/>
      <c r="E191" s="2214"/>
      <c r="F191" s="2214"/>
      <c r="G191" s="2214"/>
      <c r="H191" s="2214"/>
      <c r="M191" s="2210">
        <f t="shared" si="44"/>
        <v>0</v>
      </c>
      <c r="N191" s="2210">
        <f t="shared" si="45"/>
        <v>0</v>
      </c>
      <c r="O191" s="2210">
        <f t="shared" si="46"/>
        <v>0</v>
      </c>
      <c r="P191" s="2210">
        <f t="shared" si="47"/>
        <v>0</v>
      </c>
      <c r="Q191" s="2210">
        <f t="shared" si="48"/>
        <v>0</v>
      </c>
      <c r="R191" s="2210">
        <f t="shared" si="49"/>
        <v>0</v>
      </c>
      <c r="S191" s="2210">
        <f t="shared" si="50"/>
        <v>0</v>
      </c>
      <c r="V191" s="2210">
        <f t="shared" si="51"/>
        <v>0</v>
      </c>
      <c r="W191" s="2210">
        <f t="shared" si="52"/>
        <v>0</v>
      </c>
      <c r="X191" s="2210">
        <f t="shared" si="53"/>
        <v>0</v>
      </c>
      <c r="Y191" s="2210">
        <f t="shared" si="60"/>
        <v>0</v>
      </c>
      <c r="Z191" s="2210">
        <f t="shared" si="54"/>
        <v>0</v>
      </c>
      <c r="AA191" s="2210">
        <f t="shared" si="55"/>
        <v>0</v>
      </c>
      <c r="AB191" s="2210">
        <f t="shared" si="56"/>
        <v>0</v>
      </c>
      <c r="AC191" s="2210">
        <f t="shared" si="57"/>
        <v>0</v>
      </c>
      <c r="AG191" s="2210">
        <f t="shared" si="61"/>
        <v>0</v>
      </c>
      <c r="AH191" s="2210">
        <f t="shared" si="58"/>
        <v>0</v>
      </c>
    </row>
    <row r="192" spans="1:34" x14ac:dyDescent="0.4">
      <c r="A192" s="2210">
        <f t="shared" si="62"/>
        <v>190</v>
      </c>
      <c r="B192" s="2214"/>
      <c r="C192" s="2214"/>
      <c r="D192" s="2214"/>
      <c r="E192" s="2214"/>
      <c r="F192" s="2214"/>
      <c r="G192" s="2214"/>
      <c r="H192" s="2214"/>
      <c r="M192" s="2210">
        <f t="shared" si="44"/>
        <v>0</v>
      </c>
      <c r="N192" s="2210">
        <f t="shared" si="45"/>
        <v>0</v>
      </c>
      <c r="O192" s="2210">
        <f t="shared" si="46"/>
        <v>0</v>
      </c>
      <c r="P192" s="2210">
        <f t="shared" si="47"/>
        <v>0</v>
      </c>
      <c r="Q192" s="2210">
        <f t="shared" si="48"/>
        <v>0</v>
      </c>
      <c r="R192" s="2210">
        <f t="shared" si="49"/>
        <v>0</v>
      </c>
      <c r="S192" s="2210">
        <f t="shared" si="50"/>
        <v>0</v>
      </c>
      <c r="V192" s="2210">
        <f t="shared" si="51"/>
        <v>0</v>
      </c>
      <c r="W192" s="2210">
        <f t="shared" si="52"/>
        <v>0</v>
      </c>
      <c r="X192" s="2210">
        <f t="shared" si="53"/>
        <v>0</v>
      </c>
      <c r="Y192" s="2210">
        <f t="shared" si="60"/>
        <v>0</v>
      </c>
      <c r="Z192" s="2210">
        <f t="shared" si="54"/>
        <v>0</v>
      </c>
      <c r="AA192" s="2210">
        <f t="shared" si="55"/>
        <v>0</v>
      </c>
      <c r="AB192" s="2210">
        <f t="shared" si="56"/>
        <v>0</v>
      </c>
      <c r="AC192" s="2210">
        <f t="shared" si="57"/>
        <v>0</v>
      </c>
      <c r="AG192" s="2210">
        <f t="shared" si="61"/>
        <v>0</v>
      </c>
      <c r="AH192" s="2210">
        <f t="shared" si="58"/>
        <v>0</v>
      </c>
    </row>
    <row r="193" spans="1:34" x14ac:dyDescent="0.4">
      <c r="A193" s="2210">
        <f t="shared" si="62"/>
        <v>191</v>
      </c>
      <c r="B193" s="2214"/>
      <c r="C193" s="2214"/>
      <c r="D193" s="2214"/>
      <c r="E193" s="2214"/>
      <c r="F193" s="2214"/>
      <c r="G193" s="2214"/>
      <c r="H193" s="2214"/>
      <c r="M193" s="2210">
        <f t="shared" si="44"/>
        <v>0</v>
      </c>
      <c r="N193" s="2210">
        <f t="shared" si="45"/>
        <v>0</v>
      </c>
      <c r="O193" s="2210">
        <f t="shared" si="46"/>
        <v>0</v>
      </c>
      <c r="P193" s="2210">
        <f t="shared" si="47"/>
        <v>0</v>
      </c>
      <c r="Q193" s="2210">
        <f t="shared" si="48"/>
        <v>0</v>
      </c>
      <c r="R193" s="2210">
        <f t="shared" si="49"/>
        <v>0</v>
      </c>
      <c r="S193" s="2210">
        <f t="shared" si="50"/>
        <v>0</v>
      </c>
      <c r="V193" s="2210">
        <f t="shared" si="51"/>
        <v>0</v>
      </c>
      <c r="W193" s="2210">
        <f t="shared" si="52"/>
        <v>0</v>
      </c>
      <c r="X193" s="2210">
        <f t="shared" si="53"/>
        <v>0</v>
      </c>
      <c r="Y193" s="2210">
        <f t="shared" si="60"/>
        <v>0</v>
      </c>
      <c r="Z193" s="2210">
        <f t="shared" si="54"/>
        <v>0</v>
      </c>
      <c r="AA193" s="2210">
        <f t="shared" si="55"/>
        <v>0</v>
      </c>
      <c r="AB193" s="2210">
        <f t="shared" si="56"/>
        <v>0</v>
      </c>
      <c r="AC193" s="2210">
        <f t="shared" si="57"/>
        <v>0</v>
      </c>
      <c r="AG193" s="2210">
        <f t="shared" si="61"/>
        <v>0</v>
      </c>
      <c r="AH193" s="2210">
        <f t="shared" si="58"/>
        <v>0</v>
      </c>
    </row>
    <row r="194" spans="1:34" x14ac:dyDescent="0.4">
      <c r="A194" s="2210">
        <f t="shared" si="62"/>
        <v>192</v>
      </c>
      <c r="B194" s="2214"/>
      <c r="C194" s="2214"/>
      <c r="D194" s="2214"/>
      <c r="E194" s="2214"/>
      <c r="F194" s="2214"/>
      <c r="G194" s="2214"/>
      <c r="H194" s="2214"/>
      <c r="M194" s="2210">
        <f t="shared" si="44"/>
        <v>0</v>
      </c>
      <c r="N194" s="2210">
        <f t="shared" si="45"/>
        <v>0</v>
      </c>
      <c r="O194" s="2210">
        <f t="shared" si="46"/>
        <v>0</v>
      </c>
      <c r="P194" s="2210">
        <f t="shared" si="47"/>
        <v>0</v>
      </c>
      <c r="Q194" s="2210">
        <f t="shared" si="48"/>
        <v>0</v>
      </c>
      <c r="R194" s="2210">
        <f t="shared" si="49"/>
        <v>0</v>
      </c>
      <c r="S194" s="2210">
        <f t="shared" si="50"/>
        <v>0</v>
      </c>
      <c r="V194" s="2210">
        <f t="shared" si="51"/>
        <v>0</v>
      </c>
      <c r="W194" s="2210">
        <f t="shared" si="52"/>
        <v>0</v>
      </c>
      <c r="X194" s="2210">
        <f t="shared" si="53"/>
        <v>0</v>
      </c>
      <c r="Y194" s="2210">
        <f t="shared" si="60"/>
        <v>0</v>
      </c>
      <c r="Z194" s="2210">
        <f t="shared" si="54"/>
        <v>0</v>
      </c>
      <c r="AA194" s="2210">
        <f t="shared" si="55"/>
        <v>0</v>
      </c>
      <c r="AB194" s="2210">
        <f t="shared" si="56"/>
        <v>0</v>
      </c>
      <c r="AC194" s="2210">
        <f t="shared" si="57"/>
        <v>0</v>
      </c>
      <c r="AG194" s="2210">
        <f t="shared" si="61"/>
        <v>0</v>
      </c>
      <c r="AH194" s="2210">
        <f t="shared" si="58"/>
        <v>0</v>
      </c>
    </row>
    <row r="195" spans="1:34" x14ac:dyDescent="0.4">
      <c r="A195" s="2210">
        <f t="shared" si="62"/>
        <v>193</v>
      </c>
      <c r="B195" s="2214"/>
      <c r="C195" s="2214"/>
      <c r="D195" s="2214"/>
      <c r="E195" s="2214"/>
      <c r="F195" s="2214"/>
      <c r="G195" s="2214"/>
      <c r="H195" s="2214"/>
      <c r="M195" s="2210">
        <f t="shared" si="44"/>
        <v>0</v>
      </c>
      <c r="N195" s="2210">
        <f t="shared" si="45"/>
        <v>0</v>
      </c>
      <c r="O195" s="2210">
        <f t="shared" si="46"/>
        <v>0</v>
      </c>
      <c r="P195" s="2210">
        <f t="shared" si="47"/>
        <v>0</v>
      </c>
      <c r="Q195" s="2210">
        <f t="shared" si="48"/>
        <v>0</v>
      </c>
      <c r="R195" s="2210">
        <f t="shared" si="49"/>
        <v>0</v>
      </c>
      <c r="S195" s="2210">
        <f t="shared" si="50"/>
        <v>0</v>
      </c>
      <c r="V195" s="2210">
        <f t="shared" si="51"/>
        <v>0</v>
      </c>
      <c r="W195" s="2210">
        <f t="shared" si="52"/>
        <v>0</v>
      </c>
      <c r="X195" s="2210">
        <f t="shared" si="53"/>
        <v>0</v>
      </c>
      <c r="Y195" s="2210">
        <f t="shared" si="60"/>
        <v>0</v>
      </c>
      <c r="Z195" s="2210">
        <f t="shared" si="54"/>
        <v>0</v>
      </c>
      <c r="AA195" s="2210">
        <f t="shared" si="55"/>
        <v>0</v>
      </c>
      <c r="AB195" s="2210">
        <f t="shared" si="56"/>
        <v>0</v>
      </c>
      <c r="AC195" s="2210">
        <f t="shared" si="57"/>
        <v>0</v>
      </c>
      <c r="AG195" s="2210">
        <f t="shared" si="61"/>
        <v>0</v>
      </c>
      <c r="AH195" s="2210">
        <f t="shared" si="58"/>
        <v>0</v>
      </c>
    </row>
    <row r="196" spans="1:34" x14ac:dyDescent="0.4">
      <c r="A196" s="2210">
        <f t="shared" si="62"/>
        <v>194</v>
      </c>
      <c r="B196" s="2214"/>
      <c r="C196" s="2214"/>
      <c r="D196" s="2214"/>
      <c r="E196" s="2214"/>
      <c r="F196" s="2214"/>
      <c r="G196" s="2214"/>
      <c r="H196" s="2214"/>
      <c r="M196" s="2210">
        <f t="shared" ref="M196:M259" si="63">IF($H196="Interior Lighting",$B196,0)</f>
        <v>0</v>
      </c>
      <c r="N196" s="2210">
        <f t="shared" ref="N196:N259" si="64">IF($H196="Interior Lighting",$C196,0)</f>
        <v>0</v>
      </c>
      <c r="O196" s="2210">
        <f t="shared" ref="O196:O259" si="65">IF($H196="Interior Lighting",$D196,0)</f>
        <v>0</v>
      </c>
      <c r="P196" s="2210">
        <f t="shared" ref="P196:P259" si="66">IF($H196="Interior Lighting",$E196,0)</f>
        <v>0</v>
      </c>
      <c r="Q196" s="2210">
        <f t="shared" ref="Q196:Q259" si="67">IF($H196="Interior Lighting",$F196,0)</f>
        <v>0</v>
      </c>
      <c r="R196" s="2210">
        <f t="shared" ref="R196:R259" si="68">IF($H196="Interior Lighting",$G196,0)</f>
        <v>0</v>
      </c>
      <c r="S196" s="2210">
        <f t="shared" ref="S196:S259" si="69">IF($H196="Interior Lighting",$H196,0)</f>
        <v>0</v>
      </c>
      <c r="V196" s="2210">
        <f t="shared" ref="V196:V259" si="70">IF($H196="Exterior Lighting",$B196,0)</f>
        <v>0</v>
      </c>
      <c r="W196" s="2210">
        <f t="shared" ref="W196:W259" si="71">IF($H196="Exterior Lighting",$C196,0)</f>
        <v>0</v>
      </c>
      <c r="X196" s="2210">
        <f t="shared" ref="X196:X259" si="72">IF($H196="Exterior Lighting",$D196,0)</f>
        <v>0</v>
      </c>
      <c r="Y196" s="2210">
        <f t="shared" si="60"/>
        <v>0</v>
      </c>
      <c r="Z196" s="2210">
        <f t="shared" ref="Z196:Z259" si="73">IF($H196="Exterior Lighting",$E196,0)</f>
        <v>0</v>
      </c>
      <c r="AA196" s="2210">
        <f t="shared" ref="AA196:AA259" si="74">IF($H196="Exterior Lighting",$F196,0)</f>
        <v>0</v>
      </c>
      <c r="AB196" s="2210">
        <f t="shared" ref="AB196:AB259" si="75">IF($H196="Exterior Lighting",$G196,0)</f>
        <v>0</v>
      </c>
      <c r="AC196" s="2210">
        <f t="shared" ref="AC196:AC259" si="76">IF($H196="Exterior Lighting",$H196,0)</f>
        <v>0</v>
      </c>
      <c r="AG196" s="2210">
        <f t="shared" si="61"/>
        <v>0</v>
      </c>
      <c r="AH196" s="2210">
        <f t="shared" ref="AH196:AH259" si="77">IF(AF196=0,0,MID(AF196,SEARCH(",",AF196)+1,LEN(AF196)))</f>
        <v>0</v>
      </c>
    </row>
    <row r="197" spans="1:34" x14ac:dyDescent="0.4">
      <c r="A197" s="2210">
        <f t="shared" si="62"/>
        <v>195</v>
      </c>
      <c r="B197" s="2214"/>
      <c r="C197" s="2214"/>
      <c r="D197" s="2214"/>
      <c r="E197" s="2214"/>
      <c r="F197" s="2214"/>
      <c r="G197" s="2214"/>
      <c r="H197" s="2214"/>
      <c r="M197" s="2210">
        <f t="shared" si="63"/>
        <v>0</v>
      </c>
      <c r="N197" s="2210">
        <f t="shared" si="64"/>
        <v>0</v>
      </c>
      <c r="O197" s="2210">
        <f t="shared" si="65"/>
        <v>0</v>
      </c>
      <c r="P197" s="2210">
        <f t="shared" si="66"/>
        <v>0</v>
      </c>
      <c r="Q197" s="2210">
        <f t="shared" si="67"/>
        <v>0</v>
      </c>
      <c r="R197" s="2210">
        <f t="shared" si="68"/>
        <v>0</v>
      </c>
      <c r="S197" s="2210">
        <f t="shared" si="69"/>
        <v>0</v>
      </c>
      <c r="V197" s="2210">
        <f t="shared" si="70"/>
        <v>0</v>
      </c>
      <c r="W197" s="2210">
        <f t="shared" si="71"/>
        <v>0</v>
      </c>
      <c r="X197" s="2210">
        <f t="shared" si="72"/>
        <v>0</v>
      </c>
      <c r="Y197" s="2210">
        <f t="shared" si="60"/>
        <v>0</v>
      </c>
      <c r="Z197" s="2210">
        <f t="shared" si="73"/>
        <v>0</v>
      </c>
      <c r="AA197" s="2210">
        <f t="shared" si="74"/>
        <v>0</v>
      </c>
      <c r="AB197" s="2210">
        <f t="shared" si="75"/>
        <v>0</v>
      </c>
      <c r="AC197" s="2210">
        <f t="shared" si="76"/>
        <v>0</v>
      </c>
      <c r="AG197" s="2210">
        <f t="shared" si="61"/>
        <v>0</v>
      </c>
      <c r="AH197" s="2210">
        <f t="shared" si="77"/>
        <v>0</v>
      </c>
    </row>
    <row r="198" spans="1:34" x14ac:dyDescent="0.4">
      <c r="A198" s="2210">
        <f t="shared" si="62"/>
        <v>196</v>
      </c>
      <c r="B198" s="2214"/>
      <c r="C198" s="2214"/>
      <c r="D198" s="2214"/>
      <c r="E198" s="2214"/>
      <c r="F198" s="2214"/>
      <c r="G198" s="2214"/>
      <c r="H198" s="2214"/>
      <c r="M198" s="2210">
        <f t="shared" si="63"/>
        <v>0</v>
      </c>
      <c r="N198" s="2210">
        <f t="shared" si="64"/>
        <v>0</v>
      </c>
      <c r="O198" s="2210">
        <f t="shared" si="65"/>
        <v>0</v>
      </c>
      <c r="P198" s="2210">
        <f t="shared" si="66"/>
        <v>0</v>
      </c>
      <c r="Q198" s="2210">
        <f t="shared" si="67"/>
        <v>0</v>
      </c>
      <c r="R198" s="2210">
        <f t="shared" si="68"/>
        <v>0</v>
      </c>
      <c r="S198" s="2210">
        <f t="shared" si="69"/>
        <v>0</v>
      </c>
      <c r="V198" s="2210">
        <f t="shared" si="70"/>
        <v>0</v>
      </c>
      <c r="W198" s="2210">
        <f t="shared" si="71"/>
        <v>0</v>
      </c>
      <c r="X198" s="2210">
        <f t="shared" si="72"/>
        <v>0</v>
      </c>
      <c r="Y198" s="2210">
        <f t="shared" ref="Y198:Y261" si="78">IF(OR(V198=0,LEN(X198)&lt;4),0,_xlfn.CONCAT(V198,",",X198))</f>
        <v>0</v>
      </c>
      <c r="Z198" s="2210">
        <f t="shared" si="73"/>
        <v>0</v>
      </c>
      <c r="AA198" s="2210">
        <f t="shared" si="74"/>
        <v>0</v>
      </c>
      <c r="AB198" s="2210">
        <f t="shared" si="75"/>
        <v>0</v>
      </c>
      <c r="AC198" s="2210">
        <f t="shared" si="76"/>
        <v>0</v>
      </c>
      <c r="AG198" s="2210">
        <f t="shared" ref="AG198:AG261" si="79">IF(AF198=0,0,LEFT(AF198,SEARCH(",",AF198)-1))</f>
        <v>0</v>
      </c>
      <c r="AH198" s="2210">
        <f t="shared" si="77"/>
        <v>0</v>
      </c>
    </row>
    <row r="199" spans="1:34" x14ac:dyDescent="0.4">
      <c r="A199" s="2210">
        <f t="shared" si="62"/>
        <v>197</v>
      </c>
      <c r="B199" s="2214"/>
      <c r="C199" s="2214"/>
      <c r="D199" s="2214"/>
      <c r="E199" s="2214"/>
      <c r="F199" s="2214"/>
      <c r="G199" s="2214"/>
      <c r="H199" s="2214"/>
      <c r="M199" s="2210">
        <f t="shared" si="63"/>
        <v>0</v>
      </c>
      <c r="N199" s="2210">
        <f t="shared" si="64"/>
        <v>0</v>
      </c>
      <c r="O199" s="2210">
        <f t="shared" si="65"/>
        <v>0</v>
      </c>
      <c r="P199" s="2210">
        <f t="shared" si="66"/>
        <v>0</v>
      </c>
      <c r="Q199" s="2210">
        <f t="shared" si="67"/>
        <v>0</v>
      </c>
      <c r="R199" s="2210">
        <f t="shared" si="68"/>
        <v>0</v>
      </c>
      <c r="S199" s="2210">
        <f t="shared" si="69"/>
        <v>0</v>
      </c>
      <c r="V199" s="2210">
        <f t="shared" si="70"/>
        <v>0</v>
      </c>
      <c r="W199" s="2210">
        <f t="shared" si="71"/>
        <v>0</v>
      </c>
      <c r="X199" s="2210">
        <f t="shared" si="72"/>
        <v>0</v>
      </c>
      <c r="Y199" s="2210">
        <f t="shared" si="78"/>
        <v>0</v>
      </c>
      <c r="Z199" s="2210">
        <f t="shared" si="73"/>
        <v>0</v>
      </c>
      <c r="AA199" s="2210">
        <f t="shared" si="74"/>
        <v>0</v>
      </c>
      <c r="AB199" s="2210">
        <f t="shared" si="75"/>
        <v>0</v>
      </c>
      <c r="AC199" s="2210">
        <f t="shared" si="76"/>
        <v>0</v>
      </c>
      <c r="AG199" s="2210">
        <f t="shared" si="79"/>
        <v>0</v>
      </c>
      <c r="AH199" s="2210">
        <f t="shared" si="77"/>
        <v>0</v>
      </c>
    </row>
    <row r="200" spans="1:34" x14ac:dyDescent="0.4">
      <c r="A200" s="2210">
        <f t="shared" si="62"/>
        <v>198</v>
      </c>
      <c r="B200" s="2214"/>
      <c r="C200" s="2214"/>
      <c r="D200" s="2214"/>
      <c r="E200" s="2214"/>
      <c r="F200" s="2214"/>
      <c r="G200" s="2214"/>
      <c r="H200" s="2214"/>
      <c r="M200" s="2210">
        <f t="shared" si="63"/>
        <v>0</v>
      </c>
      <c r="N200" s="2210">
        <f t="shared" si="64"/>
        <v>0</v>
      </c>
      <c r="O200" s="2210">
        <f t="shared" si="65"/>
        <v>0</v>
      </c>
      <c r="P200" s="2210">
        <f t="shared" si="66"/>
        <v>0</v>
      </c>
      <c r="Q200" s="2210">
        <f t="shared" si="67"/>
        <v>0</v>
      </c>
      <c r="R200" s="2210">
        <f t="shared" si="68"/>
        <v>0</v>
      </c>
      <c r="S200" s="2210">
        <f t="shared" si="69"/>
        <v>0</v>
      </c>
      <c r="V200" s="2210">
        <f t="shared" si="70"/>
        <v>0</v>
      </c>
      <c r="W200" s="2210">
        <f t="shared" si="71"/>
        <v>0</v>
      </c>
      <c r="X200" s="2210">
        <f t="shared" si="72"/>
        <v>0</v>
      </c>
      <c r="Y200" s="2210">
        <f t="shared" si="78"/>
        <v>0</v>
      </c>
      <c r="Z200" s="2210">
        <f t="shared" si="73"/>
        <v>0</v>
      </c>
      <c r="AA200" s="2210">
        <f t="shared" si="74"/>
        <v>0</v>
      </c>
      <c r="AB200" s="2210">
        <f t="shared" si="75"/>
        <v>0</v>
      </c>
      <c r="AC200" s="2210">
        <f t="shared" si="76"/>
        <v>0</v>
      </c>
      <c r="AG200" s="2210">
        <f t="shared" si="79"/>
        <v>0</v>
      </c>
      <c r="AH200" s="2210">
        <f t="shared" si="77"/>
        <v>0</v>
      </c>
    </row>
    <row r="201" spans="1:34" x14ac:dyDescent="0.4">
      <c r="A201" s="2210">
        <f t="shared" si="62"/>
        <v>199</v>
      </c>
      <c r="B201" s="2214"/>
      <c r="C201" s="2214"/>
      <c r="D201" s="2214"/>
      <c r="E201" s="2214"/>
      <c r="F201" s="2214"/>
      <c r="G201" s="2214"/>
      <c r="H201" s="2214"/>
      <c r="M201" s="2210">
        <f t="shared" si="63"/>
        <v>0</v>
      </c>
      <c r="N201" s="2210">
        <f t="shared" si="64"/>
        <v>0</v>
      </c>
      <c r="O201" s="2210">
        <f t="shared" si="65"/>
        <v>0</v>
      </c>
      <c r="P201" s="2210">
        <f t="shared" si="66"/>
        <v>0</v>
      </c>
      <c r="Q201" s="2210">
        <f t="shared" si="67"/>
        <v>0</v>
      </c>
      <c r="R201" s="2210">
        <f t="shared" si="68"/>
        <v>0</v>
      </c>
      <c r="S201" s="2210">
        <f t="shared" si="69"/>
        <v>0</v>
      </c>
      <c r="V201" s="2210">
        <f t="shared" si="70"/>
        <v>0</v>
      </c>
      <c r="W201" s="2210">
        <f t="shared" si="71"/>
        <v>0</v>
      </c>
      <c r="X201" s="2210">
        <f t="shared" si="72"/>
        <v>0</v>
      </c>
      <c r="Y201" s="2210">
        <f t="shared" si="78"/>
        <v>0</v>
      </c>
      <c r="Z201" s="2210">
        <f t="shared" si="73"/>
        <v>0</v>
      </c>
      <c r="AA201" s="2210">
        <f t="shared" si="74"/>
        <v>0</v>
      </c>
      <c r="AB201" s="2210">
        <f t="shared" si="75"/>
        <v>0</v>
      </c>
      <c r="AC201" s="2210">
        <f t="shared" si="76"/>
        <v>0</v>
      </c>
      <c r="AG201" s="2210">
        <f t="shared" si="79"/>
        <v>0</v>
      </c>
      <c r="AH201" s="2210">
        <f t="shared" si="77"/>
        <v>0</v>
      </c>
    </row>
    <row r="202" spans="1:34" x14ac:dyDescent="0.4">
      <c r="A202" s="2210">
        <f t="shared" si="62"/>
        <v>200</v>
      </c>
      <c r="B202" s="2214"/>
      <c r="C202" s="2214"/>
      <c r="D202" s="2214"/>
      <c r="E202" s="2214"/>
      <c r="F202" s="2214"/>
      <c r="G202" s="2214"/>
      <c r="H202" s="2214"/>
      <c r="M202" s="2210">
        <f t="shared" si="63"/>
        <v>0</v>
      </c>
      <c r="N202" s="2210">
        <f t="shared" si="64"/>
        <v>0</v>
      </c>
      <c r="O202" s="2210">
        <f t="shared" si="65"/>
        <v>0</v>
      </c>
      <c r="P202" s="2210">
        <f t="shared" si="66"/>
        <v>0</v>
      </c>
      <c r="Q202" s="2210">
        <f t="shared" si="67"/>
        <v>0</v>
      </c>
      <c r="R202" s="2210">
        <f t="shared" si="68"/>
        <v>0</v>
      </c>
      <c r="S202" s="2210">
        <f t="shared" si="69"/>
        <v>0</v>
      </c>
      <c r="V202" s="2210">
        <f t="shared" si="70"/>
        <v>0</v>
      </c>
      <c r="W202" s="2210">
        <f t="shared" si="71"/>
        <v>0</v>
      </c>
      <c r="X202" s="2210">
        <f t="shared" si="72"/>
        <v>0</v>
      </c>
      <c r="Y202" s="2210">
        <f t="shared" si="78"/>
        <v>0</v>
      </c>
      <c r="Z202" s="2210">
        <f t="shared" si="73"/>
        <v>0</v>
      </c>
      <c r="AA202" s="2210">
        <f t="shared" si="74"/>
        <v>0</v>
      </c>
      <c r="AB202" s="2210">
        <f t="shared" si="75"/>
        <v>0</v>
      </c>
      <c r="AC202" s="2210">
        <f t="shared" si="76"/>
        <v>0</v>
      </c>
      <c r="AG202" s="2210">
        <f t="shared" si="79"/>
        <v>0</v>
      </c>
      <c r="AH202" s="2210">
        <f t="shared" si="77"/>
        <v>0</v>
      </c>
    </row>
    <row r="203" spans="1:34" x14ac:dyDescent="0.4">
      <c r="A203" s="2210">
        <f t="shared" si="62"/>
        <v>201</v>
      </c>
      <c r="B203" s="2214"/>
      <c r="C203" s="2214"/>
      <c r="D203" s="2214"/>
      <c r="E203" s="2214"/>
      <c r="F203" s="2214"/>
      <c r="G203" s="2214"/>
      <c r="H203" s="2214"/>
      <c r="M203" s="2210">
        <f t="shared" si="63"/>
        <v>0</v>
      </c>
      <c r="N203" s="2210">
        <f t="shared" si="64"/>
        <v>0</v>
      </c>
      <c r="O203" s="2210">
        <f t="shared" si="65"/>
        <v>0</v>
      </c>
      <c r="P203" s="2210">
        <f t="shared" si="66"/>
        <v>0</v>
      </c>
      <c r="Q203" s="2210">
        <f t="shared" si="67"/>
        <v>0</v>
      </c>
      <c r="R203" s="2210">
        <f t="shared" si="68"/>
        <v>0</v>
      </c>
      <c r="S203" s="2210">
        <f t="shared" si="69"/>
        <v>0</v>
      </c>
      <c r="V203" s="2210">
        <f t="shared" si="70"/>
        <v>0</v>
      </c>
      <c r="W203" s="2210">
        <f t="shared" si="71"/>
        <v>0</v>
      </c>
      <c r="X203" s="2210">
        <f t="shared" si="72"/>
        <v>0</v>
      </c>
      <c r="Y203" s="2210">
        <f t="shared" si="78"/>
        <v>0</v>
      </c>
      <c r="Z203" s="2210">
        <f t="shared" si="73"/>
        <v>0</v>
      </c>
      <c r="AA203" s="2210">
        <f t="shared" si="74"/>
        <v>0</v>
      </c>
      <c r="AB203" s="2210">
        <f t="shared" si="75"/>
        <v>0</v>
      </c>
      <c r="AC203" s="2210">
        <f t="shared" si="76"/>
        <v>0</v>
      </c>
      <c r="AG203" s="2210">
        <f t="shared" si="79"/>
        <v>0</v>
      </c>
      <c r="AH203" s="2210">
        <f t="shared" si="77"/>
        <v>0</v>
      </c>
    </row>
    <row r="204" spans="1:34" x14ac:dyDescent="0.4">
      <c r="A204" s="2210">
        <f t="shared" si="62"/>
        <v>202</v>
      </c>
      <c r="B204" s="2214"/>
      <c r="C204" s="2214"/>
      <c r="D204" s="2214"/>
      <c r="E204" s="2214"/>
      <c r="F204" s="2214"/>
      <c r="G204" s="2214"/>
      <c r="H204" s="2214"/>
      <c r="M204" s="2210">
        <f t="shared" si="63"/>
        <v>0</v>
      </c>
      <c r="N204" s="2210">
        <f t="shared" si="64"/>
        <v>0</v>
      </c>
      <c r="O204" s="2210">
        <f t="shared" si="65"/>
        <v>0</v>
      </c>
      <c r="P204" s="2210">
        <f t="shared" si="66"/>
        <v>0</v>
      </c>
      <c r="Q204" s="2210">
        <f t="shared" si="67"/>
        <v>0</v>
      </c>
      <c r="R204" s="2210">
        <f t="shared" si="68"/>
        <v>0</v>
      </c>
      <c r="S204" s="2210">
        <f t="shared" si="69"/>
        <v>0</v>
      </c>
      <c r="V204" s="2210">
        <f t="shared" si="70"/>
        <v>0</v>
      </c>
      <c r="W204" s="2210">
        <f t="shared" si="71"/>
        <v>0</v>
      </c>
      <c r="X204" s="2210">
        <f t="shared" si="72"/>
        <v>0</v>
      </c>
      <c r="Y204" s="2210">
        <f t="shared" si="78"/>
        <v>0</v>
      </c>
      <c r="Z204" s="2210">
        <f t="shared" si="73"/>
        <v>0</v>
      </c>
      <c r="AA204" s="2210">
        <f t="shared" si="74"/>
        <v>0</v>
      </c>
      <c r="AB204" s="2210">
        <f t="shared" si="75"/>
        <v>0</v>
      </c>
      <c r="AC204" s="2210">
        <f t="shared" si="76"/>
        <v>0</v>
      </c>
      <c r="AG204" s="2210">
        <f t="shared" si="79"/>
        <v>0</v>
      </c>
      <c r="AH204" s="2210">
        <f t="shared" si="77"/>
        <v>0</v>
      </c>
    </row>
    <row r="205" spans="1:34" x14ac:dyDescent="0.4">
      <c r="A205" s="2210">
        <f t="shared" si="62"/>
        <v>203</v>
      </c>
      <c r="B205" s="2214"/>
      <c r="C205" s="2214"/>
      <c r="D205" s="2214"/>
      <c r="E205" s="2214"/>
      <c r="F205" s="2214"/>
      <c r="G205" s="2214"/>
      <c r="H205" s="2214"/>
      <c r="M205" s="2210">
        <f t="shared" si="63"/>
        <v>0</v>
      </c>
      <c r="N205" s="2210">
        <f t="shared" si="64"/>
        <v>0</v>
      </c>
      <c r="O205" s="2210">
        <f t="shared" si="65"/>
        <v>0</v>
      </c>
      <c r="P205" s="2210">
        <f t="shared" si="66"/>
        <v>0</v>
      </c>
      <c r="Q205" s="2210">
        <f t="shared" si="67"/>
        <v>0</v>
      </c>
      <c r="R205" s="2210">
        <f t="shared" si="68"/>
        <v>0</v>
      </c>
      <c r="S205" s="2210">
        <f t="shared" si="69"/>
        <v>0</v>
      </c>
      <c r="V205" s="2210">
        <f t="shared" si="70"/>
        <v>0</v>
      </c>
      <c r="W205" s="2210">
        <f t="shared" si="71"/>
        <v>0</v>
      </c>
      <c r="X205" s="2210">
        <f t="shared" si="72"/>
        <v>0</v>
      </c>
      <c r="Y205" s="2210">
        <f t="shared" si="78"/>
        <v>0</v>
      </c>
      <c r="Z205" s="2210">
        <f t="shared" si="73"/>
        <v>0</v>
      </c>
      <c r="AA205" s="2210">
        <f t="shared" si="74"/>
        <v>0</v>
      </c>
      <c r="AB205" s="2210">
        <f t="shared" si="75"/>
        <v>0</v>
      </c>
      <c r="AC205" s="2210">
        <f t="shared" si="76"/>
        <v>0</v>
      </c>
      <c r="AG205" s="2210">
        <f t="shared" si="79"/>
        <v>0</v>
      </c>
      <c r="AH205" s="2210">
        <f t="shared" si="77"/>
        <v>0</v>
      </c>
    </row>
    <row r="206" spans="1:34" x14ac:dyDescent="0.4">
      <c r="A206" s="2210">
        <f t="shared" si="62"/>
        <v>204</v>
      </c>
      <c r="B206" s="2214"/>
      <c r="C206" s="2214"/>
      <c r="D206" s="2214"/>
      <c r="E206" s="2214"/>
      <c r="F206" s="2214"/>
      <c r="G206" s="2214"/>
      <c r="H206" s="2214"/>
      <c r="M206" s="2210">
        <f t="shared" si="63"/>
        <v>0</v>
      </c>
      <c r="N206" s="2210">
        <f t="shared" si="64"/>
        <v>0</v>
      </c>
      <c r="O206" s="2210">
        <f t="shared" si="65"/>
        <v>0</v>
      </c>
      <c r="P206" s="2210">
        <f t="shared" si="66"/>
        <v>0</v>
      </c>
      <c r="Q206" s="2210">
        <f t="shared" si="67"/>
        <v>0</v>
      </c>
      <c r="R206" s="2210">
        <f t="shared" si="68"/>
        <v>0</v>
      </c>
      <c r="S206" s="2210">
        <f t="shared" si="69"/>
        <v>0</v>
      </c>
      <c r="V206" s="2210">
        <f t="shared" si="70"/>
        <v>0</v>
      </c>
      <c r="W206" s="2210">
        <f t="shared" si="71"/>
        <v>0</v>
      </c>
      <c r="X206" s="2210">
        <f t="shared" si="72"/>
        <v>0</v>
      </c>
      <c r="Y206" s="2210">
        <f t="shared" si="78"/>
        <v>0</v>
      </c>
      <c r="Z206" s="2210">
        <f t="shared" si="73"/>
        <v>0</v>
      </c>
      <c r="AA206" s="2210">
        <f t="shared" si="74"/>
        <v>0</v>
      </c>
      <c r="AB206" s="2210">
        <f t="shared" si="75"/>
        <v>0</v>
      </c>
      <c r="AC206" s="2210">
        <f t="shared" si="76"/>
        <v>0</v>
      </c>
      <c r="AG206" s="2210">
        <f t="shared" si="79"/>
        <v>0</v>
      </c>
      <c r="AH206" s="2210">
        <f t="shared" si="77"/>
        <v>0</v>
      </c>
    </row>
    <row r="207" spans="1:34" x14ac:dyDescent="0.4">
      <c r="A207" s="2210">
        <f t="shared" si="62"/>
        <v>205</v>
      </c>
      <c r="B207" s="2214"/>
      <c r="C207" s="2214"/>
      <c r="D207" s="2214"/>
      <c r="E207" s="2214"/>
      <c r="F207" s="2214"/>
      <c r="G207" s="2214"/>
      <c r="H207" s="2214"/>
      <c r="M207" s="2210">
        <f t="shared" si="63"/>
        <v>0</v>
      </c>
      <c r="N207" s="2210">
        <f t="shared" si="64"/>
        <v>0</v>
      </c>
      <c r="O207" s="2210">
        <f t="shared" si="65"/>
        <v>0</v>
      </c>
      <c r="P207" s="2210">
        <f t="shared" si="66"/>
        <v>0</v>
      </c>
      <c r="Q207" s="2210">
        <f t="shared" si="67"/>
        <v>0</v>
      </c>
      <c r="R207" s="2210">
        <f t="shared" si="68"/>
        <v>0</v>
      </c>
      <c r="S207" s="2210">
        <f t="shared" si="69"/>
        <v>0</v>
      </c>
      <c r="V207" s="2210">
        <f t="shared" si="70"/>
        <v>0</v>
      </c>
      <c r="W207" s="2210">
        <f t="shared" si="71"/>
        <v>0</v>
      </c>
      <c r="X207" s="2210">
        <f t="shared" si="72"/>
        <v>0</v>
      </c>
      <c r="Y207" s="2210">
        <f t="shared" si="78"/>
        <v>0</v>
      </c>
      <c r="Z207" s="2210">
        <f t="shared" si="73"/>
        <v>0</v>
      </c>
      <c r="AA207" s="2210">
        <f t="shared" si="74"/>
        <v>0</v>
      </c>
      <c r="AB207" s="2210">
        <f t="shared" si="75"/>
        <v>0</v>
      </c>
      <c r="AC207" s="2210">
        <f t="shared" si="76"/>
        <v>0</v>
      </c>
      <c r="AG207" s="2210">
        <f t="shared" si="79"/>
        <v>0</v>
      </c>
      <c r="AH207" s="2210">
        <f t="shared" si="77"/>
        <v>0</v>
      </c>
    </row>
    <row r="208" spans="1:34" x14ac:dyDescent="0.4">
      <c r="A208" s="2210">
        <f t="shared" si="62"/>
        <v>206</v>
      </c>
      <c r="B208" s="2214"/>
      <c r="C208" s="2214"/>
      <c r="D208" s="2214"/>
      <c r="E208" s="2214"/>
      <c r="F208" s="2214"/>
      <c r="G208" s="2214"/>
      <c r="H208" s="2214"/>
      <c r="M208" s="2210">
        <f t="shared" si="63"/>
        <v>0</v>
      </c>
      <c r="N208" s="2210">
        <f t="shared" si="64"/>
        <v>0</v>
      </c>
      <c r="O208" s="2210">
        <f t="shared" si="65"/>
        <v>0</v>
      </c>
      <c r="P208" s="2210">
        <f t="shared" si="66"/>
        <v>0</v>
      </c>
      <c r="Q208" s="2210">
        <f t="shared" si="67"/>
        <v>0</v>
      </c>
      <c r="R208" s="2210">
        <f t="shared" si="68"/>
        <v>0</v>
      </c>
      <c r="S208" s="2210">
        <f t="shared" si="69"/>
        <v>0</v>
      </c>
      <c r="V208" s="2210">
        <f t="shared" si="70"/>
        <v>0</v>
      </c>
      <c r="W208" s="2210">
        <f t="shared" si="71"/>
        <v>0</v>
      </c>
      <c r="X208" s="2210">
        <f t="shared" si="72"/>
        <v>0</v>
      </c>
      <c r="Y208" s="2210">
        <f t="shared" si="78"/>
        <v>0</v>
      </c>
      <c r="Z208" s="2210">
        <f t="shared" si="73"/>
        <v>0</v>
      </c>
      <c r="AA208" s="2210">
        <f t="shared" si="74"/>
        <v>0</v>
      </c>
      <c r="AB208" s="2210">
        <f t="shared" si="75"/>
        <v>0</v>
      </c>
      <c r="AC208" s="2210">
        <f t="shared" si="76"/>
        <v>0</v>
      </c>
      <c r="AG208" s="2210">
        <f t="shared" si="79"/>
        <v>0</v>
      </c>
      <c r="AH208" s="2210">
        <f t="shared" si="77"/>
        <v>0</v>
      </c>
    </row>
    <row r="209" spans="1:34" x14ac:dyDescent="0.4">
      <c r="A209" s="2210">
        <f t="shared" si="62"/>
        <v>207</v>
      </c>
      <c r="B209" s="2214"/>
      <c r="C209" s="2214"/>
      <c r="D209" s="2214"/>
      <c r="E209" s="2214"/>
      <c r="F209" s="2214"/>
      <c r="G209" s="2214"/>
      <c r="H209" s="2214"/>
      <c r="M209" s="2210">
        <f t="shared" si="63"/>
        <v>0</v>
      </c>
      <c r="N209" s="2210">
        <f t="shared" si="64"/>
        <v>0</v>
      </c>
      <c r="O209" s="2210">
        <f t="shared" si="65"/>
        <v>0</v>
      </c>
      <c r="P209" s="2210">
        <f t="shared" si="66"/>
        <v>0</v>
      </c>
      <c r="Q209" s="2210">
        <f t="shared" si="67"/>
        <v>0</v>
      </c>
      <c r="R209" s="2210">
        <f t="shared" si="68"/>
        <v>0</v>
      </c>
      <c r="S209" s="2210">
        <f t="shared" si="69"/>
        <v>0</v>
      </c>
      <c r="V209" s="2210">
        <f t="shared" si="70"/>
        <v>0</v>
      </c>
      <c r="W209" s="2210">
        <f t="shared" si="71"/>
        <v>0</v>
      </c>
      <c r="X209" s="2210">
        <f t="shared" si="72"/>
        <v>0</v>
      </c>
      <c r="Y209" s="2210">
        <f t="shared" si="78"/>
        <v>0</v>
      </c>
      <c r="Z209" s="2210">
        <f t="shared" si="73"/>
        <v>0</v>
      </c>
      <c r="AA209" s="2210">
        <f t="shared" si="74"/>
        <v>0</v>
      </c>
      <c r="AB209" s="2210">
        <f t="shared" si="75"/>
        <v>0</v>
      </c>
      <c r="AC209" s="2210">
        <f t="shared" si="76"/>
        <v>0</v>
      </c>
      <c r="AG209" s="2210">
        <f t="shared" si="79"/>
        <v>0</v>
      </c>
      <c r="AH209" s="2210">
        <f t="shared" si="77"/>
        <v>0</v>
      </c>
    </row>
    <row r="210" spans="1:34" x14ac:dyDescent="0.4">
      <c r="A210" s="2210">
        <f t="shared" si="62"/>
        <v>208</v>
      </c>
      <c r="B210" s="2214"/>
      <c r="C210" s="2214"/>
      <c r="D210" s="2214"/>
      <c r="E210" s="2214"/>
      <c r="F210" s="2214"/>
      <c r="G210" s="2214"/>
      <c r="H210" s="2214"/>
      <c r="M210" s="2210">
        <f t="shared" si="63"/>
        <v>0</v>
      </c>
      <c r="N210" s="2210">
        <f t="shared" si="64"/>
        <v>0</v>
      </c>
      <c r="O210" s="2210">
        <f t="shared" si="65"/>
        <v>0</v>
      </c>
      <c r="P210" s="2210">
        <f t="shared" si="66"/>
        <v>0</v>
      </c>
      <c r="Q210" s="2210">
        <f t="shared" si="67"/>
        <v>0</v>
      </c>
      <c r="R210" s="2210">
        <f t="shared" si="68"/>
        <v>0</v>
      </c>
      <c r="S210" s="2210">
        <f t="shared" si="69"/>
        <v>0</v>
      </c>
      <c r="V210" s="2210">
        <f t="shared" si="70"/>
        <v>0</v>
      </c>
      <c r="W210" s="2210">
        <f t="shared" si="71"/>
        <v>0</v>
      </c>
      <c r="X210" s="2210">
        <f t="shared" si="72"/>
        <v>0</v>
      </c>
      <c r="Y210" s="2210">
        <f t="shared" si="78"/>
        <v>0</v>
      </c>
      <c r="Z210" s="2210">
        <f t="shared" si="73"/>
        <v>0</v>
      </c>
      <c r="AA210" s="2210">
        <f t="shared" si="74"/>
        <v>0</v>
      </c>
      <c r="AB210" s="2210">
        <f t="shared" si="75"/>
        <v>0</v>
      </c>
      <c r="AC210" s="2210">
        <f t="shared" si="76"/>
        <v>0</v>
      </c>
      <c r="AG210" s="2210">
        <f t="shared" si="79"/>
        <v>0</v>
      </c>
      <c r="AH210" s="2210">
        <f t="shared" si="77"/>
        <v>0</v>
      </c>
    </row>
    <row r="211" spans="1:34" x14ac:dyDescent="0.4">
      <c r="A211" s="2210">
        <f t="shared" si="62"/>
        <v>209</v>
      </c>
      <c r="B211" s="2214"/>
      <c r="C211" s="2214"/>
      <c r="D211" s="2214"/>
      <c r="E211" s="2214"/>
      <c r="F211" s="2214"/>
      <c r="G211" s="2214"/>
      <c r="H211" s="2214"/>
      <c r="M211" s="2210">
        <f t="shared" si="63"/>
        <v>0</v>
      </c>
      <c r="N211" s="2210">
        <f t="shared" si="64"/>
        <v>0</v>
      </c>
      <c r="O211" s="2210">
        <f t="shared" si="65"/>
        <v>0</v>
      </c>
      <c r="P211" s="2210">
        <f t="shared" si="66"/>
        <v>0</v>
      </c>
      <c r="Q211" s="2210">
        <f t="shared" si="67"/>
        <v>0</v>
      </c>
      <c r="R211" s="2210">
        <f t="shared" si="68"/>
        <v>0</v>
      </c>
      <c r="S211" s="2210">
        <f t="shared" si="69"/>
        <v>0</v>
      </c>
      <c r="V211" s="2210">
        <f t="shared" si="70"/>
        <v>0</v>
      </c>
      <c r="W211" s="2210">
        <f t="shared" si="71"/>
        <v>0</v>
      </c>
      <c r="X211" s="2210">
        <f t="shared" si="72"/>
        <v>0</v>
      </c>
      <c r="Y211" s="2210">
        <f t="shared" si="78"/>
        <v>0</v>
      </c>
      <c r="Z211" s="2210">
        <f t="shared" si="73"/>
        <v>0</v>
      </c>
      <c r="AA211" s="2210">
        <f t="shared" si="74"/>
        <v>0</v>
      </c>
      <c r="AB211" s="2210">
        <f t="shared" si="75"/>
        <v>0</v>
      </c>
      <c r="AC211" s="2210">
        <f t="shared" si="76"/>
        <v>0</v>
      </c>
      <c r="AG211" s="2210">
        <f t="shared" si="79"/>
        <v>0</v>
      </c>
      <c r="AH211" s="2210">
        <f t="shared" si="77"/>
        <v>0</v>
      </c>
    </row>
    <row r="212" spans="1:34" x14ac:dyDescent="0.4">
      <c r="A212" s="2210">
        <f t="shared" si="62"/>
        <v>210</v>
      </c>
      <c r="B212" s="2214"/>
      <c r="C212" s="2214"/>
      <c r="D212" s="2214"/>
      <c r="E212" s="2214"/>
      <c r="F212" s="2214"/>
      <c r="G212" s="2214"/>
      <c r="H212" s="2214"/>
      <c r="M212" s="2210">
        <f t="shared" si="63"/>
        <v>0</v>
      </c>
      <c r="N212" s="2210">
        <f t="shared" si="64"/>
        <v>0</v>
      </c>
      <c r="O212" s="2210">
        <f t="shared" si="65"/>
        <v>0</v>
      </c>
      <c r="P212" s="2210">
        <f t="shared" si="66"/>
        <v>0</v>
      </c>
      <c r="Q212" s="2210">
        <f t="shared" si="67"/>
        <v>0</v>
      </c>
      <c r="R212" s="2210">
        <f t="shared" si="68"/>
        <v>0</v>
      </c>
      <c r="S212" s="2210">
        <f t="shared" si="69"/>
        <v>0</v>
      </c>
      <c r="V212" s="2210">
        <f t="shared" si="70"/>
        <v>0</v>
      </c>
      <c r="W212" s="2210">
        <f t="shared" si="71"/>
        <v>0</v>
      </c>
      <c r="X212" s="2210">
        <f t="shared" si="72"/>
        <v>0</v>
      </c>
      <c r="Y212" s="2210">
        <f t="shared" si="78"/>
        <v>0</v>
      </c>
      <c r="Z212" s="2210">
        <f t="shared" si="73"/>
        <v>0</v>
      </c>
      <c r="AA212" s="2210">
        <f t="shared" si="74"/>
        <v>0</v>
      </c>
      <c r="AB212" s="2210">
        <f t="shared" si="75"/>
        <v>0</v>
      </c>
      <c r="AC212" s="2210">
        <f t="shared" si="76"/>
        <v>0</v>
      </c>
      <c r="AG212" s="2210">
        <f t="shared" si="79"/>
        <v>0</v>
      </c>
      <c r="AH212" s="2210">
        <f t="shared" si="77"/>
        <v>0</v>
      </c>
    </row>
    <row r="213" spans="1:34" x14ac:dyDescent="0.4">
      <c r="A213" s="2210">
        <f t="shared" si="62"/>
        <v>211</v>
      </c>
      <c r="B213" s="2214"/>
      <c r="C213" s="2214"/>
      <c r="D213" s="2214"/>
      <c r="E213" s="2214"/>
      <c r="F213" s="2214"/>
      <c r="G213" s="2214"/>
      <c r="H213" s="2214"/>
      <c r="M213" s="2210">
        <f t="shared" si="63"/>
        <v>0</v>
      </c>
      <c r="N213" s="2210">
        <f t="shared" si="64"/>
        <v>0</v>
      </c>
      <c r="O213" s="2210">
        <f t="shared" si="65"/>
        <v>0</v>
      </c>
      <c r="P213" s="2210">
        <f t="shared" si="66"/>
        <v>0</v>
      </c>
      <c r="Q213" s="2210">
        <f t="shared" si="67"/>
        <v>0</v>
      </c>
      <c r="R213" s="2210">
        <f t="shared" si="68"/>
        <v>0</v>
      </c>
      <c r="S213" s="2210">
        <f t="shared" si="69"/>
        <v>0</v>
      </c>
      <c r="V213" s="2210">
        <f t="shared" si="70"/>
        <v>0</v>
      </c>
      <c r="W213" s="2210">
        <f t="shared" si="71"/>
        <v>0</v>
      </c>
      <c r="X213" s="2210">
        <f t="shared" si="72"/>
        <v>0</v>
      </c>
      <c r="Y213" s="2210">
        <f t="shared" si="78"/>
        <v>0</v>
      </c>
      <c r="Z213" s="2210">
        <f t="shared" si="73"/>
        <v>0</v>
      </c>
      <c r="AA213" s="2210">
        <f t="shared" si="74"/>
        <v>0</v>
      </c>
      <c r="AB213" s="2210">
        <f t="shared" si="75"/>
        <v>0</v>
      </c>
      <c r="AC213" s="2210">
        <f t="shared" si="76"/>
        <v>0</v>
      </c>
      <c r="AG213" s="2210">
        <f t="shared" si="79"/>
        <v>0</v>
      </c>
      <c r="AH213" s="2210">
        <f t="shared" si="77"/>
        <v>0</v>
      </c>
    </row>
    <row r="214" spans="1:34" x14ac:dyDescent="0.4">
      <c r="A214" s="2210">
        <f t="shared" si="62"/>
        <v>212</v>
      </c>
      <c r="B214" s="2214"/>
      <c r="C214" s="2214"/>
      <c r="D214" s="2214"/>
      <c r="E214" s="2214"/>
      <c r="F214" s="2214"/>
      <c r="G214" s="2214"/>
      <c r="H214" s="2214"/>
      <c r="M214" s="2210">
        <f t="shared" si="63"/>
        <v>0</v>
      </c>
      <c r="N214" s="2210">
        <f t="shared" si="64"/>
        <v>0</v>
      </c>
      <c r="O214" s="2210">
        <f t="shared" si="65"/>
        <v>0</v>
      </c>
      <c r="P214" s="2210">
        <f t="shared" si="66"/>
        <v>0</v>
      </c>
      <c r="Q214" s="2210">
        <f t="shared" si="67"/>
        <v>0</v>
      </c>
      <c r="R214" s="2210">
        <f t="shared" si="68"/>
        <v>0</v>
      </c>
      <c r="S214" s="2210">
        <f t="shared" si="69"/>
        <v>0</v>
      </c>
      <c r="V214" s="2210">
        <f t="shared" si="70"/>
        <v>0</v>
      </c>
      <c r="W214" s="2210">
        <f t="shared" si="71"/>
        <v>0</v>
      </c>
      <c r="X214" s="2210">
        <f t="shared" si="72"/>
        <v>0</v>
      </c>
      <c r="Y214" s="2210">
        <f t="shared" si="78"/>
        <v>0</v>
      </c>
      <c r="Z214" s="2210">
        <f t="shared" si="73"/>
        <v>0</v>
      </c>
      <c r="AA214" s="2210">
        <f t="shared" si="74"/>
        <v>0</v>
      </c>
      <c r="AB214" s="2210">
        <f t="shared" si="75"/>
        <v>0</v>
      </c>
      <c r="AC214" s="2210">
        <f t="shared" si="76"/>
        <v>0</v>
      </c>
      <c r="AG214" s="2210">
        <f t="shared" si="79"/>
        <v>0</v>
      </c>
      <c r="AH214" s="2210">
        <f t="shared" si="77"/>
        <v>0</v>
      </c>
    </row>
    <row r="215" spans="1:34" x14ac:dyDescent="0.4">
      <c r="A215" s="2210">
        <f t="shared" si="62"/>
        <v>213</v>
      </c>
      <c r="B215" s="2214"/>
      <c r="C215" s="2214"/>
      <c r="D215" s="2214"/>
      <c r="E215" s="2214"/>
      <c r="F215" s="2214"/>
      <c r="G215" s="2214"/>
      <c r="H215" s="2214"/>
      <c r="M215" s="2210">
        <f t="shared" si="63"/>
        <v>0</v>
      </c>
      <c r="N215" s="2210">
        <f t="shared" si="64"/>
        <v>0</v>
      </c>
      <c r="O215" s="2210">
        <f t="shared" si="65"/>
        <v>0</v>
      </c>
      <c r="P215" s="2210">
        <f t="shared" si="66"/>
        <v>0</v>
      </c>
      <c r="Q215" s="2210">
        <f t="shared" si="67"/>
        <v>0</v>
      </c>
      <c r="R215" s="2210">
        <f t="shared" si="68"/>
        <v>0</v>
      </c>
      <c r="S215" s="2210">
        <f t="shared" si="69"/>
        <v>0</v>
      </c>
      <c r="V215" s="2210">
        <f t="shared" si="70"/>
        <v>0</v>
      </c>
      <c r="W215" s="2210">
        <f t="shared" si="71"/>
        <v>0</v>
      </c>
      <c r="X215" s="2210">
        <f t="shared" si="72"/>
        <v>0</v>
      </c>
      <c r="Y215" s="2210">
        <f t="shared" si="78"/>
        <v>0</v>
      </c>
      <c r="Z215" s="2210">
        <f t="shared" si="73"/>
        <v>0</v>
      </c>
      <c r="AA215" s="2210">
        <f t="shared" si="74"/>
        <v>0</v>
      </c>
      <c r="AB215" s="2210">
        <f t="shared" si="75"/>
        <v>0</v>
      </c>
      <c r="AC215" s="2210">
        <f t="shared" si="76"/>
        <v>0</v>
      </c>
      <c r="AG215" s="2210">
        <f t="shared" si="79"/>
        <v>0</v>
      </c>
      <c r="AH215" s="2210">
        <f t="shared" si="77"/>
        <v>0</v>
      </c>
    </row>
    <row r="216" spans="1:34" x14ac:dyDescent="0.4">
      <c r="A216" s="2210">
        <f t="shared" si="62"/>
        <v>214</v>
      </c>
      <c r="B216" s="2214"/>
      <c r="C216" s="2214"/>
      <c r="D216" s="2214"/>
      <c r="E216" s="2214"/>
      <c r="F216" s="2214"/>
      <c r="G216" s="2214"/>
      <c r="H216" s="2214"/>
      <c r="M216" s="2210">
        <f t="shared" si="63"/>
        <v>0</v>
      </c>
      <c r="N216" s="2210">
        <f t="shared" si="64"/>
        <v>0</v>
      </c>
      <c r="O216" s="2210">
        <f t="shared" si="65"/>
        <v>0</v>
      </c>
      <c r="P216" s="2210">
        <f t="shared" si="66"/>
        <v>0</v>
      </c>
      <c r="Q216" s="2210">
        <f t="shared" si="67"/>
        <v>0</v>
      </c>
      <c r="R216" s="2210">
        <f t="shared" si="68"/>
        <v>0</v>
      </c>
      <c r="S216" s="2210">
        <f t="shared" si="69"/>
        <v>0</v>
      </c>
      <c r="V216" s="2210">
        <f t="shared" si="70"/>
        <v>0</v>
      </c>
      <c r="W216" s="2210">
        <f t="shared" si="71"/>
        <v>0</v>
      </c>
      <c r="X216" s="2210">
        <f t="shared" si="72"/>
        <v>0</v>
      </c>
      <c r="Y216" s="2210">
        <f t="shared" si="78"/>
        <v>0</v>
      </c>
      <c r="Z216" s="2210">
        <f t="shared" si="73"/>
        <v>0</v>
      </c>
      <c r="AA216" s="2210">
        <f t="shared" si="74"/>
        <v>0</v>
      </c>
      <c r="AB216" s="2210">
        <f t="shared" si="75"/>
        <v>0</v>
      </c>
      <c r="AC216" s="2210">
        <f t="shared" si="76"/>
        <v>0</v>
      </c>
      <c r="AG216" s="2210">
        <f t="shared" si="79"/>
        <v>0</v>
      </c>
      <c r="AH216" s="2210">
        <f t="shared" si="77"/>
        <v>0</v>
      </c>
    </row>
    <row r="217" spans="1:34" x14ac:dyDescent="0.4">
      <c r="A217" s="2210">
        <f t="shared" si="62"/>
        <v>215</v>
      </c>
      <c r="B217" s="2214"/>
      <c r="C217" s="2214"/>
      <c r="D217" s="2214"/>
      <c r="E217" s="2214"/>
      <c r="F217" s="2214"/>
      <c r="G217" s="2214"/>
      <c r="H217" s="2214"/>
      <c r="M217" s="2210">
        <f t="shared" si="63"/>
        <v>0</v>
      </c>
      <c r="N217" s="2210">
        <f t="shared" si="64"/>
        <v>0</v>
      </c>
      <c r="O217" s="2210">
        <f t="shared" si="65"/>
        <v>0</v>
      </c>
      <c r="P217" s="2210">
        <f t="shared" si="66"/>
        <v>0</v>
      </c>
      <c r="Q217" s="2210">
        <f t="shared" si="67"/>
        <v>0</v>
      </c>
      <c r="R217" s="2210">
        <f t="shared" si="68"/>
        <v>0</v>
      </c>
      <c r="S217" s="2210">
        <f t="shared" si="69"/>
        <v>0</v>
      </c>
      <c r="V217" s="2210">
        <f t="shared" si="70"/>
        <v>0</v>
      </c>
      <c r="W217" s="2210">
        <f t="shared" si="71"/>
        <v>0</v>
      </c>
      <c r="X217" s="2210">
        <f t="shared" si="72"/>
        <v>0</v>
      </c>
      <c r="Y217" s="2210">
        <f t="shared" si="78"/>
        <v>0</v>
      </c>
      <c r="Z217" s="2210">
        <f t="shared" si="73"/>
        <v>0</v>
      </c>
      <c r="AA217" s="2210">
        <f t="shared" si="74"/>
        <v>0</v>
      </c>
      <c r="AB217" s="2210">
        <f t="shared" si="75"/>
        <v>0</v>
      </c>
      <c r="AC217" s="2210">
        <f t="shared" si="76"/>
        <v>0</v>
      </c>
      <c r="AG217" s="2210">
        <f t="shared" si="79"/>
        <v>0</v>
      </c>
      <c r="AH217" s="2210">
        <f t="shared" si="77"/>
        <v>0</v>
      </c>
    </row>
    <row r="218" spans="1:34" x14ac:dyDescent="0.4">
      <c r="A218" s="2210">
        <f t="shared" si="62"/>
        <v>216</v>
      </c>
      <c r="B218" s="2214"/>
      <c r="C218" s="2214"/>
      <c r="D218" s="2214"/>
      <c r="E218" s="2214"/>
      <c r="F218" s="2214"/>
      <c r="G218" s="2214"/>
      <c r="H218" s="2214"/>
      <c r="M218" s="2210">
        <f t="shared" si="63"/>
        <v>0</v>
      </c>
      <c r="N218" s="2210">
        <f t="shared" si="64"/>
        <v>0</v>
      </c>
      <c r="O218" s="2210">
        <f t="shared" si="65"/>
        <v>0</v>
      </c>
      <c r="P218" s="2210">
        <f t="shared" si="66"/>
        <v>0</v>
      </c>
      <c r="Q218" s="2210">
        <f t="shared" si="67"/>
        <v>0</v>
      </c>
      <c r="R218" s="2210">
        <f t="shared" si="68"/>
        <v>0</v>
      </c>
      <c r="S218" s="2210">
        <f t="shared" si="69"/>
        <v>0</v>
      </c>
      <c r="V218" s="2210">
        <f t="shared" si="70"/>
        <v>0</v>
      </c>
      <c r="W218" s="2210">
        <f t="shared" si="71"/>
        <v>0</v>
      </c>
      <c r="X218" s="2210">
        <f t="shared" si="72"/>
        <v>0</v>
      </c>
      <c r="Y218" s="2210">
        <f t="shared" si="78"/>
        <v>0</v>
      </c>
      <c r="Z218" s="2210">
        <f t="shared" si="73"/>
        <v>0</v>
      </c>
      <c r="AA218" s="2210">
        <f t="shared" si="74"/>
        <v>0</v>
      </c>
      <c r="AB218" s="2210">
        <f t="shared" si="75"/>
        <v>0</v>
      </c>
      <c r="AC218" s="2210">
        <f t="shared" si="76"/>
        <v>0</v>
      </c>
      <c r="AG218" s="2210">
        <f t="shared" si="79"/>
        <v>0</v>
      </c>
      <c r="AH218" s="2210">
        <f t="shared" si="77"/>
        <v>0</v>
      </c>
    </row>
    <row r="219" spans="1:34" x14ac:dyDescent="0.4">
      <c r="A219" s="2210">
        <f t="shared" si="62"/>
        <v>217</v>
      </c>
      <c r="B219" s="2214"/>
      <c r="C219" s="2214"/>
      <c r="D219" s="2214"/>
      <c r="E219" s="2214"/>
      <c r="F219" s="2214"/>
      <c r="G219" s="2214"/>
      <c r="H219" s="2214"/>
      <c r="M219" s="2210">
        <f t="shared" si="63"/>
        <v>0</v>
      </c>
      <c r="N219" s="2210">
        <f t="shared" si="64"/>
        <v>0</v>
      </c>
      <c r="O219" s="2210">
        <f t="shared" si="65"/>
        <v>0</v>
      </c>
      <c r="P219" s="2210">
        <f t="shared" si="66"/>
        <v>0</v>
      </c>
      <c r="Q219" s="2210">
        <f t="shared" si="67"/>
        <v>0</v>
      </c>
      <c r="R219" s="2210">
        <f t="shared" si="68"/>
        <v>0</v>
      </c>
      <c r="S219" s="2210">
        <f t="shared" si="69"/>
        <v>0</v>
      </c>
      <c r="V219" s="2210">
        <f t="shared" si="70"/>
        <v>0</v>
      </c>
      <c r="W219" s="2210">
        <f t="shared" si="71"/>
        <v>0</v>
      </c>
      <c r="X219" s="2210">
        <f t="shared" si="72"/>
        <v>0</v>
      </c>
      <c r="Y219" s="2210">
        <f t="shared" si="78"/>
        <v>0</v>
      </c>
      <c r="Z219" s="2210">
        <f t="shared" si="73"/>
        <v>0</v>
      </c>
      <c r="AA219" s="2210">
        <f t="shared" si="74"/>
        <v>0</v>
      </c>
      <c r="AB219" s="2210">
        <f t="shared" si="75"/>
        <v>0</v>
      </c>
      <c r="AC219" s="2210">
        <f t="shared" si="76"/>
        <v>0</v>
      </c>
      <c r="AG219" s="2210">
        <f t="shared" si="79"/>
        <v>0</v>
      </c>
      <c r="AH219" s="2210">
        <f t="shared" si="77"/>
        <v>0</v>
      </c>
    </row>
    <row r="220" spans="1:34" x14ac:dyDescent="0.4">
      <c r="A220" s="2210">
        <f t="shared" si="62"/>
        <v>218</v>
      </c>
      <c r="B220" s="2214"/>
      <c r="C220" s="2214"/>
      <c r="D220" s="2214"/>
      <c r="E220" s="2214"/>
      <c r="F220" s="2214"/>
      <c r="G220" s="2214"/>
      <c r="H220" s="2214"/>
      <c r="M220" s="2210">
        <f t="shared" si="63"/>
        <v>0</v>
      </c>
      <c r="N220" s="2210">
        <f t="shared" si="64"/>
        <v>0</v>
      </c>
      <c r="O220" s="2210">
        <f t="shared" si="65"/>
        <v>0</v>
      </c>
      <c r="P220" s="2210">
        <f t="shared" si="66"/>
        <v>0</v>
      </c>
      <c r="Q220" s="2210">
        <f t="shared" si="67"/>
        <v>0</v>
      </c>
      <c r="R220" s="2210">
        <f t="shared" si="68"/>
        <v>0</v>
      </c>
      <c r="S220" s="2210">
        <f t="shared" si="69"/>
        <v>0</v>
      </c>
      <c r="V220" s="2210">
        <f t="shared" si="70"/>
        <v>0</v>
      </c>
      <c r="W220" s="2210">
        <f t="shared" si="71"/>
        <v>0</v>
      </c>
      <c r="X220" s="2210">
        <f t="shared" si="72"/>
        <v>0</v>
      </c>
      <c r="Y220" s="2210">
        <f t="shared" si="78"/>
        <v>0</v>
      </c>
      <c r="Z220" s="2210">
        <f t="shared" si="73"/>
        <v>0</v>
      </c>
      <c r="AA220" s="2210">
        <f t="shared" si="74"/>
        <v>0</v>
      </c>
      <c r="AB220" s="2210">
        <f t="shared" si="75"/>
        <v>0</v>
      </c>
      <c r="AC220" s="2210">
        <f t="shared" si="76"/>
        <v>0</v>
      </c>
      <c r="AG220" s="2210">
        <f t="shared" si="79"/>
        <v>0</v>
      </c>
      <c r="AH220" s="2210">
        <f t="shared" si="77"/>
        <v>0</v>
      </c>
    </row>
    <row r="221" spans="1:34" x14ac:dyDescent="0.4">
      <c r="A221" s="2210">
        <f t="shared" si="62"/>
        <v>219</v>
      </c>
      <c r="B221" s="2214"/>
      <c r="C221" s="2214"/>
      <c r="D221" s="2214"/>
      <c r="E221" s="2214"/>
      <c r="F221" s="2214"/>
      <c r="G221" s="2214"/>
      <c r="H221" s="2214"/>
      <c r="M221" s="2210">
        <f t="shared" si="63"/>
        <v>0</v>
      </c>
      <c r="N221" s="2210">
        <f t="shared" si="64"/>
        <v>0</v>
      </c>
      <c r="O221" s="2210">
        <f t="shared" si="65"/>
        <v>0</v>
      </c>
      <c r="P221" s="2210">
        <f t="shared" si="66"/>
        <v>0</v>
      </c>
      <c r="Q221" s="2210">
        <f t="shared" si="67"/>
        <v>0</v>
      </c>
      <c r="R221" s="2210">
        <f t="shared" si="68"/>
        <v>0</v>
      </c>
      <c r="S221" s="2210">
        <f t="shared" si="69"/>
        <v>0</v>
      </c>
      <c r="V221" s="2210">
        <f t="shared" si="70"/>
        <v>0</v>
      </c>
      <c r="W221" s="2210">
        <f t="shared" si="71"/>
        <v>0</v>
      </c>
      <c r="X221" s="2210">
        <f t="shared" si="72"/>
        <v>0</v>
      </c>
      <c r="Y221" s="2210">
        <f t="shared" si="78"/>
        <v>0</v>
      </c>
      <c r="Z221" s="2210">
        <f t="shared" si="73"/>
        <v>0</v>
      </c>
      <c r="AA221" s="2210">
        <f t="shared" si="74"/>
        <v>0</v>
      </c>
      <c r="AB221" s="2210">
        <f t="shared" si="75"/>
        <v>0</v>
      </c>
      <c r="AC221" s="2210">
        <f t="shared" si="76"/>
        <v>0</v>
      </c>
      <c r="AG221" s="2210">
        <f t="shared" si="79"/>
        <v>0</v>
      </c>
      <c r="AH221" s="2210">
        <f t="shared" si="77"/>
        <v>0</v>
      </c>
    </row>
    <row r="222" spans="1:34" x14ac:dyDescent="0.4">
      <c r="A222" s="2210">
        <f t="shared" si="62"/>
        <v>220</v>
      </c>
      <c r="B222" s="2214"/>
      <c r="C222" s="2214"/>
      <c r="D222" s="2214"/>
      <c r="E222" s="2214"/>
      <c r="F222" s="2214"/>
      <c r="G222" s="2214"/>
      <c r="H222" s="2214"/>
      <c r="M222" s="2210">
        <f t="shared" si="63"/>
        <v>0</v>
      </c>
      <c r="N222" s="2210">
        <f t="shared" si="64"/>
        <v>0</v>
      </c>
      <c r="O222" s="2210">
        <f t="shared" si="65"/>
        <v>0</v>
      </c>
      <c r="P222" s="2210">
        <f t="shared" si="66"/>
        <v>0</v>
      </c>
      <c r="Q222" s="2210">
        <f t="shared" si="67"/>
        <v>0</v>
      </c>
      <c r="R222" s="2210">
        <f t="shared" si="68"/>
        <v>0</v>
      </c>
      <c r="S222" s="2210">
        <f t="shared" si="69"/>
        <v>0</v>
      </c>
      <c r="V222" s="2210">
        <f t="shared" si="70"/>
        <v>0</v>
      </c>
      <c r="W222" s="2210">
        <f t="shared" si="71"/>
        <v>0</v>
      </c>
      <c r="X222" s="2210">
        <f t="shared" si="72"/>
        <v>0</v>
      </c>
      <c r="Y222" s="2210">
        <f t="shared" si="78"/>
        <v>0</v>
      </c>
      <c r="Z222" s="2210">
        <f t="shared" si="73"/>
        <v>0</v>
      </c>
      <c r="AA222" s="2210">
        <f t="shared" si="74"/>
        <v>0</v>
      </c>
      <c r="AB222" s="2210">
        <f t="shared" si="75"/>
        <v>0</v>
      </c>
      <c r="AC222" s="2210">
        <f t="shared" si="76"/>
        <v>0</v>
      </c>
      <c r="AG222" s="2210">
        <f t="shared" si="79"/>
        <v>0</v>
      </c>
      <c r="AH222" s="2210">
        <f t="shared" si="77"/>
        <v>0</v>
      </c>
    </row>
    <row r="223" spans="1:34" x14ac:dyDescent="0.4">
      <c r="A223" s="2210">
        <f t="shared" si="62"/>
        <v>221</v>
      </c>
      <c r="B223" s="2214"/>
      <c r="C223" s="2214"/>
      <c r="D223" s="2214"/>
      <c r="E223" s="2214"/>
      <c r="F223" s="2214"/>
      <c r="G223" s="2214"/>
      <c r="H223" s="2214"/>
      <c r="M223" s="2210">
        <f t="shared" si="63"/>
        <v>0</v>
      </c>
      <c r="N223" s="2210">
        <f t="shared" si="64"/>
        <v>0</v>
      </c>
      <c r="O223" s="2210">
        <f t="shared" si="65"/>
        <v>0</v>
      </c>
      <c r="P223" s="2210">
        <f t="shared" si="66"/>
        <v>0</v>
      </c>
      <c r="Q223" s="2210">
        <f t="shared" si="67"/>
        <v>0</v>
      </c>
      <c r="R223" s="2210">
        <f t="shared" si="68"/>
        <v>0</v>
      </c>
      <c r="S223" s="2210">
        <f t="shared" si="69"/>
        <v>0</v>
      </c>
      <c r="V223" s="2210">
        <f t="shared" si="70"/>
        <v>0</v>
      </c>
      <c r="W223" s="2210">
        <f t="shared" si="71"/>
        <v>0</v>
      </c>
      <c r="X223" s="2210">
        <f t="shared" si="72"/>
        <v>0</v>
      </c>
      <c r="Y223" s="2210">
        <f t="shared" si="78"/>
        <v>0</v>
      </c>
      <c r="Z223" s="2210">
        <f t="shared" si="73"/>
        <v>0</v>
      </c>
      <c r="AA223" s="2210">
        <f t="shared" si="74"/>
        <v>0</v>
      </c>
      <c r="AB223" s="2210">
        <f t="shared" si="75"/>
        <v>0</v>
      </c>
      <c r="AC223" s="2210">
        <f t="shared" si="76"/>
        <v>0</v>
      </c>
      <c r="AG223" s="2210">
        <f t="shared" si="79"/>
        <v>0</v>
      </c>
      <c r="AH223" s="2210">
        <f t="shared" si="77"/>
        <v>0</v>
      </c>
    </row>
    <row r="224" spans="1:34" x14ac:dyDescent="0.4">
      <c r="A224" s="2210">
        <f t="shared" si="62"/>
        <v>222</v>
      </c>
      <c r="B224" s="2214"/>
      <c r="C224" s="2214"/>
      <c r="D224" s="2214"/>
      <c r="E224" s="2214"/>
      <c r="F224" s="2214"/>
      <c r="G224" s="2214"/>
      <c r="H224" s="2214"/>
      <c r="M224" s="2210">
        <f t="shared" si="63"/>
        <v>0</v>
      </c>
      <c r="N224" s="2210">
        <f t="shared" si="64"/>
        <v>0</v>
      </c>
      <c r="O224" s="2210">
        <f t="shared" si="65"/>
        <v>0</v>
      </c>
      <c r="P224" s="2210">
        <f t="shared" si="66"/>
        <v>0</v>
      </c>
      <c r="Q224" s="2210">
        <f t="shared" si="67"/>
        <v>0</v>
      </c>
      <c r="R224" s="2210">
        <f t="shared" si="68"/>
        <v>0</v>
      </c>
      <c r="S224" s="2210">
        <f t="shared" si="69"/>
        <v>0</v>
      </c>
      <c r="V224" s="2210">
        <f t="shared" si="70"/>
        <v>0</v>
      </c>
      <c r="W224" s="2210">
        <f t="shared" si="71"/>
        <v>0</v>
      </c>
      <c r="X224" s="2210">
        <f t="shared" si="72"/>
        <v>0</v>
      </c>
      <c r="Y224" s="2210">
        <f t="shared" si="78"/>
        <v>0</v>
      </c>
      <c r="Z224" s="2210">
        <f t="shared" si="73"/>
        <v>0</v>
      </c>
      <c r="AA224" s="2210">
        <f t="shared" si="74"/>
        <v>0</v>
      </c>
      <c r="AB224" s="2210">
        <f t="shared" si="75"/>
        <v>0</v>
      </c>
      <c r="AC224" s="2210">
        <f t="shared" si="76"/>
        <v>0</v>
      </c>
      <c r="AG224" s="2210">
        <f t="shared" si="79"/>
        <v>0</v>
      </c>
      <c r="AH224" s="2210">
        <f t="shared" si="77"/>
        <v>0</v>
      </c>
    </row>
    <row r="225" spans="1:34" x14ac:dyDescent="0.4">
      <c r="A225" s="2210">
        <f t="shared" si="62"/>
        <v>223</v>
      </c>
      <c r="B225" s="2214"/>
      <c r="C225" s="2214"/>
      <c r="D225" s="2214"/>
      <c r="E225" s="2214"/>
      <c r="F225" s="2214"/>
      <c r="G225" s="2214"/>
      <c r="H225" s="2214"/>
      <c r="M225" s="2210">
        <f t="shared" si="63"/>
        <v>0</v>
      </c>
      <c r="N225" s="2210">
        <f t="shared" si="64"/>
        <v>0</v>
      </c>
      <c r="O225" s="2210">
        <f t="shared" si="65"/>
        <v>0</v>
      </c>
      <c r="P225" s="2210">
        <f t="shared" si="66"/>
        <v>0</v>
      </c>
      <c r="Q225" s="2210">
        <f t="shared" si="67"/>
        <v>0</v>
      </c>
      <c r="R225" s="2210">
        <f t="shared" si="68"/>
        <v>0</v>
      </c>
      <c r="S225" s="2210">
        <f t="shared" si="69"/>
        <v>0</v>
      </c>
      <c r="V225" s="2210">
        <f t="shared" si="70"/>
        <v>0</v>
      </c>
      <c r="W225" s="2210">
        <f t="shared" si="71"/>
        <v>0</v>
      </c>
      <c r="X225" s="2210">
        <f t="shared" si="72"/>
        <v>0</v>
      </c>
      <c r="Y225" s="2210">
        <f t="shared" si="78"/>
        <v>0</v>
      </c>
      <c r="Z225" s="2210">
        <f t="shared" si="73"/>
        <v>0</v>
      </c>
      <c r="AA225" s="2210">
        <f t="shared" si="74"/>
        <v>0</v>
      </c>
      <c r="AB225" s="2210">
        <f t="shared" si="75"/>
        <v>0</v>
      </c>
      <c r="AC225" s="2210">
        <f t="shared" si="76"/>
        <v>0</v>
      </c>
      <c r="AG225" s="2210">
        <f t="shared" si="79"/>
        <v>0</v>
      </c>
      <c r="AH225" s="2210">
        <f t="shared" si="77"/>
        <v>0</v>
      </c>
    </row>
    <row r="226" spans="1:34" x14ac:dyDescent="0.4">
      <c r="A226" s="2210">
        <f t="shared" si="62"/>
        <v>224</v>
      </c>
      <c r="B226" s="2214"/>
      <c r="C226" s="2214"/>
      <c r="D226" s="2214"/>
      <c r="E226" s="2214"/>
      <c r="F226" s="2214"/>
      <c r="G226" s="2214"/>
      <c r="H226" s="2214"/>
      <c r="M226" s="2210">
        <f t="shared" si="63"/>
        <v>0</v>
      </c>
      <c r="N226" s="2210">
        <f t="shared" si="64"/>
        <v>0</v>
      </c>
      <c r="O226" s="2210">
        <f t="shared" si="65"/>
        <v>0</v>
      </c>
      <c r="P226" s="2210">
        <f t="shared" si="66"/>
        <v>0</v>
      </c>
      <c r="Q226" s="2210">
        <f t="shared" si="67"/>
        <v>0</v>
      </c>
      <c r="R226" s="2210">
        <f t="shared" si="68"/>
        <v>0</v>
      </c>
      <c r="S226" s="2210">
        <f t="shared" si="69"/>
        <v>0</v>
      </c>
      <c r="V226" s="2210">
        <f t="shared" si="70"/>
        <v>0</v>
      </c>
      <c r="W226" s="2210">
        <f t="shared" si="71"/>
        <v>0</v>
      </c>
      <c r="X226" s="2210">
        <f t="shared" si="72"/>
        <v>0</v>
      </c>
      <c r="Y226" s="2210">
        <f t="shared" si="78"/>
        <v>0</v>
      </c>
      <c r="Z226" s="2210">
        <f t="shared" si="73"/>
        <v>0</v>
      </c>
      <c r="AA226" s="2210">
        <f t="shared" si="74"/>
        <v>0</v>
      </c>
      <c r="AB226" s="2210">
        <f t="shared" si="75"/>
        <v>0</v>
      </c>
      <c r="AC226" s="2210">
        <f t="shared" si="76"/>
        <v>0</v>
      </c>
      <c r="AG226" s="2210">
        <f t="shared" si="79"/>
        <v>0</v>
      </c>
      <c r="AH226" s="2210">
        <f t="shared" si="77"/>
        <v>0</v>
      </c>
    </row>
    <row r="227" spans="1:34" x14ac:dyDescent="0.4">
      <c r="A227" s="2210">
        <f t="shared" si="62"/>
        <v>225</v>
      </c>
      <c r="B227" s="2214"/>
      <c r="C227" s="2214"/>
      <c r="D227" s="2214"/>
      <c r="E227" s="2214"/>
      <c r="F227" s="2214"/>
      <c r="G227" s="2214"/>
      <c r="H227" s="2214"/>
      <c r="M227" s="2210">
        <f t="shared" si="63"/>
        <v>0</v>
      </c>
      <c r="N227" s="2210">
        <f t="shared" si="64"/>
        <v>0</v>
      </c>
      <c r="O227" s="2210">
        <f t="shared" si="65"/>
        <v>0</v>
      </c>
      <c r="P227" s="2210">
        <f t="shared" si="66"/>
        <v>0</v>
      </c>
      <c r="Q227" s="2210">
        <f t="shared" si="67"/>
        <v>0</v>
      </c>
      <c r="R227" s="2210">
        <f t="shared" si="68"/>
        <v>0</v>
      </c>
      <c r="S227" s="2210">
        <f t="shared" si="69"/>
        <v>0</v>
      </c>
      <c r="V227" s="2210">
        <f t="shared" si="70"/>
        <v>0</v>
      </c>
      <c r="W227" s="2210">
        <f t="shared" si="71"/>
        <v>0</v>
      </c>
      <c r="X227" s="2210">
        <f t="shared" si="72"/>
        <v>0</v>
      </c>
      <c r="Y227" s="2210">
        <f t="shared" si="78"/>
        <v>0</v>
      </c>
      <c r="Z227" s="2210">
        <f t="shared" si="73"/>
        <v>0</v>
      </c>
      <c r="AA227" s="2210">
        <f t="shared" si="74"/>
        <v>0</v>
      </c>
      <c r="AB227" s="2210">
        <f t="shared" si="75"/>
        <v>0</v>
      </c>
      <c r="AC227" s="2210">
        <f t="shared" si="76"/>
        <v>0</v>
      </c>
      <c r="AG227" s="2210">
        <f t="shared" si="79"/>
        <v>0</v>
      </c>
      <c r="AH227" s="2210">
        <f t="shared" si="77"/>
        <v>0</v>
      </c>
    </row>
    <row r="228" spans="1:34" x14ac:dyDescent="0.4">
      <c r="A228" s="2210">
        <f t="shared" si="62"/>
        <v>226</v>
      </c>
      <c r="B228" s="2214"/>
      <c r="C228" s="2214"/>
      <c r="D228" s="2214"/>
      <c r="E228" s="2214"/>
      <c r="F228" s="2214"/>
      <c r="G228" s="2214"/>
      <c r="H228" s="2214"/>
      <c r="M228" s="2210">
        <f t="shared" si="63"/>
        <v>0</v>
      </c>
      <c r="N228" s="2210">
        <f t="shared" si="64"/>
        <v>0</v>
      </c>
      <c r="O228" s="2210">
        <f t="shared" si="65"/>
        <v>0</v>
      </c>
      <c r="P228" s="2210">
        <f t="shared" si="66"/>
        <v>0</v>
      </c>
      <c r="Q228" s="2210">
        <f t="shared" si="67"/>
        <v>0</v>
      </c>
      <c r="R228" s="2210">
        <f t="shared" si="68"/>
        <v>0</v>
      </c>
      <c r="S228" s="2210">
        <f t="shared" si="69"/>
        <v>0</v>
      </c>
      <c r="V228" s="2210">
        <f t="shared" si="70"/>
        <v>0</v>
      </c>
      <c r="W228" s="2210">
        <f t="shared" si="71"/>
        <v>0</v>
      </c>
      <c r="X228" s="2210">
        <f t="shared" si="72"/>
        <v>0</v>
      </c>
      <c r="Y228" s="2210">
        <f t="shared" si="78"/>
        <v>0</v>
      </c>
      <c r="Z228" s="2210">
        <f t="shared" si="73"/>
        <v>0</v>
      </c>
      <c r="AA228" s="2210">
        <f t="shared" si="74"/>
        <v>0</v>
      </c>
      <c r="AB228" s="2210">
        <f t="shared" si="75"/>
        <v>0</v>
      </c>
      <c r="AC228" s="2210">
        <f t="shared" si="76"/>
        <v>0</v>
      </c>
      <c r="AG228" s="2210">
        <f t="shared" si="79"/>
        <v>0</v>
      </c>
      <c r="AH228" s="2210">
        <f t="shared" si="77"/>
        <v>0</v>
      </c>
    </row>
    <row r="229" spans="1:34" x14ac:dyDescent="0.4">
      <c r="A229" s="2210">
        <f t="shared" si="62"/>
        <v>227</v>
      </c>
      <c r="B229" s="2214"/>
      <c r="C229" s="2214"/>
      <c r="D229" s="2214"/>
      <c r="E229" s="2214"/>
      <c r="F229" s="2214"/>
      <c r="G229" s="2214"/>
      <c r="H229" s="2214"/>
      <c r="M229" s="2210">
        <f t="shared" si="63"/>
        <v>0</v>
      </c>
      <c r="N229" s="2210">
        <f t="shared" si="64"/>
        <v>0</v>
      </c>
      <c r="O229" s="2210">
        <f t="shared" si="65"/>
        <v>0</v>
      </c>
      <c r="P229" s="2210">
        <f t="shared" si="66"/>
        <v>0</v>
      </c>
      <c r="Q229" s="2210">
        <f t="shared" si="67"/>
        <v>0</v>
      </c>
      <c r="R229" s="2210">
        <f t="shared" si="68"/>
        <v>0</v>
      </c>
      <c r="S229" s="2210">
        <f t="shared" si="69"/>
        <v>0</v>
      </c>
      <c r="V229" s="2210">
        <f t="shared" si="70"/>
        <v>0</v>
      </c>
      <c r="W229" s="2210">
        <f t="shared" si="71"/>
        <v>0</v>
      </c>
      <c r="X229" s="2210">
        <f t="shared" si="72"/>
        <v>0</v>
      </c>
      <c r="Y229" s="2210">
        <f t="shared" si="78"/>
        <v>0</v>
      </c>
      <c r="Z229" s="2210">
        <f t="shared" si="73"/>
        <v>0</v>
      </c>
      <c r="AA229" s="2210">
        <f t="shared" si="74"/>
        <v>0</v>
      </c>
      <c r="AB229" s="2210">
        <f t="shared" si="75"/>
        <v>0</v>
      </c>
      <c r="AC229" s="2210">
        <f t="shared" si="76"/>
        <v>0</v>
      </c>
      <c r="AG229" s="2210">
        <f t="shared" si="79"/>
        <v>0</v>
      </c>
      <c r="AH229" s="2210">
        <f t="shared" si="77"/>
        <v>0</v>
      </c>
    </row>
    <row r="230" spans="1:34" x14ac:dyDescent="0.4">
      <c r="A230" s="2210">
        <f t="shared" si="62"/>
        <v>228</v>
      </c>
      <c r="B230" s="2214"/>
      <c r="C230" s="2214"/>
      <c r="D230" s="2214"/>
      <c r="E230" s="2214"/>
      <c r="F230" s="2214"/>
      <c r="G230" s="2214"/>
      <c r="H230" s="2214"/>
      <c r="M230" s="2210">
        <f t="shared" si="63"/>
        <v>0</v>
      </c>
      <c r="N230" s="2210">
        <f t="shared" si="64"/>
        <v>0</v>
      </c>
      <c r="O230" s="2210">
        <f t="shared" si="65"/>
        <v>0</v>
      </c>
      <c r="P230" s="2210">
        <f t="shared" si="66"/>
        <v>0</v>
      </c>
      <c r="Q230" s="2210">
        <f t="shared" si="67"/>
        <v>0</v>
      </c>
      <c r="R230" s="2210">
        <f t="shared" si="68"/>
        <v>0</v>
      </c>
      <c r="S230" s="2210">
        <f t="shared" si="69"/>
        <v>0</v>
      </c>
      <c r="V230" s="2210">
        <f t="shared" si="70"/>
        <v>0</v>
      </c>
      <c r="W230" s="2210">
        <f t="shared" si="71"/>
        <v>0</v>
      </c>
      <c r="X230" s="2210">
        <f t="shared" si="72"/>
        <v>0</v>
      </c>
      <c r="Y230" s="2210">
        <f t="shared" si="78"/>
        <v>0</v>
      </c>
      <c r="Z230" s="2210">
        <f t="shared" si="73"/>
        <v>0</v>
      </c>
      <c r="AA230" s="2210">
        <f t="shared" si="74"/>
        <v>0</v>
      </c>
      <c r="AB230" s="2210">
        <f t="shared" si="75"/>
        <v>0</v>
      </c>
      <c r="AC230" s="2210">
        <f t="shared" si="76"/>
        <v>0</v>
      </c>
      <c r="AG230" s="2210">
        <f t="shared" si="79"/>
        <v>0</v>
      </c>
      <c r="AH230" s="2210">
        <f t="shared" si="77"/>
        <v>0</v>
      </c>
    </row>
    <row r="231" spans="1:34" x14ac:dyDescent="0.4">
      <c r="A231" s="2210">
        <f t="shared" si="62"/>
        <v>229</v>
      </c>
      <c r="B231" s="2214"/>
      <c r="C231" s="2214"/>
      <c r="D231" s="2214"/>
      <c r="E231" s="2214"/>
      <c r="F231" s="2214"/>
      <c r="G231" s="2214"/>
      <c r="H231" s="2214"/>
      <c r="M231" s="2210">
        <f t="shared" si="63"/>
        <v>0</v>
      </c>
      <c r="N231" s="2210">
        <f t="shared" si="64"/>
        <v>0</v>
      </c>
      <c r="O231" s="2210">
        <f t="shared" si="65"/>
        <v>0</v>
      </c>
      <c r="P231" s="2210">
        <f t="shared" si="66"/>
        <v>0</v>
      </c>
      <c r="Q231" s="2210">
        <f t="shared" si="67"/>
        <v>0</v>
      </c>
      <c r="R231" s="2210">
        <f t="shared" si="68"/>
        <v>0</v>
      </c>
      <c r="S231" s="2210">
        <f t="shared" si="69"/>
        <v>0</v>
      </c>
      <c r="V231" s="2210">
        <f t="shared" si="70"/>
        <v>0</v>
      </c>
      <c r="W231" s="2210">
        <f t="shared" si="71"/>
        <v>0</v>
      </c>
      <c r="X231" s="2210">
        <f t="shared" si="72"/>
        <v>0</v>
      </c>
      <c r="Y231" s="2210">
        <f t="shared" si="78"/>
        <v>0</v>
      </c>
      <c r="Z231" s="2210">
        <f t="shared" si="73"/>
        <v>0</v>
      </c>
      <c r="AA231" s="2210">
        <f t="shared" si="74"/>
        <v>0</v>
      </c>
      <c r="AB231" s="2210">
        <f t="shared" si="75"/>
        <v>0</v>
      </c>
      <c r="AC231" s="2210">
        <f t="shared" si="76"/>
        <v>0</v>
      </c>
      <c r="AG231" s="2210">
        <f t="shared" si="79"/>
        <v>0</v>
      </c>
      <c r="AH231" s="2210">
        <f t="shared" si="77"/>
        <v>0</v>
      </c>
    </row>
    <row r="232" spans="1:34" x14ac:dyDescent="0.4">
      <c r="A232" s="2210">
        <f t="shared" si="62"/>
        <v>230</v>
      </c>
      <c r="B232" s="2214"/>
      <c r="C232" s="2214"/>
      <c r="D232" s="2214"/>
      <c r="E232" s="2214"/>
      <c r="F232" s="2214"/>
      <c r="G232" s="2214"/>
      <c r="H232" s="2214"/>
      <c r="M232" s="2210">
        <f t="shared" si="63"/>
        <v>0</v>
      </c>
      <c r="N232" s="2210">
        <f t="shared" si="64"/>
        <v>0</v>
      </c>
      <c r="O232" s="2210">
        <f t="shared" si="65"/>
        <v>0</v>
      </c>
      <c r="P232" s="2210">
        <f t="shared" si="66"/>
        <v>0</v>
      </c>
      <c r="Q232" s="2210">
        <f t="shared" si="67"/>
        <v>0</v>
      </c>
      <c r="R232" s="2210">
        <f t="shared" si="68"/>
        <v>0</v>
      </c>
      <c r="S232" s="2210">
        <f t="shared" si="69"/>
        <v>0</v>
      </c>
      <c r="V232" s="2210">
        <f t="shared" si="70"/>
        <v>0</v>
      </c>
      <c r="W232" s="2210">
        <f t="shared" si="71"/>
        <v>0</v>
      </c>
      <c r="X232" s="2210">
        <f t="shared" si="72"/>
        <v>0</v>
      </c>
      <c r="Y232" s="2210">
        <f t="shared" si="78"/>
        <v>0</v>
      </c>
      <c r="Z232" s="2210">
        <f t="shared" si="73"/>
        <v>0</v>
      </c>
      <c r="AA232" s="2210">
        <f t="shared" si="74"/>
        <v>0</v>
      </c>
      <c r="AB232" s="2210">
        <f t="shared" si="75"/>
        <v>0</v>
      </c>
      <c r="AC232" s="2210">
        <f t="shared" si="76"/>
        <v>0</v>
      </c>
      <c r="AG232" s="2210">
        <f t="shared" si="79"/>
        <v>0</v>
      </c>
      <c r="AH232" s="2210">
        <f t="shared" si="77"/>
        <v>0</v>
      </c>
    </row>
    <row r="233" spans="1:34" x14ac:dyDescent="0.4">
      <c r="A233" s="2210">
        <f t="shared" si="62"/>
        <v>231</v>
      </c>
      <c r="B233" s="2214"/>
      <c r="C233" s="2214"/>
      <c r="D233" s="2214"/>
      <c r="E233" s="2214"/>
      <c r="F233" s="2214"/>
      <c r="G233" s="2214"/>
      <c r="H233" s="2214"/>
      <c r="M233" s="2210">
        <f t="shared" si="63"/>
        <v>0</v>
      </c>
      <c r="N233" s="2210">
        <f t="shared" si="64"/>
        <v>0</v>
      </c>
      <c r="O233" s="2210">
        <f t="shared" si="65"/>
        <v>0</v>
      </c>
      <c r="P233" s="2210">
        <f t="shared" si="66"/>
        <v>0</v>
      </c>
      <c r="Q233" s="2210">
        <f t="shared" si="67"/>
        <v>0</v>
      </c>
      <c r="R233" s="2210">
        <f t="shared" si="68"/>
        <v>0</v>
      </c>
      <c r="S233" s="2210">
        <f t="shared" si="69"/>
        <v>0</v>
      </c>
      <c r="V233" s="2210">
        <f t="shared" si="70"/>
        <v>0</v>
      </c>
      <c r="W233" s="2210">
        <f t="shared" si="71"/>
        <v>0</v>
      </c>
      <c r="X233" s="2210">
        <f t="shared" si="72"/>
        <v>0</v>
      </c>
      <c r="Y233" s="2210">
        <f t="shared" si="78"/>
        <v>0</v>
      </c>
      <c r="Z233" s="2210">
        <f t="shared" si="73"/>
        <v>0</v>
      </c>
      <c r="AA233" s="2210">
        <f t="shared" si="74"/>
        <v>0</v>
      </c>
      <c r="AB233" s="2210">
        <f t="shared" si="75"/>
        <v>0</v>
      </c>
      <c r="AC233" s="2210">
        <f t="shared" si="76"/>
        <v>0</v>
      </c>
      <c r="AG233" s="2210">
        <f t="shared" si="79"/>
        <v>0</v>
      </c>
      <c r="AH233" s="2210">
        <f t="shared" si="77"/>
        <v>0</v>
      </c>
    </row>
    <row r="234" spans="1:34" x14ac:dyDescent="0.4">
      <c r="A234" s="2210">
        <f t="shared" si="62"/>
        <v>232</v>
      </c>
      <c r="B234" s="2214"/>
      <c r="C234" s="2214"/>
      <c r="D234" s="2214"/>
      <c r="E234" s="2214"/>
      <c r="F234" s="2214"/>
      <c r="G234" s="2214"/>
      <c r="H234" s="2214"/>
      <c r="M234" s="2210">
        <f t="shared" si="63"/>
        <v>0</v>
      </c>
      <c r="N234" s="2210">
        <f t="shared" si="64"/>
        <v>0</v>
      </c>
      <c r="O234" s="2210">
        <f t="shared" si="65"/>
        <v>0</v>
      </c>
      <c r="P234" s="2210">
        <f t="shared" si="66"/>
        <v>0</v>
      </c>
      <c r="Q234" s="2210">
        <f t="shared" si="67"/>
        <v>0</v>
      </c>
      <c r="R234" s="2210">
        <f t="shared" si="68"/>
        <v>0</v>
      </c>
      <c r="S234" s="2210">
        <f t="shared" si="69"/>
        <v>0</v>
      </c>
      <c r="V234" s="2210">
        <f t="shared" si="70"/>
        <v>0</v>
      </c>
      <c r="W234" s="2210">
        <f t="shared" si="71"/>
        <v>0</v>
      </c>
      <c r="X234" s="2210">
        <f t="shared" si="72"/>
        <v>0</v>
      </c>
      <c r="Y234" s="2210">
        <f t="shared" si="78"/>
        <v>0</v>
      </c>
      <c r="Z234" s="2210">
        <f t="shared" si="73"/>
        <v>0</v>
      </c>
      <c r="AA234" s="2210">
        <f t="shared" si="74"/>
        <v>0</v>
      </c>
      <c r="AB234" s="2210">
        <f t="shared" si="75"/>
        <v>0</v>
      </c>
      <c r="AC234" s="2210">
        <f t="shared" si="76"/>
        <v>0</v>
      </c>
      <c r="AG234" s="2210">
        <f t="shared" si="79"/>
        <v>0</v>
      </c>
      <c r="AH234" s="2210">
        <f t="shared" si="77"/>
        <v>0</v>
      </c>
    </row>
    <row r="235" spans="1:34" x14ac:dyDescent="0.4">
      <c r="A235" s="2210">
        <f t="shared" si="62"/>
        <v>233</v>
      </c>
      <c r="B235" s="2214"/>
      <c r="C235" s="2214"/>
      <c r="D235" s="2214"/>
      <c r="E235" s="2214"/>
      <c r="F235" s="2214"/>
      <c r="G235" s="2214"/>
      <c r="H235" s="2214"/>
      <c r="M235" s="2210">
        <f t="shared" si="63"/>
        <v>0</v>
      </c>
      <c r="N235" s="2210">
        <f t="shared" si="64"/>
        <v>0</v>
      </c>
      <c r="O235" s="2210">
        <f t="shared" si="65"/>
        <v>0</v>
      </c>
      <c r="P235" s="2210">
        <f t="shared" si="66"/>
        <v>0</v>
      </c>
      <c r="Q235" s="2210">
        <f t="shared" si="67"/>
        <v>0</v>
      </c>
      <c r="R235" s="2210">
        <f t="shared" si="68"/>
        <v>0</v>
      </c>
      <c r="S235" s="2210">
        <f t="shared" si="69"/>
        <v>0</v>
      </c>
      <c r="V235" s="2210">
        <f t="shared" si="70"/>
        <v>0</v>
      </c>
      <c r="W235" s="2210">
        <f t="shared" si="71"/>
        <v>0</v>
      </c>
      <c r="X235" s="2210">
        <f t="shared" si="72"/>
        <v>0</v>
      </c>
      <c r="Y235" s="2210">
        <f t="shared" si="78"/>
        <v>0</v>
      </c>
      <c r="Z235" s="2210">
        <f t="shared" si="73"/>
        <v>0</v>
      </c>
      <c r="AA235" s="2210">
        <f t="shared" si="74"/>
        <v>0</v>
      </c>
      <c r="AB235" s="2210">
        <f t="shared" si="75"/>
        <v>0</v>
      </c>
      <c r="AC235" s="2210">
        <f t="shared" si="76"/>
        <v>0</v>
      </c>
      <c r="AG235" s="2210">
        <f t="shared" si="79"/>
        <v>0</v>
      </c>
      <c r="AH235" s="2210">
        <f t="shared" si="77"/>
        <v>0</v>
      </c>
    </row>
    <row r="236" spans="1:34" x14ac:dyDescent="0.4">
      <c r="A236" s="2210">
        <f t="shared" si="62"/>
        <v>234</v>
      </c>
      <c r="B236" s="2214"/>
      <c r="C236" s="2214"/>
      <c r="D236" s="2214"/>
      <c r="E236" s="2214"/>
      <c r="F236" s="2214"/>
      <c r="G236" s="2214"/>
      <c r="H236" s="2214"/>
      <c r="M236" s="2210">
        <f t="shared" si="63"/>
        <v>0</v>
      </c>
      <c r="N236" s="2210">
        <f t="shared" si="64"/>
        <v>0</v>
      </c>
      <c r="O236" s="2210">
        <f t="shared" si="65"/>
        <v>0</v>
      </c>
      <c r="P236" s="2210">
        <f t="shared" si="66"/>
        <v>0</v>
      </c>
      <c r="Q236" s="2210">
        <f t="shared" si="67"/>
        <v>0</v>
      </c>
      <c r="R236" s="2210">
        <f t="shared" si="68"/>
        <v>0</v>
      </c>
      <c r="S236" s="2210">
        <f t="shared" si="69"/>
        <v>0</v>
      </c>
      <c r="V236" s="2210">
        <f t="shared" si="70"/>
        <v>0</v>
      </c>
      <c r="W236" s="2210">
        <f t="shared" si="71"/>
        <v>0</v>
      </c>
      <c r="X236" s="2210">
        <f t="shared" si="72"/>
        <v>0</v>
      </c>
      <c r="Y236" s="2210">
        <f t="shared" si="78"/>
        <v>0</v>
      </c>
      <c r="Z236" s="2210">
        <f t="shared" si="73"/>
        <v>0</v>
      </c>
      <c r="AA236" s="2210">
        <f t="shared" si="74"/>
        <v>0</v>
      </c>
      <c r="AB236" s="2210">
        <f t="shared" si="75"/>
        <v>0</v>
      </c>
      <c r="AC236" s="2210">
        <f t="shared" si="76"/>
        <v>0</v>
      </c>
      <c r="AG236" s="2210">
        <f t="shared" si="79"/>
        <v>0</v>
      </c>
      <c r="AH236" s="2210">
        <f t="shared" si="77"/>
        <v>0</v>
      </c>
    </row>
    <row r="237" spans="1:34" x14ac:dyDescent="0.4">
      <c r="A237" s="2210">
        <f t="shared" si="62"/>
        <v>235</v>
      </c>
      <c r="B237" s="2214"/>
      <c r="C237" s="2214"/>
      <c r="D237" s="2214"/>
      <c r="E237" s="2214"/>
      <c r="F237" s="2214"/>
      <c r="G237" s="2214"/>
      <c r="H237" s="2214"/>
      <c r="M237" s="2210">
        <f t="shared" si="63"/>
        <v>0</v>
      </c>
      <c r="N237" s="2210">
        <f t="shared" si="64"/>
        <v>0</v>
      </c>
      <c r="O237" s="2210">
        <f t="shared" si="65"/>
        <v>0</v>
      </c>
      <c r="P237" s="2210">
        <f t="shared" si="66"/>
        <v>0</v>
      </c>
      <c r="Q237" s="2210">
        <f t="shared" si="67"/>
        <v>0</v>
      </c>
      <c r="R237" s="2210">
        <f t="shared" si="68"/>
        <v>0</v>
      </c>
      <c r="S237" s="2210">
        <f t="shared" si="69"/>
        <v>0</v>
      </c>
      <c r="V237" s="2210">
        <f t="shared" si="70"/>
        <v>0</v>
      </c>
      <c r="W237" s="2210">
        <f t="shared" si="71"/>
        <v>0</v>
      </c>
      <c r="X237" s="2210">
        <f t="shared" si="72"/>
        <v>0</v>
      </c>
      <c r="Y237" s="2210">
        <f t="shared" si="78"/>
        <v>0</v>
      </c>
      <c r="Z237" s="2210">
        <f t="shared" si="73"/>
        <v>0</v>
      </c>
      <c r="AA237" s="2210">
        <f t="shared" si="74"/>
        <v>0</v>
      </c>
      <c r="AB237" s="2210">
        <f t="shared" si="75"/>
        <v>0</v>
      </c>
      <c r="AC237" s="2210">
        <f t="shared" si="76"/>
        <v>0</v>
      </c>
      <c r="AG237" s="2210">
        <f t="shared" si="79"/>
        <v>0</v>
      </c>
      <c r="AH237" s="2210">
        <f t="shared" si="77"/>
        <v>0</v>
      </c>
    </row>
    <row r="238" spans="1:34" x14ac:dyDescent="0.4">
      <c r="A238" s="2210">
        <f t="shared" si="62"/>
        <v>236</v>
      </c>
      <c r="B238" s="2214"/>
      <c r="C238" s="2214"/>
      <c r="D238" s="2214"/>
      <c r="E238" s="2214"/>
      <c r="F238" s="2214"/>
      <c r="G238" s="2214"/>
      <c r="H238" s="2214"/>
      <c r="M238" s="2210">
        <f t="shared" si="63"/>
        <v>0</v>
      </c>
      <c r="N238" s="2210">
        <f t="shared" si="64"/>
        <v>0</v>
      </c>
      <c r="O238" s="2210">
        <f t="shared" si="65"/>
        <v>0</v>
      </c>
      <c r="P238" s="2210">
        <f t="shared" si="66"/>
        <v>0</v>
      </c>
      <c r="Q238" s="2210">
        <f t="shared" si="67"/>
        <v>0</v>
      </c>
      <c r="R238" s="2210">
        <f t="shared" si="68"/>
        <v>0</v>
      </c>
      <c r="S238" s="2210">
        <f t="shared" si="69"/>
        <v>0</v>
      </c>
      <c r="V238" s="2210">
        <f t="shared" si="70"/>
        <v>0</v>
      </c>
      <c r="W238" s="2210">
        <f t="shared" si="71"/>
        <v>0</v>
      </c>
      <c r="X238" s="2210">
        <f t="shared" si="72"/>
        <v>0</v>
      </c>
      <c r="Y238" s="2210">
        <f t="shared" si="78"/>
        <v>0</v>
      </c>
      <c r="Z238" s="2210">
        <f t="shared" si="73"/>
        <v>0</v>
      </c>
      <c r="AA238" s="2210">
        <f t="shared" si="74"/>
        <v>0</v>
      </c>
      <c r="AB238" s="2210">
        <f t="shared" si="75"/>
        <v>0</v>
      </c>
      <c r="AC238" s="2210">
        <f t="shared" si="76"/>
        <v>0</v>
      </c>
      <c r="AG238" s="2210">
        <f t="shared" si="79"/>
        <v>0</v>
      </c>
      <c r="AH238" s="2210">
        <f t="shared" si="77"/>
        <v>0</v>
      </c>
    </row>
    <row r="239" spans="1:34" x14ac:dyDescent="0.4">
      <c r="A239" s="2210">
        <f t="shared" si="62"/>
        <v>237</v>
      </c>
      <c r="B239" s="2214"/>
      <c r="C239" s="2214"/>
      <c r="D239" s="2214"/>
      <c r="E239" s="2214"/>
      <c r="F239" s="2214"/>
      <c r="G239" s="2214"/>
      <c r="H239" s="2214"/>
      <c r="M239" s="2210">
        <f t="shared" si="63"/>
        <v>0</v>
      </c>
      <c r="N239" s="2210">
        <f t="shared" si="64"/>
        <v>0</v>
      </c>
      <c r="O239" s="2210">
        <f t="shared" si="65"/>
        <v>0</v>
      </c>
      <c r="P239" s="2210">
        <f t="shared" si="66"/>
        <v>0</v>
      </c>
      <c r="Q239" s="2210">
        <f t="shared" si="67"/>
        <v>0</v>
      </c>
      <c r="R239" s="2210">
        <f t="shared" si="68"/>
        <v>0</v>
      </c>
      <c r="S239" s="2210">
        <f t="shared" si="69"/>
        <v>0</v>
      </c>
      <c r="V239" s="2210">
        <f t="shared" si="70"/>
        <v>0</v>
      </c>
      <c r="W239" s="2210">
        <f t="shared" si="71"/>
        <v>0</v>
      </c>
      <c r="X239" s="2210">
        <f t="shared" si="72"/>
        <v>0</v>
      </c>
      <c r="Y239" s="2210">
        <f t="shared" si="78"/>
        <v>0</v>
      </c>
      <c r="Z239" s="2210">
        <f t="shared" si="73"/>
        <v>0</v>
      </c>
      <c r="AA239" s="2210">
        <f t="shared" si="74"/>
        <v>0</v>
      </c>
      <c r="AB239" s="2210">
        <f t="shared" si="75"/>
        <v>0</v>
      </c>
      <c r="AC239" s="2210">
        <f t="shared" si="76"/>
        <v>0</v>
      </c>
      <c r="AG239" s="2210">
        <f t="shared" si="79"/>
        <v>0</v>
      </c>
      <c r="AH239" s="2210">
        <f t="shared" si="77"/>
        <v>0</v>
      </c>
    </row>
    <row r="240" spans="1:34" x14ac:dyDescent="0.4">
      <c r="A240" s="2210">
        <f t="shared" si="62"/>
        <v>238</v>
      </c>
      <c r="B240" s="2214"/>
      <c r="C240" s="2214"/>
      <c r="D240" s="2214"/>
      <c r="E240" s="2214"/>
      <c r="F240" s="2214"/>
      <c r="G240" s="2214"/>
      <c r="H240" s="2214"/>
      <c r="M240" s="2210">
        <f t="shared" si="63"/>
        <v>0</v>
      </c>
      <c r="N240" s="2210">
        <f t="shared" si="64"/>
        <v>0</v>
      </c>
      <c r="O240" s="2210">
        <f t="shared" si="65"/>
        <v>0</v>
      </c>
      <c r="P240" s="2210">
        <f t="shared" si="66"/>
        <v>0</v>
      </c>
      <c r="Q240" s="2210">
        <f t="shared" si="67"/>
        <v>0</v>
      </c>
      <c r="R240" s="2210">
        <f t="shared" si="68"/>
        <v>0</v>
      </c>
      <c r="S240" s="2210">
        <f t="shared" si="69"/>
        <v>0</v>
      </c>
      <c r="V240" s="2210">
        <f t="shared" si="70"/>
        <v>0</v>
      </c>
      <c r="W240" s="2210">
        <f t="shared" si="71"/>
        <v>0</v>
      </c>
      <c r="X240" s="2210">
        <f t="shared" si="72"/>
        <v>0</v>
      </c>
      <c r="Y240" s="2210">
        <f t="shared" si="78"/>
        <v>0</v>
      </c>
      <c r="Z240" s="2210">
        <f t="shared" si="73"/>
        <v>0</v>
      </c>
      <c r="AA240" s="2210">
        <f t="shared" si="74"/>
        <v>0</v>
      </c>
      <c r="AB240" s="2210">
        <f t="shared" si="75"/>
        <v>0</v>
      </c>
      <c r="AC240" s="2210">
        <f t="shared" si="76"/>
        <v>0</v>
      </c>
      <c r="AG240" s="2210">
        <f t="shared" si="79"/>
        <v>0</v>
      </c>
      <c r="AH240" s="2210">
        <f t="shared" si="77"/>
        <v>0</v>
      </c>
    </row>
    <row r="241" spans="1:34" x14ac:dyDescent="0.4">
      <c r="A241" s="2210">
        <f t="shared" ref="A241:A304" si="80">A240+1</f>
        <v>239</v>
      </c>
      <c r="B241" s="2214"/>
      <c r="C241" s="2214"/>
      <c r="D241" s="2214"/>
      <c r="E241" s="2214"/>
      <c r="F241" s="2214"/>
      <c r="G241" s="2214"/>
      <c r="H241" s="2214"/>
      <c r="M241" s="2210">
        <f t="shared" si="63"/>
        <v>0</v>
      </c>
      <c r="N241" s="2210">
        <f t="shared" si="64"/>
        <v>0</v>
      </c>
      <c r="O241" s="2210">
        <f t="shared" si="65"/>
        <v>0</v>
      </c>
      <c r="P241" s="2210">
        <f t="shared" si="66"/>
        <v>0</v>
      </c>
      <c r="Q241" s="2210">
        <f t="shared" si="67"/>
        <v>0</v>
      </c>
      <c r="R241" s="2210">
        <f t="shared" si="68"/>
        <v>0</v>
      </c>
      <c r="S241" s="2210">
        <f t="shared" si="69"/>
        <v>0</v>
      </c>
      <c r="V241" s="2210">
        <f t="shared" si="70"/>
        <v>0</v>
      </c>
      <c r="W241" s="2210">
        <f t="shared" si="71"/>
        <v>0</v>
      </c>
      <c r="X241" s="2210">
        <f t="shared" si="72"/>
        <v>0</v>
      </c>
      <c r="Y241" s="2210">
        <f t="shared" si="78"/>
        <v>0</v>
      </c>
      <c r="Z241" s="2210">
        <f t="shared" si="73"/>
        <v>0</v>
      </c>
      <c r="AA241" s="2210">
        <f t="shared" si="74"/>
        <v>0</v>
      </c>
      <c r="AB241" s="2210">
        <f t="shared" si="75"/>
        <v>0</v>
      </c>
      <c r="AC241" s="2210">
        <f t="shared" si="76"/>
        <v>0</v>
      </c>
      <c r="AG241" s="2210">
        <f t="shared" si="79"/>
        <v>0</v>
      </c>
      <c r="AH241" s="2210">
        <f t="shared" si="77"/>
        <v>0</v>
      </c>
    </row>
    <row r="242" spans="1:34" x14ac:dyDescent="0.4">
      <c r="A242" s="2210">
        <f t="shared" si="80"/>
        <v>240</v>
      </c>
      <c r="B242" s="2214"/>
      <c r="C242" s="2214"/>
      <c r="D242" s="2214"/>
      <c r="E242" s="2214"/>
      <c r="F242" s="2214"/>
      <c r="G242" s="2214"/>
      <c r="H242" s="2214"/>
      <c r="M242" s="2210">
        <f t="shared" si="63"/>
        <v>0</v>
      </c>
      <c r="N242" s="2210">
        <f t="shared" si="64"/>
        <v>0</v>
      </c>
      <c r="O242" s="2210">
        <f t="shared" si="65"/>
        <v>0</v>
      </c>
      <c r="P242" s="2210">
        <f t="shared" si="66"/>
        <v>0</v>
      </c>
      <c r="Q242" s="2210">
        <f t="shared" si="67"/>
        <v>0</v>
      </c>
      <c r="R242" s="2210">
        <f t="shared" si="68"/>
        <v>0</v>
      </c>
      <c r="S242" s="2210">
        <f t="shared" si="69"/>
        <v>0</v>
      </c>
      <c r="V242" s="2210">
        <f t="shared" si="70"/>
        <v>0</v>
      </c>
      <c r="W242" s="2210">
        <f t="shared" si="71"/>
        <v>0</v>
      </c>
      <c r="X242" s="2210">
        <f t="shared" si="72"/>
        <v>0</v>
      </c>
      <c r="Y242" s="2210">
        <f t="shared" si="78"/>
        <v>0</v>
      </c>
      <c r="Z242" s="2210">
        <f t="shared" si="73"/>
        <v>0</v>
      </c>
      <c r="AA242" s="2210">
        <f t="shared" si="74"/>
        <v>0</v>
      </c>
      <c r="AB242" s="2210">
        <f t="shared" si="75"/>
        <v>0</v>
      </c>
      <c r="AC242" s="2210">
        <f t="shared" si="76"/>
        <v>0</v>
      </c>
      <c r="AG242" s="2210">
        <f t="shared" si="79"/>
        <v>0</v>
      </c>
      <c r="AH242" s="2210">
        <f t="shared" si="77"/>
        <v>0</v>
      </c>
    </row>
    <row r="243" spans="1:34" x14ac:dyDescent="0.4">
      <c r="A243" s="2210">
        <f t="shared" si="80"/>
        <v>241</v>
      </c>
      <c r="B243" s="2214"/>
      <c r="C243" s="2214"/>
      <c r="D243" s="2214"/>
      <c r="E243" s="2214"/>
      <c r="F243" s="2214"/>
      <c r="G243" s="2214"/>
      <c r="H243" s="2214"/>
      <c r="M243" s="2210">
        <f t="shared" si="63"/>
        <v>0</v>
      </c>
      <c r="N243" s="2210">
        <f t="shared" si="64"/>
        <v>0</v>
      </c>
      <c r="O243" s="2210">
        <f t="shared" si="65"/>
        <v>0</v>
      </c>
      <c r="P243" s="2210">
        <f t="shared" si="66"/>
        <v>0</v>
      </c>
      <c r="Q243" s="2210">
        <f t="shared" si="67"/>
        <v>0</v>
      </c>
      <c r="R243" s="2210">
        <f t="shared" si="68"/>
        <v>0</v>
      </c>
      <c r="S243" s="2210">
        <f t="shared" si="69"/>
        <v>0</v>
      </c>
      <c r="V243" s="2210">
        <f t="shared" si="70"/>
        <v>0</v>
      </c>
      <c r="W243" s="2210">
        <f t="shared" si="71"/>
        <v>0</v>
      </c>
      <c r="X243" s="2210">
        <f t="shared" si="72"/>
        <v>0</v>
      </c>
      <c r="Y243" s="2210">
        <f t="shared" si="78"/>
        <v>0</v>
      </c>
      <c r="Z243" s="2210">
        <f t="shared" si="73"/>
        <v>0</v>
      </c>
      <c r="AA243" s="2210">
        <f t="shared" si="74"/>
        <v>0</v>
      </c>
      <c r="AB243" s="2210">
        <f t="shared" si="75"/>
        <v>0</v>
      </c>
      <c r="AC243" s="2210">
        <f t="shared" si="76"/>
        <v>0</v>
      </c>
      <c r="AG243" s="2210">
        <f t="shared" si="79"/>
        <v>0</v>
      </c>
      <c r="AH243" s="2210">
        <f t="shared" si="77"/>
        <v>0</v>
      </c>
    </row>
    <row r="244" spans="1:34" x14ac:dyDescent="0.4">
      <c r="A244" s="2210">
        <f t="shared" si="80"/>
        <v>242</v>
      </c>
      <c r="B244" s="2214"/>
      <c r="C244" s="2214"/>
      <c r="D244" s="2214"/>
      <c r="E244" s="2214"/>
      <c r="F244" s="2214"/>
      <c r="G244" s="2214"/>
      <c r="H244" s="2214"/>
      <c r="M244" s="2210">
        <f t="shared" si="63"/>
        <v>0</v>
      </c>
      <c r="N244" s="2210">
        <f t="shared" si="64"/>
        <v>0</v>
      </c>
      <c r="O244" s="2210">
        <f t="shared" si="65"/>
        <v>0</v>
      </c>
      <c r="P244" s="2210">
        <f t="shared" si="66"/>
        <v>0</v>
      </c>
      <c r="Q244" s="2210">
        <f t="shared" si="67"/>
        <v>0</v>
      </c>
      <c r="R244" s="2210">
        <f t="shared" si="68"/>
        <v>0</v>
      </c>
      <c r="S244" s="2210">
        <f t="shared" si="69"/>
        <v>0</v>
      </c>
      <c r="V244" s="2210">
        <f t="shared" si="70"/>
        <v>0</v>
      </c>
      <c r="W244" s="2210">
        <f t="shared" si="71"/>
        <v>0</v>
      </c>
      <c r="X244" s="2210">
        <f t="shared" si="72"/>
        <v>0</v>
      </c>
      <c r="Y244" s="2210">
        <f t="shared" si="78"/>
        <v>0</v>
      </c>
      <c r="Z244" s="2210">
        <f t="shared" si="73"/>
        <v>0</v>
      </c>
      <c r="AA244" s="2210">
        <f t="shared" si="74"/>
        <v>0</v>
      </c>
      <c r="AB244" s="2210">
        <f t="shared" si="75"/>
        <v>0</v>
      </c>
      <c r="AC244" s="2210">
        <f t="shared" si="76"/>
        <v>0</v>
      </c>
      <c r="AG244" s="2210">
        <f t="shared" si="79"/>
        <v>0</v>
      </c>
      <c r="AH244" s="2210">
        <f t="shared" si="77"/>
        <v>0</v>
      </c>
    </row>
    <row r="245" spans="1:34" x14ac:dyDescent="0.4">
      <c r="A245" s="2210">
        <f t="shared" si="80"/>
        <v>243</v>
      </c>
      <c r="B245" s="2214"/>
      <c r="C245" s="2214"/>
      <c r="D245" s="2214"/>
      <c r="E245" s="2214"/>
      <c r="F245" s="2214"/>
      <c r="G245" s="2214"/>
      <c r="H245" s="2214"/>
      <c r="M245" s="2210">
        <f t="shared" si="63"/>
        <v>0</v>
      </c>
      <c r="N245" s="2210">
        <f t="shared" si="64"/>
        <v>0</v>
      </c>
      <c r="O245" s="2210">
        <f t="shared" si="65"/>
        <v>0</v>
      </c>
      <c r="P245" s="2210">
        <f t="shared" si="66"/>
        <v>0</v>
      </c>
      <c r="Q245" s="2210">
        <f t="shared" si="67"/>
        <v>0</v>
      </c>
      <c r="R245" s="2210">
        <f t="shared" si="68"/>
        <v>0</v>
      </c>
      <c r="S245" s="2210">
        <f t="shared" si="69"/>
        <v>0</v>
      </c>
      <c r="V245" s="2210">
        <f t="shared" si="70"/>
        <v>0</v>
      </c>
      <c r="W245" s="2210">
        <f t="shared" si="71"/>
        <v>0</v>
      </c>
      <c r="X245" s="2210">
        <f t="shared" si="72"/>
        <v>0</v>
      </c>
      <c r="Y245" s="2210">
        <f t="shared" si="78"/>
        <v>0</v>
      </c>
      <c r="Z245" s="2210">
        <f t="shared" si="73"/>
        <v>0</v>
      </c>
      <c r="AA245" s="2210">
        <f t="shared" si="74"/>
        <v>0</v>
      </c>
      <c r="AB245" s="2210">
        <f t="shared" si="75"/>
        <v>0</v>
      </c>
      <c r="AC245" s="2210">
        <f t="shared" si="76"/>
        <v>0</v>
      </c>
      <c r="AG245" s="2210">
        <f t="shared" si="79"/>
        <v>0</v>
      </c>
      <c r="AH245" s="2210">
        <f t="shared" si="77"/>
        <v>0</v>
      </c>
    </row>
    <row r="246" spans="1:34" x14ac:dyDescent="0.4">
      <c r="A246" s="2210">
        <f t="shared" si="80"/>
        <v>244</v>
      </c>
      <c r="B246" s="2214"/>
      <c r="C246" s="2214"/>
      <c r="D246" s="2214"/>
      <c r="E246" s="2214"/>
      <c r="F246" s="2214"/>
      <c r="G246" s="2214"/>
      <c r="H246" s="2214"/>
      <c r="M246" s="2210">
        <f t="shared" si="63"/>
        <v>0</v>
      </c>
      <c r="N246" s="2210">
        <f t="shared" si="64"/>
        <v>0</v>
      </c>
      <c r="O246" s="2210">
        <f t="shared" si="65"/>
        <v>0</v>
      </c>
      <c r="P246" s="2210">
        <f t="shared" si="66"/>
        <v>0</v>
      </c>
      <c r="Q246" s="2210">
        <f t="shared" si="67"/>
        <v>0</v>
      </c>
      <c r="R246" s="2210">
        <f t="shared" si="68"/>
        <v>0</v>
      </c>
      <c r="S246" s="2210">
        <f t="shared" si="69"/>
        <v>0</v>
      </c>
      <c r="V246" s="2210">
        <f t="shared" si="70"/>
        <v>0</v>
      </c>
      <c r="W246" s="2210">
        <f t="shared" si="71"/>
        <v>0</v>
      </c>
      <c r="X246" s="2210">
        <f t="shared" si="72"/>
        <v>0</v>
      </c>
      <c r="Y246" s="2210">
        <f t="shared" si="78"/>
        <v>0</v>
      </c>
      <c r="Z246" s="2210">
        <f t="shared" si="73"/>
        <v>0</v>
      </c>
      <c r="AA246" s="2210">
        <f t="shared" si="74"/>
        <v>0</v>
      </c>
      <c r="AB246" s="2210">
        <f t="shared" si="75"/>
        <v>0</v>
      </c>
      <c r="AC246" s="2210">
        <f t="shared" si="76"/>
        <v>0</v>
      </c>
      <c r="AG246" s="2210">
        <f t="shared" si="79"/>
        <v>0</v>
      </c>
      <c r="AH246" s="2210">
        <f t="shared" si="77"/>
        <v>0</v>
      </c>
    </row>
    <row r="247" spans="1:34" x14ac:dyDescent="0.4">
      <c r="A247" s="2210">
        <f t="shared" si="80"/>
        <v>245</v>
      </c>
      <c r="B247" s="2214"/>
      <c r="C247" s="2214"/>
      <c r="D247" s="2214"/>
      <c r="E247" s="2214"/>
      <c r="F247" s="2214"/>
      <c r="G247" s="2214"/>
      <c r="H247" s="2214"/>
      <c r="M247" s="2210">
        <f t="shared" si="63"/>
        <v>0</v>
      </c>
      <c r="N247" s="2210">
        <f t="shared" si="64"/>
        <v>0</v>
      </c>
      <c r="O247" s="2210">
        <f t="shared" si="65"/>
        <v>0</v>
      </c>
      <c r="P247" s="2210">
        <f t="shared" si="66"/>
        <v>0</v>
      </c>
      <c r="Q247" s="2210">
        <f t="shared" si="67"/>
        <v>0</v>
      </c>
      <c r="R247" s="2210">
        <f t="shared" si="68"/>
        <v>0</v>
      </c>
      <c r="S247" s="2210">
        <f t="shared" si="69"/>
        <v>0</v>
      </c>
      <c r="V247" s="2210">
        <f t="shared" si="70"/>
        <v>0</v>
      </c>
      <c r="W247" s="2210">
        <f t="shared" si="71"/>
        <v>0</v>
      </c>
      <c r="X247" s="2210">
        <f t="shared" si="72"/>
        <v>0</v>
      </c>
      <c r="Y247" s="2210">
        <f t="shared" si="78"/>
        <v>0</v>
      </c>
      <c r="Z247" s="2210">
        <f t="shared" si="73"/>
        <v>0</v>
      </c>
      <c r="AA247" s="2210">
        <f t="shared" si="74"/>
        <v>0</v>
      </c>
      <c r="AB247" s="2210">
        <f t="shared" si="75"/>
        <v>0</v>
      </c>
      <c r="AC247" s="2210">
        <f t="shared" si="76"/>
        <v>0</v>
      </c>
      <c r="AG247" s="2210">
        <f t="shared" si="79"/>
        <v>0</v>
      </c>
      <c r="AH247" s="2210">
        <f t="shared" si="77"/>
        <v>0</v>
      </c>
    </row>
    <row r="248" spans="1:34" x14ac:dyDescent="0.4">
      <c r="A248" s="2210">
        <f t="shared" si="80"/>
        <v>246</v>
      </c>
      <c r="B248" s="2214"/>
      <c r="C248" s="2214"/>
      <c r="D248" s="2214"/>
      <c r="E248" s="2214"/>
      <c r="F248" s="2214"/>
      <c r="G248" s="2214"/>
      <c r="H248" s="2214"/>
      <c r="M248" s="2210">
        <f t="shared" si="63"/>
        <v>0</v>
      </c>
      <c r="N248" s="2210">
        <f t="shared" si="64"/>
        <v>0</v>
      </c>
      <c r="O248" s="2210">
        <f t="shared" si="65"/>
        <v>0</v>
      </c>
      <c r="P248" s="2210">
        <f t="shared" si="66"/>
        <v>0</v>
      </c>
      <c r="Q248" s="2210">
        <f t="shared" si="67"/>
        <v>0</v>
      </c>
      <c r="R248" s="2210">
        <f t="shared" si="68"/>
        <v>0</v>
      </c>
      <c r="S248" s="2210">
        <f t="shared" si="69"/>
        <v>0</v>
      </c>
      <c r="V248" s="2210">
        <f t="shared" si="70"/>
        <v>0</v>
      </c>
      <c r="W248" s="2210">
        <f t="shared" si="71"/>
        <v>0</v>
      </c>
      <c r="X248" s="2210">
        <f t="shared" si="72"/>
        <v>0</v>
      </c>
      <c r="Y248" s="2210">
        <f t="shared" si="78"/>
        <v>0</v>
      </c>
      <c r="Z248" s="2210">
        <f t="shared" si="73"/>
        <v>0</v>
      </c>
      <c r="AA248" s="2210">
        <f t="shared" si="74"/>
        <v>0</v>
      </c>
      <c r="AB248" s="2210">
        <f t="shared" si="75"/>
        <v>0</v>
      </c>
      <c r="AC248" s="2210">
        <f t="shared" si="76"/>
        <v>0</v>
      </c>
      <c r="AG248" s="2210">
        <f t="shared" si="79"/>
        <v>0</v>
      </c>
      <c r="AH248" s="2210">
        <f t="shared" si="77"/>
        <v>0</v>
      </c>
    </row>
    <row r="249" spans="1:34" x14ac:dyDescent="0.4">
      <c r="A249" s="2210">
        <f t="shared" si="80"/>
        <v>247</v>
      </c>
      <c r="B249" s="2214"/>
      <c r="C249" s="2214"/>
      <c r="D249" s="2214"/>
      <c r="E249" s="2214"/>
      <c r="F249" s="2214"/>
      <c r="G249" s="2214"/>
      <c r="H249" s="2214"/>
      <c r="M249" s="2210">
        <f t="shared" si="63"/>
        <v>0</v>
      </c>
      <c r="N249" s="2210">
        <f t="shared" si="64"/>
        <v>0</v>
      </c>
      <c r="O249" s="2210">
        <f t="shared" si="65"/>
        <v>0</v>
      </c>
      <c r="P249" s="2210">
        <f t="shared" si="66"/>
        <v>0</v>
      </c>
      <c r="Q249" s="2210">
        <f t="shared" si="67"/>
        <v>0</v>
      </c>
      <c r="R249" s="2210">
        <f t="shared" si="68"/>
        <v>0</v>
      </c>
      <c r="S249" s="2210">
        <f t="shared" si="69"/>
        <v>0</v>
      </c>
      <c r="V249" s="2210">
        <f t="shared" si="70"/>
        <v>0</v>
      </c>
      <c r="W249" s="2210">
        <f t="shared" si="71"/>
        <v>0</v>
      </c>
      <c r="X249" s="2210">
        <f t="shared" si="72"/>
        <v>0</v>
      </c>
      <c r="Y249" s="2210">
        <f t="shared" si="78"/>
        <v>0</v>
      </c>
      <c r="Z249" s="2210">
        <f t="shared" si="73"/>
        <v>0</v>
      </c>
      <c r="AA249" s="2210">
        <f t="shared" si="74"/>
        <v>0</v>
      </c>
      <c r="AB249" s="2210">
        <f t="shared" si="75"/>
        <v>0</v>
      </c>
      <c r="AC249" s="2210">
        <f t="shared" si="76"/>
        <v>0</v>
      </c>
      <c r="AG249" s="2210">
        <f t="shared" si="79"/>
        <v>0</v>
      </c>
      <c r="AH249" s="2210">
        <f t="shared" si="77"/>
        <v>0</v>
      </c>
    </row>
    <row r="250" spans="1:34" x14ac:dyDescent="0.4">
      <c r="A250" s="2210">
        <f t="shared" si="80"/>
        <v>248</v>
      </c>
      <c r="B250" s="2214"/>
      <c r="C250" s="2214"/>
      <c r="D250" s="2214"/>
      <c r="E250" s="2214"/>
      <c r="F250" s="2214"/>
      <c r="G250" s="2214"/>
      <c r="H250" s="2214"/>
      <c r="M250" s="2210">
        <f t="shared" si="63"/>
        <v>0</v>
      </c>
      <c r="N250" s="2210">
        <f t="shared" si="64"/>
        <v>0</v>
      </c>
      <c r="O250" s="2210">
        <f t="shared" si="65"/>
        <v>0</v>
      </c>
      <c r="P250" s="2210">
        <f t="shared" si="66"/>
        <v>0</v>
      </c>
      <c r="Q250" s="2210">
        <f t="shared" si="67"/>
        <v>0</v>
      </c>
      <c r="R250" s="2210">
        <f t="shared" si="68"/>
        <v>0</v>
      </c>
      <c r="S250" s="2210">
        <f t="shared" si="69"/>
        <v>0</v>
      </c>
      <c r="V250" s="2210">
        <f t="shared" si="70"/>
        <v>0</v>
      </c>
      <c r="W250" s="2210">
        <f t="shared" si="71"/>
        <v>0</v>
      </c>
      <c r="X250" s="2210">
        <f t="shared" si="72"/>
        <v>0</v>
      </c>
      <c r="Y250" s="2210">
        <f t="shared" si="78"/>
        <v>0</v>
      </c>
      <c r="Z250" s="2210">
        <f t="shared" si="73"/>
        <v>0</v>
      </c>
      <c r="AA250" s="2210">
        <f t="shared" si="74"/>
        <v>0</v>
      </c>
      <c r="AB250" s="2210">
        <f t="shared" si="75"/>
        <v>0</v>
      </c>
      <c r="AC250" s="2210">
        <f t="shared" si="76"/>
        <v>0</v>
      </c>
      <c r="AG250" s="2210">
        <f t="shared" si="79"/>
        <v>0</v>
      </c>
      <c r="AH250" s="2210">
        <f t="shared" si="77"/>
        <v>0</v>
      </c>
    </row>
    <row r="251" spans="1:34" x14ac:dyDescent="0.4">
      <c r="A251" s="2210">
        <f t="shared" si="80"/>
        <v>249</v>
      </c>
      <c r="B251" s="2214"/>
      <c r="C251" s="2214"/>
      <c r="D251" s="2214"/>
      <c r="E251" s="2214"/>
      <c r="F251" s="2214"/>
      <c r="G251" s="2214"/>
      <c r="H251" s="2214"/>
      <c r="M251" s="2210">
        <f t="shared" si="63"/>
        <v>0</v>
      </c>
      <c r="N251" s="2210">
        <f t="shared" si="64"/>
        <v>0</v>
      </c>
      <c r="O251" s="2210">
        <f t="shared" si="65"/>
        <v>0</v>
      </c>
      <c r="P251" s="2210">
        <f t="shared" si="66"/>
        <v>0</v>
      </c>
      <c r="Q251" s="2210">
        <f t="shared" si="67"/>
        <v>0</v>
      </c>
      <c r="R251" s="2210">
        <f t="shared" si="68"/>
        <v>0</v>
      </c>
      <c r="S251" s="2210">
        <f t="shared" si="69"/>
        <v>0</v>
      </c>
      <c r="V251" s="2210">
        <f t="shared" si="70"/>
        <v>0</v>
      </c>
      <c r="W251" s="2210">
        <f t="shared" si="71"/>
        <v>0</v>
      </c>
      <c r="X251" s="2210">
        <f t="shared" si="72"/>
        <v>0</v>
      </c>
      <c r="Y251" s="2210">
        <f t="shared" si="78"/>
        <v>0</v>
      </c>
      <c r="Z251" s="2210">
        <f t="shared" si="73"/>
        <v>0</v>
      </c>
      <c r="AA251" s="2210">
        <f t="shared" si="74"/>
        <v>0</v>
      </c>
      <c r="AB251" s="2210">
        <f t="shared" si="75"/>
        <v>0</v>
      </c>
      <c r="AC251" s="2210">
        <f t="shared" si="76"/>
        <v>0</v>
      </c>
      <c r="AG251" s="2210">
        <f t="shared" si="79"/>
        <v>0</v>
      </c>
      <c r="AH251" s="2210">
        <f t="shared" si="77"/>
        <v>0</v>
      </c>
    </row>
    <row r="252" spans="1:34" x14ac:dyDescent="0.4">
      <c r="A252" s="2210">
        <f t="shared" si="80"/>
        <v>250</v>
      </c>
      <c r="B252" s="2214"/>
      <c r="C252" s="2214"/>
      <c r="D252" s="2214"/>
      <c r="E252" s="2214"/>
      <c r="F252" s="2214"/>
      <c r="G252" s="2214"/>
      <c r="H252" s="2214"/>
      <c r="M252" s="2210">
        <f t="shared" si="63"/>
        <v>0</v>
      </c>
      <c r="N252" s="2210">
        <f t="shared" si="64"/>
        <v>0</v>
      </c>
      <c r="O252" s="2210">
        <f t="shared" si="65"/>
        <v>0</v>
      </c>
      <c r="P252" s="2210">
        <f t="shared" si="66"/>
        <v>0</v>
      </c>
      <c r="Q252" s="2210">
        <f t="shared" si="67"/>
        <v>0</v>
      </c>
      <c r="R252" s="2210">
        <f t="shared" si="68"/>
        <v>0</v>
      </c>
      <c r="S252" s="2210">
        <f t="shared" si="69"/>
        <v>0</v>
      </c>
      <c r="V252" s="2210">
        <f t="shared" si="70"/>
        <v>0</v>
      </c>
      <c r="W252" s="2210">
        <f t="shared" si="71"/>
        <v>0</v>
      </c>
      <c r="X252" s="2210">
        <f t="shared" si="72"/>
        <v>0</v>
      </c>
      <c r="Y252" s="2210">
        <f t="shared" si="78"/>
        <v>0</v>
      </c>
      <c r="Z252" s="2210">
        <f t="shared" si="73"/>
        <v>0</v>
      </c>
      <c r="AA252" s="2210">
        <f t="shared" si="74"/>
        <v>0</v>
      </c>
      <c r="AB252" s="2210">
        <f t="shared" si="75"/>
        <v>0</v>
      </c>
      <c r="AC252" s="2210">
        <f t="shared" si="76"/>
        <v>0</v>
      </c>
      <c r="AG252" s="2210">
        <f t="shared" si="79"/>
        <v>0</v>
      </c>
      <c r="AH252" s="2210">
        <f t="shared" si="77"/>
        <v>0</v>
      </c>
    </row>
    <row r="253" spans="1:34" x14ac:dyDescent="0.4">
      <c r="A253" s="2210">
        <f t="shared" si="80"/>
        <v>251</v>
      </c>
      <c r="B253" s="2214"/>
      <c r="C253" s="2214"/>
      <c r="D253" s="2214"/>
      <c r="E253" s="2214"/>
      <c r="F253" s="2214"/>
      <c r="G253" s="2214"/>
      <c r="H253" s="2214"/>
      <c r="M253" s="2210">
        <f t="shared" si="63"/>
        <v>0</v>
      </c>
      <c r="N253" s="2210">
        <f t="shared" si="64"/>
        <v>0</v>
      </c>
      <c r="O253" s="2210">
        <f t="shared" si="65"/>
        <v>0</v>
      </c>
      <c r="P253" s="2210">
        <f t="shared" si="66"/>
        <v>0</v>
      </c>
      <c r="Q253" s="2210">
        <f t="shared" si="67"/>
        <v>0</v>
      </c>
      <c r="R253" s="2210">
        <f t="shared" si="68"/>
        <v>0</v>
      </c>
      <c r="S253" s="2210">
        <f t="shared" si="69"/>
        <v>0</v>
      </c>
      <c r="V253" s="2210">
        <f t="shared" si="70"/>
        <v>0</v>
      </c>
      <c r="W253" s="2210">
        <f t="shared" si="71"/>
        <v>0</v>
      </c>
      <c r="X253" s="2210">
        <f t="shared" si="72"/>
        <v>0</v>
      </c>
      <c r="Y253" s="2210">
        <f t="shared" si="78"/>
        <v>0</v>
      </c>
      <c r="Z253" s="2210">
        <f t="shared" si="73"/>
        <v>0</v>
      </c>
      <c r="AA253" s="2210">
        <f t="shared" si="74"/>
        <v>0</v>
      </c>
      <c r="AB253" s="2210">
        <f t="shared" si="75"/>
        <v>0</v>
      </c>
      <c r="AC253" s="2210">
        <f t="shared" si="76"/>
        <v>0</v>
      </c>
      <c r="AG253" s="2210">
        <f t="shared" si="79"/>
        <v>0</v>
      </c>
      <c r="AH253" s="2210">
        <f t="shared" si="77"/>
        <v>0</v>
      </c>
    </row>
    <row r="254" spans="1:34" x14ac:dyDescent="0.4">
      <c r="A254" s="2210">
        <f t="shared" si="80"/>
        <v>252</v>
      </c>
      <c r="B254" s="2214"/>
      <c r="C254" s="2214"/>
      <c r="D254" s="2214"/>
      <c r="E254" s="2214"/>
      <c r="F254" s="2214"/>
      <c r="G254" s="2214"/>
      <c r="H254" s="2214"/>
      <c r="M254" s="2210">
        <f t="shared" si="63"/>
        <v>0</v>
      </c>
      <c r="N254" s="2210">
        <f t="shared" si="64"/>
        <v>0</v>
      </c>
      <c r="O254" s="2210">
        <f t="shared" si="65"/>
        <v>0</v>
      </c>
      <c r="P254" s="2210">
        <f t="shared" si="66"/>
        <v>0</v>
      </c>
      <c r="Q254" s="2210">
        <f t="shared" si="67"/>
        <v>0</v>
      </c>
      <c r="R254" s="2210">
        <f t="shared" si="68"/>
        <v>0</v>
      </c>
      <c r="S254" s="2210">
        <f t="shared" si="69"/>
        <v>0</v>
      </c>
      <c r="V254" s="2210">
        <f t="shared" si="70"/>
        <v>0</v>
      </c>
      <c r="W254" s="2210">
        <f t="shared" si="71"/>
        <v>0</v>
      </c>
      <c r="X254" s="2210">
        <f t="shared" si="72"/>
        <v>0</v>
      </c>
      <c r="Y254" s="2210">
        <f t="shared" si="78"/>
        <v>0</v>
      </c>
      <c r="Z254" s="2210">
        <f t="shared" si="73"/>
        <v>0</v>
      </c>
      <c r="AA254" s="2210">
        <f t="shared" si="74"/>
        <v>0</v>
      </c>
      <c r="AB254" s="2210">
        <f t="shared" si="75"/>
        <v>0</v>
      </c>
      <c r="AC254" s="2210">
        <f t="shared" si="76"/>
        <v>0</v>
      </c>
      <c r="AG254" s="2210">
        <f t="shared" si="79"/>
        <v>0</v>
      </c>
      <c r="AH254" s="2210">
        <f t="shared" si="77"/>
        <v>0</v>
      </c>
    </row>
    <row r="255" spans="1:34" x14ac:dyDescent="0.4">
      <c r="A255" s="2210">
        <f t="shared" si="80"/>
        <v>253</v>
      </c>
      <c r="B255" s="2214"/>
      <c r="C255" s="2214"/>
      <c r="D255" s="2214"/>
      <c r="E255" s="2214"/>
      <c r="F255" s="2214"/>
      <c r="G255" s="2214"/>
      <c r="H255" s="2214"/>
      <c r="M255" s="2210">
        <f t="shared" si="63"/>
        <v>0</v>
      </c>
      <c r="N255" s="2210">
        <f t="shared" si="64"/>
        <v>0</v>
      </c>
      <c r="O255" s="2210">
        <f t="shared" si="65"/>
        <v>0</v>
      </c>
      <c r="P255" s="2210">
        <f t="shared" si="66"/>
        <v>0</v>
      </c>
      <c r="Q255" s="2210">
        <f t="shared" si="67"/>
        <v>0</v>
      </c>
      <c r="R255" s="2210">
        <f t="shared" si="68"/>
        <v>0</v>
      </c>
      <c r="S255" s="2210">
        <f t="shared" si="69"/>
        <v>0</v>
      </c>
      <c r="V255" s="2210">
        <f t="shared" si="70"/>
        <v>0</v>
      </c>
      <c r="W255" s="2210">
        <f t="shared" si="71"/>
        <v>0</v>
      </c>
      <c r="X255" s="2210">
        <f t="shared" si="72"/>
        <v>0</v>
      </c>
      <c r="Y255" s="2210">
        <f t="shared" si="78"/>
        <v>0</v>
      </c>
      <c r="Z255" s="2210">
        <f t="shared" si="73"/>
        <v>0</v>
      </c>
      <c r="AA255" s="2210">
        <f t="shared" si="74"/>
        <v>0</v>
      </c>
      <c r="AB255" s="2210">
        <f t="shared" si="75"/>
        <v>0</v>
      </c>
      <c r="AC255" s="2210">
        <f t="shared" si="76"/>
        <v>0</v>
      </c>
      <c r="AG255" s="2210">
        <f t="shared" si="79"/>
        <v>0</v>
      </c>
      <c r="AH255" s="2210">
        <f t="shared" si="77"/>
        <v>0</v>
      </c>
    </row>
    <row r="256" spans="1:34" x14ac:dyDescent="0.4">
      <c r="A256" s="2210">
        <f t="shared" si="80"/>
        <v>254</v>
      </c>
      <c r="B256" s="2214"/>
      <c r="C256" s="2214"/>
      <c r="D256" s="2214"/>
      <c r="E256" s="2214"/>
      <c r="F256" s="2214"/>
      <c r="G256" s="2214"/>
      <c r="H256" s="2214"/>
      <c r="M256" s="2210">
        <f t="shared" si="63"/>
        <v>0</v>
      </c>
      <c r="N256" s="2210">
        <f t="shared" si="64"/>
        <v>0</v>
      </c>
      <c r="O256" s="2210">
        <f t="shared" si="65"/>
        <v>0</v>
      </c>
      <c r="P256" s="2210">
        <f t="shared" si="66"/>
        <v>0</v>
      </c>
      <c r="Q256" s="2210">
        <f t="shared" si="67"/>
        <v>0</v>
      </c>
      <c r="R256" s="2210">
        <f t="shared" si="68"/>
        <v>0</v>
      </c>
      <c r="S256" s="2210">
        <f t="shared" si="69"/>
        <v>0</v>
      </c>
      <c r="V256" s="2210">
        <f t="shared" si="70"/>
        <v>0</v>
      </c>
      <c r="W256" s="2210">
        <f t="shared" si="71"/>
        <v>0</v>
      </c>
      <c r="X256" s="2210">
        <f t="shared" si="72"/>
        <v>0</v>
      </c>
      <c r="Y256" s="2210">
        <f t="shared" si="78"/>
        <v>0</v>
      </c>
      <c r="Z256" s="2210">
        <f t="shared" si="73"/>
        <v>0</v>
      </c>
      <c r="AA256" s="2210">
        <f t="shared" si="74"/>
        <v>0</v>
      </c>
      <c r="AB256" s="2210">
        <f t="shared" si="75"/>
        <v>0</v>
      </c>
      <c r="AC256" s="2210">
        <f t="shared" si="76"/>
        <v>0</v>
      </c>
      <c r="AG256" s="2210">
        <f t="shared" si="79"/>
        <v>0</v>
      </c>
      <c r="AH256" s="2210">
        <f t="shared" si="77"/>
        <v>0</v>
      </c>
    </row>
    <row r="257" spans="1:34" x14ac:dyDescent="0.4">
      <c r="A257" s="2210">
        <f t="shared" si="80"/>
        <v>255</v>
      </c>
      <c r="B257" s="2214"/>
      <c r="C257" s="2214"/>
      <c r="D257" s="2214"/>
      <c r="E257" s="2214"/>
      <c r="F257" s="2214"/>
      <c r="G257" s="2214"/>
      <c r="H257" s="2214"/>
      <c r="M257" s="2210">
        <f t="shared" si="63"/>
        <v>0</v>
      </c>
      <c r="N257" s="2210">
        <f t="shared" si="64"/>
        <v>0</v>
      </c>
      <c r="O257" s="2210">
        <f t="shared" si="65"/>
        <v>0</v>
      </c>
      <c r="P257" s="2210">
        <f t="shared" si="66"/>
        <v>0</v>
      </c>
      <c r="Q257" s="2210">
        <f t="shared" si="67"/>
        <v>0</v>
      </c>
      <c r="R257" s="2210">
        <f t="shared" si="68"/>
        <v>0</v>
      </c>
      <c r="S257" s="2210">
        <f t="shared" si="69"/>
        <v>0</v>
      </c>
      <c r="V257" s="2210">
        <f t="shared" si="70"/>
        <v>0</v>
      </c>
      <c r="W257" s="2210">
        <f t="shared" si="71"/>
        <v>0</v>
      </c>
      <c r="X257" s="2210">
        <f t="shared" si="72"/>
        <v>0</v>
      </c>
      <c r="Y257" s="2210">
        <f t="shared" si="78"/>
        <v>0</v>
      </c>
      <c r="Z257" s="2210">
        <f t="shared" si="73"/>
        <v>0</v>
      </c>
      <c r="AA257" s="2210">
        <f t="shared" si="74"/>
        <v>0</v>
      </c>
      <c r="AB257" s="2210">
        <f t="shared" si="75"/>
        <v>0</v>
      </c>
      <c r="AC257" s="2210">
        <f t="shared" si="76"/>
        <v>0</v>
      </c>
      <c r="AG257" s="2210">
        <f t="shared" si="79"/>
        <v>0</v>
      </c>
      <c r="AH257" s="2210">
        <f t="shared" si="77"/>
        <v>0</v>
      </c>
    </row>
    <row r="258" spans="1:34" x14ac:dyDescent="0.4">
      <c r="A258" s="2210">
        <f t="shared" si="80"/>
        <v>256</v>
      </c>
      <c r="B258" s="2214"/>
      <c r="C258" s="2214"/>
      <c r="D258" s="2214"/>
      <c r="E258" s="2214"/>
      <c r="F258" s="2214"/>
      <c r="G258" s="2214"/>
      <c r="H258" s="2214"/>
      <c r="M258" s="2210">
        <f t="shared" si="63"/>
        <v>0</v>
      </c>
      <c r="N258" s="2210">
        <f t="shared" si="64"/>
        <v>0</v>
      </c>
      <c r="O258" s="2210">
        <f t="shared" si="65"/>
        <v>0</v>
      </c>
      <c r="P258" s="2210">
        <f t="shared" si="66"/>
        <v>0</v>
      </c>
      <c r="Q258" s="2210">
        <f t="shared" si="67"/>
        <v>0</v>
      </c>
      <c r="R258" s="2210">
        <f t="shared" si="68"/>
        <v>0</v>
      </c>
      <c r="S258" s="2210">
        <f t="shared" si="69"/>
        <v>0</v>
      </c>
      <c r="V258" s="2210">
        <f t="shared" si="70"/>
        <v>0</v>
      </c>
      <c r="W258" s="2210">
        <f t="shared" si="71"/>
        <v>0</v>
      </c>
      <c r="X258" s="2210">
        <f t="shared" si="72"/>
        <v>0</v>
      </c>
      <c r="Y258" s="2210">
        <f t="shared" si="78"/>
        <v>0</v>
      </c>
      <c r="Z258" s="2210">
        <f t="shared" si="73"/>
        <v>0</v>
      </c>
      <c r="AA258" s="2210">
        <f t="shared" si="74"/>
        <v>0</v>
      </c>
      <c r="AB258" s="2210">
        <f t="shared" si="75"/>
        <v>0</v>
      </c>
      <c r="AC258" s="2210">
        <f t="shared" si="76"/>
        <v>0</v>
      </c>
      <c r="AG258" s="2210">
        <f t="shared" si="79"/>
        <v>0</v>
      </c>
      <c r="AH258" s="2210">
        <f t="shared" si="77"/>
        <v>0</v>
      </c>
    </row>
    <row r="259" spans="1:34" x14ac:dyDescent="0.4">
      <c r="A259" s="2210">
        <f t="shared" si="80"/>
        <v>257</v>
      </c>
      <c r="B259" s="2214"/>
      <c r="C259" s="2214"/>
      <c r="D259" s="2214"/>
      <c r="E259" s="2214"/>
      <c r="F259" s="2214"/>
      <c r="G259" s="2214"/>
      <c r="H259" s="2214"/>
      <c r="M259" s="2210">
        <f t="shared" si="63"/>
        <v>0</v>
      </c>
      <c r="N259" s="2210">
        <f t="shared" si="64"/>
        <v>0</v>
      </c>
      <c r="O259" s="2210">
        <f t="shared" si="65"/>
        <v>0</v>
      </c>
      <c r="P259" s="2210">
        <f t="shared" si="66"/>
        <v>0</v>
      </c>
      <c r="Q259" s="2210">
        <f t="shared" si="67"/>
        <v>0</v>
      </c>
      <c r="R259" s="2210">
        <f t="shared" si="68"/>
        <v>0</v>
      </c>
      <c r="S259" s="2210">
        <f t="shared" si="69"/>
        <v>0</v>
      </c>
      <c r="V259" s="2210">
        <f t="shared" si="70"/>
        <v>0</v>
      </c>
      <c r="W259" s="2210">
        <f t="shared" si="71"/>
        <v>0</v>
      </c>
      <c r="X259" s="2210">
        <f t="shared" si="72"/>
        <v>0</v>
      </c>
      <c r="Y259" s="2210">
        <f t="shared" si="78"/>
        <v>0</v>
      </c>
      <c r="Z259" s="2210">
        <f t="shared" si="73"/>
        <v>0</v>
      </c>
      <c r="AA259" s="2210">
        <f t="shared" si="74"/>
        <v>0</v>
      </c>
      <c r="AB259" s="2210">
        <f t="shared" si="75"/>
        <v>0</v>
      </c>
      <c r="AC259" s="2210">
        <f t="shared" si="76"/>
        <v>0</v>
      </c>
      <c r="AG259" s="2210">
        <f t="shared" si="79"/>
        <v>0</v>
      </c>
      <c r="AH259" s="2210">
        <f t="shared" si="77"/>
        <v>0</v>
      </c>
    </row>
    <row r="260" spans="1:34" x14ac:dyDescent="0.4">
      <c r="A260" s="2210">
        <f t="shared" si="80"/>
        <v>258</v>
      </c>
      <c r="B260" s="2214"/>
      <c r="C260" s="2214"/>
      <c r="D260" s="2214"/>
      <c r="E260" s="2214"/>
      <c r="F260" s="2214"/>
      <c r="G260" s="2214"/>
      <c r="H260" s="2214"/>
      <c r="M260" s="2210">
        <f t="shared" ref="M260:M323" si="81">IF($H260="Interior Lighting",$B260,0)</f>
        <v>0</v>
      </c>
      <c r="N260" s="2210">
        <f t="shared" ref="N260:N323" si="82">IF($H260="Interior Lighting",$C260,0)</f>
        <v>0</v>
      </c>
      <c r="O260" s="2210">
        <f t="shared" ref="O260:O323" si="83">IF($H260="Interior Lighting",$D260,0)</f>
        <v>0</v>
      </c>
      <c r="P260" s="2210">
        <f t="shared" ref="P260:P323" si="84">IF($H260="Interior Lighting",$E260,0)</f>
        <v>0</v>
      </c>
      <c r="Q260" s="2210">
        <f t="shared" ref="Q260:Q323" si="85">IF($H260="Interior Lighting",$F260,0)</f>
        <v>0</v>
      </c>
      <c r="R260" s="2210">
        <f t="shared" ref="R260:R323" si="86">IF($H260="Interior Lighting",$G260,0)</f>
        <v>0</v>
      </c>
      <c r="S260" s="2210">
        <f t="shared" ref="S260:S323" si="87">IF($H260="Interior Lighting",$H260,0)</f>
        <v>0</v>
      </c>
      <c r="V260" s="2210">
        <f t="shared" ref="V260:V323" si="88">IF($H260="Exterior Lighting",$B260,0)</f>
        <v>0</v>
      </c>
      <c r="W260" s="2210">
        <f t="shared" ref="W260:W323" si="89">IF($H260="Exterior Lighting",$C260,0)</f>
        <v>0</v>
      </c>
      <c r="X260" s="2210">
        <f t="shared" ref="X260:X323" si="90">IF($H260="Exterior Lighting",$D260,0)</f>
        <v>0</v>
      </c>
      <c r="Y260" s="2210">
        <f t="shared" si="78"/>
        <v>0</v>
      </c>
      <c r="Z260" s="2210">
        <f t="shared" ref="Z260:Z323" si="91">IF($H260="Exterior Lighting",$E260,0)</f>
        <v>0</v>
      </c>
      <c r="AA260" s="2210">
        <f t="shared" ref="AA260:AA323" si="92">IF($H260="Exterior Lighting",$F260,0)</f>
        <v>0</v>
      </c>
      <c r="AB260" s="2210">
        <f t="shared" ref="AB260:AB323" si="93">IF($H260="Exterior Lighting",$G260,0)</f>
        <v>0</v>
      </c>
      <c r="AC260" s="2210">
        <f t="shared" ref="AC260:AC323" si="94">IF($H260="Exterior Lighting",$H260,0)</f>
        <v>0</v>
      </c>
      <c r="AG260" s="2210">
        <f t="shared" si="79"/>
        <v>0</v>
      </c>
      <c r="AH260" s="2210">
        <f t="shared" ref="AH260:AH323" si="95">IF(AF260=0,0,MID(AF260,SEARCH(",",AF260)+1,LEN(AF260)))</f>
        <v>0</v>
      </c>
    </row>
    <row r="261" spans="1:34" x14ac:dyDescent="0.4">
      <c r="A261" s="2210">
        <f t="shared" si="80"/>
        <v>259</v>
      </c>
      <c r="B261" s="2214"/>
      <c r="C261" s="2214"/>
      <c r="D261" s="2214"/>
      <c r="E261" s="2214"/>
      <c r="F261" s="2214"/>
      <c r="G261" s="2214"/>
      <c r="H261" s="2214"/>
      <c r="M261" s="2210">
        <f t="shared" si="81"/>
        <v>0</v>
      </c>
      <c r="N261" s="2210">
        <f t="shared" si="82"/>
        <v>0</v>
      </c>
      <c r="O261" s="2210">
        <f t="shared" si="83"/>
        <v>0</v>
      </c>
      <c r="P261" s="2210">
        <f t="shared" si="84"/>
        <v>0</v>
      </c>
      <c r="Q261" s="2210">
        <f t="shared" si="85"/>
        <v>0</v>
      </c>
      <c r="R261" s="2210">
        <f t="shared" si="86"/>
        <v>0</v>
      </c>
      <c r="S261" s="2210">
        <f t="shared" si="87"/>
        <v>0</v>
      </c>
      <c r="V261" s="2210">
        <f t="shared" si="88"/>
        <v>0</v>
      </c>
      <c r="W261" s="2210">
        <f t="shared" si="89"/>
        <v>0</v>
      </c>
      <c r="X261" s="2210">
        <f t="shared" si="90"/>
        <v>0</v>
      </c>
      <c r="Y261" s="2210">
        <f t="shared" si="78"/>
        <v>0</v>
      </c>
      <c r="Z261" s="2210">
        <f t="shared" si="91"/>
        <v>0</v>
      </c>
      <c r="AA261" s="2210">
        <f t="shared" si="92"/>
        <v>0</v>
      </c>
      <c r="AB261" s="2210">
        <f t="shared" si="93"/>
        <v>0</v>
      </c>
      <c r="AC261" s="2210">
        <f t="shared" si="94"/>
        <v>0</v>
      </c>
      <c r="AG261" s="2210">
        <f t="shared" si="79"/>
        <v>0</v>
      </c>
      <c r="AH261" s="2210">
        <f t="shared" si="95"/>
        <v>0</v>
      </c>
    </row>
    <row r="262" spans="1:34" x14ac:dyDescent="0.4">
      <c r="A262" s="2210">
        <f t="shared" si="80"/>
        <v>260</v>
      </c>
      <c r="B262" s="2214"/>
      <c r="C262" s="2214"/>
      <c r="D262" s="2214"/>
      <c r="E262" s="2214"/>
      <c r="F262" s="2214"/>
      <c r="G262" s="2214"/>
      <c r="H262" s="2214"/>
      <c r="M262" s="2210">
        <f t="shared" si="81"/>
        <v>0</v>
      </c>
      <c r="N262" s="2210">
        <f t="shared" si="82"/>
        <v>0</v>
      </c>
      <c r="O262" s="2210">
        <f t="shared" si="83"/>
        <v>0</v>
      </c>
      <c r="P262" s="2210">
        <f t="shared" si="84"/>
        <v>0</v>
      </c>
      <c r="Q262" s="2210">
        <f t="shared" si="85"/>
        <v>0</v>
      </c>
      <c r="R262" s="2210">
        <f t="shared" si="86"/>
        <v>0</v>
      </c>
      <c r="S262" s="2210">
        <f t="shared" si="87"/>
        <v>0</v>
      </c>
      <c r="V262" s="2210">
        <f t="shared" si="88"/>
        <v>0</v>
      </c>
      <c r="W262" s="2210">
        <f t="shared" si="89"/>
        <v>0</v>
      </c>
      <c r="X262" s="2210">
        <f t="shared" si="90"/>
        <v>0</v>
      </c>
      <c r="Y262" s="2210">
        <f t="shared" ref="Y262:Y325" si="96">IF(OR(V262=0,LEN(X262)&lt;4),0,_xlfn.CONCAT(V262,",",X262))</f>
        <v>0</v>
      </c>
      <c r="Z262" s="2210">
        <f t="shared" si="91"/>
        <v>0</v>
      </c>
      <c r="AA262" s="2210">
        <f t="shared" si="92"/>
        <v>0</v>
      </c>
      <c r="AB262" s="2210">
        <f t="shared" si="93"/>
        <v>0</v>
      </c>
      <c r="AC262" s="2210">
        <f t="shared" si="94"/>
        <v>0</v>
      </c>
      <c r="AG262" s="2210">
        <f t="shared" ref="AG262:AG325" si="97">IF(AF262=0,0,LEFT(AF262,SEARCH(",",AF262)-1))</f>
        <v>0</v>
      </c>
      <c r="AH262" s="2210">
        <f t="shared" si="95"/>
        <v>0</v>
      </c>
    </row>
    <row r="263" spans="1:34" x14ac:dyDescent="0.4">
      <c r="A263" s="2210">
        <f t="shared" si="80"/>
        <v>261</v>
      </c>
      <c r="B263" s="2214"/>
      <c r="C263" s="2214"/>
      <c r="D263" s="2214"/>
      <c r="E263" s="2214"/>
      <c r="F263" s="2214"/>
      <c r="G263" s="2214"/>
      <c r="H263" s="2214"/>
      <c r="M263" s="2210">
        <f t="shared" si="81"/>
        <v>0</v>
      </c>
      <c r="N263" s="2210">
        <f t="shared" si="82"/>
        <v>0</v>
      </c>
      <c r="O263" s="2210">
        <f t="shared" si="83"/>
        <v>0</v>
      </c>
      <c r="P263" s="2210">
        <f t="shared" si="84"/>
        <v>0</v>
      </c>
      <c r="Q263" s="2210">
        <f t="shared" si="85"/>
        <v>0</v>
      </c>
      <c r="R263" s="2210">
        <f t="shared" si="86"/>
        <v>0</v>
      </c>
      <c r="S263" s="2210">
        <f t="shared" si="87"/>
        <v>0</v>
      </c>
      <c r="V263" s="2210">
        <f t="shared" si="88"/>
        <v>0</v>
      </c>
      <c r="W263" s="2210">
        <f t="shared" si="89"/>
        <v>0</v>
      </c>
      <c r="X263" s="2210">
        <f t="shared" si="90"/>
        <v>0</v>
      </c>
      <c r="Y263" s="2210">
        <f t="shared" si="96"/>
        <v>0</v>
      </c>
      <c r="Z263" s="2210">
        <f t="shared" si="91"/>
        <v>0</v>
      </c>
      <c r="AA263" s="2210">
        <f t="shared" si="92"/>
        <v>0</v>
      </c>
      <c r="AB263" s="2210">
        <f t="shared" si="93"/>
        <v>0</v>
      </c>
      <c r="AC263" s="2210">
        <f t="shared" si="94"/>
        <v>0</v>
      </c>
      <c r="AG263" s="2210">
        <f t="shared" si="97"/>
        <v>0</v>
      </c>
      <c r="AH263" s="2210">
        <f t="shared" si="95"/>
        <v>0</v>
      </c>
    </row>
    <row r="264" spans="1:34" x14ac:dyDescent="0.4">
      <c r="A264" s="2210">
        <f t="shared" si="80"/>
        <v>262</v>
      </c>
      <c r="B264" s="2214"/>
      <c r="C264" s="2214"/>
      <c r="D264" s="2214"/>
      <c r="E264" s="2214"/>
      <c r="F264" s="2214"/>
      <c r="G264" s="2214"/>
      <c r="H264" s="2214"/>
      <c r="M264" s="2210">
        <f t="shared" si="81"/>
        <v>0</v>
      </c>
      <c r="N264" s="2210">
        <f t="shared" si="82"/>
        <v>0</v>
      </c>
      <c r="O264" s="2210">
        <f t="shared" si="83"/>
        <v>0</v>
      </c>
      <c r="P264" s="2210">
        <f t="shared" si="84"/>
        <v>0</v>
      </c>
      <c r="Q264" s="2210">
        <f t="shared" si="85"/>
        <v>0</v>
      </c>
      <c r="R264" s="2210">
        <f t="shared" si="86"/>
        <v>0</v>
      </c>
      <c r="S264" s="2210">
        <f t="shared" si="87"/>
        <v>0</v>
      </c>
      <c r="V264" s="2210">
        <f t="shared" si="88"/>
        <v>0</v>
      </c>
      <c r="W264" s="2210">
        <f t="shared" si="89"/>
        <v>0</v>
      </c>
      <c r="X264" s="2210">
        <f t="shared" si="90"/>
        <v>0</v>
      </c>
      <c r="Y264" s="2210">
        <f t="shared" si="96"/>
        <v>0</v>
      </c>
      <c r="Z264" s="2210">
        <f t="shared" si="91"/>
        <v>0</v>
      </c>
      <c r="AA264" s="2210">
        <f t="shared" si="92"/>
        <v>0</v>
      </c>
      <c r="AB264" s="2210">
        <f t="shared" si="93"/>
        <v>0</v>
      </c>
      <c r="AC264" s="2210">
        <f t="shared" si="94"/>
        <v>0</v>
      </c>
      <c r="AG264" s="2210">
        <f t="shared" si="97"/>
        <v>0</v>
      </c>
      <c r="AH264" s="2210">
        <f t="shared" si="95"/>
        <v>0</v>
      </c>
    </row>
    <row r="265" spans="1:34" x14ac:dyDescent="0.4">
      <c r="A265" s="2210">
        <f t="shared" si="80"/>
        <v>263</v>
      </c>
      <c r="B265" s="2214"/>
      <c r="C265" s="2214"/>
      <c r="D265" s="2214"/>
      <c r="E265" s="2214"/>
      <c r="F265" s="2214"/>
      <c r="G265" s="2214"/>
      <c r="H265" s="2214"/>
      <c r="M265" s="2210">
        <f t="shared" si="81"/>
        <v>0</v>
      </c>
      <c r="N265" s="2210">
        <f t="shared" si="82"/>
        <v>0</v>
      </c>
      <c r="O265" s="2210">
        <f t="shared" si="83"/>
        <v>0</v>
      </c>
      <c r="P265" s="2210">
        <f t="shared" si="84"/>
        <v>0</v>
      </c>
      <c r="Q265" s="2210">
        <f t="shared" si="85"/>
        <v>0</v>
      </c>
      <c r="R265" s="2210">
        <f t="shared" si="86"/>
        <v>0</v>
      </c>
      <c r="S265" s="2210">
        <f t="shared" si="87"/>
        <v>0</v>
      </c>
      <c r="V265" s="2210">
        <f t="shared" si="88"/>
        <v>0</v>
      </c>
      <c r="W265" s="2210">
        <f t="shared" si="89"/>
        <v>0</v>
      </c>
      <c r="X265" s="2210">
        <f t="shared" si="90"/>
        <v>0</v>
      </c>
      <c r="Y265" s="2210">
        <f t="shared" si="96"/>
        <v>0</v>
      </c>
      <c r="Z265" s="2210">
        <f t="shared" si="91"/>
        <v>0</v>
      </c>
      <c r="AA265" s="2210">
        <f t="shared" si="92"/>
        <v>0</v>
      </c>
      <c r="AB265" s="2210">
        <f t="shared" si="93"/>
        <v>0</v>
      </c>
      <c r="AC265" s="2210">
        <f t="shared" si="94"/>
        <v>0</v>
      </c>
      <c r="AG265" s="2210">
        <f t="shared" si="97"/>
        <v>0</v>
      </c>
      <c r="AH265" s="2210">
        <f t="shared" si="95"/>
        <v>0</v>
      </c>
    </row>
    <row r="266" spans="1:34" x14ac:dyDescent="0.4">
      <c r="A266" s="2210">
        <f t="shared" si="80"/>
        <v>264</v>
      </c>
      <c r="B266" s="2214"/>
      <c r="C266" s="2214"/>
      <c r="D266" s="2214"/>
      <c r="E266" s="2214"/>
      <c r="F266" s="2214"/>
      <c r="G266" s="2214"/>
      <c r="H266" s="2214"/>
      <c r="M266" s="2210">
        <f t="shared" si="81"/>
        <v>0</v>
      </c>
      <c r="N266" s="2210">
        <f t="shared" si="82"/>
        <v>0</v>
      </c>
      <c r="O266" s="2210">
        <f t="shared" si="83"/>
        <v>0</v>
      </c>
      <c r="P266" s="2210">
        <f t="shared" si="84"/>
        <v>0</v>
      </c>
      <c r="Q266" s="2210">
        <f t="shared" si="85"/>
        <v>0</v>
      </c>
      <c r="R266" s="2210">
        <f t="shared" si="86"/>
        <v>0</v>
      </c>
      <c r="S266" s="2210">
        <f t="shared" si="87"/>
        <v>0</v>
      </c>
      <c r="V266" s="2210">
        <f t="shared" si="88"/>
        <v>0</v>
      </c>
      <c r="W266" s="2210">
        <f t="shared" si="89"/>
        <v>0</v>
      </c>
      <c r="X266" s="2210">
        <f t="shared" si="90"/>
        <v>0</v>
      </c>
      <c r="Y266" s="2210">
        <f t="shared" si="96"/>
        <v>0</v>
      </c>
      <c r="Z266" s="2210">
        <f t="shared" si="91"/>
        <v>0</v>
      </c>
      <c r="AA266" s="2210">
        <f t="shared" si="92"/>
        <v>0</v>
      </c>
      <c r="AB266" s="2210">
        <f t="shared" si="93"/>
        <v>0</v>
      </c>
      <c r="AC266" s="2210">
        <f t="shared" si="94"/>
        <v>0</v>
      </c>
      <c r="AG266" s="2210">
        <f t="shared" si="97"/>
        <v>0</v>
      </c>
      <c r="AH266" s="2210">
        <f t="shared" si="95"/>
        <v>0</v>
      </c>
    </row>
    <row r="267" spans="1:34" x14ac:dyDescent="0.4">
      <c r="A267" s="2210">
        <f t="shared" si="80"/>
        <v>265</v>
      </c>
      <c r="B267" s="2214"/>
      <c r="C267" s="2214"/>
      <c r="D267" s="2214"/>
      <c r="E267" s="2214"/>
      <c r="F267" s="2214"/>
      <c r="G267" s="2214"/>
      <c r="H267" s="2214"/>
      <c r="M267" s="2210">
        <f t="shared" si="81"/>
        <v>0</v>
      </c>
      <c r="N267" s="2210">
        <f t="shared" si="82"/>
        <v>0</v>
      </c>
      <c r="O267" s="2210">
        <f t="shared" si="83"/>
        <v>0</v>
      </c>
      <c r="P267" s="2210">
        <f t="shared" si="84"/>
        <v>0</v>
      </c>
      <c r="Q267" s="2210">
        <f t="shared" si="85"/>
        <v>0</v>
      </c>
      <c r="R267" s="2210">
        <f t="shared" si="86"/>
        <v>0</v>
      </c>
      <c r="S267" s="2210">
        <f t="shared" si="87"/>
        <v>0</v>
      </c>
      <c r="V267" s="2210">
        <f t="shared" si="88"/>
        <v>0</v>
      </c>
      <c r="W267" s="2210">
        <f t="shared" si="89"/>
        <v>0</v>
      </c>
      <c r="X267" s="2210">
        <f t="shared" si="90"/>
        <v>0</v>
      </c>
      <c r="Y267" s="2210">
        <f t="shared" si="96"/>
        <v>0</v>
      </c>
      <c r="Z267" s="2210">
        <f t="shared" si="91"/>
        <v>0</v>
      </c>
      <c r="AA267" s="2210">
        <f t="shared" si="92"/>
        <v>0</v>
      </c>
      <c r="AB267" s="2210">
        <f t="shared" si="93"/>
        <v>0</v>
      </c>
      <c r="AC267" s="2210">
        <f t="shared" si="94"/>
        <v>0</v>
      </c>
      <c r="AG267" s="2210">
        <f t="shared" si="97"/>
        <v>0</v>
      </c>
      <c r="AH267" s="2210">
        <f t="shared" si="95"/>
        <v>0</v>
      </c>
    </row>
    <row r="268" spans="1:34" x14ac:dyDescent="0.4">
      <c r="A268" s="2210">
        <f t="shared" si="80"/>
        <v>266</v>
      </c>
      <c r="B268" s="2214"/>
      <c r="C268" s="2214"/>
      <c r="D268" s="2214"/>
      <c r="E268" s="2214"/>
      <c r="F268" s="2214"/>
      <c r="G268" s="2214"/>
      <c r="H268" s="2214"/>
      <c r="M268" s="2210">
        <f t="shared" si="81"/>
        <v>0</v>
      </c>
      <c r="N268" s="2210">
        <f t="shared" si="82"/>
        <v>0</v>
      </c>
      <c r="O268" s="2210">
        <f t="shared" si="83"/>
        <v>0</v>
      </c>
      <c r="P268" s="2210">
        <f t="shared" si="84"/>
        <v>0</v>
      </c>
      <c r="Q268" s="2210">
        <f t="shared" si="85"/>
        <v>0</v>
      </c>
      <c r="R268" s="2210">
        <f t="shared" si="86"/>
        <v>0</v>
      </c>
      <c r="S268" s="2210">
        <f t="shared" si="87"/>
        <v>0</v>
      </c>
      <c r="V268" s="2210">
        <f t="shared" si="88"/>
        <v>0</v>
      </c>
      <c r="W268" s="2210">
        <f t="shared" si="89"/>
        <v>0</v>
      </c>
      <c r="X268" s="2210">
        <f t="shared" si="90"/>
        <v>0</v>
      </c>
      <c r="Y268" s="2210">
        <f t="shared" si="96"/>
        <v>0</v>
      </c>
      <c r="Z268" s="2210">
        <f t="shared" si="91"/>
        <v>0</v>
      </c>
      <c r="AA268" s="2210">
        <f t="shared" si="92"/>
        <v>0</v>
      </c>
      <c r="AB268" s="2210">
        <f t="shared" si="93"/>
        <v>0</v>
      </c>
      <c r="AC268" s="2210">
        <f t="shared" si="94"/>
        <v>0</v>
      </c>
      <c r="AG268" s="2210">
        <f t="shared" si="97"/>
        <v>0</v>
      </c>
      <c r="AH268" s="2210">
        <f t="shared" si="95"/>
        <v>0</v>
      </c>
    </row>
    <row r="269" spans="1:34" x14ac:dyDescent="0.4">
      <c r="A269" s="2210">
        <f t="shared" si="80"/>
        <v>267</v>
      </c>
      <c r="B269" s="2214"/>
      <c r="C269" s="2214"/>
      <c r="D269" s="2214"/>
      <c r="E269" s="2214"/>
      <c r="F269" s="2214"/>
      <c r="G269" s="2214"/>
      <c r="H269" s="2214"/>
      <c r="M269" s="2210">
        <f t="shared" si="81"/>
        <v>0</v>
      </c>
      <c r="N269" s="2210">
        <f t="shared" si="82"/>
        <v>0</v>
      </c>
      <c r="O269" s="2210">
        <f t="shared" si="83"/>
        <v>0</v>
      </c>
      <c r="P269" s="2210">
        <f t="shared" si="84"/>
        <v>0</v>
      </c>
      <c r="Q269" s="2210">
        <f t="shared" si="85"/>
        <v>0</v>
      </c>
      <c r="R269" s="2210">
        <f t="shared" si="86"/>
        <v>0</v>
      </c>
      <c r="S269" s="2210">
        <f t="shared" si="87"/>
        <v>0</v>
      </c>
      <c r="V269" s="2210">
        <f t="shared" si="88"/>
        <v>0</v>
      </c>
      <c r="W269" s="2210">
        <f t="shared" si="89"/>
        <v>0</v>
      </c>
      <c r="X269" s="2210">
        <f t="shared" si="90"/>
        <v>0</v>
      </c>
      <c r="Y269" s="2210">
        <f t="shared" si="96"/>
        <v>0</v>
      </c>
      <c r="Z269" s="2210">
        <f t="shared" si="91"/>
        <v>0</v>
      </c>
      <c r="AA269" s="2210">
        <f t="shared" si="92"/>
        <v>0</v>
      </c>
      <c r="AB269" s="2210">
        <f t="shared" si="93"/>
        <v>0</v>
      </c>
      <c r="AC269" s="2210">
        <f t="shared" si="94"/>
        <v>0</v>
      </c>
      <c r="AG269" s="2210">
        <f t="shared" si="97"/>
        <v>0</v>
      </c>
      <c r="AH269" s="2210">
        <f t="shared" si="95"/>
        <v>0</v>
      </c>
    </row>
    <row r="270" spans="1:34" x14ac:dyDescent="0.4">
      <c r="A270" s="2210">
        <f t="shared" si="80"/>
        <v>268</v>
      </c>
      <c r="B270" s="2214"/>
      <c r="C270" s="2214"/>
      <c r="D270" s="2214"/>
      <c r="E270" s="2214"/>
      <c r="F270" s="2214"/>
      <c r="G270" s="2214"/>
      <c r="H270" s="2214"/>
      <c r="M270" s="2210">
        <f t="shared" si="81"/>
        <v>0</v>
      </c>
      <c r="N270" s="2210">
        <f t="shared" si="82"/>
        <v>0</v>
      </c>
      <c r="O270" s="2210">
        <f t="shared" si="83"/>
        <v>0</v>
      </c>
      <c r="P270" s="2210">
        <f t="shared" si="84"/>
        <v>0</v>
      </c>
      <c r="Q270" s="2210">
        <f t="shared" si="85"/>
        <v>0</v>
      </c>
      <c r="R270" s="2210">
        <f t="shared" si="86"/>
        <v>0</v>
      </c>
      <c r="S270" s="2210">
        <f t="shared" si="87"/>
        <v>0</v>
      </c>
      <c r="V270" s="2210">
        <f t="shared" si="88"/>
        <v>0</v>
      </c>
      <c r="W270" s="2210">
        <f t="shared" si="89"/>
        <v>0</v>
      </c>
      <c r="X270" s="2210">
        <f t="shared" si="90"/>
        <v>0</v>
      </c>
      <c r="Y270" s="2210">
        <f t="shared" si="96"/>
        <v>0</v>
      </c>
      <c r="Z270" s="2210">
        <f t="shared" si="91"/>
        <v>0</v>
      </c>
      <c r="AA270" s="2210">
        <f t="shared" si="92"/>
        <v>0</v>
      </c>
      <c r="AB270" s="2210">
        <f t="shared" si="93"/>
        <v>0</v>
      </c>
      <c r="AC270" s="2210">
        <f t="shared" si="94"/>
        <v>0</v>
      </c>
      <c r="AG270" s="2210">
        <f t="shared" si="97"/>
        <v>0</v>
      </c>
      <c r="AH270" s="2210">
        <f t="shared" si="95"/>
        <v>0</v>
      </c>
    </row>
    <row r="271" spans="1:34" x14ac:dyDescent="0.4">
      <c r="A271" s="2210">
        <f t="shared" si="80"/>
        <v>269</v>
      </c>
      <c r="B271" s="2214"/>
      <c r="C271" s="2214"/>
      <c r="D271" s="2214"/>
      <c r="E271" s="2214"/>
      <c r="F271" s="2214"/>
      <c r="G271" s="2214"/>
      <c r="H271" s="2214"/>
      <c r="M271" s="2210">
        <f t="shared" si="81"/>
        <v>0</v>
      </c>
      <c r="N271" s="2210">
        <f t="shared" si="82"/>
        <v>0</v>
      </c>
      <c r="O271" s="2210">
        <f t="shared" si="83"/>
        <v>0</v>
      </c>
      <c r="P271" s="2210">
        <f t="shared" si="84"/>
        <v>0</v>
      </c>
      <c r="Q271" s="2210">
        <f t="shared" si="85"/>
        <v>0</v>
      </c>
      <c r="R271" s="2210">
        <f t="shared" si="86"/>
        <v>0</v>
      </c>
      <c r="S271" s="2210">
        <f t="shared" si="87"/>
        <v>0</v>
      </c>
      <c r="V271" s="2210">
        <f t="shared" si="88"/>
        <v>0</v>
      </c>
      <c r="W271" s="2210">
        <f t="shared" si="89"/>
        <v>0</v>
      </c>
      <c r="X271" s="2210">
        <f t="shared" si="90"/>
        <v>0</v>
      </c>
      <c r="Y271" s="2210">
        <f t="shared" si="96"/>
        <v>0</v>
      </c>
      <c r="Z271" s="2210">
        <f t="shared" si="91"/>
        <v>0</v>
      </c>
      <c r="AA271" s="2210">
        <f t="shared" si="92"/>
        <v>0</v>
      </c>
      <c r="AB271" s="2210">
        <f t="shared" si="93"/>
        <v>0</v>
      </c>
      <c r="AC271" s="2210">
        <f t="shared" si="94"/>
        <v>0</v>
      </c>
      <c r="AG271" s="2210">
        <f t="shared" si="97"/>
        <v>0</v>
      </c>
      <c r="AH271" s="2210">
        <f t="shared" si="95"/>
        <v>0</v>
      </c>
    </row>
    <row r="272" spans="1:34" x14ac:dyDescent="0.4">
      <c r="A272" s="2210">
        <f t="shared" si="80"/>
        <v>270</v>
      </c>
      <c r="B272" s="2214"/>
      <c r="C272" s="2214"/>
      <c r="D272" s="2214"/>
      <c r="E272" s="2214"/>
      <c r="F272" s="2214"/>
      <c r="G272" s="2214"/>
      <c r="H272" s="2214"/>
      <c r="M272" s="2210">
        <f t="shared" si="81"/>
        <v>0</v>
      </c>
      <c r="N272" s="2210">
        <f t="shared" si="82"/>
        <v>0</v>
      </c>
      <c r="O272" s="2210">
        <f t="shared" si="83"/>
        <v>0</v>
      </c>
      <c r="P272" s="2210">
        <f t="shared" si="84"/>
        <v>0</v>
      </c>
      <c r="Q272" s="2210">
        <f t="shared" si="85"/>
        <v>0</v>
      </c>
      <c r="R272" s="2210">
        <f t="shared" si="86"/>
        <v>0</v>
      </c>
      <c r="S272" s="2210">
        <f t="shared" si="87"/>
        <v>0</v>
      </c>
      <c r="V272" s="2210">
        <f t="shared" si="88"/>
        <v>0</v>
      </c>
      <c r="W272" s="2210">
        <f t="shared" si="89"/>
        <v>0</v>
      </c>
      <c r="X272" s="2210">
        <f t="shared" si="90"/>
        <v>0</v>
      </c>
      <c r="Y272" s="2210">
        <f t="shared" si="96"/>
        <v>0</v>
      </c>
      <c r="Z272" s="2210">
        <f t="shared" si="91"/>
        <v>0</v>
      </c>
      <c r="AA272" s="2210">
        <f t="shared" si="92"/>
        <v>0</v>
      </c>
      <c r="AB272" s="2210">
        <f t="shared" si="93"/>
        <v>0</v>
      </c>
      <c r="AC272" s="2210">
        <f t="shared" si="94"/>
        <v>0</v>
      </c>
      <c r="AG272" s="2210">
        <f t="shared" si="97"/>
        <v>0</v>
      </c>
      <c r="AH272" s="2210">
        <f t="shared" si="95"/>
        <v>0</v>
      </c>
    </row>
    <row r="273" spans="1:34" x14ac:dyDescent="0.4">
      <c r="A273" s="2210">
        <f t="shared" si="80"/>
        <v>271</v>
      </c>
      <c r="B273" s="2214"/>
      <c r="C273" s="2214"/>
      <c r="D273" s="2214"/>
      <c r="E273" s="2214"/>
      <c r="F273" s="2214"/>
      <c r="G273" s="2214"/>
      <c r="H273" s="2214"/>
      <c r="M273" s="2210">
        <f t="shared" si="81"/>
        <v>0</v>
      </c>
      <c r="N273" s="2210">
        <f t="shared" si="82"/>
        <v>0</v>
      </c>
      <c r="O273" s="2210">
        <f t="shared" si="83"/>
        <v>0</v>
      </c>
      <c r="P273" s="2210">
        <f t="shared" si="84"/>
        <v>0</v>
      </c>
      <c r="Q273" s="2210">
        <f t="shared" si="85"/>
        <v>0</v>
      </c>
      <c r="R273" s="2210">
        <f t="shared" si="86"/>
        <v>0</v>
      </c>
      <c r="S273" s="2210">
        <f t="shared" si="87"/>
        <v>0</v>
      </c>
      <c r="V273" s="2210">
        <f t="shared" si="88"/>
        <v>0</v>
      </c>
      <c r="W273" s="2210">
        <f t="shared" si="89"/>
        <v>0</v>
      </c>
      <c r="X273" s="2210">
        <f t="shared" si="90"/>
        <v>0</v>
      </c>
      <c r="Y273" s="2210">
        <f t="shared" si="96"/>
        <v>0</v>
      </c>
      <c r="Z273" s="2210">
        <f t="shared" si="91"/>
        <v>0</v>
      </c>
      <c r="AA273" s="2210">
        <f t="shared" si="92"/>
        <v>0</v>
      </c>
      <c r="AB273" s="2210">
        <f t="shared" si="93"/>
        <v>0</v>
      </c>
      <c r="AC273" s="2210">
        <f t="shared" si="94"/>
        <v>0</v>
      </c>
      <c r="AG273" s="2210">
        <f t="shared" si="97"/>
        <v>0</v>
      </c>
      <c r="AH273" s="2210">
        <f t="shared" si="95"/>
        <v>0</v>
      </c>
    </row>
    <row r="274" spans="1:34" x14ac:dyDescent="0.4">
      <c r="A274" s="2210">
        <f t="shared" si="80"/>
        <v>272</v>
      </c>
      <c r="B274" s="2214"/>
      <c r="C274" s="2214"/>
      <c r="D274" s="2214"/>
      <c r="E274" s="2214"/>
      <c r="F274" s="2214"/>
      <c r="G274" s="2214"/>
      <c r="H274" s="2214"/>
      <c r="M274" s="2210">
        <f t="shared" si="81"/>
        <v>0</v>
      </c>
      <c r="N274" s="2210">
        <f t="shared" si="82"/>
        <v>0</v>
      </c>
      <c r="O274" s="2210">
        <f t="shared" si="83"/>
        <v>0</v>
      </c>
      <c r="P274" s="2210">
        <f t="shared" si="84"/>
        <v>0</v>
      </c>
      <c r="Q274" s="2210">
        <f t="shared" si="85"/>
        <v>0</v>
      </c>
      <c r="R274" s="2210">
        <f t="shared" si="86"/>
        <v>0</v>
      </c>
      <c r="S274" s="2210">
        <f t="shared" si="87"/>
        <v>0</v>
      </c>
      <c r="V274" s="2210">
        <f t="shared" si="88"/>
        <v>0</v>
      </c>
      <c r="W274" s="2210">
        <f t="shared" si="89"/>
        <v>0</v>
      </c>
      <c r="X274" s="2210">
        <f t="shared" si="90"/>
        <v>0</v>
      </c>
      <c r="Y274" s="2210">
        <f t="shared" si="96"/>
        <v>0</v>
      </c>
      <c r="Z274" s="2210">
        <f t="shared" si="91"/>
        <v>0</v>
      </c>
      <c r="AA274" s="2210">
        <f t="shared" si="92"/>
        <v>0</v>
      </c>
      <c r="AB274" s="2210">
        <f t="shared" si="93"/>
        <v>0</v>
      </c>
      <c r="AC274" s="2210">
        <f t="shared" si="94"/>
        <v>0</v>
      </c>
      <c r="AG274" s="2210">
        <f t="shared" si="97"/>
        <v>0</v>
      </c>
      <c r="AH274" s="2210">
        <f t="shared" si="95"/>
        <v>0</v>
      </c>
    </row>
    <row r="275" spans="1:34" x14ac:dyDescent="0.4">
      <c r="A275" s="2210">
        <f t="shared" si="80"/>
        <v>273</v>
      </c>
      <c r="B275" s="2214"/>
      <c r="C275" s="2214"/>
      <c r="D275" s="2214"/>
      <c r="E275" s="2214"/>
      <c r="F275" s="2214"/>
      <c r="G275" s="2214"/>
      <c r="H275" s="2214"/>
      <c r="M275" s="2210">
        <f t="shared" si="81"/>
        <v>0</v>
      </c>
      <c r="N275" s="2210">
        <f t="shared" si="82"/>
        <v>0</v>
      </c>
      <c r="O275" s="2210">
        <f t="shared" si="83"/>
        <v>0</v>
      </c>
      <c r="P275" s="2210">
        <f t="shared" si="84"/>
        <v>0</v>
      </c>
      <c r="Q275" s="2210">
        <f t="shared" si="85"/>
        <v>0</v>
      </c>
      <c r="R275" s="2210">
        <f t="shared" si="86"/>
        <v>0</v>
      </c>
      <c r="S275" s="2210">
        <f t="shared" si="87"/>
        <v>0</v>
      </c>
      <c r="V275" s="2210">
        <f t="shared" si="88"/>
        <v>0</v>
      </c>
      <c r="W275" s="2210">
        <f t="shared" si="89"/>
        <v>0</v>
      </c>
      <c r="X275" s="2210">
        <f t="shared" si="90"/>
        <v>0</v>
      </c>
      <c r="Y275" s="2210">
        <f t="shared" si="96"/>
        <v>0</v>
      </c>
      <c r="Z275" s="2210">
        <f t="shared" si="91"/>
        <v>0</v>
      </c>
      <c r="AA275" s="2210">
        <f t="shared" si="92"/>
        <v>0</v>
      </c>
      <c r="AB275" s="2210">
        <f t="shared" si="93"/>
        <v>0</v>
      </c>
      <c r="AC275" s="2210">
        <f t="shared" si="94"/>
        <v>0</v>
      </c>
      <c r="AG275" s="2210">
        <f t="shared" si="97"/>
        <v>0</v>
      </c>
      <c r="AH275" s="2210">
        <f t="shared" si="95"/>
        <v>0</v>
      </c>
    </row>
    <row r="276" spans="1:34" x14ac:dyDescent="0.4">
      <c r="A276" s="2210">
        <f t="shared" si="80"/>
        <v>274</v>
      </c>
      <c r="B276" s="2214"/>
      <c r="C276" s="2214"/>
      <c r="D276" s="2214"/>
      <c r="E276" s="2214"/>
      <c r="F276" s="2214"/>
      <c r="G276" s="2214"/>
      <c r="H276" s="2214"/>
      <c r="M276" s="2210">
        <f t="shared" si="81"/>
        <v>0</v>
      </c>
      <c r="N276" s="2210">
        <f t="shared" si="82"/>
        <v>0</v>
      </c>
      <c r="O276" s="2210">
        <f t="shared" si="83"/>
        <v>0</v>
      </c>
      <c r="P276" s="2210">
        <f t="shared" si="84"/>
        <v>0</v>
      </c>
      <c r="Q276" s="2210">
        <f t="shared" si="85"/>
        <v>0</v>
      </c>
      <c r="R276" s="2210">
        <f t="shared" si="86"/>
        <v>0</v>
      </c>
      <c r="S276" s="2210">
        <f t="shared" si="87"/>
        <v>0</v>
      </c>
      <c r="V276" s="2210">
        <f t="shared" si="88"/>
        <v>0</v>
      </c>
      <c r="W276" s="2210">
        <f t="shared" si="89"/>
        <v>0</v>
      </c>
      <c r="X276" s="2210">
        <f t="shared" si="90"/>
        <v>0</v>
      </c>
      <c r="Y276" s="2210">
        <f t="shared" si="96"/>
        <v>0</v>
      </c>
      <c r="Z276" s="2210">
        <f t="shared" si="91"/>
        <v>0</v>
      </c>
      <c r="AA276" s="2210">
        <f t="shared" si="92"/>
        <v>0</v>
      </c>
      <c r="AB276" s="2210">
        <f t="shared" si="93"/>
        <v>0</v>
      </c>
      <c r="AC276" s="2210">
        <f t="shared" si="94"/>
        <v>0</v>
      </c>
      <c r="AG276" s="2210">
        <f t="shared" si="97"/>
        <v>0</v>
      </c>
      <c r="AH276" s="2210">
        <f t="shared" si="95"/>
        <v>0</v>
      </c>
    </row>
    <row r="277" spans="1:34" x14ac:dyDescent="0.4">
      <c r="A277" s="2210">
        <f t="shared" si="80"/>
        <v>275</v>
      </c>
      <c r="B277" s="2214"/>
      <c r="C277" s="2214"/>
      <c r="D277" s="2214"/>
      <c r="E277" s="2214"/>
      <c r="F277" s="2214"/>
      <c r="G277" s="2214"/>
      <c r="H277" s="2214"/>
      <c r="M277" s="2210">
        <f t="shared" si="81"/>
        <v>0</v>
      </c>
      <c r="N277" s="2210">
        <f t="shared" si="82"/>
        <v>0</v>
      </c>
      <c r="O277" s="2210">
        <f t="shared" si="83"/>
        <v>0</v>
      </c>
      <c r="P277" s="2210">
        <f t="shared" si="84"/>
        <v>0</v>
      </c>
      <c r="Q277" s="2210">
        <f t="shared" si="85"/>
        <v>0</v>
      </c>
      <c r="R277" s="2210">
        <f t="shared" si="86"/>
        <v>0</v>
      </c>
      <c r="S277" s="2210">
        <f t="shared" si="87"/>
        <v>0</v>
      </c>
      <c r="V277" s="2210">
        <f t="shared" si="88"/>
        <v>0</v>
      </c>
      <c r="W277" s="2210">
        <f t="shared" si="89"/>
        <v>0</v>
      </c>
      <c r="X277" s="2210">
        <f t="shared" si="90"/>
        <v>0</v>
      </c>
      <c r="Y277" s="2210">
        <f t="shared" si="96"/>
        <v>0</v>
      </c>
      <c r="Z277" s="2210">
        <f t="shared" si="91"/>
        <v>0</v>
      </c>
      <c r="AA277" s="2210">
        <f t="shared" si="92"/>
        <v>0</v>
      </c>
      <c r="AB277" s="2210">
        <f t="shared" si="93"/>
        <v>0</v>
      </c>
      <c r="AC277" s="2210">
        <f t="shared" si="94"/>
        <v>0</v>
      </c>
      <c r="AG277" s="2210">
        <f t="shared" si="97"/>
        <v>0</v>
      </c>
      <c r="AH277" s="2210">
        <f t="shared" si="95"/>
        <v>0</v>
      </c>
    </row>
    <row r="278" spans="1:34" x14ac:dyDescent="0.4">
      <c r="A278" s="2210">
        <f t="shared" si="80"/>
        <v>276</v>
      </c>
      <c r="B278" s="2214"/>
      <c r="C278" s="2214"/>
      <c r="D278" s="2214"/>
      <c r="E278" s="2214"/>
      <c r="F278" s="2214"/>
      <c r="G278" s="2214"/>
      <c r="H278" s="2214"/>
      <c r="M278" s="2210">
        <f t="shared" si="81"/>
        <v>0</v>
      </c>
      <c r="N278" s="2210">
        <f t="shared" si="82"/>
        <v>0</v>
      </c>
      <c r="O278" s="2210">
        <f t="shared" si="83"/>
        <v>0</v>
      </c>
      <c r="P278" s="2210">
        <f t="shared" si="84"/>
        <v>0</v>
      </c>
      <c r="Q278" s="2210">
        <f t="shared" si="85"/>
        <v>0</v>
      </c>
      <c r="R278" s="2210">
        <f t="shared" si="86"/>
        <v>0</v>
      </c>
      <c r="S278" s="2210">
        <f t="shared" si="87"/>
        <v>0</v>
      </c>
      <c r="V278" s="2210">
        <f t="shared" si="88"/>
        <v>0</v>
      </c>
      <c r="W278" s="2210">
        <f t="shared" si="89"/>
        <v>0</v>
      </c>
      <c r="X278" s="2210">
        <f t="shared" si="90"/>
        <v>0</v>
      </c>
      <c r="Y278" s="2210">
        <f t="shared" si="96"/>
        <v>0</v>
      </c>
      <c r="Z278" s="2210">
        <f t="shared" si="91"/>
        <v>0</v>
      </c>
      <c r="AA278" s="2210">
        <f t="shared" si="92"/>
        <v>0</v>
      </c>
      <c r="AB278" s="2210">
        <f t="shared" si="93"/>
        <v>0</v>
      </c>
      <c r="AC278" s="2210">
        <f t="shared" si="94"/>
        <v>0</v>
      </c>
      <c r="AG278" s="2210">
        <f t="shared" si="97"/>
        <v>0</v>
      </c>
      <c r="AH278" s="2210">
        <f t="shared" si="95"/>
        <v>0</v>
      </c>
    </row>
    <row r="279" spans="1:34" x14ac:dyDescent="0.4">
      <c r="A279" s="2210">
        <f t="shared" si="80"/>
        <v>277</v>
      </c>
      <c r="B279" s="2214"/>
      <c r="C279" s="2214"/>
      <c r="D279" s="2214"/>
      <c r="E279" s="2214"/>
      <c r="F279" s="2214"/>
      <c r="G279" s="2214"/>
      <c r="H279" s="2214"/>
      <c r="M279" s="2210">
        <f t="shared" si="81"/>
        <v>0</v>
      </c>
      <c r="N279" s="2210">
        <f t="shared" si="82"/>
        <v>0</v>
      </c>
      <c r="O279" s="2210">
        <f t="shared" si="83"/>
        <v>0</v>
      </c>
      <c r="P279" s="2210">
        <f t="shared" si="84"/>
        <v>0</v>
      </c>
      <c r="Q279" s="2210">
        <f t="shared" si="85"/>
        <v>0</v>
      </c>
      <c r="R279" s="2210">
        <f t="shared" si="86"/>
        <v>0</v>
      </c>
      <c r="S279" s="2210">
        <f t="shared" si="87"/>
        <v>0</v>
      </c>
      <c r="V279" s="2210">
        <f t="shared" si="88"/>
        <v>0</v>
      </c>
      <c r="W279" s="2210">
        <f t="shared" si="89"/>
        <v>0</v>
      </c>
      <c r="X279" s="2210">
        <f t="shared" si="90"/>
        <v>0</v>
      </c>
      <c r="Y279" s="2210">
        <f t="shared" si="96"/>
        <v>0</v>
      </c>
      <c r="Z279" s="2210">
        <f t="shared" si="91"/>
        <v>0</v>
      </c>
      <c r="AA279" s="2210">
        <f t="shared" si="92"/>
        <v>0</v>
      </c>
      <c r="AB279" s="2210">
        <f t="shared" si="93"/>
        <v>0</v>
      </c>
      <c r="AC279" s="2210">
        <f t="shared" si="94"/>
        <v>0</v>
      </c>
      <c r="AG279" s="2210">
        <f t="shared" si="97"/>
        <v>0</v>
      </c>
      <c r="AH279" s="2210">
        <f t="shared" si="95"/>
        <v>0</v>
      </c>
    </row>
    <row r="280" spans="1:34" x14ac:dyDescent="0.4">
      <c r="A280" s="2210">
        <f t="shared" si="80"/>
        <v>278</v>
      </c>
      <c r="B280" s="2214"/>
      <c r="C280" s="2214"/>
      <c r="D280" s="2214"/>
      <c r="E280" s="2214"/>
      <c r="F280" s="2214"/>
      <c r="G280" s="2214"/>
      <c r="H280" s="2214"/>
      <c r="M280" s="2210">
        <f t="shared" si="81"/>
        <v>0</v>
      </c>
      <c r="N280" s="2210">
        <f t="shared" si="82"/>
        <v>0</v>
      </c>
      <c r="O280" s="2210">
        <f t="shared" si="83"/>
        <v>0</v>
      </c>
      <c r="P280" s="2210">
        <f t="shared" si="84"/>
        <v>0</v>
      </c>
      <c r="Q280" s="2210">
        <f t="shared" si="85"/>
        <v>0</v>
      </c>
      <c r="R280" s="2210">
        <f t="shared" si="86"/>
        <v>0</v>
      </c>
      <c r="S280" s="2210">
        <f t="shared" si="87"/>
        <v>0</v>
      </c>
      <c r="V280" s="2210">
        <f t="shared" si="88"/>
        <v>0</v>
      </c>
      <c r="W280" s="2210">
        <f t="shared" si="89"/>
        <v>0</v>
      </c>
      <c r="X280" s="2210">
        <f t="shared" si="90"/>
        <v>0</v>
      </c>
      <c r="Y280" s="2210">
        <f t="shared" si="96"/>
        <v>0</v>
      </c>
      <c r="Z280" s="2210">
        <f t="shared" si="91"/>
        <v>0</v>
      </c>
      <c r="AA280" s="2210">
        <f t="shared" si="92"/>
        <v>0</v>
      </c>
      <c r="AB280" s="2210">
        <f t="shared" si="93"/>
        <v>0</v>
      </c>
      <c r="AC280" s="2210">
        <f t="shared" si="94"/>
        <v>0</v>
      </c>
      <c r="AG280" s="2210">
        <f t="shared" si="97"/>
        <v>0</v>
      </c>
      <c r="AH280" s="2210">
        <f t="shared" si="95"/>
        <v>0</v>
      </c>
    </row>
    <row r="281" spans="1:34" x14ac:dyDescent="0.4">
      <c r="A281" s="2210">
        <f t="shared" si="80"/>
        <v>279</v>
      </c>
      <c r="B281" s="2214"/>
      <c r="C281" s="2214"/>
      <c r="D281" s="2214"/>
      <c r="E281" s="2214"/>
      <c r="F281" s="2214"/>
      <c r="G281" s="2214"/>
      <c r="H281" s="2214"/>
      <c r="M281" s="2210">
        <f t="shared" si="81"/>
        <v>0</v>
      </c>
      <c r="N281" s="2210">
        <f t="shared" si="82"/>
        <v>0</v>
      </c>
      <c r="O281" s="2210">
        <f t="shared" si="83"/>
        <v>0</v>
      </c>
      <c r="P281" s="2210">
        <f t="shared" si="84"/>
        <v>0</v>
      </c>
      <c r="Q281" s="2210">
        <f t="shared" si="85"/>
        <v>0</v>
      </c>
      <c r="R281" s="2210">
        <f t="shared" si="86"/>
        <v>0</v>
      </c>
      <c r="S281" s="2210">
        <f t="shared" si="87"/>
        <v>0</v>
      </c>
      <c r="V281" s="2210">
        <f t="shared" si="88"/>
        <v>0</v>
      </c>
      <c r="W281" s="2210">
        <f t="shared" si="89"/>
        <v>0</v>
      </c>
      <c r="X281" s="2210">
        <f t="shared" si="90"/>
        <v>0</v>
      </c>
      <c r="Y281" s="2210">
        <f t="shared" si="96"/>
        <v>0</v>
      </c>
      <c r="Z281" s="2210">
        <f t="shared" si="91"/>
        <v>0</v>
      </c>
      <c r="AA281" s="2210">
        <f t="shared" si="92"/>
        <v>0</v>
      </c>
      <c r="AB281" s="2210">
        <f t="shared" si="93"/>
        <v>0</v>
      </c>
      <c r="AC281" s="2210">
        <f t="shared" si="94"/>
        <v>0</v>
      </c>
      <c r="AG281" s="2210">
        <f t="shared" si="97"/>
        <v>0</v>
      </c>
      <c r="AH281" s="2210">
        <f t="shared" si="95"/>
        <v>0</v>
      </c>
    </row>
    <row r="282" spans="1:34" x14ac:dyDescent="0.4">
      <c r="A282" s="2210">
        <f t="shared" si="80"/>
        <v>280</v>
      </c>
      <c r="B282" s="2214"/>
      <c r="C282" s="2214"/>
      <c r="D282" s="2214"/>
      <c r="E282" s="2214"/>
      <c r="F282" s="2214"/>
      <c r="G282" s="2214"/>
      <c r="H282" s="2214"/>
      <c r="M282" s="2210">
        <f t="shared" si="81"/>
        <v>0</v>
      </c>
      <c r="N282" s="2210">
        <f t="shared" si="82"/>
        <v>0</v>
      </c>
      <c r="O282" s="2210">
        <f t="shared" si="83"/>
        <v>0</v>
      </c>
      <c r="P282" s="2210">
        <f t="shared" si="84"/>
        <v>0</v>
      </c>
      <c r="Q282" s="2210">
        <f t="shared" si="85"/>
        <v>0</v>
      </c>
      <c r="R282" s="2210">
        <f t="shared" si="86"/>
        <v>0</v>
      </c>
      <c r="S282" s="2210">
        <f t="shared" si="87"/>
        <v>0</v>
      </c>
      <c r="V282" s="2210">
        <f t="shared" si="88"/>
        <v>0</v>
      </c>
      <c r="W282" s="2210">
        <f t="shared" si="89"/>
        <v>0</v>
      </c>
      <c r="X282" s="2210">
        <f t="shared" si="90"/>
        <v>0</v>
      </c>
      <c r="Y282" s="2210">
        <f t="shared" si="96"/>
        <v>0</v>
      </c>
      <c r="Z282" s="2210">
        <f t="shared" si="91"/>
        <v>0</v>
      </c>
      <c r="AA282" s="2210">
        <f t="shared" si="92"/>
        <v>0</v>
      </c>
      <c r="AB282" s="2210">
        <f t="shared" si="93"/>
        <v>0</v>
      </c>
      <c r="AC282" s="2210">
        <f t="shared" si="94"/>
        <v>0</v>
      </c>
      <c r="AG282" s="2210">
        <f t="shared" si="97"/>
        <v>0</v>
      </c>
      <c r="AH282" s="2210">
        <f t="shared" si="95"/>
        <v>0</v>
      </c>
    </row>
    <row r="283" spans="1:34" x14ac:dyDescent="0.4">
      <c r="A283" s="2210">
        <f t="shared" si="80"/>
        <v>281</v>
      </c>
      <c r="B283" s="2214"/>
      <c r="C283" s="2214"/>
      <c r="D283" s="2214"/>
      <c r="E283" s="2214"/>
      <c r="F283" s="2214"/>
      <c r="G283" s="2214"/>
      <c r="H283" s="2214"/>
      <c r="M283" s="2210">
        <f t="shared" si="81"/>
        <v>0</v>
      </c>
      <c r="N283" s="2210">
        <f t="shared" si="82"/>
        <v>0</v>
      </c>
      <c r="O283" s="2210">
        <f t="shared" si="83"/>
        <v>0</v>
      </c>
      <c r="P283" s="2210">
        <f t="shared" si="84"/>
        <v>0</v>
      </c>
      <c r="Q283" s="2210">
        <f t="shared" si="85"/>
        <v>0</v>
      </c>
      <c r="R283" s="2210">
        <f t="shared" si="86"/>
        <v>0</v>
      </c>
      <c r="S283" s="2210">
        <f t="shared" si="87"/>
        <v>0</v>
      </c>
      <c r="V283" s="2210">
        <f t="shared" si="88"/>
        <v>0</v>
      </c>
      <c r="W283" s="2210">
        <f t="shared" si="89"/>
        <v>0</v>
      </c>
      <c r="X283" s="2210">
        <f t="shared" si="90"/>
        <v>0</v>
      </c>
      <c r="Y283" s="2210">
        <f t="shared" si="96"/>
        <v>0</v>
      </c>
      <c r="Z283" s="2210">
        <f t="shared" si="91"/>
        <v>0</v>
      </c>
      <c r="AA283" s="2210">
        <f t="shared" si="92"/>
        <v>0</v>
      </c>
      <c r="AB283" s="2210">
        <f t="shared" si="93"/>
        <v>0</v>
      </c>
      <c r="AC283" s="2210">
        <f t="shared" si="94"/>
        <v>0</v>
      </c>
      <c r="AG283" s="2210">
        <f t="shared" si="97"/>
        <v>0</v>
      </c>
      <c r="AH283" s="2210">
        <f t="shared" si="95"/>
        <v>0</v>
      </c>
    </row>
    <row r="284" spans="1:34" x14ac:dyDescent="0.4">
      <c r="A284" s="2210">
        <f t="shared" si="80"/>
        <v>282</v>
      </c>
      <c r="B284" s="2214"/>
      <c r="C284" s="2214"/>
      <c r="D284" s="2214"/>
      <c r="E284" s="2214"/>
      <c r="F284" s="2214"/>
      <c r="G284" s="2214"/>
      <c r="H284" s="2214"/>
      <c r="M284" s="2210">
        <f t="shared" si="81"/>
        <v>0</v>
      </c>
      <c r="N284" s="2210">
        <f t="shared" si="82"/>
        <v>0</v>
      </c>
      <c r="O284" s="2210">
        <f t="shared" si="83"/>
        <v>0</v>
      </c>
      <c r="P284" s="2210">
        <f t="shared" si="84"/>
        <v>0</v>
      </c>
      <c r="Q284" s="2210">
        <f t="shared" si="85"/>
        <v>0</v>
      </c>
      <c r="R284" s="2210">
        <f t="shared" si="86"/>
        <v>0</v>
      </c>
      <c r="S284" s="2210">
        <f t="shared" si="87"/>
        <v>0</v>
      </c>
      <c r="V284" s="2210">
        <f t="shared" si="88"/>
        <v>0</v>
      </c>
      <c r="W284" s="2210">
        <f t="shared" si="89"/>
        <v>0</v>
      </c>
      <c r="X284" s="2210">
        <f t="shared" si="90"/>
        <v>0</v>
      </c>
      <c r="Y284" s="2210">
        <f t="shared" si="96"/>
        <v>0</v>
      </c>
      <c r="Z284" s="2210">
        <f t="shared" si="91"/>
        <v>0</v>
      </c>
      <c r="AA284" s="2210">
        <f t="shared" si="92"/>
        <v>0</v>
      </c>
      <c r="AB284" s="2210">
        <f t="shared" si="93"/>
        <v>0</v>
      </c>
      <c r="AC284" s="2210">
        <f t="shared" si="94"/>
        <v>0</v>
      </c>
      <c r="AG284" s="2210">
        <f t="shared" si="97"/>
        <v>0</v>
      </c>
      <c r="AH284" s="2210">
        <f t="shared" si="95"/>
        <v>0</v>
      </c>
    </row>
    <row r="285" spans="1:34" x14ac:dyDescent="0.4">
      <c r="A285" s="2210">
        <f t="shared" si="80"/>
        <v>283</v>
      </c>
      <c r="B285" s="2214"/>
      <c r="C285" s="2214"/>
      <c r="D285" s="2214"/>
      <c r="E285" s="2214"/>
      <c r="F285" s="2214"/>
      <c r="G285" s="2214"/>
      <c r="H285" s="2214"/>
      <c r="M285" s="2210">
        <f t="shared" si="81"/>
        <v>0</v>
      </c>
      <c r="N285" s="2210">
        <f t="shared" si="82"/>
        <v>0</v>
      </c>
      <c r="O285" s="2210">
        <f t="shared" si="83"/>
        <v>0</v>
      </c>
      <c r="P285" s="2210">
        <f t="shared" si="84"/>
        <v>0</v>
      </c>
      <c r="Q285" s="2210">
        <f t="shared" si="85"/>
        <v>0</v>
      </c>
      <c r="R285" s="2210">
        <f t="shared" si="86"/>
        <v>0</v>
      </c>
      <c r="S285" s="2210">
        <f t="shared" si="87"/>
        <v>0</v>
      </c>
      <c r="V285" s="2210">
        <f t="shared" si="88"/>
        <v>0</v>
      </c>
      <c r="W285" s="2210">
        <f t="shared" si="89"/>
        <v>0</v>
      </c>
      <c r="X285" s="2210">
        <f t="shared" si="90"/>
        <v>0</v>
      </c>
      <c r="Y285" s="2210">
        <f t="shared" si="96"/>
        <v>0</v>
      </c>
      <c r="Z285" s="2210">
        <f t="shared" si="91"/>
        <v>0</v>
      </c>
      <c r="AA285" s="2210">
        <f t="shared" si="92"/>
        <v>0</v>
      </c>
      <c r="AB285" s="2210">
        <f t="shared" si="93"/>
        <v>0</v>
      </c>
      <c r="AC285" s="2210">
        <f t="shared" si="94"/>
        <v>0</v>
      </c>
      <c r="AG285" s="2210">
        <f t="shared" si="97"/>
        <v>0</v>
      </c>
      <c r="AH285" s="2210">
        <f t="shared" si="95"/>
        <v>0</v>
      </c>
    </row>
    <row r="286" spans="1:34" x14ac:dyDescent="0.4">
      <c r="A286" s="2210">
        <f t="shared" si="80"/>
        <v>284</v>
      </c>
      <c r="B286" s="2214"/>
      <c r="C286" s="2214"/>
      <c r="D286" s="2214"/>
      <c r="E286" s="2214"/>
      <c r="F286" s="2214"/>
      <c r="G286" s="2214"/>
      <c r="H286" s="2214"/>
      <c r="M286" s="2210">
        <f t="shared" si="81"/>
        <v>0</v>
      </c>
      <c r="N286" s="2210">
        <f t="shared" si="82"/>
        <v>0</v>
      </c>
      <c r="O286" s="2210">
        <f t="shared" si="83"/>
        <v>0</v>
      </c>
      <c r="P286" s="2210">
        <f t="shared" si="84"/>
        <v>0</v>
      </c>
      <c r="Q286" s="2210">
        <f t="shared" si="85"/>
        <v>0</v>
      </c>
      <c r="R286" s="2210">
        <f t="shared" si="86"/>
        <v>0</v>
      </c>
      <c r="S286" s="2210">
        <f t="shared" si="87"/>
        <v>0</v>
      </c>
      <c r="V286" s="2210">
        <f t="shared" si="88"/>
        <v>0</v>
      </c>
      <c r="W286" s="2210">
        <f t="shared" si="89"/>
        <v>0</v>
      </c>
      <c r="X286" s="2210">
        <f t="shared" si="90"/>
        <v>0</v>
      </c>
      <c r="Y286" s="2210">
        <f t="shared" si="96"/>
        <v>0</v>
      </c>
      <c r="Z286" s="2210">
        <f t="shared" si="91"/>
        <v>0</v>
      </c>
      <c r="AA286" s="2210">
        <f t="shared" si="92"/>
        <v>0</v>
      </c>
      <c r="AB286" s="2210">
        <f t="shared" si="93"/>
        <v>0</v>
      </c>
      <c r="AC286" s="2210">
        <f t="shared" si="94"/>
        <v>0</v>
      </c>
      <c r="AG286" s="2210">
        <f t="shared" si="97"/>
        <v>0</v>
      </c>
      <c r="AH286" s="2210">
        <f t="shared" si="95"/>
        <v>0</v>
      </c>
    </row>
    <row r="287" spans="1:34" x14ac:dyDescent="0.4">
      <c r="A287" s="2210">
        <f t="shared" si="80"/>
        <v>285</v>
      </c>
      <c r="B287" s="2214"/>
      <c r="C287" s="2214"/>
      <c r="D287" s="2214"/>
      <c r="E287" s="2214"/>
      <c r="F287" s="2214"/>
      <c r="G287" s="2214"/>
      <c r="H287" s="2214"/>
      <c r="M287" s="2210">
        <f t="shared" si="81"/>
        <v>0</v>
      </c>
      <c r="N287" s="2210">
        <f t="shared" si="82"/>
        <v>0</v>
      </c>
      <c r="O287" s="2210">
        <f t="shared" si="83"/>
        <v>0</v>
      </c>
      <c r="P287" s="2210">
        <f t="shared" si="84"/>
        <v>0</v>
      </c>
      <c r="Q287" s="2210">
        <f t="shared" si="85"/>
        <v>0</v>
      </c>
      <c r="R287" s="2210">
        <f t="shared" si="86"/>
        <v>0</v>
      </c>
      <c r="S287" s="2210">
        <f t="shared" si="87"/>
        <v>0</v>
      </c>
      <c r="V287" s="2210">
        <f t="shared" si="88"/>
        <v>0</v>
      </c>
      <c r="W287" s="2210">
        <f t="shared" si="89"/>
        <v>0</v>
      </c>
      <c r="X287" s="2210">
        <f t="shared" si="90"/>
        <v>0</v>
      </c>
      <c r="Y287" s="2210">
        <f t="shared" si="96"/>
        <v>0</v>
      </c>
      <c r="Z287" s="2210">
        <f t="shared" si="91"/>
        <v>0</v>
      </c>
      <c r="AA287" s="2210">
        <f t="shared" si="92"/>
        <v>0</v>
      </c>
      <c r="AB287" s="2210">
        <f t="shared" si="93"/>
        <v>0</v>
      </c>
      <c r="AC287" s="2210">
        <f t="shared" si="94"/>
        <v>0</v>
      </c>
      <c r="AG287" s="2210">
        <f t="shared" si="97"/>
        <v>0</v>
      </c>
      <c r="AH287" s="2210">
        <f t="shared" si="95"/>
        <v>0</v>
      </c>
    </row>
    <row r="288" spans="1:34" x14ac:dyDescent="0.4">
      <c r="A288" s="2210">
        <f t="shared" si="80"/>
        <v>286</v>
      </c>
      <c r="B288" s="2214"/>
      <c r="C288" s="2214"/>
      <c r="D288" s="2214"/>
      <c r="E288" s="2214"/>
      <c r="F288" s="2214"/>
      <c r="G288" s="2214"/>
      <c r="H288" s="2214"/>
      <c r="M288" s="2210">
        <f t="shared" si="81"/>
        <v>0</v>
      </c>
      <c r="N288" s="2210">
        <f t="shared" si="82"/>
        <v>0</v>
      </c>
      <c r="O288" s="2210">
        <f t="shared" si="83"/>
        <v>0</v>
      </c>
      <c r="P288" s="2210">
        <f t="shared" si="84"/>
        <v>0</v>
      </c>
      <c r="Q288" s="2210">
        <f t="shared" si="85"/>
        <v>0</v>
      </c>
      <c r="R288" s="2210">
        <f t="shared" si="86"/>
        <v>0</v>
      </c>
      <c r="S288" s="2210">
        <f t="shared" si="87"/>
        <v>0</v>
      </c>
      <c r="V288" s="2210">
        <f t="shared" si="88"/>
        <v>0</v>
      </c>
      <c r="W288" s="2210">
        <f t="shared" si="89"/>
        <v>0</v>
      </c>
      <c r="X288" s="2210">
        <f t="shared" si="90"/>
        <v>0</v>
      </c>
      <c r="Y288" s="2210">
        <f t="shared" si="96"/>
        <v>0</v>
      </c>
      <c r="Z288" s="2210">
        <f t="shared" si="91"/>
        <v>0</v>
      </c>
      <c r="AA288" s="2210">
        <f t="shared" si="92"/>
        <v>0</v>
      </c>
      <c r="AB288" s="2210">
        <f t="shared" si="93"/>
        <v>0</v>
      </c>
      <c r="AC288" s="2210">
        <f t="shared" si="94"/>
        <v>0</v>
      </c>
      <c r="AG288" s="2210">
        <f t="shared" si="97"/>
        <v>0</v>
      </c>
      <c r="AH288" s="2210">
        <f t="shared" si="95"/>
        <v>0</v>
      </c>
    </row>
    <row r="289" spans="1:34" x14ac:dyDescent="0.4">
      <c r="A289" s="2210">
        <f t="shared" si="80"/>
        <v>287</v>
      </c>
      <c r="B289" s="2214"/>
      <c r="C289" s="2214"/>
      <c r="D289" s="2214"/>
      <c r="E289" s="2214"/>
      <c r="F289" s="2214"/>
      <c r="G289" s="2214"/>
      <c r="H289" s="2214"/>
      <c r="M289" s="2210">
        <f t="shared" si="81"/>
        <v>0</v>
      </c>
      <c r="N289" s="2210">
        <f t="shared" si="82"/>
        <v>0</v>
      </c>
      <c r="O289" s="2210">
        <f t="shared" si="83"/>
        <v>0</v>
      </c>
      <c r="P289" s="2210">
        <f t="shared" si="84"/>
        <v>0</v>
      </c>
      <c r="Q289" s="2210">
        <f t="shared" si="85"/>
        <v>0</v>
      </c>
      <c r="R289" s="2210">
        <f t="shared" si="86"/>
        <v>0</v>
      </c>
      <c r="S289" s="2210">
        <f t="shared" si="87"/>
        <v>0</v>
      </c>
      <c r="V289" s="2210">
        <f t="shared" si="88"/>
        <v>0</v>
      </c>
      <c r="W289" s="2210">
        <f t="shared" si="89"/>
        <v>0</v>
      </c>
      <c r="X289" s="2210">
        <f t="shared" si="90"/>
        <v>0</v>
      </c>
      <c r="Y289" s="2210">
        <f t="shared" si="96"/>
        <v>0</v>
      </c>
      <c r="Z289" s="2210">
        <f t="shared" si="91"/>
        <v>0</v>
      </c>
      <c r="AA289" s="2210">
        <f t="shared" si="92"/>
        <v>0</v>
      </c>
      <c r="AB289" s="2210">
        <f t="shared" si="93"/>
        <v>0</v>
      </c>
      <c r="AC289" s="2210">
        <f t="shared" si="94"/>
        <v>0</v>
      </c>
      <c r="AG289" s="2210">
        <f t="shared" si="97"/>
        <v>0</v>
      </c>
      <c r="AH289" s="2210">
        <f t="shared" si="95"/>
        <v>0</v>
      </c>
    </row>
    <row r="290" spans="1:34" x14ac:dyDescent="0.4">
      <c r="A290" s="2210">
        <f t="shared" si="80"/>
        <v>288</v>
      </c>
      <c r="B290" s="2214"/>
      <c r="C290" s="2214"/>
      <c r="D290" s="2214"/>
      <c r="E290" s="2214"/>
      <c r="F290" s="2214"/>
      <c r="G290" s="2214"/>
      <c r="H290" s="2214"/>
      <c r="M290" s="2210">
        <f t="shared" si="81"/>
        <v>0</v>
      </c>
      <c r="N290" s="2210">
        <f t="shared" si="82"/>
        <v>0</v>
      </c>
      <c r="O290" s="2210">
        <f t="shared" si="83"/>
        <v>0</v>
      </c>
      <c r="P290" s="2210">
        <f t="shared" si="84"/>
        <v>0</v>
      </c>
      <c r="Q290" s="2210">
        <f t="shared" si="85"/>
        <v>0</v>
      </c>
      <c r="R290" s="2210">
        <f t="shared" si="86"/>
        <v>0</v>
      </c>
      <c r="S290" s="2210">
        <f t="shared" si="87"/>
        <v>0</v>
      </c>
      <c r="V290" s="2210">
        <f t="shared" si="88"/>
        <v>0</v>
      </c>
      <c r="W290" s="2210">
        <f t="shared" si="89"/>
        <v>0</v>
      </c>
      <c r="X290" s="2210">
        <f t="shared" si="90"/>
        <v>0</v>
      </c>
      <c r="Y290" s="2210">
        <f t="shared" si="96"/>
        <v>0</v>
      </c>
      <c r="Z290" s="2210">
        <f t="shared" si="91"/>
        <v>0</v>
      </c>
      <c r="AA290" s="2210">
        <f t="shared" si="92"/>
        <v>0</v>
      </c>
      <c r="AB290" s="2210">
        <f t="shared" si="93"/>
        <v>0</v>
      </c>
      <c r="AC290" s="2210">
        <f t="shared" si="94"/>
        <v>0</v>
      </c>
      <c r="AG290" s="2210">
        <f t="shared" si="97"/>
        <v>0</v>
      </c>
      <c r="AH290" s="2210">
        <f t="shared" si="95"/>
        <v>0</v>
      </c>
    </row>
    <row r="291" spans="1:34" x14ac:dyDescent="0.4">
      <c r="A291" s="2210">
        <f t="shared" si="80"/>
        <v>289</v>
      </c>
      <c r="B291" s="2214"/>
      <c r="C291" s="2214"/>
      <c r="D291" s="2214"/>
      <c r="E291" s="2214"/>
      <c r="F291" s="2214"/>
      <c r="G291" s="2214"/>
      <c r="H291" s="2214"/>
      <c r="M291" s="2210">
        <f t="shared" si="81"/>
        <v>0</v>
      </c>
      <c r="N291" s="2210">
        <f t="shared" si="82"/>
        <v>0</v>
      </c>
      <c r="O291" s="2210">
        <f t="shared" si="83"/>
        <v>0</v>
      </c>
      <c r="P291" s="2210">
        <f t="shared" si="84"/>
        <v>0</v>
      </c>
      <c r="Q291" s="2210">
        <f t="shared" si="85"/>
        <v>0</v>
      </c>
      <c r="R291" s="2210">
        <f t="shared" si="86"/>
        <v>0</v>
      </c>
      <c r="S291" s="2210">
        <f t="shared" si="87"/>
        <v>0</v>
      </c>
      <c r="V291" s="2210">
        <f t="shared" si="88"/>
        <v>0</v>
      </c>
      <c r="W291" s="2210">
        <f t="shared" si="89"/>
        <v>0</v>
      </c>
      <c r="X291" s="2210">
        <f t="shared" si="90"/>
        <v>0</v>
      </c>
      <c r="Y291" s="2210">
        <f t="shared" si="96"/>
        <v>0</v>
      </c>
      <c r="Z291" s="2210">
        <f t="shared" si="91"/>
        <v>0</v>
      </c>
      <c r="AA291" s="2210">
        <f t="shared" si="92"/>
        <v>0</v>
      </c>
      <c r="AB291" s="2210">
        <f t="shared" si="93"/>
        <v>0</v>
      </c>
      <c r="AC291" s="2210">
        <f t="shared" si="94"/>
        <v>0</v>
      </c>
      <c r="AG291" s="2210">
        <f t="shared" si="97"/>
        <v>0</v>
      </c>
      <c r="AH291" s="2210">
        <f t="shared" si="95"/>
        <v>0</v>
      </c>
    </row>
    <row r="292" spans="1:34" x14ac:dyDescent="0.4">
      <c r="A292" s="2210">
        <f t="shared" si="80"/>
        <v>290</v>
      </c>
      <c r="B292" s="2214"/>
      <c r="C292" s="2214"/>
      <c r="D292" s="2214"/>
      <c r="E292" s="2214"/>
      <c r="F292" s="2214"/>
      <c r="G292" s="2214"/>
      <c r="H292" s="2214"/>
      <c r="M292" s="2210">
        <f t="shared" si="81"/>
        <v>0</v>
      </c>
      <c r="N292" s="2210">
        <f t="shared" si="82"/>
        <v>0</v>
      </c>
      <c r="O292" s="2210">
        <f t="shared" si="83"/>
        <v>0</v>
      </c>
      <c r="P292" s="2210">
        <f t="shared" si="84"/>
        <v>0</v>
      </c>
      <c r="Q292" s="2210">
        <f t="shared" si="85"/>
        <v>0</v>
      </c>
      <c r="R292" s="2210">
        <f t="shared" si="86"/>
        <v>0</v>
      </c>
      <c r="S292" s="2210">
        <f t="shared" si="87"/>
        <v>0</v>
      </c>
      <c r="V292" s="2210">
        <f t="shared" si="88"/>
        <v>0</v>
      </c>
      <c r="W292" s="2210">
        <f t="shared" si="89"/>
        <v>0</v>
      </c>
      <c r="X292" s="2210">
        <f t="shared" si="90"/>
        <v>0</v>
      </c>
      <c r="Y292" s="2210">
        <f t="shared" si="96"/>
        <v>0</v>
      </c>
      <c r="Z292" s="2210">
        <f t="shared" si="91"/>
        <v>0</v>
      </c>
      <c r="AA292" s="2210">
        <f t="shared" si="92"/>
        <v>0</v>
      </c>
      <c r="AB292" s="2210">
        <f t="shared" si="93"/>
        <v>0</v>
      </c>
      <c r="AC292" s="2210">
        <f t="shared" si="94"/>
        <v>0</v>
      </c>
      <c r="AG292" s="2210">
        <f t="shared" si="97"/>
        <v>0</v>
      </c>
      <c r="AH292" s="2210">
        <f t="shared" si="95"/>
        <v>0</v>
      </c>
    </row>
    <row r="293" spans="1:34" x14ac:dyDescent="0.4">
      <c r="A293" s="2210">
        <f t="shared" si="80"/>
        <v>291</v>
      </c>
      <c r="B293" s="2214"/>
      <c r="C293" s="2214"/>
      <c r="D293" s="2214"/>
      <c r="E293" s="2214"/>
      <c r="F293" s="2214"/>
      <c r="G293" s="2214"/>
      <c r="H293" s="2214"/>
      <c r="M293" s="2210">
        <f t="shared" si="81"/>
        <v>0</v>
      </c>
      <c r="N293" s="2210">
        <f t="shared" si="82"/>
        <v>0</v>
      </c>
      <c r="O293" s="2210">
        <f t="shared" si="83"/>
        <v>0</v>
      </c>
      <c r="P293" s="2210">
        <f t="shared" si="84"/>
        <v>0</v>
      </c>
      <c r="Q293" s="2210">
        <f t="shared" si="85"/>
        <v>0</v>
      </c>
      <c r="R293" s="2210">
        <f t="shared" si="86"/>
        <v>0</v>
      </c>
      <c r="S293" s="2210">
        <f t="shared" si="87"/>
        <v>0</v>
      </c>
      <c r="V293" s="2210">
        <f t="shared" si="88"/>
        <v>0</v>
      </c>
      <c r="W293" s="2210">
        <f t="shared" si="89"/>
        <v>0</v>
      </c>
      <c r="X293" s="2210">
        <f t="shared" si="90"/>
        <v>0</v>
      </c>
      <c r="Y293" s="2210">
        <f t="shared" si="96"/>
        <v>0</v>
      </c>
      <c r="Z293" s="2210">
        <f t="shared" si="91"/>
        <v>0</v>
      </c>
      <c r="AA293" s="2210">
        <f t="shared" si="92"/>
        <v>0</v>
      </c>
      <c r="AB293" s="2210">
        <f t="shared" si="93"/>
        <v>0</v>
      </c>
      <c r="AC293" s="2210">
        <f t="shared" si="94"/>
        <v>0</v>
      </c>
      <c r="AG293" s="2210">
        <f t="shared" si="97"/>
        <v>0</v>
      </c>
      <c r="AH293" s="2210">
        <f t="shared" si="95"/>
        <v>0</v>
      </c>
    </row>
    <row r="294" spans="1:34" x14ac:dyDescent="0.4">
      <c r="A294" s="2210">
        <f t="shared" si="80"/>
        <v>292</v>
      </c>
      <c r="B294" s="2214"/>
      <c r="C294" s="2214"/>
      <c r="D294" s="2214"/>
      <c r="E294" s="2214"/>
      <c r="F294" s="2214"/>
      <c r="G294" s="2214"/>
      <c r="H294" s="2214"/>
      <c r="M294" s="2210">
        <f t="shared" si="81"/>
        <v>0</v>
      </c>
      <c r="N294" s="2210">
        <f t="shared" si="82"/>
        <v>0</v>
      </c>
      <c r="O294" s="2210">
        <f t="shared" si="83"/>
        <v>0</v>
      </c>
      <c r="P294" s="2210">
        <f t="shared" si="84"/>
        <v>0</v>
      </c>
      <c r="Q294" s="2210">
        <f t="shared" si="85"/>
        <v>0</v>
      </c>
      <c r="R294" s="2210">
        <f t="shared" si="86"/>
        <v>0</v>
      </c>
      <c r="S294" s="2210">
        <f t="shared" si="87"/>
        <v>0</v>
      </c>
      <c r="V294" s="2210">
        <f t="shared" si="88"/>
        <v>0</v>
      </c>
      <c r="W294" s="2210">
        <f t="shared" si="89"/>
        <v>0</v>
      </c>
      <c r="X294" s="2210">
        <f t="shared" si="90"/>
        <v>0</v>
      </c>
      <c r="Y294" s="2210">
        <f t="shared" si="96"/>
        <v>0</v>
      </c>
      <c r="Z294" s="2210">
        <f t="shared" si="91"/>
        <v>0</v>
      </c>
      <c r="AA294" s="2210">
        <f t="shared" si="92"/>
        <v>0</v>
      </c>
      <c r="AB294" s="2210">
        <f t="shared" si="93"/>
        <v>0</v>
      </c>
      <c r="AC294" s="2210">
        <f t="shared" si="94"/>
        <v>0</v>
      </c>
      <c r="AG294" s="2210">
        <f t="shared" si="97"/>
        <v>0</v>
      </c>
      <c r="AH294" s="2210">
        <f t="shared" si="95"/>
        <v>0</v>
      </c>
    </row>
    <row r="295" spans="1:34" x14ac:dyDescent="0.4">
      <c r="A295" s="2210">
        <f t="shared" si="80"/>
        <v>293</v>
      </c>
      <c r="B295" s="2214"/>
      <c r="C295" s="2214"/>
      <c r="D295" s="2214"/>
      <c r="E295" s="2214"/>
      <c r="F295" s="2214"/>
      <c r="G295" s="2214"/>
      <c r="H295" s="2214"/>
      <c r="M295" s="2210">
        <f t="shared" si="81"/>
        <v>0</v>
      </c>
      <c r="N295" s="2210">
        <f t="shared" si="82"/>
        <v>0</v>
      </c>
      <c r="O295" s="2210">
        <f t="shared" si="83"/>
        <v>0</v>
      </c>
      <c r="P295" s="2210">
        <f t="shared" si="84"/>
        <v>0</v>
      </c>
      <c r="Q295" s="2210">
        <f t="shared" si="85"/>
        <v>0</v>
      </c>
      <c r="R295" s="2210">
        <f t="shared" si="86"/>
        <v>0</v>
      </c>
      <c r="S295" s="2210">
        <f t="shared" si="87"/>
        <v>0</v>
      </c>
      <c r="V295" s="2210">
        <f t="shared" si="88"/>
        <v>0</v>
      </c>
      <c r="W295" s="2210">
        <f t="shared" si="89"/>
        <v>0</v>
      </c>
      <c r="X295" s="2210">
        <f t="shared" si="90"/>
        <v>0</v>
      </c>
      <c r="Y295" s="2210">
        <f t="shared" si="96"/>
        <v>0</v>
      </c>
      <c r="Z295" s="2210">
        <f t="shared" si="91"/>
        <v>0</v>
      </c>
      <c r="AA295" s="2210">
        <f t="shared" si="92"/>
        <v>0</v>
      </c>
      <c r="AB295" s="2210">
        <f t="shared" si="93"/>
        <v>0</v>
      </c>
      <c r="AC295" s="2210">
        <f t="shared" si="94"/>
        <v>0</v>
      </c>
      <c r="AG295" s="2210">
        <f t="shared" si="97"/>
        <v>0</v>
      </c>
      <c r="AH295" s="2210">
        <f t="shared" si="95"/>
        <v>0</v>
      </c>
    </row>
    <row r="296" spans="1:34" x14ac:dyDescent="0.4">
      <c r="A296" s="2210">
        <f t="shared" si="80"/>
        <v>294</v>
      </c>
      <c r="B296" s="2214"/>
      <c r="C296" s="2214"/>
      <c r="D296" s="2214"/>
      <c r="E296" s="2214"/>
      <c r="F296" s="2214"/>
      <c r="G296" s="2214"/>
      <c r="H296" s="2214"/>
      <c r="M296" s="2210">
        <f t="shared" si="81"/>
        <v>0</v>
      </c>
      <c r="N296" s="2210">
        <f t="shared" si="82"/>
        <v>0</v>
      </c>
      <c r="O296" s="2210">
        <f t="shared" si="83"/>
        <v>0</v>
      </c>
      <c r="P296" s="2210">
        <f t="shared" si="84"/>
        <v>0</v>
      </c>
      <c r="Q296" s="2210">
        <f t="shared" si="85"/>
        <v>0</v>
      </c>
      <c r="R296" s="2210">
        <f t="shared" si="86"/>
        <v>0</v>
      </c>
      <c r="S296" s="2210">
        <f t="shared" si="87"/>
        <v>0</v>
      </c>
      <c r="V296" s="2210">
        <f t="shared" si="88"/>
        <v>0</v>
      </c>
      <c r="W296" s="2210">
        <f t="shared" si="89"/>
        <v>0</v>
      </c>
      <c r="X296" s="2210">
        <f t="shared" si="90"/>
        <v>0</v>
      </c>
      <c r="Y296" s="2210">
        <f t="shared" si="96"/>
        <v>0</v>
      </c>
      <c r="Z296" s="2210">
        <f t="shared" si="91"/>
        <v>0</v>
      </c>
      <c r="AA296" s="2210">
        <f t="shared" si="92"/>
        <v>0</v>
      </c>
      <c r="AB296" s="2210">
        <f t="shared" si="93"/>
        <v>0</v>
      </c>
      <c r="AC296" s="2210">
        <f t="shared" si="94"/>
        <v>0</v>
      </c>
      <c r="AG296" s="2210">
        <f t="shared" si="97"/>
        <v>0</v>
      </c>
      <c r="AH296" s="2210">
        <f t="shared" si="95"/>
        <v>0</v>
      </c>
    </row>
    <row r="297" spans="1:34" x14ac:dyDescent="0.4">
      <c r="A297" s="2210">
        <f t="shared" si="80"/>
        <v>295</v>
      </c>
      <c r="B297" s="2214"/>
      <c r="C297" s="2214"/>
      <c r="D297" s="2214"/>
      <c r="E297" s="2214"/>
      <c r="F297" s="2214"/>
      <c r="G297" s="2214"/>
      <c r="H297" s="2214"/>
      <c r="M297" s="2210">
        <f t="shared" si="81"/>
        <v>0</v>
      </c>
      <c r="N297" s="2210">
        <f t="shared" si="82"/>
        <v>0</v>
      </c>
      <c r="O297" s="2210">
        <f t="shared" si="83"/>
        <v>0</v>
      </c>
      <c r="P297" s="2210">
        <f t="shared" si="84"/>
        <v>0</v>
      </c>
      <c r="Q297" s="2210">
        <f t="shared" si="85"/>
        <v>0</v>
      </c>
      <c r="R297" s="2210">
        <f t="shared" si="86"/>
        <v>0</v>
      </c>
      <c r="S297" s="2210">
        <f t="shared" si="87"/>
        <v>0</v>
      </c>
      <c r="V297" s="2210">
        <f t="shared" si="88"/>
        <v>0</v>
      </c>
      <c r="W297" s="2210">
        <f t="shared" si="89"/>
        <v>0</v>
      </c>
      <c r="X297" s="2210">
        <f t="shared" si="90"/>
        <v>0</v>
      </c>
      <c r="Y297" s="2210">
        <f t="shared" si="96"/>
        <v>0</v>
      </c>
      <c r="Z297" s="2210">
        <f t="shared" si="91"/>
        <v>0</v>
      </c>
      <c r="AA297" s="2210">
        <f t="shared" si="92"/>
        <v>0</v>
      </c>
      <c r="AB297" s="2210">
        <f t="shared" si="93"/>
        <v>0</v>
      </c>
      <c r="AC297" s="2210">
        <f t="shared" si="94"/>
        <v>0</v>
      </c>
      <c r="AG297" s="2210">
        <f t="shared" si="97"/>
        <v>0</v>
      </c>
      <c r="AH297" s="2210">
        <f t="shared" si="95"/>
        <v>0</v>
      </c>
    </row>
    <row r="298" spans="1:34" x14ac:dyDescent="0.4">
      <c r="A298" s="2210">
        <f t="shared" si="80"/>
        <v>296</v>
      </c>
      <c r="B298" s="2214"/>
      <c r="C298" s="2214"/>
      <c r="D298" s="2214"/>
      <c r="E298" s="2214"/>
      <c r="F298" s="2214"/>
      <c r="G298" s="2214"/>
      <c r="H298" s="2214"/>
      <c r="M298" s="2210">
        <f t="shared" si="81"/>
        <v>0</v>
      </c>
      <c r="N298" s="2210">
        <f t="shared" si="82"/>
        <v>0</v>
      </c>
      <c r="O298" s="2210">
        <f t="shared" si="83"/>
        <v>0</v>
      </c>
      <c r="P298" s="2210">
        <f t="shared" si="84"/>
        <v>0</v>
      </c>
      <c r="Q298" s="2210">
        <f t="shared" si="85"/>
        <v>0</v>
      </c>
      <c r="R298" s="2210">
        <f t="shared" si="86"/>
        <v>0</v>
      </c>
      <c r="S298" s="2210">
        <f t="shared" si="87"/>
        <v>0</v>
      </c>
      <c r="V298" s="2210">
        <f t="shared" si="88"/>
        <v>0</v>
      </c>
      <c r="W298" s="2210">
        <f t="shared" si="89"/>
        <v>0</v>
      </c>
      <c r="X298" s="2210">
        <f t="shared" si="90"/>
        <v>0</v>
      </c>
      <c r="Y298" s="2210">
        <f t="shared" si="96"/>
        <v>0</v>
      </c>
      <c r="Z298" s="2210">
        <f t="shared" si="91"/>
        <v>0</v>
      </c>
      <c r="AA298" s="2210">
        <f t="shared" si="92"/>
        <v>0</v>
      </c>
      <c r="AB298" s="2210">
        <f t="shared" si="93"/>
        <v>0</v>
      </c>
      <c r="AC298" s="2210">
        <f t="shared" si="94"/>
        <v>0</v>
      </c>
      <c r="AG298" s="2210">
        <f t="shared" si="97"/>
        <v>0</v>
      </c>
      <c r="AH298" s="2210">
        <f t="shared" si="95"/>
        <v>0</v>
      </c>
    </row>
    <row r="299" spans="1:34" x14ac:dyDescent="0.4">
      <c r="A299" s="2210">
        <f t="shared" si="80"/>
        <v>297</v>
      </c>
      <c r="B299" s="2214"/>
      <c r="C299" s="2214"/>
      <c r="D299" s="2214"/>
      <c r="E299" s="2214"/>
      <c r="F299" s="2214"/>
      <c r="G299" s="2214"/>
      <c r="H299" s="2214"/>
      <c r="M299" s="2210">
        <f t="shared" si="81"/>
        <v>0</v>
      </c>
      <c r="N299" s="2210">
        <f t="shared" si="82"/>
        <v>0</v>
      </c>
      <c r="O299" s="2210">
        <f t="shared" si="83"/>
        <v>0</v>
      </c>
      <c r="P299" s="2210">
        <f t="shared" si="84"/>
        <v>0</v>
      </c>
      <c r="Q299" s="2210">
        <f t="shared" si="85"/>
        <v>0</v>
      </c>
      <c r="R299" s="2210">
        <f t="shared" si="86"/>
        <v>0</v>
      </c>
      <c r="S299" s="2210">
        <f t="shared" si="87"/>
        <v>0</v>
      </c>
      <c r="V299" s="2210">
        <f t="shared" si="88"/>
        <v>0</v>
      </c>
      <c r="W299" s="2210">
        <f t="shared" si="89"/>
        <v>0</v>
      </c>
      <c r="X299" s="2210">
        <f t="shared" si="90"/>
        <v>0</v>
      </c>
      <c r="Y299" s="2210">
        <f t="shared" si="96"/>
        <v>0</v>
      </c>
      <c r="Z299" s="2210">
        <f t="shared" si="91"/>
        <v>0</v>
      </c>
      <c r="AA299" s="2210">
        <f t="shared" si="92"/>
        <v>0</v>
      </c>
      <c r="AB299" s="2210">
        <f t="shared" si="93"/>
        <v>0</v>
      </c>
      <c r="AC299" s="2210">
        <f t="shared" si="94"/>
        <v>0</v>
      </c>
      <c r="AG299" s="2210">
        <f t="shared" si="97"/>
        <v>0</v>
      </c>
      <c r="AH299" s="2210">
        <f t="shared" si="95"/>
        <v>0</v>
      </c>
    </row>
    <row r="300" spans="1:34" x14ac:dyDescent="0.4">
      <c r="A300" s="2210">
        <f t="shared" si="80"/>
        <v>298</v>
      </c>
      <c r="B300" s="2214"/>
      <c r="C300" s="2214"/>
      <c r="D300" s="2214"/>
      <c r="E300" s="2214"/>
      <c r="F300" s="2214"/>
      <c r="G300" s="2214"/>
      <c r="H300" s="2214"/>
      <c r="M300" s="2210">
        <f t="shared" si="81"/>
        <v>0</v>
      </c>
      <c r="N300" s="2210">
        <f t="shared" si="82"/>
        <v>0</v>
      </c>
      <c r="O300" s="2210">
        <f t="shared" si="83"/>
        <v>0</v>
      </c>
      <c r="P300" s="2210">
        <f t="shared" si="84"/>
        <v>0</v>
      </c>
      <c r="Q300" s="2210">
        <f t="shared" si="85"/>
        <v>0</v>
      </c>
      <c r="R300" s="2210">
        <f t="shared" si="86"/>
        <v>0</v>
      </c>
      <c r="S300" s="2210">
        <f t="shared" si="87"/>
        <v>0</v>
      </c>
      <c r="V300" s="2210">
        <f t="shared" si="88"/>
        <v>0</v>
      </c>
      <c r="W300" s="2210">
        <f t="shared" si="89"/>
        <v>0</v>
      </c>
      <c r="X300" s="2210">
        <f t="shared" si="90"/>
        <v>0</v>
      </c>
      <c r="Y300" s="2210">
        <f t="shared" si="96"/>
        <v>0</v>
      </c>
      <c r="Z300" s="2210">
        <f t="shared" si="91"/>
        <v>0</v>
      </c>
      <c r="AA300" s="2210">
        <f t="shared" si="92"/>
        <v>0</v>
      </c>
      <c r="AB300" s="2210">
        <f t="shared" si="93"/>
        <v>0</v>
      </c>
      <c r="AC300" s="2210">
        <f t="shared" si="94"/>
        <v>0</v>
      </c>
      <c r="AG300" s="2210">
        <f t="shared" si="97"/>
        <v>0</v>
      </c>
      <c r="AH300" s="2210">
        <f t="shared" si="95"/>
        <v>0</v>
      </c>
    </row>
    <row r="301" spans="1:34" x14ac:dyDescent="0.4">
      <c r="A301" s="2210">
        <f t="shared" si="80"/>
        <v>299</v>
      </c>
      <c r="B301" s="2214"/>
      <c r="C301" s="2214"/>
      <c r="D301" s="2214"/>
      <c r="E301" s="2214"/>
      <c r="F301" s="2214"/>
      <c r="G301" s="2214"/>
      <c r="H301" s="2214"/>
      <c r="M301" s="2210">
        <f t="shared" si="81"/>
        <v>0</v>
      </c>
      <c r="N301" s="2210">
        <f t="shared" si="82"/>
        <v>0</v>
      </c>
      <c r="O301" s="2210">
        <f t="shared" si="83"/>
        <v>0</v>
      </c>
      <c r="P301" s="2210">
        <f t="shared" si="84"/>
        <v>0</v>
      </c>
      <c r="Q301" s="2210">
        <f t="shared" si="85"/>
        <v>0</v>
      </c>
      <c r="R301" s="2210">
        <f t="shared" si="86"/>
        <v>0</v>
      </c>
      <c r="S301" s="2210">
        <f t="shared" si="87"/>
        <v>0</v>
      </c>
      <c r="V301" s="2210">
        <f t="shared" si="88"/>
        <v>0</v>
      </c>
      <c r="W301" s="2210">
        <f t="shared" si="89"/>
        <v>0</v>
      </c>
      <c r="X301" s="2210">
        <f t="shared" si="90"/>
        <v>0</v>
      </c>
      <c r="Y301" s="2210">
        <f t="shared" si="96"/>
        <v>0</v>
      </c>
      <c r="Z301" s="2210">
        <f t="shared" si="91"/>
        <v>0</v>
      </c>
      <c r="AA301" s="2210">
        <f t="shared" si="92"/>
        <v>0</v>
      </c>
      <c r="AB301" s="2210">
        <f t="shared" si="93"/>
        <v>0</v>
      </c>
      <c r="AC301" s="2210">
        <f t="shared" si="94"/>
        <v>0</v>
      </c>
      <c r="AG301" s="2210">
        <f t="shared" si="97"/>
        <v>0</v>
      </c>
      <c r="AH301" s="2210">
        <f t="shared" si="95"/>
        <v>0</v>
      </c>
    </row>
    <row r="302" spans="1:34" x14ac:dyDescent="0.4">
      <c r="A302" s="2210">
        <f t="shared" si="80"/>
        <v>300</v>
      </c>
      <c r="B302" s="2214"/>
      <c r="C302" s="2214"/>
      <c r="D302" s="2214"/>
      <c r="E302" s="2214"/>
      <c r="F302" s="2214"/>
      <c r="G302" s="2214"/>
      <c r="H302" s="2214"/>
      <c r="M302" s="2210">
        <f t="shared" si="81"/>
        <v>0</v>
      </c>
      <c r="N302" s="2210">
        <f t="shared" si="82"/>
        <v>0</v>
      </c>
      <c r="O302" s="2210">
        <f t="shared" si="83"/>
        <v>0</v>
      </c>
      <c r="P302" s="2210">
        <f t="shared" si="84"/>
        <v>0</v>
      </c>
      <c r="Q302" s="2210">
        <f t="shared" si="85"/>
        <v>0</v>
      </c>
      <c r="R302" s="2210">
        <f t="shared" si="86"/>
        <v>0</v>
      </c>
      <c r="S302" s="2210">
        <f t="shared" si="87"/>
        <v>0</v>
      </c>
      <c r="V302" s="2210">
        <f t="shared" si="88"/>
        <v>0</v>
      </c>
      <c r="W302" s="2210">
        <f t="shared" si="89"/>
        <v>0</v>
      </c>
      <c r="X302" s="2210">
        <f t="shared" si="90"/>
        <v>0</v>
      </c>
      <c r="Y302" s="2210">
        <f t="shared" si="96"/>
        <v>0</v>
      </c>
      <c r="Z302" s="2210">
        <f t="shared" si="91"/>
        <v>0</v>
      </c>
      <c r="AA302" s="2210">
        <f t="shared" si="92"/>
        <v>0</v>
      </c>
      <c r="AB302" s="2210">
        <f t="shared" si="93"/>
        <v>0</v>
      </c>
      <c r="AC302" s="2210">
        <f t="shared" si="94"/>
        <v>0</v>
      </c>
      <c r="AG302" s="2210">
        <f t="shared" si="97"/>
        <v>0</v>
      </c>
      <c r="AH302" s="2210">
        <f t="shared" si="95"/>
        <v>0</v>
      </c>
    </row>
    <row r="303" spans="1:34" x14ac:dyDescent="0.4">
      <c r="A303" s="2210">
        <f t="shared" si="80"/>
        <v>301</v>
      </c>
      <c r="B303" s="2214"/>
      <c r="C303" s="2214"/>
      <c r="D303" s="2214"/>
      <c r="E303" s="2214"/>
      <c r="F303" s="2214"/>
      <c r="G303" s="2214"/>
      <c r="H303" s="2214"/>
      <c r="M303" s="2210">
        <f t="shared" si="81"/>
        <v>0</v>
      </c>
      <c r="N303" s="2210">
        <f t="shared" si="82"/>
        <v>0</v>
      </c>
      <c r="O303" s="2210">
        <f t="shared" si="83"/>
        <v>0</v>
      </c>
      <c r="P303" s="2210">
        <f t="shared" si="84"/>
        <v>0</v>
      </c>
      <c r="Q303" s="2210">
        <f t="shared" si="85"/>
        <v>0</v>
      </c>
      <c r="R303" s="2210">
        <f t="shared" si="86"/>
        <v>0</v>
      </c>
      <c r="S303" s="2210">
        <f t="shared" si="87"/>
        <v>0</v>
      </c>
      <c r="V303" s="2210">
        <f t="shared" si="88"/>
        <v>0</v>
      </c>
      <c r="W303" s="2210">
        <f t="shared" si="89"/>
        <v>0</v>
      </c>
      <c r="X303" s="2210">
        <f t="shared" si="90"/>
        <v>0</v>
      </c>
      <c r="Y303" s="2210">
        <f t="shared" si="96"/>
        <v>0</v>
      </c>
      <c r="Z303" s="2210">
        <f t="shared" si="91"/>
        <v>0</v>
      </c>
      <c r="AA303" s="2210">
        <f t="shared" si="92"/>
        <v>0</v>
      </c>
      <c r="AB303" s="2210">
        <f t="shared" si="93"/>
        <v>0</v>
      </c>
      <c r="AC303" s="2210">
        <f t="shared" si="94"/>
        <v>0</v>
      </c>
      <c r="AG303" s="2210">
        <f t="shared" si="97"/>
        <v>0</v>
      </c>
      <c r="AH303" s="2210">
        <f t="shared" si="95"/>
        <v>0</v>
      </c>
    </row>
    <row r="304" spans="1:34" x14ac:dyDescent="0.4">
      <c r="A304" s="2210">
        <f t="shared" si="80"/>
        <v>302</v>
      </c>
      <c r="B304" s="2214"/>
      <c r="C304" s="2214"/>
      <c r="D304" s="2214"/>
      <c r="E304" s="2214"/>
      <c r="F304" s="2214"/>
      <c r="G304" s="2214"/>
      <c r="H304" s="2214"/>
      <c r="M304" s="2210">
        <f t="shared" si="81"/>
        <v>0</v>
      </c>
      <c r="N304" s="2210">
        <f t="shared" si="82"/>
        <v>0</v>
      </c>
      <c r="O304" s="2210">
        <f t="shared" si="83"/>
        <v>0</v>
      </c>
      <c r="P304" s="2210">
        <f t="shared" si="84"/>
        <v>0</v>
      </c>
      <c r="Q304" s="2210">
        <f t="shared" si="85"/>
        <v>0</v>
      </c>
      <c r="R304" s="2210">
        <f t="shared" si="86"/>
        <v>0</v>
      </c>
      <c r="S304" s="2210">
        <f t="shared" si="87"/>
        <v>0</v>
      </c>
      <c r="V304" s="2210">
        <f t="shared" si="88"/>
        <v>0</v>
      </c>
      <c r="W304" s="2210">
        <f t="shared" si="89"/>
        <v>0</v>
      </c>
      <c r="X304" s="2210">
        <f t="shared" si="90"/>
        <v>0</v>
      </c>
      <c r="Y304" s="2210">
        <f t="shared" si="96"/>
        <v>0</v>
      </c>
      <c r="Z304" s="2210">
        <f t="shared" si="91"/>
        <v>0</v>
      </c>
      <c r="AA304" s="2210">
        <f t="shared" si="92"/>
        <v>0</v>
      </c>
      <c r="AB304" s="2210">
        <f t="shared" si="93"/>
        <v>0</v>
      </c>
      <c r="AC304" s="2210">
        <f t="shared" si="94"/>
        <v>0</v>
      </c>
      <c r="AG304" s="2210">
        <f t="shared" si="97"/>
        <v>0</v>
      </c>
      <c r="AH304" s="2210">
        <f t="shared" si="95"/>
        <v>0</v>
      </c>
    </row>
    <row r="305" spans="1:34" x14ac:dyDescent="0.4">
      <c r="A305" s="2210">
        <f t="shared" ref="A305:A368" si="98">A304+1</f>
        <v>303</v>
      </c>
      <c r="B305" s="2214"/>
      <c r="C305" s="2214"/>
      <c r="D305" s="2214"/>
      <c r="E305" s="2214"/>
      <c r="F305" s="2214"/>
      <c r="G305" s="2214"/>
      <c r="H305" s="2214"/>
      <c r="M305" s="2210">
        <f t="shared" si="81"/>
        <v>0</v>
      </c>
      <c r="N305" s="2210">
        <f t="shared" si="82"/>
        <v>0</v>
      </c>
      <c r="O305" s="2210">
        <f t="shared" si="83"/>
        <v>0</v>
      </c>
      <c r="P305" s="2210">
        <f t="shared" si="84"/>
        <v>0</v>
      </c>
      <c r="Q305" s="2210">
        <f t="shared" si="85"/>
        <v>0</v>
      </c>
      <c r="R305" s="2210">
        <f t="shared" si="86"/>
        <v>0</v>
      </c>
      <c r="S305" s="2210">
        <f t="shared" si="87"/>
        <v>0</v>
      </c>
      <c r="V305" s="2210">
        <f t="shared" si="88"/>
        <v>0</v>
      </c>
      <c r="W305" s="2210">
        <f t="shared" si="89"/>
        <v>0</v>
      </c>
      <c r="X305" s="2210">
        <f t="shared" si="90"/>
        <v>0</v>
      </c>
      <c r="Y305" s="2210">
        <f t="shared" si="96"/>
        <v>0</v>
      </c>
      <c r="Z305" s="2210">
        <f t="shared" si="91"/>
        <v>0</v>
      </c>
      <c r="AA305" s="2210">
        <f t="shared" si="92"/>
        <v>0</v>
      </c>
      <c r="AB305" s="2210">
        <f t="shared" si="93"/>
        <v>0</v>
      </c>
      <c r="AC305" s="2210">
        <f t="shared" si="94"/>
        <v>0</v>
      </c>
      <c r="AG305" s="2210">
        <f t="shared" si="97"/>
        <v>0</v>
      </c>
      <c r="AH305" s="2210">
        <f t="shared" si="95"/>
        <v>0</v>
      </c>
    </row>
    <row r="306" spans="1:34" x14ac:dyDescent="0.4">
      <c r="A306" s="2210">
        <f t="shared" si="98"/>
        <v>304</v>
      </c>
      <c r="B306" s="2214"/>
      <c r="C306" s="2214"/>
      <c r="D306" s="2214"/>
      <c r="E306" s="2214"/>
      <c r="F306" s="2214"/>
      <c r="G306" s="2214"/>
      <c r="H306" s="2214"/>
      <c r="M306" s="2210">
        <f t="shared" si="81"/>
        <v>0</v>
      </c>
      <c r="N306" s="2210">
        <f t="shared" si="82"/>
        <v>0</v>
      </c>
      <c r="O306" s="2210">
        <f t="shared" si="83"/>
        <v>0</v>
      </c>
      <c r="P306" s="2210">
        <f t="shared" si="84"/>
        <v>0</v>
      </c>
      <c r="Q306" s="2210">
        <f t="shared" si="85"/>
        <v>0</v>
      </c>
      <c r="R306" s="2210">
        <f t="shared" si="86"/>
        <v>0</v>
      </c>
      <c r="S306" s="2210">
        <f t="shared" si="87"/>
        <v>0</v>
      </c>
      <c r="V306" s="2210">
        <f t="shared" si="88"/>
        <v>0</v>
      </c>
      <c r="W306" s="2210">
        <f t="shared" si="89"/>
        <v>0</v>
      </c>
      <c r="X306" s="2210">
        <f t="shared" si="90"/>
        <v>0</v>
      </c>
      <c r="Y306" s="2210">
        <f t="shared" si="96"/>
        <v>0</v>
      </c>
      <c r="Z306" s="2210">
        <f t="shared" si="91"/>
        <v>0</v>
      </c>
      <c r="AA306" s="2210">
        <f t="shared" si="92"/>
        <v>0</v>
      </c>
      <c r="AB306" s="2210">
        <f t="shared" si="93"/>
        <v>0</v>
      </c>
      <c r="AC306" s="2210">
        <f t="shared" si="94"/>
        <v>0</v>
      </c>
      <c r="AG306" s="2210">
        <f t="shared" si="97"/>
        <v>0</v>
      </c>
      <c r="AH306" s="2210">
        <f t="shared" si="95"/>
        <v>0</v>
      </c>
    </row>
    <row r="307" spans="1:34" x14ac:dyDescent="0.4">
      <c r="A307" s="2210">
        <f t="shared" si="98"/>
        <v>305</v>
      </c>
      <c r="B307" s="2214"/>
      <c r="C307" s="2214"/>
      <c r="D307" s="2214"/>
      <c r="E307" s="2214"/>
      <c r="F307" s="2214"/>
      <c r="G307" s="2214"/>
      <c r="H307" s="2214"/>
      <c r="M307" s="2210">
        <f t="shared" si="81"/>
        <v>0</v>
      </c>
      <c r="N307" s="2210">
        <f t="shared" si="82"/>
        <v>0</v>
      </c>
      <c r="O307" s="2210">
        <f t="shared" si="83"/>
        <v>0</v>
      </c>
      <c r="P307" s="2210">
        <f t="shared" si="84"/>
        <v>0</v>
      </c>
      <c r="Q307" s="2210">
        <f t="shared" si="85"/>
        <v>0</v>
      </c>
      <c r="R307" s="2210">
        <f t="shared" si="86"/>
        <v>0</v>
      </c>
      <c r="S307" s="2210">
        <f t="shared" si="87"/>
        <v>0</v>
      </c>
      <c r="V307" s="2210">
        <f t="shared" si="88"/>
        <v>0</v>
      </c>
      <c r="W307" s="2210">
        <f t="shared" si="89"/>
        <v>0</v>
      </c>
      <c r="X307" s="2210">
        <f t="shared" si="90"/>
        <v>0</v>
      </c>
      <c r="Y307" s="2210">
        <f t="shared" si="96"/>
        <v>0</v>
      </c>
      <c r="Z307" s="2210">
        <f t="shared" si="91"/>
        <v>0</v>
      </c>
      <c r="AA307" s="2210">
        <f t="shared" si="92"/>
        <v>0</v>
      </c>
      <c r="AB307" s="2210">
        <f t="shared" si="93"/>
        <v>0</v>
      </c>
      <c r="AC307" s="2210">
        <f t="shared" si="94"/>
        <v>0</v>
      </c>
      <c r="AG307" s="2210">
        <f t="shared" si="97"/>
        <v>0</v>
      </c>
      <c r="AH307" s="2210">
        <f t="shared" si="95"/>
        <v>0</v>
      </c>
    </row>
    <row r="308" spans="1:34" x14ac:dyDescent="0.4">
      <c r="A308" s="2210">
        <f t="shared" si="98"/>
        <v>306</v>
      </c>
      <c r="B308" s="2214"/>
      <c r="C308" s="2214"/>
      <c r="D308" s="2214"/>
      <c r="E308" s="2214"/>
      <c r="F308" s="2214"/>
      <c r="G308" s="2214"/>
      <c r="H308" s="2214"/>
      <c r="M308" s="2210">
        <f t="shared" si="81"/>
        <v>0</v>
      </c>
      <c r="N308" s="2210">
        <f t="shared" si="82"/>
        <v>0</v>
      </c>
      <c r="O308" s="2210">
        <f t="shared" si="83"/>
        <v>0</v>
      </c>
      <c r="P308" s="2210">
        <f t="shared" si="84"/>
        <v>0</v>
      </c>
      <c r="Q308" s="2210">
        <f t="shared" si="85"/>
        <v>0</v>
      </c>
      <c r="R308" s="2210">
        <f t="shared" si="86"/>
        <v>0</v>
      </c>
      <c r="S308" s="2210">
        <f t="shared" si="87"/>
        <v>0</v>
      </c>
      <c r="V308" s="2210">
        <f t="shared" si="88"/>
        <v>0</v>
      </c>
      <c r="W308" s="2210">
        <f t="shared" si="89"/>
        <v>0</v>
      </c>
      <c r="X308" s="2210">
        <f t="shared" si="90"/>
        <v>0</v>
      </c>
      <c r="Y308" s="2210">
        <f t="shared" si="96"/>
        <v>0</v>
      </c>
      <c r="Z308" s="2210">
        <f t="shared" si="91"/>
        <v>0</v>
      </c>
      <c r="AA308" s="2210">
        <f t="shared" si="92"/>
        <v>0</v>
      </c>
      <c r="AB308" s="2210">
        <f t="shared" si="93"/>
        <v>0</v>
      </c>
      <c r="AC308" s="2210">
        <f t="shared" si="94"/>
        <v>0</v>
      </c>
      <c r="AG308" s="2210">
        <f t="shared" si="97"/>
        <v>0</v>
      </c>
      <c r="AH308" s="2210">
        <f t="shared" si="95"/>
        <v>0</v>
      </c>
    </row>
    <row r="309" spans="1:34" x14ac:dyDescent="0.4">
      <c r="A309" s="2210">
        <f t="shared" si="98"/>
        <v>307</v>
      </c>
      <c r="B309" s="2214"/>
      <c r="C309" s="2214"/>
      <c r="D309" s="2214"/>
      <c r="E309" s="2214"/>
      <c r="F309" s="2214"/>
      <c r="G309" s="2214"/>
      <c r="H309" s="2214"/>
      <c r="M309" s="2210">
        <f t="shared" si="81"/>
        <v>0</v>
      </c>
      <c r="N309" s="2210">
        <f t="shared" si="82"/>
        <v>0</v>
      </c>
      <c r="O309" s="2210">
        <f t="shared" si="83"/>
        <v>0</v>
      </c>
      <c r="P309" s="2210">
        <f t="shared" si="84"/>
        <v>0</v>
      </c>
      <c r="Q309" s="2210">
        <f t="shared" si="85"/>
        <v>0</v>
      </c>
      <c r="R309" s="2210">
        <f t="shared" si="86"/>
        <v>0</v>
      </c>
      <c r="S309" s="2210">
        <f t="shared" si="87"/>
        <v>0</v>
      </c>
      <c r="V309" s="2210">
        <f t="shared" si="88"/>
        <v>0</v>
      </c>
      <c r="W309" s="2210">
        <f t="shared" si="89"/>
        <v>0</v>
      </c>
      <c r="X309" s="2210">
        <f t="shared" si="90"/>
        <v>0</v>
      </c>
      <c r="Y309" s="2210">
        <f t="shared" si="96"/>
        <v>0</v>
      </c>
      <c r="Z309" s="2210">
        <f t="shared" si="91"/>
        <v>0</v>
      </c>
      <c r="AA309" s="2210">
        <f t="shared" si="92"/>
        <v>0</v>
      </c>
      <c r="AB309" s="2210">
        <f t="shared" si="93"/>
        <v>0</v>
      </c>
      <c r="AC309" s="2210">
        <f t="shared" si="94"/>
        <v>0</v>
      </c>
      <c r="AG309" s="2210">
        <f t="shared" si="97"/>
        <v>0</v>
      </c>
      <c r="AH309" s="2210">
        <f t="shared" si="95"/>
        <v>0</v>
      </c>
    </row>
    <row r="310" spans="1:34" x14ac:dyDescent="0.4">
      <c r="A310" s="2210">
        <f t="shared" si="98"/>
        <v>308</v>
      </c>
      <c r="B310" s="2214"/>
      <c r="C310" s="2214"/>
      <c r="D310" s="2214"/>
      <c r="E310" s="2214"/>
      <c r="F310" s="2214"/>
      <c r="G310" s="2214"/>
      <c r="H310" s="2214"/>
      <c r="M310" s="2210">
        <f t="shared" si="81"/>
        <v>0</v>
      </c>
      <c r="N310" s="2210">
        <f t="shared" si="82"/>
        <v>0</v>
      </c>
      <c r="O310" s="2210">
        <f t="shared" si="83"/>
        <v>0</v>
      </c>
      <c r="P310" s="2210">
        <f t="shared" si="84"/>
        <v>0</v>
      </c>
      <c r="Q310" s="2210">
        <f t="shared" si="85"/>
        <v>0</v>
      </c>
      <c r="R310" s="2210">
        <f t="shared" si="86"/>
        <v>0</v>
      </c>
      <c r="S310" s="2210">
        <f t="shared" si="87"/>
        <v>0</v>
      </c>
      <c r="V310" s="2210">
        <f t="shared" si="88"/>
        <v>0</v>
      </c>
      <c r="W310" s="2210">
        <f t="shared" si="89"/>
        <v>0</v>
      </c>
      <c r="X310" s="2210">
        <f t="shared" si="90"/>
        <v>0</v>
      </c>
      <c r="Y310" s="2210">
        <f t="shared" si="96"/>
        <v>0</v>
      </c>
      <c r="Z310" s="2210">
        <f t="shared" si="91"/>
        <v>0</v>
      </c>
      <c r="AA310" s="2210">
        <f t="shared" si="92"/>
        <v>0</v>
      </c>
      <c r="AB310" s="2210">
        <f t="shared" si="93"/>
        <v>0</v>
      </c>
      <c r="AC310" s="2210">
        <f t="shared" si="94"/>
        <v>0</v>
      </c>
      <c r="AG310" s="2210">
        <f t="shared" si="97"/>
        <v>0</v>
      </c>
      <c r="AH310" s="2210">
        <f t="shared" si="95"/>
        <v>0</v>
      </c>
    </row>
    <row r="311" spans="1:34" x14ac:dyDescent="0.4">
      <c r="A311" s="2210">
        <f t="shared" si="98"/>
        <v>309</v>
      </c>
      <c r="B311" s="2214"/>
      <c r="C311" s="2214"/>
      <c r="D311" s="2214"/>
      <c r="E311" s="2214"/>
      <c r="F311" s="2214"/>
      <c r="G311" s="2214"/>
      <c r="H311" s="2214"/>
      <c r="M311" s="2210">
        <f t="shared" si="81"/>
        <v>0</v>
      </c>
      <c r="N311" s="2210">
        <f t="shared" si="82"/>
        <v>0</v>
      </c>
      <c r="O311" s="2210">
        <f t="shared" si="83"/>
        <v>0</v>
      </c>
      <c r="P311" s="2210">
        <f t="shared" si="84"/>
        <v>0</v>
      </c>
      <c r="Q311" s="2210">
        <f t="shared" si="85"/>
        <v>0</v>
      </c>
      <c r="R311" s="2210">
        <f t="shared" si="86"/>
        <v>0</v>
      </c>
      <c r="S311" s="2210">
        <f t="shared" si="87"/>
        <v>0</v>
      </c>
      <c r="V311" s="2210">
        <f t="shared" si="88"/>
        <v>0</v>
      </c>
      <c r="W311" s="2210">
        <f t="shared" si="89"/>
        <v>0</v>
      </c>
      <c r="X311" s="2210">
        <f t="shared" si="90"/>
        <v>0</v>
      </c>
      <c r="Y311" s="2210">
        <f t="shared" si="96"/>
        <v>0</v>
      </c>
      <c r="Z311" s="2210">
        <f t="shared" si="91"/>
        <v>0</v>
      </c>
      <c r="AA311" s="2210">
        <f t="shared" si="92"/>
        <v>0</v>
      </c>
      <c r="AB311" s="2210">
        <f t="shared" si="93"/>
        <v>0</v>
      </c>
      <c r="AC311" s="2210">
        <f t="shared" si="94"/>
        <v>0</v>
      </c>
      <c r="AG311" s="2210">
        <f t="shared" si="97"/>
        <v>0</v>
      </c>
      <c r="AH311" s="2210">
        <f t="shared" si="95"/>
        <v>0</v>
      </c>
    </row>
    <row r="312" spans="1:34" x14ac:dyDescent="0.4">
      <c r="A312" s="2210">
        <f t="shared" si="98"/>
        <v>310</v>
      </c>
      <c r="B312" s="2214"/>
      <c r="C312" s="2214"/>
      <c r="D312" s="2214"/>
      <c r="E312" s="2214"/>
      <c r="F312" s="2214"/>
      <c r="G312" s="2214"/>
      <c r="H312" s="2214"/>
      <c r="M312" s="2210">
        <f t="shared" si="81"/>
        <v>0</v>
      </c>
      <c r="N312" s="2210">
        <f t="shared" si="82"/>
        <v>0</v>
      </c>
      <c r="O312" s="2210">
        <f t="shared" si="83"/>
        <v>0</v>
      </c>
      <c r="P312" s="2210">
        <f t="shared" si="84"/>
        <v>0</v>
      </c>
      <c r="Q312" s="2210">
        <f t="shared" si="85"/>
        <v>0</v>
      </c>
      <c r="R312" s="2210">
        <f t="shared" si="86"/>
        <v>0</v>
      </c>
      <c r="S312" s="2210">
        <f t="shared" si="87"/>
        <v>0</v>
      </c>
      <c r="V312" s="2210">
        <f t="shared" si="88"/>
        <v>0</v>
      </c>
      <c r="W312" s="2210">
        <f t="shared" si="89"/>
        <v>0</v>
      </c>
      <c r="X312" s="2210">
        <f t="shared" si="90"/>
        <v>0</v>
      </c>
      <c r="Y312" s="2210">
        <f t="shared" si="96"/>
        <v>0</v>
      </c>
      <c r="Z312" s="2210">
        <f t="shared" si="91"/>
        <v>0</v>
      </c>
      <c r="AA312" s="2210">
        <f t="shared" si="92"/>
        <v>0</v>
      </c>
      <c r="AB312" s="2210">
        <f t="shared" si="93"/>
        <v>0</v>
      </c>
      <c r="AC312" s="2210">
        <f t="shared" si="94"/>
        <v>0</v>
      </c>
      <c r="AG312" s="2210">
        <f t="shared" si="97"/>
        <v>0</v>
      </c>
      <c r="AH312" s="2210">
        <f t="shared" si="95"/>
        <v>0</v>
      </c>
    </row>
    <row r="313" spans="1:34" x14ac:dyDescent="0.4">
      <c r="A313" s="2210">
        <f t="shared" si="98"/>
        <v>311</v>
      </c>
      <c r="B313" s="2214"/>
      <c r="C313" s="2214"/>
      <c r="D313" s="2214"/>
      <c r="E313" s="2214"/>
      <c r="F313" s="2214"/>
      <c r="G313" s="2214"/>
      <c r="H313" s="2214"/>
      <c r="M313" s="2210">
        <f t="shared" si="81"/>
        <v>0</v>
      </c>
      <c r="N313" s="2210">
        <f t="shared" si="82"/>
        <v>0</v>
      </c>
      <c r="O313" s="2210">
        <f t="shared" si="83"/>
        <v>0</v>
      </c>
      <c r="P313" s="2210">
        <f t="shared" si="84"/>
        <v>0</v>
      </c>
      <c r="Q313" s="2210">
        <f t="shared" si="85"/>
        <v>0</v>
      </c>
      <c r="R313" s="2210">
        <f t="shared" si="86"/>
        <v>0</v>
      </c>
      <c r="S313" s="2210">
        <f t="shared" si="87"/>
        <v>0</v>
      </c>
      <c r="V313" s="2210">
        <f t="shared" si="88"/>
        <v>0</v>
      </c>
      <c r="W313" s="2210">
        <f t="shared" si="89"/>
        <v>0</v>
      </c>
      <c r="X313" s="2210">
        <f t="shared" si="90"/>
        <v>0</v>
      </c>
      <c r="Y313" s="2210">
        <f t="shared" si="96"/>
        <v>0</v>
      </c>
      <c r="Z313" s="2210">
        <f t="shared" si="91"/>
        <v>0</v>
      </c>
      <c r="AA313" s="2210">
        <f t="shared" si="92"/>
        <v>0</v>
      </c>
      <c r="AB313" s="2210">
        <f t="shared" si="93"/>
        <v>0</v>
      </c>
      <c r="AC313" s="2210">
        <f t="shared" si="94"/>
        <v>0</v>
      </c>
      <c r="AG313" s="2210">
        <f t="shared" si="97"/>
        <v>0</v>
      </c>
      <c r="AH313" s="2210">
        <f t="shared" si="95"/>
        <v>0</v>
      </c>
    </row>
    <row r="314" spans="1:34" x14ac:dyDescent="0.4">
      <c r="A314" s="2210">
        <f t="shared" si="98"/>
        <v>312</v>
      </c>
      <c r="B314" s="2214"/>
      <c r="C314" s="2214"/>
      <c r="D314" s="2214"/>
      <c r="E314" s="2214"/>
      <c r="F314" s="2214"/>
      <c r="G314" s="2214"/>
      <c r="H314" s="2214"/>
      <c r="M314" s="2210">
        <f t="shared" si="81"/>
        <v>0</v>
      </c>
      <c r="N314" s="2210">
        <f t="shared" si="82"/>
        <v>0</v>
      </c>
      <c r="O314" s="2210">
        <f t="shared" si="83"/>
        <v>0</v>
      </c>
      <c r="P314" s="2210">
        <f t="shared" si="84"/>
        <v>0</v>
      </c>
      <c r="Q314" s="2210">
        <f t="shared" si="85"/>
        <v>0</v>
      </c>
      <c r="R314" s="2210">
        <f t="shared" si="86"/>
        <v>0</v>
      </c>
      <c r="S314" s="2210">
        <f t="shared" si="87"/>
        <v>0</v>
      </c>
      <c r="V314" s="2210">
        <f t="shared" si="88"/>
        <v>0</v>
      </c>
      <c r="W314" s="2210">
        <f t="shared" si="89"/>
        <v>0</v>
      </c>
      <c r="X314" s="2210">
        <f t="shared" si="90"/>
        <v>0</v>
      </c>
      <c r="Y314" s="2210">
        <f t="shared" si="96"/>
        <v>0</v>
      </c>
      <c r="Z314" s="2210">
        <f t="shared" si="91"/>
        <v>0</v>
      </c>
      <c r="AA314" s="2210">
        <f t="shared" si="92"/>
        <v>0</v>
      </c>
      <c r="AB314" s="2210">
        <f t="shared" si="93"/>
        <v>0</v>
      </c>
      <c r="AC314" s="2210">
        <f t="shared" si="94"/>
        <v>0</v>
      </c>
      <c r="AG314" s="2210">
        <f t="shared" si="97"/>
        <v>0</v>
      </c>
      <c r="AH314" s="2210">
        <f t="shared" si="95"/>
        <v>0</v>
      </c>
    </row>
    <row r="315" spans="1:34" x14ac:dyDescent="0.4">
      <c r="A315" s="2210">
        <f t="shared" si="98"/>
        <v>313</v>
      </c>
      <c r="B315" s="2214"/>
      <c r="C315" s="2214"/>
      <c r="D315" s="2214"/>
      <c r="E315" s="2214"/>
      <c r="F315" s="2214"/>
      <c r="G315" s="2214"/>
      <c r="H315" s="2214"/>
      <c r="M315" s="2210">
        <f t="shared" si="81"/>
        <v>0</v>
      </c>
      <c r="N315" s="2210">
        <f t="shared" si="82"/>
        <v>0</v>
      </c>
      <c r="O315" s="2210">
        <f t="shared" si="83"/>
        <v>0</v>
      </c>
      <c r="P315" s="2210">
        <f t="shared" si="84"/>
        <v>0</v>
      </c>
      <c r="Q315" s="2210">
        <f t="shared" si="85"/>
        <v>0</v>
      </c>
      <c r="R315" s="2210">
        <f t="shared" si="86"/>
        <v>0</v>
      </c>
      <c r="S315" s="2210">
        <f t="shared" si="87"/>
        <v>0</v>
      </c>
      <c r="V315" s="2210">
        <f t="shared" si="88"/>
        <v>0</v>
      </c>
      <c r="W315" s="2210">
        <f t="shared" si="89"/>
        <v>0</v>
      </c>
      <c r="X315" s="2210">
        <f t="shared" si="90"/>
        <v>0</v>
      </c>
      <c r="Y315" s="2210">
        <f t="shared" si="96"/>
        <v>0</v>
      </c>
      <c r="Z315" s="2210">
        <f t="shared" si="91"/>
        <v>0</v>
      </c>
      <c r="AA315" s="2210">
        <f t="shared" si="92"/>
        <v>0</v>
      </c>
      <c r="AB315" s="2210">
        <f t="shared" si="93"/>
        <v>0</v>
      </c>
      <c r="AC315" s="2210">
        <f t="shared" si="94"/>
        <v>0</v>
      </c>
      <c r="AG315" s="2210">
        <f t="shared" si="97"/>
        <v>0</v>
      </c>
      <c r="AH315" s="2210">
        <f t="shared" si="95"/>
        <v>0</v>
      </c>
    </row>
    <row r="316" spans="1:34" x14ac:dyDescent="0.4">
      <c r="A316" s="2210">
        <f t="shared" si="98"/>
        <v>314</v>
      </c>
      <c r="B316" s="2214"/>
      <c r="C316" s="2214"/>
      <c r="D316" s="2214"/>
      <c r="E316" s="2214"/>
      <c r="F316" s="2214"/>
      <c r="G316" s="2214"/>
      <c r="H316" s="2214"/>
      <c r="M316" s="2210">
        <f t="shared" si="81"/>
        <v>0</v>
      </c>
      <c r="N316" s="2210">
        <f t="shared" si="82"/>
        <v>0</v>
      </c>
      <c r="O316" s="2210">
        <f t="shared" si="83"/>
        <v>0</v>
      </c>
      <c r="P316" s="2210">
        <f t="shared" si="84"/>
        <v>0</v>
      </c>
      <c r="Q316" s="2210">
        <f t="shared" si="85"/>
        <v>0</v>
      </c>
      <c r="R316" s="2210">
        <f t="shared" si="86"/>
        <v>0</v>
      </c>
      <c r="S316" s="2210">
        <f t="shared" si="87"/>
        <v>0</v>
      </c>
      <c r="V316" s="2210">
        <f t="shared" si="88"/>
        <v>0</v>
      </c>
      <c r="W316" s="2210">
        <f t="shared" si="89"/>
        <v>0</v>
      </c>
      <c r="X316" s="2210">
        <f t="shared" si="90"/>
        <v>0</v>
      </c>
      <c r="Y316" s="2210">
        <f t="shared" si="96"/>
        <v>0</v>
      </c>
      <c r="Z316" s="2210">
        <f t="shared" si="91"/>
        <v>0</v>
      </c>
      <c r="AA316" s="2210">
        <f t="shared" si="92"/>
        <v>0</v>
      </c>
      <c r="AB316" s="2210">
        <f t="shared" si="93"/>
        <v>0</v>
      </c>
      <c r="AC316" s="2210">
        <f t="shared" si="94"/>
        <v>0</v>
      </c>
      <c r="AG316" s="2210">
        <f t="shared" si="97"/>
        <v>0</v>
      </c>
      <c r="AH316" s="2210">
        <f t="shared" si="95"/>
        <v>0</v>
      </c>
    </row>
    <row r="317" spans="1:34" x14ac:dyDescent="0.4">
      <c r="A317" s="2210">
        <f t="shared" si="98"/>
        <v>315</v>
      </c>
      <c r="B317" s="2214"/>
      <c r="C317" s="2214"/>
      <c r="D317" s="2214"/>
      <c r="E317" s="2214"/>
      <c r="F317" s="2214"/>
      <c r="G317" s="2214"/>
      <c r="H317" s="2214"/>
      <c r="M317" s="2210">
        <f t="shared" si="81"/>
        <v>0</v>
      </c>
      <c r="N317" s="2210">
        <f t="shared" si="82"/>
        <v>0</v>
      </c>
      <c r="O317" s="2210">
        <f t="shared" si="83"/>
        <v>0</v>
      </c>
      <c r="P317" s="2210">
        <f t="shared" si="84"/>
        <v>0</v>
      </c>
      <c r="Q317" s="2210">
        <f t="shared" si="85"/>
        <v>0</v>
      </c>
      <c r="R317" s="2210">
        <f t="shared" si="86"/>
        <v>0</v>
      </c>
      <c r="S317" s="2210">
        <f t="shared" si="87"/>
        <v>0</v>
      </c>
      <c r="V317" s="2210">
        <f t="shared" si="88"/>
        <v>0</v>
      </c>
      <c r="W317" s="2210">
        <f t="shared" si="89"/>
        <v>0</v>
      </c>
      <c r="X317" s="2210">
        <f t="shared" si="90"/>
        <v>0</v>
      </c>
      <c r="Y317" s="2210">
        <f t="shared" si="96"/>
        <v>0</v>
      </c>
      <c r="Z317" s="2210">
        <f t="shared" si="91"/>
        <v>0</v>
      </c>
      <c r="AA317" s="2210">
        <f t="shared" si="92"/>
        <v>0</v>
      </c>
      <c r="AB317" s="2210">
        <f t="shared" si="93"/>
        <v>0</v>
      </c>
      <c r="AC317" s="2210">
        <f t="shared" si="94"/>
        <v>0</v>
      </c>
      <c r="AG317" s="2210">
        <f t="shared" si="97"/>
        <v>0</v>
      </c>
      <c r="AH317" s="2210">
        <f t="shared" si="95"/>
        <v>0</v>
      </c>
    </row>
    <row r="318" spans="1:34" x14ac:dyDescent="0.4">
      <c r="A318" s="2210">
        <f t="shared" si="98"/>
        <v>316</v>
      </c>
      <c r="B318" s="2214"/>
      <c r="C318" s="2214"/>
      <c r="D318" s="2214"/>
      <c r="E318" s="2214"/>
      <c r="F318" s="2214"/>
      <c r="G318" s="2214"/>
      <c r="H318" s="2214"/>
      <c r="M318" s="2210">
        <f t="shared" si="81"/>
        <v>0</v>
      </c>
      <c r="N318" s="2210">
        <f t="shared" si="82"/>
        <v>0</v>
      </c>
      <c r="O318" s="2210">
        <f t="shared" si="83"/>
        <v>0</v>
      </c>
      <c r="P318" s="2210">
        <f t="shared" si="84"/>
        <v>0</v>
      </c>
      <c r="Q318" s="2210">
        <f t="shared" si="85"/>
        <v>0</v>
      </c>
      <c r="R318" s="2210">
        <f t="shared" si="86"/>
        <v>0</v>
      </c>
      <c r="S318" s="2210">
        <f t="shared" si="87"/>
        <v>0</v>
      </c>
      <c r="V318" s="2210">
        <f t="shared" si="88"/>
        <v>0</v>
      </c>
      <c r="W318" s="2210">
        <f t="shared" si="89"/>
        <v>0</v>
      </c>
      <c r="X318" s="2210">
        <f t="shared" si="90"/>
        <v>0</v>
      </c>
      <c r="Y318" s="2210">
        <f t="shared" si="96"/>
        <v>0</v>
      </c>
      <c r="Z318" s="2210">
        <f t="shared" si="91"/>
        <v>0</v>
      </c>
      <c r="AA318" s="2210">
        <f t="shared" si="92"/>
        <v>0</v>
      </c>
      <c r="AB318" s="2210">
        <f t="shared" si="93"/>
        <v>0</v>
      </c>
      <c r="AC318" s="2210">
        <f t="shared" si="94"/>
        <v>0</v>
      </c>
      <c r="AG318" s="2210">
        <f t="shared" si="97"/>
        <v>0</v>
      </c>
      <c r="AH318" s="2210">
        <f t="shared" si="95"/>
        <v>0</v>
      </c>
    </row>
    <row r="319" spans="1:34" x14ac:dyDescent="0.4">
      <c r="A319" s="2210">
        <f t="shared" si="98"/>
        <v>317</v>
      </c>
      <c r="B319" s="2214"/>
      <c r="C319" s="2214"/>
      <c r="D319" s="2214"/>
      <c r="E319" s="2214"/>
      <c r="F319" s="2214"/>
      <c r="G319" s="2214"/>
      <c r="H319" s="2214"/>
      <c r="M319" s="2210">
        <f t="shared" si="81"/>
        <v>0</v>
      </c>
      <c r="N319" s="2210">
        <f t="shared" si="82"/>
        <v>0</v>
      </c>
      <c r="O319" s="2210">
        <f t="shared" si="83"/>
        <v>0</v>
      </c>
      <c r="P319" s="2210">
        <f t="shared" si="84"/>
        <v>0</v>
      </c>
      <c r="Q319" s="2210">
        <f t="shared" si="85"/>
        <v>0</v>
      </c>
      <c r="R319" s="2210">
        <f t="shared" si="86"/>
        <v>0</v>
      </c>
      <c r="S319" s="2210">
        <f t="shared" si="87"/>
        <v>0</v>
      </c>
      <c r="V319" s="2210">
        <f t="shared" si="88"/>
        <v>0</v>
      </c>
      <c r="W319" s="2210">
        <f t="shared" si="89"/>
        <v>0</v>
      </c>
      <c r="X319" s="2210">
        <f t="shared" si="90"/>
        <v>0</v>
      </c>
      <c r="Y319" s="2210">
        <f t="shared" si="96"/>
        <v>0</v>
      </c>
      <c r="Z319" s="2210">
        <f t="shared" si="91"/>
        <v>0</v>
      </c>
      <c r="AA319" s="2210">
        <f t="shared" si="92"/>
        <v>0</v>
      </c>
      <c r="AB319" s="2210">
        <f t="shared" si="93"/>
        <v>0</v>
      </c>
      <c r="AC319" s="2210">
        <f t="shared" si="94"/>
        <v>0</v>
      </c>
      <c r="AG319" s="2210">
        <f t="shared" si="97"/>
        <v>0</v>
      </c>
      <c r="AH319" s="2210">
        <f t="shared" si="95"/>
        <v>0</v>
      </c>
    </row>
    <row r="320" spans="1:34" x14ac:dyDescent="0.4">
      <c r="A320" s="2210">
        <f t="shared" si="98"/>
        <v>318</v>
      </c>
      <c r="B320" s="2214"/>
      <c r="C320" s="2214"/>
      <c r="D320" s="2214"/>
      <c r="E320" s="2214"/>
      <c r="F320" s="2214"/>
      <c r="G320" s="2214"/>
      <c r="H320" s="2214"/>
      <c r="M320" s="2210">
        <f t="shared" si="81"/>
        <v>0</v>
      </c>
      <c r="N320" s="2210">
        <f t="shared" si="82"/>
        <v>0</v>
      </c>
      <c r="O320" s="2210">
        <f t="shared" si="83"/>
        <v>0</v>
      </c>
      <c r="P320" s="2210">
        <f t="shared" si="84"/>
        <v>0</v>
      </c>
      <c r="Q320" s="2210">
        <f t="shared" si="85"/>
        <v>0</v>
      </c>
      <c r="R320" s="2210">
        <f t="shared" si="86"/>
        <v>0</v>
      </c>
      <c r="S320" s="2210">
        <f t="shared" si="87"/>
        <v>0</v>
      </c>
      <c r="V320" s="2210">
        <f t="shared" si="88"/>
        <v>0</v>
      </c>
      <c r="W320" s="2210">
        <f t="shared" si="89"/>
        <v>0</v>
      </c>
      <c r="X320" s="2210">
        <f t="shared" si="90"/>
        <v>0</v>
      </c>
      <c r="Y320" s="2210">
        <f t="shared" si="96"/>
        <v>0</v>
      </c>
      <c r="Z320" s="2210">
        <f t="shared" si="91"/>
        <v>0</v>
      </c>
      <c r="AA320" s="2210">
        <f t="shared" si="92"/>
        <v>0</v>
      </c>
      <c r="AB320" s="2210">
        <f t="shared" si="93"/>
        <v>0</v>
      </c>
      <c r="AC320" s="2210">
        <f t="shared" si="94"/>
        <v>0</v>
      </c>
      <c r="AG320" s="2210">
        <f t="shared" si="97"/>
        <v>0</v>
      </c>
      <c r="AH320" s="2210">
        <f t="shared" si="95"/>
        <v>0</v>
      </c>
    </row>
    <row r="321" spans="1:34" x14ac:dyDescent="0.4">
      <c r="A321" s="2210">
        <f t="shared" si="98"/>
        <v>319</v>
      </c>
      <c r="B321" s="2214"/>
      <c r="C321" s="2214"/>
      <c r="D321" s="2214"/>
      <c r="E321" s="2214"/>
      <c r="F321" s="2214"/>
      <c r="G321" s="2214"/>
      <c r="H321" s="2214"/>
      <c r="M321" s="2210">
        <f t="shared" si="81"/>
        <v>0</v>
      </c>
      <c r="N321" s="2210">
        <f t="shared" si="82"/>
        <v>0</v>
      </c>
      <c r="O321" s="2210">
        <f t="shared" si="83"/>
        <v>0</v>
      </c>
      <c r="P321" s="2210">
        <f t="shared" si="84"/>
        <v>0</v>
      </c>
      <c r="Q321" s="2210">
        <f t="shared" si="85"/>
        <v>0</v>
      </c>
      <c r="R321" s="2210">
        <f t="shared" si="86"/>
        <v>0</v>
      </c>
      <c r="S321" s="2210">
        <f t="shared" si="87"/>
        <v>0</v>
      </c>
      <c r="V321" s="2210">
        <f t="shared" si="88"/>
        <v>0</v>
      </c>
      <c r="W321" s="2210">
        <f t="shared" si="89"/>
        <v>0</v>
      </c>
      <c r="X321" s="2210">
        <f t="shared" si="90"/>
        <v>0</v>
      </c>
      <c r="Y321" s="2210">
        <f t="shared" si="96"/>
        <v>0</v>
      </c>
      <c r="Z321" s="2210">
        <f t="shared" si="91"/>
        <v>0</v>
      </c>
      <c r="AA321" s="2210">
        <f t="shared" si="92"/>
        <v>0</v>
      </c>
      <c r="AB321" s="2210">
        <f t="shared" si="93"/>
        <v>0</v>
      </c>
      <c r="AC321" s="2210">
        <f t="shared" si="94"/>
        <v>0</v>
      </c>
      <c r="AG321" s="2210">
        <f t="shared" si="97"/>
        <v>0</v>
      </c>
      <c r="AH321" s="2210">
        <f t="shared" si="95"/>
        <v>0</v>
      </c>
    </row>
    <row r="322" spans="1:34" x14ac:dyDescent="0.4">
      <c r="A322" s="2210">
        <f t="shared" si="98"/>
        <v>320</v>
      </c>
      <c r="B322" s="2214"/>
      <c r="C322" s="2214"/>
      <c r="D322" s="2214"/>
      <c r="E322" s="2214"/>
      <c r="F322" s="2214"/>
      <c r="G322" s="2214"/>
      <c r="H322" s="2214"/>
      <c r="M322" s="2210">
        <f t="shared" si="81"/>
        <v>0</v>
      </c>
      <c r="N322" s="2210">
        <f t="shared" si="82"/>
        <v>0</v>
      </c>
      <c r="O322" s="2210">
        <f t="shared" si="83"/>
        <v>0</v>
      </c>
      <c r="P322" s="2210">
        <f t="shared" si="84"/>
        <v>0</v>
      </c>
      <c r="Q322" s="2210">
        <f t="shared" si="85"/>
        <v>0</v>
      </c>
      <c r="R322" s="2210">
        <f t="shared" si="86"/>
        <v>0</v>
      </c>
      <c r="S322" s="2210">
        <f t="shared" si="87"/>
        <v>0</v>
      </c>
      <c r="V322" s="2210">
        <f t="shared" si="88"/>
        <v>0</v>
      </c>
      <c r="W322" s="2210">
        <f t="shared" si="89"/>
        <v>0</v>
      </c>
      <c r="X322" s="2210">
        <f t="shared" si="90"/>
        <v>0</v>
      </c>
      <c r="Y322" s="2210">
        <f t="shared" si="96"/>
        <v>0</v>
      </c>
      <c r="Z322" s="2210">
        <f t="shared" si="91"/>
        <v>0</v>
      </c>
      <c r="AA322" s="2210">
        <f t="shared" si="92"/>
        <v>0</v>
      </c>
      <c r="AB322" s="2210">
        <f t="shared" si="93"/>
        <v>0</v>
      </c>
      <c r="AC322" s="2210">
        <f t="shared" si="94"/>
        <v>0</v>
      </c>
      <c r="AG322" s="2210">
        <f t="shared" si="97"/>
        <v>0</v>
      </c>
      <c r="AH322" s="2210">
        <f t="shared" si="95"/>
        <v>0</v>
      </c>
    </row>
    <row r="323" spans="1:34" x14ac:dyDescent="0.4">
      <c r="A323" s="2210">
        <f t="shared" si="98"/>
        <v>321</v>
      </c>
      <c r="B323" s="2214"/>
      <c r="C323" s="2214"/>
      <c r="D323" s="2214"/>
      <c r="E323" s="2214"/>
      <c r="F323" s="2214"/>
      <c r="G323" s="2214"/>
      <c r="H323" s="2214"/>
      <c r="M323" s="2210">
        <f t="shared" si="81"/>
        <v>0</v>
      </c>
      <c r="N323" s="2210">
        <f t="shared" si="82"/>
        <v>0</v>
      </c>
      <c r="O323" s="2210">
        <f t="shared" si="83"/>
        <v>0</v>
      </c>
      <c r="P323" s="2210">
        <f t="shared" si="84"/>
        <v>0</v>
      </c>
      <c r="Q323" s="2210">
        <f t="shared" si="85"/>
        <v>0</v>
      </c>
      <c r="R323" s="2210">
        <f t="shared" si="86"/>
        <v>0</v>
      </c>
      <c r="S323" s="2210">
        <f t="shared" si="87"/>
        <v>0</v>
      </c>
      <c r="V323" s="2210">
        <f t="shared" si="88"/>
        <v>0</v>
      </c>
      <c r="W323" s="2210">
        <f t="shared" si="89"/>
        <v>0</v>
      </c>
      <c r="X323" s="2210">
        <f t="shared" si="90"/>
        <v>0</v>
      </c>
      <c r="Y323" s="2210">
        <f t="shared" si="96"/>
        <v>0</v>
      </c>
      <c r="Z323" s="2210">
        <f t="shared" si="91"/>
        <v>0</v>
      </c>
      <c r="AA323" s="2210">
        <f t="shared" si="92"/>
        <v>0</v>
      </c>
      <c r="AB323" s="2210">
        <f t="shared" si="93"/>
        <v>0</v>
      </c>
      <c r="AC323" s="2210">
        <f t="shared" si="94"/>
        <v>0</v>
      </c>
      <c r="AG323" s="2210">
        <f t="shared" si="97"/>
        <v>0</v>
      </c>
      <c r="AH323" s="2210">
        <f t="shared" si="95"/>
        <v>0</v>
      </c>
    </row>
    <row r="324" spans="1:34" x14ac:dyDescent="0.4">
      <c r="A324" s="2210">
        <f t="shared" si="98"/>
        <v>322</v>
      </c>
      <c r="B324" s="2214"/>
      <c r="C324" s="2214"/>
      <c r="D324" s="2214"/>
      <c r="E324" s="2214"/>
      <c r="F324" s="2214"/>
      <c r="G324" s="2214"/>
      <c r="H324" s="2214"/>
      <c r="M324" s="2210">
        <f t="shared" ref="M324:M387" si="99">IF($H324="Interior Lighting",$B324,0)</f>
        <v>0</v>
      </c>
      <c r="N324" s="2210">
        <f t="shared" ref="N324:N387" si="100">IF($H324="Interior Lighting",$C324,0)</f>
        <v>0</v>
      </c>
      <c r="O324" s="2210">
        <f t="shared" ref="O324:O387" si="101">IF($H324="Interior Lighting",$D324,0)</f>
        <v>0</v>
      </c>
      <c r="P324" s="2210">
        <f t="shared" ref="P324:P387" si="102">IF($H324="Interior Lighting",$E324,0)</f>
        <v>0</v>
      </c>
      <c r="Q324" s="2210">
        <f t="shared" ref="Q324:Q387" si="103">IF($H324="Interior Lighting",$F324,0)</f>
        <v>0</v>
      </c>
      <c r="R324" s="2210">
        <f t="shared" ref="R324:R387" si="104">IF($H324="Interior Lighting",$G324,0)</f>
        <v>0</v>
      </c>
      <c r="S324" s="2210">
        <f t="shared" ref="S324:S387" si="105">IF($H324="Interior Lighting",$H324,0)</f>
        <v>0</v>
      </c>
      <c r="V324" s="2210">
        <f t="shared" ref="V324:V387" si="106">IF($H324="Exterior Lighting",$B324,0)</f>
        <v>0</v>
      </c>
      <c r="W324" s="2210">
        <f t="shared" ref="W324:W387" si="107">IF($H324="Exterior Lighting",$C324,0)</f>
        <v>0</v>
      </c>
      <c r="X324" s="2210">
        <f t="shared" ref="X324:X387" si="108">IF($H324="Exterior Lighting",$D324,0)</f>
        <v>0</v>
      </c>
      <c r="Y324" s="2210">
        <f t="shared" si="96"/>
        <v>0</v>
      </c>
      <c r="Z324" s="2210">
        <f t="shared" ref="Z324:Z387" si="109">IF($H324="Exterior Lighting",$E324,0)</f>
        <v>0</v>
      </c>
      <c r="AA324" s="2210">
        <f t="shared" ref="AA324:AA387" si="110">IF($H324="Exterior Lighting",$F324,0)</f>
        <v>0</v>
      </c>
      <c r="AB324" s="2210">
        <f t="shared" ref="AB324:AB387" si="111">IF($H324="Exterior Lighting",$G324,0)</f>
        <v>0</v>
      </c>
      <c r="AC324" s="2210">
        <f t="shared" ref="AC324:AC387" si="112">IF($H324="Exterior Lighting",$H324,0)</f>
        <v>0</v>
      </c>
      <c r="AG324" s="2210">
        <f t="shared" si="97"/>
        <v>0</v>
      </c>
      <c r="AH324" s="2210">
        <f t="shared" ref="AH324:AH387" si="113">IF(AF324=0,0,MID(AF324,SEARCH(",",AF324)+1,LEN(AF324)))</f>
        <v>0</v>
      </c>
    </row>
    <row r="325" spans="1:34" x14ac:dyDescent="0.4">
      <c r="A325" s="2210">
        <f t="shared" si="98"/>
        <v>323</v>
      </c>
      <c r="B325" s="2214"/>
      <c r="C325" s="2214"/>
      <c r="D325" s="2214"/>
      <c r="E325" s="2214"/>
      <c r="F325" s="2214"/>
      <c r="G325" s="2214"/>
      <c r="H325" s="2214"/>
      <c r="M325" s="2210">
        <f t="shared" si="99"/>
        <v>0</v>
      </c>
      <c r="N325" s="2210">
        <f t="shared" si="100"/>
        <v>0</v>
      </c>
      <c r="O325" s="2210">
        <f t="shared" si="101"/>
        <v>0</v>
      </c>
      <c r="P325" s="2210">
        <f t="shared" si="102"/>
        <v>0</v>
      </c>
      <c r="Q325" s="2210">
        <f t="shared" si="103"/>
        <v>0</v>
      </c>
      <c r="R325" s="2210">
        <f t="shared" si="104"/>
        <v>0</v>
      </c>
      <c r="S325" s="2210">
        <f t="shared" si="105"/>
        <v>0</v>
      </c>
      <c r="V325" s="2210">
        <f t="shared" si="106"/>
        <v>0</v>
      </c>
      <c r="W325" s="2210">
        <f t="shared" si="107"/>
        <v>0</v>
      </c>
      <c r="X325" s="2210">
        <f t="shared" si="108"/>
        <v>0</v>
      </c>
      <c r="Y325" s="2210">
        <f t="shared" si="96"/>
        <v>0</v>
      </c>
      <c r="Z325" s="2210">
        <f t="shared" si="109"/>
        <v>0</v>
      </c>
      <c r="AA325" s="2210">
        <f t="shared" si="110"/>
        <v>0</v>
      </c>
      <c r="AB325" s="2210">
        <f t="shared" si="111"/>
        <v>0</v>
      </c>
      <c r="AC325" s="2210">
        <f t="shared" si="112"/>
        <v>0</v>
      </c>
      <c r="AG325" s="2210">
        <f t="shared" si="97"/>
        <v>0</v>
      </c>
      <c r="AH325" s="2210">
        <f t="shared" si="113"/>
        <v>0</v>
      </c>
    </row>
    <row r="326" spans="1:34" x14ac:dyDescent="0.4">
      <c r="A326" s="2210">
        <f t="shared" si="98"/>
        <v>324</v>
      </c>
      <c r="B326" s="2214"/>
      <c r="C326" s="2214"/>
      <c r="D326" s="2214"/>
      <c r="E326" s="2214"/>
      <c r="F326" s="2214"/>
      <c r="G326" s="2214"/>
      <c r="H326" s="2214"/>
      <c r="M326" s="2210">
        <f t="shared" si="99"/>
        <v>0</v>
      </c>
      <c r="N326" s="2210">
        <f t="shared" si="100"/>
        <v>0</v>
      </c>
      <c r="O326" s="2210">
        <f t="shared" si="101"/>
        <v>0</v>
      </c>
      <c r="P326" s="2210">
        <f t="shared" si="102"/>
        <v>0</v>
      </c>
      <c r="Q326" s="2210">
        <f t="shared" si="103"/>
        <v>0</v>
      </c>
      <c r="R326" s="2210">
        <f t="shared" si="104"/>
        <v>0</v>
      </c>
      <c r="S326" s="2210">
        <f t="shared" si="105"/>
        <v>0</v>
      </c>
      <c r="V326" s="2210">
        <f t="shared" si="106"/>
        <v>0</v>
      </c>
      <c r="W326" s="2210">
        <f t="shared" si="107"/>
        <v>0</v>
      </c>
      <c r="X326" s="2210">
        <f t="shared" si="108"/>
        <v>0</v>
      </c>
      <c r="Y326" s="2210">
        <f t="shared" ref="Y326:Y389" si="114">IF(OR(V326=0,LEN(X326)&lt;4),0,_xlfn.CONCAT(V326,",",X326))</f>
        <v>0</v>
      </c>
      <c r="Z326" s="2210">
        <f t="shared" si="109"/>
        <v>0</v>
      </c>
      <c r="AA326" s="2210">
        <f t="shared" si="110"/>
        <v>0</v>
      </c>
      <c r="AB326" s="2210">
        <f t="shared" si="111"/>
        <v>0</v>
      </c>
      <c r="AC326" s="2210">
        <f t="shared" si="112"/>
        <v>0</v>
      </c>
      <c r="AG326" s="2210">
        <f t="shared" ref="AG326:AG389" si="115">IF(AF326=0,0,LEFT(AF326,SEARCH(",",AF326)-1))</f>
        <v>0</v>
      </c>
      <c r="AH326" s="2210">
        <f t="shared" si="113"/>
        <v>0</v>
      </c>
    </row>
    <row r="327" spans="1:34" x14ac:dyDescent="0.4">
      <c r="A327" s="2210">
        <f t="shared" si="98"/>
        <v>325</v>
      </c>
      <c r="B327" s="2214"/>
      <c r="C327" s="2214"/>
      <c r="D327" s="2214"/>
      <c r="E327" s="2214"/>
      <c r="F327" s="2214"/>
      <c r="G327" s="2214"/>
      <c r="H327" s="2214"/>
      <c r="M327" s="2210">
        <f t="shared" si="99"/>
        <v>0</v>
      </c>
      <c r="N327" s="2210">
        <f t="shared" si="100"/>
        <v>0</v>
      </c>
      <c r="O327" s="2210">
        <f t="shared" si="101"/>
        <v>0</v>
      </c>
      <c r="P327" s="2210">
        <f t="shared" si="102"/>
        <v>0</v>
      </c>
      <c r="Q327" s="2210">
        <f t="shared" si="103"/>
        <v>0</v>
      </c>
      <c r="R327" s="2210">
        <f t="shared" si="104"/>
        <v>0</v>
      </c>
      <c r="S327" s="2210">
        <f t="shared" si="105"/>
        <v>0</v>
      </c>
      <c r="V327" s="2210">
        <f t="shared" si="106"/>
        <v>0</v>
      </c>
      <c r="W327" s="2210">
        <f t="shared" si="107"/>
        <v>0</v>
      </c>
      <c r="X327" s="2210">
        <f t="shared" si="108"/>
        <v>0</v>
      </c>
      <c r="Y327" s="2210">
        <f t="shared" si="114"/>
        <v>0</v>
      </c>
      <c r="Z327" s="2210">
        <f t="shared" si="109"/>
        <v>0</v>
      </c>
      <c r="AA327" s="2210">
        <f t="shared" si="110"/>
        <v>0</v>
      </c>
      <c r="AB327" s="2210">
        <f t="shared" si="111"/>
        <v>0</v>
      </c>
      <c r="AC327" s="2210">
        <f t="shared" si="112"/>
        <v>0</v>
      </c>
      <c r="AG327" s="2210">
        <f t="shared" si="115"/>
        <v>0</v>
      </c>
      <c r="AH327" s="2210">
        <f t="shared" si="113"/>
        <v>0</v>
      </c>
    </row>
    <row r="328" spans="1:34" x14ac:dyDescent="0.4">
      <c r="A328" s="2210">
        <f t="shared" si="98"/>
        <v>326</v>
      </c>
      <c r="B328" s="2214"/>
      <c r="C328" s="2214"/>
      <c r="D328" s="2214"/>
      <c r="E328" s="2214"/>
      <c r="F328" s="2214"/>
      <c r="G328" s="2214"/>
      <c r="H328" s="2214"/>
      <c r="M328" s="2210">
        <f t="shared" si="99"/>
        <v>0</v>
      </c>
      <c r="N328" s="2210">
        <f t="shared" si="100"/>
        <v>0</v>
      </c>
      <c r="O328" s="2210">
        <f t="shared" si="101"/>
        <v>0</v>
      </c>
      <c r="P328" s="2210">
        <f t="shared" si="102"/>
        <v>0</v>
      </c>
      <c r="Q328" s="2210">
        <f t="shared" si="103"/>
        <v>0</v>
      </c>
      <c r="R328" s="2210">
        <f t="shared" si="104"/>
        <v>0</v>
      </c>
      <c r="S328" s="2210">
        <f t="shared" si="105"/>
        <v>0</v>
      </c>
      <c r="V328" s="2210">
        <f t="shared" si="106"/>
        <v>0</v>
      </c>
      <c r="W328" s="2210">
        <f t="shared" si="107"/>
        <v>0</v>
      </c>
      <c r="X328" s="2210">
        <f t="shared" si="108"/>
        <v>0</v>
      </c>
      <c r="Y328" s="2210">
        <f t="shared" si="114"/>
        <v>0</v>
      </c>
      <c r="Z328" s="2210">
        <f t="shared" si="109"/>
        <v>0</v>
      </c>
      <c r="AA328" s="2210">
        <f t="shared" si="110"/>
        <v>0</v>
      </c>
      <c r="AB328" s="2210">
        <f t="shared" si="111"/>
        <v>0</v>
      </c>
      <c r="AC328" s="2210">
        <f t="shared" si="112"/>
        <v>0</v>
      </c>
      <c r="AG328" s="2210">
        <f t="shared" si="115"/>
        <v>0</v>
      </c>
      <c r="AH328" s="2210">
        <f t="shared" si="113"/>
        <v>0</v>
      </c>
    </row>
    <row r="329" spans="1:34" x14ac:dyDescent="0.4">
      <c r="A329" s="2210">
        <f t="shared" si="98"/>
        <v>327</v>
      </c>
      <c r="B329" s="2214"/>
      <c r="C329" s="2214"/>
      <c r="D329" s="2214"/>
      <c r="E329" s="2214"/>
      <c r="F329" s="2214"/>
      <c r="G329" s="2214"/>
      <c r="H329" s="2214"/>
      <c r="M329" s="2210">
        <f t="shared" si="99"/>
        <v>0</v>
      </c>
      <c r="N329" s="2210">
        <f t="shared" si="100"/>
        <v>0</v>
      </c>
      <c r="O329" s="2210">
        <f t="shared" si="101"/>
        <v>0</v>
      </c>
      <c r="P329" s="2210">
        <f t="shared" si="102"/>
        <v>0</v>
      </c>
      <c r="Q329" s="2210">
        <f t="shared" si="103"/>
        <v>0</v>
      </c>
      <c r="R329" s="2210">
        <f t="shared" si="104"/>
        <v>0</v>
      </c>
      <c r="S329" s="2210">
        <f t="shared" si="105"/>
        <v>0</v>
      </c>
      <c r="V329" s="2210">
        <f t="shared" si="106"/>
        <v>0</v>
      </c>
      <c r="W329" s="2210">
        <f t="shared" si="107"/>
        <v>0</v>
      </c>
      <c r="X329" s="2210">
        <f t="shared" si="108"/>
        <v>0</v>
      </c>
      <c r="Y329" s="2210">
        <f t="shared" si="114"/>
        <v>0</v>
      </c>
      <c r="Z329" s="2210">
        <f t="shared" si="109"/>
        <v>0</v>
      </c>
      <c r="AA329" s="2210">
        <f t="shared" si="110"/>
        <v>0</v>
      </c>
      <c r="AB329" s="2210">
        <f t="shared" si="111"/>
        <v>0</v>
      </c>
      <c r="AC329" s="2210">
        <f t="shared" si="112"/>
        <v>0</v>
      </c>
      <c r="AG329" s="2210">
        <f t="shared" si="115"/>
        <v>0</v>
      </c>
      <c r="AH329" s="2210">
        <f t="shared" si="113"/>
        <v>0</v>
      </c>
    </row>
    <row r="330" spans="1:34" x14ac:dyDescent="0.4">
      <c r="A330" s="2210">
        <f t="shared" si="98"/>
        <v>328</v>
      </c>
      <c r="B330" s="2214"/>
      <c r="C330" s="2214"/>
      <c r="D330" s="2214"/>
      <c r="E330" s="2214"/>
      <c r="F330" s="2214"/>
      <c r="G330" s="2214"/>
      <c r="H330" s="2214"/>
      <c r="M330" s="2210">
        <f t="shared" si="99"/>
        <v>0</v>
      </c>
      <c r="N330" s="2210">
        <f t="shared" si="100"/>
        <v>0</v>
      </c>
      <c r="O330" s="2210">
        <f t="shared" si="101"/>
        <v>0</v>
      </c>
      <c r="P330" s="2210">
        <f t="shared" si="102"/>
        <v>0</v>
      </c>
      <c r="Q330" s="2210">
        <f t="shared" si="103"/>
        <v>0</v>
      </c>
      <c r="R330" s="2210">
        <f t="shared" si="104"/>
        <v>0</v>
      </c>
      <c r="S330" s="2210">
        <f t="shared" si="105"/>
        <v>0</v>
      </c>
      <c r="V330" s="2210">
        <f t="shared" si="106"/>
        <v>0</v>
      </c>
      <c r="W330" s="2210">
        <f t="shared" si="107"/>
        <v>0</v>
      </c>
      <c r="X330" s="2210">
        <f t="shared" si="108"/>
        <v>0</v>
      </c>
      <c r="Y330" s="2210">
        <f t="shared" si="114"/>
        <v>0</v>
      </c>
      <c r="Z330" s="2210">
        <f t="shared" si="109"/>
        <v>0</v>
      </c>
      <c r="AA330" s="2210">
        <f t="shared" si="110"/>
        <v>0</v>
      </c>
      <c r="AB330" s="2210">
        <f t="shared" si="111"/>
        <v>0</v>
      </c>
      <c r="AC330" s="2210">
        <f t="shared" si="112"/>
        <v>0</v>
      </c>
      <c r="AG330" s="2210">
        <f t="shared" si="115"/>
        <v>0</v>
      </c>
      <c r="AH330" s="2210">
        <f t="shared" si="113"/>
        <v>0</v>
      </c>
    </row>
    <row r="331" spans="1:34" x14ac:dyDescent="0.4">
      <c r="A331" s="2210">
        <f t="shared" si="98"/>
        <v>329</v>
      </c>
      <c r="B331" s="2214"/>
      <c r="C331" s="2214"/>
      <c r="D331" s="2214"/>
      <c r="E331" s="2214"/>
      <c r="F331" s="2214"/>
      <c r="G331" s="2214"/>
      <c r="H331" s="2214"/>
      <c r="M331" s="2210">
        <f t="shared" si="99"/>
        <v>0</v>
      </c>
      <c r="N331" s="2210">
        <f t="shared" si="100"/>
        <v>0</v>
      </c>
      <c r="O331" s="2210">
        <f t="shared" si="101"/>
        <v>0</v>
      </c>
      <c r="P331" s="2210">
        <f t="shared" si="102"/>
        <v>0</v>
      </c>
      <c r="Q331" s="2210">
        <f t="shared" si="103"/>
        <v>0</v>
      </c>
      <c r="R331" s="2210">
        <f t="shared" si="104"/>
        <v>0</v>
      </c>
      <c r="S331" s="2210">
        <f t="shared" si="105"/>
        <v>0</v>
      </c>
      <c r="V331" s="2210">
        <f t="shared" si="106"/>
        <v>0</v>
      </c>
      <c r="W331" s="2210">
        <f t="shared" si="107"/>
        <v>0</v>
      </c>
      <c r="X331" s="2210">
        <f t="shared" si="108"/>
        <v>0</v>
      </c>
      <c r="Y331" s="2210">
        <f t="shared" si="114"/>
        <v>0</v>
      </c>
      <c r="Z331" s="2210">
        <f t="shared" si="109"/>
        <v>0</v>
      </c>
      <c r="AA331" s="2210">
        <f t="shared" si="110"/>
        <v>0</v>
      </c>
      <c r="AB331" s="2210">
        <f t="shared" si="111"/>
        <v>0</v>
      </c>
      <c r="AC331" s="2210">
        <f t="shared" si="112"/>
        <v>0</v>
      </c>
      <c r="AG331" s="2210">
        <f t="shared" si="115"/>
        <v>0</v>
      </c>
      <c r="AH331" s="2210">
        <f t="shared" si="113"/>
        <v>0</v>
      </c>
    </row>
    <row r="332" spans="1:34" x14ac:dyDescent="0.4">
      <c r="A332" s="2210">
        <f t="shared" si="98"/>
        <v>330</v>
      </c>
      <c r="B332" s="2214"/>
      <c r="C332" s="2214"/>
      <c r="D332" s="2214"/>
      <c r="E332" s="2214"/>
      <c r="F332" s="2214"/>
      <c r="G332" s="2214"/>
      <c r="H332" s="2214"/>
      <c r="M332" s="2210">
        <f t="shared" si="99"/>
        <v>0</v>
      </c>
      <c r="N332" s="2210">
        <f t="shared" si="100"/>
        <v>0</v>
      </c>
      <c r="O332" s="2210">
        <f t="shared" si="101"/>
        <v>0</v>
      </c>
      <c r="P332" s="2210">
        <f t="shared" si="102"/>
        <v>0</v>
      </c>
      <c r="Q332" s="2210">
        <f t="shared" si="103"/>
        <v>0</v>
      </c>
      <c r="R332" s="2210">
        <f t="shared" si="104"/>
        <v>0</v>
      </c>
      <c r="S332" s="2210">
        <f t="shared" si="105"/>
        <v>0</v>
      </c>
      <c r="V332" s="2210">
        <f t="shared" si="106"/>
        <v>0</v>
      </c>
      <c r="W332" s="2210">
        <f t="shared" si="107"/>
        <v>0</v>
      </c>
      <c r="X332" s="2210">
        <f t="shared" si="108"/>
        <v>0</v>
      </c>
      <c r="Y332" s="2210">
        <f t="shared" si="114"/>
        <v>0</v>
      </c>
      <c r="Z332" s="2210">
        <f t="shared" si="109"/>
        <v>0</v>
      </c>
      <c r="AA332" s="2210">
        <f t="shared" si="110"/>
        <v>0</v>
      </c>
      <c r="AB332" s="2210">
        <f t="shared" si="111"/>
        <v>0</v>
      </c>
      <c r="AC332" s="2210">
        <f t="shared" si="112"/>
        <v>0</v>
      </c>
      <c r="AG332" s="2210">
        <f t="shared" si="115"/>
        <v>0</v>
      </c>
      <c r="AH332" s="2210">
        <f t="shared" si="113"/>
        <v>0</v>
      </c>
    </row>
    <row r="333" spans="1:34" x14ac:dyDescent="0.4">
      <c r="A333" s="2210">
        <f t="shared" si="98"/>
        <v>331</v>
      </c>
      <c r="B333" s="2214"/>
      <c r="C333" s="2214"/>
      <c r="D333" s="2214"/>
      <c r="E333" s="2214"/>
      <c r="F333" s="2214"/>
      <c r="G333" s="2214"/>
      <c r="H333" s="2214"/>
      <c r="M333" s="2210">
        <f t="shared" si="99"/>
        <v>0</v>
      </c>
      <c r="N333" s="2210">
        <f t="shared" si="100"/>
        <v>0</v>
      </c>
      <c r="O333" s="2210">
        <f t="shared" si="101"/>
        <v>0</v>
      </c>
      <c r="P333" s="2210">
        <f t="shared" si="102"/>
        <v>0</v>
      </c>
      <c r="Q333" s="2210">
        <f t="shared" si="103"/>
        <v>0</v>
      </c>
      <c r="R333" s="2210">
        <f t="shared" si="104"/>
        <v>0</v>
      </c>
      <c r="S333" s="2210">
        <f t="shared" si="105"/>
        <v>0</v>
      </c>
      <c r="V333" s="2210">
        <f t="shared" si="106"/>
        <v>0</v>
      </c>
      <c r="W333" s="2210">
        <f t="shared" si="107"/>
        <v>0</v>
      </c>
      <c r="X333" s="2210">
        <f t="shared" si="108"/>
        <v>0</v>
      </c>
      <c r="Y333" s="2210">
        <f t="shared" si="114"/>
        <v>0</v>
      </c>
      <c r="Z333" s="2210">
        <f t="shared" si="109"/>
        <v>0</v>
      </c>
      <c r="AA333" s="2210">
        <f t="shared" si="110"/>
        <v>0</v>
      </c>
      <c r="AB333" s="2210">
        <f t="shared" si="111"/>
        <v>0</v>
      </c>
      <c r="AC333" s="2210">
        <f t="shared" si="112"/>
        <v>0</v>
      </c>
      <c r="AG333" s="2210">
        <f t="shared" si="115"/>
        <v>0</v>
      </c>
      <c r="AH333" s="2210">
        <f t="shared" si="113"/>
        <v>0</v>
      </c>
    </row>
    <row r="334" spans="1:34" x14ac:dyDescent="0.4">
      <c r="A334" s="2210">
        <f t="shared" si="98"/>
        <v>332</v>
      </c>
      <c r="B334" s="2214"/>
      <c r="C334" s="2214"/>
      <c r="D334" s="2214"/>
      <c r="E334" s="2214"/>
      <c r="F334" s="2214"/>
      <c r="G334" s="2214"/>
      <c r="H334" s="2214"/>
      <c r="M334" s="2210">
        <f t="shared" si="99"/>
        <v>0</v>
      </c>
      <c r="N334" s="2210">
        <f t="shared" si="100"/>
        <v>0</v>
      </c>
      <c r="O334" s="2210">
        <f t="shared" si="101"/>
        <v>0</v>
      </c>
      <c r="P334" s="2210">
        <f t="shared" si="102"/>
        <v>0</v>
      </c>
      <c r="Q334" s="2210">
        <f t="shared" si="103"/>
        <v>0</v>
      </c>
      <c r="R334" s="2210">
        <f t="shared" si="104"/>
        <v>0</v>
      </c>
      <c r="S334" s="2210">
        <f t="shared" si="105"/>
        <v>0</v>
      </c>
      <c r="V334" s="2210">
        <f t="shared" si="106"/>
        <v>0</v>
      </c>
      <c r="W334" s="2210">
        <f t="shared" si="107"/>
        <v>0</v>
      </c>
      <c r="X334" s="2210">
        <f t="shared" si="108"/>
        <v>0</v>
      </c>
      <c r="Y334" s="2210">
        <f t="shared" si="114"/>
        <v>0</v>
      </c>
      <c r="Z334" s="2210">
        <f t="shared" si="109"/>
        <v>0</v>
      </c>
      <c r="AA334" s="2210">
        <f t="shared" si="110"/>
        <v>0</v>
      </c>
      <c r="AB334" s="2210">
        <f t="shared" si="111"/>
        <v>0</v>
      </c>
      <c r="AC334" s="2210">
        <f t="shared" si="112"/>
        <v>0</v>
      </c>
      <c r="AG334" s="2210">
        <f t="shared" si="115"/>
        <v>0</v>
      </c>
      <c r="AH334" s="2210">
        <f t="shared" si="113"/>
        <v>0</v>
      </c>
    </row>
    <row r="335" spans="1:34" x14ac:dyDescent="0.4">
      <c r="A335" s="2210">
        <f t="shared" si="98"/>
        <v>333</v>
      </c>
      <c r="B335" s="2214"/>
      <c r="C335" s="2214"/>
      <c r="D335" s="2214"/>
      <c r="E335" s="2214"/>
      <c r="F335" s="2214"/>
      <c r="G335" s="2214"/>
      <c r="H335" s="2214"/>
      <c r="M335" s="2210">
        <f t="shared" si="99"/>
        <v>0</v>
      </c>
      <c r="N335" s="2210">
        <f t="shared" si="100"/>
        <v>0</v>
      </c>
      <c r="O335" s="2210">
        <f t="shared" si="101"/>
        <v>0</v>
      </c>
      <c r="P335" s="2210">
        <f t="shared" si="102"/>
        <v>0</v>
      </c>
      <c r="Q335" s="2210">
        <f t="shared" si="103"/>
        <v>0</v>
      </c>
      <c r="R335" s="2210">
        <f t="shared" si="104"/>
        <v>0</v>
      </c>
      <c r="S335" s="2210">
        <f t="shared" si="105"/>
        <v>0</v>
      </c>
      <c r="V335" s="2210">
        <f t="shared" si="106"/>
        <v>0</v>
      </c>
      <c r="W335" s="2210">
        <f t="shared" si="107"/>
        <v>0</v>
      </c>
      <c r="X335" s="2210">
        <f t="shared" si="108"/>
        <v>0</v>
      </c>
      <c r="Y335" s="2210">
        <f t="shared" si="114"/>
        <v>0</v>
      </c>
      <c r="Z335" s="2210">
        <f t="shared" si="109"/>
        <v>0</v>
      </c>
      <c r="AA335" s="2210">
        <f t="shared" si="110"/>
        <v>0</v>
      </c>
      <c r="AB335" s="2210">
        <f t="shared" si="111"/>
        <v>0</v>
      </c>
      <c r="AC335" s="2210">
        <f t="shared" si="112"/>
        <v>0</v>
      </c>
      <c r="AG335" s="2210">
        <f t="shared" si="115"/>
        <v>0</v>
      </c>
      <c r="AH335" s="2210">
        <f t="shared" si="113"/>
        <v>0</v>
      </c>
    </row>
    <row r="336" spans="1:34" x14ac:dyDescent="0.4">
      <c r="A336" s="2210">
        <f t="shared" si="98"/>
        <v>334</v>
      </c>
      <c r="B336" s="2214"/>
      <c r="C336" s="2214"/>
      <c r="D336" s="2214"/>
      <c r="E336" s="2214"/>
      <c r="F336" s="2214"/>
      <c r="G336" s="2214"/>
      <c r="H336" s="2214"/>
      <c r="M336" s="2210">
        <f t="shared" si="99"/>
        <v>0</v>
      </c>
      <c r="N336" s="2210">
        <f t="shared" si="100"/>
        <v>0</v>
      </c>
      <c r="O336" s="2210">
        <f t="shared" si="101"/>
        <v>0</v>
      </c>
      <c r="P336" s="2210">
        <f t="shared" si="102"/>
        <v>0</v>
      </c>
      <c r="Q336" s="2210">
        <f t="shared" si="103"/>
        <v>0</v>
      </c>
      <c r="R336" s="2210">
        <f t="shared" si="104"/>
        <v>0</v>
      </c>
      <c r="S336" s="2210">
        <f t="shared" si="105"/>
        <v>0</v>
      </c>
      <c r="V336" s="2210">
        <f t="shared" si="106"/>
        <v>0</v>
      </c>
      <c r="W336" s="2210">
        <f t="shared" si="107"/>
        <v>0</v>
      </c>
      <c r="X336" s="2210">
        <f t="shared" si="108"/>
        <v>0</v>
      </c>
      <c r="Y336" s="2210">
        <f t="shared" si="114"/>
        <v>0</v>
      </c>
      <c r="Z336" s="2210">
        <f t="shared" si="109"/>
        <v>0</v>
      </c>
      <c r="AA336" s="2210">
        <f t="shared" si="110"/>
        <v>0</v>
      </c>
      <c r="AB336" s="2210">
        <f t="shared" si="111"/>
        <v>0</v>
      </c>
      <c r="AC336" s="2210">
        <f t="shared" si="112"/>
        <v>0</v>
      </c>
      <c r="AG336" s="2210">
        <f t="shared" si="115"/>
        <v>0</v>
      </c>
      <c r="AH336" s="2210">
        <f t="shared" si="113"/>
        <v>0</v>
      </c>
    </row>
    <row r="337" spans="1:34" x14ac:dyDescent="0.4">
      <c r="A337" s="2210">
        <f t="shared" si="98"/>
        <v>335</v>
      </c>
      <c r="B337" s="2214"/>
      <c r="C337" s="2214"/>
      <c r="D337" s="2214"/>
      <c r="E337" s="2214"/>
      <c r="F337" s="2214"/>
      <c r="G337" s="2214"/>
      <c r="H337" s="2214"/>
      <c r="M337" s="2210">
        <f t="shared" si="99"/>
        <v>0</v>
      </c>
      <c r="N337" s="2210">
        <f t="shared" si="100"/>
        <v>0</v>
      </c>
      <c r="O337" s="2210">
        <f t="shared" si="101"/>
        <v>0</v>
      </c>
      <c r="P337" s="2210">
        <f t="shared" si="102"/>
        <v>0</v>
      </c>
      <c r="Q337" s="2210">
        <f t="shared" si="103"/>
        <v>0</v>
      </c>
      <c r="R337" s="2210">
        <f t="shared" si="104"/>
        <v>0</v>
      </c>
      <c r="S337" s="2210">
        <f t="shared" si="105"/>
        <v>0</v>
      </c>
      <c r="V337" s="2210">
        <f t="shared" si="106"/>
        <v>0</v>
      </c>
      <c r="W337" s="2210">
        <f t="shared" si="107"/>
        <v>0</v>
      </c>
      <c r="X337" s="2210">
        <f t="shared" si="108"/>
        <v>0</v>
      </c>
      <c r="Y337" s="2210">
        <f t="shared" si="114"/>
        <v>0</v>
      </c>
      <c r="Z337" s="2210">
        <f t="shared" si="109"/>
        <v>0</v>
      </c>
      <c r="AA337" s="2210">
        <f t="shared" si="110"/>
        <v>0</v>
      </c>
      <c r="AB337" s="2210">
        <f t="shared" si="111"/>
        <v>0</v>
      </c>
      <c r="AC337" s="2210">
        <f t="shared" si="112"/>
        <v>0</v>
      </c>
      <c r="AG337" s="2210">
        <f t="shared" si="115"/>
        <v>0</v>
      </c>
      <c r="AH337" s="2210">
        <f t="shared" si="113"/>
        <v>0</v>
      </c>
    </row>
    <row r="338" spans="1:34" x14ac:dyDescent="0.4">
      <c r="A338" s="2210">
        <f t="shared" si="98"/>
        <v>336</v>
      </c>
      <c r="B338" s="2214"/>
      <c r="C338" s="2214"/>
      <c r="D338" s="2214"/>
      <c r="E338" s="2214"/>
      <c r="F338" s="2214"/>
      <c r="G338" s="2214"/>
      <c r="H338" s="2214"/>
      <c r="M338" s="2210">
        <f t="shared" si="99"/>
        <v>0</v>
      </c>
      <c r="N338" s="2210">
        <f t="shared" si="100"/>
        <v>0</v>
      </c>
      <c r="O338" s="2210">
        <f t="shared" si="101"/>
        <v>0</v>
      </c>
      <c r="P338" s="2210">
        <f t="shared" si="102"/>
        <v>0</v>
      </c>
      <c r="Q338" s="2210">
        <f t="shared" si="103"/>
        <v>0</v>
      </c>
      <c r="R338" s="2210">
        <f t="shared" si="104"/>
        <v>0</v>
      </c>
      <c r="S338" s="2210">
        <f t="shared" si="105"/>
        <v>0</v>
      </c>
      <c r="V338" s="2210">
        <f t="shared" si="106"/>
        <v>0</v>
      </c>
      <c r="W338" s="2210">
        <f t="shared" si="107"/>
        <v>0</v>
      </c>
      <c r="X338" s="2210">
        <f t="shared" si="108"/>
        <v>0</v>
      </c>
      <c r="Y338" s="2210">
        <f t="shared" si="114"/>
        <v>0</v>
      </c>
      <c r="Z338" s="2210">
        <f t="shared" si="109"/>
        <v>0</v>
      </c>
      <c r="AA338" s="2210">
        <f t="shared" si="110"/>
        <v>0</v>
      </c>
      <c r="AB338" s="2210">
        <f t="shared" si="111"/>
        <v>0</v>
      </c>
      <c r="AC338" s="2210">
        <f t="shared" si="112"/>
        <v>0</v>
      </c>
      <c r="AG338" s="2210">
        <f t="shared" si="115"/>
        <v>0</v>
      </c>
      <c r="AH338" s="2210">
        <f t="shared" si="113"/>
        <v>0</v>
      </c>
    </row>
    <row r="339" spans="1:34" x14ac:dyDescent="0.4">
      <c r="A339" s="2210">
        <f t="shared" si="98"/>
        <v>337</v>
      </c>
      <c r="B339" s="2214"/>
      <c r="C339" s="2214"/>
      <c r="D339" s="2214"/>
      <c r="E339" s="2214"/>
      <c r="F339" s="2214"/>
      <c r="G339" s="2214"/>
      <c r="H339" s="2214"/>
      <c r="M339" s="2210">
        <f t="shared" si="99"/>
        <v>0</v>
      </c>
      <c r="N339" s="2210">
        <f t="shared" si="100"/>
        <v>0</v>
      </c>
      <c r="O339" s="2210">
        <f t="shared" si="101"/>
        <v>0</v>
      </c>
      <c r="P339" s="2210">
        <f t="shared" si="102"/>
        <v>0</v>
      </c>
      <c r="Q339" s="2210">
        <f t="shared" si="103"/>
        <v>0</v>
      </c>
      <c r="R339" s="2210">
        <f t="shared" si="104"/>
        <v>0</v>
      </c>
      <c r="S339" s="2210">
        <f t="shared" si="105"/>
        <v>0</v>
      </c>
      <c r="V339" s="2210">
        <f t="shared" si="106"/>
        <v>0</v>
      </c>
      <c r="W339" s="2210">
        <f t="shared" si="107"/>
        <v>0</v>
      </c>
      <c r="X339" s="2210">
        <f t="shared" si="108"/>
        <v>0</v>
      </c>
      <c r="Y339" s="2210">
        <f t="shared" si="114"/>
        <v>0</v>
      </c>
      <c r="Z339" s="2210">
        <f t="shared" si="109"/>
        <v>0</v>
      </c>
      <c r="AA339" s="2210">
        <f t="shared" si="110"/>
        <v>0</v>
      </c>
      <c r="AB339" s="2210">
        <f t="shared" si="111"/>
        <v>0</v>
      </c>
      <c r="AC339" s="2210">
        <f t="shared" si="112"/>
        <v>0</v>
      </c>
      <c r="AG339" s="2210">
        <f t="shared" si="115"/>
        <v>0</v>
      </c>
      <c r="AH339" s="2210">
        <f t="shared" si="113"/>
        <v>0</v>
      </c>
    </row>
    <row r="340" spans="1:34" x14ac:dyDescent="0.4">
      <c r="A340" s="2210">
        <f t="shared" si="98"/>
        <v>338</v>
      </c>
      <c r="B340" s="2214"/>
      <c r="C340" s="2214"/>
      <c r="D340" s="2214"/>
      <c r="E340" s="2214"/>
      <c r="F340" s="2214"/>
      <c r="G340" s="2214"/>
      <c r="H340" s="2214"/>
      <c r="M340" s="2210">
        <f t="shared" si="99"/>
        <v>0</v>
      </c>
      <c r="N340" s="2210">
        <f t="shared" si="100"/>
        <v>0</v>
      </c>
      <c r="O340" s="2210">
        <f t="shared" si="101"/>
        <v>0</v>
      </c>
      <c r="P340" s="2210">
        <f t="shared" si="102"/>
        <v>0</v>
      </c>
      <c r="Q340" s="2210">
        <f t="shared" si="103"/>
        <v>0</v>
      </c>
      <c r="R340" s="2210">
        <f t="shared" si="104"/>
        <v>0</v>
      </c>
      <c r="S340" s="2210">
        <f t="shared" si="105"/>
        <v>0</v>
      </c>
      <c r="V340" s="2210">
        <f t="shared" si="106"/>
        <v>0</v>
      </c>
      <c r="W340" s="2210">
        <f t="shared" si="107"/>
        <v>0</v>
      </c>
      <c r="X340" s="2210">
        <f t="shared" si="108"/>
        <v>0</v>
      </c>
      <c r="Y340" s="2210">
        <f t="shared" si="114"/>
        <v>0</v>
      </c>
      <c r="Z340" s="2210">
        <f t="shared" si="109"/>
        <v>0</v>
      </c>
      <c r="AA340" s="2210">
        <f t="shared" si="110"/>
        <v>0</v>
      </c>
      <c r="AB340" s="2210">
        <f t="shared" si="111"/>
        <v>0</v>
      </c>
      <c r="AC340" s="2210">
        <f t="shared" si="112"/>
        <v>0</v>
      </c>
      <c r="AG340" s="2210">
        <f t="shared" si="115"/>
        <v>0</v>
      </c>
      <c r="AH340" s="2210">
        <f t="shared" si="113"/>
        <v>0</v>
      </c>
    </row>
    <row r="341" spans="1:34" x14ac:dyDescent="0.4">
      <c r="A341" s="2210">
        <f t="shared" si="98"/>
        <v>339</v>
      </c>
      <c r="B341" s="2214"/>
      <c r="C341" s="2214"/>
      <c r="D341" s="2214"/>
      <c r="E341" s="2214"/>
      <c r="F341" s="2214"/>
      <c r="G341" s="2214"/>
      <c r="H341" s="2214"/>
      <c r="M341" s="2210">
        <f t="shared" si="99"/>
        <v>0</v>
      </c>
      <c r="N341" s="2210">
        <f t="shared" si="100"/>
        <v>0</v>
      </c>
      <c r="O341" s="2210">
        <f t="shared" si="101"/>
        <v>0</v>
      </c>
      <c r="P341" s="2210">
        <f t="shared" si="102"/>
        <v>0</v>
      </c>
      <c r="Q341" s="2210">
        <f t="shared" si="103"/>
        <v>0</v>
      </c>
      <c r="R341" s="2210">
        <f t="shared" si="104"/>
        <v>0</v>
      </c>
      <c r="S341" s="2210">
        <f t="shared" si="105"/>
        <v>0</v>
      </c>
      <c r="V341" s="2210">
        <f t="shared" si="106"/>
        <v>0</v>
      </c>
      <c r="W341" s="2210">
        <f t="shared" si="107"/>
        <v>0</v>
      </c>
      <c r="X341" s="2210">
        <f t="shared" si="108"/>
        <v>0</v>
      </c>
      <c r="Y341" s="2210">
        <f t="shared" si="114"/>
        <v>0</v>
      </c>
      <c r="Z341" s="2210">
        <f t="shared" si="109"/>
        <v>0</v>
      </c>
      <c r="AA341" s="2210">
        <f t="shared" si="110"/>
        <v>0</v>
      </c>
      <c r="AB341" s="2210">
        <f t="shared" si="111"/>
        <v>0</v>
      </c>
      <c r="AC341" s="2210">
        <f t="shared" si="112"/>
        <v>0</v>
      </c>
      <c r="AG341" s="2210">
        <f t="shared" si="115"/>
        <v>0</v>
      </c>
      <c r="AH341" s="2210">
        <f t="shared" si="113"/>
        <v>0</v>
      </c>
    </row>
    <row r="342" spans="1:34" x14ac:dyDescent="0.4">
      <c r="A342" s="2210">
        <f t="shared" si="98"/>
        <v>340</v>
      </c>
      <c r="B342" s="2214"/>
      <c r="C342" s="2214"/>
      <c r="D342" s="2214"/>
      <c r="E342" s="2214"/>
      <c r="F342" s="2214"/>
      <c r="G342" s="2214"/>
      <c r="H342" s="2214"/>
      <c r="M342" s="2210">
        <f t="shared" si="99"/>
        <v>0</v>
      </c>
      <c r="N342" s="2210">
        <f t="shared" si="100"/>
        <v>0</v>
      </c>
      <c r="O342" s="2210">
        <f t="shared" si="101"/>
        <v>0</v>
      </c>
      <c r="P342" s="2210">
        <f t="shared" si="102"/>
        <v>0</v>
      </c>
      <c r="Q342" s="2210">
        <f t="shared" si="103"/>
        <v>0</v>
      </c>
      <c r="R342" s="2210">
        <f t="shared" si="104"/>
        <v>0</v>
      </c>
      <c r="S342" s="2210">
        <f t="shared" si="105"/>
        <v>0</v>
      </c>
      <c r="V342" s="2210">
        <f t="shared" si="106"/>
        <v>0</v>
      </c>
      <c r="W342" s="2210">
        <f t="shared" si="107"/>
        <v>0</v>
      </c>
      <c r="X342" s="2210">
        <f t="shared" si="108"/>
        <v>0</v>
      </c>
      <c r="Y342" s="2210">
        <f t="shared" si="114"/>
        <v>0</v>
      </c>
      <c r="Z342" s="2210">
        <f t="shared" si="109"/>
        <v>0</v>
      </c>
      <c r="AA342" s="2210">
        <f t="shared" si="110"/>
        <v>0</v>
      </c>
      <c r="AB342" s="2210">
        <f t="shared" si="111"/>
        <v>0</v>
      </c>
      <c r="AC342" s="2210">
        <f t="shared" si="112"/>
        <v>0</v>
      </c>
      <c r="AG342" s="2210">
        <f t="shared" si="115"/>
        <v>0</v>
      </c>
      <c r="AH342" s="2210">
        <f t="shared" si="113"/>
        <v>0</v>
      </c>
    </row>
    <row r="343" spans="1:34" x14ac:dyDescent="0.4">
      <c r="A343" s="2210">
        <f t="shared" si="98"/>
        <v>341</v>
      </c>
      <c r="B343" s="2214"/>
      <c r="C343" s="2214"/>
      <c r="D343" s="2214"/>
      <c r="E343" s="2214"/>
      <c r="F343" s="2214"/>
      <c r="G343" s="2214"/>
      <c r="H343" s="2214"/>
      <c r="M343" s="2210">
        <f t="shared" si="99"/>
        <v>0</v>
      </c>
      <c r="N343" s="2210">
        <f t="shared" si="100"/>
        <v>0</v>
      </c>
      <c r="O343" s="2210">
        <f t="shared" si="101"/>
        <v>0</v>
      </c>
      <c r="P343" s="2210">
        <f t="shared" si="102"/>
        <v>0</v>
      </c>
      <c r="Q343" s="2210">
        <f t="shared" si="103"/>
        <v>0</v>
      </c>
      <c r="R343" s="2210">
        <f t="shared" si="104"/>
        <v>0</v>
      </c>
      <c r="S343" s="2210">
        <f t="shared" si="105"/>
        <v>0</v>
      </c>
      <c r="V343" s="2210">
        <f t="shared" si="106"/>
        <v>0</v>
      </c>
      <c r="W343" s="2210">
        <f t="shared" si="107"/>
        <v>0</v>
      </c>
      <c r="X343" s="2210">
        <f t="shared" si="108"/>
        <v>0</v>
      </c>
      <c r="Y343" s="2210">
        <f t="shared" si="114"/>
        <v>0</v>
      </c>
      <c r="Z343" s="2210">
        <f t="shared" si="109"/>
        <v>0</v>
      </c>
      <c r="AA343" s="2210">
        <f t="shared" si="110"/>
        <v>0</v>
      </c>
      <c r="AB343" s="2210">
        <f t="shared" si="111"/>
        <v>0</v>
      </c>
      <c r="AC343" s="2210">
        <f t="shared" si="112"/>
        <v>0</v>
      </c>
      <c r="AG343" s="2210">
        <f t="shared" si="115"/>
        <v>0</v>
      </c>
      <c r="AH343" s="2210">
        <f t="shared" si="113"/>
        <v>0</v>
      </c>
    </row>
    <row r="344" spans="1:34" x14ac:dyDescent="0.4">
      <c r="A344" s="2210">
        <f t="shared" si="98"/>
        <v>342</v>
      </c>
      <c r="B344" s="2214"/>
      <c r="C344" s="2214"/>
      <c r="D344" s="2214"/>
      <c r="E344" s="2214"/>
      <c r="F344" s="2214"/>
      <c r="G344" s="2214"/>
      <c r="H344" s="2214"/>
      <c r="M344" s="2210">
        <f t="shared" si="99"/>
        <v>0</v>
      </c>
      <c r="N344" s="2210">
        <f t="shared" si="100"/>
        <v>0</v>
      </c>
      <c r="O344" s="2210">
        <f t="shared" si="101"/>
        <v>0</v>
      </c>
      <c r="P344" s="2210">
        <f t="shared" si="102"/>
        <v>0</v>
      </c>
      <c r="Q344" s="2210">
        <f t="shared" si="103"/>
        <v>0</v>
      </c>
      <c r="R344" s="2210">
        <f t="shared" si="104"/>
        <v>0</v>
      </c>
      <c r="S344" s="2210">
        <f t="shared" si="105"/>
        <v>0</v>
      </c>
      <c r="V344" s="2210">
        <f t="shared" si="106"/>
        <v>0</v>
      </c>
      <c r="W344" s="2210">
        <f t="shared" si="107"/>
        <v>0</v>
      </c>
      <c r="X344" s="2210">
        <f t="shared" si="108"/>
        <v>0</v>
      </c>
      <c r="Y344" s="2210">
        <f t="shared" si="114"/>
        <v>0</v>
      </c>
      <c r="Z344" s="2210">
        <f t="shared" si="109"/>
        <v>0</v>
      </c>
      <c r="AA344" s="2210">
        <f t="shared" si="110"/>
        <v>0</v>
      </c>
      <c r="AB344" s="2210">
        <f t="shared" si="111"/>
        <v>0</v>
      </c>
      <c r="AC344" s="2210">
        <f t="shared" si="112"/>
        <v>0</v>
      </c>
      <c r="AG344" s="2210">
        <f t="shared" si="115"/>
        <v>0</v>
      </c>
      <c r="AH344" s="2210">
        <f t="shared" si="113"/>
        <v>0</v>
      </c>
    </row>
    <row r="345" spans="1:34" x14ac:dyDescent="0.4">
      <c r="A345" s="2210">
        <f t="shared" si="98"/>
        <v>343</v>
      </c>
      <c r="B345" s="2214"/>
      <c r="C345" s="2214"/>
      <c r="D345" s="2214"/>
      <c r="E345" s="2214"/>
      <c r="F345" s="2214"/>
      <c r="G345" s="2214"/>
      <c r="H345" s="2214"/>
      <c r="M345" s="2210">
        <f t="shared" si="99"/>
        <v>0</v>
      </c>
      <c r="N345" s="2210">
        <f t="shared" si="100"/>
        <v>0</v>
      </c>
      <c r="O345" s="2210">
        <f t="shared" si="101"/>
        <v>0</v>
      </c>
      <c r="P345" s="2210">
        <f t="shared" si="102"/>
        <v>0</v>
      </c>
      <c r="Q345" s="2210">
        <f t="shared" si="103"/>
        <v>0</v>
      </c>
      <c r="R345" s="2210">
        <f t="shared" si="104"/>
        <v>0</v>
      </c>
      <c r="S345" s="2210">
        <f t="shared" si="105"/>
        <v>0</v>
      </c>
      <c r="V345" s="2210">
        <f t="shared" si="106"/>
        <v>0</v>
      </c>
      <c r="W345" s="2210">
        <f t="shared" si="107"/>
        <v>0</v>
      </c>
      <c r="X345" s="2210">
        <f t="shared" si="108"/>
        <v>0</v>
      </c>
      <c r="Y345" s="2210">
        <f t="shared" si="114"/>
        <v>0</v>
      </c>
      <c r="Z345" s="2210">
        <f t="shared" si="109"/>
        <v>0</v>
      </c>
      <c r="AA345" s="2210">
        <f t="shared" si="110"/>
        <v>0</v>
      </c>
      <c r="AB345" s="2210">
        <f t="shared" si="111"/>
        <v>0</v>
      </c>
      <c r="AC345" s="2210">
        <f t="shared" si="112"/>
        <v>0</v>
      </c>
      <c r="AG345" s="2210">
        <f t="shared" si="115"/>
        <v>0</v>
      </c>
      <c r="AH345" s="2210">
        <f t="shared" si="113"/>
        <v>0</v>
      </c>
    </row>
    <row r="346" spans="1:34" x14ac:dyDescent="0.4">
      <c r="A346" s="2210">
        <f t="shared" si="98"/>
        <v>344</v>
      </c>
      <c r="B346" s="2214"/>
      <c r="C346" s="2214"/>
      <c r="D346" s="2214"/>
      <c r="E346" s="2214"/>
      <c r="F346" s="2214"/>
      <c r="G346" s="2214"/>
      <c r="H346" s="2214"/>
      <c r="M346" s="2210">
        <f t="shared" si="99"/>
        <v>0</v>
      </c>
      <c r="N346" s="2210">
        <f t="shared" si="100"/>
        <v>0</v>
      </c>
      <c r="O346" s="2210">
        <f t="shared" si="101"/>
        <v>0</v>
      </c>
      <c r="P346" s="2210">
        <f t="shared" si="102"/>
        <v>0</v>
      </c>
      <c r="Q346" s="2210">
        <f t="shared" si="103"/>
        <v>0</v>
      </c>
      <c r="R346" s="2210">
        <f t="shared" si="104"/>
        <v>0</v>
      </c>
      <c r="S346" s="2210">
        <f t="shared" si="105"/>
        <v>0</v>
      </c>
      <c r="V346" s="2210">
        <f t="shared" si="106"/>
        <v>0</v>
      </c>
      <c r="W346" s="2210">
        <f t="shared" si="107"/>
        <v>0</v>
      </c>
      <c r="X346" s="2210">
        <f t="shared" si="108"/>
        <v>0</v>
      </c>
      <c r="Y346" s="2210">
        <f t="shared" si="114"/>
        <v>0</v>
      </c>
      <c r="Z346" s="2210">
        <f t="shared" si="109"/>
        <v>0</v>
      </c>
      <c r="AA346" s="2210">
        <f t="shared" si="110"/>
        <v>0</v>
      </c>
      <c r="AB346" s="2210">
        <f t="shared" si="111"/>
        <v>0</v>
      </c>
      <c r="AC346" s="2210">
        <f t="shared" si="112"/>
        <v>0</v>
      </c>
      <c r="AG346" s="2210">
        <f t="shared" si="115"/>
        <v>0</v>
      </c>
      <c r="AH346" s="2210">
        <f t="shared" si="113"/>
        <v>0</v>
      </c>
    </row>
    <row r="347" spans="1:34" x14ac:dyDescent="0.4">
      <c r="A347" s="2210">
        <f t="shared" si="98"/>
        <v>345</v>
      </c>
      <c r="B347" s="2214"/>
      <c r="C347" s="2214"/>
      <c r="D347" s="2214"/>
      <c r="E347" s="2214"/>
      <c r="F347" s="2214"/>
      <c r="G347" s="2214"/>
      <c r="H347" s="2214"/>
      <c r="M347" s="2210">
        <f t="shared" si="99"/>
        <v>0</v>
      </c>
      <c r="N347" s="2210">
        <f t="shared" si="100"/>
        <v>0</v>
      </c>
      <c r="O347" s="2210">
        <f t="shared" si="101"/>
        <v>0</v>
      </c>
      <c r="P347" s="2210">
        <f t="shared" si="102"/>
        <v>0</v>
      </c>
      <c r="Q347" s="2210">
        <f t="shared" si="103"/>
        <v>0</v>
      </c>
      <c r="R347" s="2210">
        <f t="shared" si="104"/>
        <v>0</v>
      </c>
      <c r="S347" s="2210">
        <f t="shared" si="105"/>
        <v>0</v>
      </c>
      <c r="V347" s="2210">
        <f t="shared" si="106"/>
        <v>0</v>
      </c>
      <c r="W347" s="2210">
        <f t="shared" si="107"/>
        <v>0</v>
      </c>
      <c r="X347" s="2210">
        <f t="shared" si="108"/>
        <v>0</v>
      </c>
      <c r="Y347" s="2210">
        <f t="shared" si="114"/>
        <v>0</v>
      </c>
      <c r="Z347" s="2210">
        <f t="shared" si="109"/>
        <v>0</v>
      </c>
      <c r="AA347" s="2210">
        <f t="shared" si="110"/>
        <v>0</v>
      </c>
      <c r="AB347" s="2210">
        <f t="shared" si="111"/>
        <v>0</v>
      </c>
      <c r="AC347" s="2210">
        <f t="shared" si="112"/>
        <v>0</v>
      </c>
      <c r="AG347" s="2210">
        <f t="shared" si="115"/>
        <v>0</v>
      </c>
      <c r="AH347" s="2210">
        <f t="shared" si="113"/>
        <v>0</v>
      </c>
    </row>
    <row r="348" spans="1:34" x14ac:dyDescent="0.4">
      <c r="A348" s="2210">
        <f t="shared" si="98"/>
        <v>346</v>
      </c>
      <c r="B348" s="2214"/>
      <c r="C348" s="2214"/>
      <c r="D348" s="2214"/>
      <c r="E348" s="2214"/>
      <c r="F348" s="2214"/>
      <c r="G348" s="2214"/>
      <c r="H348" s="2214"/>
      <c r="M348" s="2210">
        <f t="shared" si="99"/>
        <v>0</v>
      </c>
      <c r="N348" s="2210">
        <f t="shared" si="100"/>
        <v>0</v>
      </c>
      <c r="O348" s="2210">
        <f t="shared" si="101"/>
        <v>0</v>
      </c>
      <c r="P348" s="2210">
        <f t="shared" si="102"/>
        <v>0</v>
      </c>
      <c r="Q348" s="2210">
        <f t="shared" si="103"/>
        <v>0</v>
      </c>
      <c r="R348" s="2210">
        <f t="shared" si="104"/>
        <v>0</v>
      </c>
      <c r="S348" s="2210">
        <f t="shared" si="105"/>
        <v>0</v>
      </c>
      <c r="V348" s="2210">
        <f t="shared" si="106"/>
        <v>0</v>
      </c>
      <c r="W348" s="2210">
        <f t="shared" si="107"/>
        <v>0</v>
      </c>
      <c r="X348" s="2210">
        <f t="shared" si="108"/>
        <v>0</v>
      </c>
      <c r="Y348" s="2210">
        <f t="shared" si="114"/>
        <v>0</v>
      </c>
      <c r="Z348" s="2210">
        <f t="shared" si="109"/>
        <v>0</v>
      </c>
      <c r="AA348" s="2210">
        <f t="shared" si="110"/>
        <v>0</v>
      </c>
      <c r="AB348" s="2210">
        <f t="shared" si="111"/>
        <v>0</v>
      </c>
      <c r="AC348" s="2210">
        <f t="shared" si="112"/>
        <v>0</v>
      </c>
      <c r="AG348" s="2210">
        <f t="shared" si="115"/>
        <v>0</v>
      </c>
      <c r="AH348" s="2210">
        <f t="shared" si="113"/>
        <v>0</v>
      </c>
    </row>
    <row r="349" spans="1:34" x14ac:dyDescent="0.4">
      <c r="A349" s="2210">
        <f t="shared" si="98"/>
        <v>347</v>
      </c>
      <c r="B349" s="2214"/>
      <c r="C349" s="2214"/>
      <c r="D349" s="2214"/>
      <c r="E349" s="2214"/>
      <c r="F349" s="2214"/>
      <c r="G349" s="2214"/>
      <c r="H349" s="2214"/>
      <c r="M349" s="2210">
        <f t="shared" si="99"/>
        <v>0</v>
      </c>
      <c r="N349" s="2210">
        <f t="shared" si="100"/>
        <v>0</v>
      </c>
      <c r="O349" s="2210">
        <f t="shared" si="101"/>
        <v>0</v>
      </c>
      <c r="P349" s="2210">
        <f t="shared" si="102"/>
        <v>0</v>
      </c>
      <c r="Q349" s="2210">
        <f t="shared" si="103"/>
        <v>0</v>
      </c>
      <c r="R349" s="2210">
        <f t="shared" si="104"/>
        <v>0</v>
      </c>
      <c r="S349" s="2210">
        <f t="shared" si="105"/>
        <v>0</v>
      </c>
      <c r="V349" s="2210">
        <f t="shared" si="106"/>
        <v>0</v>
      </c>
      <c r="W349" s="2210">
        <f t="shared" si="107"/>
        <v>0</v>
      </c>
      <c r="X349" s="2210">
        <f t="shared" si="108"/>
        <v>0</v>
      </c>
      <c r="Y349" s="2210">
        <f t="shared" si="114"/>
        <v>0</v>
      </c>
      <c r="Z349" s="2210">
        <f t="shared" si="109"/>
        <v>0</v>
      </c>
      <c r="AA349" s="2210">
        <f t="shared" si="110"/>
        <v>0</v>
      </c>
      <c r="AB349" s="2210">
        <f t="shared" si="111"/>
        <v>0</v>
      </c>
      <c r="AC349" s="2210">
        <f t="shared" si="112"/>
        <v>0</v>
      </c>
      <c r="AG349" s="2210">
        <f t="shared" si="115"/>
        <v>0</v>
      </c>
      <c r="AH349" s="2210">
        <f t="shared" si="113"/>
        <v>0</v>
      </c>
    </row>
    <row r="350" spans="1:34" x14ac:dyDescent="0.4">
      <c r="A350" s="2210">
        <f t="shared" si="98"/>
        <v>348</v>
      </c>
      <c r="B350" s="2214"/>
      <c r="C350" s="2214"/>
      <c r="D350" s="2214"/>
      <c r="E350" s="2214"/>
      <c r="F350" s="2214"/>
      <c r="G350" s="2214"/>
      <c r="H350" s="2214"/>
      <c r="M350" s="2210">
        <f t="shared" si="99"/>
        <v>0</v>
      </c>
      <c r="N350" s="2210">
        <f t="shared" si="100"/>
        <v>0</v>
      </c>
      <c r="O350" s="2210">
        <f t="shared" si="101"/>
        <v>0</v>
      </c>
      <c r="P350" s="2210">
        <f t="shared" si="102"/>
        <v>0</v>
      </c>
      <c r="Q350" s="2210">
        <f t="shared" si="103"/>
        <v>0</v>
      </c>
      <c r="R350" s="2210">
        <f t="shared" si="104"/>
        <v>0</v>
      </c>
      <c r="S350" s="2210">
        <f t="shared" si="105"/>
        <v>0</v>
      </c>
      <c r="V350" s="2210">
        <f t="shared" si="106"/>
        <v>0</v>
      </c>
      <c r="W350" s="2210">
        <f t="shared" si="107"/>
        <v>0</v>
      </c>
      <c r="X350" s="2210">
        <f t="shared" si="108"/>
        <v>0</v>
      </c>
      <c r="Y350" s="2210">
        <f t="shared" si="114"/>
        <v>0</v>
      </c>
      <c r="Z350" s="2210">
        <f t="shared" si="109"/>
        <v>0</v>
      </c>
      <c r="AA350" s="2210">
        <f t="shared" si="110"/>
        <v>0</v>
      </c>
      <c r="AB350" s="2210">
        <f t="shared" si="111"/>
        <v>0</v>
      </c>
      <c r="AC350" s="2210">
        <f t="shared" si="112"/>
        <v>0</v>
      </c>
      <c r="AG350" s="2210">
        <f t="shared" si="115"/>
        <v>0</v>
      </c>
      <c r="AH350" s="2210">
        <f t="shared" si="113"/>
        <v>0</v>
      </c>
    </row>
    <row r="351" spans="1:34" x14ac:dyDescent="0.4">
      <c r="A351" s="2210">
        <f t="shared" si="98"/>
        <v>349</v>
      </c>
      <c r="B351" s="2214"/>
      <c r="C351" s="2214"/>
      <c r="D351" s="2214"/>
      <c r="E351" s="2214"/>
      <c r="F351" s="2214"/>
      <c r="G351" s="2214"/>
      <c r="H351" s="2214"/>
      <c r="M351" s="2210">
        <f t="shared" si="99"/>
        <v>0</v>
      </c>
      <c r="N351" s="2210">
        <f t="shared" si="100"/>
        <v>0</v>
      </c>
      <c r="O351" s="2210">
        <f t="shared" si="101"/>
        <v>0</v>
      </c>
      <c r="P351" s="2210">
        <f t="shared" si="102"/>
        <v>0</v>
      </c>
      <c r="Q351" s="2210">
        <f t="shared" si="103"/>
        <v>0</v>
      </c>
      <c r="R351" s="2210">
        <f t="shared" si="104"/>
        <v>0</v>
      </c>
      <c r="S351" s="2210">
        <f t="shared" si="105"/>
        <v>0</v>
      </c>
      <c r="V351" s="2210">
        <f t="shared" si="106"/>
        <v>0</v>
      </c>
      <c r="W351" s="2210">
        <f t="shared" si="107"/>
        <v>0</v>
      </c>
      <c r="X351" s="2210">
        <f t="shared" si="108"/>
        <v>0</v>
      </c>
      <c r="Y351" s="2210">
        <f t="shared" si="114"/>
        <v>0</v>
      </c>
      <c r="Z351" s="2210">
        <f t="shared" si="109"/>
        <v>0</v>
      </c>
      <c r="AA351" s="2210">
        <f t="shared" si="110"/>
        <v>0</v>
      </c>
      <c r="AB351" s="2210">
        <f t="shared" si="111"/>
        <v>0</v>
      </c>
      <c r="AC351" s="2210">
        <f t="shared" si="112"/>
        <v>0</v>
      </c>
      <c r="AG351" s="2210">
        <f t="shared" si="115"/>
        <v>0</v>
      </c>
      <c r="AH351" s="2210">
        <f t="shared" si="113"/>
        <v>0</v>
      </c>
    </row>
    <row r="352" spans="1:34" x14ac:dyDescent="0.4">
      <c r="A352" s="2210">
        <f t="shared" si="98"/>
        <v>350</v>
      </c>
      <c r="B352" s="2214"/>
      <c r="C352" s="2214"/>
      <c r="D352" s="2214"/>
      <c r="E352" s="2214"/>
      <c r="F352" s="2214"/>
      <c r="G352" s="2214"/>
      <c r="H352" s="2214"/>
      <c r="M352" s="2210">
        <f t="shared" si="99"/>
        <v>0</v>
      </c>
      <c r="N352" s="2210">
        <f t="shared" si="100"/>
        <v>0</v>
      </c>
      <c r="O352" s="2210">
        <f t="shared" si="101"/>
        <v>0</v>
      </c>
      <c r="P352" s="2210">
        <f t="shared" si="102"/>
        <v>0</v>
      </c>
      <c r="Q352" s="2210">
        <f t="shared" si="103"/>
        <v>0</v>
      </c>
      <c r="R352" s="2210">
        <f t="shared" si="104"/>
        <v>0</v>
      </c>
      <c r="S352" s="2210">
        <f t="shared" si="105"/>
        <v>0</v>
      </c>
      <c r="V352" s="2210">
        <f t="shared" si="106"/>
        <v>0</v>
      </c>
      <c r="W352" s="2210">
        <f t="shared" si="107"/>
        <v>0</v>
      </c>
      <c r="X352" s="2210">
        <f t="shared" si="108"/>
        <v>0</v>
      </c>
      <c r="Y352" s="2210">
        <f t="shared" si="114"/>
        <v>0</v>
      </c>
      <c r="Z352" s="2210">
        <f t="shared" si="109"/>
        <v>0</v>
      </c>
      <c r="AA352" s="2210">
        <f t="shared" si="110"/>
        <v>0</v>
      </c>
      <c r="AB352" s="2210">
        <f t="shared" si="111"/>
        <v>0</v>
      </c>
      <c r="AC352" s="2210">
        <f t="shared" si="112"/>
        <v>0</v>
      </c>
      <c r="AG352" s="2210">
        <f t="shared" si="115"/>
        <v>0</v>
      </c>
      <c r="AH352" s="2210">
        <f t="shared" si="113"/>
        <v>0</v>
      </c>
    </row>
    <row r="353" spans="1:34" x14ac:dyDescent="0.4">
      <c r="A353" s="2210">
        <f t="shared" si="98"/>
        <v>351</v>
      </c>
      <c r="B353" s="2214"/>
      <c r="C353" s="2214"/>
      <c r="D353" s="2214"/>
      <c r="E353" s="2214"/>
      <c r="F353" s="2214"/>
      <c r="G353" s="2214"/>
      <c r="H353" s="2214"/>
      <c r="M353" s="2210">
        <f t="shared" si="99"/>
        <v>0</v>
      </c>
      <c r="N353" s="2210">
        <f t="shared" si="100"/>
        <v>0</v>
      </c>
      <c r="O353" s="2210">
        <f t="shared" si="101"/>
        <v>0</v>
      </c>
      <c r="P353" s="2210">
        <f t="shared" si="102"/>
        <v>0</v>
      </c>
      <c r="Q353" s="2210">
        <f t="shared" si="103"/>
        <v>0</v>
      </c>
      <c r="R353" s="2210">
        <f t="shared" si="104"/>
        <v>0</v>
      </c>
      <c r="S353" s="2210">
        <f t="shared" si="105"/>
        <v>0</v>
      </c>
      <c r="V353" s="2210">
        <f t="shared" si="106"/>
        <v>0</v>
      </c>
      <c r="W353" s="2210">
        <f t="shared" si="107"/>
        <v>0</v>
      </c>
      <c r="X353" s="2210">
        <f t="shared" si="108"/>
        <v>0</v>
      </c>
      <c r="Y353" s="2210">
        <f t="shared" si="114"/>
        <v>0</v>
      </c>
      <c r="Z353" s="2210">
        <f t="shared" si="109"/>
        <v>0</v>
      </c>
      <c r="AA353" s="2210">
        <f t="shared" si="110"/>
        <v>0</v>
      </c>
      <c r="AB353" s="2210">
        <f t="shared" si="111"/>
        <v>0</v>
      </c>
      <c r="AC353" s="2210">
        <f t="shared" si="112"/>
        <v>0</v>
      </c>
      <c r="AG353" s="2210">
        <f t="shared" si="115"/>
        <v>0</v>
      </c>
      <c r="AH353" s="2210">
        <f t="shared" si="113"/>
        <v>0</v>
      </c>
    </row>
    <row r="354" spans="1:34" x14ac:dyDescent="0.4">
      <c r="A354" s="2210">
        <f t="shared" si="98"/>
        <v>352</v>
      </c>
      <c r="B354" s="2214"/>
      <c r="C354" s="2214"/>
      <c r="D354" s="2214"/>
      <c r="E354" s="2214"/>
      <c r="F354" s="2214"/>
      <c r="G354" s="2214"/>
      <c r="H354" s="2214"/>
      <c r="M354" s="2210">
        <f t="shared" si="99"/>
        <v>0</v>
      </c>
      <c r="N354" s="2210">
        <f t="shared" si="100"/>
        <v>0</v>
      </c>
      <c r="O354" s="2210">
        <f t="shared" si="101"/>
        <v>0</v>
      </c>
      <c r="P354" s="2210">
        <f t="shared" si="102"/>
        <v>0</v>
      </c>
      <c r="Q354" s="2210">
        <f t="shared" si="103"/>
        <v>0</v>
      </c>
      <c r="R354" s="2210">
        <f t="shared" si="104"/>
        <v>0</v>
      </c>
      <c r="S354" s="2210">
        <f t="shared" si="105"/>
        <v>0</v>
      </c>
      <c r="V354" s="2210">
        <f t="shared" si="106"/>
        <v>0</v>
      </c>
      <c r="W354" s="2210">
        <f t="shared" si="107"/>
        <v>0</v>
      </c>
      <c r="X354" s="2210">
        <f t="shared" si="108"/>
        <v>0</v>
      </c>
      <c r="Y354" s="2210">
        <f t="shared" si="114"/>
        <v>0</v>
      </c>
      <c r="Z354" s="2210">
        <f t="shared" si="109"/>
        <v>0</v>
      </c>
      <c r="AA354" s="2210">
        <f t="shared" si="110"/>
        <v>0</v>
      </c>
      <c r="AB354" s="2210">
        <f t="shared" si="111"/>
        <v>0</v>
      </c>
      <c r="AC354" s="2210">
        <f t="shared" si="112"/>
        <v>0</v>
      </c>
      <c r="AG354" s="2210">
        <f t="shared" si="115"/>
        <v>0</v>
      </c>
      <c r="AH354" s="2210">
        <f t="shared" si="113"/>
        <v>0</v>
      </c>
    </row>
    <row r="355" spans="1:34" x14ac:dyDescent="0.4">
      <c r="A355" s="2210">
        <f t="shared" si="98"/>
        <v>353</v>
      </c>
      <c r="B355" s="2214"/>
      <c r="C355" s="2214"/>
      <c r="D355" s="2214"/>
      <c r="E355" s="2214"/>
      <c r="F355" s="2214"/>
      <c r="G355" s="2214"/>
      <c r="H355" s="2214"/>
      <c r="M355" s="2210">
        <f t="shared" si="99"/>
        <v>0</v>
      </c>
      <c r="N355" s="2210">
        <f t="shared" si="100"/>
        <v>0</v>
      </c>
      <c r="O355" s="2210">
        <f t="shared" si="101"/>
        <v>0</v>
      </c>
      <c r="P355" s="2210">
        <f t="shared" si="102"/>
        <v>0</v>
      </c>
      <c r="Q355" s="2210">
        <f t="shared" si="103"/>
        <v>0</v>
      </c>
      <c r="R355" s="2210">
        <f t="shared" si="104"/>
        <v>0</v>
      </c>
      <c r="S355" s="2210">
        <f t="shared" si="105"/>
        <v>0</v>
      </c>
      <c r="V355" s="2210">
        <f t="shared" si="106"/>
        <v>0</v>
      </c>
      <c r="W355" s="2210">
        <f t="shared" si="107"/>
        <v>0</v>
      </c>
      <c r="X355" s="2210">
        <f t="shared" si="108"/>
        <v>0</v>
      </c>
      <c r="Y355" s="2210">
        <f t="shared" si="114"/>
        <v>0</v>
      </c>
      <c r="Z355" s="2210">
        <f t="shared" si="109"/>
        <v>0</v>
      </c>
      <c r="AA355" s="2210">
        <f t="shared" si="110"/>
        <v>0</v>
      </c>
      <c r="AB355" s="2210">
        <f t="shared" si="111"/>
        <v>0</v>
      </c>
      <c r="AC355" s="2210">
        <f t="shared" si="112"/>
        <v>0</v>
      </c>
      <c r="AG355" s="2210">
        <f t="shared" si="115"/>
        <v>0</v>
      </c>
      <c r="AH355" s="2210">
        <f t="shared" si="113"/>
        <v>0</v>
      </c>
    </row>
    <row r="356" spans="1:34" x14ac:dyDescent="0.4">
      <c r="A356" s="2210">
        <f t="shared" si="98"/>
        <v>354</v>
      </c>
      <c r="B356" s="2214"/>
      <c r="C356" s="2214"/>
      <c r="D356" s="2214"/>
      <c r="E356" s="2214"/>
      <c r="F356" s="2214"/>
      <c r="G356" s="2214"/>
      <c r="H356" s="2214"/>
      <c r="M356" s="2210">
        <f t="shared" si="99"/>
        <v>0</v>
      </c>
      <c r="N356" s="2210">
        <f t="shared" si="100"/>
        <v>0</v>
      </c>
      <c r="O356" s="2210">
        <f t="shared" si="101"/>
        <v>0</v>
      </c>
      <c r="P356" s="2210">
        <f t="shared" si="102"/>
        <v>0</v>
      </c>
      <c r="Q356" s="2210">
        <f t="shared" si="103"/>
        <v>0</v>
      </c>
      <c r="R356" s="2210">
        <f t="shared" si="104"/>
        <v>0</v>
      </c>
      <c r="S356" s="2210">
        <f t="shared" si="105"/>
        <v>0</v>
      </c>
      <c r="V356" s="2210">
        <f t="shared" si="106"/>
        <v>0</v>
      </c>
      <c r="W356" s="2210">
        <f t="shared" si="107"/>
        <v>0</v>
      </c>
      <c r="X356" s="2210">
        <f t="shared" si="108"/>
        <v>0</v>
      </c>
      <c r="Y356" s="2210">
        <f t="shared" si="114"/>
        <v>0</v>
      </c>
      <c r="Z356" s="2210">
        <f t="shared" si="109"/>
        <v>0</v>
      </c>
      <c r="AA356" s="2210">
        <f t="shared" si="110"/>
        <v>0</v>
      </c>
      <c r="AB356" s="2210">
        <f t="shared" si="111"/>
        <v>0</v>
      </c>
      <c r="AC356" s="2210">
        <f t="shared" si="112"/>
        <v>0</v>
      </c>
      <c r="AG356" s="2210">
        <f t="shared" si="115"/>
        <v>0</v>
      </c>
      <c r="AH356" s="2210">
        <f t="shared" si="113"/>
        <v>0</v>
      </c>
    </row>
    <row r="357" spans="1:34" x14ac:dyDescent="0.4">
      <c r="A357" s="2210">
        <f t="shared" si="98"/>
        <v>355</v>
      </c>
      <c r="B357" s="2214"/>
      <c r="C357" s="2214"/>
      <c r="D357" s="2214"/>
      <c r="E357" s="2214"/>
      <c r="F357" s="2214"/>
      <c r="G357" s="2214"/>
      <c r="H357" s="2214"/>
      <c r="M357" s="2210">
        <f t="shared" si="99"/>
        <v>0</v>
      </c>
      <c r="N357" s="2210">
        <f t="shared" si="100"/>
        <v>0</v>
      </c>
      <c r="O357" s="2210">
        <f t="shared" si="101"/>
        <v>0</v>
      </c>
      <c r="P357" s="2210">
        <f t="shared" si="102"/>
        <v>0</v>
      </c>
      <c r="Q357" s="2210">
        <f t="shared" si="103"/>
        <v>0</v>
      </c>
      <c r="R357" s="2210">
        <f t="shared" si="104"/>
        <v>0</v>
      </c>
      <c r="S357" s="2210">
        <f t="shared" si="105"/>
        <v>0</v>
      </c>
      <c r="V357" s="2210">
        <f t="shared" si="106"/>
        <v>0</v>
      </c>
      <c r="W357" s="2210">
        <f t="shared" si="107"/>
        <v>0</v>
      </c>
      <c r="X357" s="2210">
        <f t="shared" si="108"/>
        <v>0</v>
      </c>
      <c r="Y357" s="2210">
        <f t="shared" si="114"/>
        <v>0</v>
      </c>
      <c r="Z357" s="2210">
        <f t="shared" si="109"/>
        <v>0</v>
      </c>
      <c r="AA357" s="2210">
        <f t="shared" si="110"/>
        <v>0</v>
      </c>
      <c r="AB357" s="2210">
        <f t="shared" si="111"/>
        <v>0</v>
      </c>
      <c r="AC357" s="2210">
        <f t="shared" si="112"/>
        <v>0</v>
      </c>
      <c r="AG357" s="2210">
        <f t="shared" si="115"/>
        <v>0</v>
      </c>
      <c r="AH357" s="2210">
        <f t="shared" si="113"/>
        <v>0</v>
      </c>
    </row>
    <row r="358" spans="1:34" x14ac:dyDescent="0.4">
      <c r="A358" s="2210">
        <f t="shared" si="98"/>
        <v>356</v>
      </c>
      <c r="B358" s="2214"/>
      <c r="C358" s="2214"/>
      <c r="D358" s="2214"/>
      <c r="E358" s="2214"/>
      <c r="F358" s="2214"/>
      <c r="G358" s="2214"/>
      <c r="H358" s="2214"/>
      <c r="M358" s="2210">
        <f t="shared" si="99"/>
        <v>0</v>
      </c>
      <c r="N358" s="2210">
        <f t="shared" si="100"/>
        <v>0</v>
      </c>
      <c r="O358" s="2210">
        <f t="shared" si="101"/>
        <v>0</v>
      </c>
      <c r="P358" s="2210">
        <f t="shared" si="102"/>
        <v>0</v>
      </c>
      <c r="Q358" s="2210">
        <f t="shared" si="103"/>
        <v>0</v>
      </c>
      <c r="R358" s="2210">
        <f t="shared" si="104"/>
        <v>0</v>
      </c>
      <c r="S358" s="2210">
        <f t="shared" si="105"/>
        <v>0</v>
      </c>
      <c r="V358" s="2210">
        <f t="shared" si="106"/>
        <v>0</v>
      </c>
      <c r="W358" s="2210">
        <f t="shared" si="107"/>
        <v>0</v>
      </c>
      <c r="X358" s="2210">
        <f t="shared" si="108"/>
        <v>0</v>
      </c>
      <c r="Y358" s="2210">
        <f t="shared" si="114"/>
        <v>0</v>
      </c>
      <c r="Z358" s="2210">
        <f t="shared" si="109"/>
        <v>0</v>
      </c>
      <c r="AA358" s="2210">
        <f t="shared" si="110"/>
        <v>0</v>
      </c>
      <c r="AB358" s="2210">
        <f t="shared" si="111"/>
        <v>0</v>
      </c>
      <c r="AC358" s="2210">
        <f t="shared" si="112"/>
        <v>0</v>
      </c>
      <c r="AG358" s="2210">
        <f t="shared" si="115"/>
        <v>0</v>
      </c>
      <c r="AH358" s="2210">
        <f t="shared" si="113"/>
        <v>0</v>
      </c>
    </row>
    <row r="359" spans="1:34" x14ac:dyDescent="0.4">
      <c r="A359" s="2210">
        <f t="shared" si="98"/>
        <v>357</v>
      </c>
      <c r="B359" s="2214"/>
      <c r="C359" s="2214"/>
      <c r="D359" s="2214"/>
      <c r="E359" s="2214"/>
      <c r="F359" s="2214"/>
      <c r="G359" s="2214"/>
      <c r="H359" s="2214"/>
      <c r="M359" s="2210">
        <f t="shared" si="99"/>
        <v>0</v>
      </c>
      <c r="N359" s="2210">
        <f t="shared" si="100"/>
        <v>0</v>
      </c>
      <c r="O359" s="2210">
        <f t="shared" si="101"/>
        <v>0</v>
      </c>
      <c r="P359" s="2210">
        <f t="shared" si="102"/>
        <v>0</v>
      </c>
      <c r="Q359" s="2210">
        <f t="shared" si="103"/>
        <v>0</v>
      </c>
      <c r="R359" s="2210">
        <f t="shared" si="104"/>
        <v>0</v>
      </c>
      <c r="S359" s="2210">
        <f t="shared" si="105"/>
        <v>0</v>
      </c>
      <c r="V359" s="2210">
        <f t="shared" si="106"/>
        <v>0</v>
      </c>
      <c r="W359" s="2210">
        <f t="shared" si="107"/>
        <v>0</v>
      </c>
      <c r="X359" s="2210">
        <f t="shared" si="108"/>
        <v>0</v>
      </c>
      <c r="Y359" s="2210">
        <f t="shared" si="114"/>
        <v>0</v>
      </c>
      <c r="Z359" s="2210">
        <f t="shared" si="109"/>
        <v>0</v>
      </c>
      <c r="AA359" s="2210">
        <f t="shared" si="110"/>
        <v>0</v>
      </c>
      <c r="AB359" s="2210">
        <f t="shared" si="111"/>
        <v>0</v>
      </c>
      <c r="AC359" s="2210">
        <f t="shared" si="112"/>
        <v>0</v>
      </c>
      <c r="AG359" s="2210">
        <f t="shared" si="115"/>
        <v>0</v>
      </c>
      <c r="AH359" s="2210">
        <f t="shared" si="113"/>
        <v>0</v>
      </c>
    </row>
    <row r="360" spans="1:34" x14ac:dyDescent="0.4">
      <c r="A360" s="2210">
        <f t="shared" si="98"/>
        <v>358</v>
      </c>
      <c r="B360" s="2214"/>
      <c r="C360" s="2214"/>
      <c r="D360" s="2214"/>
      <c r="E360" s="2214"/>
      <c r="F360" s="2214"/>
      <c r="G360" s="2214"/>
      <c r="H360" s="2214"/>
      <c r="M360" s="2210">
        <f t="shared" si="99"/>
        <v>0</v>
      </c>
      <c r="N360" s="2210">
        <f t="shared" si="100"/>
        <v>0</v>
      </c>
      <c r="O360" s="2210">
        <f t="shared" si="101"/>
        <v>0</v>
      </c>
      <c r="P360" s="2210">
        <f t="shared" si="102"/>
        <v>0</v>
      </c>
      <c r="Q360" s="2210">
        <f t="shared" si="103"/>
        <v>0</v>
      </c>
      <c r="R360" s="2210">
        <f t="shared" si="104"/>
        <v>0</v>
      </c>
      <c r="S360" s="2210">
        <f t="shared" si="105"/>
        <v>0</v>
      </c>
      <c r="V360" s="2210">
        <f t="shared" si="106"/>
        <v>0</v>
      </c>
      <c r="W360" s="2210">
        <f t="shared" si="107"/>
        <v>0</v>
      </c>
      <c r="X360" s="2210">
        <f t="shared" si="108"/>
        <v>0</v>
      </c>
      <c r="Y360" s="2210">
        <f t="shared" si="114"/>
        <v>0</v>
      </c>
      <c r="Z360" s="2210">
        <f t="shared" si="109"/>
        <v>0</v>
      </c>
      <c r="AA360" s="2210">
        <f t="shared" si="110"/>
        <v>0</v>
      </c>
      <c r="AB360" s="2210">
        <f t="shared" si="111"/>
        <v>0</v>
      </c>
      <c r="AC360" s="2210">
        <f t="shared" si="112"/>
        <v>0</v>
      </c>
      <c r="AG360" s="2210">
        <f t="shared" si="115"/>
        <v>0</v>
      </c>
      <c r="AH360" s="2210">
        <f t="shared" si="113"/>
        <v>0</v>
      </c>
    </row>
    <row r="361" spans="1:34" x14ac:dyDescent="0.4">
      <c r="A361" s="2210">
        <f t="shared" si="98"/>
        <v>359</v>
      </c>
      <c r="B361" s="2214"/>
      <c r="C361" s="2214"/>
      <c r="D361" s="2214"/>
      <c r="E361" s="2214"/>
      <c r="F361" s="2214"/>
      <c r="G361" s="2214"/>
      <c r="H361" s="2214"/>
      <c r="M361" s="2210">
        <f t="shared" si="99"/>
        <v>0</v>
      </c>
      <c r="N361" s="2210">
        <f t="shared" si="100"/>
        <v>0</v>
      </c>
      <c r="O361" s="2210">
        <f t="shared" si="101"/>
        <v>0</v>
      </c>
      <c r="P361" s="2210">
        <f t="shared" si="102"/>
        <v>0</v>
      </c>
      <c r="Q361" s="2210">
        <f t="shared" si="103"/>
        <v>0</v>
      </c>
      <c r="R361" s="2210">
        <f t="shared" si="104"/>
        <v>0</v>
      </c>
      <c r="S361" s="2210">
        <f t="shared" si="105"/>
        <v>0</v>
      </c>
      <c r="V361" s="2210">
        <f t="shared" si="106"/>
        <v>0</v>
      </c>
      <c r="W361" s="2210">
        <f t="shared" si="107"/>
        <v>0</v>
      </c>
      <c r="X361" s="2210">
        <f t="shared" si="108"/>
        <v>0</v>
      </c>
      <c r="Y361" s="2210">
        <f t="shared" si="114"/>
        <v>0</v>
      </c>
      <c r="Z361" s="2210">
        <f t="shared" si="109"/>
        <v>0</v>
      </c>
      <c r="AA361" s="2210">
        <f t="shared" si="110"/>
        <v>0</v>
      </c>
      <c r="AB361" s="2210">
        <f t="shared" si="111"/>
        <v>0</v>
      </c>
      <c r="AC361" s="2210">
        <f t="shared" si="112"/>
        <v>0</v>
      </c>
      <c r="AG361" s="2210">
        <f t="shared" si="115"/>
        <v>0</v>
      </c>
      <c r="AH361" s="2210">
        <f t="shared" si="113"/>
        <v>0</v>
      </c>
    </row>
    <row r="362" spans="1:34" x14ac:dyDescent="0.4">
      <c r="A362" s="2210">
        <f t="shared" si="98"/>
        <v>360</v>
      </c>
      <c r="B362" s="2214"/>
      <c r="C362" s="2214"/>
      <c r="D362" s="2214"/>
      <c r="E362" s="2214"/>
      <c r="F362" s="2214"/>
      <c r="G362" s="2214"/>
      <c r="H362" s="2214"/>
      <c r="M362" s="2210">
        <f t="shared" si="99"/>
        <v>0</v>
      </c>
      <c r="N362" s="2210">
        <f t="shared" si="100"/>
        <v>0</v>
      </c>
      <c r="O362" s="2210">
        <f t="shared" si="101"/>
        <v>0</v>
      </c>
      <c r="P362" s="2210">
        <f t="shared" si="102"/>
        <v>0</v>
      </c>
      <c r="Q362" s="2210">
        <f t="shared" si="103"/>
        <v>0</v>
      </c>
      <c r="R362" s="2210">
        <f t="shared" si="104"/>
        <v>0</v>
      </c>
      <c r="S362" s="2210">
        <f t="shared" si="105"/>
        <v>0</v>
      </c>
      <c r="V362" s="2210">
        <f t="shared" si="106"/>
        <v>0</v>
      </c>
      <c r="W362" s="2210">
        <f t="shared" si="107"/>
        <v>0</v>
      </c>
      <c r="X362" s="2210">
        <f t="shared" si="108"/>
        <v>0</v>
      </c>
      <c r="Y362" s="2210">
        <f t="shared" si="114"/>
        <v>0</v>
      </c>
      <c r="Z362" s="2210">
        <f t="shared" si="109"/>
        <v>0</v>
      </c>
      <c r="AA362" s="2210">
        <f t="shared" si="110"/>
        <v>0</v>
      </c>
      <c r="AB362" s="2210">
        <f t="shared" si="111"/>
        <v>0</v>
      </c>
      <c r="AC362" s="2210">
        <f t="shared" si="112"/>
        <v>0</v>
      </c>
      <c r="AG362" s="2210">
        <f t="shared" si="115"/>
        <v>0</v>
      </c>
      <c r="AH362" s="2210">
        <f t="shared" si="113"/>
        <v>0</v>
      </c>
    </row>
    <row r="363" spans="1:34" x14ac:dyDescent="0.4">
      <c r="A363" s="2210">
        <f t="shared" si="98"/>
        <v>361</v>
      </c>
      <c r="B363" s="2214"/>
      <c r="C363" s="2214"/>
      <c r="D363" s="2214"/>
      <c r="E363" s="2214"/>
      <c r="F363" s="2214"/>
      <c r="G363" s="2214"/>
      <c r="H363" s="2214"/>
      <c r="M363" s="2210">
        <f t="shared" si="99"/>
        <v>0</v>
      </c>
      <c r="N363" s="2210">
        <f t="shared" si="100"/>
        <v>0</v>
      </c>
      <c r="O363" s="2210">
        <f t="shared" si="101"/>
        <v>0</v>
      </c>
      <c r="P363" s="2210">
        <f t="shared" si="102"/>
        <v>0</v>
      </c>
      <c r="Q363" s="2210">
        <f t="shared" si="103"/>
        <v>0</v>
      </c>
      <c r="R363" s="2210">
        <f t="shared" si="104"/>
        <v>0</v>
      </c>
      <c r="S363" s="2210">
        <f t="shared" si="105"/>
        <v>0</v>
      </c>
      <c r="V363" s="2210">
        <f t="shared" si="106"/>
        <v>0</v>
      </c>
      <c r="W363" s="2210">
        <f t="shared" si="107"/>
        <v>0</v>
      </c>
      <c r="X363" s="2210">
        <f t="shared" si="108"/>
        <v>0</v>
      </c>
      <c r="Y363" s="2210">
        <f t="shared" si="114"/>
        <v>0</v>
      </c>
      <c r="Z363" s="2210">
        <f t="shared" si="109"/>
        <v>0</v>
      </c>
      <c r="AA363" s="2210">
        <f t="shared" si="110"/>
        <v>0</v>
      </c>
      <c r="AB363" s="2210">
        <f t="shared" si="111"/>
        <v>0</v>
      </c>
      <c r="AC363" s="2210">
        <f t="shared" si="112"/>
        <v>0</v>
      </c>
      <c r="AG363" s="2210">
        <f t="shared" si="115"/>
        <v>0</v>
      </c>
      <c r="AH363" s="2210">
        <f t="shared" si="113"/>
        <v>0</v>
      </c>
    </row>
    <row r="364" spans="1:34" x14ac:dyDescent="0.4">
      <c r="A364" s="2210">
        <f t="shared" si="98"/>
        <v>362</v>
      </c>
      <c r="B364" s="2214"/>
      <c r="C364" s="2214"/>
      <c r="D364" s="2214"/>
      <c r="E364" s="2214"/>
      <c r="F364" s="2214"/>
      <c r="G364" s="2214"/>
      <c r="H364" s="2214"/>
      <c r="M364" s="2210">
        <f t="shared" si="99"/>
        <v>0</v>
      </c>
      <c r="N364" s="2210">
        <f t="shared" si="100"/>
        <v>0</v>
      </c>
      <c r="O364" s="2210">
        <f t="shared" si="101"/>
        <v>0</v>
      </c>
      <c r="P364" s="2210">
        <f t="shared" si="102"/>
        <v>0</v>
      </c>
      <c r="Q364" s="2210">
        <f t="shared" si="103"/>
        <v>0</v>
      </c>
      <c r="R364" s="2210">
        <f t="shared" si="104"/>
        <v>0</v>
      </c>
      <c r="S364" s="2210">
        <f t="shared" si="105"/>
        <v>0</v>
      </c>
      <c r="V364" s="2210">
        <f t="shared" si="106"/>
        <v>0</v>
      </c>
      <c r="W364" s="2210">
        <f t="shared" si="107"/>
        <v>0</v>
      </c>
      <c r="X364" s="2210">
        <f t="shared" si="108"/>
        <v>0</v>
      </c>
      <c r="Y364" s="2210">
        <f t="shared" si="114"/>
        <v>0</v>
      </c>
      <c r="Z364" s="2210">
        <f t="shared" si="109"/>
        <v>0</v>
      </c>
      <c r="AA364" s="2210">
        <f t="shared" si="110"/>
        <v>0</v>
      </c>
      <c r="AB364" s="2210">
        <f t="shared" si="111"/>
        <v>0</v>
      </c>
      <c r="AC364" s="2210">
        <f t="shared" si="112"/>
        <v>0</v>
      </c>
      <c r="AG364" s="2210">
        <f t="shared" si="115"/>
        <v>0</v>
      </c>
      <c r="AH364" s="2210">
        <f t="shared" si="113"/>
        <v>0</v>
      </c>
    </row>
    <row r="365" spans="1:34" x14ac:dyDescent="0.4">
      <c r="A365" s="2210">
        <f t="shared" si="98"/>
        <v>363</v>
      </c>
      <c r="B365" s="2214"/>
      <c r="C365" s="2214"/>
      <c r="D365" s="2214"/>
      <c r="E365" s="2214"/>
      <c r="F365" s="2214"/>
      <c r="G365" s="2214"/>
      <c r="H365" s="2214"/>
      <c r="M365" s="2210">
        <f t="shared" si="99"/>
        <v>0</v>
      </c>
      <c r="N365" s="2210">
        <f t="shared" si="100"/>
        <v>0</v>
      </c>
      <c r="O365" s="2210">
        <f t="shared" si="101"/>
        <v>0</v>
      </c>
      <c r="P365" s="2210">
        <f t="shared" si="102"/>
        <v>0</v>
      </c>
      <c r="Q365" s="2210">
        <f t="shared" si="103"/>
        <v>0</v>
      </c>
      <c r="R365" s="2210">
        <f t="shared" si="104"/>
        <v>0</v>
      </c>
      <c r="S365" s="2210">
        <f t="shared" si="105"/>
        <v>0</v>
      </c>
      <c r="V365" s="2210">
        <f t="shared" si="106"/>
        <v>0</v>
      </c>
      <c r="W365" s="2210">
        <f t="shared" si="107"/>
        <v>0</v>
      </c>
      <c r="X365" s="2210">
        <f t="shared" si="108"/>
        <v>0</v>
      </c>
      <c r="Y365" s="2210">
        <f t="shared" si="114"/>
        <v>0</v>
      </c>
      <c r="Z365" s="2210">
        <f t="shared" si="109"/>
        <v>0</v>
      </c>
      <c r="AA365" s="2210">
        <f t="shared" si="110"/>
        <v>0</v>
      </c>
      <c r="AB365" s="2210">
        <f t="shared" si="111"/>
        <v>0</v>
      </c>
      <c r="AC365" s="2210">
        <f t="shared" si="112"/>
        <v>0</v>
      </c>
      <c r="AG365" s="2210">
        <f t="shared" si="115"/>
        <v>0</v>
      </c>
      <c r="AH365" s="2210">
        <f t="shared" si="113"/>
        <v>0</v>
      </c>
    </row>
    <row r="366" spans="1:34" x14ac:dyDescent="0.4">
      <c r="A366" s="2210">
        <f t="shared" si="98"/>
        <v>364</v>
      </c>
      <c r="B366" s="2214"/>
      <c r="C366" s="2214"/>
      <c r="D366" s="2214"/>
      <c r="E366" s="2214"/>
      <c r="F366" s="2214"/>
      <c r="G366" s="2214"/>
      <c r="H366" s="2214"/>
      <c r="M366" s="2210">
        <f t="shared" si="99"/>
        <v>0</v>
      </c>
      <c r="N366" s="2210">
        <f t="shared" si="100"/>
        <v>0</v>
      </c>
      <c r="O366" s="2210">
        <f t="shared" si="101"/>
        <v>0</v>
      </c>
      <c r="P366" s="2210">
        <f t="shared" si="102"/>
        <v>0</v>
      </c>
      <c r="Q366" s="2210">
        <f t="shared" si="103"/>
        <v>0</v>
      </c>
      <c r="R366" s="2210">
        <f t="shared" si="104"/>
        <v>0</v>
      </c>
      <c r="S366" s="2210">
        <f t="shared" si="105"/>
        <v>0</v>
      </c>
      <c r="V366" s="2210">
        <f t="shared" si="106"/>
        <v>0</v>
      </c>
      <c r="W366" s="2210">
        <f t="shared" si="107"/>
        <v>0</v>
      </c>
      <c r="X366" s="2210">
        <f t="shared" si="108"/>
        <v>0</v>
      </c>
      <c r="Y366" s="2210">
        <f t="shared" si="114"/>
        <v>0</v>
      </c>
      <c r="Z366" s="2210">
        <f t="shared" si="109"/>
        <v>0</v>
      </c>
      <c r="AA366" s="2210">
        <f t="shared" si="110"/>
        <v>0</v>
      </c>
      <c r="AB366" s="2210">
        <f t="shared" si="111"/>
        <v>0</v>
      </c>
      <c r="AC366" s="2210">
        <f t="shared" si="112"/>
        <v>0</v>
      </c>
      <c r="AG366" s="2210">
        <f t="shared" si="115"/>
        <v>0</v>
      </c>
      <c r="AH366" s="2210">
        <f t="shared" si="113"/>
        <v>0</v>
      </c>
    </row>
    <row r="367" spans="1:34" x14ac:dyDescent="0.4">
      <c r="A367" s="2210">
        <f t="shared" si="98"/>
        <v>365</v>
      </c>
      <c r="B367" s="2214"/>
      <c r="C367" s="2214"/>
      <c r="D367" s="2214"/>
      <c r="E367" s="2214"/>
      <c r="F367" s="2214"/>
      <c r="G367" s="2214"/>
      <c r="H367" s="2214"/>
      <c r="M367" s="2210">
        <f t="shared" si="99"/>
        <v>0</v>
      </c>
      <c r="N367" s="2210">
        <f t="shared" si="100"/>
        <v>0</v>
      </c>
      <c r="O367" s="2210">
        <f t="shared" si="101"/>
        <v>0</v>
      </c>
      <c r="P367" s="2210">
        <f t="shared" si="102"/>
        <v>0</v>
      </c>
      <c r="Q367" s="2210">
        <f t="shared" si="103"/>
        <v>0</v>
      </c>
      <c r="R367" s="2210">
        <f t="shared" si="104"/>
        <v>0</v>
      </c>
      <c r="S367" s="2210">
        <f t="shared" si="105"/>
        <v>0</v>
      </c>
      <c r="V367" s="2210">
        <f t="shared" si="106"/>
        <v>0</v>
      </c>
      <c r="W367" s="2210">
        <f t="shared" si="107"/>
        <v>0</v>
      </c>
      <c r="X367" s="2210">
        <f t="shared" si="108"/>
        <v>0</v>
      </c>
      <c r="Y367" s="2210">
        <f t="shared" si="114"/>
        <v>0</v>
      </c>
      <c r="Z367" s="2210">
        <f t="shared" si="109"/>
        <v>0</v>
      </c>
      <c r="AA367" s="2210">
        <f t="shared" si="110"/>
        <v>0</v>
      </c>
      <c r="AB367" s="2210">
        <f t="shared" si="111"/>
        <v>0</v>
      </c>
      <c r="AC367" s="2210">
        <f t="shared" si="112"/>
        <v>0</v>
      </c>
      <c r="AG367" s="2210">
        <f t="shared" si="115"/>
        <v>0</v>
      </c>
      <c r="AH367" s="2210">
        <f t="shared" si="113"/>
        <v>0</v>
      </c>
    </row>
    <row r="368" spans="1:34" x14ac:dyDescent="0.4">
      <c r="A368" s="2210">
        <f t="shared" si="98"/>
        <v>366</v>
      </c>
      <c r="B368" s="2214"/>
      <c r="C368" s="2214"/>
      <c r="D368" s="2214"/>
      <c r="E368" s="2214"/>
      <c r="F368" s="2214"/>
      <c r="G368" s="2214"/>
      <c r="H368" s="2214"/>
      <c r="M368" s="2210">
        <f t="shared" si="99"/>
        <v>0</v>
      </c>
      <c r="N368" s="2210">
        <f t="shared" si="100"/>
        <v>0</v>
      </c>
      <c r="O368" s="2210">
        <f t="shared" si="101"/>
        <v>0</v>
      </c>
      <c r="P368" s="2210">
        <f t="shared" si="102"/>
        <v>0</v>
      </c>
      <c r="Q368" s="2210">
        <f t="shared" si="103"/>
        <v>0</v>
      </c>
      <c r="R368" s="2210">
        <f t="shared" si="104"/>
        <v>0</v>
      </c>
      <c r="S368" s="2210">
        <f t="shared" si="105"/>
        <v>0</v>
      </c>
      <c r="V368" s="2210">
        <f t="shared" si="106"/>
        <v>0</v>
      </c>
      <c r="W368" s="2210">
        <f t="shared" si="107"/>
        <v>0</v>
      </c>
      <c r="X368" s="2210">
        <f t="shared" si="108"/>
        <v>0</v>
      </c>
      <c r="Y368" s="2210">
        <f t="shared" si="114"/>
        <v>0</v>
      </c>
      <c r="Z368" s="2210">
        <f t="shared" si="109"/>
        <v>0</v>
      </c>
      <c r="AA368" s="2210">
        <f t="shared" si="110"/>
        <v>0</v>
      </c>
      <c r="AB368" s="2210">
        <f t="shared" si="111"/>
        <v>0</v>
      </c>
      <c r="AC368" s="2210">
        <f t="shared" si="112"/>
        <v>0</v>
      </c>
      <c r="AG368" s="2210">
        <f t="shared" si="115"/>
        <v>0</v>
      </c>
      <c r="AH368" s="2210">
        <f t="shared" si="113"/>
        <v>0</v>
      </c>
    </row>
    <row r="369" spans="1:34" x14ac:dyDescent="0.4">
      <c r="A369" s="2210">
        <f t="shared" ref="A369:A426" si="116">A368+1</f>
        <v>367</v>
      </c>
      <c r="B369" s="2214"/>
      <c r="C369" s="2214"/>
      <c r="D369" s="2214"/>
      <c r="E369" s="2214"/>
      <c r="F369" s="2214"/>
      <c r="G369" s="2214"/>
      <c r="H369" s="2214"/>
      <c r="M369" s="2210">
        <f t="shared" si="99"/>
        <v>0</v>
      </c>
      <c r="N369" s="2210">
        <f t="shared" si="100"/>
        <v>0</v>
      </c>
      <c r="O369" s="2210">
        <f t="shared" si="101"/>
        <v>0</v>
      </c>
      <c r="P369" s="2210">
        <f t="shared" si="102"/>
        <v>0</v>
      </c>
      <c r="Q369" s="2210">
        <f t="shared" si="103"/>
        <v>0</v>
      </c>
      <c r="R369" s="2210">
        <f t="shared" si="104"/>
        <v>0</v>
      </c>
      <c r="S369" s="2210">
        <f t="shared" si="105"/>
        <v>0</v>
      </c>
      <c r="V369" s="2210">
        <f t="shared" si="106"/>
        <v>0</v>
      </c>
      <c r="W369" s="2210">
        <f t="shared" si="107"/>
        <v>0</v>
      </c>
      <c r="X369" s="2210">
        <f t="shared" si="108"/>
        <v>0</v>
      </c>
      <c r="Y369" s="2210">
        <f t="shared" si="114"/>
        <v>0</v>
      </c>
      <c r="Z369" s="2210">
        <f t="shared" si="109"/>
        <v>0</v>
      </c>
      <c r="AA369" s="2210">
        <f t="shared" si="110"/>
        <v>0</v>
      </c>
      <c r="AB369" s="2210">
        <f t="shared" si="111"/>
        <v>0</v>
      </c>
      <c r="AC369" s="2210">
        <f t="shared" si="112"/>
        <v>0</v>
      </c>
      <c r="AG369" s="2210">
        <f t="shared" si="115"/>
        <v>0</v>
      </c>
      <c r="AH369" s="2210">
        <f t="shared" si="113"/>
        <v>0</v>
      </c>
    </row>
    <row r="370" spans="1:34" x14ac:dyDescent="0.4">
      <c r="A370" s="2210">
        <f t="shared" si="116"/>
        <v>368</v>
      </c>
      <c r="B370" s="2214"/>
      <c r="C370" s="2214"/>
      <c r="D370" s="2214"/>
      <c r="E370" s="2214"/>
      <c r="F370" s="2214"/>
      <c r="G370" s="2214"/>
      <c r="H370" s="2214"/>
      <c r="M370" s="2210">
        <f t="shared" si="99"/>
        <v>0</v>
      </c>
      <c r="N370" s="2210">
        <f t="shared" si="100"/>
        <v>0</v>
      </c>
      <c r="O370" s="2210">
        <f t="shared" si="101"/>
        <v>0</v>
      </c>
      <c r="P370" s="2210">
        <f t="shared" si="102"/>
        <v>0</v>
      </c>
      <c r="Q370" s="2210">
        <f t="shared" si="103"/>
        <v>0</v>
      </c>
      <c r="R370" s="2210">
        <f t="shared" si="104"/>
        <v>0</v>
      </c>
      <c r="S370" s="2210">
        <f t="shared" si="105"/>
        <v>0</v>
      </c>
      <c r="V370" s="2210">
        <f t="shared" si="106"/>
        <v>0</v>
      </c>
      <c r="W370" s="2210">
        <f t="shared" si="107"/>
        <v>0</v>
      </c>
      <c r="X370" s="2210">
        <f t="shared" si="108"/>
        <v>0</v>
      </c>
      <c r="Y370" s="2210">
        <f t="shared" si="114"/>
        <v>0</v>
      </c>
      <c r="Z370" s="2210">
        <f t="shared" si="109"/>
        <v>0</v>
      </c>
      <c r="AA370" s="2210">
        <f t="shared" si="110"/>
        <v>0</v>
      </c>
      <c r="AB370" s="2210">
        <f t="shared" si="111"/>
        <v>0</v>
      </c>
      <c r="AC370" s="2210">
        <f t="shared" si="112"/>
        <v>0</v>
      </c>
      <c r="AG370" s="2210">
        <f t="shared" si="115"/>
        <v>0</v>
      </c>
      <c r="AH370" s="2210">
        <f t="shared" si="113"/>
        <v>0</v>
      </c>
    </row>
    <row r="371" spans="1:34" x14ac:dyDescent="0.4">
      <c r="A371" s="2210">
        <f t="shared" si="116"/>
        <v>369</v>
      </c>
      <c r="B371" s="2214"/>
      <c r="C371" s="2214"/>
      <c r="D371" s="2214"/>
      <c r="E371" s="2214"/>
      <c r="F371" s="2214"/>
      <c r="G371" s="2214"/>
      <c r="H371" s="2214"/>
      <c r="M371" s="2210">
        <f t="shared" si="99"/>
        <v>0</v>
      </c>
      <c r="N371" s="2210">
        <f t="shared" si="100"/>
        <v>0</v>
      </c>
      <c r="O371" s="2210">
        <f t="shared" si="101"/>
        <v>0</v>
      </c>
      <c r="P371" s="2210">
        <f t="shared" si="102"/>
        <v>0</v>
      </c>
      <c r="Q371" s="2210">
        <f t="shared" si="103"/>
        <v>0</v>
      </c>
      <c r="R371" s="2210">
        <f t="shared" si="104"/>
        <v>0</v>
      </c>
      <c r="S371" s="2210">
        <f t="shared" si="105"/>
        <v>0</v>
      </c>
      <c r="V371" s="2210">
        <f t="shared" si="106"/>
        <v>0</v>
      </c>
      <c r="W371" s="2210">
        <f t="shared" si="107"/>
        <v>0</v>
      </c>
      <c r="X371" s="2210">
        <f t="shared" si="108"/>
        <v>0</v>
      </c>
      <c r="Y371" s="2210">
        <f t="shared" si="114"/>
        <v>0</v>
      </c>
      <c r="Z371" s="2210">
        <f t="shared" si="109"/>
        <v>0</v>
      </c>
      <c r="AA371" s="2210">
        <f t="shared" si="110"/>
        <v>0</v>
      </c>
      <c r="AB371" s="2210">
        <f t="shared" si="111"/>
        <v>0</v>
      </c>
      <c r="AC371" s="2210">
        <f t="shared" si="112"/>
        <v>0</v>
      </c>
      <c r="AG371" s="2210">
        <f t="shared" si="115"/>
        <v>0</v>
      </c>
      <c r="AH371" s="2210">
        <f t="shared" si="113"/>
        <v>0</v>
      </c>
    </row>
    <row r="372" spans="1:34" x14ac:dyDescent="0.4">
      <c r="A372" s="2210">
        <f t="shared" si="116"/>
        <v>370</v>
      </c>
      <c r="B372" s="2214"/>
      <c r="C372" s="2214"/>
      <c r="D372" s="2214"/>
      <c r="E372" s="2214"/>
      <c r="F372" s="2214"/>
      <c r="G372" s="2214"/>
      <c r="H372" s="2214"/>
      <c r="M372" s="2210">
        <f t="shared" si="99"/>
        <v>0</v>
      </c>
      <c r="N372" s="2210">
        <f t="shared" si="100"/>
        <v>0</v>
      </c>
      <c r="O372" s="2210">
        <f t="shared" si="101"/>
        <v>0</v>
      </c>
      <c r="P372" s="2210">
        <f t="shared" si="102"/>
        <v>0</v>
      </c>
      <c r="Q372" s="2210">
        <f t="shared" si="103"/>
        <v>0</v>
      </c>
      <c r="R372" s="2210">
        <f t="shared" si="104"/>
        <v>0</v>
      </c>
      <c r="S372" s="2210">
        <f t="shared" si="105"/>
        <v>0</v>
      </c>
      <c r="V372" s="2210">
        <f t="shared" si="106"/>
        <v>0</v>
      </c>
      <c r="W372" s="2210">
        <f t="shared" si="107"/>
        <v>0</v>
      </c>
      <c r="X372" s="2210">
        <f t="shared" si="108"/>
        <v>0</v>
      </c>
      <c r="Y372" s="2210">
        <f t="shared" si="114"/>
        <v>0</v>
      </c>
      <c r="Z372" s="2210">
        <f t="shared" si="109"/>
        <v>0</v>
      </c>
      <c r="AA372" s="2210">
        <f t="shared" si="110"/>
        <v>0</v>
      </c>
      <c r="AB372" s="2210">
        <f t="shared" si="111"/>
        <v>0</v>
      </c>
      <c r="AC372" s="2210">
        <f t="shared" si="112"/>
        <v>0</v>
      </c>
      <c r="AG372" s="2210">
        <f t="shared" si="115"/>
        <v>0</v>
      </c>
      <c r="AH372" s="2210">
        <f t="shared" si="113"/>
        <v>0</v>
      </c>
    </row>
    <row r="373" spans="1:34" x14ac:dyDescent="0.4">
      <c r="A373" s="2210">
        <f t="shared" si="116"/>
        <v>371</v>
      </c>
      <c r="B373" s="2214"/>
      <c r="C373" s="2214"/>
      <c r="D373" s="2214"/>
      <c r="E373" s="2214"/>
      <c r="F373" s="2214"/>
      <c r="G373" s="2214"/>
      <c r="H373" s="2214"/>
      <c r="M373" s="2210">
        <f t="shared" si="99"/>
        <v>0</v>
      </c>
      <c r="N373" s="2210">
        <f t="shared" si="100"/>
        <v>0</v>
      </c>
      <c r="O373" s="2210">
        <f t="shared" si="101"/>
        <v>0</v>
      </c>
      <c r="P373" s="2210">
        <f t="shared" si="102"/>
        <v>0</v>
      </c>
      <c r="Q373" s="2210">
        <f t="shared" si="103"/>
        <v>0</v>
      </c>
      <c r="R373" s="2210">
        <f t="shared" si="104"/>
        <v>0</v>
      </c>
      <c r="S373" s="2210">
        <f t="shared" si="105"/>
        <v>0</v>
      </c>
      <c r="V373" s="2210">
        <f t="shared" si="106"/>
        <v>0</v>
      </c>
      <c r="W373" s="2210">
        <f t="shared" si="107"/>
        <v>0</v>
      </c>
      <c r="X373" s="2210">
        <f t="shared" si="108"/>
        <v>0</v>
      </c>
      <c r="Y373" s="2210">
        <f t="shared" si="114"/>
        <v>0</v>
      </c>
      <c r="Z373" s="2210">
        <f t="shared" si="109"/>
        <v>0</v>
      </c>
      <c r="AA373" s="2210">
        <f t="shared" si="110"/>
        <v>0</v>
      </c>
      <c r="AB373" s="2210">
        <f t="shared" si="111"/>
        <v>0</v>
      </c>
      <c r="AC373" s="2210">
        <f t="shared" si="112"/>
        <v>0</v>
      </c>
      <c r="AG373" s="2210">
        <f t="shared" si="115"/>
        <v>0</v>
      </c>
      <c r="AH373" s="2210">
        <f t="shared" si="113"/>
        <v>0</v>
      </c>
    </row>
    <row r="374" spans="1:34" x14ac:dyDescent="0.4">
      <c r="A374" s="2210">
        <f t="shared" si="116"/>
        <v>372</v>
      </c>
      <c r="B374" s="2214"/>
      <c r="C374" s="2214"/>
      <c r="D374" s="2214"/>
      <c r="E374" s="2214"/>
      <c r="F374" s="2214"/>
      <c r="G374" s="2214"/>
      <c r="H374" s="2214"/>
      <c r="M374" s="2210">
        <f t="shared" si="99"/>
        <v>0</v>
      </c>
      <c r="N374" s="2210">
        <f t="shared" si="100"/>
        <v>0</v>
      </c>
      <c r="O374" s="2210">
        <f t="shared" si="101"/>
        <v>0</v>
      </c>
      <c r="P374" s="2210">
        <f t="shared" si="102"/>
        <v>0</v>
      </c>
      <c r="Q374" s="2210">
        <f t="shared" si="103"/>
        <v>0</v>
      </c>
      <c r="R374" s="2210">
        <f t="shared" si="104"/>
        <v>0</v>
      </c>
      <c r="S374" s="2210">
        <f t="shared" si="105"/>
        <v>0</v>
      </c>
      <c r="V374" s="2210">
        <f t="shared" si="106"/>
        <v>0</v>
      </c>
      <c r="W374" s="2210">
        <f t="shared" si="107"/>
        <v>0</v>
      </c>
      <c r="X374" s="2210">
        <f t="shared" si="108"/>
        <v>0</v>
      </c>
      <c r="Y374" s="2210">
        <f t="shared" si="114"/>
        <v>0</v>
      </c>
      <c r="Z374" s="2210">
        <f t="shared" si="109"/>
        <v>0</v>
      </c>
      <c r="AA374" s="2210">
        <f t="shared" si="110"/>
        <v>0</v>
      </c>
      <c r="AB374" s="2210">
        <f t="shared" si="111"/>
        <v>0</v>
      </c>
      <c r="AC374" s="2210">
        <f t="shared" si="112"/>
        <v>0</v>
      </c>
      <c r="AG374" s="2210">
        <f t="shared" si="115"/>
        <v>0</v>
      </c>
      <c r="AH374" s="2210">
        <f t="shared" si="113"/>
        <v>0</v>
      </c>
    </row>
    <row r="375" spans="1:34" x14ac:dyDescent="0.4">
      <c r="A375" s="2210">
        <f t="shared" si="116"/>
        <v>373</v>
      </c>
      <c r="B375" s="2214"/>
      <c r="C375" s="2214"/>
      <c r="D375" s="2214"/>
      <c r="E375" s="2214"/>
      <c r="F375" s="2214"/>
      <c r="G375" s="2214"/>
      <c r="H375" s="2214"/>
      <c r="M375" s="2210">
        <f t="shared" si="99"/>
        <v>0</v>
      </c>
      <c r="N375" s="2210">
        <f t="shared" si="100"/>
        <v>0</v>
      </c>
      <c r="O375" s="2210">
        <f t="shared" si="101"/>
        <v>0</v>
      </c>
      <c r="P375" s="2210">
        <f t="shared" si="102"/>
        <v>0</v>
      </c>
      <c r="Q375" s="2210">
        <f t="shared" si="103"/>
        <v>0</v>
      </c>
      <c r="R375" s="2210">
        <f t="shared" si="104"/>
        <v>0</v>
      </c>
      <c r="S375" s="2210">
        <f t="shared" si="105"/>
        <v>0</v>
      </c>
      <c r="V375" s="2210">
        <f t="shared" si="106"/>
        <v>0</v>
      </c>
      <c r="W375" s="2210">
        <f t="shared" si="107"/>
        <v>0</v>
      </c>
      <c r="X375" s="2210">
        <f t="shared" si="108"/>
        <v>0</v>
      </c>
      <c r="Y375" s="2210">
        <f t="shared" si="114"/>
        <v>0</v>
      </c>
      <c r="Z375" s="2210">
        <f t="shared" si="109"/>
        <v>0</v>
      </c>
      <c r="AA375" s="2210">
        <f t="shared" si="110"/>
        <v>0</v>
      </c>
      <c r="AB375" s="2210">
        <f t="shared" si="111"/>
        <v>0</v>
      </c>
      <c r="AC375" s="2210">
        <f t="shared" si="112"/>
        <v>0</v>
      </c>
      <c r="AG375" s="2210">
        <f t="shared" si="115"/>
        <v>0</v>
      </c>
      <c r="AH375" s="2210">
        <f t="shared" si="113"/>
        <v>0</v>
      </c>
    </row>
    <row r="376" spans="1:34" x14ac:dyDescent="0.4">
      <c r="A376" s="2210">
        <f t="shared" si="116"/>
        <v>374</v>
      </c>
      <c r="B376" s="2214"/>
      <c r="C376" s="2214"/>
      <c r="D376" s="2214"/>
      <c r="E376" s="2214"/>
      <c r="F376" s="2214"/>
      <c r="G376" s="2214"/>
      <c r="H376" s="2214"/>
      <c r="M376" s="2210">
        <f t="shared" si="99"/>
        <v>0</v>
      </c>
      <c r="N376" s="2210">
        <f t="shared" si="100"/>
        <v>0</v>
      </c>
      <c r="O376" s="2210">
        <f t="shared" si="101"/>
        <v>0</v>
      </c>
      <c r="P376" s="2210">
        <f t="shared" si="102"/>
        <v>0</v>
      </c>
      <c r="Q376" s="2210">
        <f t="shared" si="103"/>
        <v>0</v>
      </c>
      <c r="R376" s="2210">
        <f t="shared" si="104"/>
        <v>0</v>
      </c>
      <c r="S376" s="2210">
        <f t="shared" si="105"/>
        <v>0</v>
      </c>
      <c r="V376" s="2210">
        <f t="shared" si="106"/>
        <v>0</v>
      </c>
      <c r="W376" s="2210">
        <f t="shared" si="107"/>
        <v>0</v>
      </c>
      <c r="X376" s="2210">
        <f t="shared" si="108"/>
        <v>0</v>
      </c>
      <c r="Y376" s="2210">
        <f t="shared" si="114"/>
        <v>0</v>
      </c>
      <c r="Z376" s="2210">
        <f t="shared" si="109"/>
        <v>0</v>
      </c>
      <c r="AA376" s="2210">
        <f t="shared" si="110"/>
        <v>0</v>
      </c>
      <c r="AB376" s="2210">
        <f t="shared" si="111"/>
        <v>0</v>
      </c>
      <c r="AC376" s="2210">
        <f t="shared" si="112"/>
        <v>0</v>
      </c>
      <c r="AG376" s="2210">
        <f t="shared" si="115"/>
        <v>0</v>
      </c>
      <c r="AH376" s="2210">
        <f t="shared" si="113"/>
        <v>0</v>
      </c>
    </row>
    <row r="377" spans="1:34" x14ac:dyDescent="0.4">
      <c r="A377" s="2210">
        <f t="shared" si="116"/>
        <v>375</v>
      </c>
      <c r="B377" s="2214"/>
      <c r="C377" s="2214"/>
      <c r="D377" s="2214"/>
      <c r="E377" s="2214"/>
      <c r="F377" s="2214"/>
      <c r="G377" s="2214"/>
      <c r="H377" s="2214"/>
      <c r="M377" s="2210">
        <f t="shared" si="99"/>
        <v>0</v>
      </c>
      <c r="N377" s="2210">
        <f t="shared" si="100"/>
        <v>0</v>
      </c>
      <c r="O377" s="2210">
        <f t="shared" si="101"/>
        <v>0</v>
      </c>
      <c r="P377" s="2210">
        <f t="shared" si="102"/>
        <v>0</v>
      </c>
      <c r="Q377" s="2210">
        <f t="shared" si="103"/>
        <v>0</v>
      </c>
      <c r="R377" s="2210">
        <f t="shared" si="104"/>
        <v>0</v>
      </c>
      <c r="S377" s="2210">
        <f t="shared" si="105"/>
        <v>0</v>
      </c>
      <c r="V377" s="2210">
        <f t="shared" si="106"/>
        <v>0</v>
      </c>
      <c r="W377" s="2210">
        <f t="shared" si="107"/>
        <v>0</v>
      </c>
      <c r="X377" s="2210">
        <f t="shared" si="108"/>
        <v>0</v>
      </c>
      <c r="Y377" s="2210">
        <f t="shared" si="114"/>
        <v>0</v>
      </c>
      <c r="Z377" s="2210">
        <f t="shared" si="109"/>
        <v>0</v>
      </c>
      <c r="AA377" s="2210">
        <f t="shared" si="110"/>
        <v>0</v>
      </c>
      <c r="AB377" s="2210">
        <f t="shared" si="111"/>
        <v>0</v>
      </c>
      <c r="AC377" s="2210">
        <f t="shared" si="112"/>
        <v>0</v>
      </c>
      <c r="AG377" s="2210">
        <f t="shared" si="115"/>
        <v>0</v>
      </c>
      <c r="AH377" s="2210">
        <f t="shared" si="113"/>
        <v>0</v>
      </c>
    </row>
    <row r="378" spans="1:34" x14ac:dyDescent="0.4">
      <c r="A378" s="2210">
        <f t="shared" si="116"/>
        <v>376</v>
      </c>
      <c r="B378" s="2214"/>
      <c r="C378" s="2214"/>
      <c r="D378" s="2214"/>
      <c r="E378" s="2214"/>
      <c r="F378" s="2214"/>
      <c r="G378" s="2214"/>
      <c r="H378" s="2214"/>
      <c r="M378" s="2210">
        <f t="shared" si="99"/>
        <v>0</v>
      </c>
      <c r="N378" s="2210">
        <f t="shared" si="100"/>
        <v>0</v>
      </c>
      <c r="O378" s="2210">
        <f t="shared" si="101"/>
        <v>0</v>
      </c>
      <c r="P378" s="2210">
        <f t="shared" si="102"/>
        <v>0</v>
      </c>
      <c r="Q378" s="2210">
        <f t="shared" si="103"/>
        <v>0</v>
      </c>
      <c r="R378" s="2210">
        <f t="shared" si="104"/>
        <v>0</v>
      </c>
      <c r="S378" s="2210">
        <f t="shared" si="105"/>
        <v>0</v>
      </c>
      <c r="V378" s="2210">
        <f t="shared" si="106"/>
        <v>0</v>
      </c>
      <c r="W378" s="2210">
        <f t="shared" si="107"/>
        <v>0</v>
      </c>
      <c r="X378" s="2210">
        <f t="shared" si="108"/>
        <v>0</v>
      </c>
      <c r="Y378" s="2210">
        <f t="shared" si="114"/>
        <v>0</v>
      </c>
      <c r="Z378" s="2210">
        <f t="shared" si="109"/>
        <v>0</v>
      </c>
      <c r="AA378" s="2210">
        <f t="shared" si="110"/>
        <v>0</v>
      </c>
      <c r="AB378" s="2210">
        <f t="shared" si="111"/>
        <v>0</v>
      </c>
      <c r="AC378" s="2210">
        <f t="shared" si="112"/>
        <v>0</v>
      </c>
      <c r="AG378" s="2210">
        <f t="shared" si="115"/>
        <v>0</v>
      </c>
      <c r="AH378" s="2210">
        <f t="shared" si="113"/>
        <v>0</v>
      </c>
    </row>
    <row r="379" spans="1:34" x14ac:dyDescent="0.4">
      <c r="A379" s="2210">
        <f t="shared" si="116"/>
        <v>377</v>
      </c>
      <c r="B379" s="2214"/>
      <c r="C379" s="2214"/>
      <c r="D379" s="2214"/>
      <c r="E379" s="2214"/>
      <c r="F379" s="2214"/>
      <c r="G379" s="2214"/>
      <c r="H379" s="2214"/>
      <c r="M379" s="2210">
        <f t="shared" si="99"/>
        <v>0</v>
      </c>
      <c r="N379" s="2210">
        <f t="shared" si="100"/>
        <v>0</v>
      </c>
      <c r="O379" s="2210">
        <f t="shared" si="101"/>
        <v>0</v>
      </c>
      <c r="P379" s="2210">
        <f t="shared" si="102"/>
        <v>0</v>
      </c>
      <c r="Q379" s="2210">
        <f t="shared" si="103"/>
        <v>0</v>
      </c>
      <c r="R379" s="2210">
        <f t="shared" si="104"/>
        <v>0</v>
      </c>
      <c r="S379" s="2210">
        <f t="shared" si="105"/>
        <v>0</v>
      </c>
      <c r="V379" s="2210">
        <f t="shared" si="106"/>
        <v>0</v>
      </c>
      <c r="W379" s="2210">
        <f t="shared" si="107"/>
        <v>0</v>
      </c>
      <c r="X379" s="2210">
        <f t="shared" si="108"/>
        <v>0</v>
      </c>
      <c r="Y379" s="2210">
        <f t="shared" si="114"/>
        <v>0</v>
      </c>
      <c r="Z379" s="2210">
        <f t="shared" si="109"/>
        <v>0</v>
      </c>
      <c r="AA379" s="2210">
        <f t="shared" si="110"/>
        <v>0</v>
      </c>
      <c r="AB379" s="2210">
        <f t="shared" si="111"/>
        <v>0</v>
      </c>
      <c r="AC379" s="2210">
        <f t="shared" si="112"/>
        <v>0</v>
      </c>
      <c r="AG379" s="2210">
        <f t="shared" si="115"/>
        <v>0</v>
      </c>
      <c r="AH379" s="2210">
        <f t="shared" si="113"/>
        <v>0</v>
      </c>
    </row>
    <row r="380" spans="1:34" x14ac:dyDescent="0.4">
      <c r="A380" s="2210">
        <f t="shared" si="116"/>
        <v>378</v>
      </c>
      <c r="B380" s="2214"/>
      <c r="C380" s="2214"/>
      <c r="D380" s="2214"/>
      <c r="E380" s="2214"/>
      <c r="F380" s="2214"/>
      <c r="G380" s="2214"/>
      <c r="H380" s="2214"/>
      <c r="M380" s="2210">
        <f t="shared" si="99"/>
        <v>0</v>
      </c>
      <c r="N380" s="2210">
        <f t="shared" si="100"/>
        <v>0</v>
      </c>
      <c r="O380" s="2210">
        <f t="shared" si="101"/>
        <v>0</v>
      </c>
      <c r="P380" s="2210">
        <f t="shared" si="102"/>
        <v>0</v>
      </c>
      <c r="Q380" s="2210">
        <f t="shared" si="103"/>
        <v>0</v>
      </c>
      <c r="R380" s="2210">
        <f t="shared" si="104"/>
        <v>0</v>
      </c>
      <c r="S380" s="2210">
        <f t="shared" si="105"/>
        <v>0</v>
      </c>
      <c r="V380" s="2210">
        <f t="shared" si="106"/>
        <v>0</v>
      </c>
      <c r="W380" s="2210">
        <f t="shared" si="107"/>
        <v>0</v>
      </c>
      <c r="X380" s="2210">
        <f t="shared" si="108"/>
        <v>0</v>
      </c>
      <c r="Y380" s="2210">
        <f t="shared" si="114"/>
        <v>0</v>
      </c>
      <c r="Z380" s="2210">
        <f t="shared" si="109"/>
        <v>0</v>
      </c>
      <c r="AA380" s="2210">
        <f t="shared" si="110"/>
        <v>0</v>
      </c>
      <c r="AB380" s="2210">
        <f t="shared" si="111"/>
        <v>0</v>
      </c>
      <c r="AC380" s="2210">
        <f t="shared" si="112"/>
        <v>0</v>
      </c>
      <c r="AG380" s="2210">
        <f t="shared" si="115"/>
        <v>0</v>
      </c>
      <c r="AH380" s="2210">
        <f t="shared" si="113"/>
        <v>0</v>
      </c>
    </row>
    <row r="381" spans="1:34" x14ac:dyDescent="0.4">
      <c r="A381" s="2210">
        <f t="shared" si="116"/>
        <v>379</v>
      </c>
      <c r="B381" s="2214"/>
      <c r="C381" s="2214"/>
      <c r="D381" s="2214"/>
      <c r="E381" s="2214"/>
      <c r="F381" s="2214"/>
      <c r="G381" s="2214"/>
      <c r="H381" s="2214"/>
      <c r="M381" s="2210">
        <f t="shared" si="99"/>
        <v>0</v>
      </c>
      <c r="N381" s="2210">
        <f t="shared" si="100"/>
        <v>0</v>
      </c>
      <c r="O381" s="2210">
        <f t="shared" si="101"/>
        <v>0</v>
      </c>
      <c r="P381" s="2210">
        <f t="shared" si="102"/>
        <v>0</v>
      </c>
      <c r="Q381" s="2210">
        <f t="shared" si="103"/>
        <v>0</v>
      </c>
      <c r="R381" s="2210">
        <f t="shared" si="104"/>
        <v>0</v>
      </c>
      <c r="S381" s="2210">
        <f t="shared" si="105"/>
        <v>0</v>
      </c>
      <c r="V381" s="2210">
        <f t="shared" si="106"/>
        <v>0</v>
      </c>
      <c r="W381" s="2210">
        <f t="shared" si="107"/>
        <v>0</v>
      </c>
      <c r="X381" s="2210">
        <f t="shared" si="108"/>
        <v>0</v>
      </c>
      <c r="Y381" s="2210">
        <f t="shared" si="114"/>
        <v>0</v>
      </c>
      <c r="Z381" s="2210">
        <f t="shared" si="109"/>
        <v>0</v>
      </c>
      <c r="AA381" s="2210">
        <f t="shared" si="110"/>
        <v>0</v>
      </c>
      <c r="AB381" s="2210">
        <f t="shared" si="111"/>
        <v>0</v>
      </c>
      <c r="AC381" s="2210">
        <f t="shared" si="112"/>
        <v>0</v>
      </c>
      <c r="AG381" s="2210">
        <f t="shared" si="115"/>
        <v>0</v>
      </c>
      <c r="AH381" s="2210">
        <f t="shared" si="113"/>
        <v>0</v>
      </c>
    </row>
    <row r="382" spans="1:34" x14ac:dyDescent="0.4">
      <c r="A382" s="2210">
        <f t="shared" si="116"/>
        <v>380</v>
      </c>
      <c r="B382" s="2214"/>
      <c r="C382" s="2214"/>
      <c r="D382" s="2214"/>
      <c r="E382" s="2214"/>
      <c r="F382" s="2214"/>
      <c r="G382" s="2214"/>
      <c r="H382" s="2214"/>
      <c r="M382" s="2210">
        <f t="shared" si="99"/>
        <v>0</v>
      </c>
      <c r="N382" s="2210">
        <f t="shared" si="100"/>
        <v>0</v>
      </c>
      <c r="O382" s="2210">
        <f t="shared" si="101"/>
        <v>0</v>
      </c>
      <c r="P382" s="2210">
        <f t="shared" si="102"/>
        <v>0</v>
      </c>
      <c r="Q382" s="2210">
        <f t="shared" si="103"/>
        <v>0</v>
      </c>
      <c r="R382" s="2210">
        <f t="shared" si="104"/>
        <v>0</v>
      </c>
      <c r="S382" s="2210">
        <f t="shared" si="105"/>
        <v>0</v>
      </c>
      <c r="V382" s="2210">
        <f t="shared" si="106"/>
        <v>0</v>
      </c>
      <c r="W382" s="2210">
        <f t="shared" si="107"/>
        <v>0</v>
      </c>
      <c r="X382" s="2210">
        <f t="shared" si="108"/>
        <v>0</v>
      </c>
      <c r="Y382" s="2210">
        <f t="shared" si="114"/>
        <v>0</v>
      </c>
      <c r="Z382" s="2210">
        <f t="shared" si="109"/>
        <v>0</v>
      </c>
      <c r="AA382" s="2210">
        <f t="shared" si="110"/>
        <v>0</v>
      </c>
      <c r="AB382" s="2210">
        <f t="shared" si="111"/>
        <v>0</v>
      </c>
      <c r="AC382" s="2210">
        <f t="shared" si="112"/>
        <v>0</v>
      </c>
      <c r="AG382" s="2210">
        <f t="shared" si="115"/>
        <v>0</v>
      </c>
      <c r="AH382" s="2210">
        <f t="shared" si="113"/>
        <v>0</v>
      </c>
    </row>
    <row r="383" spans="1:34" x14ac:dyDescent="0.4">
      <c r="A383" s="2210">
        <f t="shared" si="116"/>
        <v>381</v>
      </c>
      <c r="B383" s="2214"/>
      <c r="C383" s="2214"/>
      <c r="D383" s="2214"/>
      <c r="E383" s="2214"/>
      <c r="F383" s="2214"/>
      <c r="G383" s="2214"/>
      <c r="H383" s="2214"/>
      <c r="M383" s="2210">
        <f t="shared" si="99"/>
        <v>0</v>
      </c>
      <c r="N383" s="2210">
        <f t="shared" si="100"/>
        <v>0</v>
      </c>
      <c r="O383" s="2210">
        <f t="shared" si="101"/>
        <v>0</v>
      </c>
      <c r="P383" s="2210">
        <f t="shared" si="102"/>
        <v>0</v>
      </c>
      <c r="Q383" s="2210">
        <f t="shared" si="103"/>
        <v>0</v>
      </c>
      <c r="R383" s="2210">
        <f t="shared" si="104"/>
        <v>0</v>
      </c>
      <c r="S383" s="2210">
        <f t="shared" si="105"/>
        <v>0</v>
      </c>
      <c r="V383" s="2210">
        <f t="shared" si="106"/>
        <v>0</v>
      </c>
      <c r="W383" s="2210">
        <f t="shared" si="107"/>
        <v>0</v>
      </c>
      <c r="X383" s="2210">
        <f t="shared" si="108"/>
        <v>0</v>
      </c>
      <c r="Y383" s="2210">
        <f t="shared" si="114"/>
        <v>0</v>
      </c>
      <c r="Z383" s="2210">
        <f t="shared" si="109"/>
        <v>0</v>
      </c>
      <c r="AA383" s="2210">
        <f t="shared" si="110"/>
        <v>0</v>
      </c>
      <c r="AB383" s="2210">
        <f t="shared" si="111"/>
        <v>0</v>
      </c>
      <c r="AC383" s="2210">
        <f t="shared" si="112"/>
        <v>0</v>
      </c>
      <c r="AG383" s="2210">
        <f t="shared" si="115"/>
        <v>0</v>
      </c>
      <c r="AH383" s="2210">
        <f t="shared" si="113"/>
        <v>0</v>
      </c>
    </row>
    <row r="384" spans="1:34" x14ac:dyDescent="0.4">
      <c r="A384" s="2210">
        <f t="shared" si="116"/>
        <v>382</v>
      </c>
      <c r="B384" s="2214"/>
      <c r="C384" s="2214"/>
      <c r="D384" s="2214"/>
      <c r="E384" s="2214"/>
      <c r="F384" s="2214"/>
      <c r="G384" s="2214"/>
      <c r="H384" s="2214"/>
      <c r="M384" s="2210">
        <f t="shared" si="99"/>
        <v>0</v>
      </c>
      <c r="N384" s="2210">
        <f t="shared" si="100"/>
        <v>0</v>
      </c>
      <c r="O384" s="2210">
        <f t="shared" si="101"/>
        <v>0</v>
      </c>
      <c r="P384" s="2210">
        <f t="shared" si="102"/>
        <v>0</v>
      </c>
      <c r="Q384" s="2210">
        <f t="shared" si="103"/>
        <v>0</v>
      </c>
      <c r="R384" s="2210">
        <f t="shared" si="104"/>
        <v>0</v>
      </c>
      <c r="S384" s="2210">
        <f t="shared" si="105"/>
        <v>0</v>
      </c>
      <c r="V384" s="2210">
        <f t="shared" si="106"/>
        <v>0</v>
      </c>
      <c r="W384" s="2210">
        <f t="shared" si="107"/>
        <v>0</v>
      </c>
      <c r="X384" s="2210">
        <f t="shared" si="108"/>
        <v>0</v>
      </c>
      <c r="Y384" s="2210">
        <f t="shared" si="114"/>
        <v>0</v>
      </c>
      <c r="Z384" s="2210">
        <f t="shared" si="109"/>
        <v>0</v>
      </c>
      <c r="AA384" s="2210">
        <f t="shared" si="110"/>
        <v>0</v>
      </c>
      <c r="AB384" s="2210">
        <f t="shared" si="111"/>
        <v>0</v>
      </c>
      <c r="AC384" s="2210">
        <f t="shared" si="112"/>
        <v>0</v>
      </c>
      <c r="AG384" s="2210">
        <f t="shared" si="115"/>
        <v>0</v>
      </c>
      <c r="AH384" s="2210">
        <f t="shared" si="113"/>
        <v>0</v>
      </c>
    </row>
    <row r="385" spans="1:34" x14ac:dyDescent="0.4">
      <c r="A385" s="2210">
        <f t="shared" si="116"/>
        <v>383</v>
      </c>
      <c r="B385" s="2214"/>
      <c r="C385" s="2214"/>
      <c r="D385" s="2214"/>
      <c r="E385" s="2214"/>
      <c r="F385" s="2214"/>
      <c r="G385" s="2214"/>
      <c r="H385" s="2214"/>
      <c r="M385" s="2210">
        <f t="shared" si="99"/>
        <v>0</v>
      </c>
      <c r="N385" s="2210">
        <f t="shared" si="100"/>
        <v>0</v>
      </c>
      <c r="O385" s="2210">
        <f t="shared" si="101"/>
        <v>0</v>
      </c>
      <c r="P385" s="2210">
        <f t="shared" si="102"/>
        <v>0</v>
      </c>
      <c r="Q385" s="2210">
        <f t="shared" si="103"/>
        <v>0</v>
      </c>
      <c r="R385" s="2210">
        <f t="shared" si="104"/>
        <v>0</v>
      </c>
      <c r="S385" s="2210">
        <f t="shared" si="105"/>
        <v>0</v>
      </c>
      <c r="V385" s="2210">
        <f t="shared" si="106"/>
        <v>0</v>
      </c>
      <c r="W385" s="2210">
        <f t="shared" si="107"/>
        <v>0</v>
      </c>
      <c r="X385" s="2210">
        <f t="shared" si="108"/>
        <v>0</v>
      </c>
      <c r="Y385" s="2210">
        <f t="shared" si="114"/>
        <v>0</v>
      </c>
      <c r="Z385" s="2210">
        <f t="shared" si="109"/>
        <v>0</v>
      </c>
      <c r="AA385" s="2210">
        <f t="shared" si="110"/>
        <v>0</v>
      </c>
      <c r="AB385" s="2210">
        <f t="shared" si="111"/>
        <v>0</v>
      </c>
      <c r="AC385" s="2210">
        <f t="shared" si="112"/>
        <v>0</v>
      </c>
      <c r="AG385" s="2210">
        <f t="shared" si="115"/>
        <v>0</v>
      </c>
      <c r="AH385" s="2210">
        <f t="shared" si="113"/>
        <v>0</v>
      </c>
    </row>
    <row r="386" spans="1:34" x14ac:dyDescent="0.4">
      <c r="A386" s="2210">
        <f t="shared" si="116"/>
        <v>384</v>
      </c>
      <c r="B386" s="2214"/>
      <c r="C386" s="2214"/>
      <c r="D386" s="2214"/>
      <c r="E386" s="2214"/>
      <c r="F386" s="2214"/>
      <c r="G386" s="2214"/>
      <c r="H386" s="2214"/>
      <c r="M386" s="2210">
        <f t="shared" si="99"/>
        <v>0</v>
      </c>
      <c r="N386" s="2210">
        <f t="shared" si="100"/>
        <v>0</v>
      </c>
      <c r="O386" s="2210">
        <f t="shared" si="101"/>
        <v>0</v>
      </c>
      <c r="P386" s="2210">
        <f t="shared" si="102"/>
        <v>0</v>
      </c>
      <c r="Q386" s="2210">
        <f t="shared" si="103"/>
        <v>0</v>
      </c>
      <c r="R386" s="2210">
        <f t="shared" si="104"/>
        <v>0</v>
      </c>
      <c r="S386" s="2210">
        <f t="shared" si="105"/>
        <v>0</v>
      </c>
      <c r="V386" s="2210">
        <f t="shared" si="106"/>
        <v>0</v>
      </c>
      <c r="W386" s="2210">
        <f t="shared" si="107"/>
        <v>0</v>
      </c>
      <c r="X386" s="2210">
        <f t="shared" si="108"/>
        <v>0</v>
      </c>
      <c r="Y386" s="2210">
        <f t="shared" si="114"/>
        <v>0</v>
      </c>
      <c r="Z386" s="2210">
        <f t="shared" si="109"/>
        <v>0</v>
      </c>
      <c r="AA386" s="2210">
        <f t="shared" si="110"/>
        <v>0</v>
      </c>
      <c r="AB386" s="2210">
        <f t="shared" si="111"/>
        <v>0</v>
      </c>
      <c r="AC386" s="2210">
        <f t="shared" si="112"/>
        <v>0</v>
      </c>
      <c r="AG386" s="2210">
        <f t="shared" si="115"/>
        <v>0</v>
      </c>
      <c r="AH386" s="2210">
        <f t="shared" si="113"/>
        <v>0</v>
      </c>
    </row>
    <row r="387" spans="1:34" x14ac:dyDescent="0.4">
      <c r="A387" s="2210">
        <f t="shared" si="116"/>
        <v>385</v>
      </c>
      <c r="B387" s="2214"/>
      <c r="C387" s="2214"/>
      <c r="D387" s="2214"/>
      <c r="E387" s="2214"/>
      <c r="F387" s="2214"/>
      <c r="G387" s="2214"/>
      <c r="H387" s="2214"/>
      <c r="M387" s="2210">
        <f t="shared" si="99"/>
        <v>0</v>
      </c>
      <c r="N387" s="2210">
        <f t="shared" si="100"/>
        <v>0</v>
      </c>
      <c r="O387" s="2210">
        <f t="shared" si="101"/>
        <v>0</v>
      </c>
      <c r="P387" s="2210">
        <f t="shared" si="102"/>
        <v>0</v>
      </c>
      <c r="Q387" s="2210">
        <f t="shared" si="103"/>
        <v>0</v>
      </c>
      <c r="R387" s="2210">
        <f t="shared" si="104"/>
        <v>0</v>
      </c>
      <c r="S387" s="2210">
        <f t="shared" si="105"/>
        <v>0</v>
      </c>
      <c r="V387" s="2210">
        <f t="shared" si="106"/>
        <v>0</v>
      </c>
      <c r="W387" s="2210">
        <f t="shared" si="107"/>
        <v>0</v>
      </c>
      <c r="X387" s="2210">
        <f t="shared" si="108"/>
        <v>0</v>
      </c>
      <c r="Y387" s="2210">
        <f t="shared" si="114"/>
        <v>0</v>
      </c>
      <c r="Z387" s="2210">
        <f t="shared" si="109"/>
        <v>0</v>
      </c>
      <c r="AA387" s="2210">
        <f t="shared" si="110"/>
        <v>0</v>
      </c>
      <c r="AB387" s="2210">
        <f t="shared" si="111"/>
        <v>0</v>
      </c>
      <c r="AC387" s="2210">
        <f t="shared" si="112"/>
        <v>0</v>
      </c>
      <c r="AG387" s="2210">
        <f t="shared" si="115"/>
        <v>0</v>
      </c>
      <c r="AH387" s="2210">
        <f t="shared" si="113"/>
        <v>0</v>
      </c>
    </row>
    <row r="388" spans="1:34" x14ac:dyDescent="0.4">
      <c r="A388" s="2210">
        <f t="shared" si="116"/>
        <v>386</v>
      </c>
      <c r="B388" s="2214"/>
      <c r="C388" s="2214"/>
      <c r="D388" s="2214"/>
      <c r="E388" s="2214"/>
      <c r="F388" s="2214"/>
      <c r="G388" s="2214"/>
      <c r="H388" s="2214"/>
      <c r="M388" s="2210">
        <f t="shared" ref="M388:M426" si="117">IF($H388="Interior Lighting",$B388,0)</f>
        <v>0</v>
      </c>
      <c r="N388" s="2210">
        <f t="shared" ref="N388:N426" si="118">IF($H388="Interior Lighting",$C388,0)</f>
        <v>0</v>
      </c>
      <c r="O388" s="2210">
        <f t="shared" ref="O388:O426" si="119">IF($H388="Interior Lighting",$D388,0)</f>
        <v>0</v>
      </c>
      <c r="P388" s="2210">
        <f t="shared" ref="P388:P426" si="120">IF($H388="Interior Lighting",$E388,0)</f>
        <v>0</v>
      </c>
      <c r="Q388" s="2210">
        <f t="shared" ref="Q388:Q426" si="121">IF($H388="Interior Lighting",$F388,0)</f>
        <v>0</v>
      </c>
      <c r="R388" s="2210">
        <f t="shared" ref="R388:R426" si="122">IF($H388="Interior Lighting",$G388,0)</f>
        <v>0</v>
      </c>
      <c r="S388" s="2210">
        <f t="shared" ref="S388:S426" si="123">IF($H388="Interior Lighting",$H388,0)</f>
        <v>0</v>
      </c>
      <c r="V388" s="2210">
        <f t="shared" ref="V388:V426" si="124">IF($H388="Exterior Lighting",$B388,0)</f>
        <v>0</v>
      </c>
      <c r="W388" s="2210">
        <f t="shared" ref="W388:W426" si="125">IF($H388="Exterior Lighting",$C388,0)</f>
        <v>0</v>
      </c>
      <c r="X388" s="2210">
        <f t="shared" ref="X388:X426" si="126">IF($H388="Exterior Lighting",$D388,0)</f>
        <v>0</v>
      </c>
      <c r="Y388" s="2210">
        <f t="shared" si="114"/>
        <v>0</v>
      </c>
      <c r="Z388" s="2210">
        <f t="shared" ref="Z388:Z426" si="127">IF($H388="Exterior Lighting",$E388,0)</f>
        <v>0</v>
      </c>
      <c r="AA388" s="2210">
        <f t="shared" ref="AA388:AA426" si="128">IF($H388="Exterior Lighting",$F388,0)</f>
        <v>0</v>
      </c>
      <c r="AB388" s="2210">
        <f t="shared" ref="AB388:AB426" si="129">IF($H388="Exterior Lighting",$G388,0)</f>
        <v>0</v>
      </c>
      <c r="AC388" s="2210">
        <f t="shared" ref="AC388:AC426" si="130">IF($H388="Exterior Lighting",$H388,0)</f>
        <v>0</v>
      </c>
      <c r="AG388" s="2210">
        <f t="shared" si="115"/>
        <v>0</v>
      </c>
      <c r="AH388" s="2210">
        <f t="shared" ref="AH388:AH426" si="131">IF(AF388=0,0,MID(AF388,SEARCH(",",AF388)+1,LEN(AF388)))</f>
        <v>0</v>
      </c>
    </row>
    <row r="389" spans="1:34" x14ac:dyDescent="0.4">
      <c r="A389" s="2210">
        <f t="shared" si="116"/>
        <v>387</v>
      </c>
      <c r="B389" s="2214"/>
      <c r="C389" s="2214"/>
      <c r="D389" s="2214"/>
      <c r="E389" s="2214"/>
      <c r="F389" s="2214"/>
      <c r="G389" s="2214"/>
      <c r="H389" s="2214"/>
      <c r="M389" s="2210">
        <f t="shared" si="117"/>
        <v>0</v>
      </c>
      <c r="N389" s="2210">
        <f t="shared" si="118"/>
        <v>0</v>
      </c>
      <c r="O389" s="2210">
        <f t="shared" si="119"/>
        <v>0</v>
      </c>
      <c r="P389" s="2210">
        <f t="shared" si="120"/>
        <v>0</v>
      </c>
      <c r="Q389" s="2210">
        <f t="shared" si="121"/>
        <v>0</v>
      </c>
      <c r="R389" s="2210">
        <f t="shared" si="122"/>
        <v>0</v>
      </c>
      <c r="S389" s="2210">
        <f t="shared" si="123"/>
        <v>0</v>
      </c>
      <c r="V389" s="2210">
        <f t="shared" si="124"/>
        <v>0</v>
      </c>
      <c r="W389" s="2210">
        <f t="shared" si="125"/>
        <v>0</v>
      </c>
      <c r="X389" s="2210">
        <f t="shared" si="126"/>
        <v>0</v>
      </c>
      <c r="Y389" s="2210">
        <f t="shared" si="114"/>
        <v>0</v>
      </c>
      <c r="Z389" s="2210">
        <f t="shared" si="127"/>
        <v>0</v>
      </c>
      <c r="AA389" s="2210">
        <f t="shared" si="128"/>
        <v>0</v>
      </c>
      <c r="AB389" s="2210">
        <f t="shared" si="129"/>
        <v>0</v>
      </c>
      <c r="AC389" s="2210">
        <f t="shared" si="130"/>
        <v>0</v>
      </c>
      <c r="AG389" s="2210">
        <f t="shared" si="115"/>
        <v>0</v>
      </c>
      <c r="AH389" s="2210">
        <f t="shared" si="131"/>
        <v>0</v>
      </c>
    </row>
    <row r="390" spans="1:34" x14ac:dyDescent="0.4">
      <c r="A390" s="2210">
        <f t="shared" si="116"/>
        <v>388</v>
      </c>
      <c r="B390" s="2214"/>
      <c r="C390" s="2214"/>
      <c r="D390" s="2214"/>
      <c r="E390" s="2214"/>
      <c r="F390" s="2214"/>
      <c r="G390" s="2214"/>
      <c r="H390" s="2214"/>
      <c r="M390" s="2210">
        <f t="shared" si="117"/>
        <v>0</v>
      </c>
      <c r="N390" s="2210">
        <f t="shared" si="118"/>
        <v>0</v>
      </c>
      <c r="O390" s="2210">
        <f t="shared" si="119"/>
        <v>0</v>
      </c>
      <c r="P390" s="2210">
        <f t="shared" si="120"/>
        <v>0</v>
      </c>
      <c r="Q390" s="2210">
        <f t="shared" si="121"/>
        <v>0</v>
      </c>
      <c r="R390" s="2210">
        <f t="shared" si="122"/>
        <v>0</v>
      </c>
      <c r="S390" s="2210">
        <f t="shared" si="123"/>
        <v>0</v>
      </c>
      <c r="V390" s="2210">
        <f t="shared" si="124"/>
        <v>0</v>
      </c>
      <c r="W390" s="2210">
        <f t="shared" si="125"/>
        <v>0</v>
      </c>
      <c r="X390" s="2210">
        <f t="shared" si="126"/>
        <v>0</v>
      </c>
      <c r="Y390" s="2210">
        <f t="shared" ref="Y390:Y426" si="132">IF(OR(V390=0,LEN(X390)&lt;4),0,_xlfn.CONCAT(V390,",",X390))</f>
        <v>0</v>
      </c>
      <c r="Z390" s="2210">
        <f t="shared" si="127"/>
        <v>0</v>
      </c>
      <c r="AA390" s="2210">
        <f t="shared" si="128"/>
        <v>0</v>
      </c>
      <c r="AB390" s="2210">
        <f t="shared" si="129"/>
        <v>0</v>
      </c>
      <c r="AC390" s="2210">
        <f t="shared" si="130"/>
        <v>0</v>
      </c>
      <c r="AG390" s="2210">
        <f t="shared" ref="AG390:AG426" si="133">IF(AF390=0,0,LEFT(AF390,SEARCH(",",AF390)-1))</f>
        <v>0</v>
      </c>
      <c r="AH390" s="2210">
        <f t="shared" si="131"/>
        <v>0</v>
      </c>
    </row>
    <row r="391" spans="1:34" x14ac:dyDescent="0.4">
      <c r="A391" s="2210">
        <f t="shared" si="116"/>
        <v>389</v>
      </c>
      <c r="B391" s="2214"/>
      <c r="C391" s="2214"/>
      <c r="D391" s="2214"/>
      <c r="E391" s="2214"/>
      <c r="F391" s="2214"/>
      <c r="G391" s="2214"/>
      <c r="H391" s="2214"/>
      <c r="M391" s="2210">
        <f t="shared" si="117"/>
        <v>0</v>
      </c>
      <c r="N391" s="2210">
        <f t="shared" si="118"/>
        <v>0</v>
      </c>
      <c r="O391" s="2210">
        <f t="shared" si="119"/>
        <v>0</v>
      </c>
      <c r="P391" s="2210">
        <f t="shared" si="120"/>
        <v>0</v>
      </c>
      <c r="Q391" s="2210">
        <f t="shared" si="121"/>
        <v>0</v>
      </c>
      <c r="R391" s="2210">
        <f t="shared" si="122"/>
        <v>0</v>
      </c>
      <c r="S391" s="2210">
        <f t="shared" si="123"/>
        <v>0</v>
      </c>
      <c r="V391" s="2210">
        <f t="shared" si="124"/>
        <v>0</v>
      </c>
      <c r="W391" s="2210">
        <f t="shared" si="125"/>
        <v>0</v>
      </c>
      <c r="X391" s="2210">
        <f t="shared" si="126"/>
        <v>0</v>
      </c>
      <c r="Y391" s="2210">
        <f t="shared" si="132"/>
        <v>0</v>
      </c>
      <c r="Z391" s="2210">
        <f t="shared" si="127"/>
        <v>0</v>
      </c>
      <c r="AA391" s="2210">
        <f t="shared" si="128"/>
        <v>0</v>
      </c>
      <c r="AB391" s="2210">
        <f t="shared" si="129"/>
        <v>0</v>
      </c>
      <c r="AC391" s="2210">
        <f t="shared" si="130"/>
        <v>0</v>
      </c>
      <c r="AG391" s="2210">
        <f t="shared" si="133"/>
        <v>0</v>
      </c>
      <c r="AH391" s="2210">
        <f t="shared" si="131"/>
        <v>0</v>
      </c>
    </row>
    <row r="392" spans="1:34" x14ac:dyDescent="0.4">
      <c r="A392" s="2210">
        <f t="shared" si="116"/>
        <v>390</v>
      </c>
      <c r="B392" s="2214"/>
      <c r="C392" s="2214"/>
      <c r="D392" s="2214"/>
      <c r="E392" s="2214"/>
      <c r="F392" s="2214"/>
      <c r="G392" s="2214"/>
      <c r="H392" s="2214"/>
      <c r="M392" s="2210">
        <f t="shared" si="117"/>
        <v>0</v>
      </c>
      <c r="N392" s="2210">
        <f t="shared" si="118"/>
        <v>0</v>
      </c>
      <c r="O392" s="2210">
        <f t="shared" si="119"/>
        <v>0</v>
      </c>
      <c r="P392" s="2210">
        <f t="shared" si="120"/>
        <v>0</v>
      </c>
      <c r="Q392" s="2210">
        <f t="shared" si="121"/>
        <v>0</v>
      </c>
      <c r="R392" s="2210">
        <f t="shared" si="122"/>
        <v>0</v>
      </c>
      <c r="S392" s="2210">
        <f t="shared" si="123"/>
        <v>0</v>
      </c>
      <c r="V392" s="2210">
        <f t="shared" si="124"/>
        <v>0</v>
      </c>
      <c r="W392" s="2210">
        <f t="shared" si="125"/>
        <v>0</v>
      </c>
      <c r="X392" s="2210">
        <f t="shared" si="126"/>
        <v>0</v>
      </c>
      <c r="Y392" s="2210">
        <f t="shared" si="132"/>
        <v>0</v>
      </c>
      <c r="Z392" s="2210">
        <f t="shared" si="127"/>
        <v>0</v>
      </c>
      <c r="AA392" s="2210">
        <f t="shared" si="128"/>
        <v>0</v>
      </c>
      <c r="AB392" s="2210">
        <f t="shared" si="129"/>
        <v>0</v>
      </c>
      <c r="AC392" s="2210">
        <f t="shared" si="130"/>
        <v>0</v>
      </c>
      <c r="AG392" s="2210">
        <f t="shared" si="133"/>
        <v>0</v>
      </c>
      <c r="AH392" s="2210">
        <f t="shared" si="131"/>
        <v>0</v>
      </c>
    </row>
    <row r="393" spans="1:34" x14ac:dyDescent="0.4">
      <c r="A393" s="2210">
        <f t="shared" si="116"/>
        <v>391</v>
      </c>
      <c r="B393" s="2214"/>
      <c r="C393" s="2214"/>
      <c r="D393" s="2214"/>
      <c r="E393" s="2214"/>
      <c r="F393" s="2214"/>
      <c r="G393" s="2214"/>
      <c r="H393" s="2214"/>
      <c r="M393" s="2210">
        <f t="shared" si="117"/>
        <v>0</v>
      </c>
      <c r="N393" s="2210">
        <f t="shared" si="118"/>
        <v>0</v>
      </c>
      <c r="O393" s="2210">
        <f t="shared" si="119"/>
        <v>0</v>
      </c>
      <c r="P393" s="2210">
        <f t="shared" si="120"/>
        <v>0</v>
      </c>
      <c r="Q393" s="2210">
        <f t="shared" si="121"/>
        <v>0</v>
      </c>
      <c r="R393" s="2210">
        <f t="shared" si="122"/>
        <v>0</v>
      </c>
      <c r="S393" s="2210">
        <f t="shared" si="123"/>
        <v>0</v>
      </c>
      <c r="V393" s="2210">
        <f t="shared" si="124"/>
        <v>0</v>
      </c>
      <c r="W393" s="2210">
        <f t="shared" si="125"/>
        <v>0</v>
      </c>
      <c r="X393" s="2210">
        <f t="shared" si="126"/>
        <v>0</v>
      </c>
      <c r="Y393" s="2210">
        <f t="shared" si="132"/>
        <v>0</v>
      </c>
      <c r="Z393" s="2210">
        <f t="shared" si="127"/>
        <v>0</v>
      </c>
      <c r="AA393" s="2210">
        <f t="shared" si="128"/>
        <v>0</v>
      </c>
      <c r="AB393" s="2210">
        <f t="shared" si="129"/>
        <v>0</v>
      </c>
      <c r="AC393" s="2210">
        <f t="shared" si="130"/>
        <v>0</v>
      </c>
      <c r="AG393" s="2210">
        <f t="shared" si="133"/>
        <v>0</v>
      </c>
      <c r="AH393" s="2210">
        <f t="shared" si="131"/>
        <v>0</v>
      </c>
    </row>
    <row r="394" spans="1:34" x14ac:dyDescent="0.4">
      <c r="A394" s="2210">
        <f t="shared" si="116"/>
        <v>392</v>
      </c>
      <c r="B394" s="2214"/>
      <c r="C394" s="2214"/>
      <c r="D394" s="2214"/>
      <c r="E394" s="2214"/>
      <c r="F394" s="2214"/>
      <c r="G394" s="2214"/>
      <c r="H394" s="2214"/>
      <c r="M394" s="2210">
        <f t="shared" si="117"/>
        <v>0</v>
      </c>
      <c r="N394" s="2210">
        <f t="shared" si="118"/>
        <v>0</v>
      </c>
      <c r="O394" s="2210">
        <f t="shared" si="119"/>
        <v>0</v>
      </c>
      <c r="P394" s="2210">
        <f t="shared" si="120"/>
        <v>0</v>
      </c>
      <c r="Q394" s="2210">
        <f t="shared" si="121"/>
        <v>0</v>
      </c>
      <c r="R394" s="2210">
        <f t="shared" si="122"/>
        <v>0</v>
      </c>
      <c r="S394" s="2210">
        <f t="shared" si="123"/>
        <v>0</v>
      </c>
      <c r="V394" s="2210">
        <f t="shared" si="124"/>
        <v>0</v>
      </c>
      <c r="W394" s="2210">
        <f t="shared" si="125"/>
        <v>0</v>
      </c>
      <c r="X394" s="2210">
        <f t="shared" si="126"/>
        <v>0</v>
      </c>
      <c r="Y394" s="2210">
        <f t="shared" si="132"/>
        <v>0</v>
      </c>
      <c r="Z394" s="2210">
        <f t="shared" si="127"/>
        <v>0</v>
      </c>
      <c r="AA394" s="2210">
        <f t="shared" si="128"/>
        <v>0</v>
      </c>
      <c r="AB394" s="2210">
        <f t="shared" si="129"/>
        <v>0</v>
      </c>
      <c r="AC394" s="2210">
        <f t="shared" si="130"/>
        <v>0</v>
      </c>
      <c r="AG394" s="2210">
        <f t="shared" si="133"/>
        <v>0</v>
      </c>
      <c r="AH394" s="2210">
        <f t="shared" si="131"/>
        <v>0</v>
      </c>
    </row>
    <row r="395" spans="1:34" x14ac:dyDescent="0.4">
      <c r="A395" s="2210">
        <f t="shared" si="116"/>
        <v>393</v>
      </c>
      <c r="B395" s="2214"/>
      <c r="C395" s="2214"/>
      <c r="D395" s="2214"/>
      <c r="E395" s="2214"/>
      <c r="F395" s="2214"/>
      <c r="G395" s="2214"/>
      <c r="H395" s="2214"/>
      <c r="M395" s="2210">
        <f t="shared" si="117"/>
        <v>0</v>
      </c>
      <c r="N395" s="2210">
        <f t="shared" si="118"/>
        <v>0</v>
      </c>
      <c r="O395" s="2210">
        <f t="shared" si="119"/>
        <v>0</v>
      </c>
      <c r="P395" s="2210">
        <f t="shared" si="120"/>
        <v>0</v>
      </c>
      <c r="Q395" s="2210">
        <f t="shared" si="121"/>
        <v>0</v>
      </c>
      <c r="R395" s="2210">
        <f t="shared" si="122"/>
        <v>0</v>
      </c>
      <c r="S395" s="2210">
        <f t="shared" si="123"/>
        <v>0</v>
      </c>
      <c r="V395" s="2210">
        <f t="shared" si="124"/>
        <v>0</v>
      </c>
      <c r="W395" s="2210">
        <f t="shared" si="125"/>
        <v>0</v>
      </c>
      <c r="X395" s="2210">
        <f t="shared" si="126"/>
        <v>0</v>
      </c>
      <c r="Y395" s="2210">
        <f t="shared" si="132"/>
        <v>0</v>
      </c>
      <c r="Z395" s="2210">
        <f t="shared" si="127"/>
        <v>0</v>
      </c>
      <c r="AA395" s="2210">
        <f t="shared" si="128"/>
        <v>0</v>
      </c>
      <c r="AB395" s="2210">
        <f t="shared" si="129"/>
        <v>0</v>
      </c>
      <c r="AC395" s="2210">
        <f t="shared" si="130"/>
        <v>0</v>
      </c>
      <c r="AG395" s="2210">
        <f t="shared" si="133"/>
        <v>0</v>
      </c>
      <c r="AH395" s="2210">
        <f t="shared" si="131"/>
        <v>0</v>
      </c>
    </row>
    <row r="396" spans="1:34" x14ac:dyDescent="0.4">
      <c r="A396" s="2210">
        <f t="shared" si="116"/>
        <v>394</v>
      </c>
      <c r="B396" s="2214"/>
      <c r="C396" s="2214"/>
      <c r="D396" s="2214"/>
      <c r="E396" s="2214"/>
      <c r="F396" s="2214"/>
      <c r="G396" s="2214"/>
      <c r="H396" s="2214"/>
      <c r="M396" s="2210">
        <f t="shared" si="117"/>
        <v>0</v>
      </c>
      <c r="N396" s="2210">
        <f t="shared" si="118"/>
        <v>0</v>
      </c>
      <c r="O396" s="2210">
        <f t="shared" si="119"/>
        <v>0</v>
      </c>
      <c r="P396" s="2210">
        <f t="shared" si="120"/>
        <v>0</v>
      </c>
      <c r="Q396" s="2210">
        <f t="shared" si="121"/>
        <v>0</v>
      </c>
      <c r="R396" s="2210">
        <f t="shared" si="122"/>
        <v>0</v>
      </c>
      <c r="S396" s="2210">
        <f t="shared" si="123"/>
        <v>0</v>
      </c>
      <c r="V396" s="2210">
        <f t="shared" si="124"/>
        <v>0</v>
      </c>
      <c r="W396" s="2210">
        <f t="shared" si="125"/>
        <v>0</v>
      </c>
      <c r="X396" s="2210">
        <f t="shared" si="126"/>
        <v>0</v>
      </c>
      <c r="Y396" s="2210">
        <f t="shared" si="132"/>
        <v>0</v>
      </c>
      <c r="Z396" s="2210">
        <f t="shared" si="127"/>
        <v>0</v>
      </c>
      <c r="AA396" s="2210">
        <f t="shared" si="128"/>
        <v>0</v>
      </c>
      <c r="AB396" s="2210">
        <f t="shared" si="129"/>
        <v>0</v>
      </c>
      <c r="AC396" s="2210">
        <f t="shared" si="130"/>
        <v>0</v>
      </c>
      <c r="AG396" s="2210">
        <f t="shared" si="133"/>
        <v>0</v>
      </c>
      <c r="AH396" s="2210">
        <f t="shared" si="131"/>
        <v>0</v>
      </c>
    </row>
    <row r="397" spans="1:34" x14ac:dyDescent="0.4">
      <c r="A397" s="2210">
        <f t="shared" si="116"/>
        <v>395</v>
      </c>
      <c r="B397" s="2214"/>
      <c r="C397" s="2214"/>
      <c r="D397" s="2214"/>
      <c r="E397" s="2214"/>
      <c r="F397" s="2214"/>
      <c r="G397" s="2214"/>
      <c r="H397" s="2214"/>
      <c r="M397" s="2210">
        <f t="shared" si="117"/>
        <v>0</v>
      </c>
      <c r="N397" s="2210">
        <f t="shared" si="118"/>
        <v>0</v>
      </c>
      <c r="O397" s="2210">
        <f t="shared" si="119"/>
        <v>0</v>
      </c>
      <c r="P397" s="2210">
        <f t="shared" si="120"/>
        <v>0</v>
      </c>
      <c r="Q397" s="2210">
        <f t="shared" si="121"/>
        <v>0</v>
      </c>
      <c r="R397" s="2210">
        <f t="shared" si="122"/>
        <v>0</v>
      </c>
      <c r="S397" s="2210">
        <f t="shared" si="123"/>
        <v>0</v>
      </c>
      <c r="V397" s="2210">
        <f t="shared" si="124"/>
        <v>0</v>
      </c>
      <c r="W397" s="2210">
        <f t="shared" si="125"/>
        <v>0</v>
      </c>
      <c r="X397" s="2210">
        <f t="shared" si="126"/>
        <v>0</v>
      </c>
      <c r="Y397" s="2210">
        <f t="shared" si="132"/>
        <v>0</v>
      </c>
      <c r="Z397" s="2210">
        <f t="shared" si="127"/>
        <v>0</v>
      </c>
      <c r="AA397" s="2210">
        <f t="shared" si="128"/>
        <v>0</v>
      </c>
      <c r="AB397" s="2210">
        <f t="shared" si="129"/>
        <v>0</v>
      </c>
      <c r="AC397" s="2210">
        <f t="shared" si="130"/>
        <v>0</v>
      </c>
      <c r="AG397" s="2210">
        <f t="shared" si="133"/>
        <v>0</v>
      </c>
      <c r="AH397" s="2210">
        <f t="shared" si="131"/>
        <v>0</v>
      </c>
    </row>
    <row r="398" spans="1:34" x14ac:dyDescent="0.4">
      <c r="A398" s="2210">
        <f t="shared" si="116"/>
        <v>396</v>
      </c>
      <c r="B398" s="2214"/>
      <c r="C398" s="2214"/>
      <c r="D398" s="2214"/>
      <c r="E398" s="2214"/>
      <c r="F398" s="2214"/>
      <c r="G398" s="2214"/>
      <c r="H398" s="2214"/>
      <c r="M398" s="2210">
        <f t="shared" si="117"/>
        <v>0</v>
      </c>
      <c r="N398" s="2210">
        <f t="shared" si="118"/>
        <v>0</v>
      </c>
      <c r="O398" s="2210">
        <f t="shared" si="119"/>
        <v>0</v>
      </c>
      <c r="P398" s="2210">
        <f t="shared" si="120"/>
        <v>0</v>
      </c>
      <c r="Q398" s="2210">
        <f t="shared" si="121"/>
        <v>0</v>
      </c>
      <c r="R398" s="2210">
        <f t="shared" si="122"/>
        <v>0</v>
      </c>
      <c r="S398" s="2210">
        <f t="shared" si="123"/>
        <v>0</v>
      </c>
      <c r="V398" s="2210">
        <f t="shared" si="124"/>
        <v>0</v>
      </c>
      <c r="W398" s="2210">
        <f t="shared" si="125"/>
        <v>0</v>
      </c>
      <c r="X398" s="2210">
        <f t="shared" si="126"/>
        <v>0</v>
      </c>
      <c r="Y398" s="2210">
        <f t="shared" si="132"/>
        <v>0</v>
      </c>
      <c r="Z398" s="2210">
        <f t="shared" si="127"/>
        <v>0</v>
      </c>
      <c r="AA398" s="2210">
        <f t="shared" si="128"/>
        <v>0</v>
      </c>
      <c r="AB398" s="2210">
        <f t="shared" si="129"/>
        <v>0</v>
      </c>
      <c r="AC398" s="2210">
        <f t="shared" si="130"/>
        <v>0</v>
      </c>
      <c r="AG398" s="2210">
        <f t="shared" si="133"/>
        <v>0</v>
      </c>
      <c r="AH398" s="2210">
        <f t="shared" si="131"/>
        <v>0</v>
      </c>
    </row>
    <row r="399" spans="1:34" x14ac:dyDescent="0.4">
      <c r="A399" s="2210">
        <f t="shared" si="116"/>
        <v>397</v>
      </c>
      <c r="B399" s="2214"/>
      <c r="C399" s="2214"/>
      <c r="D399" s="2214"/>
      <c r="E399" s="2214"/>
      <c r="F399" s="2214"/>
      <c r="G399" s="2214"/>
      <c r="H399" s="2214"/>
      <c r="M399" s="2210">
        <f t="shared" si="117"/>
        <v>0</v>
      </c>
      <c r="N399" s="2210">
        <f t="shared" si="118"/>
        <v>0</v>
      </c>
      <c r="O399" s="2210">
        <f t="shared" si="119"/>
        <v>0</v>
      </c>
      <c r="P399" s="2210">
        <f t="shared" si="120"/>
        <v>0</v>
      </c>
      <c r="Q399" s="2210">
        <f t="shared" si="121"/>
        <v>0</v>
      </c>
      <c r="R399" s="2210">
        <f t="shared" si="122"/>
        <v>0</v>
      </c>
      <c r="S399" s="2210">
        <f t="shared" si="123"/>
        <v>0</v>
      </c>
      <c r="V399" s="2210">
        <f t="shared" si="124"/>
        <v>0</v>
      </c>
      <c r="W399" s="2210">
        <f t="shared" si="125"/>
        <v>0</v>
      </c>
      <c r="X399" s="2210">
        <f t="shared" si="126"/>
        <v>0</v>
      </c>
      <c r="Y399" s="2210">
        <f t="shared" si="132"/>
        <v>0</v>
      </c>
      <c r="Z399" s="2210">
        <f t="shared" si="127"/>
        <v>0</v>
      </c>
      <c r="AA399" s="2210">
        <f t="shared" si="128"/>
        <v>0</v>
      </c>
      <c r="AB399" s="2210">
        <f t="shared" si="129"/>
        <v>0</v>
      </c>
      <c r="AC399" s="2210">
        <f t="shared" si="130"/>
        <v>0</v>
      </c>
      <c r="AG399" s="2210">
        <f t="shared" si="133"/>
        <v>0</v>
      </c>
      <c r="AH399" s="2210">
        <f t="shared" si="131"/>
        <v>0</v>
      </c>
    </row>
    <row r="400" spans="1:34" x14ac:dyDescent="0.4">
      <c r="A400" s="2210">
        <f t="shared" si="116"/>
        <v>398</v>
      </c>
      <c r="B400" s="2214"/>
      <c r="C400" s="2214"/>
      <c r="D400" s="2214"/>
      <c r="E400" s="2214"/>
      <c r="F400" s="2214"/>
      <c r="G400" s="2214"/>
      <c r="H400" s="2214"/>
      <c r="M400" s="2210">
        <f t="shared" si="117"/>
        <v>0</v>
      </c>
      <c r="N400" s="2210">
        <f t="shared" si="118"/>
        <v>0</v>
      </c>
      <c r="O400" s="2210">
        <f t="shared" si="119"/>
        <v>0</v>
      </c>
      <c r="P400" s="2210">
        <f t="shared" si="120"/>
        <v>0</v>
      </c>
      <c r="Q400" s="2210">
        <f t="shared" si="121"/>
        <v>0</v>
      </c>
      <c r="R400" s="2210">
        <f t="shared" si="122"/>
        <v>0</v>
      </c>
      <c r="S400" s="2210">
        <f t="shared" si="123"/>
        <v>0</v>
      </c>
      <c r="V400" s="2210">
        <f t="shared" si="124"/>
        <v>0</v>
      </c>
      <c r="W400" s="2210">
        <f t="shared" si="125"/>
        <v>0</v>
      </c>
      <c r="X400" s="2210">
        <f t="shared" si="126"/>
        <v>0</v>
      </c>
      <c r="Y400" s="2210">
        <f t="shared" si="132"/>
        <v>0</v>
      </c>
      <c r="Z400" s="2210">
        <f t="shared" si="127"/>
        <v>0</v>
      </c>
      <c r="AA400" s="2210">
        <f t="shared" si="128"/>
        <v>0</v>
      </c>
      <c r="AB400" s="2210">
        <f t="shared" si="129"/>
        <v>0</v>
      </c>
      <c r="AC400" s="2210">
        <f t="shared" si="130"/>
        <v>0</v>
      </c>
      <c r="AG400" s="2210">
        <f t="shared" si="133"/>
        <v>0</v>
      </c>
      <c r="AH400" s="2210">
        <f t="shared" si="131"/>
        <v>0</v>
      </c>
    </row>
    <row r="401" spans="1:34" x14ac:dyDescent="0.4">
      <c r="A401" s="2210">
        <f t="shared" si="116"/>
        <v>399</v>
      </c>
      <c r="B401" s="2214"/>
      <c r="C401" s="2214"/>
      <c r="D401" s="2214"/>
      <c r="E401" s="2214"/>
      <c r="F401" s="2214"/>
      <c r="G401" s="2214"/>
      <c r="H401" s="2214"/>
      <c r="M401" s="2210">
        <f t="shared" si="117"/>
        <v>0</v>
      </c>
      <c r="N401" s="2210">
        <f t="shared" si="118"/>
        <v>0</v>
      </c>
      <c r="O401" s="2210">
        <f t="shared" si="119"/>
        <v>0</v>
      </c>
      <c r="P401" s="2210">
        <f t="shared" si="120"/>
        <v>0</v>
      </c>
      <c r="Q401" s="2210">
        <f t="shared" si="121"/>
        <v>0</v>
      </c>
      <c r="R401" s="2210">
        <f t="shared" si="122"/>
        <v>0</v>
      </c>
      <c r="S401" s="2210">
        <f t="shared" si="123"/>
        <v>0</v>
      </c>
      <c r="V401" s="2210">
        <f t="shared" si="124"/>
        <v>0</v>
      </c>
      <c r="W401" s="2210">
        <f t="shared" si="125"/>
        <v>0</v>
      </c>
      <c r="X401" s="2210">
        <f t="shared" si="126"/>
        <v>0</v>
      </c>
      <c r="Y401" s="2210">
        <f t="shared" si="132"/>
        <v>0</v>
      </c>
      <c r="Z401" s="2210">
        <f t="shared" si="127"/>
        <v>0</v>
      </c>
      <c r="AA401" s="2210">
        <f t="shared" si="128"/>
        <v>0</v>
      </c>
      <c r="AB401" s="2210">
        <f t="shared" si="129"/>
        <v>0</v>
      </c>
      <c r="AC401" s="2210">
        <f t="shared" si="130"/>
        <v>0</v>
      </c>
      <c r="AG401" s="2210">
        <f t="shared" si="133"/>
        <v>0</v>
      </c>
      <c r="AH401" s="2210">
        <f t="shared" si="131"/>
        <v>0</v>
      </c>
    </row>
    <row r="402" spans="1:34" x14ac:dyDescent="0.4">
      <c r="A402" s="2210">
        <f t="shared" si="116"/>
        <v>400</v>
      </c>
      <c r="B402" s="2214"/>
      <c r="C402" s="2214"/>
      <c r="D402" s="2214"/>
      <c r="E402" s="2214"/>
      <c r="F402" s="2214"/>
      <c r="G402" s="2214"/>
      <c r="H402" s="2214"/>
      <c r="M402" s="2210">
        <f t="shared" si="117"/>
        <v>0</v>
      </c>
      <c r="N402" s="2210">
        <f t="shared" si="118"/>
        <v>0</v>
      </c>
      <c r="O402" s="2210">
        <f t="shared" si="119"/>
        <v>0</v>
      </c>
      <c r="P402" s="2210">
        <f t="shared" si="120"/>
        <v>0</v>
      </c>
      <c r="Q402" s="2210">
        <f t="shared" si="121"/>
        <v>0</v>
      </c>
      <c r="R402" s="2210">
        <f t="shared" si="122"/>
        <v>0</v>
      </c>
      <c r="S402" s="2210">
        <f t="shared" si="123"/>
        <v>0</v>
      </c>
      <c r="V402" s="2210">
        <f t="shared" si="124"/>
        <v>0</v>
      </c>
      <c r="W402" s="2210">
        <f t="shared" si="125"/>
        <v>0</v>
      </c>
      <c r="X402" s="2210">
        <f t="shared" si="126"/>
        <v>0</v>
      </c>
      <c r="Y402" s="2210">
        <f t="shared" si="132"/>
        <v>0</v>
      </c>
      <c r="Z402" s="2210">
        <f t="shared" si="127"/>
        <v>0</v>
      </c>
      <c r="AA402" s="2210">
        <f t="shared" si="128"/>
        <v>0</v>
      </c>
      <c r="AB402" s="2210">
        <f t="shared" si="129"/>
        <v>0</v>
      </c>
      <c r="AC402" s="2210">
        <f t="shared" si="130"/>
        <v>0</v>
      </c>
      <c r="AG402" s="2210">
        <f t="shared" si="133"/>
        <v>0</v>
      </c>
      <c r="AH402" s="2210">
        <f t="shared" si="131"/>
        <v>0</v>
      </c>
    </row>
    <row r="403" spans="1:34" x14ac:dyDescent="0.4">
      <c r="A403" s="2210">
        <f t="shared" si="116"/>
        <v>401</v>
      </c>
      <c r="B403" s="2214"/>
      <c r="C403" s="2214"/>
      <c r="D403" s="2214"/>
      <c r="E403" s="2214"/>
      <c r="F403" s="2214"/>
      <c r="G403" s="2214"/>
      <c r="H403" s="2214"/>
      <c r="M403" s="2210">
        <f t="shared" si="117"/>
        <v>0</v>
      </c>
      <c r="N403" s="2210">
        <f t="shared" si="118"/>
        <v>0</v>
      </c>
      <c r="O403" s="2210">
        <f t="shared" si="119"/>
        <v>0</v>
      </c>
      <c r="P403" s="2210">
        <f t="shared" si="120"/>
        <v>0</v>
      </c>
      <c r="Q403" s="2210">
        <f t="shared" si="121"/>
        <v>0</v>
      </c>
      <c r="R403" s="2210">
        <f t="shared" si="122"/>
        <v>0</v>
      </c>
      <c r="S403" s="2210">
        <f t="shared" si="123"/>
        <v>0</v>
      </c>
      <c r="V403" s="2210">
        <f t="shared" si="124"/>
        <v>0</v>
      </c>
      <c r="W403" s="2210">
        <f t="shared" si="125"/>
        <v>0</v>
      </c>
      <c r="X403" s="2210">
        <f t="shared" si="126"/>
        <v>0</v>
      </c>
      <c r="Y403" s="2210">
        <f t="shared" si="132"/>
        <v>0</v>
      </c>
      <c r="Z403" s="2210">
        <f t="shared" si="127"/>
        <v>0</v>
      </c>
      <c r="AA403" s="2210">
        <f t="shared" si="128"/>
        <v>0</v>
      </c>
      <c r="AB403" s="2210">
        <f t="shared" si="129"/>
        <v>0</v>
      </c>
      <c r="AC403" s="2210">
        <f t="shared" si="130"/>
        <v>0</v>
      </c>
      <c r="AG403" s="2210">
        <f t="shared" si="133"/>
        <v>0</v>
      </c>
      <c r="AH403" s="2210">
        <f t="shared" si="131"/>
        <v>0</v>
      </c>
    </row>
    <row r="404" spans="1:34" x14ac:dyDescent="0.4">
      <c r="A404" s="2210">
        <f t="shared" si="116"/>
        <v>402</v>
      </c>
      <c r="B404" s="2214"/>
      <c r="C404" s="2214"/>
      <c r="D404" s="2214"/>
      <c r="E404" s="2214"/>
      <c r="F404" s="2214"/>
      <c r="G404" s="2214"/>
      <c r="H404" s="2214"/>
      <c r="M404" s="2210">
        <f t="shared" si="117"/>
        <v>0</v>
      </c>
      <c r="N404" s="2210">
        <f t="shared" si="118"/>
        <v>0</v>
      </c>
      <c r="O404" s="2210">
        <f t="shared" si="119"/>
        <v>0</v>
      </c>
      <c r="P404" s="2210">
        <f t="shared" si="120"/>
        <v>0</v>
      </c>
      <c r="Q404" s="2210">
        <f t="shared" si="121"/>
        <v>0</v>
      </c>
      <c r="R404" s="2210">
        <f t="shared" si="122"/>
        <v>0</v>
      </c>
      <c r="S404" s="2210">
        <f t="shared" si="123"/>
        <v>0</v>
      </c>
      <c r="V404" s="2210">
        <f t="shared" si="124"/>
        <v>0</v>
      </c>
      <c r="W404" s="2210">
        <f t="shared" si="125"/>
        <v>0</v>
      </c>
      <c r="X404" s="2210">
        <f t="shared" si="126"/>
        <v>0</v>
      </c>
      <c r="Y404" s="2210">
        <f t="shared" si="132"/>
        <v>0</v>
      </c>
      <c r="Z404" s="2210">
        <f t="shared" si="127"/>
        <v>0</v>
      </c>
      <c r="AA404" s="2210">
        <f t="shared" si="128"/>
        <v>0</v>
      </c>
      <c r="AB404" s="2210">
        <f t="shared" si="129"/>
        <v>0</v>
      </c>
      <c r="AC404" s="2210">
        <f t="shared" si="130"/>
        <v>0</v>
      </c>
      <c r="AG404" s="2210">
        <f t="shared" si="133"/>
        <v>0</v>
      </c>
      <c r="AH404" s="2210">
        <f t="shared" si="131"/>
        <v>0</v>
      </c>
    </row>
    <row r="405" spans="1:34" x14ac:dyDescent="0.4">
      <c r="A405" s="2210">
        <f t="shared" si="116"/>
        <v>403</v>
      </c>
      <c r="B405" s="2214"/>
      <c r="C405" s="2214"/>
      <c r="D405" s="2214"/>
      <c r="E405" s="2214"/>
      <c r="F405" s="2214"/>
      <c r="G405" s="2214"/>
      <c r="H405" s="2214"/>
      <c r="M405" s="2210">
        <f t="shared" si="117"/>
        <v>0</v>
      </c>
      <c r="N405" s="2210">
        <f t="shared" si="118"/>
        <v>0</v>
      </c>
      <c r="O405" s="2210">
        <f t="shared" si="119"/>
        <v>0</v>
      </c>
      <c r="P405" s="2210">
        <f t="shared" si="120"/>
        <v>0</v>
      </c>
      <c r="Q405" s="2210">
        <f t="shared" si="121"/>
        <v>0</v>
      </c>
      <c r="R405" s="2210">
        <f t="shared" si="122"/>
        <v>0</v>
      </c>
      <c r="S405" s="2210">
        <f t="shared" si="123"/>
        <v>0</v>
      </c>
      <c r="V405" s="2210">
        <f t="shared" si="124"/>
        <v>0</v>
      </c>
      <c r="W405" s="2210">
        <f t="shared" si="125"/>
        <v>0</v>
      </c>
      <c r="X405" s="2210">
        <f t="shared" si="126"/>
        <v>0</v>
      </c>
      <c r="Y405" s="2210">
        <f t="shared" si="132"/>
        <v>0</v>
      </c>
      <c r="Z405" s="2210">
        <f t="shared" si="127"/>
        <v>0</v>
      </c>
      <c r="AA405" s="2210">
        <f t="shared" si="128"/>
        <v>0</v>
      </c>
      <c r="AB405" s="2210">
        <f t="shared" si="129"/>
        <v>0</v>
      </c>
      <c r="AC405" s="2210">
        <f t="shared" si="130"/>
        <v>0</v>
      </c>
      <c r="AG405" s="2210">
        <f t="shared" si="133"/>
        <v>0</v>
      </c>
      <c r="AH405" s="2210">
        <f t="shared" si="131"/>
        <v>0</v>
      </c>
    </row>
    <row r="406" spans="1:34" x14ac:dyDescent="0.4">
      <c r="A406" s="2210">
        <f t="shared" si="116"/>
        <v>404</v>
      </c>
      <c r="B406" s="2214"/>
      <c r="C406" s="2214"/>
      <c r="D406" s="2214"/>
      <c r="E406" s="2214"/>
      <c r="F406" s="2214"/>
      <c r="G406" s="2214"/>
      <c r="H406" s="2214"/>
      <c r="M406" s="2210">
        <f t="shared" si="117"/>
        <v>0</v>
      </c>
      <c r="N406" s="2210">
        <f t="shared" si="118"/>
        <v>0</v>
      </c>
      <c r="O406" s="2210">
        <f t="shared" si="119"/>
        <v>0</v>
      </c>
      <c r="P406" s="2210">
        <f t="shared" si="120"/>
        <v>0</v>
      </c>
      <c r="Q406" s="2210">
        <f t="shared" si="121"/>
        <v>0</v>
      </c>
      <c r="R406" s="2210">
        <f t="shared" si="122"/>
        <v>0</v>
      </c>
      <c r="S406" s="2210">
        <f t="shared" si="123"/>
        <v>0</v>
      </c>
      <c r="V406" s="2210">
        <f t="shared" si="124"/>
        <v>0</v>
      </c>
      <c r="W406" s="2210">
        <f t="shared" si="125"/>
        <v>0</v>
      </c>
      <c r="X406" s="2210">
        <f t="shared" si="126"/>
        <v>0</v>
      </c>
      <c r="Y406" s="2210">
        <f t="shared" si="132"/>
        <v>0</v>
      </c>
      <c r="Z406" s="2210">
        <f t="shared" si="127"/>
        <v>0</v>
      </c>
      <c r="AA406" s="2210">
        <f t="shared" si="128"/>
        <v>0</v>
      </c>
      <c r="AB406" s="2210">
        <f t="shared" si="129"/>
        <v>0</v>
      </c>
      <c r="AC406" s="2210">
        <f t="shared" si="130"/>
        <v>0</v>
      </c>
      <c r="AG406" s="2210">
        <f t="shared" si="133"/>
        <v>0</v>
      </c>
      <c r="AH406" s="2210">
        <f t="shared" si="131"/>
        <v>0</v>
      </c>
    </row>
    <row r="407" spans="1:34" x14ac:dyDescent="0.4">
      <c r="A407" s="2210">
        <f t="shared" si="116"/>
        <v>405</v>
      </c>
      <c r="B407" s="2214"/>
      <c r="C407" s="2214"/>
      <c r="D407" s="2214"/>
      <c r="E407" s="2214"/>
      <c r="F407" s="2214"/>
      <c r="G407" s="2214"/>
      <c r="H407" s="2214"/>
      <c r="M407" s="2210">
        <f t="shared" si="117"/>
        <v>0</v>
      </c>
      <c r="N407" s="2210">
        <f t="shared" si="118"/>
        <v>0</v>
      </c>
      <c r="O407" s="2210">
        <f t="shared" si="119"/>
        <v>0</v>
      </c>
      <c r="P407" s="2210">
        <f t="shared" si="120"/>
        <v>0</v>
      </c>
      <c r="Q407" s="2210">
        <f t="shared" si="121"/>
        <v>0</v>
      </c>
      <c r="R407" s="2210">
        <f t="shared" si="122"/>
        <v>0</v>
      </c>
      <c r="S407" s="2210">
        <f t="shared" si="123"/>
        <v>0</v>
      </c>
      <c r="V407" s="2210">
        <f t="shared" si="124"/>
        <v>0</v>
      </c>
      <c r="W407" s="2210">
        <f t="shared" si="125"/>
        <v>0</v>
      </c>
      <c r="X407" s="2210">
        <f t="shared" si="126"/>
        <v>0</v>
      </c>
      <c r="Y407" s="2210">
        <f t="shared" si="132"/>
        <v>0</v>
      </c>
      <c r="Z407" s="2210">
        <f t="shared" si="127"/>
        <v>0</v>
      </c>
      <c r="AA407" s="2210">
        <f t="shared" si="128"/>
        <v>0</v>
      </c>
      <c r="AB407" s="2210">
        <f t="shared" si="129"/>
        <v>0</v>
      </c>
      <c r="AC407" s="2210">
        <f t="shared" si="130"/>
        <v>0</v>
      </c>
      <c r="AG407" s="2210">
        <f t="shared" si="133"/>
        <v>0</v>
      </c>
      <c r="AH407" s="2210">
        <f t="shared" si="131"/>
        <v>0</v>
      </c>
    </row>
    <row r="408" spans="1:34" x14ac:dyDescent="0.4">
      <c r="A408" s="2210">
        <f t="shared" si="116"/>
        <v>406</v>
      </c>
      <c r="B408" s="2214"/>
      <c r="C408" s="2214"/>
      <c r="D408" s="2214"/>
      <c r="E408" s="2214"/>
      <c r="F408" s="2214"/>
      <c r="G408" s="2214"/>
      <c r="H408" s="2214"/>
      <c r="M408" s="2210">
        <f t="shared" si="117"/>
        <v>0</v>
      </c>
      <c r="N408" s="2210">
        <f t="shared" si="118"/>
        <v>0</v>
      </c>
      <c r="O408" s="2210">
        <f t="shared" si="119"/>
        <v>0</v>
      </c>
      <c r="P408" s="2210">
        <f t="shared" si="120"/>
        <v>0</v>
      </c>
      <c r="Q408" s="2210">
        <f t="shared" si="121"/>
        <v>0</v>
      </c>
      <c r="R408" s="2210">
        <f t="shared" si="122"/>
        <v>0</v>
      </c>
      <c r="S408" s="2210">
        <f t="shared" si="123"/>
        <v>0</v>
      </c>
      <c r="V408" s="2210">
        <f t="shared" si="124"/>
        <v>0</v>
      </c>
      <c r="W408" s="2210">
        <f t="shared" si="125"/>
        <v>0</v>
      </c>
      <c r="X408" s="2210">
        <f t="shared" si="126"/>
        <v>0</v>
      </c>
      <c r="Y408" s="2210">
        <f t="shared" si="132"/>
        <v>0</v>
      </c>
      <c r="Z408" s="2210">
        <f t="shared" si="127"/>
        <v>0</v>
      </c>
      <c r="AA408" s="2210">
        <f t="shared" si="128"/>
        <v>0</v>
      </c>
      <c r="AB408" s="2210">
        <f t="shared" si="129"/>
        <v>0</v>
      </c>
      <c r="AC408" s="2210">
        <f t="shared" si="130"/>
        <v>0</v>
      </c>
      <c r="AG408" s="2210">
        <f t="shared" si="133"/>
        <v>0</v>
      </c>
      <c r="AH408" s="2210">
        <f t="shared" si="131"/>
        <v>0</v>
      </c>
    </row>
    <row r="409" spans="1:34" x14ac:dyDescent="0.4">
      <c r="A409" s="2210">
        <f t="shared" si="116"/>
        <v>407</v>
      </c>
      <c r="B409" s="2214"/>
      <c r="C409" s="2214"/>
      <c r="D409" s="2214"/>
      <c r="E409" s="2214"/>
      <c r="F409" s="2214"/>
      <c r="G409" s="2214"/>
      <c r="H409" s="2214"/>
      <c r="M409" s="2210">
        <f t="shared" si="117"/>
        <v>0</v>
      </c>
      <c r="N409" s="2210">
        <f t="shared" si="118"/>
        <v>0</v>
      </c>
      <c r="O409" s="2210">
        <f t="shared" si="119"/>
        <v>0</v>
      </c>
      <c r="P409" s="2210">
        <f t="shared" si="120"/>
        <v>0</v>
      </c>
      <c r="Q409" s="2210">
        <f t="shared" si="121"/>
        <v>0</v>
      </c>
      <c r="R409" s="2210">
        <f t="shared" si="122"/>
        <v>0</v>
      </c>
      <c r="S409" s="2210">
        <f t="shared" si="123"/>
        <v>0</v>
      </c>
      <c r="V409" s="2210">
        <f t="shared" si="124"/>
        <v>0</v>
      </c>
      <c r="W409" s="2210">
        <f t="shared" si="125"/>
        <v>0</v>
      </c>
      <c r="X409" s="2210">
        <f t="shared" si="126"/>
        <v>0</v>
      </c>
      <c r="Y409" s="2210">
        <f t="shared" si="132"/>
        <v>0</v>
      </c>
      <c r="Z409" s="2210">
        <f t="shared" si="127"/>
        <v>0</v>
      </c>
      <c r="AA409" s="2210">
        <f t="shared" si="128"/>
        <v>0</v>
      </c>
      <c r="AB409" s="2210">
        <f t="shared" si="129"/>
        <v>0</v>
      </c>
      <c r="AC409" s="2210">
        <f t="shared" si="130"/>
        <v>0</v>
      </c>
      <c r="AG409" s="2210">
        <f t="shared" si="133"/>
        <v>0</v>
      </c>
      <c r="AH409" s="2210">
        <f t="shared" si="131"/>
        <v>0</v>
      </c>
    </row>
    <row r="410" spans="1:34" x14ac:dyDescent="0.4">
      <c r="A410" s="2210">
        <f t="shared" si="116"/>
        <v>408</v>
      </c>
      <c r="B410" s="2214"/>
      <c r="C410" s="2214"/>
      <c r="D410" s="2214"/>
      <c r="E410" s="2214"/>
      <c r="F410" s="2214"/>
      <c r="G410" s="2214"/>
      <c r="H410" s="2214"/>
      <c r="M410" s="2210">
        <f t="shared" si="117"/>
        <v>0</v>
      </c>
      <c r="N410" s="2210">
        <f t="shared" si="118"/>
        <v>0</v>
      </c>
      <c r="O410" s="2210">
        <f t="shared" si="119"/>
        <v>0</v>
      </c>
      <c r="P410" s="2210">
        <f t="shared" si="120"/>
        <v>0</v>
      </c>
      <c r="Q410" s="2210">
        <f t="shared" si="121"/>
        <v>0</v>
      </c>
      <c r="R410" s="2210">
        <f t="shared" si="122"/>
        <v>0</v>
      </c>
      <c r="S410" s="2210">
        <f t="shared" si="123"/>
        <v>0</v>
      </c>
      <c r="V410" s="2210">
        <f t="shared" si="124"/>
        <v>0</v>
      </c>
      <c r="W410" s="2210">
        <f t="shared" si="125"/>
        <v>0</v>
      </c>
      <c r="X410" s="2210">
        <f t="shared" si="126"/>
        <v>0</v>
      </c>
      <c r="Y410" s="2210">
        <f t="shared" si="132"/>
        <v>0</v>
      </c>
      <c r="Z410" s="2210">
        <f t="shared" si="127"/>
        <v>0</v>
      </c>
      <c r="AA410" s="2210">
        <f t="shared" si="128"/>
        <v>0</v>
      </c>
      <c r="AB410" s="2210">
        <f t="shared" si="129"/>
        <v>0</v>
      </c>
      <c r="AC410" s="2210">
        <f t="shared" si="130"/>
        <v>0</v>
      </c>
      <c r="AG410" s="2210">
        <f t="shared" si="133"/>
        <v>0</v>
      </c>
      <c r="AH410" s="2210">
        <f t="shared" si="131"/>
        <v>0</v>
      </c>
    </row>
    <row r="411" spans="1:34" x14ac:dyDescent="0.4">
      <c r="A411" s="2210">
        <f t="shared" si="116"/>
        <v>409</v>
      </c>
      <c r="B411" s="2214"/>
      <c r="C411" s="2214"/>
      <c r="D411" s="2214"/>
      <c r="E411" s="2214"/>
      <c r="F411" s="2214"/>
      <c r="G411" s="2214"/>
      <c r="H411" s="2214"/>
      <c r="M411" s="2210">
        <f t="shared" si="117"/>
        <v>0</v>
      </c>
      <c r="N411" s="2210">
        <f t="shared" si="118"/>
        <v>0</v>
      </c>
      <c r="O411" s="2210">
        <f t="shared" si="119"/>
        <v>0</v>
      </c>
      <c r="P411" s="2210">
        <f t="shared" si="120"/>
        <v>0</v>
      </c>
      <c r="Q411" s="2210">
        <f t="shared" si="121"/>
        <v>0</v>
      </c>
      <c r="R411" s="2210">
        <f t="shared" si="122"/>
        <v>0</v>
      </c>
      <c r="S411" s="2210">
        <f t="shared" si="123"/>
        <v>0</v>
      </c>
      <c r="V411" s="2210">
        <f t="shared" si="124"/>
        <v>0</v>
      </c>
      <c r="W411" s="2210">
        <f t="shared" si="125"/>
        <v>0</v>
      </c>
      <c r="X411" s="2210">
        <f t="shared" si="126"/>
        <v>0</v>
      </c>
      <c r="Y411" s="2210">
        <f t="shared" si="132"/>
        <v>0</v>
      </c>
      <c r="Z411" s="2210">
        <f t="shared" si="127"/>
        <v>0</v>
      </c>
      <c r="AA411" s="2210">
        <f t="shared" si="128"/>
        <v>0</v>
      </c>
      <c r="AB411" s="2210">
        <f t="shared" si="129"/>
        <v>0</v>
      </c>
      <c r="AC411" s="2210">
        <f t="shared" si="130"/>
        <v>0</v>
      </c>
      <c r="AG411" s="2210">
        <f t="shared" si="133"/>
        <v>0</v>
      </c>
      <c r="AH411" s="2210">
        <f t="shared" si="131"/>
        <v>0</v>
      </c>
    </row>
    <row r="412" spans="1:34" x14ac:dyDescent="0.4">
      <c r="A412" s="2210">
        <f t="shared" si="116"/>
        <v>410</v>
      </c>
      <c r="B412" s="2214"/>
      <c r="C412" s="2214"/>
      <c r="D412" s="2214"/>
      <c r="E412" s="2214"/>
      <c r="F412" s="2214"/>
      <c r="G412" s="2214"/>
      <c r="H412" s="2214"/>
      <c r="M412" s="2210">
        <f t="shared" si="117"/>
        <v>0</v>
      </c>
      <c r="N412" s="2210">
        <f t="shared" si="118"/>
        <v>0</v>
      </c>
      <c r="O412" s="2210">
        <f t="shared" si="119"/>
        <v>0</v>
      </c>
      <c r="P412" s="2210">
        <f t="shared" si="120"/>
        <v>0</v>
      </c>
      <c r="Q412" s="2210">
        <f t="shared" si="121"/>
        <v>0</v>
      </c>
      <c r="R412" s="2210">
        <f t="shared" si="122"/>
        <v>0</v>
      </c>
      <c r="S412" s="2210">
        <f t="shared" si="123"/>
        <v>0</v>
      </c>
      <c r="V412" s="2210">
        <f t="shared" si="124"/>
        <v>0</v>
      </c>
      <c r="W412" s="2210">
        <f t="shared" si="125"/>
        <v>0</v>
      </c>
      <c r="X412" s="2210">
        <f t="shared" si="126"/>
        <v>0</v>
      </c>
      <c r="Y412" s="2210">
        <f t="shared" si="132"/>
        <v>0</v>
      </c>
      <c r="Z412" s="2210">
        <f t="shared" si="127"/>
        <v>0</v>
      </c>
      <c r="AA412" s="2210">
        <f t="shared" si="128"/>
        <v>0</v>
      </c>
      <c r="AB412" s="2210">
        <f t="shared" si="129"/>
        <v>0</v>
      </c>
      <c r="AC412" s="2210">
        <f t="shared" si="130"/>
        <v>0</v>
      </c>
      <c r="AG412" s="2210">
        <f t="shared" si="133"/>
        <v>0</v>
      </c>
      <c r="AH412" s="2210">
        <f t="shared" si="131"/>
        <v>0</v>
      </c>
    </row>
    <row r="413" spans="1:34" x14ac:dyDescent="0.4">
      <c r="A413" s="2210">
        <f t="shared" si="116"/>
        <v>411</v>
      </c>
      <c r="B413" s="2214"/>
      <c r="C413" s="2214"/>
      <c r="D413" s="2214"/>
      <c r="E413" s="2214"/>
      <c r="F413" s="2214"/>
      <c r="G413" s="2214"/>
      <c r="H413" s="2214"/>
      <c r="M413" s="2210">
        <f t="shared" si="117"/>
        <v>0</v>
      </c>
      <c r="N413" s="2210">
        <f t="shared" si="118"/>
        <v>0</v>
      </c>
      <c r="O413" s="2210">
        <f t="shared" si="119"/>
        <v>0</v>
      </c>
      <c r="P413" s="2210">
        <f t="shared" si="120"/>
        <v>0</v>
      </c>
      <c r="Q413" s="2210">
        <f t="shared" si="121"/>
        <v>0</v>
      </c>
      <c r="R413" s="2210">
        <f t="shared" si="122"/>
        <v>0</v>
      </c>
      <c r="S413" s="2210">
        <f t="shared" si="123"/>
        <v>0</v>
      </c>
      <c r="V413" s="2210">
        <f t="shared" si="124"/>
        <v>0</v>
      </c>
      <c r="W413" s="2210">
        <f t="shared" si="125"/>
        <v>0</v>
      </c>
      <c r="X413" s="2210">
        <f t="shared" si="126"/>
        <v>0</v>
      </c>
      <c r="Y413" s="2210">
        <f t="shared" si="132"/>
        <v>0</v>
      </c>
      <c r="Z413" s="2210">
        <f t="shared" si="127"/>
        <v>0</v>
      </c>
      <c r="AA413" s="2210">
        <f t="shared" si="128"/>
        <v>0</v>
      </c>
      <c r="AB413" s="2210">
        <f t="shared" si="129"/>
        <v>0</v>
      </c>
      <c r="AC413" s="2210">
        <f t="shared" si="130"/>
        <v>0</v>
      </c>
      <c r="AG413" s="2210">
        <f t="shared" si="133"/>
        <v>0</v>
      </c>
      <c r="AH413" s="2210">
        <f t="shared" si="131"/>
        <v>0</v>
      </c>
    </row>
    <row r="414" spans="1:34" x14ac:dyDescent="0.4">
      <c r="A414" s="2210">
        <f t="shared" si="116"/>
        <v>412</v>
      </c>
      <c r="B414" s="2214"/>
      <c r="C414" s="2214"/>
      <c r="D414" s="2214"/>
      <c r="E414" s="2214"/>
      <c r="F414" s="2214"/>
      <c r="G414" s="2214"/>
      <c r="H414" s="2214"/>
      <c r="M414" s="2210">
        <f t="shared" si="117"/>
        <v>0</v>
      </c>
      <c r="N414" s="2210">
        <f t="shared" si="118"/>
        <v>0</v>
      </c>
      <c r="O414" s="2210">
        <f t="shared" si="119"/>
        <v>0</v>
      </c>
      <c r="P414" s="2210">
        <f t="shared" si="120"/>
        <v>0</v>
      </c>
      <c r="Q414" s="2210">
        <f t="shared" si="121"/>
        <v>0</v>
      </c>
      <c r="R414" s="2210">
        <f t="shared" si="122"/>
        <v>0</v>
      </c>
      <c r="S414" s="2210">
        <f t="shared" si="123"/>
        <v>0</v>
      </c>
      <c r="V414" s="2210">
        <f t="shared" si="124"/>
        <v>0</v>
      </c>
      <c r="W414" s="2210">
        <f t="shared" si="125"/>
        <v>0</v>
      </c>
      <c r="X414" s="2210">
        <f t="shared" si="126"/>
        <v>0</v>
      </c>
      <c r="Y414" s="2210">
        <f t="shared" si="132"/>
        <v>0</v>
      </c>
      <c r="Z414" s="2210">
        <f t="shared" si="127"/>
        <v>0</v>
      </c>
      <c r="AA414" s="2210">
        <f t="shared" si="128"/>
        <v>0</v>
      </c>
      <c r="AB414" s="2210">
        <f t="shared" si="129"/>
        <v>0</v>
      </c>
      <c r="AC414" s="2210">
        <f t="shared" si="130"/>
        <v>0</v>
      </c>
      <c r="AG414" s="2210">
        <f t="shared" si="133"/>
        <v>0</v>
      </c>
      <c r="AH414" s="2210">
        <f t="shared" si="131"/>
        <v>0</v>
      </c>
    </row>
    <row r="415" spans="1:34" x14ac:dyDescent="0.4">
      <c r="A415" s="2210">
        <f t="shared" si="116"/>
        <v>413</v>
      </c>
      <c r="B415" s="2214"/>
      <c r="C415" s="2214"/>
      <c r="D415" s="2214"/>
      <c r="E415" s="2214"/>
      <c r="F415" s="2214"/>
      <c r="G415" s="2214"/>
      <c r="H415" s="2214"/>
      <c r="M415" s="2210">
        <f t="shared" si="117"/>
        <v>0</v>
      </c>
      <c r="N415" s="2210">
        <f t="shared" si="118"/>
        <v>0</v>
      </c>
      <c r="O415" s="2210">
        <f t="shared" si="119"/>
        <v>0</v>
      </c>
      <c r="P415" s="2210">
        <f t="shared" si="120"/>
        <v>0</v>
      </c>
      <c r="Q415" s="2210">
        <f t="shared" si="121"/>
        <v>0</v>
      </c>
      <c r="R415" s="2210">
        <f t="shared" si="122"/>
        <v>0</v>
      </c>
      <c r="S415" s="2210">
        <f t="shared" si="123"/>
        <v>0</v>
      </c>
      <c r="V415" s="2210">
        <f t="shared" si="124"/>
        <v>0</v>
      </c>
      <c r="W415" s="2210">
        <f t="shared" si="125"/>
        <v>0</v>
      </c>
      <c r="X415" s="2210">
        <f t="shared" si="126"/>
        <v>0</v>
      </c>
      <c r="Y415" s="2210">
        <f t="shared" si="132"/>
        <v>0</v>
      </c>
      <c r="Z415" s="2210">
        <f t="shared" si="127"/>
        <v>0</v>
      </c>
      <c r="AA415" s="2210">
        <f t="shared" si="128"/>
        <v>0</v>
      </c>
      <c r="AB415" s="2210">
        <f t="shared" si="129"/>
        <v>0</v>
      </c>
      <c r="AC415" s="2210">
        <f t="shared" si="130"/>
        <v>0</v>
      </c>
      <c r="AG415" s="2210">
        <f t="shared" si="133"/>
        <v>0</v>
      </c>
      <c r="AH415" s="2210">
        <f t="shared" si="131"/>
        <v>0</v>
      </c>
    </row>
    <row r="416" spans="1:34" x14ac:dyDescent="0.4">
      <c r="A416" s="2210">
        <f t="shared" si="116"/>
        <v>414</v>
      </c>
      <c r="B416" s="2214"/>
      <c r="C416" s="2214"/>
      <c r="D416" s="2214"/>
      <c r="E416" s="2214"/>
      <c r="F416" s="2214"/>
      <c r="G416" s="2214"/>
      <c r="H416" s="2214"/>
      <c r="M416" s="2210">
        <f t="shared" si="117"/>
        <v>0</v>
      </c>
      <c r="N416" s="2210">
        <f t="shared" si="118"/>
        <v>0</v>
      </c>
      <c r="O416" s="2210">
        <f t="shared" si="119"/>
        <v>0</v>
      </c>
      <c r="P416" s="2210">
        <f t="shared" si="120"/>
        <v>0</v>
      </c>
      <c r="Q416" s="2210">
        <f t="shared" si="121"/>
        <v>0</v>
      </c>
      <c r="R416" s="2210">
        <f t="shared" si="122"/>
        <v>0</v>
      </c>
      <c r="S416" s="2210">
        <f t="shared" si="123"/>
        <v>0</v>
      </c>
      <c r="V416" s="2210">
        <f t="shared" si="124"/>
        <v>0</v>
      </c>
      <c r="W416" s="2210">
        <f t="shared" si="125"/>
        <v>0</v>
      </c>
      <c r="X416" s="2210">
        <f t="shared" si="126"/>
        <v>0</v>
      </c>
      <c r="Y416" s="2210">
        <f t="shared" si="132"/>
        <v>0</v>
      </c>
      <c r="Z416" s="2210">
        <f t="shared" si="127"/>
        <v>0</v>
      </c>
      <c r="AA416" s="2210">
        <f t="shared" si="128"/>
        <v>0</v>
      </c>
      <c r="AB416" s="2210">
        <f t="shared" si="129"/>
        <v>0</v>
      </c>
      <c r="AC416" s="2210">
        <f t="shared" si="130"/>
        <v>0</v>
      </c>
      <c r="AG416" s="2210">
        <f t="shared" si="133"/>
        <v>0</v>
      </c>
      <c r="AH416" s="2210">
        <f t="shared" si="131"/>
        <v>0</v>
      </c>
    </row>
    <row r="417" spans="1:34" x14ac:dyDescent="0.4">
      <c r="A417" s="2210">
        <f t="shared" si="116"/>
        <v>415</v>
      </c>
      <c r="B417" s="2214"/>
      <c r="C417" s="2214"/>
      <c r="D417" s="2214"/>
      <c r="E417" s="2214"/>
      <c r="F417" s="2214"/>
      <c r="G417" s="2214"/>
      <c r="H417" s="2214"/>
      <c r="M417" s="2210">
        <f t="shared" si="117"/>
        <v>0</v>
      </c>
      <c r="N417" s="2210">
        <f t="shared" si="118"/>
        <v>0</v>
      </c>
      <c r="O417" s="2210">
        <f t="shared" si="119"/>
        <v>0</v>
      </c>
      <c r="P417" s="2210">
        <f t="shared" si="120"/>
        <v>0</v>
      </c>
      <c r="Q417" s="2210">
        <f t="shared" si="121"/>
        <v>0</v>
      </c>
      <c r="R417" s="2210">
        <f t="shared" si="122"/>
        <v>0</v>
      </c>
      <c r="S417" s="2210">
        <f t="shared" si="123"/>
        <v>0</v>
      </c>
      <c r="V417" s="2210">
        <f t="shared" si="124"/>
        <v>0</v>
      </c>
      <c r="W417" s="2210">
        <f t="shared" si="125"/>
        <v>0</v>
      </c>
      <c r="X417" s="2210">
        <f t="shared" si="126"/>
        <v>0</v>
      </c>
      <c r="Y417" s="2210">
        <f t="shared" si="132"/>
        <v>0</v>
      </c>
      <c r="Z417" s="2210">
        <f t="shared" si="127"/>
        <v>0</v>
      </c>
      <c r="AA417" s="2210">
        <f t="shared" si="128"/>
        <v>0</v>
      </c>
      <c r="AB417" s="2210">
        <f t="shared" si="129"/>
        <v>0</v>
      </c>
      <c r="AC417" s="2210">
        <f t="shared" si="130"/>
        <v>0</v>
      </c>
      <c r="AG417" s="2210">
        <f t="shared" si="133"/>
        <v>0</v>
      </c>
      <c r="AH417" s="2210">
        <f t="shared" si="131"/>
        <v>0</v>
      </c>
    </row>
    <row r="418" spans="1:34" x14ac:dyDescent="0.4">
      <c r="A418" s="2210">
        <f t="shared" si="116"/>
        <v>416</v>
      </c>
      <c r="B418" s="2214"/>
      <c r="C418" s="2214"/>
      <c r="D418" s="2214"/>
      <c r="E418" s="2214"/>
      <c r="F418" s="2214"/>
      <c r="G418" s="2214"/>
      <c r="H418" s="2214"/>
      <c r="M418" s="2210">
        <f t="shared" si="117"/>
        <v>0</v>
      </c>
      <c r="N418" s="2210">
        <f t="shared" si="118"/>
        <v>0</v>
      </c>
      <c r="O418" s="2210">
        <f t="shared" si="119"/>
        <v>0</v>
      </c>
      <c r="P418" s="2210">
        <f t="shared" si="120"/>
        <v>0</v>
      </c>
      <c r="Q418" s="2210">
        <f t="shared" si="121"/>
        <v>0</v>
      </c>
      <c r="R418" s="2210">
        <f t="shared" si="122"/>
        <v>0</v>
      </c>
      <c r="S418" s="2210">
        <f t="shared" si="123"/>
        <v>0</v>
      </c>
      <c r="V418" s="2210">
        <f t="shared" si="124"/>
        <v>0</v>
      </c>
      <c r="W418" s="2210">
        <f t="shared" si="125"/>
        <v>0</v>
      </c>
      <c r="X418" s="2210">
        <f t="shared" si="126"/>
        <v>0</v>
      </c>
      <c r="Y418" s="2210">
        <f t="shared" si="132"/>
        <v>0</v>
      </c>
      <c r="Z418" s="2210">
        <f t="shared" si="127"/>
        <v>0</v>
      </c>
      <c r="AA418" s="2210">
        <f t="shared" si="128"/>
        <v>0</v>
      </c>
      <c r="AB418" s="2210">
        <f t="shared" si="129"/>
        <v>0</v>
      </c>
      <c r="AC418" s="2210">
        <f t="shared" si="130"/>
        <v>0</v>
      </c>
      <c r="AG418" s="2210">
        <f t="shared" si="133"/>
        <v>0</v>
      </c>
      <c r="AH418" s="2210">
        <f t="shared" si="131"/>
        <v>0</v>
      </c>
    </row>
    <row r="419" spans="1:34" x14ac:dyDescent="0.4">
      <c r="A419" s="2210">
        <f t="shared" si="116"/>
        <v>417</v>
      </c>
      <c r="B419" s="2214"/>
      <c r="C419" s="2214"/>
      <c r="D419" s="2214"/>
      <c r="E419" s="2214"/>
      <c r="F419" s="2214"/>
      <c r="G419" s="2214"/>
      <c r="H419" s="2214"/>
      <c r="M419" s="2210">
        <f t="shared" si="117"/>
        <v>0</v>
      </c>
      <c r="N419" s="2210">
        <f t="shared" si="118"/>
        <v>0</v>
      </c>
      <c r="O419" s="2210">
        <f t="shared" si="119"/>
        <v>0</v>
      </c>
      <c r="P419" s="2210">
        <f t="shared" si="120"/>
        <v>0</v>
      </c>
      <c r="Q419" s="2210">
        <f t="shared" si="121"/>
        <v>0</v>
      </c>
      <c r="R419" s="2210">
        <f t="shared" si="122"/>
        <v>0</v>
      </c>
      <c r="S419" s="2210">
        <f t="shared" si="123"/>
        <v>0</v>
      </c>
      <c r="V419" s="2210">
        <f t="shared" si="124"/>
        <v>0</v>
      </c>
      <c r="W419" s="2210">
        <f t="shared" si="125"/>
        <v>0</v>
      </c>
      <c r="X419" s="2210">
        <f t="shared" si="126"/>
        <v>0</v>
      </c>
      <c r="Y419" s="2210">
        <f t="shared" si="132"/>
        <v>0</v>
      </c>
      <c r="Z419" s="2210">
        <f t="shared" si="127"/>
        <v>0</v>
      </c>
      <c r="AA419" s="2210">
        <f t="shared" si="128"/>
        <v>0</v>
      </c>
      <c r="AB419" s="2210">
        <f t="shared" si="129"/>
        <v>0</v>
      </c>
      <c r="AC419" s="2210">
        <f t="shared" si="130"/>
        <v>0</v>
      </c>
      <c r="AG419" s="2210">
        <f t="shared" si="133"/>
        <v>0</v>
      </c>
      <c r="AH419" s="2210">
        <f t="shared" si="131"/>
        <v>0</v>
      </c>
    </row>
    <row r="420" spans="1:34" x14ac:dyDescent="0.4">
      <c r="A420" s="2210">
        <f t="shared" si="116"/>
        <v>418</v>
      </c>
      <c r="B420" s="2214"/>
      <c r="C420" s="2214"/>
      <c r="D420" s="2214"/>
      <c r="E420" s="2214"/>
      <c r="F420" s="2214"/>
      <c r="G420" s="2214"/>
      <c r="H420" s="2214"/>
      <c r="M420" s="2210">
        <f t="shared" si="117"/>
        <v>0</v>
      </c>
      <c r="N420" s="2210">
        <f t="shared" si="118"/>
        <v>0</v>
      </c>
      <c r="O420" s="2210">
        <f t="shared" si="119"/>
        <v>0</v>
      </c>
      <c r="P420" s="2210">
        <f t="shared" si="120"/>
        <v>0</v>
      </c>
      <c r="Q420" s="2210">
        <f t="shared" si="121"/>
        <v>0</v>
      </c>
      <c r="R420" s="2210">
        <f t="shared" si="122"/>
        <v>0</v>
      </c>
      <c r="S420" s="2210">
        <f t="shared" si="123"/>
        <v>0</v>
      </c>
      <c r="V420" s="2210">
        <f t="shared" si="124"/>
        <v>0</v>
      </c>
      <c r="W420" s="2210">
        <f t="shared" si="125"/>
        <v>0</v>
      </c>
      <c r="X420" s="2210">
        <f t="shared" si="126"/>
        <v>0</v>
      </c>
      <c r="Y420" s="2210">
        <f t="shared" si="132"/>
        <v>0</v>
      </c>
      <c r="Z420" s="2210">
        <f t="shared" si="127"/>
        <v>0</v>
      </c>
      <c r="AA420" s="2210">
        <f t="shared" si="128"/>
        <v>0</v>
      </c>
      <c r="AB420" s="2210">
        <f t="shared" si="129"/>
        <v>0</v>
      </c>
      <c r="AC420" s="2210">
        <f t="shared" si="130"/>
        <v>0</v>
      </c>
      <c r="AG420" s="2210">
        <f t="shared" si="133"/>
        <v>0</v>
      </c>
      <c r="AH420" s="2210">
        <f t="shared" si="131"/>
        <v>0</v>
      </c>
    </row>
    <row r="421" spans="1:34" x14ac:dyDescent="0.4">
      <c r="A421" s="2210">
        <f t="shared" si="116"/>
        <v>419</v>
      </c>
      <c r="B421" s="2214"/>
      <c r="C421" s="2214"/>
      <c r="D421" s="2214"/>
      <c r="E421" s="2214"/>
      <c r="F421" s="2214"/>
      <c r="G421" s="2214"/>
      <c r="H421" s="2214"/>
      <c r="M421" s="2210">
        <f t="shared" si="117"/>
        <v>0</v>
      </c>
      <c r="N421" s="2210">
        <f t="shared" si="118"/>
        <v>0</v>
      </c>
      <c r="O421" s="2210">
        <f t="shared" si="119"/>
        <v>0</v>
      </c>
      <c r="P421" s="2210">
        <f t="shared" si="120"/>
        <v>0</v>
      </c>
      <c r="Q421" s="2210">
        <f t="shared" si="121"/>
        <v>0</v>
      </c>
      <c r="R421" s="2210">
        <f t="shared" si="122"/>
        <v>0</v>
      </c>
      <c r="S421" s="2210">
        <f t="shared" si="123"/>
        <v>0</v>
      </c>
      <c r="V421" s="2210">
        <f t="shared" si="124"/>
        <v>0</v>
      </c>
      <c r="W421" s="2210">
        <f t="shared" si="125"/>
        <v>0</v>
      </c>
      <c r="X421" s="2210">
        <f t="shared" si="126"/>
        <v>0</v>
      </c>
      <c r="Y421" s="2210">
        <f t="shared" si="132"/>
        <v>0</v>
      </c>
      <c r="Z421" s="2210">
        <f t="shared" si="127"/>
        <v>0</v>
      </c>
      <c r="AA421" s="2210">
        <f t="shared" si="128"/>
        <v>0</v>
      </c>
      <c r="AB421" s="2210">
        <f t="shared" si="129"/>
        <v>0</v>
      </c>
      <c r="AC421" s="2210">
        <f t="shared" si="130"/>
        <v>0</v>
      </c>
      <c r="AG421" s="2210">
        <f t="shared" si="133"/>
        <v>0</v>
      </c>
      <c r="AH421" s="2210">
        <f t="shared" si="131"/>
        <v>0</v>
      </c>
    </row>
    <row r="422" spans="1:34" x14ac:dyDescent="0.4">
      <c r="A422" s="2210">
        <f t="shared" si="116"/>
        <v>420</v>
      </c>
      <c r="B422" s="2214"/>
      <c r="C422" s="2214"/>
      <c r="D422" s="2214"/>
      <c r="E422" s="2214"/>
      <c r="F422" s="2214"/>
      <c r="G422" s="2214"/>
      <c r="H422" s="2214"/>
      <c r="M422" s="2210">
        <f t="shared" si="117"/>
        <v>0</v>
      </c>
      <c r="N422" s="2210">
        <f t="shared" si="118"/>
        <v>0</v>
      </c>
      <c r="O422" s="2210">
        <f t="shared" si="119"/>
        <v>0</v>
      </c>
      <c r="P422" s="2210">
        <f t="shared" si="120"/>
        <v>0</v>
      </c>
      <c r="Q422" s="2210">
        <f t="shared" si="121"/>
        <v>0</v>
      </c>
      <c r="R422" s="2210">
        <f t="shared" si="122"/>
        <v>0</v>
      </c>
      <c r="S422" s="2210">
        <f t="shared" si="123"/>
        <v>0</v>
      </c>
      <c r="V422" s="2210">
        <f t="shared" si="124"/>
        <v>0</v>
      </c>
      <c r="W422" s="2210">
        <f t="shared" si="125"/>
        <v>0</v>
      </c>
      <c r="X422" s="2210">
        <f t="shared" si="126"/>
        <v>0</v>
      </c>
      <c r="Y422" s="2210">
        <f t="shared" si="132"/>
        <v>0</v>
      </c>
      <c r="Z422" s="2210">
        <f t="shared" si="127"/>
        <v>0</v>
      </c>
      <c r="AA422" s="2210">
        <f t="shared" si="128"/>
        <v>0</v>
      </c>
      <c r="AB422" s="2210">
        <f t="shared" si="129"/>
        <v>0</v>
      </c>
      <c r="AC422" s="2210">
        <f t="shared" si="130"/>
        <v>0</v>
      </c>
      <c r="AG422" s="2210">
        <f t="shared" si="133"/>
        <v>0</v>
      </c>
      <c r="AH422" s="2210">
        <f t="shared" si="131"/>
        <v>0</v>
      </c>
    </row>
    <row r="423" spans="1:34" x14ac:dyDescent="0.4">
      <c r="A423" s="2210">
        <f t="shared" si="116"/>
        <v>421</v>
      </c>
      <c r="B423" s="2214"/>
      <c r="C423" s="2214"/>
      <c r="D423" s="2214"/>
      <c r="E423" s="2214"/>
      <c r="F423" s="2214"/>
      <c r="G423" s="2214"/>
      <c r="H423" s="2214"/>
      <c r="M423" s="2210">
        <f t="shared" si="117"/>
        <v>0</v>
      </c>
      <c r="N423" s="2210">
        <f t="shared" si="118"/>
        <v>0</v>
      </c>
      <c r="O423" s="2210">
        <f t="shared" si="119"/>
        <v>0</v>
      </c>
      <c r="P423" s="2210">
        <f t="shared" si="120"/>
        <v>0</v>
      </c>
      <c r="Q423" s="2210">
        <f t="shared" si="121"/>
        <v>0</v>
      </c>
      <c r="R423" s="2210">
        <f t="shared" si="122"/>
        <v>0</v>
      </c>
      <c r="S423" s="2210">
        <f t="shared" si="123"/>
        <v>0</v>
      </c>
      <c r="V423" s="2210">
        <f t="shared" si="124"/>
        <v>0</v>
      </c>
      <c r="W423" s="2210">
        <f t="shared" si="125"/>
        <v>0</v>
      </c>
      <c r="X423" s="2210">
        <f t="shared" si="126"/>
        <v>0</v>
      </c>
      <c r="Y423" s="2210">
        <f t="shared" si="132"/>
        <v>0</v>
      </c>
      <c r="Z423" s="2210">
        <f t="shared" si="127"/>
        <v>0</v>
      </c>
      <c r="AA423" s="2210">
        <f t="shared" si="128"/>
        <v>0</v>
      </c>
      <c r="AB423" s="2210">
        <f t="shared" si="129"/>
        <v>0</v>
      </c>
      <c r="AC423" s="2210">
        <f t="shared" si="130"/>
        <v>0</v>
      </c>
      <c r="AG423" s="2210">
        <f t="shared" si="133"/>
        <v>0</v>
      </c>
      <c r="AH423" s="2210">
        <f t="shared" si="131"/>
        <v>0</v>
      </c>
    </row>
    <row r="424" spans="1:34" x14ac:dyDescent="0.4">
      <c r="A424" s="2210">
        <f t="shared" si="116"/>
        <v>422</v>
      </c>
      <c r="B424" s="2214"/>
      <c r="C424" s="2214"/>
      <c r="D424" s="2214"/>
      <c r="E424" s="2214"/>
      <c r="F424" s="2214"/>
      <c r="G424" s="2214"/>
      <c r="H424" s="2214"/>
      <c r="M424" s="2210">
        <f t="shared" si="117"/>
        <v>0</v>
      </c>
      <c r="N424" s="2210">
        <f t="shared" si="118"/>
        <v>0</v>
      </c>
      <c r="O424" s="2210">
        <f t="shared" si="119"/>
        <v>0</v>
      </c>
      <c r="P424" s="2210">
        <f t="shared" si="120"/>
        <v>0</v>
      </c>
      <c r="Q424" s="2210">
        <f t="shared" si="121"/>
        <v>0</v>
      </c>
      <c r="R424" s="2210">
        <f t="shared" si="122"/>
        <v>0</v>
      </c>
      <c r="S424" s="2210">
        <f t="shared" si="123"/>
        <v>0</v>
      </c>
      <c r="V424" s="2210">
        <f t="shared" si="124"/>
        <v>0</v>
      </c>
      <c r="W424" s="2210">
        <f t="shared" si="125"/>
        <v>0</v>
      </c>
      <c r="X424" s="2210">
        <f t="shared" si="126"/>
        <v>0</v>
      </c>
      <c r="Y424" s="2210">
        <f t="shared" si="132"/>
        <v>0</v>
      </c>
      <c r="Z424" s="2210">
        <f t="shared" si="127"/>
        <v>0</v>
      </c>
      <c r="AA424" s="2210">
        <f t="shared" si="128"/>
        <v>0</v>
      </c>
      <c r="AB424" s="2210">
        <f t="shared" si="129"/>
        <v>0</v>
      </c>
      <c r="AC424" s="2210">
        <f t="shared" si="130"/>
        <v>0</v>
      </c>
      <c r="AG424" s="2210">
        <f t="shared" si="133"/>
        <v>0</v>
      </c>
      <c r="AH424" s="2210">
        <f t="shared" si="131"/>
        <v>0</v>
      </c>
    </row>
    <row r="425" spans="1:34" x14ac:dyDescent="0.4">
      <c r="A425" s="2210">
        <f t="shared" si="116"/>
        <v>423</v>
      </c>
      <c r="B425" s="2214"/>
      <c r="C425" s="2214"/>
      <c r="D425" s="2214"/>
      <c r="E425" s="2214"/>
      <c r="F425" s="2214"/>
      <c r="G425" s="2214"/>
      <c r="H425" s="2214"/>
      <c r="M425" s="2210">
        <f t="shared" si="117"/>
        <v>0</v>
      </c>
      <c r="N425" s="2210">
        <f t="shared" si="118"/>
        <v>0</v>
      </c>
      <c r="O425" s="2210">
        <f t="shared" si="119"/>
        <v>0</v>
      </c>
      <c r="P425" s="2210">
        <f t="shared" si="120"/>
        <v>0</v>
      </c>
      <c r="Q425" s="2210">
        <f t="shared" si="121"/>
        <v>0</v>
      </c>
      <c r="R425" s="2210">
        <f t="shared" si="122"/>
        <v>0</v>
      </c>
      <c r="S425" s="2210">
        <f t="shared" si="123"/>
        <v>0</v>
      </c>
      <c r="V425" s="2210">
        <f t="shared" si="124"/>
        <v>0</v>
      </c>
      <c r="W425" s="2210">
        <f t="shared" si="125"/>
        <v>0</v>
      </c>
      <c r="X425" s="2210">
        <f t="shared" si="126"/>
        <v>0</v>
      </c>
      <c r="Y425" s="2210">
        <f t="shared" si="132"/>
        <v>0</v>
      </c>
      <c r="Z425" s="2210">
        <f t="shared" si="127"/>
        <v>0</v>
      </c>
      <c r="AA425" s="2210">
        <f t="shared" si="128"/>
        <v>0</v>
      </c>
      <c r="AB425" s="2210">
        <f t="shared" si="129"/>
        <v>0</v>
      </c>
      <c r="AC425" s="2210">
        <f t="shared" si="130"/>
        <v>0</v>
      </c>
      <c r="AG425" s="2210">
        <f t="shared" si="133"/>
        <v>0</v>
      </c>
      <c r="AH425" s="2210">
        <f t="shared" si="131"/>
        <v>0</v>
      </c>
    </row>
    <row r="426" spans="1:34" x14ac:dyDescent="0.4">
      <c r="A426" s="2210">
        <f t="shared" si="116"/>
        <v>424</v>
      </c>
      <c r="B426" s="2214"/>
      <c r="C426" s="2214"/>
      <c r="D426" s="2214"/>
      <c r="E426" s="2214"/>
      <c r="F426" s="2214"/>
      <c r="G426" s="2214"/>
      <c r="H426" s="2214"/>
      <c r="M426" s="2210">
        <f t="shared" si="117"/>
        <v>0</v>
      </c>
      <c r="N426" s="2210">
        <f t="shared" si="118"/>
        <v>0</v>
      </c>
      <c r="O426" s="2210">
        <f t="shared" si="119"/>
        <v>0</v>
      </c>
      <c r="P426" s="2210">
        <f t="shared" si="120"/>
        <v>0</v>
      </c>
      <c r="Q426" s="2210">
        <f t="shared" si="121"/>
        <v>0</v>
      </c>
      <c r="R426" s="2210">
        <f t="shared" si="122"/>
        <v>0</v>
      </c>
      <c r="S426" s="2210">
        <f t="shared" si="123"/>
        <v>0</v>
      </c>
      <c r="V426" s="2210">
        <f t="shared" si="124"/>
        <v>0</v>
      </c>
      <c r="W426" s="2210">
        <f t="shared" si="125"/>
        <v>0</v>
      </c>
      <c r="X426" s="2210">
        <f t="shared" si="126"/>
        <v>0</v>
      </c>
      <c r="Y426" s="2210">
        <f t="shared" si="132"/>
        <v>0</v>
      </c>
      <c r="Z426" s="2210">
        <f t="shared" si="127"/>
        <v>0</v>
      </c>
      <c r="AA426" s="2210">
        <f t="shared" si="128"/>
        <v>0</v>
      </c>
      <c r="AB426" s="2210">
        <f t="shared" si="129"/>
        <v>0</v>
      </c>
      <c r="AC426" s="2210">
        <f t="shared" si="130"/>
        <v>0</v>
      </c>
      <c r="AG426" s="2210">
        <f t="shared" si="133"/>
        <v>0</v>
      </c>
      <c r="AH426" s="2210">
        <f t="shared" si="131"/>
        <v>0</v>
      </c>
    </row>
  </sheetData>
  <autoFilter ref="B2:H426" xr:uid="{506BEE12-65A7-4AD9-8E3A-29EA0766424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FFFF00"/>
  </sheetPr>
  <dimension ref="A1:N102"/>
  <sheetViews>
    <sheetView workbookViewId="0"/>
  </sheetViews>
  <sheetFormatPr defaultColWidth="9.109375" defaultRowHeight="13.8" x14ac:dyDescent="0.3"/>
  <cols>
    <col min="1" max="2" width="4" style="86" customWidth="1"/>
    <col min="3" max="3" width="12.33203125" style="86" customWidth="1"/>
    <col min="4" max="4" width="11.109375" style="86" customWidth="1"/>
    <col min="5" max="6" width="5.6640625" style="86" customWidth="1"/>
    <col min="7" max="7" width="7.109375" style="86" bestFit="1" customWidth="1"/>
    <col min="8" max="8" width="13.88671875" style="86" customWidth="1"/>
    <col min="9" max="9" width="6.6640625" style="86" customWidth="1"/>
    <col min="10" max="10" width="52" style="86" customWidth="1"/>
    <col min="11" max="11" width="23.88671875" style="86" bestFit="1" customWidth="1"/>
    <col min="12" max="12" width="9.5546875" style="86" customWidth="1"/>
    <col min="13" max="13" width="16.44140625" style="86" customWidth="1"/>
    <col min="14" max="14" width="4.5546875" style="86" customWidth="1"/>
    <col min="15" max="15" width="11" style="86" customWidth="1"/>
    <col min="16" max="16384" width="9.109375" style="86"/>
  </cols>
  <sheetData>
    <row r="1" spans="1:14" ht="15" x14ac:dyDescent="0.35">
      <c r="C1" s="2044" t="s">
        <v>752</v>
      </c>
      <c r="D1" s="655" t="s">
        <v>1977</v>
      </c>
    </row>
    <row r="2" spans="1:14" ht="15" x14ac:dyDescent="0.35">
      <c r="C2" s="2044" t="s">
        <v>753</v>
      </c>
      <c r="D2" s="654" t="s">
        <v>1978</v>
      </c>
    </row>
    <row r="3" spans="1:14" ht="15" x14ac:dyDescent="0.35">
      <c r="C3" s="2044" t="s">
        <v>1979</v>
      </c>
      <c r="D3" s="654" t="s">
        <v>1980</v>
      </c>
    </row>
    <row r="4" spans="1:14" x14ac:dyDescent="0.3">
      <c r="C4" s="86">
        <v>1</v>
      </c>
      <c r="D4" s="86">
        <f t="shared" ref="D4:K4" si="0">C4+1</f>
        <v>2</v>
      </c>
      <c r="E4" s="86">
        <f t="shared" si="0"/>
        <v>3</v>
      </c>
      <c r="F4" s="86">
        <f t="shared" si="0"/>
        <v>4</v>
      </c>
      <c r="G4" s="86">
        <f t="shared" si="0"/>
        <v>5</v>
      </c>
      <c r="H4" s="86">
        <f t="shared" si="0"/>
        <v>6</v>
      </c>
      <c r="I4" s="86">
        <f t="shared" si="0"/>
        <v>7</v>
      </c>
      <c r="J4" s="86">
        <f t="shared" si="0"/>
        <v>8</v>
      </c>
      <c r="K4" s="86">
        <f t="shared" si="0"/>
        <v>9</v>
      </c>
    </row>
    <row r="5" spans="1:14" s="89" customFormat="1" x14ac:dyDescent="0.3">
      <c r="A5" s="88"/>
      <c r="B5" s="86"/>
      <c r="C5" s="408" t="s">
        <v>231</v>
      </c>
      <c r="D5" s="409"/>
      <c r="E5" s="409"/>
      <c r="F5" s="409"/>
      <c r="G5" s="409"/>
      <c r="H5" s="410"/>
      <c r="I5" s="410"/>
      <c r="J5" s="410"/>
      <c r="K5" s="411"/>
    </row>
    <row r="6" spans="1:14" ht="24.75" customHeight="1" x14ac:dyDescent="0.3">
      <c r="C6" s="92" t="s">
        <v>40</v>
      </c>
      <c r="D6" s="92" t="s">
        <v>87</v>
      </c>
      <c r="E6" s="92" t="s">
        <v>54</v>
      </c>
      <c r="F6" s="92" t="s">
        <v>52</v>
      </c>
      <c r="G6" s="92" t="s">
        <v>53</v>
      </c>
      <c r="H6" s="92" t="s">
        <v>122</v>
      </c>
      <c r="I6" s="92" t="s">
        <v>121</v>
      </c>
      <c r="J6" s="92" t="s">
        <v>48</v>
      </c>
      <c r="K6" s="92" t="s">
        <v>86</v>
      </c>
    </row>
    <row r="7" spans="1:14" x14ac:dyDescent="0.3">
      <c r="C7" s="412" t="s">
        <v>39</v>
      </c>
      <c r="D7" s="93"/>
      <c r="E7" s="93"/>
      <c r="F7" s="93"/>
      <c r="G7" s="94"/>
      <c r="H7" s="93"/>
      <c r="I7" s="93"/>
      <c r="J7" s="93"/>
      <c r="K7" s="413"/>
      <c r="L7" s="95"/>
      <c r="M7" s="95"/>
      <c r="N7" s="95"/>
    </row>
    <row r="8" spans="1:14" x14ac:dyDescent="0.3">
      <c r="A8" s="406">
        <v>1</v>
      </c>
      <c r="C8" s="414" t="s">
        <v>67</v>
      </c>
      <c r="D8" s="403">
        <v>13</v>
      </c>
      <c r="E8" s="93">
        <v>1</v>
      </c>
      <c r="F8" s="403">
        <f t="shared" ref="F8:F39" si="1">D8</f>
        <v>13</v>
      </c>
      <c r="G8" s="94">
        <f>IFERROR((F8*E8)/D8," ")</f>
        <v>1</v>
      </c>
      <c r="H8" s="93"/>
      <c r="I8" s="93"/>
      <c r="J8" s="405"/>
      <c r="K8" s="415">
        <f ca="1">OFFSET('Ltg IntTakeoffs'!$FM$7,0,$A8+1)</f>
        <v>0</v>
      </c>
    </row>
    <row r="9" spans="1:14" x14ac:dyDescent="0.3">
      <c r="A9" s="406">
        <f t="shared" ref="A9:A65" si="2">A8+1</f>
        <v>2</v>
      </c>
      <c r="C9" s="414" t="s">
        <v>1285</v>
      </c>
      <c r="D9" s="403">
        <v>19</v>
      </c>
      <c r="E9" s="93">
        <v>1</v>
      </c>
      <c r="F9" s="403">
        <f t="shared" si="1"/>
        <v>19</v>
      </c>
      <c r="G9" s="94">
        <f t="shared" ref="G9:G39" si="3">IFERROR((F9*E9)/D9," ")</f>
        <v>1</v>
      </c>
      <c r="H9" s="405"/>
      <c r="I9" s="407"/>
      <c r="J9" s="405"/>
      <c r="K9" s="415">
        <f ca="1">OFFSET('Ltg IntTakeoffs'!$FM$7,0,$A9+1)</f>
        <v>0</v>
      </c>
    </row>
    <row r="10" spans="1:14" x14ac:dyDescent="0.3">
      <c r="A10" s="406">
        <f t="shared" si="2"/>
        <v>3</v>
      </c>
      <c r="C10" s="414" t="s">
        <v>1877</v>
      </c>
      <c r="D10" s="403">
        <v>1</v>
      </c>
      <c r="E10" s="403">
        <v>1</v>
      </c>
      <c r="F10" s="403">
        <f t="shared" si="1"/>
        <v>1</v>
      </c>
      <c r="G10" s="94">
        <f t="shared" si="3"/>
        <v>1</v>
      </c>
      <c r="H10" s="405"/>
      <c r="I10" s="407"/>
      <c r="J10" s="405"/>
      <c r="K10" s="415">
        <f ca="1">OFFSET('Ltg IntTakeoffs'!$FM$7,0,$A10+1)</f>
        <v>0</v>
      </c>
    </row>
    <row r="11" spans="1:14" x14ac:dyDescent="0.3">
      <c r="A11" s="406">
        <f t="shared" si="2"/>
        <v>4</v>
      </c>
      <c r="C11" s="414" t="s">
        <v>1878</v>
      </c>
      <c r="D11" s="403">
        <v>100</v>
      </c>
      <c r="E11" s="403">
        <v>1</v>
      </c>
      <c r="F11" s="403">
        <f t="shared" si="1"/>
        <v>100</v>
      </c>
      <c r="G11" s="94">
        <f t="shared" si="3"/>
        <v>1</v>
      </c>
      <c r="H11" s="405"/>
      <c r="I11" s="407"/>
      <c r="J11" s="405"/>
      <c r="K11" s="415">
        <f ca="1">OFFSET('Ltg IntTakeoffs'!$FM$7,0,$A11+1)</f>
        <v>0</v>
      </c>
    </row>
    <row r="12" spans="1:14" x14ac:dyDescent="0.3">
      <c r="A12" s="406">
        <f t="shared" si="2"/>
        <v>5</v>
      </c>
      <c r="C12" s="414" t="s">
        <v>1879</v>
      </c>
      <c r="D12" s="403">
        <v>62</v>
      </c>
      <c r="E12" s="403">
        <v>1</v>
      </c>
      <c r="F12" s="403">
        <f t="shared" si="1"/>
        <v>62</v>
      </c>
      <c r="G12" s="94">
        <f t="shared" si="3"/>
        <v>1</v>
      </c>
      <c r="H12" s="405"/>
      <c r="I12" s="407"/>
      <c r="J12" s="405"/>
      <c r="K12" s="415">
        <f ca="1">OFFSET('Ltg IntTakeoffs'!$FM$7,0,$A12+1)</f>
        <v>0</v>
      </c>
    </row>
    <row r="13" spans="1:14" x14ac:dyDescent="0.3">
      <c r="A13" s="406">
        <f t="shared" si="2"/>
        <v>6</v>
      </c>
      <c r="C13" s="414" t="s">
        <v>1880</v>
      </c>
      <c r="D13" s="403">
        <v>30</v>
      </c>
      <c r="E13" s="403">
        <v>1</v>
      </c>
      <c r="F13" s="403">
        <f t="shared" si="1"/>
        <v>30</v>
      </c>
      <c r="G13" s="94">
        <f t="shared" si="3"/>
        <v>1</v>
      </c>
      <c r="H13" s="405"/>
      <c r="I13" s="407"/>
      <c r="J13" s="405"/>
      <c r="K13" s="415">
        <f ca="1">OFFSET('Ltg IntTakeoffs'!$FM$7,0,$A13+1)</f>
        <v>0</v>
      </c>
    </row>
    <row r="14" spans="1:14" x14ac:dyDescent="0.3">
      <c r="A14" s="406">
        <f t="shared" si="2"/>
        <v>7</v>
      </c>
      <c r="C14" s="414" t="s">
        <v>1881</v>
      </c>
      <c r="D14" s="403">
        <v>30</v>
      </c>
      <c r="E14" s="403">
        <v>1</v>
      </c>
      <c r="F14" s="403">
        <f t="shared" si="1"/>
        <v>30</v>
      </c>
      <c r="G14" s="94">
        <f t="shared" si="3"/>
        <v>1</v>
      </c>
      <c r="H14" s="405"/>
      <c r="I14" s="407"/>
      <c r="J14" s="405"/>
      <c r="K14" s="415">
        <f ca="1">OFFSET('Ltg IntTakeoffs'!$FM$7,0,$A14+1)</f>
        <v>0</v>
      </c>
    </row>
    <row r="15" spans="1:14" ht="12" customHeight="1" x14ac:dyDescent="0.3">
      <c r="A15" s="406">
        <f t="shared" si="2"/>
        <v>8</v>
      </c>
      <c r="C15" s="414" t="s">
        <v>1882</v>
      </c>
      <c r="D15" s="403">
        <v>60</v>
      </c>
      <c r="E15" s="403">
        <v>1</v>
      </c>
      <c r="F15" s="403">
        <f t="shared" si="1"/>
        <v>60</v>
      </c>
      <c r="G15" s="94">
        <f t="shared" si="3"/>
        <v>1</v>
      </c>
      <c r="H15" s="405"/>
      <c r="I15" s="407"/>
      <c r="J15" s="405"/>
      <c r="K15" s="415">
        <f ca="1">OFFSET('Ltg IntTakeoffs'!$FM$7,0,$A15+1)</f>
        <v>0</v>
      </c>
    </row>
    <row r="16" spans="1:14" x14ac:dyDescent="0.3">
      <c r="A16" s="406">
        <f t="shared" si="2"/>
        <v>9</v>
      </c>
      <c r="C16" s="414" t="s">
        <v>106</v>
      </c>
      <c r="D16" s="403">
        <v>14</v>
      </c>
      <c r="E16" s="403">
        <v>1</v>
      </c>
      <c r="F16" s="403">
        <f t="shared" si="1"/>
        <v>14</v>
      </c>
      <c r="G16" s="94">
        <f t="shared" si="3"/>
        <v>1</v>
      </c>
      <c r="H16" s="405"/>
      <c r="I16" s="407"/>
      <c r="J16" s="405"/>
      <c r="K16" s="415">
        <f ca="1">OFFSET('Ltg IntTakeoffs'!$FM$7,0,$A16+1)</f>
        <v>0</v>
      </c>
    </row>
    <row r="17" spans="1:11" x14ac:dyDescent="0.3">
      <c r="A17" s="406">
        <f t="shared" si="2"/>
        <v>10</v>
      </c>
      <c r="C17" s="414" t="s">
        <v>152</v>
      </c>
      <c r="D17" s="403">
        <v>11</v>
      </c>
      <c r="E17" s="403">
        <v>1</v>
      </c>
      <c r="F17" s="403">
        <f t="shared" si="1"/>
        <v>11</v>
      </c>
      <c r="G17" s="94">
        <f t="shared" si="3"/>
        <v>1</v>
      </c>
      <c r="H17" s="405"/>
      <c r="I17" s="407"/>
      <c r="J17" s="405"/>
      <c r="K17" s="415">
        <f ca="1">OFFSET('Ltg IntTakeoffs'!$FM$7,0,$A17+1)</f>
        <v>0</v>
      </c>
    </row>
    <row r="18" spans="1:11" s="382" customFormat="1" x14ac:dyDescent="0.3">
      <c r="A18" s="406">
        <f t="shared" si="2"/>
        <v>11</v>
      </c>
      <c r="B18" s="86"/>
      <c r="C18" s="414" t="s">
        <v>212</v>
      </c>
      <c r="D18" s="403">
        <v>3</v>
      </c>
      <c r="E18" s="403">
        <v>1</v>
      </c>
      <c r="F18" s="403">
        <f t="shared" si="1"/>
        <v>3</v>
      </c>
      <c r="G18" s="94">
        <f t="shared" si="3"/>
        <v>1</v>
      </c>
      <c r="H18" s="405"/>
      <c r="I18" s="407"/>
      <c r="J18" s="405"/>
      <c r="K18" s="415">
        <f ca="1">OFFSET('Ltg IntTakeoffs'!$FM$7,0,$A18+1)</f>
        <v>0</v>
      </c>
    </row>
    <row r="19" spans="1:11" x14ac:dyDescent="0.3">
      <c r="A19" s="406">
        <f t="shared" si="2"/>
        <v>12</v>
      </c>
      <c r="C19" s="414" t="s">
        <v>216</v>
      </c>
      <c r="D19" s="403">
        <v>17</v>
      </c>
      <c r="E19" s="403">
        <v>1</v>
      </c>
      <c r="F19" s="403">
        <f t="shared" si="1"/>
        <v>17</v>
      </c>
      <c r="G19" s="94">
        <f t="shared" si="3"/>
        <v>1</v>
      </c>
      <c r="H19" s="405"/>
      <c r="I19" s="407"/>
      <c r="J19" s="405"/>
      <c r="K19" s="415">
        <f ca="1">OFFSET('Ltg IntTakeoffs'!$FM$7,0,$A19+1)</f>
        <v>0</v>
      </c>
    </row>
    <row r="20" spans="1:11" x14ac:dyDescent="0.3">
      <c r="A20" s="406">
        <f t="shared" si="2"/>
        <v>13</v>
      </c>
      <c r="C20" s="414" t="s">
        <v>1024</v>
      </c>
      <c r="D20" s="403">
        <v>40</v>
      </c>
      <c r="E20" s="403">
        <v>1</v>
      </c>
      <c r="F20" s="403">
        <f t="shared" si="1"/>
        <v>40</v>
      </c>
      <c r="G20" s="94">
        <f t="shared" si="3"/>
        <v>1</v>
      </c>
      <c r="H20" s="405"/>
      <c r="I20" s="407"/>
      <c r="J20" s="405"/>
      <c r="K20" s="415">
        <f ca="1">OFFSET('Ltg IntTakeoffs'!$FM$7,0,$A20+1)</f>
        <v>0</v>
      </c>
    </row>
    <row r="21" spans="1:11" s="382" customFormat="1" x14ac:dyDescent="0.3">
      <c r="A21" s="406">
        <f t="shared" si="2"/>
        <v>14</v>
      </c>
      <c r="B21" s="86"/>
      <c r="C21" s="414" t="s">
        <v>1883</v>
      </c>
      <c r="D21" s="403">
        <v>67</v>
      </c>
      <c r="E21" s="403">
        <v>1</v>
      </c>
      <c r="F21" s="403">
        <f t="shared" si="1"/>
        <v>67</v>
      </c>
      <c r="G21" s="94">
        <f t="shared" si="3"/>
        <v>1</v>
      </c>
      <c r="H21" s="405"/>
      <c r="I21" s="407"/>
      <c r="J21" s="405"/>
      <c r="K21" s="415">
        <f ca="1">OFFSET('Ltg IntTakeoffs'!$FM$7,0,$A21+1)</f>
        <v>0</v>
      </c>
    </row>
    <row r="22" spans="1:11" x14ac:dyDescent="0.3">
      <c r="A22" s="406">
        <f t="shared" si="2"/>
        <v>15</v>
      </c>
      <c r="C22" s="414" t="s">
        <v>1884</v>
      </c>
      <c r="D22" s="403">
        <v>40</v>
      </c>
      <c r="E22" s="403">
        <v>1</v>
      </c>
      <c r="F22" s="403">
        <f t="shared" si="1"/>
        <v>40</v>
      </c>
      <c r="G22" s="94">
        <f t="shared" si="3"/>
        <v>1</v>
      </c>
      <c r="H22" s="405"/>
      <c r="I22" s="407"/>
      <c r="J22" s="405"/>
      <c r="K22" s="415">
        <f ca="1">OFFSET('Ltg IntTakeoffs'!$FM$7,0,$A22+1)</f>
        <v>0</v>
      </c>
    </row>
    <row r="23" spans="1:11" x14ac:dyDescent="0.3">
      <c r="A23" s="406">
        <f t="shared" si="2"/>
        <v>16</v>
      </c>
      <c r="C23" s="414" t="s">
        <v>1885</v>
      </c>
      <c r="D23" s="403">
        <v>96</v>
      </c>
      <c r="E23" s="403">
        <v>1</v>
      </c>
      <c r="F23" s="403">
        <f t="shared" si="1"/>
        <v>96</v>
      </c>
      <c r="G23" s="94">
        <f t="shared" si="3"/>
        <v>1</v>
      </c>
      <c r="H23" s="405"/>
      <c r="I23" s="407"/>
      <c r="J23" s="405" t="s">
        <v>1886</v>
      </c>
      <c r="K23" s="415">
        <f ca="1">OFFSET('Ltg IntTakeoffs'!$FM$7,0,$A23+1)</f>
        <v>0</v>
      </c>
    </row>
    <row r="24" spans="1:11" x14ac:dyDescent="0.3">
      <c r="A24" s="406">
        <f t="shared" si="2"/>
        <v>17</v>
      </c>
      <c r="C24" s="414" t="s">
        <v>1887</v>
      </c>
      <c r="D24" s="403">
        <v>72</v>
      </c>
      <c r="E24" s="403">
        <v>1</v>
      </c>
      <c r="F24" s="403">
        <f t="shared" si="1"/>
        <v>72</v>
      </c>
      <c r="G24" s="94">
        <f t="shared" si="3"/>
        <v>1</v>
      </c>
      <c r="H24" s="405"/>
      <c r="I24" s="407"/>
      <c r="J24" s="405"/>
      <c r="K24" s="415">
        <f ca="1">OFFSET('Ltg IntTakeoffs'!$FM$7,0,$A24+1)</f>
        <v>0</v>
      </c>
    </row>
    <row r="25" spans="1:11" x14ac:dyDescent="0.3">
      <c r="A25" s="406">
        <f t="shared" si="2"/>
        <v>18</v>
      </c>
      <c r="C25" s="414" t="s">
        <v>1888</v>
      </c>
      <c r="D25" s="403">
        <v>100</v>
      </c>
      <c r="E25" s="403">
        <v>1</v>
      </c>
      <c r="F25" s="403">
        <f t="shared" si="1"/>
        <v>100</v>
      </c>
      <c r="G25" s="94">
        <f t="shared" si="3"/>
        <v>1</v>
      </c>
      <c r="H25" s="405"/>
      <c r="I25" s="407"/>
      <c r="J25" s="405"/>
      <c r="K25" s="415">
        <f ca="1">OFFSET('Ltg IntTakeoffs'!$FM$7,0,$A25+1)</f>
        <v>0</v>
      </c>
    </row>
    <row r="26" spans="1:11" x14ac:dyDescent="0.3">
      <c r="A26" s="406">
        <f t="shared" si="2"/>
        <v>19</v>
      </c>
      <c r="C26" s="414" t="s">
        <v>1889</v>
      </c>
      <c r="D26" s="403">
        <v>60</v>
      </c>
      <c r="E26" s="403">
        <v>1</v>
      </c>
      <c r="F26" s="403">
        <f t="shared" si="1"/>
        <v>60</v>
      </c>
      <c r="G26" s="94">
        <f t="shared" si="3"/>
        <v>1</v>
      </c>
      <c r="H26" s="405"/>
      <c r="I26" s="407"/>
      <c r="J26" s="405"/>
      <c r="K26" s="415">
        <f ca="1">OFFSET('Ltg IntTakeoffs'!$FM$7,0,$A26+1)</f>
        <v>0</v>
      </c>
    </row>
    <row r="27" spans="1:11" x14ac:dyDescent="0.3">
      <c r="A27" s="406">
        <f t="shared" si="2"/>
        <v>20</v>
      </c>
      <c r="C27" s="414" t="s">
        <v>1890</v>
      </c>
      <c r="D27" s="403">
        <v>60</v>
      </c>
      <c r="E27" s="403">
        <v>1</v>
      </c>
      <c r="F27" s="403">
        <f t="shared" si="1"/>
        <v>60</v>
      </c>
      <c r="G27" s="94">
        <f t="shared" si="3"/>
        <v>1</v>
      </c>
      <c r="H27" s="405"/>
      <c r="I27" s="407"/>
      <c r="J27" s="405"/>
      <c r="K27" s="415">
        <f ca="1">OFFSET('Ltg IntTakeoffs'!$FM$7,0,$A27+1)</f>
        <v>0</v>
      </c>
    </row>
    <row r="28" spans="1:11" x14ac:dyDescent="0.3">
      <c r="A28" s="406">
        <f t="shared" si="2"/>
        <v>21</v>
      </c>
      <c r="C28" s="414" t="s">
        <v>598</v>
      </c>
      <c r="D28" s="403">
        <v>40</v>
      </c>
      <c r="E28" s="403">
        <v>1</v>
      </c>
      <c r="F28" s="403">
        <f t="shared" si="1"/>
        <v>40</v>
      </c>
      <c r="G28" s="94">
        <f t="shared" si="3"/>
        <v>1</v>
      </c>
      <c r="H28" s="405"/>
      <c r="I28" s="407"/>
      <c r="J28" s="405"/>
      <c r="K28" s="415">
        <f ca="1">OFFSET('Ltg IntTakeoffs'!$FM$7,0,$A28+1)</f>
        <v>0</v>
      </c>
    </row>
    <row r="29" spans="1:11" x14ac:dyDescent="0.3">
      <c r="A29" s="406">
        <f t="shared" si="2"/>
        <v>22</v>
      </c>
      <c r="C29" s="414" t="s">
        <v>1891</v>
      </c>
      <c r="D29" s="403">
        <v>18</v>
      </c>
      <c r="E29" s="403">
        <v>1</v>
      </c>
      <c r="F29" s="403">
        <f t="shared" si="1"/>
        <v>18</v>
      </c>
      <c r="G29" s="94">
        <f t="shared" si="3"/>
        <v>1</v>
      </c>
      <c r="H29" s="405"/>
      <c r="I29" s="407"/>
      <c r="J29" s="405"/>
      <c r="K29" s="415">
        <f ca="1">OFFSET('Ltg IntTakeoffs'!$FM$7,0,$A29+1)</f>
        <v>0</v>
      </c>
    </row>
    <row r="30" spans="1:11" x14ac:dyDescent="0.3">
      <c r="A30" s="406">
        <f t="shared" si="2"/>
        <v>23</v>
      </c>
      <c r="C30" s="414" t="s">
        <v>1892</v>
      </c>
      <c r="D30" s="403">
        <v>150</v>
      </c>
      <c r="E30" s="403">
        <v>1</v>
      </c>
      <c r="F30" s="403">
        <f t="shared" si="1"/>
        <v>150</v>
      </c>
      <c r="G30" s="94">
        <f t="shared" si="3"/>
        <v>1</v>
      </c>
      <c r="H30" s="405"/>
      <c r="I30" s="407"/>
      <c r="J30" s="405"/>
      <c r="K30" s="415">
        <f ca="1">OFFSET('Ltg IntTakeoffs'!$FM$7,0,$A30+1)</f>
        <v>0</v>
      </c>
    </row>
    <row r="31" spans="1:11" x14ac:dyDescent="0.3">
      <c r="A31" s="406">
        <f t="shared" si="2"/>
        <v>24</v>
      </c>
      <c r="C31" s="414" t="s">
        <v>1893</v>
      </c>
      <c r="D31" s="403">
        <v>10</v>
      </c>
      <c r="E31" s="403">
        <v>1</v>
      </c>
      <c r="F31" s="403">
        <f t="shared" si="1"/>
        <v>10</v>
      </c>
      <c r="G31" s="94">
        <f t="shared" si="3"/>
        <v>1</v>
      </c>
      <c r="H31" s="93"/>
      <c r="I31" s="407"/>
      <c r="J31" s="405"/>
      <c r="K31" s="415">
        <f ca="1">OFFSET('Ltg IntTakeoffs'!$FM$7,0,$A31+1)</f>
        <v>0</v>
      </c>
    </row>
    <row r="32" spans="1:11" x14ac:dyDescent="0.3">
      <c r="A32" s="406">
        <f t="shared" si="2"/>
        <v>25</v>
      </c>
      <c r="C32" s="414" t="s">
        <v>1894</v>
      </c>
      <c r="D32" s="403">
        <v>13</v>
      </c>
      <c r="E32" s="403">
        <v>1</v>
      </c>
      <c r="F32" s="403">
        <f t="shared" si="1"/>
        <v>13</v>
      </c>
      <c r="G32" s="404">
        <f t="shared" si="3"/>
        <v>1</v>
      </c>
      <c r="H32" s="405"/>
      <c r="I32" s="407"/>
      <c r="J32" s="405"/>
      <c r="K32" s="415">
        <f ca="1">OFFSET('Ltg IntTakeoffs'!$FM$7,0,$A32+1)</f>
        <v>0</v>
      </c>
    </row>
    <row r="33" spans="1:11" x14ac:dyDescent="0.3">
      <c r="A33" s="406">
        <f t="shared" si="2"/>
        <v>26</v>
      </c>
      <c r="C33" s="414" t="s">
        <v>1895</v>
      </c>
      <c r="D33" s="403">
        <v>100</v>
      </c>
      <c r="E33" s="403">
        <v>1</v>
      </c>
      <c r="F33" s="403">
        <f t="shared" si="1"/>
        <v>100</v>
      </c>
      <c r="G33" s="404">
        <f t="shared" si="3"/>
        <v>1</v>
      </c>
      <c r="H33" s="405"/>
      <c r="I33" s="407"/>
      <c r="J33" s="405"/>
      <c r="K33" s="415">
        <f ca="1">OFFSET('Ltg IntTakeoffs'!$FM$7,0,$A33+1)</f>
        <v>0</v>
      </c>
    </row>
    <row r="34" spans="1:11" x14ac:dyDescent="0.3">
      <c r="A34" s="406">
        <f t="shared" si="2"/>
        <v>27</v>
      </c>
      <c r="C34" s="414" t="s">
        <v>1896</v>
      </c>
      <c r="D34" s="403">
        <v>10</v>
      </c>
      <c r="E34" s="403">
        <v>1</v>
      </c>
      <c r="F34" s="403">
        <f t="shared" si="1"/>
        <v>10</v>
      </c>
      <c r="G34" s="404">
        <f t="shared" si="3"/>
        <v>1</v>
      </c>
      <c r="H34" s="405"/>
      <c r="I34" s="407"/>
      <c r="J34" s="405"/>
      <c r="K34" s="415">
        <f ca="1">OFFSET('Ltg IntTakeoffs'!$FM$7,0,$A34+1)</f>
        <v>0</v>
      </c>
    </row>
    <row r="35" spans="1:11" x14ac:dyDescent="0.3">
      <c r="A35" s="406">
        <f t="shared" si="2"/>
        <v>28</v>
      </c>
      <c r="C35" s="414" t="s">
        <v>1897</v>
      </c>
      <c r="D35" s="403">
        <v>96</v>
      </c>
      <c r="E35" s="403">
        <v>1</v>
      </c>
      <c r="F35" s="403">
        <f t="shared" si="1"/>
        <v>96</v>
      </c>
      <c r="G35" s="404">
        <f t="shared" si="3"/>
        <v>1</v>
      </c>
      <c r="H35" s="405"/>
      <c r="I35" s="407"/>
      <c r="J35" s="405"/>
      <c r="K35" s="415">
        <f ca="1">OFFSET('Ltg IntTakeoffs'!$FM$7,0,$A35+1)</f>
        <v>0</v>
      </c>
    </row>
    <row r="36" spans="1:11" x14ac:dyDescent="0.3">
      <c r="A36" s="406">
        <f t="shared" si="2"/>
        <v>29</v>
      </c>
      <c r="C36" s="414" t="s">
        <v>1898</v>
      </c>
      <c r="D36" s="403">
        <v>96</v>
      </c>
      <c r="E36" s="403">
        <v>1</v>
      </c>
      <c r="F36" s="403">
        <f t="shared" si="1"/>
        <v>96</v>
      </c>
      <c r="G36" s="404">
        <f t="shared" si="3"/>
        <v>1</v>
      </c>
      <c r="H36" s="405"/>
      <c r="I36" s="407"/>
      <c r="J36" s="405"/>
      <c r="K36" s="415">
        <f ca="1">OFFSET('Ltg IntTakeoffs'!$FM$7,0,$A36+1)</f>
        <v>0</v>
      </c>
    </row>
    <row r="37" spans="1:11" x14ac:dyDescent="0.3">
      <c r="A37" s="406">
        <f t="shared" si="2"/>
        <v>30</v>
      </c>
      <c r="C37" s="414" t="s">
        <v>1899</v>
      </c>
      <c r="D37" s="403">
        <v>75</v>
      </c>
      <c r="E37" s="403">
        <v>1</v>
      </c>
      <c r="F37" s="403">
        <f t="shared" si="1"/>
        <v>75</v>
      </c>
      <c r="G37" s="404">
        <f t="shared" si="3"/>
        <v>1</v>
      </c>
      <c r="H37" s="405"/>
      <c r="I37" s="407"/>
      <c r="J37" s="405"/>
      <c r="K37" s="415">
        <f ca="1">OFFSET('Ltg IntTakeoffs'!$FM$7,0,$A37+1)</f>
        <v>0</v>
      </c>
    </row>
    <row r="38" spans="1:11" x14ac:dyDescent="0.3">
      <c r="A38" s="406">
        <f t="shared" si="2"/>
        <v>31</v>
      </c>
      <c r="C38" s="414" t="s">
        <v>1900</v>
      </c>
      <c r="D38" s="403">
        <v>20</v>
      </c>
      <c r="E38" s="403">
        <v>1</v>
      </c>
      <c r="F38" s="403">
        <f t="shared" si="1"/>
        <v>20</v>
      </c>
      <c r="G38" s="404">
        <f t="shared" si="3"/>
        <v>1</v>
      </c>
      <c r="H38" s="405"/>
      <c r="I38" s="407"/>
      <c r="J38" s="405"/>
      <c r="K38" s="415">
        <f ca="1">OFFSET('Ltg IntTakeoffs'!$FM$7,0,$A38+1)</f>
        <v>0</v>
      </c>
    </row>
    <row r="39" spans="1:11" x14ac:dyDescent="0.3">
      <c r="A39" s="406">
        <f t="shared" si="2"/>
        <v>32</v>
      </c>
      <c r="C39" s="414" t="s">
        <v>1901</v>
      </c>
      <c r="D39" s="403">
        <v>75</v>
      </c>
      <c r="E39" s="403">
        <v>1</v>
      </c>
      <c r="F39" s="403">
        <f t="shared" si="1"/>
        <v>75</v>
      </c>
      <c r="G39" s="404">
        <f t="shared" si="3"/>
        <v>1</v>
      </c>
      <c r="H39" s="405"/>
      <c r="I39" s="407"/>
      <c r="J39" s="405"/>
      <c r="K39" s="415">
        <f ca="1">OFFSET('Ltg IntTakeoffs'!$FM$7,0,$A39+1)</f>
        <v>0</v>
      </c>
    </row>
    <row r="40" spans="1:11" x14ac:dyDescent="0.3">
      <c r="A40" s="406">
        <f t="shared" si="2"/>
        <v>33</v>
      </c>
      <c r="C40" s="414"/>
      <c r="D40" s="403"/>
      <c r="E40" s="403"/>
      <c r="F40" s="403"/>
      <c r="G40" s="404"/>
      <c r="H40" s="405"/>
      <c r="I40" s="407"/>
      <c r="J40" s="405"/>
      <c r="K40" s="415">
        <f ca="1">OFFSET('Ltg IntTakeoffs'!$FM$7,0,$A40+1)</f>
        <v>0</v>
      </c>
    </row>
    <row r="41" spans="1:11" x14ac:dyDescent="0.3">
      <c r="A41" s="406">
        <f t="shared" si="2"/>
        <v>34</v>
      </c>
      <c r="C41" s="414"/>
      <c r="D41" s="403"/>
      <c r="E41" s="403"/>
      <c r="F41" s="403"/>
      <c r="G41" s="404"/>
      <c r="H41" s="405"/>
      <c r="I41" s="407"/>
      <c r="J41" s="405"/>
      <c r="K41" s="415">
        <f ca="1">OFFSET('Ltg IntTakeoffs'!$FM$7,0,$A41+1)</f>
        <v>0</v>
      </c>
    </row>
    <row r="42" spans="1:11" x14ac:dyDescent="0.3">
      <c r="A42" s="406">
        <f t="shared" si="2"/>
        <v>35</v>
      </c>
      <c r="C42" s="414"/>
      <c r="D42" s="403"/>
      <c r="E42" s="403"/>
      <c r="F42" s="403"/>
      <c r="G42" s="404"/>
      <c r="H42" s="405"/>
      <c r="I42" s="407"/>
      <c r="J42" s="405"/>
      <c r="K42" s="415">
        <f ca="1">OFFSET('Ltg IntTakeoffs'!$FM$7,0,$A42+1)</f>
        <v>0</v>
      </c>
    </row>
    <row r="43" spans="1:11" x14ac:dyDescent="0.3">
      <c r="A43" s="406">
        <f t="shared" si="2"/>
        <v>36</v>
      </c>
      <c r="C43" s="414"/>
      <c r="D43" s="403"/>
      <c r="E43" s="403"/>
      <c r="F43" s="403"/>
      <c r="G43" s="404"/>
      <c r="H43" s="405"/>
      <c r="I43" s="407"/>
      <c r="J43" s="405"/>
      <c r="K43" s="415">
        <f ca="1">OFFSET('Ltg IntTakeoffs'!$FM$7,0,$A43+1)</f>
        <v>0</v>
      </c>
    </row>
    <row r="44" spans="1:11" x14ac:dyDescent="0.3">
      <c r="A44" s="406">
        <f t="shared" si="2"/>
        <v>37</v>
      </c>
      <c r="C44" s="414"/>
      <c r="D44" s="403"/>
      <c r="E44" s="403"/>
      <c r="F44" s="403"/>
      <c r="G44" s="404"/>
      <c r="H44" s="405"/>
      <c r="I44" s="407"/>
      <c r="J44" s="405"/>
      <c r="K44" s="415">
        <f ca="1">OFFSET('Ltg IntTakeoffs'!$FM$7,0,$A44+1)</f>
        <v>0</v>
      </c>
    </row>
    <row r="45" spans="1:11" x14ac:dyDescent="0.3">
      <c r="A45" s="406">
        <f t="shared" si="2"/>
        <v>38</v>
      </c>
      <c r="C45" s="414"/>
      <c r="D45" s="403"/>
      <c r="E45" s="403"/>
      <c r="F45" s="403"/>
      <c r="G45" s="404"/>
      <c r="H45" s="405"/>
      <c r="I45" s="407"/>
      <c r="J45" s="405"/>
      <c r="K45" s="415">
        <f ca="1">OFFSET('Ltg IntTakeoffs'!$FM$7,0,$A45+1)</f>
        <v>0</v>
      </c>
    </row>
    <row r="46" spans="1:11" x14ac:dyDescent="0.3">
      <c r="A46" s="406">
        <f t="shared" si="2"/>
        <v>39</v>
      </c>
      <c r="C46" s="414"/>
      <c r="D46" s="403"/>
      <c r="E46" s="403"/>
      <c r="F46" s="403"/>
      <c r="G46" s="404"/>
      <c r="H46" s="405"/>
      <c r="I46" s="407"/>
      <c r="J46" s="405"/>
      <c r="K46" s="415">
        <f ca="1">OFFSET('Ltg IntTakeoffs'!$FM$7,0,$A46+1)</f>
        <v>0</v>
      </c>
    </row>
    <row r="47" spans="1:11" x14ac:dyDescent="0.3">
      <c r="A47" s="406">
        <f t="shared" si="2"/>
        <v>40</v>
      </c>
      <c r="C47" s="414"/>
      <c r="D47" s="403"/>
      <c r="E47" s="403"/>
      <c r="F47" s="403"/>
      <c r="G47" s="404"/>
      <c r="H47" s="405"/>
      <c r="I47" s="407"/>
      <c r="J47" s="405"/>
      <c r="K47" s="415">
        <f ca="1">OFFSET('Ltg IntTakeoffs'!$FM$7,0,$A47+1)</f>
        <v>0</v>
      </c>
    </row>
    <row r="48" spans="1:11" x14ac:dyDescent="0.3">
      <c r="A48" s="406">
        <f t="shared" si="2"/>
        <v>41</v>
      </c>
      <c r="C48" s="414"/>
      <c r="D48" s="403"/>
      <c r="E48" s="403"/>
      <c r="F48" s="403"/>
      <c r="G48" s="404"/>
      <c r="H48" s="405"/>
      <c r="I48" s="407"/>
      <c r="J48" s="405"/>
      <c r="K48" s="415">
        <f ca="1">OFFSET('Ltg IntTakeoffs'!$FM$7,0,$A48+1)</f>
        <v>0</v>
      </c>
    </row>
    <row r="49" spans="1:11" x14ac:dyDescent="0.3">
      <c r="A49" s="406">
        <f t="shared" si="2"/>
        <v>42</v>
      </c>
      <c r="C49" s="414"/>
      <c r="D49" s="403"/>
      <c r="E49" s="403"/>
      <c r="F49" s="403"/>
      <c r="G49" s="404"/>
      <c r="H49" s="405"/>
      <c r="I49" s="407"/>
      <c r="J49" s="405"/>
      <c r="K49" s="415">
        <f ca="1">OFFSET('Ltg IntTakeoffs'!$FM$7,0,$A49+1)</f>
        <v>0</v>
      </c>
    </row>
    <row r="50" spans="1:11" x14ac:dyDescent="0.3">
      <c r="A50" s="406">
        <f t="shared" si="2"/>
        <v>43</v>
      </c>
      <c r="C50" s="414"/>
      <c r="D50" s="403"/>
      <c r="E50" s="403"/>
      <c r="F50" s="403"/>
      <c r="G50" s="404"/>
      <c r="H50" s="405"/>
      <c r="I50" s="407"/>
      <c r="J50" s="405"/>
      <c r="K50" s="415">
        <f ca="1">OFFSET('Ltg IntTakeoffs'!$FM$7,0,$A50+1)</f>
        <v>0</v>
      </c>
    </row>
    <row r="51" spans="1:11" x14ac:dyDescent="0.3">
      <c r="A51" s="406">
        <f t="shared" si="2"/>
        <v>44</v>
      </c>
      <c r="C51" s="414"/>
      <c r="D51" s="1766"/>
      <c r="E51" s="403"/>
      <c r="F51" s="1766"/>
      <c r="G51" s="404"/>
      <c r="H51" s="405"/>
      <c r="I51" s="407"/>
      <c r="J51" s="1767"/>
      <c r="K51" s="415">
        <f ca="1">OFFSET('Ltg IntTakeoffs'!$FM$7,0,$A51+1)</f>
        <v>0</v>
      </c>
    </row>
    <row r="52" spans="1:11" x14ac:dyDescent="0.3">
      <c r="A52" s="406">
        <f t="shared" si="2"/>
        <v>45</v>
      </c>
      <c r="C52" s="414"/>
      <c r="D52" s="403"/>
      <c r="E52" s="403"/>
      <c r="F52" s="403"/>
      <c r="G52" s="404"/>
      <c r="H52" s="405"/>
      <c r="I52" s="407"/>
      <c r="J52" s="405"/>
      <c r="K52" s="415">
        <f ca="1">OFFSET('Ltg IntTakeoffs'!$FM$7,0,$A52+1)</f>
        <v>0</v>
      </c>
    </row>
    <row r="53" spans="1:11" x14ac:dyDescent="0.3">
      <c r="A53" s="406">
        <f t="shared" si="2"/>
        <v>46</v>
      </c>
      <c r="C53" s="414"/>
      <c r="D53" s="403"/>
      <c r="E53" s="403"/>
      <c r="F53" s="403"/>
      <c r="G53" s="404"/>
      <c r="H53" s="405"/>
      <c r="I53" s="407"/>
      <c r="J53" s="405"/>
      <c r="K53" s="415">
        <f ca="1">OFFSET('Ltg IntTakeoffs'!$FM$7,0,$A53+1)</f>
        <v>0</v>
      </c>
    </row>
    <row r="54" spans="1:11" x14ac:dyDescent="0.3">
      <c r="A54" s="406">
        <f t="shared" si="2"/>
        <v>47</v>
      </c>
      <c r="C54" s="414"/>
      <c r="D54" s="403"/>
      <c r="E54" s="403"/>
      <c r="F54" s="403"/>
      <c r="G54" s="404"/>
      <c r="H54" s="405"/>
      <c r="I54" s="407"/>
      <c r="J54" s="405"/>
      <c r="K54" s="415">
        <f ca="1">OFFSET('Ltg IntTakeoffs'!$FM$7,0,$A54+1)</f>
        <v>0</v>
      </c>
    </row>
    <row r="55" spans="1:11" x14ac:dyDescent="0.3">
      <c r="A55" s="406">
        <f t="shared" si="2"/>
        <v>48</v>
      </c>
      <c r="C55" s="414"/>
      <c r="D55" s="403"/>
      <c r="E55" s="403"/>
      <c r="F55" s="403"/>
      <c r="G55" s="404"/>
      <c r="H55" s="405"/>
      <c r="I55" s="407"/>
      <c r="J55" s="405"/>
      <c r="K55" s="415">
        <f ca="1">OFFSET('Ltg IntTakeoffs'!$FM$7,0,$A55+1)</f>
        <v>0</v>
      </c>
    </row>
    <row r="56" spans="1:11" x14ac:dyDescent="0.3">
      <c r="A56" s="406">
        <f t="shared" si="2"/>
        <v>49</v>
      </c>
      <c r="C56" s="414"/>
      <c r="D56" s="403"/>
      <c r="E56" s="403"/>
      <c r="F56" s="403"/>
      <c r="G56" s="404"/>
      <c r="H56" s="405"/>
      <c r="I56" s="407"/>
      <c r="J56" s="405"/>
      <c r="K56" s="415">
        <f ca="1">OFFSET('Ltg IntTakeoffs'!$FM$7,0,$A56+1)</f>
        <v>0</v>
      </c>
    </row>
    <row r="57" spans="1:11" x14ac:dyDescent="0.3">
      <c r="A57" s="406">
        <f t="shared" si="2"/>
        <v>50</v>
      </c>
      <c r="C57" s="414"/>
      <c r="D57" s="403"/>
      <c r="E57" s="403"/>
      <c r="F57" s="403"/>
      <c r="G57" s="404"/>
      <c r="H57" s="405"/>
      <c r="I57" s="407"/>
      <c r="J57" s="405"/>
      <c r="K57" s="415">
        <f ca="1">OFFSET('Ltg IntTakeoffs'!$FM$7,0,$A57+1)</f>
        <v>0</v>
      </c>
    </row>
    <row r="58" spans="1:11" x14ac:dyDescent="0.3">
      <c r="A58" s="406">
        <f t="shared" si="2"/>
        <v>51</v>
      </c>
      <c r="C58" s="414"/>
      <c r="D58" s="403"/>
      <c r="E58" s="403"/>
      <c r="F58" s="403"/>
      <c r="G58" s="404"/>
      <c r="H58" s="405"/>
      <c r="I58" s="407"/>
      <c r="J58" s="405"/>
      <c r="K58" s="415">
        <f ca="1">OFFSET('Ltg IntTakeoffs'!$FM$7,0,$A58+1)</f>
        <v>0</v>
      </c>
    </row>
    <row r="59" spans="1:11" x14ac:dyDescent="0.3">
      <c r="A59" s="406">
        <f t="shared" si="2"/>
        <v>52</v>
      </c>
      <c r="C59" s="414"/>
      <c r="D59" s="403"/>
      <c r="E59" s="403"/>
      <c r="F59" s="403"/>
      <c r="G59" s="404"/>
      <c r="H59" s="405"/>
      <c r="I59" s="407"/>
      <c r="J59" s="405"/>
      <c r="K59" s="415">
        <f ca="1">OFFSET('Ltg IntTakeoffs'!$FM$7,0,$A59+1)</f>
        <v>0</v>
      </c>
    </row>
    <row r="60" spans="1:11" x14ac:dyDescent="0.3">
      <c r="A60" s="406">
        <f t="shared" si="2"/>
        <v>53</v>
      </c>
      <c r="C60" s="414"/>
      <c r="D60" s="403"/>
      <c r="E60" s="403"/>
      <c r="F60" s="403"/>
      <c r="G60" s="404"/>
      <c r="H60" s="405"/>
      <c r="I60" s="407"/>
      <c r="J60" s="405"/>
      <c r="K60" s="415">
        <f ca="1">OFFSET('Ltg IntTakeoffs'!$FM$7,0,$A60+1)</f>
        <v>0</v>
      </c>
    </row>
    <row r="61" spans="1:11" x14ac:dyDescent="0.3">
      <c r="A61" s="406">
        <f t="shared" si="2"/>
        <v>54</v>
      </c>
      <c r="C61" s="414"/>
      <c r="D61" s="403"/>
      <c r="E61" s="403"/>
      <c r="F61" s="403"/>
      <c r="G61" s="404"/>
      <c r="H61" s="405"/>
      <c r="I61" s="407"/>
      <c r="J61" s="405"/>
      <c r="K61" s="415">
        <f ca="1">OFFSET('Ltg IntTakeoffs'!$FM$7,0,$A61+1)</f>
        <v>0</v>
      </c>
    </row>
    <row r="62" spans="1:11" x14ac:dyDescent="0.3">
      <c r="A62" s="406">
        <f t="shared" si="2"/>
        <v>55</v>
      </c>
      <c r="C62" s="414"/>
      <c r="D62" s="403"/>
      <c r="E62" s="403"/>
      <c r="F62" s="403"/>
      <c r="G62" s="404"/>
      <c r="H62" s="405"/>
      <c r="I62" s="407"/>
      <c r="J62" s="405"/>
      <c r="K62" s="415">
        <f ca="1">OFFSET('Ltg IntTakeoffs'!$FM$7,0,$A62+1)</f>
        <v>0</v>
      </c>
    </row>
    <row r="63" spans="1:11" x14ac:dyDescent="0.3">
      <c r="A63" s="406">
        <f t="shared" si="2"/>
        <v>56</v>
      </c>
      <c r="C63" s="414"/>
      <c r="D63" s="403"/>
      <c r="E63" s="403"/>
      <c r="F63" s="403"/>
      <c r="G63" s="404"/>
      <c r="H63" s="405"/>
      <c r="I63" s="407"/>
      <c r="J63" s="405"/>
      <c r="K63" s="415">
        <f ca="1">OFFSET('Ltg IntTakeoffs'!$FM$7,0,$A63+1)</f>
        <v>0</v>
      </c>
    </row>
    <row r="64" spans="1:11" x14ac:dyDescent="0.3">
      <c r="A64" s="406">
        <f t="shared" si="2"/>
        <v>57</v>
      </c>
      <c r="C64" s="414"/>
      <c r="D64" s="403"/>
      <c r="E64" s="403"/>
      <c r="F64" s="403"/>
      <c r="G64" s="404"/>
      <c r="H64" s="405"/>
      <c r="I64" s="407"/>
      <c r="J64" s="405"/>
      <c r="K64" s="415">
        <f ca="1">OFFSET('Ltg IntTakeoffs'!$FM$7,0,$A64+1)</f>
        <v>0</v>
      </c>
    </row>
    <row r="65" spans="1:12" x14ac:dyDescent="0.3">
      <c r="A65" s="406">
        <f t="shared" si="2"/>
        <v>58</v>
      </c>
      <c r="C65" s="416"/>
      <c r="D65" s="417"/>
      <c r="E65" s="417"/>
      <c r="F65" s="417"/>
      <c r="G65" s="562"/>
      <c r="H65" s="528"/>
      <c r="I65" s="1768"/>
      <c r="J65" s="528"/>
      <c r="K65" s="1769">
        <f ca="1">OFFSET('Ltg IntTakeoffs'!$FM$7,0,$A65+1)</f>
        <v>0</v>
      </c>
    </row>
    <row r="66" spans="1:12" x14ac:dyDescent="0.3">
      <c r="C66" s="86" t="s">
        <v>38</v>
      </c>
      <c r="E66" s="513"/>
      <c r="K66" s="617">
        <f ca="1">SUMPRODUCT(D8:D65,K8:K65)</f>
        <v>0</v>
      </c>
      <c r="L66" s="118" t="s">
        <v>233</v>
      </c>
    </row>
    <row r="67" spans="1:12" x14ac:dyDescent="0.3">
      <c r="E67" s="403"/>
      <c r="K67" s="617">
        <f ca="1">'Ltg IntTakeoffs'!EY7</f>
        <v>0</v>
      </c>
      <c r="L67" s="86" t="s">
        <v>234</v>
      </c>
    </row>
    <row r="68" spans="1:12" x14ac:dyDescent="0.3">
      <c r="K68" s="87"/>
    </row>
    <row r="69" spans="1:12" s="89" customFormat="1" x14ac:dyDescent="0.3">
      <c r="A69" s="90"/>
      <c r="B69" s="86"/>
      <c r="C69" s="418" t="s">
        <v>232</v>
      </c>
      <c r="D69" s="419"/>
      <c r="E69" s="419"/>
      <c r="F69" s="419"/>
      <c r="G69" s="419"/>
      <c r="H69" s="419"/>
      <c r="I69" s="419"/>
      <c r="J69" s="419"/>
      <c r="K69" s="420"/>
    </row>
    <row r="70" spans="1:12" ht="41.4" x14ac:dyDescent="0.3">
      <c r="C70" s="92" t="s">
        <v>40</v>
      </c>
      <c r="D70" s="92" t="s">
        <v>87</v>
      </c>
      <c r="E70" s="92" t="s">
        <v>54</v>
      </c>
      <c r="F70" s="92" t="s">
        <v>52</v>
      </c>
      <c r="G70" s="92" t="s">
        <v>53</v>
      </c>
      <c r="H70" s="92" t="s">
        <v>122</v>
      </c>
      <c r="I70" s="92" t="s">
        <v>121</v>
      </c>
      <c r="J70" s="92" t="s">
        <v>48</v>
      </c>
      <c r="K70" s="92" t="s">
        <v>86</v>
      </c>
    </row>
    <row r="71" spans="1:12" x14ac:dyDescent="0.3">
      <c r="C71" s="412" t="s">
        <v>39</v>
      </c>
      <c r="D71" s="93"/>
      <c r="E71" s="93"/>
      <c r="F71" s="93"/>
      <c r="G71" s="94"/>
      <c r="H71" s="93"/>
      <c r="I71" s="96"/>
      <c r="J71" s="96"/>
      <c r="K71" s="413"/>
    </row>
    <row r="72" spans="1:12" x14ac:dyDescent="0.3">
      <c r="A72" s="86">
        <v>1</v>
      </c>
      <c r="C72" s="514" t="s">
        <v>786</v>
      </c>
      <c r="D72" s="142" t="str">
        <f t="shared" ref="D72:H79" si="4">IFERROR(VLOOKUP($C72,Ltg_IFixtureSch_PROP,D$4,FALSE),"")</f>
        <v/>
      </c>
      <c r="E72" s="142" t="str">
        <f t="shared" si="4"/>
        <v/>
      </c>
      <c r="F72" s="142" t="str">
        <f t="shared" si="4"/>
        <v/>
      </c>
      <c r="G72" s="142" t="str">
        <f t="shared" si="4"/>
        <v/>
      </c>
      <c r="H72" s="142" t="str">
        <f t="shared" si="4"/>
        <v/>
      </c>
      <c r="I72" s="142" t="str">
        <f t="shared" ref="I72:J78" si="5">IFERROR(VLOOKUP($C72,Ltg_IFixtureSch_PROP,I$4,FALSE),"")</f>
        <v/>
      </c>
      <c r="J72" s="142" t="str">
        <f t="shared" si="5"/>
        <v/>
      </c>
      <c r="K72" s="515">
        <f t="shared" ref="K72:K78" ca="1" si="6">OFFSET(ELtgCountRef,0,$A72)</f>
        <v>0</v>
      </c>
    </row>
    <row r="73" spans="1:12" x14ac:dyDescent="0.3">
      <c r="A73" s="86">
        <f t="shared" ref="A73:A81" si="7">A72+1</f>
        <v>2</v>
      </c>
      <c r="C73" s="514" t="s">
        <v>105</v>
      </c>
      <c r="D73" s="142" t="str">
        <f t="shared" si="4"/>
        <v/>
      </c>
      <c r="E73" s="142" t="str">
        <f t="shared" si="4"/>
        <v/>
      </c>
      <c r="F73" s="142" t="str">
        <f t="shared" si="4"/>
        <v/>
      </c>
      <c r="G73" s="142" t="str">
        <f t="shared" si="4"/>
        <v/>
      </c>
      <c r="H73" s="142" t="str">
        <f t="shared" si="4"/>
        <v/>
      </c>
      <c r="I73" s="142" t="str">
        <f t="shared" si="5"/>
        <v/>
      </c>
      <c r="J73" s="142" t="str">
        <f t="shared" si="5"/>
        <v/>
      </c>
      <c r="K73" s="515">
        <f t="shared" ca="1" si="6"/>
        <v>0</v>
      </c>
    </row>
    <row r="74" spans="1:12" x14ac:dyDescent="0.3">
      <c r="A74" s="86">
        <f t="shared" si="7"/>
        <v>3</v>
      </c>
      <c r="C74" s="646" t="s">
        <v>790</v>
      </c>
      <c r="D74" s="142" t="str">
        <f t="shared" si="4"/>
        <v/>
      </c>
      <c r="E74" s="142" t="str">
        <f t="shared" si="4"/>
        <v/>
      </c>
      <c r="F74" s="142" t="str">
        <f t="shared" si="4"/>
        <v/>
      </c>
      <c r="G74" s="142" t="str">
        <f t="shared" si="4"/>
        <v/>
      </c>
      <c r="H74" s="142" t="str">
        <f t="shared" si="4"/>
        <v/>
      </c>
      <c r="I74" s="142" t="str">
        <f t="shared" si="5"/>
        <v/>
      </c>
      <c r="J74" s="142" t="str">
        <f t="shared" si="5"/>
        <v/>
      </c>
      <c r="K74" s="515">
        <f t="shared" ca="1" si="6"/>
        <v>0</v>
      </c>
    </row>
    <row r="75" spans="1:12" x14ac:dyDescent="0.3">
      <c r="A75" s="86">
        <f t="shared" si="7"/>
        <v>4</v>
      </c>
      <c r="C75" s="514" t="s">
        <v>787</v>
      </c>
      <c r="D75" s="142" t="str">
        <f t="shared" si="4"/>
        <v/>
      </c>
      <c r="E75" s="142" t="str">
        <f t="shared" si="4"/>
        <v/>
      </c>
      <c r="F75" s="142" t="str">
        <f t="shared" si="4"/>
        <v/>
      </c>
      <c r="G75" s="142" t="str">
        <f t="shared" si="4"/>
        <v/>
      </c>
      <c r="H75" s="142" t="str">
        <f t="shared" si="4"/>
        <v/>
      </c>
      <c r="I75" s="142" t="str">
        <f t="shared" si="5"/>
        <v/>
      </c>
      <c r="J75" s="142" t="str">
        <f t="shared" si="5"/>
        <v/>
      </c>
      <c r="K75" s="515">
        <f t="shared" ca="1" si="6"/>
        <v>0</v>
      </c>
    </row>
    <row r="76" spans="1:12" x14ac:dyDescent="0.3">
      <c r="A76" s="86">
        <f t="shared" si="7"/>
        <v>5</v>
      </c>
      <c r="C76" s="514" t="s">
        <v>789</v>
      </c>
      <c r="D76" s="142" t="str">
        <f t="shared" si="4"/>
        <v/>
      </c>
      <c r="E76" s="142" t="str">
        <f t="shared" si="4"/>
        <v/>
      </c>
      <c r="F76" s="142" t="str">
        <f t="shared" si="4"/>
        <v/>
      </c>
      <c r="G76" s="142" t="str">
        <f t="shared" si="4"/>
        <v/>
      </c>
      <c r="H76" s="142" t="str">
        <f t="shared" si="4"/>
        <v/>
      </c>
      <c r="I76" s="142" t="str">
        <f t="shared" si="5"/>
        <v/>
      </c>
      <c r="J76" s="142" t="str">
        <f t="shared" si="5"/>
        <v/>
      </c>
      <c r="K76" s="515">
        <f t="shared" ca="1" si="6"/>
        <v>0</v>
      </c>
    </row>
    <row r="77" spans="1:12" x14ac:dyDescent="0.3">
      <c r="A77" s="86">
        <f t="shared" si="7"/>
        <v>6</v>
      </c>
      <c r="C77" s="514" t="s">
        <v>788</v>
      </c>
      <c r="D77" s="142" t="str">
        <f t="shared" si="4"/>
        <v/>
      </c>
      <c r="E77" s="142" t="str">
        <f t="shared" si="4"/>
        <v/>
      </c>
      <c r="F77" s="142" t="str">
        <f t="shared" si="4"/>
        <v/>
      </c>
      <c r="G77" s="142" t="str">
        <f t="shared" si="4"/>
        <v/>
      </c>
      <c r="H77" s="142" t="str">
        <f t="shared" si="4"/>
        <v/>
      </c>
      <c r="I77" s="142" t="str">
        <f t="shared" si="5"/>
        <v/>
      </c>
      <c r="J77" s="142" t="str">
        <f t="shared" si="5"/>
        <v/>
      </c>
      <c r="K77" s="515">
        <f t="shared" ca="1" si="6"/>
        <v>0</v>
      </c>
    </row>
    <row r="78" spans="1:12" x14ac:dyDescent="0.3">
      <c r="A78" s="86">
        <f t="shared" si="7"/>
        <v>7</v>
      </c>
      <c r="C78" s="516"/>
      <c r="D78" s="517" t="str">
        <f t="shared" si="4"/>
        <v/>
      </c>
      <c r="E78" s="517" t="str">
        <f t="shared" si="4"/>
        <v/>
      </c>
      <c r="F78" s="517" t="str">
        <f t="shared" si="4"/>
        <v/>
      </c>
      <c r="G78" s="517" t="str">
        <f t="shared" si="4"/>
        <v/>
      </c>
      <c r="H78" s="517" t="str">
        <f t="shared" si="4"/>
        <v/>
      </c>
      <c r="I78" s="517" t="str">
        <f t="shared" si="5"/>
        <v/>
      </c>
      <c r="J78" s="517" t="str">
        <f t="shared" si="5"/>
        <v/>
      </c>
      <c r="K78" s="518">
        <f t="shared" ca="1" si="6"/>
        <v>0</v>
      </c>
    </row>
    <row r="79" spans="1:12" x14ac:dyDescent="0.3">
      <c r="A79" s="86">
        <f t="shared" si="7"/>
        <v>8</v>
      </c>
      <c r="C79" s="96"/>
      <c r="D79" s="142" t="str">
        <f t="shared" si="4"/>
        <v/>
      </c>
      <c r="E79" s="142" t="str">
        <f t="shared" si="4"/>
        <v/>
      </c>
      <c r="F79" s="142" t="str">
        <f t="shared" si="4"/>
        <v/>
      </c>
      <c r="G79" s="142" t="str">
        <f t="shared" si="4"/>
        <v/>
      </c>
      <c r="H79" s="142" t="str">
        <f t="shared" si="4"/>
        <v/>
      </c>
      <c r="I79" s="142"/>
      <c r="J79" s="142"/>
      <c r="K79" s="142"/>
    </row>
    <row r="80" spans="1:12" x14ac:dyDescent="0.3">
      <c r="A80" s="86">
        <f t="shared" si="7"/>
        <v>9</v>
      </c>
      <c r="C80" s="93"/>
      <c r="D80" s="142" t="str">
        <f t="shared" ref="D80:G81" si="8">IFERROR(VLOOKUP($C80,Ltg_IFixtureSch_PROP,D$4,FALSE),"")</f>
        <v/>
      </c>
      <c r="E80" s="142" t="str">
        <f t="shared" si="8"/>
        <v/>
      </c>
      <c r="F80" s="142" t="str">
        <f t="shared" si="8"/>
        <v/>
      </c>
      <c r="G80" s="142" t="str">
        <f t="shared" si="8"/>
        <v/>
      </c>
      <c r="H80" s="142"/>
      <c r="I80" s="142"/>
      <c r="J80" s="142"/>
      <c r="K80" s="141"/>
    </row>
    <row r="81" spans="1:13" x14ac:dyDescent="0.3">
      <c r="A81" s="86">
        <f t="shared" si="7"/>
        <v>10</v>
      </c>
      <c r="C81" s="93"/>
      <c r="D81" s="142" t="str">
        <f t="shared" si="8"/>
        <v/>
      </c>
      <c r="E81" s="142" t="str">
        <f t="shared" si="8"/>
        <v/>
      </c>
      <c r="F81" s="142" t="str">
        <f t="shared" si="8"/>
        <v/>
      </c>
      <c r="G81" s="142" t="str">
        <f t="shared" si="8"/>
        <v/>
      </c>
      <c r="H81" s="142"/>
      <c r="I81" s="142"/>
      <c r="J81" s="142"/>
      <c r="K81" s="141"/>
    </row>
    <row r="82" spans="1:13" x14ac:dyDescent="0.3">
      <c r="C82" s="86" t="s">
        <v>38</v>
      </c>
      <c r="K82" s="87">
        <f ca="1">SUMPRODUCT(D72:D81,K72:K81)</f>
        <v>0</v>
      </c>
      <c r="L82" s="36"/>
    </row>
    <row r="83" spans="1:13" x14ac:dyDescent="0.3">
      <c r="K83" s="617">
        <f>'Ltg ExtTakeoffs'!AX7</f>
        <v>0</v>
      </c>
      <c r="L83" s="86" t="s">
        <v>2119</v>
      </c>
    </row>
    <row r="84" spans="1:13" x14ac:dyDescent="0.3">
      <c r="K84" s="570"/>
      <c r="L84" s="36"/>
    </row>
    <row r="85" spans="1:13" x14ac:dyDescent="0.3">
      <c r="L85" s="36"/>
    </row>
    <row r="86" spans="1:13" s="89" customFormat="1" x14ac:dyDescent="0.3">
      <c r="C86" s="91" t="s">
        <v>120</v>
      </c>
      <c r="D86" s="91"/>
      <c r="E86" s="91"/>
      <c r="F86" s="91"/>
      <c r="G86" s="91"/>
      <c r="H86" s="91"/>
      <c r="I86" s="91"/>
      <c r="J86" s="91"/>
      <c r="K86" s="91"/>
      <c r="L86" s="91"/>
      <c r="M86" s="91"/>
    </row>
    <row r="87" spans="1:13" ht="41.4" x14ac:dyDescent="0.3">
      <c r="C87" s="92" t="s">
        <v>40</v>
      </c>
      <c r="D87" s="92" t="s">
        <v>87</v>
      </c>
      <c r="E87" s="92" t="s">
        <v>54</v>
      </c>
      <c r="F87" s="92" t="s">
        <v>52</v>
      </c>
      <c r="G87" s="92" t="s">
        <v>53</v>
      </c>
      <c r="H87" s="92" t="s">
        <v>122</v>
      </c>
      <c r="I87" s="92" t="s">
        <v>121</v>
      </c>
      <c r="J87" s="92" t="s">
        <v>48</v>
      </c>
      <c r="K87" s="92" t="s">
        <v>532</v>
      </c>
      <c r="L87" s="92" t="s">
        <v>551</v>
      </c>
      <c r="M87" s="92" t="s">
        <v>533</v>
      </c>
    </row>
    <row r="88" spans="1:13" x14ac:dyDescent="0.3">
      <c r="C88" s="533" t="s">
        <v>39</v>
      </c>
      <c r="D88" s="519"/>
      <c r="E88" s="519"/>
      <c r="F88" s="519"/>
      <c r="G88" s="520"/>
      <c r="H88" s="519"/>
      <c r="I88" s="521" t="str">
        <f t="shared" ref="I88:J99" si="9">IFERROR(VLOOKUP($C88,Ltg_IFixtureSch_PROP,I$4,FALSE),"")</f>
        <v/>
      </c>
      <c r="J88" s="521" t="str">
        <f t="shared" si="9"/>
        <v/>
      </c>
      <c r="K88" s="519"/>
      <c r="L88" s="519"/>
      <c r="M88" s="534"/>
    </row>
    <row r="89" spans="1:13" ht="27.6" x14ac:dyDescent="0.3">
      <c r="C89" s="414"/>
      <c r="D89" s="142" t="str">
        <f t="shared" ref="D89:G93" si="10">IFERROR(VLOOKUP($C89,Ltg_IFixtureSch_PROP,D$4,FALSE),"")</f>
        <v/>
      </c>
      <c r="E89" s="142" t="str">
        <f t="shared" si="10"/>
        <v/>
      </c>
      <c r="F89" s="142" t="str">
        <f t="shared" si="10"/>
        <v/>
      </c>
      <c r="G89" s="142" t="str">
        <f t="shared" si="10"/>
        <v/>
      </c>
      <c r="H89" s="142" t="str">
        <f>IFERROR(VLOOKUP($C89,Ltg_IFixtureSch_PROP,H$4,FALSE),"")</f>
        <v/>
      </c>
      <c r="I89" s="142" t="str">
        <f>IFERROR(VLOOKUP($C89,Ltg_IFixtureSch_PROP,I$4,FALSE),"")</f>
        <v/>
      </c>
      <c r="J89" s="142" t="str">
        <f>IFERROR(VLOOKUP($C89,Ltg_IFixtureSch_PROP,J$4,FALSE),"")</f>
        <v/>
      </c>
      <c r="K89" s="515" t="e">
        <f>660*E89</f>
        <v>#VALUE!</v>
      </c>
      <c r="L89" s="524" t="e">
        <f>K89/D89</f>
        <v>#VALUE!</v>
      </c>
      <c r="M89" s="526" t="s">
        <v>648</v>
      </c>
    </row>
    <row r="90" spans="1:13" ht="27.6" x14ac:dyDescent="0.3">
      <c r="C90" s="414"/>
      <c r="D90" s="142" t="str">
        <f t="shared" si="10"/>
        <v/>
      </c>
      <c r="E90" s="142" t="str">
        <f t="shared" si="10"/>
        <v/>
      </c>
      <c r="F90" s="142" t="str">
        <f t="shared" si="10"/>
        <v/>
      </c>
      <c r="G90" s="142" t="str">
        <f t="shared" si="10"/>
        <v/>
      </c>
      <c r="H90" s="142" t="str">
        <f>IFERROR(VLOOKUP($C90,Ltg_IFixtureSch_PROP,H$4,FALSE),"")</f>
        <v/>
      </c>
      <c r="I90" s="142"/>
      <c r="J90" s="142" t="str">
        <f t="shared" si="9"/>
        <v/>
      </c>
      <c r="K90" s="515" t="e">
        <f>1100*E90</f>
        <v>#VALUE!</v>
      </c>
      <c r="L90" s="524" t="e">
        <f>K90/D90</f>
        <v>#VALUE!</v>
      </c>
      <c r="M90" s="526" t="s">
        <v>649</v>
      </c>
    </row>
    <row r="91" spans="1:13" x14ac:dyDescent="0.3">
      <c r="C91" s="414"/>
      <c r="D91" s="142" t="str">
        <f t="shared" si="10"/>
        <v/>
      </c>
      <c r="E91" s="142" t="str">
        <f t="shared" si="10"/>
        <v/>
      </c>
      <c r="F91" s="142" t="str">
        <f t="shared" si="10"/>
        <v/>
      </c>
      <c r="G91" s="142" t="str">
        <f t="shared" si="10"/>
        <v/>
      </c>
      <c r="H91" s="142" t="str">
        <f>IFERROR(VLOOKUP($C91,Ltg_IFixtureSch_PROP,H$4,FALSE),"")</f>
        <v/>
      </c>
      <c r="I91" s="142"/>
      <c r="J91" s="142" t="str">
        <f>IFERROR(VLOOKUP($C91,Ltg_IFixtureSch_PROP,J$4,FALSE),"")</f>
        <v/>
      </c>
      <c r="K91" s="515" t="e">
        <f>L91*D91</f>
        <v>#VALUE!</v>
      </c>
      <c r="L91" s="524">
        <v>32</v>
      </c>
      <c r="M91" s="526" t="s">
        <v>534</v>
      </c>
    </row>
    <row r="92" spans="1:13" x14ac:dyDescent="0.3">
      <c r="C92" s="414"/>
      <c r="D92" s="142" t="str">
        <f t="shared" si="10"/>
        <v/>
      </c>
      <c r="E92" s="142" t="str">
        <f t="shared" si="10"/>
        <v/>
      </c>
      <c r="F92" s="142" t="str">
        <f t="shared" si="10"/>
        <v/>
      </c>
      <c r="G92" s="142" t="str">
        <f>IFERROR(VLOOKUP($C92,Ltg_IFixtureSch_PROP,G$4,FALSE),"")</f>
        <v/>
      </c>
      <c r="H92" s="142" t="str">
        <f>IFERROR(VLOOKUP($C92,Ltg_IFixtureSch_PROP,H$4,FALSE),"")</f>
        <v/>
      </c>
      <c r="I92" s="142"/>
      <c r="J92" s="142" t="str">
        <f t="shared" si="9"/>
        <v/>
      </c>
      <c r="K92" s="515" t="e">
        <f>L92*D92</f>
        <v>#VALUE!</v>
      </c>
      <c r="L92" s="524">
        <v>32</v>
      </c>
      <c r="M92" s="526" t="s">
        <v>534</v>
      </c>
    </row>
    <row r="93" spans="1:13" ht="27.6" x14ac:dyDescent="0.3">
      <c r="C93" s="414"/>
      <c r="D93" s="142" t="str">
        <f t="shared" si="10"/>
        <v/>
      </c>
      <c r="E93" s="142" t="str">
        <f t="shared" si="10"/>
        <v/>
      </c>
      <c r="F93" s="142" t="str">
        <f t="shared" si="10"/>
        <v/>
      </c>
      <c r="G93" s="142" t="str">
        <f>IFERROR(VLOOKUP($C93,Ltg_IFixtureSch_PROP,G$4,FALSE),"")</f>
        <v/>
      </c>
      <c r="H93" s="142" t="str">
        <f>IFERROR(VLOOKUP($C93,Ltg_IFixtureSch_PROP,H$4,FALSE),"")</f>
        <v/>
      </c>
      <c r="I93" s="142"/>
      <c r="J93" s="142" t="str">
        <f t="shared" si="9"/>
        <v/>
      </c>
      <c r="K93" s="515" t="e">
        <f>1100*E93</f>
        <v>#VALUE!</v>
      </c>
      <c r="L93" s="524" t="e">
        <f>K93/D93</f>
        <v>#VALUE!</v>
      </c>
      <c r="M93" s="526" t="s">
        <v>649</v>
      </c>
    </row>
    <row r="94" spans="1:13" x14ac:dyDescent="0.3">
      <c r="C94" s="414" t="s">
        <v>641</v>
      </c>
      <c r="D94" s="513">
        <v>10</v>
      </c>
      <c r="E94" s="513">
        <v>1</v>
      </c>
      <c r="F94" s="513">
        <v>10</v>
      </c>
      <c r="G94" s="522">
        <f>D94/(E94*F94)</f>
        <v>1</v>
      </c>
      <c r="H94" s="523" t="s">
        <v>348</v>
      </c>
      <c r="I94" s="513"/>
      <c r="J94" s="513" t="s">
        <v>643</v>
      </c>
      <c r="K94" s="403">
        <v>750</v>
      </c>
      <c r="L94" s="524">
        <f t="shared" ref="L94:L95" si="11">K94/D94</f>
        <v>75</v>
      </c>
      <c r="M94" s="526" t="s">
        <v>534</v>
      </c>
    </row>
    <row r="95" spans="1:13" x14ac:dyDescent="0.3">
      <c r="C95" s="416" t="s">
        <v>642</v>
      </c>
      <c r="D95" s="417">
        <v>10</v>
      </c>
      <c r="E95" s="417">
        <v>1</v>
      </c>
      <c r="F95" s="417">
        <v>10</v>
      </c>
      <c r="G95" s="562">
        <f>D95/(E95*F95)</f>
        <v>1</v>
      </c>
      <c r="H95" s="528" t="s">
        <v>348</v>
      </c>
      <c r="I95" s="417" t="str">
        <f t="shared" si="9"/>
        <v/>
      </c>
      <c r="J95" s="417" t="s">
        <v>643</v>
      </c>
      <c r="K95" s="417">
        <v>750</v>
      </c>
      <c r="L95" s="527">
        <f t="shared" si="11"/>
        <v>75</v>
      </c>
      <c r="M95" s="529" t="s">
        <v>534</v>
      </c>
    </row>
    <row r="96" spans="1:13" x14ac:dyDescent="0.3">
      <c r="C96" s="96"/>
      <c r="D96" s="96" t="str">
        <f t="shared" ref="D96:H99" si="12">IFERROR(VLOOKUP($C96,Ltg_IFixtureSch_PROP,D$4,FALSE),"")</f>
        <v/>
      </c>
      <c r="E96" s="96" t="str">
        <f t="shared" si="12"/>
        <v/>
      </c>
      <c r="F96" s="96" t="str">
        <f t="shared" si="12"/>
        <v/>
      </c>
      <c r="G96" s="96" t="str">
        <f t="shared" si="12"/>
        <v/>
      </c>
      <c r="H96" s="383" t="str">
        <f t="shared" si="12"/>
        <v/>
      </c>
      <c r="I96" s="96" t="str">
        <f t="shared" si="9"/>
        <v/>
      </c>
      <c r="J96" s="96" t="str">
        <f t="shared" si="9"/>
        <v/>
      </c>
      <c r="K96" s="96" t="str">
        <f t="shared" ref="K96:K99" si="13">IFERROR(VLOOKUP($C96,Ltg_IFixtureSch_PROP,K$4,FALSE),"")</f>
        <v/>
      </c>
      <c r="L96" s="96"/>
      <c r="M96" s="525"/>
    </row>
    <row r="97" spans="3:13" x14ac:dyDescent="0.3">
      <c r="C97" s="93"/>
      <c r="D97" s="96" t="str">
        <f t="shared" si="12"/>
        <v/>
      </c>
      <c r="E97" s="96" t="str">
        <f t="shared" si="12"/>
        <v/>
      </c>
      <c r="F97" s="96" t="str">
        <f t="shared" si="12"/>
        <v/>
      </c>
      <c r="G97" s="96" t="str">
        <f t="shared" si="12"/>
        <v/>
      </c>
      <c r="H97" s="383" t="str">
        <f t="shared" si="12"/>
        <v/>
      </c>
      <c r="I97" s="96" t="str">
        <f t="shared" si="9"/>
        <v/>
      </c>
      <c r="J97" s="96" t="str">
        <f t="shared" si="9"/>
        <v/>
      </c>
      <c r="K97" s="96" t="str">
        <f t="shared" si="13"/>
        <v/>
      </c>
      <c r="L97" s="93"/>
      <c r="M97" s="357"/>
    </row>
    <row r="98" spans="3:13" x14ac:dyDescent="0.3">
      <c r="C98" s="93"/>
      <c r="D98" s="96" t="str">
        <f t="shared" si="12"/>
        <v/>
      </c>
      <c r="E98" s="96" t="str">
        <f t="shared" si="12"/>
        <v/>
      </c>
      <c r="F98" s="96" t="str">
        <f t="shared" si="12"/>
        <v/>
      </c>
      <c r="G98" s="96" t="str">
        <f t="shared" si="12"/>
        <v/>
      </c>
      <c r="H98" s="383" t="str">
        <f t="shared" si="12"/>
        <v/>
      </c>
      <c r="I98" s="96" t="str">
        <f t="shared" si="9"/>
        <v/>
      </c>
      <c r="J98" s="96" t="str">
        <f t="shared" si="9"/>
        <v/>
      </c>
      <c r="K98" s="96" t="str">
        <f t="shared" si="13"/>
        <v/>
      </c>
      <c r="L98" s="93"/>
      <c r="M98" s="357"/>
    </row>
    <row r="99" spans="3:13" x14ac:dyDescent="0.3">
      <c r="C99" s="93"/>
      <c r="D99" s="96" t="str">
        <f t="shared" si="12"/>
        <v/>
      </c>
      <c r="E99" s="96" t="str">
        <f t="shared" si="12"/>
        <v/>
      </c>
      <c r="F99" s="96" t="str">
        <f t="shared" si="12"/>
        <v/>
      </c>
      <c r="G99" s="96" t="str">
        <f t="shared" si="12"/>
        <v/>
      </c>
      <c r="H99" s="383" t="str">
        <f t="shared" si="12"/>
        <v/>
      </c>
      <c r="I99" s="96" t="str">
        <f t="shared" si="9"/>
        <v/>
      </c>
      <c r="J99" s="96" t="str">
        <f t="shared" si="9"/>
        <v/>
      </c>
      <c r="K99" s="96" t="str">
        <f t="shared" si="13"/>
        <v/>
      </c>
      <c r="L99" s="93"/>
      <c r="M99" s="357"/>
    </row>
    <row r="100" spans="3:13" x14ac:dyDescent="0.3">
      <c r="C100" s="93"/>
      <c r="D100" s="96"/>
      <c r="E100" s="96"/>
      <c r="F100" s="96"/>
      <c r="G100" s="96"/>
      <c r="H100" s="383"/>
      <c r="I100" s="96"/>
      <c r="J100" s="96"/>
      <c r="K100" s="96"/>
      <c r="L100" s="93"/>
      <c r="M100" s="357"/>
    </row>
    <row r="101" spans="3:13" x14ac:dyDescent="0.3">
      <c r="C101" s="93"/>
      <c r="D101" s="96"/>
      <c r="E101" s="96"/>
      <c r="F101" s="96"/>
      <c r="G101" s="94"/>
      <c r="H101" s="383"/>
      <c r="I101" s="96"/>
      <c r="J101" s="96"/>
      <c r="K101" s="96"/>
      <c r="L101" s="93"/>
      <c r="M101" s="357"/>
    </row>
    <row r="102" spans="3:13" x14ac:dyDescent="0.3">
      <c r="C102" s="86" t="s">
        <v>38</v>
      </c>
    </row>
  </sheetData>
  <autoFilter ref="C6:K67" xr:uid="{00000000-0009-0000-0000-000009000000}"/>
  <sortState xmlns:xlrd2="http://schemas.microsoft.com/office/spreadsheetml/2017/richdata2" ref="C8:D27">
    <sortCondition ref="C8:C27"/>
  </sortState>
  <conditionalFormatting sqref="K66">
    <cfRule type="cellIs" dxfId="21" priority="3" operator="notEqual">
      <formula>$K$67</formula>
    </cfRule>
    <cfRule type="cellIs" dxfId="20" priority="4" operator="equal">
      <formula>$K$67</formula>
    </cfRule>
  </conditionalFormatting>
  <conditionalFormatting sqref="K82">
    <cfRule type="cellIs" dxfId="19" priority="1" operator="notEqual">
      <formula>$K$83</formula>
    </cfRule>
    <cfRule type="cellIs" dxfId="18" priority="2" operator="equal">
      <formula>$K$82</formula>
    </cfRule>
  </conditionalFormatting>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HV223"/>
  <sheetViews>
    <sheetView workbookViewId="0"/>
  </sheetViews>
  <sheetFormatPr defaultColWidth="9.109375" defaultRowHeight="10.199999999999999" outlineLevelCol="1" x14ac:dyDescent="0.2"/>
  <cols>
    <col min="1" max="1" width="4" style="62" customWidth="1"/>
    <col min="2" max="2" width="28.109375" style="62" customWidth="1"/>
    <col min="3" max="3" width="10" style="62" customWidth="1"/>
    <col min="4" max="4" width="16" style="62" bestFit="1" customWidth="1"/>
    <col min="5" max="5" width="13.44140625" style="62" customWidth="1"/>
    <col min="6" max="6" width="8.88671875" style="62" customWidth="1"/>
    <col min="7" max="7" width="46.6640625" style="62" bestFit="1" customWidth="1"/>
    <col min="8" max="23" width="9.109375" style="62" customWidth="1"/>
    <col min="24" max="79" width="9.109375" style="62" customWidth="1" outlineLevel="1"/>
    <col min="80" max="81" width="9.109375" style="62" customWidth="1"/>
    <col min="82" max="152" width="9.109375" style="62" customWidth="1" outlineLevel="1"/>
    <col min="153" max="154" width="9.5546875" style="84" customWidth="1" outlineLevel="1"/>
    <col min="155" max="155" width="9.5546875" style="84" customWidth="1"/>
    <col min="156" max="156" width="9.5546875" style="62" customWidth="1"/>
    <col min="157" max="160" width="9.109375" style="62" customWidth="1"/>
    <col min="161" max="162" width="9.5546875" style="62" customWidth="1"/>
    <col min="163" max="167" width="9.109375" style="62" customWidth="1"/>
    <col min="168" max="168" width="25.5546875" style="62" customWidth="1"/>
    <col min="169" max="169" width="27.6640625" style="62" customWidth="1"/>
    <col min="170" max="170" width="6.6640625" style="62" customWidth="1"/>
    <col min="171" max="172" width="4.6640625" style="62" customWidth="1"/>
    <col min="173" max="173" width="6" style="62" bestFit="1" customWidth="1"/>
    <col min="174" max="228" width="4.6640625" style="62" customWidth="1"/>
    <col min="229" max="16384" width="9.109375" style="62"/>
  </cols>
  <sheetData>
    <row r="1" spans="1:230" customFormat="1" ht="18" x14ac:dyDescent="0.35">
      <c r="B1" s="9" t="s">
        <v>758</v>
      </c>
    </row>
    <row r="2" spans="1:230" customFormat="1" ht="15" x14ac:dyDescent="0.35">
      <c r="B2" s="2044" t="s">
        <v>752</v>
      </c>
      <c r="C2" s="655" t="s">
        <v>1977</v>
      </c>
    </row>
    <row r="3" spans="1:230" customFormat="1" ht="15" x14ac:dyDescent="0.35">
      <c r="B3" s="2044" t="s">
        <v>753</v>
      </c>
      <c r="C3" s="654" t="s">
        <v>1978</v>
      </c>
    </row>
    <row r="4" spans="1:230" customFormat="1" ht="15" x14ac:dyDescent="0.35">
      <c r="B4" s="2044" t="s">
        <v>1979</v>
      </c>
      <c r="C4" s="654" t="s">
        <v>1980</v>
      </c>
      <c r="H4" s="532" t="s">
        <v>976</v>
      </c>
      <c r="I4" s="185">
        <v>2</v>
      </c>
    </row>
    <row r="5" spans="1:230" x14ac:dyDescent="0.2">
      <c r="G5" s="62" t="s">
        <v>466</v>
      </c>
      <c r="EW5" s="62"/>
      <c r="EX5" s="62"/>
      <c r="EY5" s="62"/>
    </row>
    <row r="6" spans="1:230" x14ac:dyDescent="0.2">
      <c r="B6" s="97" t="s">
        <v>19</v>
      </c>
      <c r="C6" s="98"/>
      <c r="EW6" s="62"/>
      <c r="EX6" s="62"/>
      <c r="EY6" s="62"/>
      <c r="FI6" s="923"/>
      <c r="FJ6" s="923"/>
      <c r="FK6" s="923"/>
    </row>
    <row r="7" spans="1:230" x14ac:dyDescent="0.2">
      <c r="B7" s="62" t="s">
        <v>18</v>
      </c>
      <c r="C7" s="73"/>
      <c r="EW7" s="64">
        <f ca="1">SUM(EX7:EY7)</f>
        <v>9.9999999999999995E-7</v>
      </c>
      <c r="EX7" s="2272">
        <f ca="1">SUM(OFFSET(EX11,1,0,2000,1))</f>
        <v>9.9999999999999995E-7</v>
      </c>
      <c r="EY7" s="2272">
        <f ca="1">SUM(OFFSET(EY11,1,0,2000,1))</f>
        <v>0</v>
      </c>
      <c r="EZ7" s="64"/>
      <c r="FA7" s="64"/>
      <c r="FI7" s="923"/>
      <c r="FJ7" s="923"/>
      <c r="FK7" s="923"/>
      <c r="FM7" s="83" t="s">
        <v>349</v>
      </c>
      <c r="FN7" s="83"/>
      <c r="FO7" s="70">
        <f ca="1">SUM(FO12:FO200)</f>
        <v>0</v>
      </c>
      <c r="FP7" s="70">
        <f t="shared" ref="FP7:HN7" ca="1" si="0">SUM(FP12:FP200)</f>
        <v>0</v>
      </c>
      <c r="FQ7" s="70">
        <f t="shared" ca="1" si="0"/>
        <v>0</v>
      </c>
      <c r="FR7" s="70">
        <f t="shared" ca="1" si="0"/>
        <v>0</v>
      </c>
      <c r="FS7" s="70">
        <f t="shared" ca="1" si="0"/>
        <v>0</v>
      </c>
      <c r="FT7" s="70">
        <f t="shared" ca="1" si="0"/>
        <v>0</v>
      </c>
      <c r="FU7" s="70">
        <f t="shared" ca="1" si="0"/>
        <v>0</v>
      </c>
      <c r="FV7" s="70">
        <f t="shared" ca="1" si="0"/>
        <v>0</v>
      </c>
      <c r="FW7" s="70">
        <f t="shared" ca="1" si="0"/>
        <v>0</v>
      </c>
      <c r="FX7" s="70">
        <f t="shared" ca="1" si="0"/>
        <v>0</v>
      </c>
      <c r="FY7" s="70">
        <f t="shared" ca="1" si="0"/>
        <v>0</v>
      </c>
      <c r="FZ7" s="70">
        <f t="shared" ca="1" si="0"/>
        <v>0</v>
      </c>
      <c r="GA7" s="70">
        <f t="shared" ca="1" si="0"/>
        <v>0</v>
      </c>
      <c r="GB7" s="70">
        <f t="shared" ca="1" si="0"/>
        <v>0</v>
      </c>
      <c r="GC7" s="70">
        <f t="shared" ca="1" si="0"/>
        <v>0</v>
      </c>
      <c r="GD7" s="70">
        <f t="shared" ca="1" si="0"/>
        <v>0</v>
      </c>
      <c r="GE7" s="70">
        <f t="shared" ca="1" si="0"/>
        <v>0</v>
      </c>
      <c r="GF7" s="70">
        <f t="shared" ca="1" si="0"/>
        <v>0</v>
      </c>
      <c r="GG7" s="70">
        <f t="shared" ca="1" si="0"/>
        <v>0</v>
      </c>
      <c r="GH7" s="70">
        <f t="shared" ca="1" si="0"/>
        <v>0</v>
      </c>
      <c r="GI7" s="70">
        <f t="shared" ca="1" si="0"/>
        <v>0</v>
      </c>
      <c r="GJ7" s="70">
        <f t="shared" ca="1" si="0"/>
        <v>0</v>
      </c>
      <c r="GK7" s="70">
        <f t="shared" ca="1" si="0"/>
        <v>0</v>
      </c>
      <c r="GL7" s="70">
        <f t="shared" ca="1" si="0"/>
        <v>0</v>
      </c>
      <c r="GM7" s="70">
        <f t="shared" ca="1" si="0"/>
        <v>0</v>
      </c>
      <c r="GN7" s="70">
        <f t="shared" ca="1" si="0"/>
        <v>0</v>
      </c>
      <c r="GO7" s="70">
        <f t="shared" ca="1" si="0"/>
        <v>0</v>
      </c>
      <c r="GP7" s="70">
        <f t="shared" ca="1" si="0"/>
        <v>0</v>
      </c>
      <c r="GQ7" s="70">
        <f t="shared" ca="1" si="0"/>
        <v>0</v>
      </c>
      <c r="GR7" s="70">
        <f t="shared" ca="1" si="0"/>
        <v>0</v>
      </c>
      <c r="GS7" s="70">
        <f t="shared" ca="1" si="0"/>
        <v>0</v>
      </c>
      <c r="GT7" s="70">
        <f t="shared" ca="1" si="0"/>
        <v>0</v>
      </c>
      <c r="GU7" s="70">
        <f t="shared" ca="1" si="0"/>
        <v>0</v>
      </c>
      <c r="GV7" s="70">
        <f t="shared" ca="1" si="0"/>
        <v>0</v>
      </c>
      <c r="GW7" s="70">
        <f t="shared" ca="1" si="0"/>
        <v>0</v>
      </c>
      <c r="GX7" s="70">
        <f t="shared" ca="1" si="0"/>
        <v>0</v>
      </c>
      <c r="GY7" s="70">
        <f t="shared" ca="1" si="0"/>
        <v>0</v>
      </c>
      <c r="GZ7" s="70">
        <f t="shared" ca="1" si="0"/>
        <v>0</v>
      </c>
      <c r="HA7" s="70">
        <f t="shared" ca="1" si="0"/>
        <v>0</v>
      </c>
      <c r="HB7" s="70">
        <f t="shared" ca="1" si="0"/>
        <v>0</v>
      </c>
      <c r="HC7" s="70">
        <f t="shared" ca="1" si="0"/>
        <v>0</v>
      </c>
      <c r="HD7" s="70">
        <f t="shared" ca="1" si="0"/>
        <v>0</v>
      </c>
      <c r="HE7" s="70">
        <f t="shared" ca="1" si="0"/>
        <v>0</v>
      </c>
      <c r="HF7" s="70">
        <f t="shared" ca="1" si="0"/>
        <v>0</v>
      </c>
      <c r="HG7" s="70">
        <f t="shared" ca="1" si="0"/>
        <v>0</v>
      </c>
      <c r="HH7" s="70">
        <f t="shared" ca="1" si="0"/>
        <v>0</v>
      </c>
      <c r="HI7" s="70">
        <f t="shared" ca="1" si="0"/>
        <v>0</v>
      </c>
      <c r="HJ7" s="70">
        <f t="shared" ca="1" si="0"/>
        <v>0</v>
      </c>
      <c r="HK7" s="70">
        <f t="shared" ca="1" si="0"/>
        <v>0</v>
      </c>
      <c r="HL7" s="70">
        <f t="shared" ca="1" si="0"/>
        <v>0</v>
      </c>
      <c r="HM7" s="70">
        <f t="shared" ca="1" si="0"/>
        <v>0</v>
      </c>
      <c r="HN7" s="70">
        <f t="shared" ca="1" si="0"/>
        <v>0</v>
      </c>
      <c r="HO7" s="70">
        <f t="shared" ref="HO7:HT7" ca="1" si="1">SUM(HO12:HO200)</f>
        <v>0</v>
      </c>
      <c r="HP7" s="70">
        <f t="shared" ca="1" si="1"/>
        <v>0</v>
      </c>
      <c r="HQ7" s="70">
        <f t="shared" ca="1" si="1"/>
        <v>0</v>
      </c>
      <c r="HR7" s="70">
        <f t="shared" ca="1" si="1"/>
        <v>0</v>
      </c>
      <c r="HS7" s="70">
        <f t="shared" ca="1" si="1"/>
        <v>0</v>
      </c>
      <c r="HT7" s="70">
        <f t="shared" ca="1" si="1"/>
        <v>0</v>
      </c>
      <c r="HU7" s="70"/>
      <c r="HV7" s="70"/>
    </row>
    <row r="8" spans="1:230" x14ac:dyDescent="0.2">
      <c r="B8" s="62" t="s">
        <v>17</v>
      </c>
      <c r="C8" s="74">
        <v>0</v>
      </c>
      <c r="F8" s="62">
        <f ca="1">SUBTOTAL(9,F13:F65)</f>
        <v>55116.472000000002</v>
      </c>
      <c r="EW8" s="62"/>
      <c r="EX8" s="62"/>
      <c r="EY8" s="62"/>
      <c r="FI8" s="923"/>
      <c r="FJ8" s="923"/>
      <c r="FK8" s="923"/>
    </row>
    <row r="9" spans="1:230" x14ac:dyDescent="0.2">
      <c r="B9" s="62" t="s">
        <v>16</v>
      </c>
      <c r="C9" s="62" t="e">
        <v>#VALUE!</v>
      </c>
      <c r="EW9" s="62"/>
      <c r="EX9" s="62"/>
      <c r="EY9" s="62"/>
      <c r="FI9" s="621" t="s">
        <v>1023</v>
      </c>
      <c r="FJ9" s="923"/>
      <c r="FK9" s="923"/>
      <c r="FO9" s="62">
        <v>1</v>
      </c>
      <c r="FP9" s="62">
        <f>FO9+1</f>
        <v>2</v>
      </c>
      <c r="FQ9" s="62">
        <f t="shared" ref="FQ9:GI9" si="2">FP9+1</f>
        <v>3</v>
      </c>
      <c r="FR9" s="62">
        <f t="shared" si="2"/>
        <v>4</v>
      </c>
      <c r="FS9" s="62">
        <f t="shared" si="2"/>
        <v>5</v>
      </c>
      <c r="FT9" s="62">
        <f t="shared" si="2"/>
        <v>6</v>
      </c>
      <c r="FU9" s="62">
        <f t="shared" si="2"/>
        <v>7</v>
      </c>
      <c r="FV9" s="62">
        <f t="shared" si="2"/>
        <v>8</v>
      </c>
      <c r="FW9" s="62">
        <f t="shared" si="2"/>
        <v>9</v>
      </c>
      <c r="FX9" s="62">
        <f t="shared" si="2"/>
        <v>10</v>
      </c>
      <c r="FY9" s="62">
        <f t="shared" si="2"/>
        <v>11</v>
      </c>
      <c r="FZ9" s="62">
        <f t="shared" si="2"/>
        <v>12</v>
      </c>
      <c r="GA9" s="62">
        <f t="shared" si="2"/>
        <v>13</v>
      </c>
      <c r="GB9" s="62">
        <f t="shared" si="2"/>
        <v>14</v>
      </c>
      <c r="GC9" s="62">
        <f t="shared" si="2"/>
        <v>15</v>
      </c>
      <c r="GD9" s="62">
        <f t="shared" si="2"/>
        <v>16</v>
      </c>
      <c r="GE9" s="62">
        <f t="shared" si="2"/>
        <v>17</v>
      </c>
      <c r="GF9" s="62">
        <f t="shared" si="2"/>
        <v>18</v>
      </c>
      <c r="GG9" s="62">
        <f t="shared" si="2"/>
        <v>19</v>
      </c>
      <c r="GH9" s="62">
        <f t="shared" si="2"/>
        <v>20</v>
      </c>
      <c r="GI9" s="62">
        <f t="shared" si="2"/>
        <v>21</v>
      </c>
      <c r="GJ9" s="62">
        <f t="shared" ref="GJ9" si="3">GI9+1</f>
        <v>22</v>
      </c>
      <c r="GK9" s="62">
        <f t="shared" ref="GK9" si="4">GJ9+1</f>
        <v>23</v>
      </c>
      <c r="GL9" s="62">
        <f t="shared" ref="GL9" si="5">GK9+1</f>
        <v>24</v>
      </c>
      <c r="GM9" s="62">
        <f t="shared" ref="GM9" si="6">GL9+1</f>
        <v>25</v>
      </c>
      <c r="GN9" s="62">
        <f t="shared" ref="GN9" si="7">GM9+1</f>
        <v>26</v>
      </c>
      <c r="GO9" s="62">
        <f t="shared" ref="GO9" si="8">GN9+1</f>
        <v>27</v>
      </c>
      <c r="GP9" s="62">
        <f t="shared" ref="GP9" si="9">GO9+1</f>
        <v>28</v>
      </c>
      <c r="GQ9" s="62">
        <f t="shared" ref="GQ9" si="10">GP9+1</f>
        <v>29</v>
      </c>
      <c r="GR9" s="62">
        <f t="shared" ref="GR9" si="11">GQ9+1</f>
        <v>30</v>
      </c>
      <c r="GS9" s="62">
        <f t="shared" ref="GS9" si="12">GR9+1</f>
        <v>31</v>
      </c>
      <c r="GT9" s="62">
        <f t="shared" ref="GT9" si="13">GS9+1</f>
        <v>32</v>
      </c>
      <c r="GU9" s="62">
        <f t="shared" ref="GU9" si="14">GT9+1</f>
        <v>33</v>
      </c>
      <c r="GV9" s="62">
        <f t="shared" ref="GV9" si="15">GU9+1</f>
        <v>34</v>
      </c>
      <c r="GW9" s="62">
        <f t="shared" ref="GW9" si="16">GV9+1</f>
        <v>35</v>
      </c>
      <c r="GX9" s="62">
        <f t="shared" ref="GX9" si="17">GW9+1</f>
        <v>36</v>
      </c>
      <c r="GY9" s="62">
        <f t="shared" ref="GY9" si="18">GX9+1</f>
        <v>37</v>
      </c>
      <c r="GZ9" s="62">
        <f t="shared" ref="GZ9" si="19">GY9+1</f>
        <v>38</v>
      </c>
      <c r="HA9" s="62">
        <f t="shared" ref="HA9" si="20">GZ9+1</f>
        <v>39</v>
      </c>
      <c r="HB9" s="62">
        <f t="shared" ref="HB9" si="21">HA9+1</f>
        <v>40</v>
      </c>
      <c r="HC9" s="62">
        <f t="shared" ref="HC9" si="22">HB9+1</f>
        <v>41</v>
      </c>
      <c r="HD9" s="62">
        <f t="shared" ref="HD9" si="23">HC9+1</f>
        <v>42</v>
      </c>
      <c r="HE9" s="62">
        <f t="shared" ref="HE9" si="24">HD9+1</f>
        <v>43</v>
      </c>
      <c r="HF9" s="62">
        <f>HE9+1</f>
        <v>44</v>
      </c>
      <c r="HG9" s="62">
        <f t="shared" ref="HG9" si="25">HF9+1</f>
        <v>45</v>
      </c>
      <c r="HH9" s="62">
        <f t="shared" ref="HH9" si="26">HG9+1</f>
        <v>46</v>
      </c>
      <c r="HI9" s="62">
        <f t="shared" ref="HI9" si="27">HH9+1</f>
        <v>47</v>
      </c>
      <c r="HJ9" s="62">
        <f t="shared" ref="HJ9" si="28">HI9+1</f>
        <v>48</v>
      </c>
      <c r="HK9" s="62">
        <f t="shared" ref="HK9" si="29">HJ9+1</f>
        <v>49</v>
      </c>
      <c r="HL9" s="62">
        <f t="shared" ref="HL9" si="30">HK9+1</f>
        <v>50</v>
      </c>
      <c r="HM9" s="62">
        <f t="shared" ref="HM9" si="31">HL9+1</f>
        <v>51</v>
      </c>
      <c r="HN9" s="62">
        <f t="shared" ref="HN9" si="32">HM9+1</f>
        <v>52</v>
      </c>
      <c r="HO9" s="62">
        <f t="shared" ref="HO9" si="33">HN9+1</f>
        <v>53</v>
      </c>
      <c r="HP9" s="62">
        <f t="shared" ref="HP9" si="34">HO9+1</f>
        <v>54</v>
      </c>
      <c r="HQ9" s="62">
        <f t="shared" ref="HQ9" si="35">HP9+1</f>
        <v>55</v>
      </c>
      <c r="HR9" s="62">
        <f t="shared" ref="HR9" si="36">HQ9+1</f>
        <v>56</v>
      </c>
      <c r="HS9" s="62">
        <f t="shared" ref="HS9" si="37">HR9+1</f>
        <v>57</v>
      </c>
      <c r="HT9" s="62">
        <f t="shared" ref="HT9" si="38">HS9+1</f>
        <v>58</v>
      </c>
    </row>
    <row r="10" spans="1:230" x14ac:dyDescent="0.2">
      <c r="F10" s="62">
        <f ca="1">SUBTOTAL(2,F13:F63)</f>
        <v>51</v>
      </c>
      <c r="H10" s="75">
        <v>1</v>
      </c>
      <c r="I10" s="75">
        <f>H10</f>
        <v>1</v>
      </c>
      <c r="J10" s="75">
        <f>H10</f>
        <v>1</v>
      </c>
      <c r="K10" s="75">
        <f>J10</f>
        <v>1</v>
      </c>
      <c r="L10" s="75">
        <v>2</v>
      </c>
      <c r="M10" s="75">
        <f>L10</f>
        <v>2</v>
      </c>
      <c r="N10" s="75">
        <f>L10</f>
        <v>2</v>
      </c>
      <c r="O10" s="75">
        <f>N10</f>
        <v>2</v>
      </c>
      <c r="P10" s="75">
        <v>3</v>
      </c>
      <c r="Q10" s="75">
        <f>P10</f>
        <v>3</v>
      </c>
      <c r="R10" s="75">
        <f>P10</f>
        <v>3</v>
      </c>
      <c r="S10" s="75">
        <f>R10</f>
        <v>3</v>
      </c>
      <c r="T10" s="75">
        <v>4</v>
      </c>
      <c r="U10" s="75">
        <f>T10</f>
        <v>4</v>
      </c>
      <c r="V10" s="75">
        <f>T10</f>
        <v>4</v>
      </c>
      <c r="W10" s="75">
        <f>V10</f>
        <v>4</v>
      </c>
      <c r="X10" s="75">
        <v>5</v>
      </c>
      <c r="Y10" s="75">
        <f>X10</f>
        <v>5</v>
      </c>
      <c r="Z10" s="75">
        <f>X10</f>
        <v>5</v>
      </c>
      <c r="AA10" s="75">
        <f>Z10</f>
        <v>5</v>
      </c>
      <c r="AB10" s="75">
        <v>6</v>
      </c>
      <c r="AC10" s="75">
        <f>AB10</f>
        <v>6</v>
      </c>
      <c r="AD10" s="75">
        <f>AB10</f>
        <v>6</v>
      </c>
      <c r="AE10" s="75">
        <f>AD10</f>
        <v>6</v>
      </c>
      <c r="AF10" s="75">
        <v>7</v>
      </c>
      <c r="AG10" s="75">
        <f>AF10</f>
        <v>7</v>
      </c>
      <c r="AH10" s="75">
        <f>AF10</f>
        <v>7</v>
      </c>
      <c r="AI10" s="75">
        <f>AH10</f>
        <v>7</v>
      </c>
      <c r="AJ10" s="75">
        <v>8</v>
      </c>
      <c r="AK10" s="75">
        <f>AJ10</f>
        <v>8</v>
      </c>
      <c r="AL10" s="75">
        <f>AJ10</f>
        <v>8</v>
      </c>
      <c r="AM10" s="75">
        <f>AL10</f>
        <v>8</v>
      </c>
      <c r="AN10" s="75">
        <v>9</v>
      </c>
      <c r="AO10" s="75">
        <f>AN10</f>
        <v>9</v>
      </c>
      <c r="AP10" s="75">
        <f>AN10</f>
        <v>9</v>
      </c>
      <c r="AQ10" s="75">
        <f>AP10</f>
        <v>9</v>
      </c>
      <c r="AR10" s="75">
        <v>10</v>
      </c>
      <c r="AS10" s="75">
        <f>AR10</f>
        <v>10</v>
      </c>
      <c r="AT10" s="75">
        <f>AR10</f>
        <v>10</v>
      </c>
      <c r="AU10" s="75">
        <f>AT10</f>
        <v>10</v>
      </c>
      <c r="AV10" s="75">
        <v>11</v>
      </c>
      <c r="AW10" s="75">
        <f>AV10</f>
        <v>11</v>
      </c>
      <c r="AX10" s="75">
        <f>AV10</f>
        <v>11</v>
      </c>
      <c r="AY10" s="75">
        <f>AX10</f>
        <v>11</v>
      </c>
      <c r="AZ10" s="75">
        <v>12</v>
      </c>
      <c r="BA10" s="75">
        <f>AZ10</f>
        <v>12</v>
      </c>
      <c r="BB10" s="75">
        <f>AZ10</f>
        <v>12</v>
      </c>
      <c r="BC10" s="75">
        <f>BB10</f>
        <v>12</v>
      </c>
      <c r="BD10" s="75">
        <v>13</v>
      </c>
      <c r="BE10" s="75">
        <f>BD10</f>
        <v>13</v>
      </c>
      <c r="BF10" s="75">
        <f>BD10</f>
        <v>13</v>
      </c>
      <c r="BG10" s="75">
        <f>BF10</f>
        <v>13</v>
      </c>
      <c r="BH10" s="75">
        <v>14</v>
      </c>
      <c r="BI10" s="75">
        <f>BH10</f>
        <v>14</v>
      </c>
      <c r="BJ10" s="75">
        <f>BH10</f>
        <v>14</v>
      </c>
      <c r="BK10" s="75">
        <f>BJ10</f>
        <v>14</v>
      </c>
      <c r="BL10" s="75">
        <v>15</v>
      </c>
      <c r="BM10" s="75">
        <f>BL10</f>
        <v>15</v>
      </c>
      <c r="BN10" s="75">
        <f>BL10</f>
        <v>15</v>
      </c>
      <c r="BO10" s="75">
        <f>BN10</f>
        <v>15</v>
      </c>
      <c r="BP10" s="75">
        <v>16</v>
      </c>
      <c r="BQ10" s="75">
        <f>BP10</f>
        <v>16</v>
      </c>
      <c r="BR10" s="75">
        <f>BP10</f>
        <v>16</v>
      </c>
      <c r="BS10" s="75">
        <f>BR10</f>
        <v>16</v>
      </c>
      <c r="BT10" s="75">
        <v>17</v>
      </c>
      <c r="BU10" s="75">
        <f>BT10</f>
        <v>17</v>
      </c>
      <c r="BV10" s="75">
        <f>BT10</f>
        <v>17</v>
      </c>
      <c r="BW10" s="75">
        <f>BV10</f>
        <v>17</v>
      </c>
      <c r="BX10" s="75">
        <v>18</v>
      </c>
      <c r="BY10" s="75">
        <f>BX10</f>
        <v>18</v>
      </c>
      <c r="BZ10" s="75">
        <f>BX10</f>
        <v>18</v>
      </c>
      <c r="CA10" s="75">
        <f>BZ10</f>
        <v>18</v>
      </c>
      <c r="CB10" s="75"/>
      <c r="CC10" s="75"/>
      <c r="CD10" s="75">
        <v>1</v>
      </c>
      <c r="CE10" s="75">
        <f>CF10</f>
        <v>1</v>
      </c>
      <c r="CF10" s="75">
        <f>CD10</f>
        <v>1</v>
      </c>
      <c r="CG10" s="75">
        <f>CE10</f>
        <v>1</v>
      </c>
      <c r="CH10" s="75">
        <f>CD10+1</f>
        <v>2</v>
      </c>
      <c r="CI10" s="75">
        <f>CJ10</f>
        <v>2</v>
      </c>
      <c r="CJ10" s="75">
        <f>CH10</f>
        <v>2</v>
      </c>
      <c r="CK10" s="75">
        <f>CI10</f>
        <v>2</v>
      </c>
      <c r="CL10" s="75">
        <f>CH10+1</f>
        <v>3</v>
      </c>
      <c r="CM10" s="75">
        <f>CN10</f>
        <v>3</v>
      </c>
      <c r="CN10" s="75">
        <f>CL10</f>
        <v>3</v>
      </c>
      <c r="CO10" s="75">
        <f>CM10</f>
        <v>3</v>
      </c>
      <c r="CP10" s="75">
        <f>CL10+1</f>
        <v>4</v>
      </c>
      <c r="CQ10" s="75">
        <f>CR10</f>
        <v>4</v>
      </c>
      <c r="CR10" s="75">
        <f>CP10</f>
        <v>4</v>
      </c>
      <c r="CS10" s="75">
        <f>CQ10</f>
        <v>4</v>
      </c>
      <c r="CT10" s="75">
        <f>CP10+1</f>
        <v>5</v>
      </c>
      <c r="CU10" s="75">
        <f>CV10</f>
        <v>5</v>
      </c>
      <c r="CV10" s="75">
        <f>CT10</f>
        <v>5</v>
      </c>
      <c r="CW10" s="75">
        <f>CU10</f>
        <v>5</v>
      </c>
      <c r="CX10" s="75">
        <f>CT10+1</f>
        <v>6</v>
      </c>
      <c r="CY10" s="75">
        <f>CZ10</f>
        <v>6</v>
      </c>
      <c r="CZ10" s="75">
        <f>CX10</f>
        <v>6</v>
      </c>
      <c r="DA10" s="75">
        <f>CY10</f>
        <v>6</v>
      </c>
      <c r="DB10" s="75">
        <f>CX10+1</f>
        <v>7</v>
      </c>
      <c r="DC10" s="75">
        <f>DD10</f>
        <v>7</v>
      </c>
      <c r="DD10" s="75">
        <f>DB10</f>
        <v>7</v>
      </c>
      <c r="DE10" s="75">
        <f>DC10</f>
        <v>7</v>
      </c>
      <c r="DF10" s="75">
        <f>DB10+1</f>
        <v>8</v>
      </c>
      <c r="DG10" s="75">
        <f>DH10</f>
        <v>8</v>
      </c>
      <c r="DH10" s="75">
        <f>DF10</f>
        <v>8</v>
      </c>
      <c r="DI10" s="75">
        <f>DG10</f>
        <v>8</v>
      </c>
      <c r="DJ10" s="75">
        <f>DF10+1</f>
        <v>9</v>
      </c>
      <c r="DK10" s="75">
        <f>DL10</f>
        <v>9</v>
      </c>
      <c r="DL10" s="75">
        <f>DJ10</f>
        <v>9</v>
      </c>
      <c r="DM10" s="75">
        <f>DK10</f>
        <v>9</v>
      </c>
      <c r="DN10" s="75">
        <f>DJ10+1</f>
        <v>10</v>
      </c>
      <c r="DO10" s="75">
        <f>DP10</f>
        <v>10</v>
      </c>
      <c r="DP10" s="75">
        <f>DN10</f>
        <v>10</v>
      </c>
      <c r="DQ10" s="75">
        <f>DO10</f>
        <v>10</v>
      </c>
      <c r="DR10" s="75">
        <f>DN10+1</f>
        <v>11</v>
      </c>
      <c r="DS10" s="75">
        <f>DT10</f>
        <v>11</v>
      </c>
      <c r="DT10" s="75">
        <f>DR10</f>
        <v>11</v>
      </c>
      <c r="DU10" s="75">
        <f>DS10</f>
        <v>11</v>
      </c>
      <c r="DV10" s="75">
        <f>DR10+1</f>
        <v>12</v>
      </c>
      <c r="DW10" s="75">
        <f>DX10</f>
        <v>12</v>
      </c>
      <c r="DX10" s="75">
        <f>DV10</f>
        <v>12</v>
      </c>
      <c r="DY10" s="75">
        <f>DW10</f>
        <v>12</v>
      </c>
      <c r="DZ10" s="75">
        <f>DV10+1</f>
        <v>13</v>
      </c>
      <c r="EA10" s="75">
        <f>EB10</f>
        <v>13</v>
      </c>
      <c r="EB10" s="75">
        <f>DZ10</f>
        <v>13</v>
      </c>
      <c r="EC10" s="75">
        <f>EA10</f>
        <v>13</v>
      </c>
      <c r="ED10" s="75">
        <f>DZ10+1</f>
        <v>14</v>
      </c>
      <c r="EE10" s="75">
        <f>EF10</f>
        <v>14</v>
      </c>
      <c r="EF10" s="75">
        <f>ED10</f>
        <v>14</v>
      </c>
      <c r="EG10" s="75">
        <f>EE10</f>
        <v>14</v>
      </c>
      <c r="EH10" s="75">
        <f>ED10+1</f>
        <v>15</v>
      </c>
      <c r="EI10" s="75">
        <f>EJ10</f>
        <v>15</v>
      </c>
      <c r="EJ10" s="75">
        <f>EH10</f>
        <v>15</v>
      </c>
      <c r="EK10" s="75">
        <f>EI10</f>
        <v>15</v>
      </c>
      <c r="EL10" s="75">
        <f>EH10+1</f>
        <v>16</v>
      </c>
      <c r="EM10" s="75">
        <f>EN10</f>
        <v>16</v>
      </c>
      <c r="EN10" s="75">
        <f>EL10</f>
        <v>16</v>
      </c>
      <c r="EO10" s="75">
        <f>EM10</f>
        <v>16</v>
      </c>
      <c r="EP10" s="75">
        <f>EL10+1</f>
        <v>17</v>
      </c>
      <c r="EQ10" s="75">
        <f>ER10</f>
        <v>17</v>
      </c>
      <c r="ER10" s="75">
        <f>EP10</f>
        <v>17</v>
      </c>
      <c r="ES10" s="75">
        <f>EQ10</f>
        <v>17</v>
      </c>
      <c r="ET10" s="75">
        <f>EP10+1</f>
        <v>18</v>
      </c>
      <c r="EU10" s="75">
        <f>EV10</f>
        <v>18</v>
      </c>
      <c r="EV10" s="75">
        <f>ET10</f>
        <v>18</v>
      </c>
      <c r="EW10" s="75">
        <f>EU10</f>
        <v>18</v>
      </c>
      <c r="EX10" s="75"/>
      <c r="EY10" s="75"/>
      <c r="EZ10" s="75"/>
      <c r="FA10" s="75"/>
      <c r="FB10" s="75"/>
      <c r="FC10" s="75"/>
      <c r="FD10" s="75"/>
      <c r="FI10" s="923"/>
      <c r="FJ10" s="923"/>
      <c r="FK10" s="923"/>
      <c r="FO10" s="64">
        <f ca="1">OFFSET('Ltg Schedule'!$C$7,'Ltg IntTakeoffs'!FO9,1)</f>
        <v>13</v>
      </c>
      <c r="FP10" s="64">
        <f ca="1">OFFSET('Ltg Schedule'!$C$7,'Ltg IntTakeoffs'!FP9,1)</f>
        <v>19</v>
      </c>
      <c r="FQ10" s="64">
        <f ca="1">OFFSET('Ltg Schedule'!$C$7,'Ltg IntTakeoffs'!FQ9,1)</f>
        <v>1</v>
      </c>
      <c r="FR10" s="64">
        <f ca="1">OFFSET('Ltg Schedule'!$C$7,'Ltg IntTakeoffs'!FR9,1)</f>
        <v>100</v>
      </c>
      <c r="FS10" s="64">
        <f ca="1">OFFSET('Ltg Schedule'!$C$7,'Ltg IntTakeoffs'!FS9,1)</f>
        <v>62</v>
      </c>
      <c r="FT10" s="64">
        <f ca="1">OFFSET('Ltg Schedule'!$C$7,'Ltg IntTakeoffs'!FT9,1)</f>
        <v>30</v>
      </c>
      <c r="FU10" s="64">
        <f ca="1">OFFSET('Ltg Schedule'!$C$7,'Ltg IntTakeoffs'!FU9,1)</f>
        <v>30</v>
      </c>
      <c r="FV10" s="64">
        <f ca="1">OFFSET('Ltg Schedule'!$C$7,'Ltg IntTakeoffs'!FV9,1)</f>
        <v>60</v>
      </c>
      <c r="FW10" s="64">
        <f ca="1">OFFSET('Ltg Schedule'!$C$7,'Ltg IntTakeoffs'!FW9,1)</f>
        <v>14</v>
      </c>
      <c r="FX10" s="64">
        <f ca="1">OFFSET('Ltg Schedule'!$C$7,'Ltg IntTakeoffs'!FX9,1)</f>
        <v>11</v>
      </c>
      <c r="FY10" s="64">
        <f ca="1">OFFSET('Ltg Schedule'!$C$7,'Ltg IntTakeoffs'!FY9,1)</f>
        <v>3</v>
      </c>
      <c r="FZ10" s="64">
        <f ca="1">OFFSET('Ltg Schedule'!$C$7,'Ltg IntTakeoffs'!FZ9,1)</f>
        <v>17</v>
      </c>
      <c r="GA10" s="64">
        <f ca="1">OFFSET('Ltg Schedule'!$C$7,'Ltg IntTakeoffs'!GA9,1)</f>
        <v>40</v>
      </c>
      <c r="GB10" s="64">
        <f ca="1">OFFSET('Ltg Schedule'!$C$7,'Ltg IntTakeoffs'!GB9,1)</f>
        <v>67</v>
      </c>
      <c r="GC10" s="64">
        <f ca="1">OFFSET('Ltg Schedule'!$C$7,'Ltg IntTakeoffs'!GC9,1)</f>
        <v>40</v>
      </c>
      <c r="GD10" s="64">
        <f ca="1">OFFSET('Ltg Schedule'!$C$7,'Ltg IntTakeoffs'!GD9,1)</f>
        <v>96</v>
      </c>
      <c r="GE10" s="64">
        <f ca="1">OFFSET('Ltg Schedule'!$C$7,'Ltg IntTakeoffs'!GE9,1)</f>
        <v>72</v>
      </c>
      <c r="GF10" s="64">
        <f ca="1">OFFSET('Ltg Schedule'!$C$7,'Ltg IntTakeoffs'!GF9,1)</f>
        <v>100</v>
      </c>
      <c r="GG10" s="64">
        <f ca="1">OFFSET('Ltg Schedule'!$C$7,'Ltg IntTakeoffs'!GG9,1)</f>
        <v>60</v>
      </c>
      <c r="GH10" s="64">
        <f ca="1">OFFSET('Ltg Schedule'!$C$7,'Ltg IntTakeoffs'!GH9,1)</f>
        <v>60</v>
      </c>
      <c r="GI10" s="64">
        <f ca="1">OFFSET('Ltg Schedule'!$C$7,'Ltg IntTakeoffs'!GI9,1)</f>
        <v>40</v>
      </c>
      <c r="GJ10" s="64">
        <f ca="1">OFFSET('Ltg Schedule'!$C$7,'Ltg IntTakeoffs'!GJ9,1)</f>
        <v>18</v>
      </c>
      <c r="GK10" s="64">
        <f ca="1">OFFSET('Ltg Schedule'!$C$7,'Ltg IntTakeoffs'!GK9,1)</f>
        <v>150</v>
      </c>
      <c r="GL10" s="64">
        <f ca="1">OFFSET('Ltg Schedule'!$C$7,'Ltg IntTakeoffs'!GL9,1)</f>
        <v>10</v>
      </c>
      <c r="GM10" s="64">
        <f ca="1">OFFSET('Ltg Schedule'!$C$7,'Ltg IntTakeoffs'!GM9,1)</f>
        <v>13</v>
      </c>
      <c r="GN10" s="64">
        <f ca="1">OFFSET('Ltg Schedule'!$C$7,'Ltg IntTakeoffs'!GN9,1)</f>
        <v>100</v>
      </c>
      <c r="GO10" s="64">
        <f ca="1">OFFSET('Ltg Schedule'!$C$7,'Ltg IntTakeoffs'!GO9,1)</f>
        <v>10</v>
      </c>
      <c r="GP10" s="64">
        <f ca="1">OFFSET('Ltg Schedule'!$C$7,'Ltg IntTakeoffs'!GP9,1)</f>
        <v>96</v>
      </c>
      <c r="GQ10" s="64">
        <f ca="1">OFFSET('Ltg Schedule'!$C$7,'Ltg IntTakeoffs'!GQ9,1)</f>
        <v>96</v>
      </c>
      <c r="GR10" s="64">
        <f ca="1">OFFSET('Ltg Schedule'!$C$7,'Ltg IntTakeoffs'!GR9,1)</f>
        <v>75</v>
      </c>
      <c r="GS10" s="64">
        <f ca="1">OFFSET('Ltg Schedule'!$C$7,'Ltg IntTakeoffs'!GS9,1)</f>
        <v>20</v>
      </c>
      <c r="GT10" s="64">
        <f ca="1">OFFSET('Ltg Schedule'!$C$7,'Ltg IntTakeoffs'!GT9,1)</f>
        <v>75</v>
      </c>
      <c r="GU10" s="64">
        <f ca="1">OFFSET('Ltg Schedule'!$C$7,'Ltg IntTakeoffs'!GU9,1)</f>
        <v>0</v>
      </c>
      <c r="GV10" s="64">
        <f ca="1">OFFSET('Ltg Schedule'!$C$7,'Ltg IntTakeoffs'!GV9,1)</f>
        <v>0</v>
      </c>
      <c r="GW10" s="64">
        <f ca="1">OFFSET('Ltg Schedule'!$C$7,'Ltg IntTakeoffs'!GW9,1)</f>
        <v>0</v>
      </c>
      <c r="GX10" s="64">
        <f ca="1">OFFSET('Ltg Schedule'!$C$7,'Ltg IntTakeoffs'!GX9,1)</f>
        <v>0</v>
      </c>
      <c r="GY10" s="64">
        <f ca="1">OFFSET('Ltg Schedule'!$C$7,'Ltg IntTakeoffs'!GY9,1)</f>
        <v>0</v>
      </c>
      <c r="GZ10" s="64">
        <f ca="1">OFFSET('Ltg Schedule'!$C$7,'Ltg IntTakeoffs'!GZ9,1)</f>
        <v>0</v>
      </c>
      <c r="HA10" s="64">
        <f ca="1">OFFSET('Ltg Schedule'!$C$7,'Ltg IntTakeoffs'!HA9,1)</f>
        <v>0</v>
      </c>
      <c r="HB10" s="64">
        <f ca="1">OFFSET('Ltg Schedule'!$C$7,'Ltg IntTakeoffs'!HB9,1)</f>
        <v>0</v>
      </c>
      <c r="HC10" s="64">
        <f ca="1">OFFSET('Ltg Schedule'!$C$7,'Ltg IntTakeoffs'!HC9,1)</f>
        <v>0</v>
      </c>
      <c r="HD10" s="64">
        <f ca="1">OFFSET('Ltg Schedule'!$C$7,'Ltg IntTakeoffs'!HD9,1)</f>
        <v>0</v>
      </c>
      <c r="HE10" s="64">
        <f ca="1">OFFSET('Ltg Schedule'!$C$7,'Ltg IntTakeoffs'!HE9,1)</f>
        <v>0</v>
      </c>
      <c r="HF10" s="64">
        <f ca="1">OFFSET('Ltg Schedule'!$C$7,'Ltg IntTakeoffs'!HF9,1)</f>
        <v>0</v>
      </c>
      <c r="HG10" s="64">
        <f ca="1">OFFSET('Ltg Schedule'!$C$7,'Ltg IntTakeoffs'!HG9,1)</f>
        <v>0</v>
      </c>
      <c r="HH10" s="64">
        <f ca="1">OFFSET('Ltg Schedule'!$C$7,'Ltg IntTakeoffs'!HH9,1)</f>
        <v>0</v>
      </c>
      <c r="HI10" s="64">
        <f ca="1">OFFSET('Ltg Schedule'!$C$7,'Ltg IntTakeoffs'!HI9,1)</f>
        <v>0</v>
      </c>
      <c r="HJ10" s="64">
        <f ca="1">OFFSET('Ltg Schedule'!$C$7,'Ltg IntTakeoffs'!HJ9,1)</f>
        <v>0</v>
      </c>
      <c r="HK10" s="64">
        <f ca="1">OFFSET('Ltg Schedule'!$C$7,'Ltg IntTakeoffs'!HK9,1)</f>
        <v>0</v>
      </c>
      <c r="HL10" s="64">
        <f ca="1">OFFSET('Ltg Schedule'!$C$7,'Ltg IntTakeoffs'!HL9,1)</f>
        <v>0</v>
      </c>
      <c r="HM10" s="64">
        <f ca="1">OFFSET('Ltg Schedule'!$C$7,'Ltg IntTakeoffs'!HM9,1)</f>
        <v>0</v>
      </c>
      <c r="HN10" s="64">
        <f ca="1">OFFSET('Ltg Schedule'!$C$7,'Ltg IntTakeoffs'!HN9,1)</f>
        <v>0</v>
      </c>
      <c r="HO10" s="64">
        <f ca="1">OFFSET('Ltg Schedule'!$C$7,'Ltg IntTakeoffs'!HO9,1)</f>
        <v>0</v>
      </c>
      <c r="HP10" s="64">
        <f ca="1">OFFSET('Ltg Schedule'!$C$7,'Ltg IntTakeoffs'!HP9,1)</f>
        <v>0</v>
      </c>
      <c r="HQ10" s="64">
        <f ca="1">OFFSET('Ltg Schedule'!$C$7,'Ltg IntTakeoffs'!HQ9,1)</f>
        <v>0</v>
      </c>
      <c r="HR10" s="64">
        <f ca="1">OFFSET('Ltg Schedule'!$C$7,'Ltg IntTakeoffs'!HR9,1)</f>
        <v>0</v>
      </c>
      <c r="HS10" s="64">
        <f ca="1">OFFSET('Ltg Schedule'!$C$7,'Ltg IntTakeoffs'!HS9,1)</f>
        <v>0</v>
      </c>
      <c r="HT10" s="64">
        <f ca="1">OFFSET('Ltg Schedule'!$C$7,'Ltg IntTakeoffs'!HT9,1)</f>
        <v>0</v>
      </c>
      <c r="HU10" s="64"/>
      <c r="HV10" s="64"/>
    </row>
    <row r="11" spans="1:230" ht="23.1" customHeight="1" x14ac:dyDescent="0.2">
      <c r="B11" s="99" t="s">
        <v>15</v>
      </c>
      <c r="C11" s="99" t="s">
        <v>14</v>
      </c>
      <c r="D11" s="99" t="s">
        <v>13</v>
      </c>
      <c r="E11" s="99" t="s">
        <v>12</v>
      </c>
      <c r="F11" s="100" t="s">
        <v>11</v>
      </c>
      <c r="G11" s="531" t="s">
        <v>975</v>
      </c>
      <c r="H11" s="76" t="str">
        <f>CONCATENATE("Fixture ",H10)</f>
        <v>Fixture 1</v>
      </c>
      <c r="I11" s="101" t="str">
        <f>CONCATENATE("Fixture ",I10," Qty")</f>
        <v>Fixture 1 Qty</v>
      </c>
      <c r="J11" s="77" t="str">
        <f>CONCATENATE("Fixture ",J10," Occ Sens")</f>
        <v>Fixture 1 Occ Sens</v>
      </c>
      <c r="K11" s="78" t="str">
        <f>CONCATENATE("Fixture ",K10," Dlt Ctrl")</f>
        <v>Fixture 1 Dlt Ctrl</v>
      </c>
      <c r="L11" s="76" t="str">
        <f>CONCATENATE("Fixture ",L10)</f>
        <v>Fixture 2</v>
      </c>
      <c r="M11" s="101" t="str">
        <f>CONCATENATE("Fixture ",M10," Qty")</f>
        <v>Fixture 2 Qty</v>
      </c>
      <c r="N11" s="77" t="str">
        <f>CONCATENATE("Fixture ",N10," Occ Sens")</f>
        <v>Fixture 2 Occ Sens</v>
      </c>
      <c r="O11" s="78" t="str">
        <f>CONCATENATE("Fixture ",O10," Dlt Ctrl")</f>
        <v>Fixture 2 Dlt Ctrl</v>
      </c>
      <c r="P11" s="76" t="str">
        <f>CONCATENATE("Fixture ",P10)</f>
        <v>Fixture 3</v>
      </c>
      <c r="Q11" s="101" t="str">
        <f>CONCATENATE("Fixture ",Q10," Qty")</f>
        <v>Fixture 3 Qty</v>
      </c>
      <c r="R11" s="77" t="str">
        <f>CONCATENATE("Fixture ",R10," Occ Sens")</f>
        <v>Fixture 3 Occ Sens</v>
      </c>
      <c r="S11" s="78" t="str">
        <f>CONCATENATE("Fixture ",S10," Dlt Ctrl")</f>
        <v>Fixture 3 Dlt Ctrl</v>
      </c>
      <c r="T11" s="76" t="str">
        <f>CONCATENATE("Fixture ",T10)</f>
        <v>Fixture 4</v>
      </c>
      <c r="U11" s="101" t="str">
        <f>CONCATENATE("Fixture ",U10," Qty")</f>
        <v>Fixture 4 Qty</v>
      </c>
      <c r="V11" s="77" t="str">
        <f>CONCATENATE("Fixture ",V10," Occ Sens")</f>
        <v>Fixture 4 Occ Sens</v>
      </c>
      <c r="W11" s="78" t="str">
        <f>CONCATENATE("Fixture ",W10," Dlt Ctrl")</f>
        <v>Fixture 4 Dlt Ctrl</v>
      </c>
      <c r="X11" s="76" t="str">
        <f>CONCATENATE("Fixture ",X10)</f>
        <v>Fixture 5</v>
      </c>
      <c r="Y11" s="101" t="str">
        <f>CONCATENATE("Fixture ",Y10," Qty")</f>
        <v>Fixture 5 Qty</v>
      </c>
      <c r="Z11" s="77" t="str">
        <f>CONCATENATE("Fixture ",Z10," Occ Sens")</f>
        <v>Fixture 5 Occ Sens</v>
      </c>
      <c r="AA11" s="78" t="str">
        <f>CONCATENATE("Fixture ",AA10," Dlt Ctrl")</f>
        <v>Fixture 5 Dlt Ctrl</v>
      </c>
      <c r="AB11" s="76" t="str">
        <f>CONCATENATE("Fixture ",AB10)</f>
        <v>Fixture 6</v>
      </c>
      <c r="AC11" s="101" t="str">
        <f>CONCATENATE("Fixture ",AC10," Qty")</f>
        <v>Fixture 6 Qty</v>
      </c>
      <c r="AD11" s="77" t="str">
        <f>CONCATENATE("Fixture ",AD10," Occ Sens")</f>
        <v>Fixture 6 Occ Sens</v>
      </c>
      <c r="AE11" s="78" t="str">
        <f>CONCATENATE("Fixture ",AE10," Dlt Ctrl")</f>
        <v>Fixture 6 Dlt Ctrl</v>
      </c>
      <c r="AF11" s="76" t="str">
        <f>CONCATENATE("Fixture ",AF10)</f>
        <v>Fixture 7</v>
      </c>
      <c r="AG11" s="101" t="str">
        <f>CONCATENATE("Fixture ",AG10," Qty")</f>
        <v>Fixture 7 Qty</v>
      </c>
      <c r="AH11" s="77" t="str">
        <f>CONCATENATE("Fixture ",AH10," Occ Sens")</f>
        <v>Fixture 7 Occ Sens</v>
      </c>
      <c r="AI11" s="78" t="str">
        <f>CONCATENATE("Fixture ",AI10," Dlt Ctrl")</f>
        <v>Fixture 7 Dlt Ctrl</v>
      </c>
      <c r="AJ11" s="76" t="str">
        <f>CONCATENATE("Fixture ",AJ10)</f>
        <v>Fixture 8</v>
      </c>
      <c r="AK11" s="101" t="str">
        <f>CONCATENATE("Fixture ",AK10," Qty")</f>
        <v>Fixture 8 Qty</v>
      </c>
      <c r="AL11" s="77" t="str">
        <f>CONCATENATE("Fixture ",AL10," Occ Sens")</f>
        <v>Fixture 8 Occ Sens</v>
      </c>
      <c r="AM11" s="78" t="str">
        <f>CONCATENATE("Fixture ",AM10," Dlt Ctrl")</f>
        <v>Fixture 8 Dlt Ctrl</v>
      </c>
      <c r="AN11" s="76" t="str">
        <f>CONCATENATE("Fixture ",AN10)</f>
        <v>Fixture 9</v>
      </c>
      <c r="AO11" s="101" t="str">
        <f>CONCATENATE("Fixture ",AO10," Qty")</f>
        <v>Fixture 9 Qty</v>
      </c>
      <c r="AP11" s="77" t="str">
        <f>CONCATENATE("Fixture ",AP10," Occ Sens")</f>
        <v>Fixture 9 Occ Sens</v>
      </c>
      <c r="AQ11" s="78" t="str">
        <f>CONCATENATE("Fixture ",AQ10," Dlt Ctrl")</f>
        <v>Fixture 9 Dlt Ctrl</v>
      </c>
      <c r="AR11" s="76" t="str">
        <f>CONCATENATE("Fixture ",AR10)</f>
        <v>Fixture 10</v>
      </c>
      <c r="AS11" s="101" t="str">
        <f>CONCATENATE("Fixture ",AS10," Qty")</f>
        <v>Fixture 10 Qty</v>
      </c>
      <c r="AT11" s="77" t="str">
        <f>CONCATENATE("Fixture ",AT10," Occ Sens")</f>
        <v>Fixture 10 Occ Sens</v>
      </c>
      <c r="AU11" s="78" t="str">
        <f>CONCATENATE("Fixture ",AU10," Dlt Ctrl")</f>
        <v>Fixture 10 Dlt Ctrl</v>
      </c>
      <c r="AV11" s="76" t="str">
        <f>CONCATENATE("Fixture ",AV10)</f>
        <v>Fixture 11</v>
      </c>
      <c r="AW11" s="101" t="str">
        <f>CONCATENATE("Fixture ",AW10," Qty")</f>
        <v>Fixture 11 Qty</v>
      </c>
      <c r="AX11" s="77" t="str">
        <f>CONCATENATE("Fixture ",AX10," Occ Sens")</f>
        <v>Fixture 11 Occ Sens</v>
      </c>
      <c r="AY11" s="78" t="str">
        <f>CONCATENATE("Fixture ",AY10," Dlt Ctrl")</f>
        <v>Fixture 11 Dlt Ctrl</v>
      </c>
      <c r="AZ11" s="76" t="str">
        <f>CONCATENATE("Fixture ",AZ10)</f>
        <v>Fixture 12</v>
      </c>
      <c r="BA11" s="101" t="str">
        <f>CONCATENATE("Fixture ",BA10," Qty")</f>
        <v>Fixture 12 Qty</v>
      </c>
      <c r="BB11" s="77" t="str">
        <f>CONCATENATE("Fixture ",BB10," Occ Sens")</f>
        <v>Fixture 12 Occ Sens</v>
      </c>
      <c r="BC11" s="78" t="str">
        <f>CONCATENATE("Fixture ",BC10," Dlt Ctrl")</f>
        <v>Fixture 12 Dlt Ctrl</v>
      </c>
      <c r="BD11" s="76" t="str">
        <f>CONCATENATE("Fixture ",BD10)</f>
        <v>Fixture 13</v>
      </c>
      <c r="BE11" s="101" t="str">
        <f>CONCATENATE("Fixture ",BE10," Qty")</f>
        <v>Fixture 13 Qty</v>
      </c>
      <c r="BF11" s="77" t="str">
        <f>CONCATENATE("Fixture ",BF10," Occ Sens")</f>
        <v>Fixture 13 Occ Sens</v>
      </c>
      <c r="BG11" s="78" t="str">
        <f>CONCATENATE("Fixture ",BG10," Dlt Ctrl")</f>
        <v>Fixture 13 Dlt Ctrl</v>
      </c>
      <c r="BH11" s="76" t="str">
        <f>CONCATENATE("Fixture ",BH10)</f>
        <v>Fixture 14</v>
      </c>
      <c r="BI11" s="101" t="str">
        <f>CONCATENATE("Fixture ",BI10," Qty")</f>
        <v>Fixture 14 Qty</v>
      </c>
      <c r="BJ11" s="77" t="str">
        <f>CONCATENATE("Fixture ",BJ10," Occ Sens")</f>
        <v>Fixture 14 Occ Sens</v>
      </c>
      <c r="BK11" s="78" t="str">
        <f>CONCATENATE("Fixture ",BK10," Dlt Ctrl")</f>
        <v>Fixture 14 Dlt Ctrl</v>
      </c>
      <c r="BL11" s="76" t="str">
        <f>CONCATENATE("Fixture ",BL10)</f>
        <v>Fixture 15</v>
      </c>
      <c r="BM11" s="101" t="str">
        <f>CONCATENATE("Fixture ",BM10," Qty")</f>
        <v>Fixture 15 Qty</v>
      </c>
      <c r="BN11" s="77" t="str">
        <f>CONCATENATE("Fixture ",BN10," Occ Sens")</f>
        <v>Fixture 15 Occ Sens</v>
      </c>
      <c r="BO11" s="78" t="str">
        <f>CONCATENATE("Fixture ",BO10," Dlt Ctrl")</f>
        <v>Fixture 15 Dlt Ctrl</v>
      </c>
      <c r="BP11" s="76" t="str">
        <f>CONCATENATE("Fixture ",BP10)</f>
        <v>Fixture 16</v>
      </c>
      <c r="BQ11" s="101" t="str">
        <f>CONCATENATE("Fixture ",BQ10," Qty")</f>
        <v>Fixture 16 Qty</v>
      </c>
      <c r="BR11" s="77" t="str">
        <f>CONCATENATE("Fixture ",BR10," Occ Sens")</f>
        <v>Fixture 16 Occ Sens</v>
      </c>
      <c r="BS11" s="78" t="str">
        <f>CONCATENATE("Fixture ",BS10," Dlt Ctrl")</f>
        <v>Fixture 16 Dlt Ctrl</v>
      </c>
      <c r="BT11" s="76" t="str">
        <f>CONCATENATE("Fixture ",BT10)</f>
        <v>Fixture 17</v>
      </c>
      <c r="BU11" s="101" t="str">
        <f>CONCATENATE("Fixture ",BU10," Qty")</f>
        <v>Fixture 17 Qty</v>
      </c>
      <c r="BV11" s="77" t="str">
        <f>CONCATENATE("Fixture ",BV10," Occ Sens")</f>
        <v>Fixture 17 Occ Sens</v>
      </c>
      <c r="BW11" s="78" t="str">
        <f>CONCATENATE("Fixture ",BW10," Dlt Ctrl")</f>
        <v>Fixture 17 Dlt Ctrl</v>
      </c>
      <c r="BX11" s="76" t="str">
        <f>CONCATENATE("Fixture ",BX10)</f>
        <v>Fixture 18</v>
      </c>
      <c r="BY11" s="101" t="str">
        <f>CONCATENATE("Fixture ",BY10," Qty")</f>
        <v>Fixture 18 Qty</v>
      </c>
      <c r="BZ11" s="77" t="str">
        <f>CONCATENATE("Fixture ",BZ10," Occ Sens")</f>
        <v>Fixture 18 Occ Sens</v>
      </c>
      <c r="CA11" s="78" t="str">
        <f>CONCATENATE("Fixture ",CA10," Dlt Ctrl")</f>
        <v>Fixture 18 Dlt Ctrl</v>
      </c>
      <c r="CB11" s="79" t="s">
        <v>9</v>
      </c>
      <c r="CC11" s="79" t="s">
        <v>8</v>
      </c>
      <c r="CD11" s="102" t="str">
        <f>CONCATENATE("Fixture ",CD10," Total Watts")</f>
        <v>Fixture 1 Total Watts</v>
      </c>
      <c r="CE11" s="80" t="str">
        <f>CONCATENATE("Fixture ",CE10," Regular Watts")</f>
        <v>Fixture 1 Regular Watts</v>
      </c>
      <c r="CF11" s="80" t="str">
        <f>CONCATENATE("Fixture ",CF10," Occ Sens Watts")</f>
        <v>Fixture 1 Occ Sens Watts</v>
      </c>
      <c r="CG11" s="81" t="str">
        <f>CONCATENATE("Fixture ",CG10," Daylight Watts")</f>
        <v>Fixture 1 Daylight Watts</v>
      </c>
      <c r="CH11" s="102" t="str">
        <f>CONCATENATE("Fixture ",CH10," Total Watts")</f>
        <v>Fixture 2 Total Watts</v>
      </c>
      <c r="CI11" s="80" t="str">
        <f>CONCATENATE("Fixture ",CI10," Regular Watts")</f>
        <v>Fixture 2 Regular Watts</v>
      </c>
      <c r="CJ11" s="80" t="str">
        <f>CONCATENATE("Fixture ",CJ10," Occ Sens Watts")</f>
        <v>Fixture 2 Occ Sens Watts</v>
      </c>
      <c r="CK11" s="81" t="str">
        <f>CONCATENATE("Fixture ",CK10," Daylight Watts")</f>
        <v>Fixture 2 Daylight Watts</v>
      </c>
      <c r="CL11" s="102" t="str">
        <f>CONCATENATE("Fixture ",CL10," Total Watts")</f>
        <v>Fixture 3 Total Watts</v>
      </c>
      <c r="CM11" s="80" t="str">
        <f>CONCATENATE("Fixture ",CM10," Regular Watts")</f>
        <v>Fixture 3 Regular Watts</v>
      </c>
      <c r="CN11" s="80" t="str">
        <f>CONCATENATE("Fixture ",CN10," Occ Sens Watts")</f>
        <v>Fixture 3 Occ Sens Watts</v>
      </c>
      <c r="CO11" s="81" t="str">
        <f>CONCATENATE("Fixture ",CO10," Daylight Watts")</f>
        <v>Fixture 3 Daylight Watts</v>
      </c>
      <c r="CP11" s="102" t="str">
        <f>CONCATENATE("Fixture ",CP10," Total Watts")</f>
        <v>Fixture 4 Total Watts</v>
      </c>
      <c r="CQ11" s="80" t="str">
        <f>CONCATENATE("Fixture ",CQ10," Regular Watts")</f>
        <v>Fixture 4 Regular Watts</v>
      </c>
      <c r="CR11" s="80" t="str">
        <f>CONCATENATE("Fixture ",CR10," Occ Sens Watts")</f>
        <v>Fixture 4 Occ Sens Watts</v>
      </c>
      <c r="CS11" s="81" t="str">
        <f>CONCATENATE("Fixture ",CS10," Daylight Watts")</f>
        <v>Fixture 4 Daylight Watts</v>
      </c>
      <c r="CT11" s="102" t="str">
        <f>CONCATENATE("Fixture ",CT10," Total Watts")</f>
        <v>Fixture 5 Total Watts</v>
      </c>
      <c r="CU11" s="80" t="str">
        <f>CONCATENATE("Fixture ",CU10," Regular Watts")</f>
        <v>Fixture 5 Regular Watts</v>
      </c>
      <c r="CV11" s="80" t="str">
        <f>CONCATENATE("Fixture ",CV10," Occ Sens Watts")</f>
        <v>Fixture 5 Occ Sens Watts</v>
      </c>
      <c r="CW11" s="81" t="str">
        <f>CONCATENATE("Fixture ",CW10," Daylight Watts")</f>
        <v>Fixture 5 Daylight Watts</v>
      </c>
      <c r="CX11" s="102" t="str">
        <f>CONCATENATE("Fixture ",CX10," Total Watts")</f>
        <v>Fixture 6 Total Watts</v>
      </c>
      <c r="CY11" s="80" t="str">
        <f>CONCATENATE("Fixture ",CY10," Regular Watts")</f>
        <v>Fixture 6 Regular Watts</v>
      </c>
      <c r="CZ11" s="80" t="str">
        <f>CONCATENATE("Fixture ",CZ10," Occ Sens Watts")</f>
        <v>Fixture 6 Occ Sens Watts</v>
      </c>
      <c r="DA11" s="81" t="str">
        <f>CONCATENATE("Fixture ",DA10," Daylight Watts")</f>
        <v>Fixture 6 Daylight Watts</v>
      </c>
      <c r="DB11" s="102" t="str">
        <f>CONCATENATE("Fixture ",DB10," Total Watts")</f>
        <v>Fixture 7 Total Watts</v>
      </c>
      <c r="DC11" s="80" t="str">
        <f>CONCATENATE("Fixture ",DC10," Regular Watts")</f>
        <v>Fixture 7 Regular Watts</v>
      </c>
      <c r="DD11" s="80" t="str">
        <f>CONCATENATE("Fixture ",DD10," Occ Sens Watts")</f>
        <v>Fixture 7 Occ Sens Watts</v>
      </c>
      <c r="DE11" s="81" t="str">
        <f>CONCATENATE("Fixture ",DE10," Daylight Watts")</f>
        <v>Fixture 7 Daylight Watts</v>
      </c>
      <c r="DF11" s="102" t="str">
        <f>CONCATENATE("Fixture ",DF10," Total Watts")</f>
        <v>Fixture 8 Total Watts</v>
      </c>
      <c r="DG11" s="80" t="str">
        <f>CONCATENATE("Fixture ",DG10," Regular Watts")</f>
        <v>Fixture 8 Regular Watts</v>
      </c>
      <c r="DH11" s="80" t="str">
        <f>CONCATENATE("Fixture ",DH10," Occ Sens Watts")</f>
        <v>Fixture 8 Occ Sens Watts</v>
      </c>
      <c r="DI11" s="81" t="str">
        <f>CONCATENATE("Fixture ",DI10," Daylight Watts")</f>
        <v>Fixture 8 Daylight Watts</v>
      </c>
      <c r="DJ11" s="102" t="str">
        <f>CONCATENATE("Fixture ",DJ10," Total Watts")</f>
        <v>Fixture 9 Total Watts</v>
      </c>
      <c r="DK11" s="80" t="str">
        <f>CONCATENATE("Fixture ",DK10," Regular Watts")</f>
        <v>Fixture 9 Regular Watts</v>
      </c>
      <c r="DL11" s="80" t="str">
        <f>CONCATENATE("Fixture ",DL10," Occ Sens Watts")</f>
        <v>Fixture 9 Occ Sens Watts</v>
      </c>
      <c r="DM11" s="81" t="str">
        <f>CONCATENATE("Fixture ",DM10," Daylight Watts")</f>
        <v>Fixture 9 Daylight Watts</v>
      </c>
      <c r="DN11" s="102" t="str">
        <f>CONCATENATE("Fixture ",DN10," Total Watts")</f>
        <v>Fixture 10 Total Watts</v>
      </c>
      <c r="DO11" s="80" t="str">
        <f>CONCATENATE("Fixture ",DO10," Regular Watts")</f>
        <v>Fixture 10 Regular Watts</v>
      </c>
      <c r="DP11" s="80" t="str">
        <f>CONCATENATE("Fixture ",DP10," Occ Sens Watts")</f>
        <v>Fixture 10 Occ Sens Watts</v>
      </c>
      <c r="DQ11" s="81" t="str">
        <f>CONCATENATE("Fixture ",DQ10," Daylight Watts")</f>
        <v>Fixture 10 Daylight Watts</v>
      </c>
      <c r="DR11" s="102" t="str">
        <f>CONCATENATE("Fixture ",DR10," Total Watts")</f>
        <v>Fixture 11 Total Watts</v>
      </c>
      <c r="DS11" s="80" t="str">
        <f>CONCATENATE("Fixture ",DS10," Regular Watts")</f>
        <v>Fixture 11 Regular Watts</v>
      </c>
      <c r="DT11" s="80" t="str">
        <f>CONCATENATE("Fixture ",DT10," Occ Sens Watts")</f>
        <v>Fixture 11 Occ Sens Watts</v>
      </c>
      <c r="DU11" s="81" t="str">
        <f>CONCATENATE("Fixture ",DU10," Daylight Watts")</f>
        <v>Fixture 11 Daylight Watts</v>
      </c>
      <c r="DV11" s="102" t="str">
        <f>CONCATENATE("Fixture ",DV10," Total Watts")</f>
        <v>Fixture 12 Total Watts</v>
      </c>
      <c r="DW11" s="80" t="str">
        <f>CONCATENATE("Fixture ",DW10," Regular Watts")</f>
        <v>Fixture 12 Regular Watts</v>
      </c>
      <c r="DX11" s="80" t="str">
        <f>CONCATENATE("Fixture ",DX10," Occ Sens Watts")</f>
        <v>Fixture 12 Occ Sens Watts</v>
      </c>
      <c r="DY11" s="81" t="str">
        <f>CONCATENATE("Fixture ",DY10," Daylight Watts")</f>
        <v>Fixture 12 Daylight Watts</v>
      </c>
      <c r="DZ11" s="102" t="str">
        <f>CONCATENATE("Fixture ",DZ10," Total Watts")</f>
        <v>Fixture 13 Total Watts</v>
      </c>
      <c r="EA11" s="80" t="str">
        <f>CONCATENATE("Fixture ",EA10," Regular Watts")</f>
        <v>Fixture 13 Regular Watts</v>
      </c>
      <c r="EB11" s="80" t="str">
        <f>CONCATENATE("Fixture ",EB10," Occ Sens Watts")</f>
        <v>Fixture 13 Occ Sens Watts</v>
      </c>
      <c r="EC11" s="81" t="str">
        <f>CONCATENATE("Fixture ",EC10," Daylight Watts")</f>
        <v>Fixture 13 Daylight Watts</v>
      </c>
      <c r="ED11" s="102" t="str">
        <f>CONCATENATE("Fixture ",ED10," Total Watts")</f>
        <v>Fixture 14 Total Watts</v>
      </c>
      <c r="EE11" s="80" t="str">
        <f>CONCATENATE("Fixture ",EE10," Regular Watts")</f>
        <v>Fixture 14 Regular Watts</v>
      </c>
      <c r="EF11" s="80" t="str">
        <f>CONCATENATE("Fixture ",EF10," Occ Sens Watts")</f>
        <v>Fixture 14 Occ Sens Watts</v>
      </c>
      <c r="EG11" s="81" t="str">
        <f>CONCATENATE("Fixture ",EG10," Daylight Watts")</f>
        <v>Fixture 14 Daylight Watts</v>
      </c>
      <c r="EH11" s="102" t="str">
        <f>CONCATENATE("Fixture ",EH10," Total Watts")</f>
        <v>Fixture 15 Total Watts</v>
      </c>
      <c r="EI11" s="80" t="str">
        <f>CONCATENATE("Fixture ",EI10," Regular Watts")</f>
        <v>Fixture 15 Regular Watts</v>
      </c>
      <c r="EJ11" s="80" t="str">
        <f>CONCATENATE("Fixture ",EJ10," Occ Sens Watts")</f>
        <v>Fixture 15 Occ Sens Watts</v>
      </c>
      <c r="EK11" s="81" t="str">
        <f>CONCATENATE("Fixture ",EK10," Daylight Watts")</f>
        <v>Fixture 15 Daylight Watts</v>
      </c>
      <c r="EL11" s="102" t="str">
        <f>CONCATENATE("Fixture ",EL10," Total Watts")</f>
        <v>Fixture 16 Total Watts</v>
      </c>
      <c r="EM11" s="80" t="str">
        <f>CONCATENATE("Fixture ",EM10," Regular Watts")</f>
        <v>Fixture 16 Regular Watts</v>
      </c>
      <c r="EN11" s="80" t="str">
        <f>CONCATENATE("Fixture ",EN10," Occ Sens Watts")</f>
        <v>Fixture 16 Occ Sens Watts</v>
      </c>
      <c r="EO11" s="81" t="str">
        <f>CONCATENATE("Fixture ",EO10," Daylight Watts")</f>
        <v>Fixture 16 Daylight Watts</v>
      </c>
      <c r="EP11" s="102" t="str">
        <f>CONCATENATE("Fixture ",EP10," Total Watts")</f>
        <v>Fixture 17 Total Watts</v>
      </c>
      <c r="EQ11" s="80" t="str">
        <f>CONCATENATE("Fixture ",EQ10," Regular Watts")</f>
        <v>Fixture 17 Regular Watts</v>
      </c>
      <c r="ER11" s="80" t="str">
        <f>CONCATENATE("Fixture ",ER10," Occ Sens Watts")</f>
        <v>Fixture 17 Occ Sens Watts</v>
      </c>
      <c r="ES11" s="81" t="str">
        <f>CONCATENATE("Fixture ",ES10," Daylight Watts")</f>
        <v>Fixture 17 Daylight Watts</v>
      </c>
      <c r="ET11" s="102" t="str">
        <f>CONCATENATE("Fixture ",ET10," Total Watts")</f>
        <v>Fixture 18 Total Watts</v>
      </c>
      <c r="EU11" s="80" t="str">
        <f>CONCATENATE("Fixture ",EU10," Regular Watts")</f>
        <v>Fixture 18 Regular Watts</v>
      </c>
      <c r="EV11" s="80" t="str">
        <f>CONCATENATE("Fixture ",EV10," Occ Sens Watts")</f>
        <v>Fixture 18 Occ Sens Watts</v>
      </c>
      <c r="EW11" s="81" t="str">
        <f>CONCATENATE("Fixture ",EW10," Daylight Watts")</f>
        <v>Fixture 18 Daylight Watts</v>
      </c>
      <c r="EX11" s="103" t="s">
        <v>55</v>
      </c>
      <c r="EY11" s="104" t="s">
        <v>213</v>
      </c>
      <c r="EZ11" s="104" t="s">
        <v>6</v>
      </c>
      <c r="FA11" s="105" t="s">
        <v>5</v>
      </c>
      <c r="FB11" s="106" t="s">
        <v>4</v>
      </c>
      <c r="FC11" s="107" t="s">
        <v>3</v>
      </c>
      <c r="FD11" s="108" t="s">
        <v>2</v>
      </c>
      <c r="FE11" s="106" t="s">
        <v>1</v>
      </c>
      <c r="FF11" s="107" t="s">
        <v>0</v>
      </c>
      <c r="FG11" s="109" t="s">
        <v>55</v>
      </c>
      <c r="FH11" s="109" t="s">
        <v>214</v>
      </c>
      <c r="FI11" s="921" t="s">
        <v>1020</v>
      </c>
      <c r="FJ11" s="921" t="s">
        <v>1022</v>
      </c>
      <c r="FK11" s="921" t="s">
        <v>1021</v>
      </c>
      <c r="FM11" s="424" t="s">
        <v>37</v>
      </c>
      <c r="FN11" s="425" t="s">
        <v>10</v>
      </c>
      <c r="FO11" s="426" t="str">
        <f ca="1">OFFSET('Ltg Schedule'!$C$7,FO9,0)</f>
        <v>A</v>
      </c>
      <c r="FP11" s="426" t="str">
        <f ca="1">OFFSET('Ltg Schedule'!$C$7,FP9,0)</f>
        <v>B</v>
      </c>
      <c r="FQ11" s="426" t="str">
        <f ca="1">OFFSET('Ltg Schedule'!$C$7,FQ9,0)</f>
        <v>C</v>
      </c>
      <c r="FR11" s="426" t="str">
        <f ca="1">OFFSET('Ltg Schedule'!$C$7,FR9,0)</f>
        <v>D</v>
      </c>
      <c r="FS11" s="426" t="str">
        <f ca="1">OFFSET('Ltg Schedule'!$C$7,FS9,0)</f>
        <v>E</v>
      </c>
      <c r="FT11" s="426" t="str">
        <f ca="1">OFFSET('Ltg Schedule'!$C$7,FT9,0)</f>
        <v>G1</v>
      </c>
      <c r="FU11" s="426" t="str">
        <f ca="1">OFFSET('Ltg Schedule'!$C$7,FU9,0)</f>
        <v>G2</v>
      </c>
      <c r="FV11" s="426" t="str">
        <f ca="1">OFFSET('Ltg Schedule'!$C$7,FV9,0)</f>
        <v>G3</v>
      </c>
      <c r="FW11" s="426" t="str">
        <f ca="1">OFFSET('Ltg Schedule'!$C$7,FW9,0)</f>
        <v>L1</v>
      </c>
      <c r="FX11" s="426" t="str">
        <f ca="1">OFFSET('Ltg Schedule'!$C$7,FX9,0)</f>
        <v>L2</v>
      </c>
      <c r="FY11" s="426" t="str">
        <f ca="1">OFFSET('Ltg Schedule'!$C$7,FY9,0)</f>
        <v>L3</v>
      </c>
      <c r="FZ11" s="426" t="str">
        <f ca="1">OFFSET('Ltg Schedule'!$C$7,FZ9,0)</f>
        <v>L4</v>
      </c>
      <c r="GA11" s="426" t="str">
        <f ca="1">OFFSET('Ltg Schedule'!$C$7,GA9,0)</f>
        <v>L5</v>
      </c>
      <c r="GB11" s="426" t="str">
        <f ca="1">OFFSET('Ltg Schedule'!$C$7,GB9,0)</f>
        <v>L7</v>
      </c>
      <c r="GC11" s="426" t="str">
        <f ca="1">OFFSET('Ltg Schedule'!$C$7,GC9,0)</f>
        <v>LB-A</v>
      </c>
      <c r="GD11" s="426" t="str">
        <f ca="1">OFFSET('Ltg Schedule'!$C$7,GD9,0)</f>
        <v>L10</v>
      </c>
      <c r="GE11" s="426" t="str">
        <f ca="1">OFFSET('Ltg Schedule'!$C$7,GE9,0)</f>
        <v>L12</v>
      </c>
      <c r="GF11" s="426" t="str">
        <f ca="1">OFFSET('Ltg Schedule'!$C$7,GF9,0)</f>
        <v>L13</v>
      </c>
      <c r="GG11" s="426" t="str">
        <f ca="1">OFFSET('Ltg Schedule'!$C$7,GG9,0)</f>
        <v>L14</v>
      </c>
      <c r="GH11" s="426" t="str">
        <f ca="1">OFFSET('Ltg Schedule'!$C$7,GH9,0)</f>
        <v>L15</v>
      </c>
      <c r="GI11" s="426" t="str">
        <f ca="1">OFFSET('Ltg Schedule'!$C$7,GI9,0)</f>
        <v>S1</v>
      </c>
      <c r="GJ11" s="426" t="str">
        <f ca="1">OFFSET('Ltg Schedule'!$C$7,GJ9,0)</f>
        <v>Z1</v>
      </c>
      <c r="GK11" s="426" t="str">
        <f ca="1">OFFSET('Ltg Schedule'!$C$7,GK9,0)</f>
        <v>Z2</v>
      </c>
      <c r="GL11" s="426" t="str">
        <f ca="1">OFFSET('Ltg Schedule'!$C$7,GL9,0)</f>
        <v>Z3</v>
      </c>
      <c r="GM11" s="426" t="str">
        <f ca="1">OFFSET('Ltg Schedule'!$C$7,GM9,0)</f>
        <v>Z8</v>
      </c>
      <c r="GN11" s="426" t="str">
        <f ca="1">OFFSET('Ltg Schedule'!$C$7,GN9,0)</f>
        <v>LS1</v>
      </c>
      <c r="GO11" s="426" t="str">
        <f ca="1">OFFSET('Ltg Schedule'!$C$7,GO9,0)</f>
        <v>LS2</v>
      </c>
      <c r="GP11" s="426" t="str">
        <f ca="1">OFFSET('Ltg Schedule'!$C$7,GP9,0)</f>
        <v>LS3</v>
      </c>
      <c r="GQ11" s="426" t="str">
        <f ca="1">OFFSET('Ltg Schedule'!$C$7,GQ9,0)</f>
        <v>LS4</v>
      </c>
      <c r="GR11" s="426" t="str">
        <f ca="1">OFFSET('Ltg Schedule'!$C$7,GR9,0)</f>
        <v>LS5</v>
      </c>
      <c r="GS11" s="426" t="str">
        <f ca="1">OFFSET('Ltg Schedule'!$C$7,GS9,0)</f>
        <v>LS6</v>
      </c>
      <c r="GT11" s="426" t="str">
        <f ca="1">OFFSET('Ltg Schedule'!$C$7,GT9,0)</f>
        <v>LS7</v>
      </c>
      <c r="GU11" s="426">
        <f ca="1">OFFSET('Ltg Schedule'!$C$7,GU9,0)</f>
        <v>0</v>
      </c>
      <c r="GV11" s="426">
        <f ca="1">OFFSET('Ltg Schedule'!$C$7,GV9,0)</f>
        <v>0</v>
      </c>
      <c r="GW11" s="426">
        <f ca="1">OFFSET('Ltg Schedule'!$C$7,GW9,0)</f>
        <v>0</v>
      </c>
      <c r="GX11" s="426">
        <f ca="1">OFFSET('Ltg Schedule'!$C$7,GX9,0)</f>
        <v>0</v>
      </c>
      <c r="GY11" s="426">
        <f ca="1">OFFSET('Ltg Schedule'!$C$7,GY9,0)</f>
        <v>0</v>
      </c>
      <c r="GZ11" s="426">
        <f ca="1">OFFSET('Ltg Schedule'!$C$7,GZ9,0)</f>
        <v>0</v>
      </c>
      <c r="HA11" s="426">
        <f ca="1">OFFSET('Ltg Schedule'!$C$7,HA9,0)</f>
        <v>0</v>
      </c>
      <c r="HB11" s="426">
        <f ca="1">OFFSET('Ltg Schedule'!$C$7,HB9,0)</f>
        <v>0</v>
      </c>
      <c r="HC11" s="426">
        <f ca="1">OFFSET('Ltg Schedule'!$C$7,HC9,0)</f>
        <v>0</v>
      </c>
      <c r="HD11" s="426">
        <f ca="1">OFFSET('Ltg Schedule'!$C$7,HD9,0)</f>
        <v>0</v>
      </c>
      <c r="HE11" s="426">
        <f ca="1">OFFSET('Ltg Schedule'!$C$7,HE9,0)</f>
        <v>0</v>
      </c>
      <c r="HF11" s="426">
        <f ca="1">OFFSET('Ltg Schedule'!$C$7,HF9,0)</f>
        <v>0</v>
      </c>
      <c r="HG11" s="426">
        <f ca="1">OFFSET('Ltg Schedule'!$C$7,HG9,0)</f>
        <v>0</v>
      </c>
      <c r="HH11" s="426">
        <f ca="1">OFFSET('Ltg Schedule'!$C$7,HH9,0)</f>
        <v>0</v>
      </c>
      <c r="HI11" s="426">
        <f ca="1">OFFSET('Ltg Schedule'!$C$7,HI9,0)</f>
        <v>0</v>
      </c>
      <c r="HJ11" s="426">
        <f ca="1">OFFSET('Ltg Schedule'!$C$7,HJ9,0)</f>
        <v>0</v>
      </c>
      <c r="HK11" s="426">
        <f ca="1">OFFSET('Ltg Schedule'!$C$7,HK9,0)</f>
        <v>0</v>
      </c>
      <c r="HL11" s="426">
        <f ca="1">OFFSET('Ltg Schedule'!$C$7,HL9,0)</f>
        <v>0</v>
      </c>
      <c r="HM11" s="426">
        <f ca="1">OFFSET('Ltg Schedule'!$C$7,HM9,0)</f>
        <v>0</v>
      </c>
      <c r="HN11" s="426">
        <f ca="1">OFFSET('Ltg Schedule'!$C$7,HN9,0)</f>
        <v>0</v>
      </c>
      <c r="HO11" s="426">
        <f ca="1">OFFSET('Ltg Schedule'!$C$7,HO9,0)</f>
        <v>0</v>
      </c>
      <c r="HP11" s="426">
        <f ca="1">OFFSET('Ltg Schedule'!$C$7,HP9,0)</f>
        <v>0</v>
      </c>
      <c r="HQ11" s="426">
        <f ca="1">OFFSET('Ltg Schedule'!$C$7,HQ9,0)</f>
        <v>0</v>
      </c>
      <c r="HR11" s="426">
        <f ca="1">OFFSET('Ltg Schedule'!$C$7,HR9,0)</f>
        <v>0</v>
      </c>
      <c r="HS11" s="426">
        <f ca="1">OFFSET('Ltg Schedule'!$C$7,HS9,0)</f>
        <v>0</v>
      </c>
      <c r="HT11" s="426">
        <f ca="1">OFFSET('Ltg Schedule'!$C$7,HT9,0)</f>
        <v>0</v>
      </c>
      <c r="HU11" s="426"/>
      <c r="HV11" s="426"/>
    </row>
    <row r="12" spans="1:230" ht="11.25" customHeight="1" x14ac:dyDescent="0.2">
      <c r="A12" s="62">
        <v>1</v>
      </c>
      <c r="B12" s="60" t="str">
        <f>Spaces_Sum!C57</f>
        <v>B01-002_StrsRaccBbrd</v>
      </c>
      <c r="C12" s="62" t="str">
        <f>Spaces_Sum!D57</f>
        <v>B01</v>
      </c>
      <c r="D12" s="62" t="str">
        <f ca="1">Spaces_Sum!I57</f>
        <v>DirectlyConditioned</v>
      </c>
      <c r="F12" s="110">
        <f ca="1">Spaces_Sum!M57</f>
        <v>602.02739999999994</v>
      </c>
      <c r="G12" s="110" t="str">
        <f ca="1">Spaces_Sum!J57</f>
        <v>Stairwell</v>
      </c>
      <c r="H12" s="532"/>
      <c r="I12" s="185"/>
      <c r="J12" s="185"/>
      <c r="K12" s="186"/>
      <c r="L12" s="187"/>
      <c r="M12" s="188"/>
      <c r="N12" s="189"/>
      <c r="O12" s="186"/>
      <c r="P12" s="187"/>
      <c r="Q12" s="188"/>
      <c r="R12" s="189"/>
      <c r="S12" s="186"/>
      <c r="T12" s="187"/>
      <c r="U12" s="188"/>
      <c r="V12" s="189"/>
      <c r="W12" s="186"/>
      <c r="X12" s="187"/>
      <c r="Y12" s="188"/>
      <c r="Z12" s="189"/>
      <c r="AA12" s="186"/>
      <c r="AB12" s="187"/>
      <c r="AC12" s="188"/>
      <c r="AD12" s="189"/>
      <c r="AE12" s="186"/>
      <c r="AF12" s="187"/>
      <c r="AG12" s="188"/>
      <c r="AH12" s="189"/>
      <c r="AI12" s="186"/>
      <c r="AJ12" s="187"/>
      <c r="AK12" s="188"/>
      <c r="AL12" s="189"/>
      <c r="AM12" s="186"/>
      <c r="AN12" s="187"/>
      <c r="AO12" s="188"/>
      <c r="AP12" s="189"/>
      <c r="AQ12" s="186"/>
      <c r="AR12" s="187"/>
      <c r="AS12" s="188"/>
      <c r="AT12" s="189"/>
      <c r="AU12" s="186"/>
      <c r="AV12" s="187"/>
      <c r="AW12" s="188"/>
      <c r="AX12" s="189"/>
      <c r="AY12" s="186"/>
      <c r="AZ12" s="187"/>
      <c r="BA12" s="188"/>
      <c r="BB12" s="189"/>
      <c r="BC12" s="186"/>
      <c r="BD12" s="187"/>
      <c r="BE12" s="188"/>
      <c r="BF12" s="189"/>
      <c r="BG12" s="186"/>
      <c r="BH12" s="187"/>
      <c r="BI12" s="188"/>
      <c r="BJ12" s="189"/>
      <c r="BK12" s="186"/>
      <c r="BL12" s="187"/>
      <c r="BM12" s="188"/>
      <c r="BN12" s="189"/>
      <c r="BO12" s="186"/>
      <c r="BP12" s="187"/>
      <c r="BQ12" s="188"/>
      <c r="BR12" s="189"/>
      <c r="BS12" s="186"/>
      <c r="BT12" s="187"/>
      <c r="BU12" s="188"/>
      <c r="BV12" s="189"/>
      <c r="BW12" s="186"/>
      <c r="BX12" s="187"/>
      <c r="BY12" s="188"/>
      <c r="BZ12" s="189"/>
      <c r="CA12" s="186"/>
      <c r="CB12" s="190"/>
      <c r="CC12" s="190"/>
      <c r="CD12" s="82">
        <f t="shared" ref="CD12:CD43" si="39">IF(ISTEXT(H12),(IF(ISERROR(VLOOKUP(H12,Ltg_IFixtureSch_PROP,2,FALSE)),0.000001,VLOOKUP(H12,Ltg_IFixtureSch_PROP,2,FALSE)*I12)),0)</f>
        <v>0</v>
      </c>
      <c r="CE12" s="82">
        <f t="shared" ref="CE12:CE43" si="40">CD12-CF12</f>
        <v>0</v>
      </c>
      <c r="CF12" s="82">
        <f t="shared" ref="CF12:CF43" si="41">IF(ISTEXT(H12),(IF(ISERROR(VLOOKUP(H12,Ltg_IFixtureSch_PROP,2,FALSE)),0.000001,VLOOKUP(H12,Ltg_IFixtureSch_PROP,2,FALSE)*J12)),0)</f>
        <v>0</v>
      </c>
      <c r="CG12" s="82">
        <f t="shared" ref="CG12:CG43" si="42">IF(ISTEXT(H12),(IF(ISERROR(VLOOKUP(H12,Ltg_IFixtureSch_PROP,2,FALSE)),0.000001,VLOOKUP(H12,Ltg_IFixtureSch_PROP,2,FALSE)*K12)),0)</f>
        <v>0</v>
      </c>
      <c r="CH12" s="82">
        <f t="shared" ref="CH12:CH43" si="43">IF(ISTEXT(L12),(IF(ISERROR(VLOOKUP(L12,Ltg_IFixtureSch_PROP,2,FALSE)),0.000001,VLOOKUP(L12,Ltg_IFixtureSch_PROP,2,FALSE)*M12)),0)</f>
        <v>0</v>
      </c>
      <c r="CI12" s="82">
        <f t="shared" ref="CI12:CI43" si="44">CH12-CJ12</f>
        <v>0</v>
      </c>
      <c r="CJ12" s="82">
        <f t="shared" ref="CJ12:CJ43" si="45">IF(ISTEXT(L12),(IF(ISERROR(VLOOKUP(L12,Ltg_IFixtureSch_PROP,2,FALSE)),0.000001,VLOOKUP(L12,Ltg_IFixtureSch_PROP,2,FALSE)*N12)),0)</f>
        <v>0</v>
      </c>
      <c r="CK12" s="82">
        <f t="shared" ref="CK12:CK43" si="46">IF(ISTEXT(L12),(IF(ISERROR(VLOOKUP(L12,Ltg_IFixtureSch_PROP,2,FALSE)),0.000001,VLOOKUP(L12,Ltg_IFixtureSch_PROP,2,FALSE)*O12)),0)</f>
        <v>0</v>
      </c>
      <c r="CL12" s="82">
        <f t="shared" ref="CL12:CL43" si="47">IF(ISTEXT(P12),(IF(ISERROR(VLOOKUP(P12,Ltg_IFixtureSch_PROP,2,FALSE)),0.000001,VLOOKUP(P12,Ltg_IFixtureSch_PROP,2,FALSE)*Q12)),0)</f>
        <v>0</v>
      </c>
      <c r="CM12" s="82">
        <f t="shared" ref="CM12:CM43" si="48">CL12-CN12</f>
        <v>0</v>
      </c>
      <c r="CN12" s="82">
        <f t="shared" ref="CN12:CN43" si="49">IF(ISTEXT(P12),(IF(ISERROR(VLOOKUP(P12,Ltg_IFixtureSch_PROP,2,FALSE)),0.000001,VLOOKUP(P12,Ltg_IFixtureSch_PROP,2,FALSE)*R12)),0)</f>
        <v>0</v>
      </c>
      <c r="CO12" s="82">
        <f t="shared" ref="CO12:CO43" si="50">IF(ISTEXT(P12),(IF(ISERROR(VLOOKUP(P12,Ltg_IFixtureSch_PROP,2,FALSE)),0.000001,VLOOKUP(P12,Ltg_IFixtureSch_PROP,2,FALSE)*S12)),0)</f>
        <v>0</v>
      </c>
      <c r="CP12" s="82">
        <f t="shared" ref="CP12:CP43" si="51">IF(ISTEXT(T12),(IF(ISERROR(VLOOKUP(T12,Ltg_IFixtureSch_PROP,2,FALSE)),0.000001,VLOOKUP(T12,Ltg_IFixtureSch_PROP,2,FALSE)*U12)),0)</f>
        <v>0</v>
      </c>
      <c r="CQ12" s="82">
        <f t="shared" ref="CQ12:CQ43" si="52">CP12-CR12</f>
        <v>0</v>
      </c>
      <c r="CR12" s="82">
        <f t="shared" ref="CR12:CR43" si="53">IF(ISTEXT(T12),(IF(ISERROR(VLOOKUP(T12,Ltg_IFixtureSch_PROP,2,FALSE)),0.000001,VLOOKUP(T12,Ltg_IFixtureSch_PROP,2,FALSE)*V12)),0)</f>
        <v>0</v>
      </c>
      <c r="CS12" s="82">
        <f t="shared" ref="CS12:CS43" si="54">IF(ISTEXT(T12),(IF(ISERROR(VLOOKUP(T12,Ltg_IFixtureSch_PROP,2,FALSE)),0.000001,VLOOKUP(T12,Ltg_IFixtureSch_PROP,2,FALSE)*W12)),0)</f>
        <v>0</v>
      </c>
      <c r="CT12" s="82">
        <f t="shared" ref="CT12:CT43" si="55">IF(ISTEXT(X12),(IF(ISERROR(VLOOKUP(X12,Ltg_IFixtureSch_PROP,2,FALSE)),0.000001,VLOOKUP(X12,Ltg_IFixtureSch_PROP,2,FALSE)*Y12)),0)</f>
        <v>0</v>
      </c>
      <c r="CU12" s="82">
        <f t="shared" ref="CU12:CU43" si="56">CT12-CV12</f>
        <v>0</v>
      </c>
      <c r="CV12" s="82">
        <f t="shared" ref="CV12:CV43" si="57">IF(ISTEXT(X12),(IF(ISERROR(VLOOKUP(X12,Ltg_IFixtureSch_PROP,2,FALSE)),0.000001,VLOOKUP(X12,Ltg_IFixtureSch_PROP,2,FALSE)*Z12)),0)</f>
        <v>0</v>
      </c>
      <c r="CW12" s="82">
        <f t="shared" ref="CW12:CW43" si="58">IF(ISTEXT(X12),(IF(ISERROR(VLOOKUP(X12,Ltg_IFixtureSch_PROP,2,FALSE)),0.000001,VLOOKUP(X12,Ltg_IFixtureSch_PROP,2,FALSE)*AA12)),0)</f>
        <v>0</v>
      </c>
      <c r="CX12" s="82">
        <f t="shared" ref="CX12:CX43" si="59">IF(ISTEXT(AB12),(IF(ISERROR(VLOOKUP(AB12,Ltg_IFixtureSch_PROP,2,FALSE)),0.000001,VLOOKUP(AB12,Ltg_IFixtureSch_PROP,2,FALSE)*AC12)),0)</f>
        <v>0</v>
      </c>
      <c r="CY12" s="82">
        <f t="shared" ref="CY12:CY43" si="60">CX12-CZ12</f>
        <v>0</v>
      </c>
      <c r="CZ12" s="82">
        <f t="shared" ref="CZ12:CZ43" si="61">IF(ISTEXT(AB12),(IF(ISERROR(VLOOKUP(AB12,Ltg_IFixtureSch_PROP,2,FALSE)),0.000001,VLOOKUP(AB12,Ltg_IFixtureSch_PROP,2,FALSE)*AD12)),0)</f>
        <v>0</v>
      </c>
      <c r="DA12" s="82">
        <f t="shared" ref="DA12:DA43" si="62">IF(ISTEXT(AB12),(IF(ISERROR(VLOOKUP(AB12,Ltg_IFixtureSch_PROP,2,FALSE)),0.000001,VLOOKUP(AB12,Ltg_IFixtureSch_PROP,2,FALSE)*AE12)),0)</f>
        <v>0</v>
      </c>
      <c r="DB12" s="82">
        <f t="shared" ref="DB12:DB43" si="63">IF(ISTEXT(AF12),(IF(ISERROR(VLOOKUP(AF12,Ltg_IFixtureSch_PROP,2,FALSE)),0.000001,VLOOKUP(AF12,Ltg_IFixtureSch_PROP,2,FALSE)*AG12)),0)</f>
        <v>0</v>
      </c>
      <c r="DC12" s="82">
        <f t="shared" ref="DC12:DC43" si="64">DB12-DD12</f>
        <v>0</v>
      </c>
      <c r="DD12" s="82">
        <f t="shared" ref="DD12:DD43" si="65">IF(ISTEXT(AF12),(IF(ISERROR(VLOOKUP(AF12,Ltg_IFixtureSch_PROP,2,FALSE)),0.000001,VLOOKUP(AF12,Ltg_IFixtureSch_PROP,2,FALSE)*AH12)),0)</f>
        <v>0</v>
      </c>
      <c r="DE12" s="82">
        <f t="shared" ref="DE12:DE43" si="66">IF(ISTEXT(AF12),(IF(ISERROR(VLOOKUP(AF12,Ltg_IFixtureSch_PROP,2,FALSE)),0.000001,VLOOKUP(AF12,Ltg_IFixtureSch_PROP,2,FALSE)*AI12)),0)</f>
        <v>0</v>
      </c>
      <c r="DF12" s="82">
        <f t="shared" ref="DF12:DF43" si="67">IF(ISTEXT(AJ12),(IF(ISERROR(VLOOKUP(AJ12,Ltg_IFixtureSch_PROP,2,FALSE)),0.000001,VLOOKUP(AJ12,Ltg_IFixtureSch_PROP,2,FALSE)*AK12)),0)</f>
        <v>0</v>
      </c>
      <c r="DG12" s="82">
        <f t="shared" ref="DG12:DG43" si="68">DF12-DH12</f>
        <v>0</v>
      </c>
      <c r="DH12" s="82">
        <f t="shared" ref="DH12:DH43" si="69">IF(ISTEXT(AJ12),(IF(ISERROR(VLOOKUP(AJ12,Ltg_IFixtureSch_PROP,2,FALSE)),0.000001,VLOOKUP(AJ12,Ltg_IFixtureSch_PROP,2,FALSE)*AL12)),0)</f>
        <v>0</v>
      </c>
      <c r="DI12" s="82">
        <f t="shared" ref="DI12:DI43" si="70">IF(ISTEXT(AJ12),(IF(ISERROR(VLOOKUP(AJ12,Ltg_IFixtureSch_PROP,2,FALSE)),0.000001,VLOOKUP(AJ12,Ltg_IFixtureSch_PROP,2,FALSE)*AM12)),0)</f>
        <v>0</v>
      </c>
      <c r="DJ12" s="82">
        <f t="shared" ref="DJ12:DJ43" si="71">IF(ISTEXT(AN12),(IF(ISERROR(VLOOKUP(AN12,Ltg_IFixtureSch_PROP,2,FALSE)),0.000001,VLOOKUP(AN12,Ltg_IFixtureSch_PROP,2,FALSE)*AO12)),0)</f>
        <v>0</v>
      </c>
      <c r="DK12" s="82">
        <f t="shared" ref="DK12:DK43" si="72">DJ12-DL12</f>
        <v>0</v>
      </c>
      <c r="DL12" s="82">
        <f t="shared" ref="DL12:DL43" si="73">IF(ISTEXT(AN12),(IF(ISERROR(VLOOKUP(AN12,Ltg_IFixtureSch_PROP,2,FALSE)),0.000001,VLOOKUP(AN12,Ltg_IFixtureSch_PROP,2,FALSE)*AP12)),0)</f>
        <v>0</v>
      </c>
      <c r="DM12" s="82">
        <f t="shared" ref="DM12:DM43" si="74">IF(ISTEXT(AN12),(IF(ISERROR(VLOOKUP(AN12,Ltg_IFixtureSch_PROP,2,FALSE)),0.000001,VLOOKUP(AN12,Ltg_IFixtureSch_PROP,2,FALSE)*AQ12)),0)</f>
        <v>0</v>
      </c>
      <c r="DN12" s="82">
        <f t="shared" ref="DN12:DN43" si="75">IF(ISTEXT(AR12),(IF(ISERROR(VLOOKUP(AR12,Ltg_IFixtureSch_PROP,2,FALSE)),0.000001,VLOOKUP(AR12,Ltg_IFixtureSch_PROP,2,FALSE)*AS12)),0)</f>
        <v>0</v>
      </c>
      <c r="DO12" s="82">
        <f t="shared" ref="DO12:DO43" si="76">DN12-DP12</f>
        <v>0</v>
      </c>
      <c r="DP12" s="82">
        <f t="shared" ref="DP12:DP43" si="77">IF(ISTEXT(AR12),(IF(ISERROR(VLOOKUP(AR12,Ltg_IFixtureSch_PROP,2,FALSE)),0.000001,VLOOKUP(AR12,Ltg_IFixtureSch_PROP,2,FALSE)*AT12)),0)</f>
        <v>0</v>
      </c>
      <c r="DQ12" s="82">
        <f t="shared" ref="DQ12:DQ43" si="78">IF(ISTEXT(AR12),(IF(ISERROR(VLOOKUP(AR12,Ltg_IFixtureSch_PROP,2,FALSE)),0.000001,VLOOKUP(AR12,Ltg_IFixtureSch_PROP,2,FALSE)*AU12)),0)</f>
        <v>0</v>
      </c>
      <c r="DR12" s="82">
        <f t="shared" ref="DR12:DR43" si="79">IF(ISTEXT(AV12),(IF(ISERROR(VLOOKUP(AV12,Ltg_IFixtureSch_PROP,2,FALSE)),0.000001,VLOOKUP(AV12,Ltg_IFixtureSch_PROP,2,FALSE)*AW12)),0)</f>
        <v>0</v>
      </c>
      <c r="DS12" s="82">
        <f t="shared" ref="DS12:DS43" si="80">DR12-DT12</f>
        <v>0</v>
      </c>
      <c r="DT12" s="82">
        <f t="shared" ref="DT12:DT43" si="81">IF(ISTEXT(AV12),(IF(ISERROR(VLOOKUP(AV12,Ltg_IFixtureSch_PROP,2,FALSE)),0.000001,VLOOKUP(AV12,Ltg_IFixtureSch_PROP,2,FALSE)*AX12)),0)</f>
        <v>0</v>
      </c>
      <c r="DU12" s="82">
        <f t="shared" ref="DU12:DU43" si="82">IF(ISTEXT(AV12),(IF(ISERROR(VLOOKUP(AV12,Ltg_IFixtureSch_PROP,2,FALSE)),0.000001,VLOOKUP(AV12,Ltg_IFixtureSch_PROP,2,FALSE)*AY12)),0)</f>
        <v>0</v>
      </c>
      <c r="DV12" s="82">
        <f t="shared" ref="DV12:DV43" si="83">IF(ISTEXT(AZ12),(IF(ISERROR(VLOOKUP(AZ12,Ltg_IFixtureSch_PROP,2,FALSE)),0.000001,VLOOKUP(AZ12,Ltg_IFixtureSch_PROP,2,FALSE)*BA12)),0)</f>
        <v>0</v>
      </c>
      <c r="DW12" s="82">
        <f t="shared" ref="DW12:DW43" si="84">DV12-DX12</f>
        <v>0</v>
      </c>
      <c r="DX12" s="82">
        <f t="shared" ref="DX12:DX43" si="85">IF(ISTEXT(AZ12),(IF(ISERROR(VLOOKUP(AZ12,Ltg_IFixtureSch_PROP,2,FALSE)),0.000001,VLOOKUP(AZ12,Ltg_IFixtureSch_PROP,2,FALSE)*BB12)),0)</f>
        <v>0</v>
      </c>
      <c r="DY12" s="82">
        <f t="shared" ref="DY12:DY43" si="86">IF(ISTEXT(AZ12),(IF(ISERROR(VLOOKUP(AZ12,Ltg_IFixtureSch_PROP,2,FALSE)),0.000001,VLOOKUP(AZ12,Ltg_IFixtureSch_PROP,2,FALSE)*BC12)),0)</f>
        <v>0</v>
      </c>
      <c r="DZ12" s="82">
        <f t="shared" ref="DZ12:DZ43" si="87">IF(ISTEXT(BD12),(IF(ISERROR(VLOOKUP(BD12,Ltg_IFixtureSch_PROP,2,FALSE)),0.000001,VLOOKUP(BD12,Ltg_IFixtureSch_PROP,2,FALSE)*BE12)),0)</f>
        <v>0</v>
      </c>
      <c r="EA12" s="82">
        <f t="shared" ref="EA12:EA43" si="88">DZ12-EB12</f>
        <v>0</v>
      </c>
      <c r="EB12" s="82">
        <f t="shared" ref="EB12:EB43" si="89">IF(ISTEXT(BD12),(IF(ISERROR(VLOOKUP(BD12,Ltg_IFixtureSch_PROP,2,FALSE)),0.000001,VLOOKUP(BD12,Ltg_IFixtureSch_PROP,2,FALSE)*BF12)),0)</f>
        <v>0</v>
      </c>
      <c r="EC12" s="82">
        <f t="shared" ref="EC12:EC43" si="90">IF(ISTEXT(BD12),(IF(ISERROR(VLOOKUP(BD12,Ltg_IFixtureSch_PROP,2,FALSE)),0.000001,VLOOKUP(BD12,Ltg_IFixtureSch_PROP,2,FALSE)*BG12)),0)</f>
        <v>0</v>
      </c>
      <c r="ED12" s="82">
        <f t="shared" ref="ED12:ED43" si="91">IF(ISTEXT(BH12),(IF(ISERROR(VLOOKUP(BH12,Ltg_IFixtureSch_PROP,2,FALSE)),0.000001,VLOOKUP(BH12,Ltg_IFixtureSch_PROP,2,FALSE)*BI12)),0)</f>
        <v>0</v>
      </c>
      <c r="EE12" s="82">
        <f t="shared" ref="EE12:EE43" si="92">ED12-EF12</f>
        <v>0</v>
      </c>
      <c r="EF12" s="82">
        <f t="shared" ref="EF12:EF43" si="93">IF(ISTEXT(BH12),(IF(ISERROR(VLOOKUP(BH12,Ltg_IFixtureSch_PROP,2,FALSE)),0.000001,VLOOKUP(BH12,Ltg_IFixtureSch_PROP,2,FALSE)*BJ12)),0)</f>
        <v>0</v>
      </c>
      <c r="EG12" s="82">
        <f t="shared" ref="EG12:EG43" si="94">IF(ISTEXT(BH12),(IF(ISERROR(VLOOKUP(BH12,Ltg_IFixtureSch_PROP,2,FALSE)),0.000001,VLOOKUP(BH12,Ltg_IFixtureSch_PROP,2,FALSE)*BK12)),0)</f>
        <v>0</v>
      </c>
      <c r="EH12" s="82">
        <f t="shared" ref="EH12:EH43" si="95">IF(ISTEXT(BL12),(IF(ISERROR(VLOOKUP(BL12,Ltg_IFixtureSch_PROP,2,FALSE)),0.000001,VLOOKUP(BL12,Ltg_IFixtureSch_PROP,2,FALSE)*BM12)),0)</f>
        <v>0</v>
      </c>
      <c r="EI12" s="82">
        <f t="shared" ref="EI12:EI43" si="96">EH12-EJ12</f>
        <v>0</v>
      </c>
      <c r="EJ12" s="82">
        <f t="shared" ref="EJ12:EJ43" si="97">IF(ISTEXT(BL12),(IF(ISERROR(VLOOKUP(BL12,Ltg_IFixtureSch_PROP,2,FALSE)),0.000001,VLOOKUP(BL12,Ltg_IFixtureSch_PROP,2,FALSE)*BN12)),0)</f>
        <v>0</v>
      </c>
      <c r="EK12" s="82">
        <f t="shared" ref="EK12:EK43" si="98">IF(ISTEXT(BL12),(IF(ISERROR(VLOOKUP(BL12,Ltg_IFixtureSch_PROP,2,FALSE)),0.000001,VLOOKUP(BL12,Ltg_IFixtureSch_PROP,2,FALSE)*BO12)),0)</f>
        <v>0</v>
      </c>
      <c r="EL12" s="82">
        <f t="shared" ref="EL12:EL43" si="99">IF(ISTEXT(BP12),(IF(ISERROR(VLOOKUP(BP12,Ltg_IFixtureSch_PROP,2,FALSE)),0.000001,VLOOKUP(BP12,Ltg_IFixtureSch_PROP,2,FALSE)*BQ12)),0)</f>
        <v>0</v>
      </c>
      <c r="EM12" s="82">
        <f t="shared" ref="EM12:EM43" si="100">EL12-EN12</f>
        <v>0</v>
      </c>
      <c r="EN12" s="82">
        <f t="shared" ref="EN12:EN43" si="101">IF(ISTEXT(BP12),(IF(ISERROR(VLOOKUP(BP12,Ltg_IFixtureSch_PROP,2,FALSE)),0.000001,VLOOKUP(BP12,Ltg_IFixtureSch_PROP,2,FALSE)*BR12)),0)</f>
        <v>0</v>
      </c>
      <c r="EO12" s="82">
        <f t="shared" ref="EO12:EO43" si="102">IF(ISTEXT(BP12),(IF(ISERROR(VLOOKUP(BP12,Ltg_IFixtureSch_PROP,2,FALSE)),0.000001,VLOOKUP(BP12,Ltg_IFixtureSch_PROP,2,FALSE)*BS12)),0)</f>
        <v>0</v>
      </c>
      <c r="EP12" s="82">
        <f t="shared" ref="EP12:EP43" si="103">IF(ISTEXT(BT12),(IF(ISERROR(VLOOKUP(BT12,Ltg_IFixtureSch_PROP,2,FALSE)),0.000001,VLOOKUP(BT12,Ltg_IFixtureSch_PROP,2,FALSE)*BU12)),0)</f>
        <v>0</v>
      </c>
      <c r="EQ12" s="82">
        <f t="shared" ref="EQ12:EQ43" si="104">EP12-ER12</f>
        <v>0</v>
      </c>
      <c r="ER12" s="82">
        <f t="shared" ref="ER12:ER43" si="105">IF(ISTEXT(BT12),(IF(ISERROR(VLOOKUP(BT12,Ltg_IFixtureSch_PROP,2,FALSE)),0.000001,VLOOKUP(BT12,Ltg_IFixtureSch_PROP,2,FALSE)*BV12)),0)</f>
        <v>0</v>
      </c>
      <c r="ES12" s="82">
        <f t="shared" ref="ES12:ES43" si="106">IF(ISTEXT(BT12),(IF(ISERROR(VLOOKUP(BT12,Ltg_IFixtureSch_PROP,2,FALSE)),0.000001,VLOOKUP(BT12,Ltg_IFixtureSch_PROP,2,FALSE)*BW12)),0)</f>
        <v>0</v>
      </c>
      <c r="ET12" s="82">
        <f t="shared" ref="ET12:ET43" si="107">IF(ISTEXT(BX12),(IF(ISERROR(VLOOKUP(BX12,Ltg_IFixtureSch_PROP,2,FALSE)),0.000001,VLOOKUP(BX12,Ltg_IFixtureSch_PROP,2,FALSE)*BY12)),0)</f>
        <v>0</v>
      </c>
      <c r="EU12" s="82">
        <f t="shared" ref="EU12:EU43" si="108">ET12-EV12</f>
        <v>0</v>
      </c>
      <c r="EV12" s="82">
        <f t="shared" ref="EV12:EV43" si="109">IF(ISTEXT(BX12),(IF(ISERROR(VLOOKUP(BX12,Ltg_IFixtureSch_PROP,2,FALSE)),0.000001,VLOOKUP(BX12,Ltg_IFixtureSch_PROP,2,FALSE)*BZ12)),0)</f>
        <v>0</v>
      </c>
      <c r="EW12" s="82">
        <f t="shared" ref="EW12:EW43" si="110">IF(ISTEXT(BX12),(IF(ISERROR(VLOOKUP(BX12,Ltg_IFixtureSch_PROP,2,FALSE)),0.000001,VLOOKUP(BX12,Ltg_IFixtureSch_PROP,2,FALSE)*CA12)),0)</f>
        <v>0</v>
      </c>
      <c r="EX12" s="82">
        <f t="shared" ref="EX12:EX43" si="111">IF(ISTEXT(CB12),(IF(ISERROR(VLOOKUP(CB12,Ltg_IFixtureSch_PROP,2,FALSE)),0.000001,VLOOKUP(CB12,Ltg_IFixtureSch_PROP,2,FALSE)*CC12)),0)</f>
        <v>0</v>
      </c>
      <c r="EY12" s="111">
        <f t="shared" ref="EY12:EY43" si="112">SUM(CD12,CH12,CL12,CP12,CT12,CX12,DB12,DF12,DJ12,DN12,DR12,DV12,DZ12,ED12,EH12,EL12,EP12,ET12)</f>
        <v>0</v>
      </c>
      <c r="EZ12" s="143">
        <f t="shared" ref="EZ12:EZ43" ca="1" si="113">ROUND(EY12/F12,3)</f>
        <v>0</v>
      </c>
      <c r="FA12" s="112">
        <f t="shared" ref="FA12:FA43" ca="1" si="114">EZ12-FB12</f>
        <v>0</v>
      </c>
      <c r="FB12" s="113">
        <f t="shared" ref="FB12:FB43" ca="1" si="115">ROUND(SUM(CF12,CJ12,CN12,CR12,CV12,CZ12,DD12,DH12,DL12,DP12,DT12,DX12,EB12,EF12,EJ12,EN12,ER12,EV12)/F12,3)</f>
        <v>0</v>
      </c>
      <c r="FC12" s="114">
        <f t="shared" ref="FC12:FC43" ca="1" si="116">ROUND(SUM(CG12,CK12,CO12,CS12,CW12,DA12,DE12,DI12,DM12,DQ12,DU12,DY12,EC12,EG12,EK12,EO12,ES12,EW12)/F12,3)</f>
        <v>0</v>
      </c>
      <c r="FD12" s="115">
        <f t="shared" ref="FD12:FD43" ca="1" si="117">IF(ISERROR(FC12/EZ12),0,FC12/EZ12)</f>
        <v>0</v>
      </c>
      <c r="FE12" s="116">
        <f t="shared" ref="FE12:FE43" ca="1" si="118">FB12*F12</f>
        <v>0</v>
      </c>
      <c r="FF12" s="117">
        <f t="shared" ref="FF12:FF43" ca="1" si="119">FC12*F12</f>
        <v>0</v>
      </c>
      <c r="FG12" s="71">
        <f t="shared" ref="FG12:FG43" si="120">EX12</f>
        <v>0</v>
      </c>
      <c r="FH12" s="530">
        <f t="shared" ref="FH12:FH43" ca="1" si="121">(EY12+FG12)/F12</f>
        <v>0</v>
      </c>
      <c r="FI12" s="922"/>
      <c r="FJ12" s="922"/>
      <c r="FK12" s="922"/>
      <c r="FM12" s="421" t="str">
        <f t="shared" ref="FM12:FM75" si="122">B12</f>
        <v>B01-002_StrsRaccBbrd</v>
      </c>
      <c r="FN12" s="422" t="str">
        <f t="shared" ref="FN12:FN75" ca="1" si="123">G12</f>
        <v>Stairwell</v>
      </c>
      <c r="FO12" s="423">
        <f ca="1">IFERROR(ROUNDDOWN(SUMIF($H12:$CC12,FO$11,$CD12:$EX12)/FO$10,0),0)</f>
        <v>0</v>
      </c>
      <c r="FP12" s="423">
        <f t="shared" ref="FP12:GE27" ca="1" si="124">IFERROR(ROUNDDOWN(SUMIF($H12:$CC12,FP$11,$CD12:$EX12)/FP$10,0),0)</f>
        <v>0</v>
      </c>
      <c r="FQ12" s="423">
        <f t="shared" ca="1" si="124"/>
        <v>0</v>
      </c>
      <c r="FR12" s="423">
        <f t="shared" ca="1" si="124"/>
        <v>0</v>
      </c>
      <c r="FS12" s="423">
        <f t="shared" ca="1" si="124"/>
        <v>0</v>
      </c>
      <c r="FT12" s="423">
        <f t="shared" ca="1" si="124"/>
        <v>0</v>
      </c>
      <c r="FU12" s="423">
        <f t="shared" ca="1" si="124"/>
        <v>0</v>
      </c>
      <c r="FV12" s="423">
        <f t="shared" ca="1" si="124"/>
        <v>0</v>
      </c>
      <c r="FW12" s="423">
        <f t="shared" ca="1" si="124"/>
        <v>0</v>
      </c>
      <c r="FX12" s="423">
        <f t="shared" ca="1" si="124"/>
        <v>0</v>
      </c>
      <c r="FY12" s="423">
        <f t="shared" ca="1" si="124"/>
        <v>0</v>
      </c>
      <c r="FZ12" s="423">
        <f t="shared" ca="1" si="124"/>
        <v>0</v>
      </c>
      <c r="GA12" s="423">
        <f t="shared" ca="1" si="124"/>
        <v>0</v>
      </c>
      <c r="GB12" s="423">
        <f t="shared" ca="1" si="124"/>
        <v>0</v>
      </c>
      <c r="GC12" s="423">
        <f t="shared" ca="1" si="124"/>
        <v>0</v>
      </c>
      <c r="GD12" s="423">
        <f t="shared" ca="1" si="124"/>
        <v>0</v>
      </c>
      <c r="GE12" s="423">
        <f t="shared" ca="1" si="124"/>
        <v>0</v>
      </c>
      <c r="GF12" s="423">
        <f t="shared" ref="GF12:GU27" ca="1" si="125">IFERROR(ROUNDDOWN(SUMIF($H12:$CC12,GF$11,$CD12:$EX12)/GF$10,0),0)</f>
        <v>0</v>
      </c>
      <c r="GG12" s="423">
        <f t="shared" ca="1" si="125"/>
        <v>0</v>
      </c>
      <c r="GH12" s="423">
        <f t="shared" ca="1" si="125"/>
        <v>0</v>
      </c>
      <c r="GI12" s="423">
        <f t="shared" ca="1" si="125"/>
        <v>0</v>
      </c>
      <c r="GJ12" s="423">
        <f t="shared" ca="1" si="125"/>
        <v>0</v>
      </c>
      <c r="GK12" s="423">
        <f t="shared" ca="1" si="125"/>
        <v>0</v>
      </c>
      <c r="GL12" s="423">
        <f t="shared" ca="1" si="125"/>
        <v>0</v>
      </c>
      <c r="GM12" s="423">
        <f t="shared" ca="1" si="125"/>
        <v>0</v>
      </c>
      <c r="GN12" s="423">
        <f t="shared" ca="1" si="125"/>
        <v>0</v>
      </c>
      <c r="GO12" s="423">
        <f t="shared" ca="1" si="125"/>
        <v>0</v>
      </c>
      <c r="GP12" s="423">
        <f t="shared" ca="1" si="125"/>
        <v>0</v>
      </c>
      <c r="GQ12" s="423">
        <f t="shared" ca="1" si="125"/>
        <v>0</v>
      </c>
      <c r="GR12" s="423">
        <f t="shared" ca="1" si="125"/>
        <v>0</v>
      </c>
      <c r="GS12" s="423">
        <f t="shared" ca="1" si="125"/>
        <v>0</v>
      </c>
      <c r="GT12" s="423">
        <f t="shared" ca="1" si="125"/>
        <v>0</v>
      </c>
      <c r="GU12" s="423">
        <f t="shared" ca="1" si="125"/>
        <v>0</v>
      </c>
      <c r="GV12" s="423">
        <f t="shared" ref="GV12:HK27" ca="1" si="126">IFERROR(ROUNDDOWN(SUMIF($H12:$CC12,GV$11,$CD12:$EX12)/GV$10,0),0)</f>
        <v>0</v>
      </c>
      <c r="GW12" s="423">
        <f t="shared" ca="1" si="126"/>
        <v>0</v>
      </c>
      <c r="GX12" s="423">
        <f t="shared" ca="1" si="126"/>
        <v>0</v>
      </c>
      <c r="GY12" s="423">
        <f t="shared" ca="1" si="126"/>
        <v>0</v>
      </c>
      <c r="GZ12" s="423">
        <f t="shared" ca="1" si="126"/>
        <v>0</v>
      </c>
      <c r="HA12" s="423">
        <f t="shared" ca="1" si="126"/>
        <v>0</v>
      </c>
      <c r="HB12" s="423">
        <f t="shared" ca="1" si="126"/>
        <v>0</v>
      </c>
      <c r="HC12" s="423">
        <f t="shared" ca="1" si="126"/>
        <v>0</v>
      </c>
      <c r="HD12" s="423">
        <f t="shared" ca="1" si="126"/>
        <v>0</v>
      </c>
      <c r="HE12" s="423">
        <f t="shared" ca="1" si="126"/>
        <v>0</v>
      </c>
      <c r="HF12" s="423">
        <f t="shared" ca="1" si="126"/>
        <v>0</v>
      </c>
      <c r="HG12" s="423">
        <f t="shared" ca="1" si="126"/>
        <v>0</v>
      </c>
      <c r="HH12" s="423">
        <f t="shared" ca="1" si="126"/>
        <v>0</v>
      </c>
      <c r="HI12" s="423">
        <f t="shared" ca="1" si="126"/>
        <v>0</v>
      </c>
      <c r="HJ12" s="423">
        <f t="shared" ca="1" si="126"/>
        <v>0</v>
      </c>
      <c r="HK12" s="423">
        <f t="shared" ca="1" si="126"/>
        <v>0</v>
      </c>
      <c r="HL12" s="423">
        <f t="shared" ref="HL12:HT27" ca="1" si="127">IFERROR(ROUNDDOWN(SUMIF($H12:$CC12,HL$11,$CD12:$EX12)/HL$10,0),0)</f>
        <v>0</v>
      </c>
      <c r="HM12" s="423">
        <f t="shared" ca="1" si="127"/>
        <v>0</v>
      </c>
      <c r="HN12" s="423">
        <f t="shared" ca="1" si="127"/>
        <v>0</v>
      </c>
      <c r="HO12" s="423">
        <f t="shared" ca="1" si="127"/>
        <v>0</v>
      </c>
      <c r="HP12" s="423">
        <f t="shared" ca="1" si="127"/>
        <v>0</v>
      </c>
      <c r="HQ12" s="423">
        <f t="shared" ca="1" si="127"/>
        <v>0</v>
      </c>
      <c r="HR12" s="423">
        <f t="shared" ca="1" si="127"/>
        <v>0</v>
      </c>
      <c r="HS12" s="423">
        <f t="shared" ca="1" si="127"/>
        <v>0</v>
      </c>
      <c r="HT12" s="423">
        <f t="shared" ca="1" si="127"/>
        <v>0</v>
      </c>
    </row>
    <row r="13" spans="1:230" ht="11.25" customHeight="1" x14ac:dyDescent="0.2">
      <c r="A13" s="62">
        <f t="shared" ref="A13:A76" si="128">A12+1</f>
        <v>2</v>
      </c>
      <c r="B13" s="60" t="str">
        <f>Spaces_Sum!C58</f>
        <v>B01-003_MechRaccBbrd</v>
      </c>
      <c r="C13" s="62" t="str">
        <f>Spaces_Sum!D58</f>
        <v>B01</v>
      </c>
      <c r="D13" s="62" t="str">
        <f ca="1">Spaces_Sum!I58</f>
        <v>DirectlyConditioned</v>
      </c>
      <c r="F13" s="110">
        <f ca="1">Spaces_Sum!M58</f>
        <v>1031.7492</v>
      </c>
      <c r="G13" s="110" t="str">
        <f ca="1">Spaces_Sum!J58</f>
        <v>Electrical/MechanicaI Room</v>
      </c>
      <c r="H13" s="532"/>
      <c r="I13" s="185"/>
      <c r="J13" s="185"/>
      <c r="K13" s="186"/>
      <c r="L13" s="187"/>
      <c r="M13" s="188"/>
      <c r="N13" s="189"/>
      <c r="O13" s="186"/>
      <c r="P13" s="187"/>
      <c r="Q13" s="188"/>
      <c r="R13" s="189"/>
      <c r="S13" s="186"/>
      <c r="T13" s="187"/>
      <c r="U13" s="188"/>
      <c r="V13" s="189"/>
      <c r="W13" s="186"/>
      <c r="X13" s="187"/>
      <c r="Y13" s="188"/>
      <c r="Z13" s="189"/>
      <c r="AA13" s="186"/>
      <c r="AB13" s="187"/>
      <c r="AC13" s="188"/>
      <c r="AD13" s="189"/>
      <c r="AE13" s="186"/>
      <c r="AF13" s="187"/>
      <c r="AG13" s="188"/>
      <c r="AH13" s="189"/>
      <c r="AI13" s="186"/>
      <c r="AJ13" s="187"/>
      <c r="AK13" s="188"/>
      <c r="AL13" s="189"/>
      <c r="AM13" s="186"/>
      <c r="AN13" s="187"/>
      <c r="AO13" s="188"/>
      <c r="AP13" s="189"/>
      <c r="AQ13" s="186"/>
      <c r="AR13" s="187"/>
      <c r="AS13" s="188"/>
      <c r="AT13" s="189"/>
      <c r="AU13" s="186"/>
      <c r="AV13" s="187"/>
      <c r="AW13" s="188"/>
      <c r="AX13" s="189"/>
      <c r="AY13" s="186"/>
      <c r="AZ13" s="187"/>
      <c r="BA13" s="188"/>
      <c r="BB13" s="189"/>
      <c r="BC13" s="186"/>
      <c r="BD13" s="187"/>
      <c r="BE13" s="188"/>
      <c r="BF13" s="189"/>
      <c r="BG13" s="186"/>
      <c r="BH13" s="187"/>
      <c r="BI13" s="188"/>
      <c r="BJ13" s="189"/>
      <c r="BK13" s="186"/>
      <c r="BL13" s="187"/>
      <c r="BM13" s="188"/>
      <c r="BN13" s="189"/>
      <c r="BO13" s="186"/>
      <c r="BP13" s="187"/>
      <c r="BQ13" s="188"/>
      <c r="BR13" s="189"/>
      <c r="BS13" s="186"/>
      <c r="BT13" s="187"/>
      <c r="BU13" s="188"/>
      <c r="BV13" s="189"/>
      <c r="BW13" s="186"/>
      <c r="BX13" s="187"/>
      <c r="BY13" s="188"/>
      <c r="BZ13" s="189"/>
      <c r="CA13" s="186"/>
      <c r="CB13" s="190"/>
      <c r="CC13" s="190"/>
      <c r="CD13" s="82">
        <f t="shared" si="39"/>
        <v>0</v>
      </c>
      <c r="CE13" s="82">
        <f t="shared" si="40"/>
        <v>0</v>
      </c>
      <c r="CF13" s="82">
        <f t="shared" si="41"/>
        <v>0</v>
      </c>
      <c r="CG13" s="82">
        <f t="shared" si="42"/>
        <v>0</v>
      </c>
      <c r="CH13" s="82">
        <f t="shared" si="43"/>
        <v>0</v>
      </c>
      <c r="CI13" s="82">
        <f t="shared" si="44"/>
        <v>0</v>
      </c>
      <c r="CJ13" s="82">
        <f t="shared" si="45"/>
        <v>0</v>
      </c>
      <c r="CK13" s="82">
        <f t="shared" si="46"/>
        <v>0</v>
      </c>
      <c r="CL13" s="82">
        <f t="shared" si="47"/>
        <v>0</v>
      </c>
      <c r="CM13" s="82">
        <f t="shared" si="48"/>
        <v>0</v>
      </c>
      <c r="CN13" s="82">
        <f t="shared" si="49"/>
        <v>0</v>
      </c>
      <c r="CO13" s="82">
        <f t="shared" si="50"/>
        <v>0</v>
      </c>
      <c r="CP13" s="82">
        <f t="shared" si="51"/>
        <v>0</v>
      </c>
      <c r="CQ13" s="82">
        <f t="shared" si="52"/>
        <v>0</v>
      </c>
      <c r="CR13" s="82">
        <f t="shared" si="53"/>
        <v>0</v>
      </c>
      <c r="CS13" s="82">
        <f t="shared" si="54"/>
        <v>0</v>
      </c>
      <c r="CT13" s="82">
        <f t="shared" si="55"/>
        <v>0</v>
      </c>
      <c r="CU13" s="82">
        <f t="shared" si="56"/>
        <v>0</v>
      </c>
      <c r="CV13" s="82">
        <f t="shared" si="57"/>
        <v>0</v>
      </c>
      <c r="CW13" s="82">
        <f t="shared" si="58"/>
        <v>0</v>
      </c>
      <c r="CX13" s="82">
        <f t="shared" si="59"/>
        <v>0</v>
      </c>
      <c r="CY13" s="82">
        <f t="shared" si="60"/>
        <v>0</v>
      </c>
      <c r="CZ13" s="82">
        <f t="shared" si="61"/>
        <v>0</v>
      </c>
      <c r="DA13" s="82">
        <f t="shared" si="62"/>
        <v>0</v>
      </c>
      <c r="DB13" s="82">
        <f t="shared" si="63"/>
        <v>0</v>
      </c>
      <c r="DC13" s="82">
        <f t="shared" si="64"/>
        <v>0</v>
      </c>
      <c r="DD13" s="82">
        <f t="shared" si="65"/>
        <v>0</v>
      </c>
      <c r="DE13" s="82">
        <f t="shared" si="66"/>
        <v>0</v>
      </c>
      <c r="DF13" s="82">
        <f t="shared" si="67"/>
        <v>0</v>
      </c>
      <c r="DG13" s="82">
        <f t="shared" si="68"/>
        <v>0</v>
      </c>
      <c r="DH13" s="82">
        <f t="shared" si="69"/>
        <v>0</v>
      </c>
      <c r="DI13" s="82">
        <f t="shared" si="70"/>
        <v>0</v>
      </c>
      <c r="DJ13" s="82">
        <f t="shared" si="71"/>
        <v>0</v>
      </c>
      <c r="DK13" s="82">
        <f t="shared" si="72"/>
        <v>0</v>
      </c>
      <c r="DL13" s="82">
        <f t="shared" si="73"/>
        <v>0</v>
      </c>
      <c r="DM13" s="82">
        <f t="shared" si="74"/>
        <v>0</v>
      </c>
      <c r="DN13" s="82">
        <f t="shared" si="75"/>
        <v>0</v>
      </c>
      <c r="DO13" s="82">
        <f t="shared" si="76"/>
        <v>0</v>
      </c>
      <c r="DP13" s="82">
        <f t="shared" si="77"/>
        <v>0</v>
      </c>
      <c r="DQ13" s="82">
        <f t="shared" si="78"/>
        <v>0</v>
      </c>
      <c r="DR13" s="82">
        <f t="shared" si="79"/>
        <v>0</v>
      </c>
      <c r="DS13" s="82">
        <f t="shared" si="80"/>
        <v>0</v>
      </c>
      <c r="DT13" s="82">
        <f t="shared" si="81"/>
        <v>0</v>
      </c>
      <c r="DU13" s="82">
        <f t="shared" si="82"/>
        <v>0</v>
      </c>
      <c r="DV13" s="82">
        <f t="shared" si="83"/>
        <v>0</v>
      </c>
      <c r="DW13" s="82">
        <f t="shared" si="84"/>
        <v>0</v>
      </c>
      <c r="DX13" s="82">
        <f t="shared" si="85"/>
        <v>0</v>
      </c>
      <c r="DY13" s="82">
        <f t="shared" si="86"/>
        <v>0</v>
      </c>
      <c r="DZ13" s="82">
        <f t="shared" si="87"/>
        <v>0</v>
      </c>
      <c r="EA13" s="82">
        <f t="shared" si="88"/>
        <v>0</v>
      </c>
      <c r="EB13" s="82">
        <f t="shared" si="89"/>
        <v>0</v>
      </c>
      <c r="EC13" s="82">
        <f t="shared" si="90"/>
        <v>0</v>
      </c>
      <c r="ED13" s="82">
        <f t="shared" si="91"/>
        <v>0</v>
      </c>
      <c r="EE13" s="82">
        <f t="shared" si="92"/>
        <v>0</v>
      </c>
      <c r="EF13" s="82">
        <f t="shared" si="93"/>
        <v>0</v>
      </c>
      <c r="EG13" s="82">
        <f t="shared" si="94"/>
        <v>0</v>
      </c>
      <c r="EH13" s="82">
        <f t="shared" si="95"/>
        <v>0</v>
      </c>
      <c r="EI13" s="82">
        <f t="shared" si="96"/>
        <v>0</v>
      </c>
      <c r="EJ13" s="82">
        <f t="shared" si="97"/>
        <v>0</v>
      </c>
      <c r="EK13" s="82">
        <f t="shared" si="98"/>
        <v>0</v>
      </c>
      <c r="EL13" s="82">
        <f t="shared" si="99"/>
        <v>0</v>
      </c>
      <c r="EM13" s="82">
        <f t="shared" si="100"/>
        <v>0</v>
      </c>
      <c r="EN13" s="82">
        <f t="shared" si="101"/>
        <v>0</v>
      </c>
      <c r="EO13" s="82">
        <f t="shared" si="102"/>
        <v>0</v>
      </c>
      <c r="EP13" s="82">
        <f t="shared" si="103"/>
        <v>0</v>
      </c>
      <c r="EQ13" s="82">
        <f t="shared" si="104"/>
        <v>0</v>
      </c>
      <c r="ER13" s="82">
        <f t="shared" si="105"/>
        <v>0</v>
      </c>
      <c r="ES13" s="82">
        <f t="shared" si="106"/>
        <v>0</v>
      </c>
      <c r="ET13" s="82">
        <f t="shared" si="107"/>
        <v>0</v>
      </c>
      <c r="EU13" s="82">
        <f t="shared" si="108"/>
        <v>0</v>
      </c>
      <c r="EV13" s="82">
        <f t="shared" si="109"/>
        <v>0</v>
      </c>
      <c r="EW13" s="82">
        <f t="shared" si="110"/>
        <v>0</v>
      </c>
      <c r="EX13" s="82">
        <f t="shared" si="111"/>
        <v>0</v>
      </c>
      <c r="EY13" s="111">
        <f t="shared" si="112"/>
        <v>0</v>
      </c>
      <c r="EZ13" s="143">
        <f t="shared" ca="1" si="113"/>
        <v>0</v>
      </c>
      <c r="FA13" s="112">
        <f t="shared" ca="1" si="114"/>
        <v>0</v>
      </c>
      <c r="FB13" s="113">
        <f t="shared" ca="1" si="115"/>
        <v>0</v>
      </c>
      <c r="FC13" s="114">
        <f t="shared" ca="1" si="116"/>
        <v>0</v>
      </c>
      <c r="FD13" s="115">
        <f t="shared" ca="1" si="117"/>
        <v>0</v>
      </c>
      <c r="FE13" s="116">
        <f t="shared" ca="1" si="118"/>
        <v>0</v>
      </c>
      <c r="FF13" s="117">
        <f t="shared" ca="1" si="119"/>
        <v>0</v>
      </c>
      <c r="FG13" s="71">
        <f t="shared" si="120"/>
        <v>0</v>
      </c>
      <c r="FH13" s="530">
        <f t="shared" ca="1" si="121"/>
        <v>0</v>
      </c>
      <c r="FI13" s="922">
        <f ca="1">0.65*FB13</f>
        <v>0</v>
      </c>
      <c r="FJ13" s="922">
        <f ca="1">FB13-EZ13</f>
        <v>0</v>
      </c>
      <c r="FK13" s="922">
        <f ca="1">SUM(FI13:FJ13)</f>
        <v>0</v>
      </c>
      <c r="FM13" s="421" t="str">
        <f t="shared" si="122"/>
        <v>B01-003_MechRaccBbrd</v>
      </c>
      <c r="FN13" s="422" t="str">
        <f t="shared" ca="1" si="123"/>
        <v>Electrical/MechanicaI Room</v>
      </c>
      <c r="FO13" s="423">
        <f t="shared" ref="FO13:GD28" ca="1" si="129">IFERROR(ROUNDDOWN(SUMIF($H13:$CC13,FO$11,$CD13:$EX13)/FO$10,0),0)</f>
        <v>0</v>
      </c>
      <c r="FP13" s="423">
        <f t="shared" ca="1" si="124"/>
        <v>0</v>
      </c>
      <c r="FQ13" s="423">
        <f t="shared" ca="1" si="124"/>
        <v>0</v>
      </c>
      <c r="FR13" s="423">
        <f t="shared" ca="1" si="124"/>
        <v>0</v>
      </c>
      <c r="FS13" s="423">
        <f t="shared" ca="1" si="124"/>
        <v>0</v>
      </c>
      <c r="FT13" s="423">
        <f t="shared" ca="1" si="124"/>
        <v>0</v>
      </c>
      <c r="FU13" s="423">
        <f t="shared" ca="1" si="124"/>
        <v>0</v>
      </c>
      <c r="FV13" s="423">
        <f t="shared" ca="1" si="124"/>
        <v>0</v>
      </c>
      <c r="FW13" s="423">
        <f t="shared" ca="1" si="124"/>
        <v>0</v>
      </c>
      <c r="FX13" s="423">
        <f t="shared" ca="1" si="124"/>
        <v>0</v>
      </c>
      <c r="FY13" s="423">
        <f t="shared" ca="1" si="124"/>
        <v>0</v>
      </c>
      <c r="FZ13" s="423">
        <f t="shared" ca="1" si="124"/>
        <v>0</v>
      </c>
      <c r="GA13" s="423">
        <f t="shared" ca="1" si="124"/>
        <v>0</v>
      </c>
      <c r="GB13" s="423">
        <f t="shared" ca="1" si="124"/>
        <v>0</v>
      </c>
      <c r="GC13" s="423">
        <f t="shared" ca="1" si="124"/>
        <v>0</v>
      </c>
      <c r="GD13" s="423">
        <f t="shared" ca="1" si="124"/>
        <v>0</v>
      </c>
      <c r="GE13" s="423">
        <f t="shared" ca="1" si="124"/>
        <v>0</v>
      </c>
      <c r="GF13" s="423">
        <f t="shared" ca="1" si="125"/>
        <v>0</v>
      </c>
      <c r="GG13" s="423">
        <f t="shared" ca="1" si="125"/>
        <v>0</v>
      </c>
      <c r="GH13" s="423">
        <f t="shared" ca="1" si="125"/>
        <v>0</v>
      </c>
      <c r="GI13" s="423">
        <f t="shared" ca="1" si="125"/>
        <v>0</v>
      </c>
      <c r="GJ13" s="423">
        <f t="shared" ca="1" si="125"/>
        <v>0</v>
      </c>
      <c r="GK13" s="423">
        <f t="shared" ca="1" si="125"/>
        <v>0</v>
      </c>
      <c r="GL13" s="423">
        <f t="shared" ca="1" si="125"/>
        <v>0</v>
      </c>
      <c r="GM13" s="423">
        <f t="shared" ca="1" si="125"/>
        <v>0</v>
      </c>
      <c r="GN13" s="423">
        <f t="shared" ca="1" si="125"/>
        <v>0</v>
      </c>
      <c r="GO13" s="423">
        <f t="shared" ca="1" si="125"/>
        <v>0</v>
      </c>
      <c r="GP13" s="423">
        <f t="shared" ca="1" si="125"/>
        <v>0</v>
      </c>
      <c r="GQ13" s="423">
        <f t="shared" ca="1" si="125"/>
        <v>0</v>
      </c>
      <c r="GR13" s="423">
        <f t="shared" ca="1" si="125"/>
        <v>0</v>
      </c>
      <c r="GS13" s="423">
        <f t="shared" ca="1" si="125"/>
        <v>0</v>
      </c>
      <c r="GT13" s="423">
        <f t="shared" ca="1" si="125"/>
        <v>0</v>
      </c>
      <c r="GU13" s="423">
        <f t="shared" ca="1" si="125"/>
        <v>0</v>
      </c>
      <c r="GV13" s="423">
        <f t="shared" ca="1" si="126"/>
        <v>0</v>
      </c>
      <c r="GW13" s="423">
        <f t="shared" ca="1" si="126"/>
        <v>0</v>
      </c>
      <c r="GX13" s="423">
        <f t="shared" ca="1" si="126"/>
        <v>0</v>
      </c>
      <c r="GY13" s="423">
        <f t="shared" ca="1" si="126"/>
        <v>0</v>
      </c>
      <c r="GZ13" s="423">
        <f t="shared" ca="1" si="126"/>
        <v>0</v>
      </c>
      <c r="HA13" s="423">
        <f t="shared" ca="1" si="126"/>
        <v>0</v>
      </c>
      <c r="HB13" s="423">
        <f t="shared" ca="1" si="126"/>
        <v>0</v>
      </c>
      <c r="HC13" s="423">
        <f t="shared" ca="1" si="126"/>
        <v>0</v>
      </c>
      <c r="HD13" s="423">
        <f t="shared" ca="1" si="126"/>
        <v>0</v>
      </c>
      <c r="HE13" s="423">
        <f t="shared" ca="1" si="126"/>
        <v>0</v>
      </c>
      <c r="HF13" s="423">
        <f t="shared" ca="1" si="126"/>
        <v>0</v>
      </c>
      <c r="HG13" s="423">
        <f t="shared" ca="1" si="126"/>
        <v>0</v>
      </c>
      <c r="HH13" s="423">
        <f t="shared" ca="1" si="126"/>
        <v>0</v>
      </c>
      <c r="HI13" s="423">
        <f t="shared" ca="1" si="126"/>
        <v>0</v>
      </c>
      <c r="HJ13" s="423">
        <f t="shared" ca="1" si="126"/>
        <v>0</v>
      </c>
      <c r="HK13" s="423">
        <f t="shared" ca="1" si="126"/>
        <v>0</v>
      </c>
      <c r="HL13" s="423">
        <f t="shared" ca="1" si="127"/>
        <v>0</v>
      </c>
      <c r="HM13" s="423">
        <f t="shared" ca="1" si="127"/>
        <v>0</v>
      </c>
      <c r="HN13" s="423">
        <f t="shared" ca="1" si="127"/>
        <v>0</v>
      </c>
      <c r="HO13" s="423">
        <f t="shared" ca="1" si="127"/>
        <v>0</v>
      </c>
      <c r="HP13" s="423">
        <f t="shared" ca="1" si="127"/>
        <v>0</v>
      </c>
      <c r="HQ13" s="423">
        <f t="shared" ca="1" si="127"/>
        <v>0</v>
      </c>
      <c r="HR13" s="423">
        <f t="shared" ca="1" si="127"/>
        <v>0</v>
      </c>
      <c r="HS13" s="423">
        <f t="shared" ca="1" si="127"/>
        <v>0</v>
      </c>
      <c r="HT13" s="423">
        <f t="shared" ca="1" si="127"/>
        <v>0</v>
      </c>
    </row>
    <row r="14" spans="1:230" ht="11.25" customHeight="1" x14ac:dyDescent="0.2">
      <c r="A14" s="62">
        <f t="shared" si="128"/>
        <v>3</v>
      </c>
      <c r="B14" s="60" t="str">
        <f>Spaces_Sum!C59</f>
        <v>L01-101_MprpRaccVrfsHrv1</v>
      </c>
      <c r="C14" s="62" t="str">
        <f>Spaces_Sum!D59</f>
        <v>L01</v>
      </c>
      <c r="D14" s="62" t="str">
        <f ca="1">Spaces_Sum!I59</f>
        <v>DirectlyConditioned</v>
      </c>
      <c r="F14" s="110">
        <f ca="1">Spaces_Sum!M59</f>
        <v>2056.806</v>
      </c>
      <c r="G14" s="110" t="str">
        <f ca="1">Spaces_Sum!J59</f>
        <v>Conference/Meeting/Multipurpose Room</v>
      </c>
      <c r="H14" s="532"/>
      <c r="I14" s="185"/>
      <c r="J14" s="185"/>
      <c r="K14" s="186"/>
      <c r="L14" s="187"/>
      <c r="M14" s="188"/>
      <c r="N14" s="189"/>
      <c r="O14" s="186"/>
      <c r="P14" s="187"/>
      <c r="Q14" s="188"/>
      <c r="R14" s="189"/>
      <c r="S14" s="186"/>
      <c r="T14" s="187"/>
      <c r="U14" s="188"/>
      <c r="V14" s="189"/>
      <c r="W14" s="186"/>
      <c r="X14" s="187"/>
      <c r="Y14" s="188"/>
      <c r="Z14" s="189"/>
      <c r="AA14" s="186"/>
      <c r="AB14" s="187"/>
      <c r="AC14" s="188"/>
      <c r="AD14" s="189"/>
      <c r="AE14" s="186"/>
      <c r="AF14" s="187"/>
      <c r="AG14" s="188"/>
      <c r="AH14" s="189"/>
      <c r="AI14" s="186"/>
      <c r="AJ14" s="187"/>
      <c r="AK14" s="188"/>
      <c r="AL14" s="189"/>
      <c r="AM14" s="186"/>
      <c r="AN14" s="187"/>
      <c r="AO14" s="188"/>
      <c r="AP14" s="189"/>
      <c r="AQ14" s="186"/>
      <c r="AR14" s="187"/>
      <c r="AS14" s="188"/>
      <c r="AT14" s="189"/>
      <c r="AU14" s="186"/>
      <c r="AV14" s="187"/>
      <c r="AW14" s="188"/>
      <c r="AX14" s="189"/>
      <c r="AY14" s="186"/>
      <c r="AZ14" s="187"/>
      <c r="BA14" s="188"/>
      <c r="BB14" s="189"/>
      <c r="BC14" s="186"/>
      <c r="BD14" s="187"/>
      <c r="BE14" s="188"/>
      <c r="BF14" s="189"/>
      <c r="BG14" s="186"/>
      <c r="BH14" s="187"/>
      <c r="BI14" s="188"/>
      <c r="BJ14" s="189"/>
      <c r="BK14" s="186"/>
      <c r="BL14" s="187"/>
      <c r="BM14" s="188"/>
      <c r="BN14" s="189"/>
      <c r="BO14" s="186"/>
      <c r="BP14" s="187"/>
      <c r="BQ14" s="188"/>
      <c r="BR14" s="189"/>
      <c r="BS14" s="186"/>
      <c r="BT14" s="187"/>
      <c r="BU14" s="188"/>
      <c r="BV14" s="189"/>
      <c r="BW14" s="186"/>
      <c r="BX14" s="187"/>
      <c r="BY14" s="188"/>
      <c r="BZ14" s="189"/>
      <c r="CA14" s="186"/>
      <c r="CB14" s="190"/>
      <c r="CC14" s="190"/>
      <c r="CD14" s="82">
        <f t="shared" si="39"/>
        <v>0</v>
      </c>
      <c r="CE14" s="82">
        <f t="shared" si="40"/>
        <v>0</v>
      </c>
      <c r="CF14" s="82">
        <f t="shared" si="41"/>
        <v>0</v>
      </c>
      <c r="CG14" s="82">
        <f t="shared" si="42"/>
        <v>0</v>
      </c>
      <c r="CH14" s="82">
        <f t="shared" si="43"/>
        <v>0</v>
      </c>
      <c r="CI14" s="82">
        <f t="shared" si="44"/>
        <v>0</v>
      </c>
      <c r="CJ14" s="82">
        <f t="shared" si="45"/>
        <v>0</v>
      </c>
      <c r="CK14" s="82">
        <f t="shared" si="46"/>
        <v>0</v>
      </c>
      <c r="CL14" s="82">
        <f t="shared" si="47"/>
        <v>0</v>
      </c>
      <c r="CM14" s="82">
        <f t="shared" si="48"/>
        <v>0</v>
      </c>
      <c r="CN14" s="82">
        <f t="shared" si="49"/>
        <v>0</v>
      </c>
      <c r="CO14" s="82">
        <f t="shared" si="50"/>
        <v>0</v>
      </c>
      <c r="CP14" s="82">
        <f t="shared" si="51"/>
        <v>0</v>
      </c>
      <c r="CQ14" s="82">
        <f t="shared" si="52"/>
        <v>0</v>
      </c>
      <c r="CR14" s="82">
        <f t="shared" si="53"/>
        <v>0</v>
      </c>
      <c r="CS14" s="82">
        <f t="shared" si="54"/>
        <v>0</v>
      </c>
      <c r="CT14" s="82">
        <f t="shared" si="55"/>
        <v>0</v>
      </c>
      <c r="CU14" s="82">
        <f t="shared" si="56"/>
        <v>0</v>
      </c>
      <c r="CV14" s="82">
        <f t="shared" si="57"/>
        <v>0</v>
      </c>
      <c r="CW14" s="82">
        <f t="shared" si="58"/>
        <v>0</v>
      </c>
      <c r="CX14" s="82">
        <f t="shared" si="59"/>
        <v>0</v>
      </c>
      <c r="CY14" s="82">
        <f t="shared" si="60"/>
        <v>0</v>
      </c>
      <c r="CZ14" s="82">
        <f t="shared" si="61"/>
        <v>0</v>
      </c>
      <c r="DA14" s="82">
        <f t="shared" si="62"/>
        <v>0</v>
      </c>
      <c r="DB14" s="82">
        <f t="shared" si="63"/>
        <v>0</v>
      </c>
      <c r="DC14" s="82">
        <f t="shared" si="64"/>
        <v>0</v>
      </c>
      <c r="DD14" s="82">
        <f t="shared" si="65"/>
        <v>0</v>
      </c>
      <c r="DE14" s="82">
        <f t="shared" si="66"/>
        <v>0</v>
      </c>
      <c r="DF14" s="82">
        <f t="shared" si="67"/>
        <v>0</v>
      </c>
      <c r="DG14" s="82">
        <f t="shared" si="68"/>
        <v>0</v>
      </c>
      <c r="DH14" s="82">
        <f t="shared" si="69"/>
        <v>0</v>
      </c>
      <c r="DI14" s="82">
        <f t="shared" si="70"/>
        <v>0</v>
      </c>
      <c r="DJ14" s="82">
        <f t="shared" si="71"/>
        <v>0</v>
      </c>
      <c r="DK14" s="82">
        <f t="shared" si="72"/>
        <v>0</v>
      </c>
      <c r="DL14" s="82">
        <f t="shared" si="73"/>
        <v>0</v>
      </c>
      <c r="DM14" s="82">
        <f t="shared" si="74"/>
        <v>0</v>
      </c>
      <c r="DN14" s="82">
        <f t="shared" si="75"/>
        <v>0</v>
      </c>
      <c r="DO14" s="82">
        <f t="shared" si="76"/>
        <v>0</v>
      </c>
      <c r="DP14" s="82">
        <f t="shared" si="77"/>
        <v>0</v>
      </c>
      <c r="DQ14" s="82">
        <f t="shared" si="78"/>
        <v>0</v>
      </c>
      <c r="DR14" s="82">
        <f t="shared" si="79"/>
        <v>0</v>
      </c>
      <c r="DS14" s="82">
        <f t="shared" si="80"/>
        <v>0</v>
      </c>
      <c r="DT14" s="82">
        <f t="shared" si="81"/>
        <v>0</v>
      </c>
      <c r="DU14" s="82">
        <f t="shared" si="82"/>
        <v>0</v>
      </c>
      <c r="DV14" s="82">
        <f t="shared" si="83"/>
        <v>0</v>
      </c>
      <c r="DW14" s="82">
        <f t="shared" si="84"/>
        <v>0</v>
      </c>
      <c r="DX14" s="82">
        <f t="shared" si="85"/>
        <v>0</v>
      </c>
      <c r="DY14" s="82">
        <f t="shared" si="86"/>
        <v>0</v>
      </c>
      <c r="DZ14" s="82">
        <f t="shared" si="87"/>
        <v>0</v>
      </c>
      <c r="EA14" s="82">
        <f t="shared" si="88"/>
        <v>0</v>
      </c>
      <c r="EB14" s="82">
        <f t="shared" si="89"/>
        <v>0</v>
      </c>
      <c r="EC14" s="82">
        <f t="shared" si="90"/>
        <v>0</v>
      </c>
      <c r="ED14" s="82">
        <f t="shared" si="91"/>
        <v>0</v>
      </c>
      <c r="EE14" s="82">
        <f t="shared" si="92"/>
        <v>0</v>
      </c>
      <c r="EF14" s="82">
        <f t="shared" si="93"/>
        <v>0</v>
      </c>
      <c r="EG14" s="82">
        <f t="shared" si="94"/>
        <v>0</v>
      </c>
      <c r="EH14" s="82">
        <f t="shared" si="95"/>
        <v>0</v>
      </c>
      <c r="EI14" s="82">
        <f t="shared" si="96"/>
        <v>0</v>
      </c>
      <c r="EJ14" s="82">
        <f t="shared" si="97"/>
        <v>0</v>
      </c>
      <c r="EK14" s="82">
        <f t="shared" si="98"/>
        <v>0</v>
      </c>
      <c r="EL14" s="82">
        <f t="shared" si="99"/>
        <v>0</v>
      </c>
      <c r="EM14" s="82">
        <f t="shared" si="100"/>
        <v>0</v>
      </c>
      <c r="EN14" s="82">
        <f t="shared" si="101"/>
        <v>0</v>
      </c>
      <c r="EO14" s="82">
        <f t="shared" si="102"/>
        <v>0</v>
      </c>
      <c r="EP14" s="82">
        <f t="shared" si="103"/>
        <v>0</v>
      </c>
      <c r="EQ14" s="82">
        <f t="shared" si="104"/>
        <v>0</v>
      </c>
      <c r="ER14" s="82">
        <f t="shared" si="105"/>
        <v>0</v>
      </c>
      <c r="ES14" s="82">
        <f t="shared" si="106"/>
        <v>0</v>
      </c>
      <c r="ET14" s="82">
        <f t="shared" si="107"/>
        <v>0</v>
      </c>
      <c r="EU14" s="82">
        <f t="shared" si="108"/>
        <v>0</v>
      </c>
      <c r="EV14" s="82">
        <f t="shared" si="109"/>
        <v>0</v>
      </c>
      <c r="EW14" s="82">
        <f t="shared" si="110"/>
        <v>0</v>
      </c>
      <c r="EX14" s="82">
        <f t="shared" si="111"/>
        <v>0</v>
      </c>
      <c r="EY14" s="111">
        <f t="shared" si="112"/>
        <v>0</v>
      </c>
      <c r="EZ14" s="143">
        <f t="shared" ca="1" si="113"/>
        <v>0</v>
      </c>
      <c r="FA14" s="112">
        <f t="shared" ca="1" si="114"/>
        <v>0</v>
      </c>
      <c r="FB14" s="113">
        <f t="shared" ca="1" si="115"/>
        <v>0</v>
      </c>
      <c r="FC14" s="114">
        <f t="shared" ca="1" si="116"/>
        <v>0</v>
      </c>
      <c r="FD14" s="115">
        <f t="shared" ca="1" si="117"/>
        <v>0</v>
      </c>
      <c r="FE14" s="116">
        <f t="shared" ca="1" si="118"/>
        <v>0</v>
      </c>
      <c r="FF14" s="117">
        <f t="shared" ca="1" si="119"/>
        <v>0</v>
      </c>
      <c r="FG14" s="71">
        <f t="shared" si="120"/>
        <v>0</v>
      </c>
      <c r="FH14" s="530">
        <f t="shared" ca="1" si="121"/>
        <v>0</v>
      </c>
      <c r="FI14" s="72">
        <f ca="1">0.65*FB14</f>
        <v>0</v>
      </c>
      <c r="FJ14" s="72">
        <f ca="1">FA14</f>
        <v>0</v>
      </c>
      <c r="FK14" s="72">
        <f ca="1">SUM(FI14:FJ14)</f>
        <v>0</v>
      </c>
      <c r="FM14" s="421" t="str">
        <f t="shared" si="122"/>
        <v>L01-101_MprpRaccVrfsHrv1</v>
      </c>
      <c r="FN14" s="422" t="str">
        <f t="shared" ca="1" si="123"/>
        <v>Conference/Meeting/Multipurpose Room</v>
      </c>
      <c r="FO14" s="423">
        <f t="shared" ca="1" si="129"/>
        <v>0</v>
      </c>
      <c r="FP14" s="423">
        <f t="shared" ca="1" si="124"/>
        <v>0</v>
      </c>
      <c r="FQ14" s="423">
        <f t="shared" ca="1" si="124"/>
        <v>0</v>
      </c>
      <c r="FR14" s="423">
        <f t="shared" ca="1" si="124"/>
        <v>0</v>
      </c>
      <c r="FS14" s="423">
        <f t="shared" ca="1" si="124"/>
        <v>0</v>
      </c>
      <c r="FT14" s="423">
        <f t="shared" ca="1" si="124"/>
        <v>0</v>
      </c>
      <c r="FU14" s="423">
        <f t="shared" ca="1" si="124"/>
        <v>0</v>
      </c>
      <c r="FV14" s="423">
        <f t="shared" ca="1" si="124"/>
        <v>0</v>
      </c>
      <c r="FW14" s="423">
        <f t="shared" ca="1" si="124"/>
        <v>0</v>
      </c>
      <c r="FX14" s="423">
        <f t="shared" ca="1" si="124"/>
        <v>0</v>
      </c>
      <c r="FY14" s="423">
        <f t="shared" ca="1" si="124"/>
        <v>0</v>
      </c>
      <c r="FZ14" s="423">
        <f t="shared" ca="1" si="124"/>
        <v>0</v>
      </c>
      <c r="GA14" s="423">
        <f t="shared" ca="1" si="124"/>
        <v>0</v>
      </c>
      <c r="GB14" s="423">
        <f t="shared" ca="1" si="124"/>
        <v>0</v>
      </c>
      <c r="GC14" s="423">
        <f t="shared" ca="1" si="124"/>
        <v>0</v>
      </c>
      <c r="GD14" s="423">
        <f t="shared" ca="1" si="124"/>
        <v>0</v>
      </c>
      <c r="GE14" s="423">
        <f t="shared" ca="1" si="124"/>
        <v>0</v>
      </c>
      <c r="GF14" s="423">
        <f t="shared" ca="1" si="125"/>
        <v>0</v>
      </c>
      <c r="GG14" s="423">
        <f t="shared" ca="1" si="125"/>
        <v>0</v>
      </c>
      <c r="GH14" s="423">
        <f t="shared" ca="1" si="125"/>
        <v>0</v>
      </c>
      <c r="GI14" s="423">
        <f t="shared" ca="1" si="125"/>
        <v>0</v>
      </c>
      <c r="GJ14" s="423">
        <f t="shared" ca="1" si="125"/>
        <v>0</v>
      </c>
      <c r="GK14" s="423">
        <f t="shared" ca="1" si="125"/>
        <v>0</v>
      </c>
      <c r="GL14" s="423">
        <f t="shared" ca="1" si="125"/>
        <v>0</v>
      </c>
      <c r="GM14" s="423">
        <f t="shared" ca="1" si="125"/>
        <v>0</v>
      </c>
      <c r="GN14" s="423">
        <f t="shared" ca="1" si="125"/>
        <v>0</v>
      </c>
      <c r="GO14" s="423">
        <f t="shared" ca="1" si="125"/>
        <v>0</v>
      </c>
      <c r="GP14" s="423">
        <f t="shared" ca="1" si="125"/>
        <v>0</v>
      </c>
      <c r="GQ14" s="423">
        <f t="shared" ca="1" si="125"/>
        <v>0</v>
      </c>
      <c r="GR14" s="423">
        <f t="shared" ca="1" si="125"/>
        <v>0</v>
      </c>
      <c r="GS14" s="423">
        <f t="shared" ca="1" si="125"/>
        <v>0</v>
      </c>
      <c r="GT14" s="423">
        <f t="shared" ca="1" si="125"/>
        <v>0</v>
      </c>
      <c r="GU14" s="423">
        <f t="shared" ca="1" si="125"/>
        <v>0</v>
      </c>
      <c r="GV14" s="423">
        <f t="shared" ca="1" si="126"/>
        <v>0</v>
      </c>
      <c r="GW14" s="423">
        <f t="shared" ca="1" si="126"/>
        <v>0</v>
      </c>
      <c r="GX14" s="423">
        <f t="shared" ca="1" si="126"/>
        <v>0</v>
      </c>
      <c r="GY14" s="423">
        <f t="shared" ca="1" si="126"/>
        <v>0</v>
      </c>
      <c r="GZ14" s="423">
        <f t="shared" ca="1" si="126"/>
        <v>0</v>
      </c>
      <c r="HA14" s="423">
        <f t="shared" ca="1" si="126"/>
        <v>0</v>
      </c>
      <c r="HB14" s="423">
        <f t="shared" ca="1" si="126"/>
        <v>0</v>
      </c>
      <c r="HC14" s="423">
        <f t="shared" ca="1" si="126"/>
        <v>0</v>
      </c>
      <c r="HD14" s="423">
        <f t="shared" ca="1" si="126"/>
        <v>0</v>
      </c>
      <c r="HE14" s="423">
        <f t="shared" ca="1" si="126"/>
        <v>0</v>
      </c>
      <c r="HF14" s="423">
        <f t="shared" ca="1" si="126"/>
        <v>0</v>
      </c>
      <c r="HG14" s="423">
        <f t="shared" ca="1" si="126"/>
        <v>0</v>
      </c>
      <c r="HH14" s="423">
        <f t="shared" ca="1" si="126"/>
        <v>0</v>
      </c>
      <c r="HI14" s="423">
        <f t="shared" ca="1" si="126"/>
        <v>0</v>
      </c>
      <c r="HJ14" s="423">
        <f t="shared" ca="1" si="126"/>
        <v>0</v>
      </c>
      <c r="HK14" s="423">
        <f t="shared" ca="1" si="126"/>
        <v>0</v>
      </c>
      <c r="HL14" s="423">
        <f t="shared" ca="1" si="127"/>
        <v>0</v>
      </c>
      <c r="HM14" s="423">
        <f t="shared" ca="1" si="127"/>
        <v>0</v>
      </c>
      <c r="HN14" s="423">
        <f t="shared" ca="1" si="127"/>
        <v>0</v>
      </c>
      <c r="HO14" s="423">
        <f t="shared" ca="1" si="127"/>
        <v>0</v>
      </c>
      <c r="HP14" s="423">
        <f t="shared" ca="1" si="127"/>
        <v>0</v>
      </c>
      <c r="HQ14" s="423">
        <f t="shared" ca="1" si="127"/>
        <v>0</v>
      </c>
      <c r="HR14" s="423">
        <f t="shared" ca="1" si="127"/>
        <v>0</v>
      </c>
      <c r="HS14" s="423">
        <f t="shared" ca="1" si="127"/>
        <v>0</v>
      </c>
      <c r="HT14" s="423">
        <f t="shared" ca="1" si="127"/>
        <v>0</v>
      </c>
    </row>
    <row r="15" spans="1:230" ht="11.25" customHeight="1" x14ac:dyDescent="0.2">
      <c r="A15" s="62">
        <f t="shared" si="128"/>
        <v>4</v>
      </c>
      <c r="B15" s="60" t="str">
        <f>Spaces_Sum!C60</f>
        <v>L01-102_LbbyRaccVrfsHrv1</v>
      </c>
      <c r="C15" s="62" t="str">
        <f>Spaces_Sum!D60</f>
        <v>L01</v>
      </c>
      <c r="D15" s="62" t="str">
        <f ca="1">Spaces_Sum!I60</f>
        <v>DirectlyConditioned</v>
      </c>
      <c r="F15" s="110">
        <f ca="1">Spaces_Sum!M60</f>
        <v>1350.7968000000001</v>
      </c>
      <c r="G15" s="110" t="str">
        <f ca="1">Spaces_Sum!J60</f>
        <v>Lobby - All other</v>
      </c>
      <c r="H15" s="532"/>
      <c r="I15" s="185"/>
      <c r="J15" s="185"/>
      <c r="K15" s="186"/>
      <c r="L15" s="187"/>
      <c r="M15" s="188"/>
      <c r="N15" s="189"/>
      <c r="O15" s="186"/>
      <c r="P15" s="187"/>
      <c r="Q15" s="188"/>
      <c r="R15" s="189"/>
      <c r="S15" s="186"/>
      <c r="T15" s="187"/>
      <c r="U15" s="188"/>
      <c r="V15" s="189"/>
      <c r="W15" s="186"/>
      <c r="X15" s="187"/>
      <c r="Y15" s="188"/>
      <c r="Z15" s="189"/>
      <c r="AA15" s="186"/>
      <c r="AB15" s="187"/>
      <c r="AC15" s="188"/>
      <c r="AD15" s="189"/>
      <c r="AE15" s="186"/>
      <c r="AF15" s="187"/>
      <c r="AG15" s="188"/>
      <c r="AH15" s="189"/>
      <c r="AI15" s="186"/>
      <c r="AJ15" s="187"/>
      <c r="AK15" s="188"/>
      <c r="AL15" s="189"/>
      <c r="AM15" s="186"/>
      <c r="AN15" s="187"/>
      <c r="AO15" s="188"/>
      <c r="AP15" s="189"/>
      <c r="AQ15" s="186"/>
      <c r="AR15" s="187"/>
      <c r="AS15" s="188"/>
      <c r="AT15" s="189"/>
      <c r="AU15" s="186"/>
      <c r="AV15" s="187"/>
      <c r="AW15" s="188"/>
      <c r="AX15" s="189"/>
      <c r="AY15" s="186"/>
      <c r="AZ15" s="187"/>
      <c r="BA15" s="188"/>
      <c r="BB15" s="189"/>
      <c r="BC15" s="186"/>
      <c r="BD15" s="187"/>
      <c r="BE15" s="188"/>
      <c r="BF15" s="189"/>
      <c r="BG15" s="186"/>
      <c r="BH15" s="187"/>
      <c r="BI15" s="188"/>
      <c r="BJ15" s="189"/>
      <c r="BK15" s="186"/>
      <c r="BL15" s="187"/>
      <c r="BM15" s="188"/>
      <c r="BN15" s="189"/>
      <c r="BO15" s="186"/>
      <c r="BP15" s="187"/>
      <c r="BQ15" s="188"/>
      <c r="BR15" s="189"/>
      <c r="BS15" s="186"/>
      <c r="BT15" s="187"/>
      <c r="BU15" s="188"/>
      <c r="BV15" s="189"/>
      <c r="BW15" s="186"/>
      <c r="BX15" s="187"/>
      <c r="BY15" s="188"/>
      <c r="BZ15" s="189"/>
      <c r="CA15" s="186"/>
      <c r="CB15" s="190"/>
      <c r="CC15" s="190"/>
      <c r="CD15" s="82">
        <f t="shared" si="39"/>
        <v>0</v>
      </c>
      <c r="CE15" s="82">
        <f t="shared" si="40"/>
        <v>0</v>
      </c>
      <c r="CF15" s="82">
        <f t="shared" si="41"/>
        <v>0</v>
      </c>
      <c r="CG15" s="82">
        <f t="shared" si="42"/>
        <v>0</v>
      </c>
      <c r="CH15" s="82">
        <f t="shared" si="43"/>
        <v>0</v>
      </c>
      <c r="CI15" s="82">
        <f t="shared" si="44"/>
        <v>0</v>
      </c>
      <c r="CJ15" s="82">
        <f t="shared" si="45"/>
        <v>0</v>
      </c>
      <c r="CK15" s="82">
        <f t="shared" si="46"/>
        <v>0</v>
      </c>
      <c r="CL15" s="82">
        <f t="shared" si="47"/>
        <v>0</v>
      </c>
      <c r="CM15" s="82">
        <f t="shared" si="48"/>
        <v>0</v>
      </c>
      <c r="CN15" s="82">
        <f t="shared" si="49"/>
        <v>0</v>
      </c>
      <c r="CO15" s="82">
        <f t="shared" si="50"/>
        <v>0</v>
      </c>
      <c r="CP15" s="82">
        <f t="shared" si="51"/>
        <v>0</v>
      </c>
      <c r="CQ15" s="82">
        <f t="shared" si="52"/>
        <v>0</v>
      </c>
      <c r="CR15" s="82">
        <f t="shared" si="53"/>
        <v>0</v>
      </c>
      <c r="CS15" s="82">
        <f t="shared" si="54"/>
        <v>0</v>
      </c>
      <c r="CT15" s="82">
        <f t="shared" si="55"/>
        <v>0</v>
      </c>
      <c r="CU15" s="82">
        <f t="shared" si="56"/>
        <v>0</v>
      </c>
      <c r="CV15" s="82">
        <f t="shared" si="57"/>
        <v>0</v>
      </c>
      <c r="CW15" s="82">
        <f t="shared" si="58"/>
        <v>0</v>
      </c>
      <c r="CX15" s="82">
        <f t="shared" si="59"/>
        <v>0</v>
      </c>
      <c r="CY15" s="82">
        <f t="shared" si="60"/>
        <v>0</v>
      </c>
      <c r="CZ15" s="82">
        <f t="shared" si="61"/>
        <v>0</v>
      </c>
      <c r="DA15" s="82">
        <f t="shared" si="62"/>
        <v>0</v>
      </c>
      <c r="DB15" s="82">
        <f t="shared" si="63"/>
        <v>0</v>
      </c>
      <c r="DC15" s="82">
        <f t="shared" si="64"/>
        <v>0</v>
      </c>
      <c r="DD15" s="82">
        <f t="shared" si="65"/>
        <v>0</v>
      </c>
      <c r="DE15" s="82">
        <f t="shared" si="66"/>
        <v>0</v>
      </c>
      <c r="DF15" s="82">
        <f t="shared" si="67"/>
        <v>0</v>
      </c>
      <c r="DG15" s="82">
        <f t="shared" si="68"/>
        <v>0</v>
      </c>
      <c r="DH15" s="82">
        <f t="shared" si="69"/>
        <v>0</v>
      </c>
      <c r="DI15" s="82">
        <f t="shared" si="70"/>
        <v>0</v>
      </c>
      <c r="DJ15" s="82">
        <f t="shared" si="71"/>
        <v>0</v>
      </c>
      <c r="DK15" s="82">
        <f t="shared" si="72"/>
        <v>0</v>
      </c>
      <c r="DL15" s="82">
        <f t="shared" si="73"/>
        <v>0</v>
      </c>
      <c r="DM15" s="82">
        <f t="shared" si="74"/>
        <v>0</v>
      </c>
      <c r="DN15" s="82">
        <f t="shared" si="75"/>
        <v>0</v>
      </c>
      <c r="DO15" s="82">
        <f t="shared" si="76"/>
        <v>0</v>
      </c>
      <c r="DP15" s="82">
        <f t="shared" si="77"/>
        <v>0</v>
      </c>
      <c r="DQ15" s="82">
        <f t="shared" si="78"/>
        <v>0</v>
      </c>
      <c r="DR15" s="82">
        <f t="shared" si="79"/>
        <v>0</v>
      </c>
      <c r="DS15" s="82">
        <f t="shared" si="80"/>
        <v>0</v>
      </c>
      <c r="DT15" s="82">
        <f t="shared" si="81"/>
        <v>0</v>
      </c>
      <c r="DU15" s="82">
        <f t="shared" si="82"/>
        <v>0</v>
      </c>
      <c r="DV15" s="82">
        <f t="shared" si="83"/>
        <v>0</v>
      </c>
      <c r="DW15" s="82">
        <f t="shared" si="84"/>
        <v>0</v>
      </c>
      <c r="DX15" s="82">
        <f t="shared" si="85"/>
        <v>0</v>
      </c>
      <c r="DY15" s="82">
        <f t="shared" si="86"/>
        <v>0</v>
      </c>
      <c r="DZ15" s="82">
        <f t="shared" si="87"/>
        <v>0</v>
      </c>
      <c r="EA15" s="82">
        <f t="shared" si="88"/>
        <v>0</v>
      </c>
      <c r="EB15" s="82">
        <f t="shared" si="89"/>
        <v>0</v>
      </c>
      <c r="EC15" s="82">
        <f t="shared" si="90"/>
        <v>0</v>
      </c>
      <c r="ED15" s="82">
        <f t="shared" si="91"/>
        <v>0</v>
      </c>
      <c r="EE15" s="82">
        <f t="shared" si="92"/>
        <v>0</v>
      </c>
      <c r="EF15" s="82">
        <f t="shared" si="93"/>
        <v>0</v>
      </c>
      <c r="EG15" s="82">
        <f t="shared" si="94"/>
        <v>0</v>
      </c>
      <c r="EH15" s="82">
        <f t="shared" si="95"/>
        <v>0</v>
      </c>
      <c r="EI15" s="82">
        <f t="shared" si="96"/>
        <v>0</v>
      </c>
      <c r="EJ15" s="82">
        <f t="shared" si="97"/>
        <v>0</v>
      </c>
      <c r="EK15" s="82">
        <f t="shared" si="98"/>
        <v>0</v>
      </c>
      <c r="EL15" s="82">
        <f t="shared" si="99"/>
        <v>0</v>
      </c>
      <c r="EM15" s="82">
        <f t="shared" si="100"/>
        <v>0</v>
      </c>
      <c r="EN15" s="82">
        <f t="shared" si="101"/>
        <v>0</v>
      </c>
      <c r="EO15" s="82">
        <f t="shared" si="102"/>
        <v>0</v>
      </c>
      <c r="EP15" s="82">
        <f t="shared" si="103"/>
        <v>0</v>
      </c>
      <c r="EQ15" s="82">
        <f t="shared" si="104"/>
        <v>0</v>
      </c>
      <c r="ER15" s="82">
        <f t="shared" si="105"/>
        <v>0</v>
      </c>
      <c r="ES15" s="82">
        <f t="shared" si="106"/>
        <v>0</v>
      </c>
      <c r="ET15" s="82">
        <f t="shared" si="107"/>
        <v>0</v>
      </c>
      <c r="EU15" s="82">
        <f t="shared" si="108"/>
        <v>0</v>
      </c>
      <c r="EV15" s="82">
        <f t="shared" si="109"/>
        <v>0</v>
      </c>
      <c r="EW15" s="82">
        <f t="shared" si="110"/>
        <v>0</v>
      </c>
      <c r="EX15" s="82">
        <f t="shared" si="111"/>
        <v>0</v>
      </c>
      <c r="EY15" s="111">
        <f t="shared" si="112"/>
        <v>0</v>
      </c>
      <c r="EZ15" s="143">
        <f t="shared" ca="1" si="113"/>
        <v>0</v>
      </c>
      <c r="FA15" s="112">
        <f t="shared" ca="1" si="114"/>
        <v>0</v>
      </c>
      <c r="FB15" s="113">
        <f t="shared" ca="1" si="115"/>
        <v>0</v>
      </c>
      <c r="FC15" s="114">
        <f t="shared" ca="1" si="116"/>
        <v>0</v>
      </c>
      <c r="FD15" s="115">
        <f t="shared" ca="1" si="117"/>
        <v>0</v>
      </c>
      <c r="FE15" s="116">
        <f t="shared" ca="1" si="118"/>
        <v>0</v>
      </c>
      <c r="FF15" s="117">
        <f t="shared" ca="1" si="119"/>
        <v>0</v>
      </c>
      <c r="FG15" s="71">
        <f t="shared" si="120"/>
        <v>0</v>
      </c>
      <c r="FH15" s="530">
        <f t="shared" ca="1" si="121"/>
        <v>0</v>
      </c>
      <c r="FI15" s="72">
        <f ca="1">0.65*FB15</f>
        <v>0</v>
      </c>
      <c r="FJ15" s="72">
        <f ca="1">FA15</f>
        <v>0</v>
      </c>
      <c r="FK15" s="72">
        <f ca="1">SUM(FI15:FJ15)</f>
        <v>0</v>
      </c>
      <c r="FM15" s="421" t="str">
        <f t="shared" si="122"/>
        <v>L01-102_LbbyRaccVrfsHrv1</v>
      </c>
      <c r="FN15" s="422" t="str">
        <f t="shared" ca="1" si="123"/>
        <v>Lobby - All other</v>
      </c>
      <c r="FO15" s="423">
        <f t="shared" ca="1" si="129"/>
        <v>0</v>
      </c>
      <c r="FP15" s="423">
        <f t="shared" ca="1" si="124"/>
        <v>0</v>
      </c>
      <c r="FQ15" s="423">
        <f t="shared" ca="1" si="124"/>
        <v>0</v>
      </c>
      <c r="FR15" s="423">
        <f t="shared" ca="1" si="124"/>
        <v>0</v>
      </c>
      <c r="FS15" s="423">
        <f t="shared" ca="1" si="124"/>
        <v>0</v>
      </c>
      <c r="FT15" s="423">
        <f t="shared" ca="1" si="124"/>
        <v>0</v>
      </c>
      <c r="FU15" s="423">
        <f t="shared" ca="1" si="124"/>
        <v>0</v>
      </c>
      <c r="FV15" s="423">
        <f t="shared" ca="1" si="124"/>
        <v>0</v>
      </c>
      <c r="FW15" s="423">
        <f t="shared" ca="1" si="124"/>
        <v>0</v>
      </c>
      <c r="FX15" s="423">
        <f t="shared" ca="1" si="124"/>
        <v>0</v>
      </c>
      <c r="FY15" s="423">
        <f t="shared" ca="1" si="124"/>
        <v>0</v>
      </c>
      <c r="FZ15" s="423">
        <f t="shared" ca="1" si="124"/>
        <v>0</v>
      </c>
      <c r="GA15" s="423">
        <f t="shared" ca="1" si="124"/>
        <v>0</v>
      </c>
      <c r="GB15" s="423">
        <f t="shared" ca="1" si="124"/>
        <v>0</v>
      </c>
      <c r="GC15" s="423">
        <f t="shared" ca="1" si="124"/>
        <v>0</v>
      </c>
      <c r="GD15" s="423">
        <f t="shared" ca="1" si="124"/>
        <v>0</v>
      </c>
      <c r="GE15" s="423">
        <f t="shared" ca="1" si="124"/>
        <v>0</v>
      </c>
      <c r="GF15" s="423">
        <f t="shared" ca="1" si="125"/>
        <v>0</v>
      </c>
      <c r="GG15" s="423">
        <f t="shared" ca="1" si="125"/>
        <v>0</v>
      </c>
      <c r="GH15" s="423">
        <f t="shared" ca="1" si="125"/>
        <v>0</v>
      </c>
      <c r="GI15" s="423">
        <f t="shared" ca="1" si="125"/>
        <v>0</v>
      </c>
      <c r="GJ15" s="423">
        <f t="shared" ca="1" si="125"/>
        <v>0</v>
      </c>
      <c r="GK15" s="423">
        <f t="shared" ca="1" si="125"/>
        <v>0</v>
      </c>
      <c r="GL15" s="423">
        <f t="shared" ca="1" si="125"/>
        <v>0</v>
      </c>
      <c r="GM15" s="423">
        <f t="shared" ca="1" si="125"/>
        <v>0</v>
      </c>
      <c r="GN15" s="423">
        <f t="shared" ca="1" si="125"/>
        <v>0</v>
      </c>
      <c r="GO15" s="423">
        <f t="shared" ca="1" si="125"/>
        <v>0</v>
      </c>
      <c r="GP15" s="423">
        <f t="shared" ca="1" si="125"/>
        <v>0</v>
      </c>
      <c r="GQ15" s="423">
        <f t="shared" ca="1" si="125"/>
        <v>0</v>
      </c>
      <c r="GR15" s="423">
        <f t="shared" ca="1" si="125"/>
        <v>0</v>
      </c>
      <c r="GS15" s="423">
        <f t="shared" ca="1" si="125"/>
        <v>0</v>
      </c>
      <c r="GT15" s="423">
        <f t="shared" ca="1" si="125"/>
        <v>0</v>
      </c>
      <c r="GU15" s="423">
        <f t="shared" ca="1" si="125"/>
        <v>0</v>
      </c>
      <c r="GV15" s="423">
        <f t="shared" ca="1" si="126"/>
        <v>0</v>
      </c>
      <c r="GW15" s="423">
        <f t="shared" ca="1" si="126"/>
        <v>0</v>
      </c>
      <c r="GX15" s="423">
        <f t="shared" ca="1" si="126"/>
        <v>0</v>
      </c>
      <c r="GY15" s="423">
        <f t="shared" ca="1" si="126"/>
        <v>0</v>
      </c>
      <c r="GZ15" s="423">
        <f t="shared" ca="1" si="126"/>
        <v>0</v>
      </c>
      <c r="HA15" s="423">
        <f t="shared" ca="1" si="126"/>
        <v>0</v>
      </c>
      <c r="HB15" s="423">
        <f t="shared" ca="1" si="126"/>
        <v>0</v>
      </c>
      <c r="HC15" s="423">
        <f t="shared" ca="1" si="126"/>
        <v>0</v>
      </c>
      <c r="HD15" s="423">
        <f t="shared" ca="1" si="126"/>
        <v>0</v>
      </c>
      <c r="HE15" s="423">
        <f t="shared" ca="1" si="126"/>
        <v>0</v>
      </c>
      <c r="HF15" s="423">
        <f t="shared" ca="1" si="126"/>
        <v>0</v>
      </c>
      <c r="HG15" s="423">
        <f t="shared" ca="1" si="126"/>
        <v>0</v>
      </c>
      <c r="HH15" s="423">
        <f t="shared" ca="1" si="126"/>
        <v>0</v>
      </c>
      <c r="HI15" s="423">
        <f t="shared" ca="1" si="126"/>
        <v>0</v>
      </c>
      <c r="HJ15" s="423">
        <f t="shared" ca="1" si="126"/>
        <v>0</v>
      </c>
      <c r="HK15" s="423">
        <f t="shared" ca="1" si="126"/>
        <v>0</v>
      </c>
      <c r="HL15" s="423">
        <f t="shared" ca="1" si="127"/>
        <v>0</v>
      </c>
      <c r="HM15" s="423">
        <f t="shared" ca="1" si="127"/>
        <v>0</v>
      </c>
      <c r="HN15" s="423">
        <f t="shared" ca="1" si="127"/>
        <v>0</v>
      </c>
      <c r="HO15" s="423">
        <f t="shared" ca="1" si="127"/>
        <v>0</v>
      </c>
      <c r="HP15" s="423">
        <f t="shared" ca="1" si="127"/>
        <v>0</v>
      </c>
      <c r="HQ15" s="423">
        <f t="shared" ca="1" si="127"/>
        <v>0</v>
      </c>
      <c r="HR15" s="423">
        <f t="shared" ca="1" si="127"/>
        <v>0</v>
      </c>
      <c r="HS15" s="423">
        <f t="shared" ca="1" si="127"/>
        <v>0</v>
      </c>
      <c r="HT15" s="423">
        <f t="shared" ca="1" si="127"/>
        <v>0</v>
      </c>
    </row>
    <row r="16" spans="1:230" ht="11.25" customHeight="1" x14ac:dyDescent="0.2">
      <c r="A16" s="62">
        <f t="shared" si="128"/>
        <v>5</v>
      </c>
      <c r="B16" s="60" t="str">
        <f>Spaces_Sum!C61</f>
        <v>L01-103_CorrRaccBbrdHrv1</v>
      </c>
      <c r="C16" s="62" t="str">
        <f>Spaces_Sum!D61</f>
        <v>L01</v>
      </c>
      <c r="D16" s="62" t="str">
        <f ca="1">Spaces_Sum!I61</f>
        <v>DirectlyConditioned</v>
      </c>
      <c r="F16" s="110">
        <f ca="1">Spaces_Sum!M61</f>
        <v>337.37290000000002</v>
      </c>
      <c r="G16" s="110" t="str">
        <f ca="1">Spaces_Sum!J61</f>
        <v>Corridor - All other</v>
      </c>
      <c r="H16" s="532"/>
      <c r="I16" s="185"/>
      <c r="J16" s="185"/>
      <c r="K16" s="186"/>
      <c r="L16" s="187"/>
      <c r="M16" s="188"/>
      <c r="N16" s="189"/>
      <c r="O16" s="186"/>
      <c r="P16" s="187"/>
      <c r="Q16" s="188"/>
      <c r="R16" s="189"/>
      <c r="S16" s="186"/>
      <c r="T16" s="187"/>
      <c r="U16" s="188"/>
      <c r="V16" s="189"/>
      <c r="W16" s="186"/>
      <c r="X16" s="187"/>
      <c r="Y16" s="188"/>
      <c r="Z16" s="189"/>
      <c r="AA16" s="186"/>
      <c r="AB16" s="187"/>
      <c r="AC16" s="188"/>
      <c r="AD16" s="189"/>
      <c r="AE16" s="186"/>
      <c r="AF16" s="187"/>
      <c r="AG16" s="188"/>
      <c r="AH16" s="189"/>
      <c r="AI16" s="186"/>
      <c r="AJ16" s="187"/>
      <c r="AK16" s="188"/>
      <c r="AL16" s="189"/>
      <c r="AM16" s="186"/>
      <c r="AN16" s="187"/>
      <c r="AO16" s="188"/>
      <c r="AP16" s="189"/>
      <c r="AQ16" s="186"/>
      <c r="AR16" s="187"/>
      <c r="AS16" s="188"/>
      <c r="AT16" s="189"/>
      <c r="AU16" s="186"/>
      <c r="AV16" s="187"/>
      <c r="AW16" s="188"/>
      <c r="AX16" s="189"/>
      <c r="AY16" s="186"/>
      <c r="AZ16" s="187"/>
      <c r="BA16" s="188"/>
      <c r="BB16" s="189"/>
      <c r="BC16" s="186"/>
      <c r="BD16" s="187"/>
      <c r="BE16" s="188"/>
      <c r="BF16" s="189"/>
      <c r="BG16" s="186"/>
      <c r="BH16" s="187"/>
      <c r="BI16" s="188"/>
      <c r="BJ16" s="189"/>
      <c r="BK16" s="186"/>
      <c r="BL16" s="187"/>
      <c r="BM16" s="188"/>
      <c r="BN16" s="189"/>
      <c r="BO16" s="186"/>
      <c r="BP16" s="187"/>
      <c r="BQ16" s="188"/>
      <c r="BR16" s="189"/>
      <c r="BS16" s="186"/>
      <c r="BT16" s="187"/>
      <c r="BU16" s="188"/>
      <c r="BV16" s="189"/>
      <c r="BW16" s="186"/>
      <c r="BX16" s="187"/>
      <c r="BY16" s="188"/>
      <c r="BZ16" s="189"/>
      <c r="CA16" s="186"/>
      <c r="CB16" s="190"/>
      <c r="CC16" s="190"/>
      <c r="CD16" s="82">
        <f t="shared" si="39"/>
        <v>0</v>
      </c>
      <c r="CE16" s="82">
        <f t="shared" si="40"/>
        <v>0</v>
      </c>
      <c r="CF16" s="82">
        <f t="shared" si="41"/>
        <v>0</v>
      </c>
      <c r="CG16" s="82">
        <f t="shared" si="42"/>
        <v>0</v>
      </c>
      <c r="CH16" s="82">
        <f t="shared" si="43"/>
        <v>0</v>
      </c>
      <c r="CI16" s="82">
        <f t="shared" si="44"/>
        <v>0</v>
      </c>
      <c r="CJ16" s="82">
        <f t="shared" si="45"/>
        <v>0</v>
      </c>
      <c r="CK16" s="82">
        <f t="shared" si="46"/>
        <v>0</v>
      </c>
      <c r="CL16" s="82">
        <f t="shared" si="47"/>
        <v>0</v>
      </c>
      <c r="CM16" s="82">
        <f t="shared" si="48"/>
        <v>0</v>
      </c>
      <c r="CN16" s="82">
        <f t="shared" si="49"/>
        <v>0</v>
      </c>
      <c r="CO16" s="82">
        <f t="shared" si="50"/>
        <v>0</v>
      </c>
      <c r="CP16" s="82">
        <f t="shared" si="51"/>
        <v>0</v>
      </c>
      <c r="CQ16" s="82">
        <f t="shared" si="52"/>
        <v>0</v>
      </c>
      <c r="CR16" s="82">
        <f t="shared" si="53"/>
        <v>0</v>
      </c>
      <c r="CS16" s="82">
        <f t="shared" si="54"/>
        <v>0</v>
      </c>
      <c r="CT16" s="82">
        <f t="shared" si="55"/>
        <v>0</v>
      </c>
      <c r="CU16" s="82">
        <f t="shared" si="56"/>
        <v>0</v>
      </c>
      <c r="CV16" s="82">
        <f t="shared" si="57"/>
        <v>0</v>
      </c>
      <c r="CW16" s="82">
        <f t="shared" si="58"/>
        <v>0</v>
      </c>
      <c r="CX16" s="82">
        <f t="shared" si="59"/>
        <v>0</v>
      </c>
      <c r="CY16" s="82">
        <f t="shared" si="60"/>
        <v>0</v>
      </c>
      <c r="CZ16" s="82">
        <f t="shared" si="61"/>
        <v>0</v>
      </c>
      <c r="DA16" s="82">
        <f t="shared" si="62"/>
        <v>0</v>
      </c>
      <c r="DB16" s="82">
        <f t="shared" si="63"/>
        <v>0</v>
      </c>
      <c r="DC16" s="82">
        <f t="shared" si="64"/>
        <v>0</v>
      </c>
      <c r="DD16" s="82">
        <f t="shared" si="65"/>
        <v>0</v>
      </c>
      <c r="DE16" s="82">
        <f t="shared" si="66"/>
        <v>0</v>
      </c>
      <c r="DF16" s="82">
        <f t="shared" si="67"/>
        <v>0</v>
      </c>
      <c r="DG16" s="82">
        <f t="shared" si="68"/>
        <v>0</v>
      </c>
      <c r="DH16" s="82">
        <f t="shared" si="69"/>
        <v>0</v>
      </c>
      <c r="DI16" s="82">
        <f t="shared" si="70"/>
        <v>0</v>
      </c>
      <c r="DJ16" s="82">
        <f t="shared" si="71"/>
        <v>0</v>
      </c>
      <c r="DK16" s="82">
        <f t="shared" si="72"/>
        <v>0</v>
      </c>
      <c r="DL16" s="82">
        <f t="shared" si="73"/>
        <v>0</v>
      </c>
      <c r="DM16" s="82">
        <f t="shared" si="74"/>
        <v>0</v>
      </c>
      <c r="DN16" s="82">
        <f t="shared" si="75"/>
        <v>0</v>
      </c>
      <c r="DO16" s="82">
        <f t="shared" si="76"/>
        <v>0</v>
      </c>
      <c r="DP16" s="82">
        <f t="shared" si="77"/>
        <v>0</v>
      </c>
      <c r="DQ16" s="82">
        <f t="shared" si="78"/>
        <v>0</v>
      </c>
      <c r="DR16" s="82">
        <f t="shared" si="79"/>
        <v>0</v>
      </c>
      <c r="DS16" s="82">
        <f t="shared" si="80"/>
        <v>0</v>
      </c>
      <c r="DT16" s="82">
        <f t="shared" si="81"/>
        <v>0</v>
      </c>
      <c r="DU16" s="82">
        <f t="shared" si="82"/>
        <v>0</v>
      </c>
      <c r="DV16" s="82">
        <f t="shared" si="83"/>
        <v>0</v>
      </c>
      <c r="DW16" s="82">
        <f t="shared" si="84"/>
        <v>0</v>
      </c>
      <c r="DX16" s="82">
        <f t="shared" si="85"/>
        <v>0</v>
      </c>
      <c r="DY16" s="82">
        <f t="shared" si="86"/>
        <v>0</v>
      </c>
      <c r="DZ16" s="82">
        <f t="shared" si="87"/>
        <v>0</v>
      </c>
      <c r="EA16" s="82">
        <f t="shared" si="88"/>
        <v>0</v>
      </c>
      <c r="EB16" s="82">
        <f t="shared" si="89"/>
        <v>0</v>
      </c>
      <c r="EC16" s="82">
        <f t="shared" si="90"/>
        <v>0</v>
      </c>
      <c r="ED16" s="82">
        <f t="shared" si="91"/>
        <v>0</v>
      </c>
      <c r="EE16" s="82">
        <f t="shared" si="92"/>
        <v>0</v>
      </c>
      <c r="EF16" s="82">
        <f t="shared" si="93"/>
        <v>0</v>
      </c>
      <c r="EG16" s="82">
        <f t="shared" si="94"/>
        <v>0</v>
      </c>
      <c r="EH16" s="82">
        <f t="shared" si="95"/>
        <v>0</v>
      </c>
      <c r="EI16" s="82">
        <f t="shared" si="96"/>
        <v>0</v>
      </c>
      <c r="EJ16" s="82">
        <f t="shared" si="97"/>
        <v>0</v>
      </c>
      <c r="EK16" s="82">
        <f t="shared" si="98"/>
        <v>0</v>
      </c>
      <c r="EL16" s="82">
        <f t="shared" si="99"/>
        <v>0</v>
      </c>
      <c r="EM16" s="82">
        <f t="shared" si="100"/>
        <v>0</v>
      </c>
      <c r="EN16" s="82">
        <f t="shared" si="101"/>
        <v>0</v>
      </c>
      <c r="EO16" s="82">
        <f t="shared" si="102"/>
        <v>0</v>
      </c>
      <c r="EP16" s="82">
        <f t="shared" si="103"/>
        <v>0</v>
      </c>
      <c r="EQ16" s="82">
        <f t="shared" si="104"/>
        <v>0</v>
      </c>
      <c r="ER16" s="82">
        <f t="shared" si="105"/>
        <v>0</v>
      </c>
      <c r="ES16" s="82">
        <f t="shared" si="106"/>
        <v>0</v>
      </c>
      <c r="ET16" s="82">
        <f t="shared" si="107"/>
        <v>0</v>
      </c>
      <c r="EU16" s="82">
        <f t="shared" si="108"/>
        <v>0</v>
      </c>
      <c r="EV16" s="82">
        <f t="shared" si="109"/>
        <v>0</v>
      </c>
      <c r="EW16" s="82">
        <f t="shared" si="110"/>
        <v>0</v>
      </c>
      <c r="EX16" s="82">
        <f t="shared" si="111"/>
        <v>0</v>
      </c>
      <c r="EY16" s="111">
        <f t="shared" si="112"/>
        <v>0</v>
      </c>
      <c r="EZ16" s="143">
        <f t="shared" ca="1" si="113"/>
        <v>0</v>
      </c>
      <c r="FA16" s="112">
        <f t="shared" ca="1" si="114"/>
        <v>0</v>
      </c>
      <c r="FB16" s="113">
        <f t="shared" ca="1" si="115"/>
        <v>0</v>
      </c>
      <c r="FC16" s="114">
        <f t="shared" ca="1" si="116"/>
        <v>0</v>
      </c>
      <c r="FD16" s="115">
        <f t="shared" ca="1" si="117"/>
        <v>0</v>
      </c>
      <c r="FE16" s="116">
        <f t="shared" ca="1" si="118"/>
        <v>0</v>
      </c>
      <c r="FF16" s="117">
        <f t="shared" ca="1" si="119"/>
        <v>0</v>
      </c>
      <c r="FG16" s="71">
        <f t="shared" si="120"/>
        <v>0</v>
      </c>
      <c r="FH16" s="530">
        <f t="shared" ca="1" si="121"/>
        <v>0</v>
      </c>
      <c r="FI16" s="72">
        <f ca="1">0.65*FB16</f>
        <v>0</v>
      </c>
      <c r="FJ16" s="72">
        <f ca="1">FA16</f>
        <v>0</v>
      </c>
      <c r="FK16" s="72">
        <f ca="1">SUM(FI16:FJ16)</f>
        <v>0</v>
      </c>
      <c r="FM16" s="421" t="str">
        <f t="shared" si="122"/>
        <v>L01-103_CorrRaccBbrdHrv1</v>
      </c>
      <c r="FN16" s="422" t="str">
        <f t="shared" ca="1" si="123"/>
        <v>Corridor - All other</v>
      </c>
      <c r="FO16" s="423">
        <f t="shared" ca="1" si="129"/>
        <v>0</v>
      </c>
      <c r="FP16" s="423">
        <f t="shared" ca="1" si="124"/>
        <v>0</v>
      </c>
      <c r="FQ16" s="423">
        <f t="shared" ca="1" si="124"/>
        <v>0</v>
      </c>
      <c r="FR16" s="423">
        <f t="shared" ca="1" si="124"/>
        <v>0</v>
      </c>
      <c r="FS16" s="423">
        <f t="shared" ca="1" si="124"/>
        <v>0</v>
      </c>
      <c r="FT16" s="423">
        <f t="shared" ca="1" si="124"/>
        <v>0</v>
      </c>
      <c r="FU16" s="423">
        <f t="shared" ca="1" si="124"/>
        <v>0</v>
      </c>
      <c r="FV16" s="423">
        <f t="shared" ca="1" si="124"/>
        <v>0</v>
      </c>
      <c r="FW16" s="423">
        <f t="shared" ca="1" si="124"/>
        <v>0</v>
      </c>
      <c r="FX16" s="423">
        <f t="shared" ca="1" si="124"/>
        <v>0</v>
      </c>
      <c r="FY16" s="423">
        <f t="shared" ca="1" si="124"/>
        <v>0</v>
      </c>
      <c r="FZ16" s="423">
        <f t="shared" ca="1" si="124"/>
        <v>0</v>
      </c>
      <c r="GA16" s="423">
        <f t="shared" ca="1" si="124"/>
        <v>0</v>
      </c>
      <c r="GB16" s="423">
        <f t="shared" ca="1" si="124"/>
        <v>0</v>
      </c>
      <c r="GC16" s="423">
        <f t="shared" ca="1" si="124"/>
        <v>0</v>
      </c>
      <c r="GD16" s="423">
        <f t="shared" ca="1" si="124"/>
        <v>0</v>
      </c>
      <c r="GE16" s="423">
        <f t="shared" ca="1" si="124"/>
        <v>0</v>
      </c>
      <c r="GF16" s="423">
        <f t="shared" ca="1" si="125"/>
        <v>0</v>
      </c>
      <c r="GG16" s="423">
        <f t="shared" ca="1" si="125"/>
        <v>0</v>
      </c>
      <c r="GH16" s="423">
        <f t="shared" ca="1" si="125"/>
        <v>0</v>
      </c>
      <c r="GI16" s="423">
        <f t="shared" ca="1" si="125"/>
        <v>0</v>
      </c>
      <c r="GJ16" s="423">
        <f t="shared" ca="1" si="125"/>
        <v>0</v>
      </c>
      <c r="GK16" s="423">
        <f t="shared" ca="1" si="125"/>
        <v>0</v>
      </c>
      <c r="GL16" s="423">
        <f t="shared" ca="1" si="125"/>
        <v>0</v>
      </c>
      <c r="GM16" s="423">
        <f t="shared" ca="1" si="125"/>
        <v>0</v>
      </c>
      <c r="GN16" s="423">
        <f t="shared" ca="1" si="125"/>
        <v>0</v>
      </c>
      <c r="GO16" s="423">
        <f t="shared" ca="1" si="125"/>
        <v>0</v>
      </c>
      <c r="GP16" s="423">
        <f t="shared" ca="1" si="125"/>
        <v>0</v>
      </c>
      <c r="GQ16" s="423">
        <f t="shared" ca="1" si="125"/>
        <v>0</v>
      </c>
      <c r="GR16" s="423">
        <f t="shared" ca="1" si="125"/>
        <v>0</v>
      </c>
      <c r="GS16" s="423">
        <f t="shared" ca="1" si="125"/>
        <v>0</v>
      </c>
      <c r="GT16" s="423">
        <f t="shared" ca="1" si="125"/>
        <v>0</v>
      </c>
      <c r="GU16" s="423">
        <f t="shared" ca="1" si="125"/>
        <v>0</v>
      </c>
      <c r="GV16" s="423">
        <f t="shared" ca="1" si="126"/>
        <v>0</v>
      </c>
      <c r="GW16" s="423">
        <f t="shared" ca="1" si="126"/>
        <v>0</v>
      </c>
      <c r="GX16" s="423">
        <f t="shared" ca="1" si="126"/>
        <v>0</v>
      </c>
      <c r="GY16" s="423">
        <f t="shared" ca="1" si="126"/>
        <v>0</v>
      </c>
      <c r="GZ16" s="423">
        <f t="shared" ca="1" si="126"/>
        <v>0</v>
      </c>
      <c r="HA16" s="423">
        <f t="shared" ca="1" si="126"/>
        <v>0</v>
      </c>
      <c r="HB16" s="423">
        <f t="shared" ca="1" si="126"/>
        <v>0</v>
      </c>
      <c r="HC16" s="423">
        <f t="shared" ca="1" si="126"/>
        <v>0</v>
      </c>
      <c r="HD16" s="423">
        <f t="shared" ca="1" si="126"/>
        <v>0</v>
      </c>
      <c r="HE16" s="423">
        <f t="shared" ca="1" si="126"/>
        <v>0</v>
      </c>
      <c r="HF16" s="423">
        <f t="shared" ca="1" si="126"/>
        <v>0</v>
      </c>
      <c r="HG16" s="423">
        <f t="shared" ca="1" si="126"/>
        <v>0</v>
      </c>
      <c r="HH16" s="423">
        <f t="shared" ca="1" si="126"/>
        <v>0</v>
      </c>
      <c r="HI16" s="423">
        <f t="shared" ca="1" si="126"/>
        <v>0</v>
      </c>
      <c r="HJ16" s="423">
        <f t="shared" ca="1" si="126"/>
        <v>0</v>
      </c>
      <c r="HK16" s="423">
        <f t="shared" ca="1" si="126"/>
        <v>0</v>
      </c>
      <c r="HL16" s="423">
        <f t="shared" ca="1" si="127"/>
        <v>0</v>
      </c>
      <c r="HM16" s="423">
        <f t="shared" ca="1" si="127"/>
        <v>0</v>
      </c>
      <c r="HN16" s="423">
        <f t="shared" ca="1" si="127"/>
        <v>0</v>
      </c>
      <c r="HO16" s="423">
        <f t="shared" ca="1" si="127"/>
        <v>0</v>
      </c>
      <c r="HP16" s="423">
        <f t="shared" ca="1" si="127"/>
        <v>0</v>
      </c>
      <c r="HQ16" s="423">
        <f t="shared" ca="1" si="127"/>
        <v>0</v>
      </c>
      <c r="HR16" s="423">
        <f t="shared" ca="1" si="127"/>
        <v>0</v>
      </c>
      <c r="HS16" s="423">
        <f t="shared" ca="1" si="127"/>
        <v>0</v>
      </c>
      <c r="HT16" s="423">
        <f t="shared" ca="1" si="127"/>
        <v>0</v>
      </c>
    </row>
    <row r="17" spans="1:230" ht="11.25" customHeight="1" x14ac:dyDescent="0.2">
      <c r="A17" s="62">
        <f t="shared" si="128"/>
        <v>6</v>
      </c>
      <c r="B17" s="60" t="str">
        <f>Spaces_Sum!C62</f>
        <v>L01-104_ElevRaccIncd</v>
      </c>
      <c r="C17" s="62" t="str">
        <f>Spaces_Sum!D62</f>
        <v>L01</v>
      </c>
      <c r="D17" s="62" t="str">
        <f ca="1">Spaces_Sum!I62</f>
        <v>IndirectlyConditioned</v>
      </c>
      <c r="F17" s="110">
        <f ca="1">Spaces_Sum!M62</f>
        <v>211.21340000000001</v>
      </c>
      <c r="G17" s="110" t="str">
        <f ca="1">Spaces_Sum!J62</f>
        <v>Unoccupied-Include in Gross Floor Area</v>
      </c>
      <c r="H17" s="532"/>
      <c r="I17" s="185"/>
      <c r="J17" s="185"/>
      <c r="K17" s="186"/>
      <c r="L17" s="187"/>
      <c r="M17" s="188"/>
      <c r="N17" s="189"/>
      <c r="O17" s="186"/>
      <c r="P17" s="187"/>
      <c r="Q17" s="188"/>
      <c r="R17" s="189"/>
      <c r="S17" s="186"/>
      <c r="T17" s="187"/>
      <c r="U17" s="188"/>
      <c r="V17" s="189"/>
      <c r="W17" s="186"/>
      <c r="X17" s="187"/>
      <c r="Y17" s="188"/>
      <c r="Z17" s="189"/>
      <c r="AA17" s="186"/>
      <c r="AB17" s="187"/>
      <c r="AC17" s="188"/>
      <c r="AD17" s="189"/>
      <c r="AE17" s="186"/>
      <c r="AF17" s="187"/>
      <c r="AG17" s="188"/>
      <c r="AH17" s="189"/>
      <c r="AI17" s="186"/>
      <c r="AJ17" s="187"/>
      <c r="AK17" s="188"/>
      <c r="AL17" s="189"/>
      <c r="AM17" s="186"/>
      <c r="AN17" s="187"/>
      <c r="AO17" s="188"/>
      <c r="AP17" s="189"/>
      <c r="AQ17" s="186"/>
      <c r="AR17" s="187"/>
      <c r="AS17" s="188"/>
      <c r="AT17" s="189"/>
      <c r="AU17" s="186"/>
      <c r="AV17" s="187"/>
      <c r="AW17" s="188"/>
      <c r="AX17" s="189"/>
      <c r="AY17" s="186"/>
      <c r="AZ17" s="187"/>
      <c r="BA17" s="188"/>
      <c r="BB17" s="189"/>
      <c r="BC17" s="186"/>
      <c r="BD17" s="187"/>
      <c r="BE17" s="188"/>
      <c r="BF17" s="189"/>
      <c r="BG17" s="186"/>
      <c r="BH17" s="187"/>
      <c r="BI17" s="188"/>
      <c r="BJ17" s="189"/>
      <c r="BK17" s="186"/>
      <c r="BL17" s="187"/>
      <c r="BM17" s="188"/>
      <c r="BN17" s="189"/>
      <c r="BO17" s="186"/>
      <c r="BP17" s="187"/>
      <c r="BQ17" s="188"/>
      <c r="BR17" s="189"/>
      <c r="BS17" s="186"/>
      <c r="BT17" s="187"/>
      <c r="BU17" s="188"/>
      <c r="BV17" s="189"/>
      <c r="BW17" s="186"/>
      <c r="BX17" s="187"/>
      <c r="BY17" s="188"/>
      <c r="BZ17" s="189"/>
      <c r="CA17" s="186"/>
      <c r="CB17" s="190"/>
      <c r="CC17" s="190"/>
      <c r="CD17" s="82">
        <f t="shared" si="39"/>
        <v>0</v>
      </c>
      <c r="CE17" s="82">
        <f t="shared" si="40"/>
        <v>0</v>
      </c>
      <c r="CF17" s="82">
        <f t="shared" si="41"/>
        <v>0</v>
      </c>
      <c r="CG17" s="82">
        <f t="shared" si="42"/>
        <v>0</v>
      </c>
      <c r="CH17" s="82">
        <f t="shared" si="43"/>
        <v>0</v>
      </c>
      <c r="CI17" s="82">
        <f t="shared" si="44"/>
        <v>0</v>
      </c>
      <c r="CJ17" s="82">
        <f t="shared" si="45"/>
        <v>0</v>
      </c>
      <c r="CK17" s="82">
        <f t="shared" si="46"/>
        <v>0</v>
      </c>
      <c r="CL17" s="82">
        <f t="shared" si="47"/>
        <v>0</v>
      </c>
      <c r="CM17" s="82">
        <f t="shared" si="48"/>
        <v>0</v>
      </c>
      <c r="CN17" s="82">
        <f t="shared" si="49"/>
        <v>0</v>
      </c>
      <c r="CO17" s="82">
        <f t="shared" si="50"/>
        <v>0</v>
      </c>
      <c r="CP17" s="82">
        <f t="shared" si="51"/>
        <v>0</v>
      </c>
      <c r="CQ17" s="82">
        <f t="shared" si="52"/>
        <v>0</v>
      </c>
      <c r="CR17" s="82">
        <f t="shared" si="53"/>
        <v>0</v>
      </c>
      <c r="CS17" s="82">
        <f t="shared" si="54"/>
        <v>0</v>
      </c>
      <c r="CT17" s="82">
        <f t="shared" si="55"/>
        <v>0</v>
      </c>
      <c r="CU17" s="82">
        <f t="shared" si="56"/>
        <v>0</v>
      </c>
      <c r="CV17" s="82">
        <f t="shared" si="57"/>
        <v>0</v>
      </c>
      <c r="CW17" s="82">
        <f t="shared" si="58"/>
        <v>0</v>
      </c>
      <c r="CX17" s="82">
        <f t="shared" si="59"/>
        <v>0</v>
      </c>
      <c r="CY17" s="82">
        <f t="shared" si="60"/>
        <v>0</v>
      </c>
      <c r="CZ17" s="82">
        <f t="shared" si="61"/>
        <v>0</v>
      </c>
      <c r="DA17" s="82">
        <f t="shared" si="62"/>
        <v>0</v>
      </c>
      <c r="DB17" s="82">
        <f t="shared" si="63"/>
        <v>0</v>
      </c>
      <c r="DC17" s="82">
        <f t="shared" si="64"/>
        <v>0</v>
      </c>
      <c r="DD17" s="82">
        <f t="shared" si="65"/>
        <v>0</v>
      </c>
      <c r="DE17" s="82">
        <f t="shared" si="66"/>
        <v>0</v>
      </c>
      <c r="DF17" s="82">
        <f t="shared" si="67"/>
        <v>0</v>
      </c>
      <c r="DG17" s="82">
        <f t="shared" si="68"/>
        <v>0</v>
      </c>
      <c r="DH17" s="82">
        <f t="shared" si="69"/>
        <v>0</v>
      </c>
      <c r="DI17" s="82">
        <f t="shared" si="70"/>
        <v>0</v>
      </c>
      <c r="DJ17" s="82">
        <f t="shared" si="71"/>
        <v>0</v>
      </c>
      <c r="DK17" s="82">
        <f t="shared" si="72"/>
        <v>0</v>
      </c>
      <c r="DL17" s="82">
        <f t="shared" si="73"/>
        <v>0</v>
      </c>
      <c r="DM17" s="82">
        <f t="shared" si="74"/>
        <v>0</v>
      </c>
      <c r="DN17" s="82">
        <f t="shared" si="75"/>
        <v>0</v>
      </c>
      <c r="DO17" s="82">
        <f t="shared" si="76"/>
        <v>0</v>
      </c>
      <c r="DP17" s="82">
        <f t="shared" si="77"/>
        <v>0</v>
      </c>
      <c r="DQ17" s="82">
        <f t="shared" si="78"/>
        <v>0</v>
      </c>
      <c r="DR17" s="82">
        <f t="shared" si="79"/>
        <v>0</v>
      </c>
      <c r="DS17" s="82">
        <f t="shared" si="80"/>
        <v>0</v>
      </c>
      <c r="DT17" s="82">
        <f t="shared" si="81"/>
        <v>0</v>
      </c>
      <c r="DU17" s="82">
        <f t="shared" si="82"/>
        <v>0</v>
      </c>
      <c r="DV17" s="82">
        <f t="shared" si="83"/>
        <v>0</v>
      </c>
      <c r="DW17" s="82">
        <f t="shared" si="84"/>
        <v>0</v>
      </c>
      <c r="DX17" s="82">
        <f t="shared" si="85"/>
        <v>0</v>
      </c>
      <c r="DY17" s="82">
        <f t="shared" si="86"/>
        <v>0</v>
      </c>
      <c r="DZ17" s="82">
        <f t="shared" si="87"/>
        <v>0</v>
      </c>
      <c r="EA17" s="82">
        <f t="shared" si="88"/>
        <v>0</v>
      </c>
      <c r="EB17" s="82">
        <f t="shared" si="89"/>
        <v>0</v>
      </c>
      <c r="EC17" s="82">
        <f t="shared" si="90"/>
        <v>0</v>
      </c>
      <c r="ED17" s="82">
        <f t="shared" si="91"/>
        <v>0</v>
      </c>
      <c r="EE17" s="82">
        <f t="shared" si="92"/>
        <v>0</v>
      </c>
      <c r="EF17" s="82">
        <f t="shared" si="93"/>
        <v>0</v>
      </c>
      <c r="EG17" s="82">
        <f t="shared" si="94"/>
        <v>0</v>
      </c>
      <c r="EH17" s="82">
        <f t="shared" si="95"/>
        <v>0</v>
      </c>
      <c r="EI17" s="82">
        <f t="shared" si="96"/>
        <v>0</v>
      </c>
      <c r="EJ17" s="82">
        <f t="shared" si="97"/>
        <v>0</v>
      </c>
      <c r="EK17" s="82">
        <f t="shared" si="98"/>
        <v>0</v>
      </c>
      <c r="EL17" s="82">
        <f t="shared" si="99"/>
        <v>0</v>
      </c>
      <c r="EM17" s="82">
        <f t="shared" si="100"/>
        <v>0</v>
      </c>
      <c r="EN17" s="82">
        <f t="shared" si="101"/>
        <v>0</v>
      </c>
      <c r="EO17" s="82">
        <f t="shared" si="102"/>
        <v>0</v>
      </c>
      <c r="EP17" s="82">
        <f t="shared" si="103"/>
        <v>0</v>
      </c>
      <c r="EQ17" s="82">
        <f t="shared" si="104"/>
        <v>0</v>
      </c>
      <c r="ER17" s="82">
        <f t="shared" si="105"/>
        <v>0</v>
      </c>
      <c r="ES17" s="82">
        <f t="shared" si="106"/>
        <v>0</v>
      </c>
      <c r="ET17" s="82">
        <f t="shared" si="107"/>
        <v>0</v>
      </c>
      <c r="EU17" s="82">
        <f t="shared" si="108"/>
        <v>0</v>
      </c>
      <c r="EV17" s="82">
        <f t="shared" si="109"/>
        <v>0</v>
      </c>
      <c r="EW17" s="82">
        <f t="shared" si="110"/>
        <v>0</v>
      </c>
      <c r="EX17" s="82">
        <f t="shared" si="111"/>
        <v>0</v>
      </c>
      <c r="EY17" s="111">
        <f t="shared" si="112"/>
        <v>0</v>
      </c>
      <c r="EZ17" s="143">
        <f t="shared" ca="1" si="113"/>
        <v>0</v>
      </c>
      <c r="FA17" s="112">
        <f t="shared" ca="1" si="114"/>
        <v>0</v>
      </c>
      <c r="FB17" s="113">
        <f t="shared" ca="1" si="115"/>
        <v>0</v>
      </c>
      <c r="FC17" s="114">
        <f t="shared" ca="1" si="116"/>
        <v>0</v>
      </c>
      <c r="FD17" s="115">
        <f t="shared" ca="1" si="117"/>
        <v>0</v>
      </c>
      <c r="FE17" s="116">
        <f t="shared" ca="1" si="118"/>
        <v>0</v>
      </c>
      <c r="FF17" s="117">
        <f t="shared" ca="1" si="119"/>
        <v>0</v>
      </c>
      <c r="FG17" s="71">
        <f t="shared" si="120"/>
        <v>0</v>
      </c>
      <c r="FH17" s="530">
        <f t="shared" ca="1" si="121"/>
        <v>0</v>
      </c>
      <c r="FI17" s="922">
        <f ca="1">0.65*FB17</f>
        <v>0</v>
      </c>
      <c r="FJ17" s="72">
        <f ca="1">FA17</f>
        <v>0</v>
      </c>
      <c r="FK17" s="72">
        <f ca="1">SUM(FI17:FJ17)</f>
        <v>0</v>
      </c>
      <c r="FM17" s="421" t="str">
        <f t="shared" si="122"/>
        <v>L01-104_ElevRaccIncd</v>
      </c>
      <c r="FN17" s="422" t="str">
        <f t="shared" ca="1" si="123"/>
        <v>Unoccupied-Include in Gross Floor Area</v>
      </c>
      <c r="FO17" s="423">
        <f t="shared" ca="1" si="129"/>
        <v>0</v>
      </c>
      <c r="FP17" s="423">
        <f t="shared" ca="1" si="124"/>
        <v>0</v>
      </c>
      <c r="FQ17" s="423">
        <f t="shared" ca="1" si="124"/>
        <v>0</v>
      </c>
      <c r="FR17" s="423">
        <f t="shared" ca="1" si="124"/>
        <v>0</v>
      </c>
      <c r="FS17" s="423">
        <f t="shared" ca="1" si="124"/>
        <v>0</v>
      </c>
      <c r="FT17" s="423">
        <f t="shared" ca="1" si="124"/>
        <v>0</v>
      </c>
      <c r="FU17" s="423">
        <f t="shared" ca="1" si="124"/>
        <v>0</v>
      </c>
      <c r="FV17" s="423">
        <f t="shared" ca="1" si="124"/>
        <v>0</v>
      </c>
      <c r="FW17" s="423">
        <f t="shared" ca="1" si="124"/>
        <v>0</v>
      </c>
      <c r="FX17" s="423">
        <f t="shared" ca="1" si="124"/>
        <v>0</v>
      </c>
      <c r="FY17" s="423">
        <f t="shared" ca="1" si="124"/>
        <v>0</v>
      </c>
      <c r="FZ17" s="423">
        <f t="shared" ca="1" si="124"/>
        <v>0</v>
      </c>
      <c r="GA17" s="423">
        <f t="shared" ca="1" si="124"/>
        <v>0</v>
      </c>
      <c r="GB17" s="423">
        <f t="shared" ca="1" si="124"/>
        <v>0</v>
      </c>
      <c r="GC17" s="423">
        <f t="shared" ca="1" si="124"/>
        <v>0</v>
      </c>
      <c r="GD17" s="423">
        <f t="shared" ca="1" si="124"/>
        <v>0</v>
      </c>
      <c r="GE17" s="423">
        <f t="shared" ca="1" si="124"/>
        <v>0</v>
      </c>
      <c r="GF17" s="423">
        <f t="shared" ca="1" si="125"/>
        <v>0</v>
      </c>
      <c r="GG17" s="423">
        <f t="shared" ca="1" si="125"/>
        <v>0</v>
      </c>
      <c r="GH17" s="423">
        <f t="shared" ca="1" si="125"/>
        <v>0</v>
      </c>
      <c r="GI17" s="423">
        <f t="shared" ca="1" si="125"/>
        <v>0</v>
      </c>
      <c r="GJ17" s="423">
        <f t="shared" ca="1" si="125"/>
        <v>0</v>
      </c>
      <c r="GK17" s="423">
        <f t="shared" ca="1" si="125"/>
        <v>0</v>
      </c>
      <c r="GL17" s="423">
        <f t="shared" ca="1" si="125"/>
        <v>0</v>
      </c>
      <c r="GM17" s="423">
        <f t="shared" ca="1" si="125"/>
        <v>0</v>
      </c>
      <c r="GN17" s="423">
        <f t="shared" ca="1" si="125"/>
        <v>0</v>
      </c>
      <c r="GO17" s="423">
        <f t="shared" ca="1" si="125"/>
        <v>0</v>
      </c>
      <c r="GP17" s="423">
        <f t="shared" ca="1" si="125"/>
        <v>0</v>
      </c>
      <c r="GQ17" s="423">
        <f t="shared" ca="1" si="125"/>
        <v>0</v>
      </c>
      <c r="GR17" s="423">
        <f t="shared" ca="1" si="125"/>
        <v>0</v>
      </c>
      <c r="GS17" s="423">
        <f t="shared" ca="1" si="125"/>
        <v>0</v>
      </c>
      <c r="GT17" s="423">
        <f t="shared" ca="1" si="125"/>
        <v>0</v>
      </c>
      <c r="GU17" s="423">
        <f t="shared" ca="1" si="125"/>
        <v>0</v>
      </c>
      <c r="GV17" s="423">
        <f t="shared" ca="1" si="126"/>
        <v>0</v>
      </c>
      <c r="GW17" s="423">
        <f t="shared" ca="1" si="126"/>
        <v>0</v>
      </c>
      <c r="GX17" s="423">
        <f t="shared" ca="1" si="126"/>
        <v>0</v>
      </c>
      <c r="GY17" s="423">
        <f t="shared" ca="1" si="126"/>
        <v>0</v>
      </c>
      <c r="GZ17" s="423">
        <f t="shared" ca="1" si="126"/>
        <v>0</v>
      </c>
      <c r="HA17" s="423">
        <f t="shared" ca="1" si="126"/>
        <v>0</v>
      </c>
      <c r="HB17" s="423">
        <f t="shared" ca="1" si="126"/>
        <v>0</v>
      </c>
      <c r="HC17" s="423">
        <f t="shared" ca="1" si="126"/>
        <v>0</v>
      </c>
      <c r="HD17" s="423">
        <f t="shared" ca="1" si="126"/>
        <v>0</v>
      </c>
      <c r="HE17" s="423">
        <f t="shared" ca="1" si="126"/>
        <v>0</v>
      </c>
      <c r="HF17" s="423">
        <f t="shared" ca="1" si="126"/>
        <v>0</v>
      </c>
      <c r="HG17" s="423">
        <f t="shared" ca="1" si="126"/>
        <v>0</v>
      </c>
      <c r="HH17" s="423">
        <f t="shared" ca="1" si="126"/>
        <v>0</v>
      </c>
      <c r="HI17" s="423">
        <f t="shared" ca="1" si="126"/>
        <v>0</v>
      </c>
      <c r="HJ17" s="423">
        <f t="shared" ca="1" si="126"/>
        <v>0</v>
      </c>
      <c r="HK17" s="423">
        <f t="shared" ca="1" si="126"/>
        <v>0</v>
      </c>
      <c r="HL17" s="423">
        <f t="shared" ca="1" si="127"/>
        <v>0</v>
      </c>
      <c r="HM17" s="423">
        <f t="shared" ca="1" si="127"/>
        <v>0</v>
      </c>
      <c r="HN17" s="423">
        <f t="shared" ca="1" si="127"/>
        <v>0</v>
      </c>
      <c r="HO17" s="423">
        <f t="shared" ca="1" si="127"/>
        <v>0</v>
      </c>
      <c r="HP17" s="423">
        <f t="shared" ca="1" si="127"/>
        <v>0</v>
      </c>
      <c r="HQ17" s="423">
        <f t="shared" ca="1" si="127"/>
        <v>0</v>
      </c>
      <c r="HR17" s="423">
        <f t="shared" ca="1" si="127"/>
        <v>0</v>
      </c>
      <c r="HS17" s="423">
        <f t="shared" ca="1" si="127"/>
        <v>0</v>
      </c>
      <c r="HT17" s="423">
        <f t="shared" ca="1" si="127"/>
        <v>0</v>
      </c>
    </row>
    <row r="18" spans="1:230" ht="11.25" customHeight="1" x14ac:dyDescent="0.2">
      <c r="A18" s="62">
        <f t="shared" si="128"/>
        <v>7</v>
      </c>
      <c r="B18" s="60" t="str">
        <f>Spaces_Sum!C63</f>
        <v>L01-105_StrsRaccIncd</v>
      </c>
      <c r="C18" s="62" t="str">
        <f>Spaces_Sum!D63</f>
        <v>L01</v>
      </c>
      <c r="D18" s="62" t="str">
        <f ca="1">Spaces_Sum!I63</f>
        <v>IndirectlyConditioned</v>
      </c>
      <c r="F18" s="110">
        <f ca="1">Spaces_Sum!M63</f>
        <v>183.64619999999999</v>
      </c>
      <c r="G18" s="110" t="str">
        <f ca="1">Spaces_Sum!J63</f>
        <v>Stairwell</v>
      </c>
      <c r="H18" s="532"/>
      <c r="I18" s="185"/>
      <c r="J18" s="185"/>
      <c r="K18" s="186"/>
      <c r="L18" s="187"/>
      <c r="M18" s="188"/>
      <c r="N18" s="189"/>
      <c r="O18" s="186"/>
      <c r="P18" s="187"/>
      <c r="Q18" s="188"/>
      <c r="R18" s="189"/>
      <c r="S18" s="186"/>
      <c r="T18" s="187"/>
      <c r="U18" s="188"/>
      <c r="V18" s="189"/>
      <c r="W18" s="186"/>
      <c r="X18" s="187"/>
      <c r="Y18" s="188"/>
      <c r="Z18" s="189"/>
      <c r="AA18" s="186"/>
      <c r="AB18" s="187"/>
      <c r="AC18" s="188"/>
      <c r="AD18" s="189"/>
      <c r="AE18" s="186"/>
      <c r="AF18" s="187"/>
      <c r="AG18" s="188"/>
      <c r="AH18" s="189"/>
      <c r="AI18" s="186"/>
      <c r="AJ18" s="187"/>
      <c r="AK18" s="188"/>
      <c r="AL18" s="189"/>
      <c r="AM18" s="186"/>
      <c r="AN18" s="187"/>
      <c r="AO18" s="188"/>
      <c r="AP18" s="189"/>
      <c r="AQ18" s="186"/>
      <c r="AR18" s="187"/>
      <c r="AS18" s="188"/>
      <c r="AT18" s="189"/>
      <c r="AU18" s="186"/>
      <c r="AV18" s="187"/>
      <c r="AW18" s="188"/>
      <c r="AX18" s="189"/>
      <c r="AY18" s="186"/>
      <c r="AZ18" s="187"/>
      <c r="BA18" s="188"/>
      <c r="BB18" s="189"/>
      <c r="BC18" s="186"/>
      <c r="BD18" s="187"/>
      <c r="BE18" s="188"/>
      <c r="BF18" s="189"/>
      <c r="BG18" s="186"/>
      <c r="BH18" s="187"/>
      <c r="BI18" s="188"/>
      <c r="BJ18" s="189"/>
      <c r="BK18" s="186"/>
      <c r="BL18" s="187"/>
      <c r="BM18" s="188"/>
      <c r="BN18" s="189"/>
      <c r="BO18" s="186"/>
      <c r="BP18" s="187"/>
      <c r="BQ18" s="188"/>
      <c r="BR18" s="189"/>
      <c r="BS18" s="186"/>
      <c r="BT18" s="187"/>
      <c r="BU18" s="188"/>
      <c r="BV18" s="189"/>
      <c r="BW18" s="186"/>
      <c r="BX18" s="187"/>
      <c r="BY18" s="188"/>
      <c r="BZ18" s="189"/>
      <c r="CA18" s="186"/>
      <c r="CB18" s="190"/>
      <c r="CC18" s="190"/>
      <c r="CD18" s="82">
        <f t="shared" si="39"/>
        <v>0</v>
      </c>
      <c r="CE18" s="82">
        <f t="shared" si="40"/>
        <v>0</v>
      </c>
      <c r="CF18" s="82">
        <f t="shared" si="41"/>
        <v>0</v>
      </c>
      <c r="CG18" s="82">
        <f t="shared" si="42"/>
        <v>0</v>
      </c>
      <c r="CH18" s="82">
        <f t="shared" si="43"/>
        <v>0</v>
      </c>
      <c r="CI18" s="82">
        <f t="shared" si="44"/>
        <v>0</v>
      </c>
      <c r="CJ18" s="82">
        <f t="shared" si="45"/>
        <v>0</v>
      </c>
      <c r="CK18" s="82">
        <f t="shared" si="46"/>
        <v>0</v>
      </c>
      <c r="CL18" s="82">
        <f t="shared" si="47"/>
        <v>0</v>
      </c>
      <c r="CM18" s="82">
        <f t="shared" si="48"/>
        <v>0</v>
      </c>
      <c r="CN18" s="82">
        <f t="shared" si="49"/>
        <v>0</v>
      </c>
      <c r="CO18" s="82">
        <f t="shared" si="50"/>
        <v>0</v>
      </c>
      <c r="CP18" s="82">
        <f t="shared" si="51"/>
        <v>0</v>
      </c>
      <c r="CQ18" s="82">
        <f t="shared" si="52"/>
        <v>0</v>
      </c>
      <c r="CR18" s="82">
        <f t="shared" si="53"/>
        <v>0</v>
      </c>
      <c r="CS18" s="82">
        <f t="shared" si="54"/>
        <v>0</v>
      </c>
      <c r="CT18" s="82">
        <f t="shared" si="55"/>
        <v>0</v>
      </c>
      <c r="CU18" s="82">
        <f t="shared" si="56"/>
        <v>0</v>
      </c>
      <c r="CV18" s="82">
        <f t="shared" si="57"/>
        <v>0</v>
      </c>
      <c r="CW18" s="82">
        <f t="shared" si="58"/>
        <v>0</v>
      </c>
      <c r="CX18" s="82">
        <f t="shared" si="59"/>
        <v>0</v>
      </c>
      <c r="CY18" s="82">
        <f t="shared" si="60"/>
        <v>0</v>
      </c>
      <c r="CZ18" s="82">
        <f t="shared" si="61"/>
        <v>0</v>
      </c>
      <c r="DA18" s="82">
        <f t="shared" si="62"/>
        <v>0</v>
      </c>
      <c r="DB18" s="82">
        <f t="shared" si="63"/>
        <v>0</v>
      </c>
      <c r="DC18" s="82">
        <f t="shared" si="64"/>
        <v>0</v>
      </c>
      <c r="DD18" s="82">
        <f t="shared" si="65"/>
        <v>0</v>
      </c>
      <c r="DE18" s="82">
        <f t="shared" si="66"/>
        <v>0</v>
      </c>
      <c r="DF18" s="82">
        <f t="shared" si="67"/>
        <v>0</v>
      </c>
      <c r="DG18" s="82">
        <f t="shared" si="68"/>
        <v>0</v>
      </c>
      <c r="DH18" s="82">
        <f t="shared" si="69"/>
        <v>0</v>
      </c>
      <c r="DI18" s="82">
        <f t="shared" si="70"/>
        <v>0</v>
      </c>
      <c r="DJ18" s="82">
        <f t="shared" si="71"/>
        <v>0</v>
      </c>
      <c r="DK18" s="82">
        <f t="shared" si="72"/>
        <v>0</v>
      </c>
      <c r="DL18" s="82">
        <f t="shared" si="73"/>
        <v>0</v>
      </c>
      <c r="DM18" s="82">
        <f t="shared" si="74"/>
        <v>0</v>
      </c>
      <c r="DN18" s="82">
        <f t="shared" si="75"/>
        <v>0</v>
      </c>
      <c r="DO18" s="82">
        <f t="shared" si="76"/>
        <v>0</v>
      </c>
      <c r="DP18" s="82">
        <f t="shared" si="77"/>
        <v>0</v>
      </c>
      <c r="DQ18" s="82">
        <f t="shared" si="78"/>
        <v>0</v>
      </c>
      <c r="DR18" s="82">
        <f t="shared" si="79"/>
        <v>0</v>
      </c>
      <c r="DS18" s="82">
        <f t="shared" si="80"/>
        <v>0</v>
      </c>
      <c r="DT18" s="82">
        <f t="shared" si="81"/>
        <v>0</v>
      </c>
      <c r="DU18" s="82">
        <f t="shared" si="82"/>
        <v>0</v>
      </c>
      <c r="DV18" s="82">
        <f t="shared" si="83"/>
        <v>0</v>
      </c>
      <c r="DW18" s="82">
        <f t="shared" si="84"/>
        <v>0</v>
      </c>
      <c r="DX18" s="82">
        <f t="shared" si="85"/>
        <v>0</v>
      </c>
      <c r="DY18" s="82">
        <f t="shared" si="86"/>
        <v>0</v>
      </c>
      <c r="DZ18" s="82">
        <f t="shared" si="87"/>
        <v>0</v>
      </c>
      <c r="EA18" s="82">
        <f t="shared" si="88"/>
        <v>0</v>
      </c>
      <c r="EB18" s="82">
        <f t="shared" si="89"/>
        <v>0</v>
      </c>
      <c r="EC18" s="82">
        <f t="shared" si="90"/>
        <v>0</v>
      </c>
      <c r="ED18" s="82">
        <f t="shared" si="91"/>
        <v>0</v>
      </c>
      <c r="EE18" s="82">
        <f t="shared" si="92"/>
        <v>0</v>
      </c>
      <c r="EF18" s="82">
        <f t="shared" si="93"/>
        <v>0</v>
      </c>
      <c r="EG18" s="82">
        <f t="shared" si="94"/>
        <v>0</v>
      </c>
      <c r="EH18" s="82">
        <f t="shared" si="95"/>
        <v>0</v>
      </c>
      <c r="EI18" s="82">
        <f t="shared" si="96"/>
        <v>0</v>
      </c>
      <c r="EJ18" s="82">
        <f t="shared" si="97"/>
        <v>0</v>
      </c>
      <c r="EK18" s="82">
        <f t="shared" si="98"/>
        <v>0</v>
      </c>
      <c r="EL18" s="82">
        <f t="shared" si="99"/>
        <v>0</v>
      </c>
      <c r="EM18" s="82">
        <f t="shared" si="100"/>
        <v>0</v>
      </c>
      <c r="EN18" s="82">
        <f t="shared" si="101"/>
        <v>0</v>
      </c>
      <c r="EO18" s="82">
        <f t="shared" si="102"/>
        <v>0</v>
      </c>
      <c r="EP18" s="82">
        <f t="shared" si="103"/>
        <v>0</v>
      </c>
      <c r="EQ18" s="82">
        <f t="shared" si="104"/>
        <v>0</v>
      </c>
      <c r="ER18" s="82">
        <f t="shared" si="105"/>
        <v>0</v>
      </c>
      <c r="ES18" s="82">
        <f t="shared" si="106"/>
        <v>0</v>
      </c>
      <c r="ET18" s="82">
        <f t="shared" si="107"/>
        <v>0</v>
      </c>
      <c r="EU18" s="82">
        <f t="shared" si="108"/>
        <v>0</v>
      </c>
      <c r="EV18" s="82">
        <f t="shared" si="109"/>
        <v>0</v>
      </c>
      <c r="EW18" s="82">
        <f t="shared" si="110"/>
        <v>0</v>
      </c>
      <c r="EX18" s="82">
        <f t="shared" si="111"/>
        <v>0</v>
      </c>
      <c r="EY18" s="111">
        <f t="shared" si="112"/>
        <v>0</v>
      </c>
      <c r="EZ18" s="143">
        <f t="shared" ca="1" si="113"/>
        <v>0</v>
      </c>
      <c r="FA18" s="112">
        <f t="shared" ca="1" si="114"/>
        <v>0</v>
      </c>
      <c r="FB18" s="113">
        <f t="shared" ca="1" si="115"/>
        <v>0</v>
      </c>
      <c r="FC18" s="114">
        <f t="shared" ca="1" si="116"/>
        <v>0</v>
      </c>
      <c r="FD18" s="115">
        <f t="shared" ca="1" si="117"/>
        <v>0</v>
      </c>
      <c r="FE18" s="116">
        <f t="shared" ca="1" si="118"/>
        <v>0</v>
      </c>
      <c r="FF18" s="117">
        <f t="shared" ca="1" si="119"/>
        <v>0</v>
      </c>
      <c r="FG18" s="71">
        <f t="shared" si="120"/>
        <v>0</v>
      </c>
      <c r="FH18" s="530">
        <f t="shared" ca="1" si="121"/>
        <v>0</v>
      </c>
      <c r="FI18" s="922"/>
      <c r="FJ18" s="922"/>
      <c r="FK18" s="922"/>
      <c r="FM18" s="421" t="str">
        <f t="shared" si="122"/>
        <v>L01-105_StrsRaccIncd</v>
      </c>
      <c r="FN18" s="422" t="str">
        <f t="shared" ca="1" si="123"/>
        <v>Stairwell</v>
      </c>
      <c r="FO18" s="423">
        <f t="shared" ca="1" si="129"/>
        <v>0</v>
      </c>
      <c r="FP18" s="423">
        <f t="shared" ca="1" si="124"/>
        <v>0</v>
      </c>
      <c r="FQ18" s="423">
        <f t="shared" ca="1" si="124"/>
        <v>0</v>
      </c>
      <c r="FR18" s="423">
        <f t="shared" ca="1" si="124"/>
        <v>0</v>
      </c>
      <c r="FS18" s="423">
        <f t="shared" ca="1" si="124"/>
        <v>0</v>
      </c>
      <c r="FT18" s="423">
        <f t="shared" ca="1" si="124"/>
        <v>0</v>
      </c>
      <c r="FU18" s="423">
        <f t="shared" ca="1" si="124"/>
        <v>0</v>
      </c>
      <c r="FV18" s="423">
        <f t="shared" ca="1" si="124"/>
        <v>0</v>
      </c>
      <c r="FW18" s="423">
        <f t="shared" ca="1" si="124"/>
        <v>0</v>
      </c>
      <c r="FX18" s="423">
        <f t="shared" ca="1" si="124"/>
        <v>0</v>
      </c>
      <c r="FY18" s="423">
        <f t="shared" ca="1" si="124"/>
        <v>0</v>
      </c>
      <c r="FZ18" s="423">
        <f t="shared" ca="1" si="124"/>
        <v>0</v>
      </c>
      <c r="GA18" s="423">
        <f t="shared" ca="1" si="124"/>
        <v>0</v>
      </c>
      <c r="GB18" s="423">
        <f t="shared" ca="1" si="124"/>
        <v>0</v>
      </c>
      <c r="GC18" s="423">
        <f t="shared" ca="1" si="124"/>
        <v>0</v>
      </c>
      <c r="GD18" s="423">
        <f t="shared" ca="1" si="124"/>
        <v>0</v>
      </c>
      <c r="GE18" s="423">
        <f t="shared" ca="1" si="124"/>
        <v>0</v>
      </c>
      <c r="GF18" s="423">
        <f t="shared" ca="1" si="125"/>
        <v>0</v>
      </c>
      <c r="GG18" s="423">
        <f t="shared" ca="1" si="125"/>
        <v>0</v>
      </c>
      <c r="GH18" s="423">
        <f t="shared" ca="1" si="125"/>
        <v>0</v>
      </c>
      <c r="GI18" s="423">
        <f t="shared" ca="1" si="125"/>
        <v>0</v>
      </c>
      <c r="GJ18" s="423">
        <f t="shared" ca="1" si="125"/>
        <v>0</v>
      </c>
      <c r="GK18" s="423">
        <f t="shared" ca="1" si="125"/>
        <v>0</v>
      </c>
      <c r="GL18" s="423">
        <f t="shared" ca="1" si="125"/>
        <v>0</v>
      </c>
      <c r="GM18" s="423">
        <f t="shared" ca="1" si="125"/>
        <v>0</v>
      </c>
      <c r="GN18" s="423">
        <f t="shared" ca="1" si="125"/>
        <v>0</v>
      </c>
      <c r="GO18" s="423">
        <f t="shared" ca="1" si="125"/>
        <v>0</v>
      </c>
      <c r="GP18" s="423">
        <f t="shared" ca="1" si="125"/>
        <v>0</v>
      </c>
      <c r="GQ18" s="423">
        <f t="shared" ca="1" si="125"/>
        <v>0</v>
      </c>
      <c r="GR18" s="423">
        <f t="shared" ca="1" si="125"/>
        <v>0</v>
      </c>
      <c r="GS18" s="423">
        <f t="shared" ca="1" si="125"/>
        <v>0</v>
      </c>
      <c r="GT18" s="423">
        <f t="shared" ca="1" si="125"/>
        <v>0</v>
      </c>
      <c r="GU18" s="423">
        <f t="shared" ca="1" si="125"/>
        <v>0</v>
      </c>
      <c r="GV18" s="423">
        <f t="shared" ca="1" si="126"/>
        <v>0</v>
      </c>
      <c r="GW18" s="423">
        <f t="shared" ca="1" si="126"/>
        <v>0</v>
      </c>
      <c r="GX18" s="423">
        <f t="shared" ca="1" si="126"/>
        <v>0</v>
      </c>
      <c r="GY18" s="423">
        <f t="shared" ca="1" si="126"/>
        <v>0</v>
      </c>
      <c r="GZ18" s="423">
        <f t="shared" ca="1" si="126"/>
        <v>0</v>
      </c>
      <c r="HA18" s="423">
        <f t="shared" ca="1" si="126"/>
        <v>0</v>
      </c>
      <c r="HB18" s="423">
        <f t="shared" ca="1" si="126"/>
        <v>0</v>
      </c>
      <c r="HC18" s="423">
        <f t="shared" ca="1" si="126"/>
        <v>0</v>
      </c>
      <c r="HD18" s="423">
        <f t="shared" ca="1" si="126"/>
        <v>0</v>
      </c>
      <c r="HE18" s="423">
        <f t="shared" ca="1" si="126"/>
        <v>0</v>
      </c>
      <c r="HF18" s="423">
        <f t="shared" ca="1" si="126"/>
        <v>0</v>
      </c>
      <c r="HG18" s="423">
        <f t="shared" ca="1" si="126"/>
        <v>0</v>
      </c>
      <c r="HH18" s="423">
        <f t="shared" ca="1" si="126"/>
        <v>0</v>
      </c>
      <c r="HI18" s="423">
        <f t="shared" ca="1" si="126"/>
        <v>0</v>
      </c>
      <c r="HJ18" s="423">
        <f t="shared" ca="1" si="126"/>
        <v>0</v>
      </c>
      <c r="HK18" s="423">
        <f t="shared" ca="1" si="126"/>
        <v>0</v>
      </c>
      <c r="HL18" s="423">
        <f t="shared" ca="1" si="127"/>
        <v>0</v>
      </c>
      <c r="HM18" s="423">
        <f t="shared" ca="1" si="127"/>
        <v>0</v>
      </c>
      <c r="HN18" s="423">
        <f t="shared" ca="1" si="127"/>
        <v>0</v>
      </c>
      <c r="HO18" s="423">
        <f t="shared" ca="1" si="127"/>
        <v>0</v>
      </c>
      <c r="HP18" s="423">
        <f t="shared" ca="1" si="127"/>
        <v>0</v>
      </c>
      <c r="HQ18" s="423">
        <f t="shared" ca="1" si="127"/>
        <v>0</v>
      </c>
      <c r="HR18" s="423">
        <f t="shared" ca="1" si="127"/>
        <v>0</v>
      </c>
      <c r="HS18" s="423">
        <f t="shared" ca="1" si="127"/>
        <v>0</v>
      </c>
      <c r="HT18" s="423">
        <f t="shared" ca="1" si="127"/>
        <v>0</v>
      </c>
    </row>
    <row r="19" spans="1:230" ht="11.25" customHeight="1" x14ac:dyDescent="0.2">
      <c r="A19" s="62">
        <f t="shared" si="128"/>
        <v>8</v>
      </c>
      <c r="B19" s="60" t="str">
        <f>Spaces_Sum!C64</f>
        <v>L01-106_ComlComlSphp</v>
      </c>
      <c r="C19" s="62" t="str">
        <f>Spaces_Sum!D64</f>
        <v>L01</v>
      </c>
      <c r="D19" s="62" t="str">
        <f ca="1">Spaces_Sum!I64</f>
        <v>DirectlyConditioned</v>
      </c>
      <c r="F19" s="110">
        <f ca="1">Spaces_Sum!M64</f>
        <v>1232.3525</v>
      </c>
      <c r="G19" s="110" t="str">
        <f ca="1">Spaces_Sum!J64</f>
        <v>Office - Open plan</v>
      </c>
      <c r="H19" s="532"/>
      <c r="I19" s="185"/>
      <c r="J19" s="185"/>
      <c r="K19" s="186"/>
      <c r="L19" s="187"/>
      <c r="M19" s="188"/>
      <c r="N19" s="189"/>
      <c r="O19" s="186"/>
      <c r="P19" s="187"/>
      <c r="Q19" s="188"/>
      <c r="R19" s="189"/>
      <c r="S19" s="186"/>
      <c r="T19" s="187"/>
      <c r="U19" s="188"/>
      <c r="V19" s="189"/>
      <c r="W19" s="186"/>
      <c r="X19" s="187"/>
      <c r="Y19" s="188"/>
      <c r="Z19" s="189"/>
      <c r="AA19" s="186"/>
      <c r="AB19" s="187"/>
      <c r="AC19" s="188"/>
      <c r="AD19" s="189"/>
      <c r="AE19" s="186"/>
      <c r="AF19" s="187"/>
      <c r="AG19" s="188"/>
      <c r="AH19" s="189"/>
      <c r="AI19" s="186"/>
      <c r="AJ19" s="187"/>
      <c r="AK19" s="188"/>
      <c r="AL19" s="189"/>
      <c r="AM19" s="186"/>
      <c r="AN19" s="187"/>
      <c r="AO19" s="188"/>
      <c r="AP19" s="189"/>
      <c r="AQ19" s="186"/>
      <c r="AR19" s="187"/>
      <c r="AS19" s="188"/>
      <c r="AT19" s="189"/>
      <c r="AU19" s="186"/>
      <c r="AV19" s="187"/>
      <c r="AW19" s="188"/>
      <c r="AX19" s="189"/>
      <c r="AY19" s="186"/>
      <c r="AZ19" s="187"/>
      <c r="BA19" s="188"/>
      <c r="BB19" s="189"/>
      <c r="BC19" s="186"/>
      <c r="BD19" s="187"/>
      <c r="BE19" s="188"/>
      <c r="BF19" s="189"/>
      <c r="BG19" s="186"/>
      <c r="BH19" s="187"/>
      <c r="BI19" s="188"/>
      <c r="BJ19" s="189"/>
      <c r="BK19" s="186"/>
      <c r="BL19" s="187"/>
      <c r="BM19" s="188"/>
      <c r="BN19" s="189"/>
      <c r="BO19" s="186"/>
      <c r="BP19" s="187"/>
      <c r="BQ19" s="188"/>
      <c r="BR19" s="189"/>
      <c r="BS19" s="186"/>
      <c r="BT19" s="187"/>
      <c r="BU19" s="188"/>
      <c r="BV19" s="189"/>
      <c r="BW19" s="186"/>
      <c r="BX19" s="187"/>
      <c r="BY19" s="188"/>
      <c r="BZ19" s="189"/>
      <c r="CA19" s="186"/>
      <c r="CB19" s="190"/>
      <c r="CC19" s="190"/>
      <c r="CD19" s="82">
        <f t="shared" si="39"/>
        <v>0</v>
      </c>
      <c r="CE19" s="82">
        <f t="shared" si="40"/>
        <v>0</v>
      </c>
      <c r="CF19" s="82">
        <f t="shared" si="41"/>
        <v>0</v>
      </c>
      <c r="CG19" s="82">
        <f t="shared" si="42"/>
        <v>0</v>
      </c>
      <c r="CH19" s="82">
        <f t="shared" si="43"/>
        <v>0</v>
      </c>
      <c r="CI19" s="82">
        <f t="shared" si="44"/>
        <v>0</v>
      </c>
      <c r="CJ19" s="82">
        <f t="shared" si="45"/>
        <v>0</v>
      </c>
      <c r="CK19" s="82">
        <f t="shared" si="46"/>
        <v>0</v>
      </c>
      <c r="CL19" s="82">
        <f t="shared" si="47"/>
        <v>0</v>
      </c>
      <c r="CM19" s="82">
        <f t="shared" si="48"/>
        <v>0</v>
      </c>
      <c r="CN19" s="82">
        <f t="shared" si="49"/>
        <v>0</v>
      </c>
      <c r="CO19" s="82">
        <f t="shared" si="50"/>
        <v>0</v>
      </c>
      <c r="CP19" s="82">
        <f t="shared" si="51"/>
        <v>0</v>
      </c>
      <c r="CQ19" s="82">
        <f t="shared" si="52"/>
        <v>0</v>
      </c>
      <c r="CR19" s="82">
        <f t="shared" si="53"/>
        <v>0</v>
      </c>
      <c r="CS19" s="82">
        <f t="shared" si="54"/>
        <v>0</v>
      </c>
      <c r="CT19" s="82">
        <f t="shared" si="55"/>
        <v>0</v>
      </c>
      <c r="CU19" s="82">
        <f t="shared" si="56"/>
        <v>0</v>
      </c>
      <c r="CV19" s="82">
        <f t="shared" si="57"/>
        <v>0</v>
      </c>
      <c r="CW19" s="82">
        <f t="shared" si="58"/>
        <v>0</v>
      </c>
      <c r="CX19" s="82">
        <f t="shared" si="59"/>
        <v>0</v>
      </c>
      <c r="CY19" s="82">
        <f t="shared" si="60"/>
        <v>0</v>
      </c>
      <c r="CZ19" s="82">
        <f t="shared" si="61"/>
        <v>0</v>
      </c>
      <c r="DA19" s="82">
        <f t="shared" si="62"/>
        <v>0</v>
      </c>
      <c r="DB19" s="82">
        <f t="shared" si="63"/>
        <v>0</v>
      </c>
      <c r="DC19" s="82">
        <f t="shared" si="64"/>
        <v>0</v>
      </c>
      <c r="DD19" s="82">
        <f t="shared" si="65"/>
        <v>0</v>
      </c>
      <c r="DE19" s="82">
        <f t="shared" si="66"/>
        <v>0</v>
      </c>
      <c r="DF19" s="82">
        <f t="shared" si="67"/>
        <v>0</v>
      </c>
      <c r="DG19" s="82">
        <f t="shared" si="68"/>
        <v>0</v>
      </c>
      <c r="DH19" s="82">
        <f t="shared" si="69"/>
        <v>0</v>
      </c>
      <c r="DI19" s="82">
        <f t="shared" si="70"/>
        <v>0</v>
      </c>
      <c r="DJ19" s="82">
        <f t="shared" si="71"/>
        <v>0</v>
      </c>
      <c r="DK19" s="82">
        <f t="shared" si="72"/>
        <v>0</v>
      </c>
      <c r="DL19" s="82">
        <f t="shared" si="73"/>
        <v>0</v>
      </c>
      <c r="DM19" s="82">
        <f t="shared" si="74"/>
        <v>0</v>
      </c>
      <c r="DN19" s="82">
        <f t="shared" si="75"/>
        <v>0</v>
      </c>
      <c r="DO19" s="82">
        <f t="shared" si="76"/>
        <v>0</v>
      </c>
      <c r="DP19" s="82">
        <f t="shared" si="77"/>
        <v>0</v>
      </c>
      <c r="DQ19" s="82">
        <f t="shared" si="78"/>
        <v>0</v>
      </c>
      <c r="DR19" s="82">
        <f t="shared" si="79"/>
        <v>0</v>
      </c>
      <c r="DS19" s="82">
        <f t="shared" si="80"/>
        <v>0</v>
      </c>
      <c r="DT19" s="82">
        <f t="shared" si="81"/>
        <v>0</v>
      </c>
      <c r="DU19" s="82">
        <f t="shared" si="82"/>
        <v>0</v>
      </c>
      <c r="DV19" s="82">
        <f t="shared" si="83"/>
        <v>0</v>
      </c>
      <c r="DW19" s="82">
        <f t="shared" si="84"/>
        <v>0</v>
      </c>
      <c r="DX19" s="82">
        <f t="shared" si="85"/>
        <v>0</v>
      </c>
      <c r="DY19" s="82">
        <f t="shared" si="86"/>
        <v>0</v>
      </c>
      <c r="DZ19" s="82">
        <f t="shared" si="87"/>
        <v>0</v>
      </c>
      <c r="EA19" s="82">
        <f t="shared" si="88"/>
        <v>0</v>
      </c>
      <c r="EB19" s="82">
        <f t="shared" si="89"/>
        <v>0</v>
      </c>
      <c r="EC19" s="82">
        <f t="shared" si="90"/>
        <v>0</v>
      </c>
      <c r="ED19" s="82">
        <f t="shared" si="91"/>
        <v>0</v>
      </c>
      <c r="EE19" s="82">
        <f t="shared" si="92"/>
        <v>0</v>
      </c>
      <c r="EF19" s="82">
        <f t="shared" si="93"/>
        <v>0</v>
      </c>
      <c r="EG19" s="82">
        <f t="shared" si="94"/>
        <v>0</v>
      </c>
      <c r="EH19" s="82">
        <f t="shared" si="95"/>
        <v>0</v>
      </c>
      <c r="EI19" s="82">
        <f t="shared" si="96"/>
        <v>0</v>
      </c>
      <c r="EJ19" s="82">
        <f t="shared" si="97"/>
        <v>0</v>
      </c>
      <c r="EK19" s="82">
        <f t="shared" si="98"/>
        <v>0</v>
      </c>
      <c r="EL19" s="82">
        <f t="shared" si="99"/>
        <v>0</v>
      </c>
      <c r="EM19" s="82">
        <f t="shared" si="100"/>
        <v>0</v>
      </c>
      <c r="EN19" s="82">
        <f t="shared" si="101"/>
        <v>0</v>
      </c>
      <c r="EO19" s="82">
        <f t="shared" si="102"/>
        <v>0</v>
      </c>
      <c r="EP19" s="82">
        <f t="shared" si="103"/>
        <v>0</v>
      </c>
      <c r="EQ19" s="82">
        <f t="shared" si="104"/>
        <v>0</v>
      </c>
      <c r="ER19" s="82">
        <f t="shared" si="105"/>
        <v>0</v>
      </c>
      <c r="ES19" s="82">
        <f t="shared" si="106"/>
        <v>0</v>
      </c>
      <c r="ET19" s="82">
        <f t="shared" si="107"/>
        <v>0</v>
      </c>
      <c r="EU19" s="82">
        <f t="shared" si="108"/>
        <v>0</v>
      </c>
      <c r="EV19" s="82">
        <f t="shared" si="109"/>
        <v>0</v>
      </c>
      <c r="EW19" s="82">
        <f t="shared" si="110"/>
        <v>0</v>
      </c>
      <c r="EX19" s="82">
        <f t="shared" si="111"/>
        <v>0</v>
      </c>
      <c r="EY19" s="111">
        <f t="shared" si="112"/>
        <v>0</v>
      </c>
      <c r="EZ19" s="143">
        <f t="shared" ca="1" si="113"/>
        <v>0</v>
      </c>
      <c r="FA19" s="112">
        <f t="shared" ca="1" si="114"/>
        <v>0</v>
      </c>
      <c r="FB19" s="113">
        <f t="shared" ca="1" si="115"/>
        <v>0</v>
      </c>
      <c r="FC19" s="114">
        <f t="shared" ca="1" si="116"/>
        <v>0</v>
      </c>
      <c r="FD19" s="115">
        <f t="shared" ca="1" si="117"/>
        <v>0</v>
      </c>
      <c r="FE19" s="116">
        <f t="shared" ca="1" si="118"/>
        <v>0</v>
      </c>
      <c r="FF19" s="117">
        <f t="shared" ca="1" si="119"/>
        <v>0</v>
      </c>
      <c r="FG19" s="71">
        <f t="shared" si="120"/>
        <v>0</v>
      </c>
      <c r="FH19" s="530">
        <f t="shared" ca="1" si="121"/>
        <v>0</v>
      </c>
      <c r="FI19" s="922"/>
      <c r="FJ19" s="922"/>
      <c r="FK19" s="922"/>
      <c r="FM19" s="421" t="str">
        <f t="shared" si="122"/>
        <v>L01-106_ComlComlSphp</v>
      </c>
      <c r="FN19" s="422" t="str">
        <f t="shared" ca="1" si="123"/>
        <v>Office - Open plan</v>
      </c>
      <c r="FO19" s="423">
        <f t="shared" ca="1" si="129"/>
        <v>0</v>
      </c>
      <c r="FP19" s="423">
        <f t="shared" ca="1" si="124"/>
        <v>0</v>
      </c>
      <c r="FQ19" s="423">
        <f t="shared" ca="1" si="124"/>
        <v>0</v>
      </c>
      <c r="FR19" s="423">
        <f t="shared" ca="1" si="124"/>
        <v>0</v>
      </c>
      <c r="FS19" s="423">
        <f t="shared" ca="1" si="124"/>
        <v>0</v>
      </c>
      <c r="FT19" s="423">
        <f t="shared" ca="1" si="124"/>
        <v>0</v>
      </c>
      <c r="FU19" s="423">
        <f t="shared" ca="1" si="124"/>
        <v>0</v>
      </c>
      <c r="FV19" s="423">
        <f t="shared" ca="1" si="124"/>
        <v>0</v>
      </c>
      <c r="FW19" s="423">
        <f t="shared" ca="1" si="124"/>
        <v>0</v>
      </c>
      <c r="FX19" s="423">
        <f t="shared" ca="1" si="124"/>
        <v>0</v>
      </c>
      <c r="FY19" s="423">
        <f t="shared" ca="1" si="124"/>
        <v>0</v>
      </c>
      <c r="FZ19" s="423">
        <f t="shared" ca="1" si="124"/>
        <v>0</v>
      </c>
      <c r="GA19" s="423">
        <f t="shared" ca="1" si="124"/>
        <v>0</v>
      </c>
      <c r="GB19" s="423">
        <f t="shared" ca="1" si="124"/>
        <v>0</v>
      </c>
      <c r="GC19" s="423">
        <f t="shared" ca="1" si="124"/>
        <v>0</v>
      </c>
      <c r="GD19" s="423">
        <f t="shared" ca="1" si="124"/>
        <v>0</v>
      </c>
      <c r="GE19" s="423">
        <f t="shared" ca="1" si="124"/>
        <v>0</v>
      </c>
      <c r="GF19" s="423">
        <f t="shared" ca="1" si="125"/>
        <v>0</v>
      </c>
      <c r="GG19" s="423">
        <f t="shared" ca="1" si="125"/>
        <v>0</v>
      </c>
      <c r="GH19" s="423">
        <f t="shared" ca="1" si="125"/>
        <v>0</v>
      </c>
      <c r="GI19" s="423">
        <f t="shared" ca="1" si="125"/>
        <v>0</v>
      </c>
      <c r="GJ19" s="423">
        <f t="shared" ca="1" si="125"/>
        <v>0</v>
      </c>
      <c r="GK19" s="423">
        <f t="shared" ca="1" si="125"/>
        <v>0</v>
      </c>
      <c r="GL19" s="423">
        <f t="shared" ca="1" si="125"/>
        <v>0</v>
      </c>
      <c r="GM19" s="423">
        <f t="shared" ca="1" si="125"/>
        <v>0</v>
      </c>
      <c r="GN19" s="423">
        <f t="shared" ca="1" si="125"/>
        <v>0</v>
      </c>
      <c r="GO19" s="423">
        <f t="shared" ca="1" si="125"/>
        <v>0</v>
      </c>
      <c r="GP19" s="423">
        <f t="shared" ca="1" si="125"/>
        <v>0</v>
      </c>
      <c r="GQ19" s="423">
        <f t="shared" ca="1" si="125"/>
        <v>0</v>
      </c>
      <c r="GR19" s="423">
        <f t="shared" ca="1" si="125"/>
        <v>0</v>
      </c>
      <c r="GS19" s="423">
        <f t="shared" ca="1" si="125"/>
        <v>0</v>
      </c>
      <c r="GT19" s="423">
        <f t="shared" ca="1" si="125"/>
        <v>0</v>
      </c>
      <c r="GU19" s="423">
        <f t="shared" ca="1" si="125"/>
        <v>0</v>
      </c>
      <c r="GV19" s="423">
        <f t="shared" ca="1" si="126"/>
        <v>0</v>
      </c>
      <c r="GW19" s="423">
        <f t="shared" ca="1" si="126"/>
        <v>0</v>
      </c>
      <c r="GX19" s="423">
        <f t="shared" ca="1" si="126"/>
        <v>0</v>
      </c>
      <c r="GY19" s="423">
        <f t="shared" ca="1" si="126"/>
        <v>0</v>
      </c>
      <c r="GZ19" s="423">
        <f t="shared" ca="1" si="126"/>
        <v>0</v>
      </c>
      <c r="HA19" s="423">
        <f t="shared" ca="1" si="126"/>
        <v>0</v>
      </c>
      <c r="HB19" s="423">
        <f t="shared" ca="1" si="126"/>
        <v>0</v>
      </c>
      <c r="HC19" s="423">
        <f t="shared" ca="1" si="126"/>
        <v>0</v>
      </c>
      <c r="HD19" s="423">
        <f t="shared" ca="1" si="126"/>
        <v>0</v>
      </c>
      <c r="HE19" s="423">
        <f t="shared" ca="1" si="126"/>
        <v>0</v>
      </c>
      <c r="HF19" s="423">
        <f t="shared" ca="1" si="126"/>
        <v>0</v>
      </c>
      <c r="HG19" s="423">
        <f t="shared" ca="1" si="126"/>
        <v>0</v>
      </c>
      <c r="HH19" s="423">
        <f t="shared" ca="1" si="126"/>
        <v>0</v>
      </c>
      <c r="HI19" s="423">
        <f t="shared" ca="1" si="126"/>
        <v>0</v>
      </c>
      <c r="HJ19" s="423">
        <f t="shared" ca="1" si="126"/>
        <v>0</v>
      </c>
      <c r="HK19" s="423">
        <f t="shared" ca="1" si="126"/>
        <v>0</v>
      </c>
      <c r="HL19" s="423">
        <f t="shared" ca="1" si="127"/>
        <v>0</v>
      </c>
      <c r="HM19" s="423">
        <f t="shared" ca="1" si="127"/>
        <v>0</v>
      </c>
      <c r="HN19" s="423">
        <f t="shared" ca="1" si="127"/>
        <v>0</v>
      </c>
      <c r="HO19" s="423">
        <f t="shared" ca="1" si="127"/>
        <v>0</v>
      </c>
      <c r="HP19" s="423">
        <f t="shared" ca="1" si="127"/>
        <v>0</v>
      </c>
      <c r="HQ19" s="423">
        <f t="shared" ca="1" si="127"/>
        <v>0</v>
      </c>
      <c r="HR19" s="423">
        <f t="shared" ca="1" si="127"/>
        <v>0</v>
      </c>
      <c r="HS19" s="423">
        <f t="shared" ca="1" si="127"/>
        <v>0</v>
      </c>
      <c r="HT19" s="423">
        <f t="shared" ca="1" si="127"/>
        <v>0</v>
      </c>
    </row>
    <row r="20" spans="1:230" ht="11.25" customHeight="1" x14ac:dyDescent="0.2">
      <c r="A20" s="62">
        <f t="shared" si="128"/>
        <v>9</v>
      </c>
      <c r="B20" s="60" t="str">
        <f>Spaces_Sum!C65</f>
        <v>L01-107_ComlComlSphp</v>
      </c>
      <c r="C20" s="62" t="str">
        <f>Spaces_Sum!D65</f>
        <v>L01</v>
      </c>
      <c r="D20" s="62" t="str">
        <f ca="1">Spaces_Sum!I65</f>
        <v>DirectlyConditioned</v>
      </c>
      <c r="F20" s="110">
        <f ca="1">Spaces_Sum!M65</f>
        <v>4173.6235999999999</v>
      </c>
      <c r="G20" s="110" t="str">
        <f ca="1">Spaces_Sum!J65</f>
        <v>Office - Open plan</v>
      </c>
      <c r="H20" s="532"/>
      <c r="I20" s="185"/>
      <c r="J20" s="185"/>
      <c r="K20" s="186"/>
      <c r="L20" s="187"/>
      <c r="M20" s="188"/>
      <c r="N20" s="189"/>
      <c r="O20" s="186"/>
      <c r="P20" s="187"/>
      <c r="Q20" s="188"/>
      <c r="R20" s="189"/>
      <c r="S20" s="186"/>
      <c r="T20" s="187"/>
      <c r="U20" s="188"/>
      <c r="V20" s="189"/>
      <c r="W20" s="186"/>
      <c r="X20" s="187"/>
      <c r="Y20" s="188"/>
      <c r="Z20" s="189"/>
      <c r="AA20" s="186"/>
      <c r="AB20" s="187"/>
      <c r="AC20" s="188"/>
      <c r="AD20" s="189"/>
      <c r="AE20" s="186"/>
      <c r="AF20" s="187"/>
      <c r="AG20" s="188"/>
      <c r="AH20" s="189"/>
      <c r="AI20" s="186"/>
      <c r="AJ20" s="187"/>
      <c r="AK20" s="188"/>
      <c r="AL20" s="189"/>
      <c r="AM20" s="186"/>
      <c r="AN20" s="187"/>
      <c r="AO20" s="188"/>
      <c r="AP20" s="189"/>
      <c r="AQ20" s="186"/>
      <c r="AR20" s="187"/>
      <c r="AS20" s="188"/>
      <c r="AT20" s="189"/>
      <c r="AU20" s="186"/>
      <c r="AV20" s="187"/>
      <c r="AW20" s="188"/>
      <c r="AX20" s="189"/>
      <c r="AY20" s="186"/>
      <c r="AZ20" s="187"/>
      <c r="BA20" s="188"/>
      <c r="BB20" s="189"/>
      <c r="BC20" s="186"/>
      <c r="BD20" s="187"/>
      <c r="BE20" s="188"/>
      <c r="BF20" s="189"/>
      <c r="BG20" s="186"/>
      <c r="BH20" s="187"/>
      <c r="BI20" s="188"/>
      <c r="BJ20" s="189"/>
      <c r="BK20" s="186"/>
      <c r="BL20" s="187"/>
      <c r="BM20" s="188"/>
      <c r="BN20" s="189"/>
      <c r="BO20" s="186"/>
      <c r="BP20" s="187"/>
      <c r="BQ20" s="188"/>
      <c r="BR20" s="189"/>
      <c r="BS20" s="186"/>
      <c r="BT20" s="187"/>
      <c r="BU20" s="188"/>
      <c r="BV20" s="189"/>
      <c r="BW20" s="186"/>
      <c r="BX20" s="187"/>
      <c r="BY20" s="188"/>
      <c r="BZ20" s="189"/>
      <c r="CA20" s="186"/>
      <c r="CB20" s="190"/>
      <c r="CC20" s="190"/>
      <c r="CD20" s="82">
        <f t="shared" si="39"/>
        <v>0</v>
      </c>
      <c r="CE20" s="82">
        <f t="shared" si="40"/>
        <v>0</v>
      </c>
      <c r="CF20" s="82">
        <f t="shared" si="41"/>
        <v>0</v>
      </c>
      <c r="CG20" s="82">
        <f t="shared" si="42"/>
        <v>0</v>
      </c>
      <c r="CH20" s="82">
        <f t="shared" si="43"/>
        <v>0</v>
      </c>
      <c r="CI20" s="82">
        <f t="shared" si="44"/>
        <v>0</v>
      </c>
      <c r="CJ20" s="82">
        <f t="shared" si="45"/>
        <v>0</v>
      </c>
      <c r="CK20" s="82">
        <f t="shared" si="46"/>
        <v>0</v>
      </c>
      <c r="CL20" s="82">
        <f t="shared" si="47"/>
        <v>0</v>
      </c>
      <c r="CM20" s="82">
        <f t="shared" si="48"/>
        <v>0</v>
      </c>
      <c r="CN20" s="82">
        <f t="shared" si="49"/>
        <v>0</v>
      </c>
      <c r="CO20" s="82">
        <f t="shared" si="50"/>
        <v>0</v>
      </c>
      <c r="CP20" s="82">
        <f t="shared" si="51"/>
        <v>0</v>
      </c>
      <c r="CQ20" s="82">
        <f t="shared" si="52"/>
        <v>0</v>
      </c>
      <c r="CR20" s="82">
        <f t="shared" si="53"/>
        <v>0</v>
      </c>
      <c r="CS20" s="82">
        <f t="shared" si="54"/>
        <v>0</v>
      </c>
      <c r="CT20" s="82">
        <f t="shared" si="55"/>
        <v>0</v>
      </c>
      <c r="CU20" s="82">
        <f t="shared" si="56"/>
        <v>0</v>
      </c>
      <c r="CV20" s="82">
        <f t="shared" si="57"/>
        <v>0</v>
      </c>
      <c r="CW20" s="82">
        <f t="shared" si="58"/>
        <v>0</v>
      </c>
      <c r="CX20" s="82">
        <f t="shared" si="59"/>
        <v>0</v>
      </c>
      <c r="CY20" s="82">
        <f t="shared" si="60"/>
        <v>0</v>
      </c>
      <c r="CZ20" s="82">
        <f t="shared" si="61"/>
        <v>0</v>
      </c>
      <c r="DA20" s="82">
        <f t="shared" si="62"/>
        <v>0</v>
      </c>
      <c r="DB20" s="82">
        <f t="shared" si="63"/>
        <v>0</v>
      </c>
      <c r="DC20" s="82">
        <f t="shared" si="64"/>
        <v>0</v>
      </c>
      <c r="DD20" s="82">
        <f t="shared" si="65"/>
        <v>0</v>
      </c>
      <c r="DE20" s="82">
        <f t="shared" si="66"/>
        <v>0</v>
      </c>
      <c r="DF20" s="82">
        <f t="shared" si="67"/>
        <v>0</v>
      </c>
      <c r="DG20" s="82">
        <f t="shared" si="68"/>
        <v>0</v>
      </c>
      <c r="DH20" s="82">
        <f t="shared" si="69"/>
        <v>0</v>
      </c>
      <c r="DI20" s="82">
        <f t="shared" si="70"/>
        <v>0</v>
      </c>
      <c r="DJ20" s="82">
        <f t="shared" si="71"/>
        <v>0</v>
      </c>
      <c r="DK20" s="82">
        <f t="shared" si="72"/>
        <v>0</v>
      </c>
      <c r="DL20" s="82">
        <f t="shared" si="73"/>
        <v>0</v>
      </c>
      <c r="DM20" s="82">
        <f t="shared" si="74"/>
        <v>0</v>
      </c>
      <c r="DN20" s="82">
        <f t="shared" si="75"/>
        <v>0</v>
      </c>
      <c r="DO20" s="82">
        <f t="shared" si="76"/>
        <v>0</v>
      </c>
      <c r="DP20" s="82">
        <f t="shared" si="77"/>
        <v>0</v>
      </c>
      <c r="DQ20" s="82">
        <f t="shared" si="78"/>
        <v>0</v>
      </c>
      <c r="DR20" s="82">
        <f t="shared" si="79"/>
        <v>0</v>
      </c>
      <c r="DS20" s="82">
        <f t="shared" si="80"/>
        <v>0</v>
      </c>
      <c r="DT20" s="82">
        <f t="shared" si="81"/>
        <v>0</v>
      </c>
      <c r="DU20" s="82">
        <f t="shared" si="82"/>
        <v>0</v>
      </c>
      <c r="DV20" s="82">
        <f t="shared" si="83"/>
        <v>0</v>
      </c>
      <c r="DW20" s="82">
        <f t="shared" si="84"/>
        <v>0</v>
      </c>
      <c r="DX20" s="82">
        <f t="shared" si="85"/>
        <v>0</v>
      </c>
      <c r="DY20" s="82">
        <f t="shared" si="86"/>
        <v>0</v>
      </c>
      <c r="DZ20" s="82">
        <f t="shared" si="87"/>
        <v>0</v>
      </c>
      <c r="EA20" s="82">
        <f t="shared" si="88"/>
        <v>0</v>
      </c>
      <c r="EB20" s="82">
        <f t="shared" si="89"/>
        <v>0</v>
      </c>
      <c r="EC20" s="82">
        <f t="shared" si="90"/>
        <v>0</v>
      </c>
      <c r="ED20" s="82">
        <f t="shared" si="91"/>
        <v>0</v>
      </c>
      <c r="EE20" s="82">
        <f t="shared" si="92"/>
        <v>0</v>
      </c>
      <c r="EF20" s="82">
        <f t="shared" si="93"/>
        <v>0</v>
      </c>
      <c r="EG20" s="82">
        <f t="shared" si="94"/>
        <v>0</v>
      </c>
      <c r="EH20" s="82">
        <f t="shared" si="95"/>
        <v>0</v>
      </c>
      <c r="EI20" s="82">
        <f t="shared" si="96"/>
        <v>0</v>
      </c>
      <c r="EJ20" s="82">
        <f t="shared" si="97"/>
        <v>0</v>
      </c>
      <c r="EK20" s="82">
        <f t="shared" si="98"/>
        <v>0</v>
      </c>
      <c r="EL20" s="82">
        <f t="shared" si="99"/>
        <v>0</v>
      </c>
      <c r="EM20" s="82">
        <f t="shared" si="100"/>
        <v>0</v>
      </c>
      <c r="EN20" s="82">
        <f t="shared" si="101"/>
        <v>0</v>
      </c>
      <c r="EO20" s="82">
        <f t="shared" si="102"/>
        <v>0</v>
      </c>
      <c r="EP20" s="82">
        <f t="shared" si="103"/>
        <v>0</v>
      </c>
      <c r="EQ20" s="82">
        <f t="shared" si="104"/>
        <v>0</v>
      </c>
      <c r="ER20" s="82">
        <f t="shared" si="105"/>
        <v>0</v>
      </c>
      <c r="ES20" s="82">
        <f t="shared" si="106"/>
        <v>0</v>
      </c>
      <c r="ET20" s="82">
        <f t="shared" si="107"/>
        <v>0</v>
      </c>
      <c r="EU20" s="82">
        <f t="shared" si="108"/>
        <v>0</v>
      </c>
      <c r="EV20" s="82">
        <f t="shared" si="109"/>
        <v>0</v>
      </c>
      <c r="EW20" s="82">
        <f t="shared" si="110"/>
        <v>0</v>
      </c>
      <c r="EX20" s="82">
        <f t="shared" si="111"/>
        <v>0</v>
      </c>
      <c r="EY20" s="111">
        <f t="shared" si="112"/>
        <v>0</v>
      </c>
      <c r="EZ20" s="143">
        <f t="shared" ca="1" si="113"/>
        <v>0</v>
      </c>
      <c r="FA20" s="112">
        <f t="shared" ca="1" si="114"/>
        <v>0</v>
      </c>
      <c r="FB20" s="113">
        <f t="shared" ca="1" si="115"/>
        <v>0</v>
      </c>
      <c r="FC20" s="114">
        <f t="shared" ca="1" si="116"/>
        <v>0</v>
      </c>
      <c r="FD20" s="115">
        <f t="shared" ca="1" si="117"/>
        <v>0</v>
      </c>
      <c r="FE20" s="116">
        <f t="shared" ca="1" si="118"/>
        <v>0</v>
      </c>
      <c r="FF20" s="117">
        <f t="shared" ca="1" si="119"/>
        <v>0</v>
      </c>
      <c r="FG20" s="71">
        <f t="shared" si="120"/>
        <v>0</v>
      </c>
      <c r="FH20" s="530">
        <f t="shared" ca="1" si="121"/>
        <v>0</v>
      </c>
      <c r="FI20" s="922"/>
      <c r="FJ20" s="922"/>
      <c r="FK20" s="922"/>
      <c r="FM20" s="421" t="str">
        <f t="shared" si="122"/>
        <v>L01-107_ComlComlSphp</v>
      </c>
      <c r="FN20" s="422" t="str">
        <f t="shared" ca="1" si="123"/>
        <v>Office - Open plan</v>
      </c>
      <c r="FO20" s="423">
        <f t="shared" ca="1" si="129"/>
        <v>0</v>
      </c>
      <c r="FP20" s="423">
        <f t="shared" ca="1" si="124"/>
        <v>0</v>
      </c>
      <c r="FQ20" s="423">
        <f t="shared" ca="1" si="124"/>
        <v>0</v>
      </c>
      <c r="FR20" s="423">
        <f t="shared" ca="1" si="124"/>
        <v>0</v>
      </c>
      <c r="FS20" s="423">
        <f t="shared" ca="1" si="124"/>
        <v>0</v>
      </c>
      <c r="FT20" s="423">
        <f t="shared" ca="1" si="124"/>
        <v>0</v>
      </c>
      <c r="FU20" s="423">
        <f t="shared" ca="1" si="124"/>
        <v>0</v>
      </c>
      <c r="FV20" s="423">
        <f t="shared" ca="1" si="124"/>
        <v>0</v>
      </c>
      <c r="FW20" s="423">
        <f t="shared" ca="1" si="124"/>
        <v>0</v>
      </c>
      <c r="FX20" s="423">
        <f t="shared" ca="1" si="124"/>
        <v>0</v>
      </c>
      <c r="FY20" s="423">
        <f t="shared" ca="1" si="124"/>
        <v>0</v>
      </c>
      <c r="FZ20" s="423">
        <f t="shared" ca="1" si="124"/>
        <v>0</v>
      </c>
      <c r="GA20" s="423">
        <f t="shared" ca="1" si="124"/>
        <v>0</v>
      </c>
      <c r="GB20" s="423">
        <f t="shared" ca="1" si="124"/>
        <v>0</v>
      </c>
      <c r="GC20" s="423">
        <f t="shared" ca="1" si="124"/>
        <v>0</v>
      </c>
      <c r="GD20" s="423">
        <f t="shared" ca="1" si="124"/>
        <v>0</v>
      </c>
      <c r="GE20" s="423">
        <f t="shared" ca="1" si="124"/>
        <v>0</v>
      </c>
      <c r="GF20" s="423">
        <f t="shared" ca="1" si="125"/>
        <v>0</v>
      </c>
      <c r="GG20" s="423">
        <f t="shared" ca="1" si="125"/>
        <v>0</v>
      </c>
      <c r="GH20" s="423">
        <f t="shared" ca="1" si="125"/>
        <v>0</v>
      </c>
      <c r="GI20" s="423">
        <f t="shared" ca="1" si="125"/>
        <v>0</v>
      </c>
      <c r="GJ20" s="423">
        <f t="shared" ca="1" si="125"/>
        <v>0</v>
      </c>
      <c r="GK20" s="423">
        <f t="shared" ca="1" si="125"/>
        <v>0</v>
      </c>
      <c r="GL20" s="423">
        <f t="shared" ca="1" si="125"/>
        <v>0</v>
      </c>
      <c r="GM20" s="423">
        <f t="shared" ca="1" si="125"/>
        <v>0</v>
      </c>
      <c r="GN20" s="423">
        <f t="shared" ca="1" si="125"/>
        <v>0</v>
      </c>
      <c r="GO20" s="423">
        <f t="shared" ca="1" si="125"/>
        <v>0</v>
      </c>
      <c r="GP20" s="423">
        <f t="shared" ca="1" si="125"/>
        <v>0</v>
      </c>
      <c r="GQ20" s="423">
        <f t="shared" ca="1" si="125"/>
        <v>0</v>
      </c>
      <c r="GR20" s="423">
        <f t="shared" ca="1" si="125"/>
        <v>0</v>
      </c>
      <c r="GS20" s="423">
        <f t="shared" ca="1" si="125"/>
        <v>0</v>
      </c>
      <c r="GT20" s="423">
        <f t="shared" ca="1" si="125"/>
        <v>0</v>
      </c>
      <c r="GU20" s="423">
        <f t="shared" ca="1" si="125"/>
        <v>0</v>
      </c>
      <c r="GV20" s="423">
        <f t="shared" ca="1" si="126"/>
        <v>0</v>
      </c>
      <c r="GW20" s="423">
        <f t="shared" ca="1" si="126"/>
        <v>0</v>
      </c>
      <c r="GX20" s="423">
        <f t="shared" ca="1" si="126"/>
        <v>0</v>
      </c>
      <c r="GY20" s="423">
        <f t="shared" ca="1" si="126"/>
        <v>0</v>
      </c>
      <c r="GZ20" s="423">
        <f t="shared" ca="1" si="126"/>
        <v>0</v>
      </c>
      <c r="HA20" s="423">
        <f t="shared" ca="1" si="126"/>
        <v>0</v>
      </c>
      <c r="HB20" s="423">
        <f t="shared" ca="1" si="126"/>
        <v>0</v>
      </c>
      <c r="HC20" s="423">
        <f t="shared" ca="1" si="126"/>
        <v>0</v>
      </c>
      <c r="HD20" s="423">
        <f t="shared" ca="1" si="126"/>
        <v>0</v>
      </c>
      <c r="HE20" s="423">
        <f t="shared" ca="1" si="126"/>
        <v>0</v>
      </c>
      <c r="HF20" s="423">
        <f t="shared" ca="1" si="126"/>
        <v>0</v>
      </c>
      <c r="HG20" s="423">
        <f t="shared" ca="1" si="126"/>
        <v>0</v>
      </c>
      <c r="HH20" s="423">
        <f t="shared" ca="1" si="126"/>
        <v>0</v>
      </c>
      <c r="HI20" s="423">
        <f t="shared" ca="1" si="126"/>
        <v>0</v>
      </c>
      <c r="HJ20" s="423">
        <f t="shared" ca="1" si="126"/>
        <v>0</v>
      </c>
      <c r="HK20" s="423">
        <f t="shared" ca="1" si="126"/>
        <v>0</v>
      </c>
      <c r="HL20" s="423">
        <f t="shared" ca="1" si="127"/>
        <v>0</v>
      </c>
      <c r="HM20" s="423">
        <f t="shared" ca="1" si="127"/>
        <v>0</v>
      </c>
      <c r="HN20" s="423">
        <f t="shared" ca="1" si="127"/>
        <v>0</v>
      </c>
      <c r="HO20" s="423">
        <f t="shared" ca="1" si="127"/>
        <v>0</v>
      </c>
      <c r="HP20" s="423">
        <f t="shared" ca="1" si="127"/>
        <v>0</v>
      </c>
      <c r="HQ20" s="423">
        <f t="shared" ca="1" si="127"/>
        <v>0</v>
      </c>
      <c r="HR20" s="423">
        <f t="shared" ca="1" si="127"/>
        <v>0</v>
      </c>
      <c r="HS20" s="423">
        <f t="shared" ca="1" si="127"/>
        <v>0</v>
      </c>
      <c r="HT20" s="423">
        <f t="shared" ca="1" si="127"/>
        <v>0</v>
      </c>
    </row>
    <row r="21" spans="1:230" ht="11.25" customHeight="1" x14ac:dyDescent="0.2">
      <c r="A21" s="62">
        <f t="shared" si="128"/>
        <v>10</v>
      </c>
      <c r="B21" s="60" t="str">
        <f>Spaces_Sum!C66</f>
        <v>L01-108_ComlComlSphp</v>
      </c>
      <c r="C21" s="62" t="str">
        <f>Spaces_Sum!D66</f>
        <v>L01</v>
      </c>
      <c r="D21" s="62" t="str">
        <f ca="1">Spaces_Sum!I66</f>
        <v>DirectlyConditioned</v>
      </c>
      <c r="F21" s="110">
        <f ca="1">Spaces_Sum!M66</f>
        <v>2081.0798</v>
      </c>
      <c r="G21" s="110" t="str">
        <f ca="1">Spaces_Sum!J66</f>
        <v>Office - Open plan</v>
      </c>
      <c r="H21" s="532"/>
      <c r="I21" s="185"/>
      <c r="J21" s="185"/>
      <c r="K21" s="186"/>
      <c r="L21" s="187"/>
      <c r="M21" s="188"/>
      <c r="N21" s="189"/>
      <c r="O21" s="186"/>
      <c r="P21" s="187"/>
      <c r="Q21" s="188"/>
      <c r="R21" s="189"/>
      <c r="S21" s="186"/>
      <c r="T21" s="187"/>
      <c r="U21" s="188"/>
      <c r="V21" s="189"/>
      <c r="W21" s="186"/>
      <c r="X21" s="187"/>
      <c r="Y21" s="188"/>
      <c r="Z21" s="189"/>
      <c r="AA21" s="186"/>
      <c r="AB21" s="187"/>
      <c r="AC21" s="188"/>
      <c r="AD21" s="189"/>
      <c r="AE21" s="186"/>
      <c r="AF21" s="187"/>
      <c r="AG21" s="188"/>
      <c r="AH21" s="189"/>
      <c r="AI21" s="186"/>
      <c r="AJ21" s="187"/>
      <c r="AK21" s="188"/>
      <c r="AL21" s="189"/>
      <c r="AM21" s="186"/>
      <c r="AN21" s="187"/>
      <c r="AO21" s="188"/>
      <c r="AP21" s="189"/>
      <c r="AQ21" s="186"/>
      <c r="AR21" s="187"/>
      <c r="AS21" s="188"/>
      <c r="AT21" s="189"/>
      <c r="AU21" s="186"/>
      <c r="AV21" s="187"/>
      <c r="AW21" s="188"/>
      <c r="AX21" s="189"/>
      <c r="AY21" s="186"/>
      <c r="AZ21" s="187"/>
      <c r="BA21" s="188"/>
      <c r="BB21" s="189"/>
      <c r="BC21" s="186"/>
      <c r="BD21" s="187"/>
      <c r="BE21" s="188"/>
      <c r="BF21" s="189"/>
      <c r="BG21" s="186"/>
      <c r="BH21" s="187"/>
      <c r="BI21" s="188"/>
      <c r="BJ21" s="189"/>
      <c r="BK21" s="186"/>
      <c r="BL21" s="187"/>
      <c r="BM21" s="188"/>
      <c r="BN21" s="189"/>
      <c r="BO21" s="186"/>
      <c r="BP21" s="187"/>
      <c r="BQ21" s="188"/>
      <c r="BR21" s="189"/>
      <c r="BS21" s="186"/>
      <c r="BT21" s="187"/>
      <c r="BU21" s="188"/>
      <c r="BV21" s="189"/>
      <c r="BW21" s="186"/>
      <c r="BX21" s="187"/>
      <c r="BY21" s="188"/>
      <c r="BZ21" s="189"/>
      <c r="CA21" s="186"/>
      <c r="CB21" s="190"/>
      <c r="CC21" s="190"/>
      <c r="CD21" s="82">
        <f t="shared" si="39"/>
        <v>0</v>
      </c>
      <c r="CE21" s="82">
        <f t="shared" si="40"/>
        <v>0</v>
      </c>
      <c r="CF21" s="82">
        <f t="shared" si="41"/>
        <v>0</v>
      </c>
      <c r="CG21" s="82">
        <f t="shared" si="42"/>
        <v>0</v>
      </c>
      <c r="CH21" s="82">
        <f t="shared" si="43"/>
        <v>0</v>
      </c>
      <c r="CI21" s="82">
        <f t="shared" si="44"/>
        <v>0</v>
      </c>
      <c r="CJ21" s="82">
        <f t="shared" si="45"/>
        <v>0</v>
      </c>
      <c r="CK21" s="82">
        <f t="shared" si="46"/>
        <v>0</v>
      </c>
      <c r="CL21" s="82">
        <f t="shared" si="47"/>
        <v>0</v>
      </c>
      <c r="CM21" s="82">
        <f t="shared" si="48"/>
        <v>0</v>
      </c>
      <c r="CN21" s="82">
        <f t="shared" si="49"/>
        <v>0</v>
      </c>
      <c r="CO21" s="82">
        <f t="shared" si="50"/>
        <v>0</v>
      </c>
      <c r="CP21" s="82">
        <f t="shared" si="51"/>
        <v>0</v>
      </c>
      <c r="CQ21" s="82">
        <f t="shared" si="52"/>
        <v>0</v>
      </c>
      <c r="CR21" s="82">
        <f t="shared" si="53"/>
        <v>0</v>
      </c>
      <c r="CS21" s="82">
        <f t="shared" si="54"/>
        <v>0</v>
      </c>
      <c r="CT21" s="82">
        <f t="shared" si="55"/>
        <v>0</v>
      </c>
      <c r="CU21" s="82">
        <f t="shared" si="56"/>
        <v>0</v>
      </c>
      <c r="CV21" s="82">
        <f t="shared" si="57"/>
        <v>0</v>
      </c>
      <c r="CW21" s="82">
        <f t="shared" si="58"/>
        <v>0</v>
      </c>
      <c r="CX21" s="82">
        <f t="shared" si="59"/>
        <v>0</v>
      </c>
      <c r="CY21" s="82">
        <f t="shared" si="60"/>
        <v>0</v>
      </c>
      <c r="CZ21" s="82">
        <f t="shared" si="61"/>
        <v>0</v>
      </c>
      <c r="DA21" s="82">
        <f t="shared" si="62"/>
        <v>0</v>
      </c>
      <c r="DB21" s="82">
        <f t="shared" si="63"/>
        <v>0</v>
      </c>
      <c r="DC21" s="82">
        <f t="shared" si="64"/>
        <v>0</v>
      </c>
      <c r="DD21" s="82">
        <f t="shared" si="65"/>
        <v>0</v>
      </c>
      <c r="DE21" s="82">
        <f t="shared" si="66"/>
        <v>0</v>
      </c>
      <c r="DF21" s="82">
        <f t="shared" si="67"/>
        <v>0</v>
      </c>
      <c r="DG21" s="82">
        <f t="shared" si="68"/>
        <v>0</v>
      </c>
      <c r="DH21" s="82">
        <f t="shared" si="69"/>
        <v>0</v>
      </c>
      <c r="DI21" s="82">
        <f t="shared" si="70"/>
        <v>0</v>
      </c>
      <c r="DJ21" s="82">
        <f t="shared" si="71"/>
        <v>0</v>
      </c>
      <c r="DK21" s="82">
        <f t="shared" si="72"/>
        <v>0</v>
      </c>
      <c r="DL21" s="82">
        <f t="shared" si="73"/>
        <v>0</v>
      </c>
      <c r="DM21" s="82">
        <f t="shared" si="74"/>
        <v>0</v>
      </c>
      <c r="DN21" s="82">
        <f t="shared" si="75"/>
        <v>0</v>
      </c>
      <c r="DO21" s="82">
        <f t="shared" si="76"/>
        <v>0</v>
      </c>
      <c r="DP21" s="82">
        <f t="shared" si="77"/>
        <v>0</v>
      </c>
      <c r="DQ21" s="82">
        <f t="shared" si="78"/>
        <v>0</v>
      </c>
      <c r="DR21" s="82">
        <f t="shared" si="79"/>
        <v>0</v>
      </c>
      <c r="DS21" s="82">
        <f t="shared" si="80"/>
        <v>0</v>
      </c>
      <c r="DT21" s="82">
        <f t="shared" si="81"/>
        <v>0</v>
      </c>
      <c r="DU21" s="82">
        <f t="shared" si="82"/>
        <v>0</v>
      </c>
      <c r="DV21" s="82">
        <f t="shared" si="83"/>
        <v>0</v>
      </c>
      <c r="DW21" s="82">
        <f t="shared" si="84"/>
        <v>0</v>
      </c>
      <c r="DX21" s="82">
        <f t="shared" si="85"/>
        <v>0</v>
      </c>
      <c r="DY21" s="82">
        <f t="shared" si="86"/>
        <v>0</v>
      </c>
      <c r="DZ21" s="82">
        <f t="shared" si="87"/>
        <v>0</v>
      </c>
      <c r="EA21" s="82">
        <f t="shared" si="88"/>
        <v>0</v>
      </c>
      <c r="EB21" s="82">
        <f t="shared" si="89"/>
        <v>0</v>
      </c>
      <c r="EC21" s="82">
        <f t="shared" si="90"/>
        <v>0</v>
      </c>
      <c r="ED21" s="82">
        <f t="shared" si="91"/>
        <v>0</v>
      </c>
      <c r="EE21" s="82">
        <f t="shared" si="92"/>
        <v>0</v>
      </c>
      <c r="EF21" s="82">
        <f t="shared" si="93"/>
        <v>0</v>
      </c>
      <c r="EG21" s="82">
        <f t="shared" si="94"/>
        <v>0</v>
      </c>
      <c r="EH21" s="82">
        <f t="shared" si="95"/>
        <v>0</v>
      </c>
      <c r="EI21" s="82">
        <f t="shared" si="96"/>
        <v>0</v>
      </c>
      <c r="EJ21" s="82">
        <f t="shared" si="97"/>
        <v>0</v>
      </c>
      <c r="EK21" s="82">
        <f t="shared" si="98"/>
        <v>0</v>
      </c>
      <c r="EL21" s="82">
        <f t="shared" si="99"/>
        <v>0</v>
      </c>
      <c r="EM21" s="82">
        <f t="shared" si="100"/>
        <v>0</v>
      </c>
      <c r="EN21" s="82">
        <f t="shared" si="101"/>
        <v>0</v>
      </c>
      <c r="EO21" s="82">
        <f t="shared" si="102"/>
        <v>0</v>
      </c>
      <c r="EP21" s="82">
        <f t="shared" si="103"/>
        <v>0</v>
      </c>
      <c r="EQ21" s="82">
        <f t="shared" si="104"/>
        <v>0</v>
      </c>
      <c r="ER21" s="82">
        <f t="shared" si="105"/>
        <v>0</v>
      </c>
      <c r="ES21" s="82">
        <f t="shared" si="106"/>
        <v>0</v>
      </c>
      <c r="ET21" s="82">
        <f t="shared" si="107"/>
        <v>0</v>
      </c>
      <c r="EU21" s="82">
        <f t="shared" si="108"/>
        <v>0</v>
      </c>
      <c r="EV21" s="82">
        <f t="shared" si="109"/>
        <v>0</v>
      </c>
      <c r="EW21" s="82">
        <f t="shared" si="110"/>
        <v>0</v>
      </c>
      <c r="EX21" s="82">
        <f t="shared" si="111"/>
        <v>0</v>
      </c>
      <c r="EY21" s="111">
        <f t="shared" si="112"/>
        <v>0</v>
      </c>
      <c r="EZ21" s="143">
        <f t="shared" ca="1" si="113"/>
        <v>0</v>
      </c>
      <c r="FA21" s="112">
        <f t="shared" ca="1" si="114"/>
        <v>0</v>
      </c>
      <c r="FB21" s="113">
        <f t="shared" ca="1" si="115"/>
        <v>0</v>
      </c>
      <c r="FC21" s="114">
        <f t="shared" ca="1" si="116"/>
        <v>0</v>
      </c>
      <c r="FD21" s="115">
        <f t="shared" ca="1" si="117"/>
        <v>0</v>
      </c>
      <c r="FE21" s="116">
        <f t="shared" ca="1" si="118"/>
        <v>0</v>
      </c>
      <c r="FF21" s="117">
        <f t="shared" ca="1" si="119"/>
        <v>0</v>
      </c>
      <c r="FG21" s="71">
        <f t="shared" si="120"/>
        <v>0</v>
      </c>
      <c r="FH21" s="530">
        <f t="shared" ca="1" si="121"/>
        <v>0</v>
      </c>
      <c r="FI21" s="922"/>
      <c r="FJ21" s="922"/>
      <c r="FK21" s="922"/>
      <c r="FM21" s="421" t="str">
        <f t="shared" si="122"/>
        <v>L01-108_ComlComlSphp</v>
      </c>
      <c r="FN21" s="422" t="str">
        <f t="shared" ca="1" si="123"/>
        <v>Office - Open plan</v>
      </c>
      <c r="FO21" s="423">
        <f t="shared" ca="1" si="129"/>
        <v>0</v>
      </c>
      <c r="FP21" s="423">
        <f t="shared" ca="1" si="124"/>
        <v>0</v>
      </c>
      <c r="FQ21" s="423">
        <f t="shared" ca="1" si="124"/>
        <v>0</v>
      </c>
      <c r="FR21" s="423">
        <f t="shared" ca="1" si="124"/>
        <v>0</v>
      </c>
      <c r="FS21" s="423">
        <f t="shared" ca="1" si="124"/>
        <v>0</v>
      </c>
      <c r="FT21" s="423">
        <f t="shared" ca="1" si="124"/>
        <v>0</v>
      </c>
      <c r="FU21" s="423">
        <f t="shared" ca="1" si="124"/>
        <v>0</v>
      </c>
      <c r="FV21" s="423">
        <f t="shared" ca="1" si="124"/>
        <v>0</v>
      </c>
      <c r="FW21" s="423">
        <f t="shared" ca="1" si="124"/>
        <v>0</v>
      </c>
      <c r="FX21" s="423">
        <f t="shared" ca="1" si="124"/>
        <v>0</v>
      </c>
      <c r="FY21" s="423">
        <f t="shared" ca="1" si="124"/>
        <v>0</v>
      </c>
      <c r="FZ21" s="423">
        <f t="shared" ca="1" si="124"/>
        <v>0</v>
      </c>
      <c r="GA21" s="423">
        <f t="shared" ca="1" si="124"/>
        <v>0</v>
      </c>
      <c r="GB21" s="423">
        <f t="shared" ca="1" si="124"/>
        <v>0</v>
      </c>
      <c r="GC21" s="423">
        <f t="shared" ca="1" si="124"/>
        <v>0</v>
      </c>
      <c r="GD21" s="423">
        <f t="shared" ca="1" si="124"/>
        <v>0</v>
      </c>
      <c r="GE21" s="423">
        <f t="shared" ca="1" si="124"/>
        <v>0</v>
      </c>
      <c r="GF21" s="423">
        <f t="shared" ca="1" si="125"/>
        <v>0</v>
      </c>
      <c r="GG21" s="423">
        <f t="shared" ca="1" si="125"/>
        <v>0</v>
      </c>
      <c r="GH21" s="423">
        <f t="shared" ca="1" si="125"/>
        <v>0</v>
      </c>
      <c r="GI21" s="423">
        <f t="shared" ca="1" si="125"/>
        <v>0</v>
      </c>
      <c r="GJ21" s="423">
        <f t="shared" ca="1" si="125"/>
        <v>0</v>
      </c>
      <c r="GK21" s="423">
        <f t="shared" ca="1" si="125"/>
        <v>0</v>
      </c>
      <c r="GL21" s="423">
        <f t="shared" ca="1" si="125"/>
        <v>0</v>
      </c>
      <c r="GM21" s="423">
        <f t="shared" ca="1" si="125"/>
        <v>0</v>
      </c>
      <c r="GN21" s="423">
        <f t="shared" ca="1" si="125"/>
        <v>0</v>
      </c>
      <c r="GO21" s="423">
        <f t="shared" ca="1" si="125"/>
        <v>0</v>
      </c>
      <c r="GP21" s="423">
        <f t="shared" ca="1" si="125"/>
        <v>0</v>
      </c>
      <c r="GQ21" s="423">
        <f t="shared" ca="1" si="125"/>
        <v>0</v>
      </c>
      <c r="GR21" s="423">
        <f t="shared" ca="1" si="125"/>
        <v>0</v>
      </c>
      <c r="GS21" s="423">
        <f t="shared" ca="1" si="125"/>
        <v>0</v>
      </c>
      <c r="GT21" s="423">
        <f t="shared" ca="1" si="125"/>
        <v>0</v>
      </c>
      <c r="GU21" s="423">
        <f t="shared" ca="1" si="125"/>
        <v>0</v>
      </c>
      <c r="GV21" s="423">
        <f t="shared" ca="1" si="126"/>
        <v>0</v>
      </c>
      <c r="GW21" s="423">
        <f t="shared" ca="1" si="126"/>
        <v>0</v>
      </c>
      <c r="GX21" s="423">
        <f t="shared" ca="1" si="126"/>
        <v>0</v>
      </c>
      <c r="GY21" s="423">
        <f t="shared" ca="1" si="126"/>
        <v>0</v>
      </c>
      <c r="GZ21" s="423">
        <f t="shared" ca="1" si="126"/>
        <v>0</v>
      </c>
      <c r="HA21" s="423">
        <f t="shared" ca="1" si="126"/>
        <v>0</v>
      </c>
      <c r="HB21" s="423">
        <f t="shared" ca="1" si="126"/>
        <v>0</v>
      </c>
      <c r="HC21" s="423">
        <f t="shared" ca="1" si="126"/>
        <v>0</v>
      </c>
      <c r="HD21" s="423">
        <f t="shared" ca="1" si="126"/>
        <v>0</v>
      </c>
      <c r="HE21" s="423">
        <f t="shared" ca="1" si="126"/>
        <v>0</v>
      </c>
      <c r="HF21" s="423">
        <f t="shared" ca="1" si="126"/>
        <v>0</v>
      </c>
      <c r="HG21" s="423">
        <f t="shared" ca="1" si="126"/>
        <v>0</v>
      </c>
      <c r="HH21" s="423">
        <f t="shared" ca="1" si="126"/>
        <v>0</v>
      </c>
      <c r="HI21" s="423">
        <f t="shared" ca="1" si="126"/>
        <v>0</v>
      </c>
      <c r="HJ21" s="423">
        <f t="shared" ca="1" si="126"/>
        <v>0</v>
      </c>
      <c r="HK21" s="423">
        <f t="shared" ca="1" si="126"/>
        <v>0</v>
      </c>
      <c r="HL21" s="423">
        <f t="shared" ca="1" si="127"/>
        <v>0</v>
      </c>
      <c r="HM21" s="423">
        <f t="shared" ca="1" si="127"/>
        <v>0</v>
      </c>
      <c r="HN21" s="423">
        <f t="shared" ca="1" si="127"/>
        <v>0</v>
      </c>
      <c r="HO21" s="423">
        <f t="shared" ca="1" si="127"/>
        <v>0</v>
      </c>
      <c r="HP21" s="423">
        <f t="shared" ca="1" si="127"/>
        <v>0</v>
      </c>
      <c r="HQ21" s="423">
        <f t="shared" ca="1" si="127"/>
        <v>0</v>
      </c>
      <c r="HR21" s="423">
        <f t="shared" ca="1" si="127"/>
        <v>0</v>
      </c>
      <c r="HS21" s="423">
        <f t="shared" ca="1" si="127"/>
        <v>0</v>
      </c>
      <c r="HT21" s="423">
        <f t="shared" ca="1" si="127"/>
        <v>0</v>
      </c>
    </row>
    <row r="22" spans="1:230" ht="11.25" customHeight="1" x14ac:dyDescent="0.2">
      <c r="A22" s="62">
        <f t="shared" si="128"/>
        <v>11</v>
      </c>
      <c r="B22" s="60" t="str">
        <f>Spaces_Sum!C67</f>
        <v>L01-109_MechRaccBbrd</v>
      </c>
      <c r="C22" s="62" t="str">
        <f>Spaces_Sum!D67</f>
        <v>L01</v>
      </c>
      <c r="D22" s="62" t="str">
        <f ca="1">Spaces_Sum!I67</f>
        <v>DirectlyConditioned</v>
      </c>
      <c r="F22" s="110">
        <f ca="1">Spaces_Sum!M67</f>
        <v>262.20839999999998</v>
      </c>
      <c r="G22" s="110" t="str">
        <f ca="1">Spaces_Sum!J67</f>
        <v>Electrical/MechanicaI Room</v>
      </c>
      <c r="H22" s="532"/>
      <c r="I22" s="185"/>
      <c r="J22" s="185"/>
      <c r="K22" s="186"/>
      <c r="L22" s="187"/>
      <c r="M22" s="188"/>
      <c r="N22" s="189"/>
      <c r="O22" s="186"/>
      <c r="P22" s="187"/>
      <c r="Q22" s="188"/>
      <c r="R22" s="189"/>
      <c r="S22" s="186"/>
      <c r="T22" s="187"/>
      <c r="U22" s="188"/>
      <c r="V22" s="189"/>
      <c r="W22" s="186"/>
      <c r="X22" s="187"/>
      <c r="Y22" s="188"/>
      <c r="Z22" s="189"/>
      <c r="AA22" s="186"/>
      <c r="AB22" s="187"/>
      <c r="AC22" s="188"/>
      <c r="AD22" s="189"/>
      <c r="AE22" s="186"/>
      <c r="AF22" s="187"/>
      <c r="AG22" s="188"/>
      <c r="AH22" s="189"/>
      <c r="AI22" s="186"/>
      <c r="AJ22" s="187"/>
      <c r="AK22" s="188"/>
      <c r="AL22" s="189"/>
      <c r="AM22" s="186"/>
      <c r="AN22" s="187"/>
      <c r="AO22" s="188"/>
      <c r="AP22" s="189"/>
      <c r="AQ22" s="186"/>
      <c r="AR22" s="187"/>
      <c r="AS22" s="188"/>
      <c r="AT22" s="189"/>
      <c r="AU22" s="186"/>
      <c r="AV22" s="187"/>
      <c r="AW22" s="188"/>
      <c r="AX22" s="189"/>
      <c r="AY22" s="186"/>
      <c r="AZ22" s="187"/>
      <c r="BA22" s="188"/>
      <c r="BB22" s="189"/>
      <c r="BC22" s="186"/>
      <c r="BD22" s="187"/>
      <c r="BE22" s="188"/>
      <c r="BF22" s="189"/>
      <c r="BG22" s="186"/>
      <c r="BH22" s="187"/>
      <c r="BI22" s="188"/>
      <c r="BJ22" s="189"/>
      <c r="BK22" s="186"/>
      <c r="BL22" s="187"/>
      <c r="BM22" s="188"/>
      <c r="BN22" s="189"/>
      <c r="BO22" s="186"/>
      <c r="BP22" s="187"/>
      <c r="BQ22" s="188"/>
      <c r="BR22" s="189"/>
      <c r="BS22" s="186"/>
      <c r="BT22" s="187"/>
      <c r="BU22" s="188"/>
      <c r="BV22" s="189"/>
      <c r="BW22" s="186"/>
      <c r="BX22" s="187"/>
      <c r="BY22" s="188"/>
      <c r="BZ22" s="189"/>
      <c r="CA22" s="186"/>
      <c r="CB22" s="190"/>
      <c r="CC22" s="190"/>
      <c r="CD22" s="82">
        <f t="shared" si="39"/>
        <v>0</v>
      </c>
      <c r="CE22" s="82">
        <f t="shared" si="40"/>
        <v>0</v>
      </c>
      <c r="CF22" s="82">
        <f t="shared" si="41"/>
        <v>0</v>
      </c>
      <c r="CG22" s="82">
        <f t="shared" si="42"/>
        <v>0</v>
      </c>
      <c r="CH22" s="82">
        <f t="shared" si="43"/>
        <v>0</v>
      </c>
      <c r="CI22" s="82">
        <f t="shared" si="44"/>
        <v>0</v>
      </c>
      <c r="CJ22" s="82">
        <f t="shared" si="45"/>
        <v>0</v>
      </c>
      <c r="CK22" s="82">
        <f t="shared" si="46"/>
        <v>0</v>
      </c>
      <c r="CL22" s="82">
        <f t="shared" si="47"/>
        <v>0</v>
      </c>
      <c r="CM22" s="82">
        <f t="shared" si="48"/>
        <v>0</v>
      </c>
      <c r="CN22" s="82">
        <f t="shared" si="49"/>
        <v>0</v>
      </c>
      <c r="CO22" s="82">
        <f t="shared" si="50"/>
        <v>0</v>
      </c>
      <c r="CP22" s="82">
        <f t="shared" si="51"/>
        <v>0</v>
      </c>
      <c r="CQ22" s="82">
        <f t="shared" si="52"/>
        <v>0</v>
      </c>
      <c r="CR22" s="82">
        <f t="shared" si="53"/>
        <v>0</v>
      </c>
      <c r="CS22" s="82">
        <f t="shared" si="54"/>
        <v>0</v>
      </c>
      <c r="CT22" s="82">
        <f t="shared" si="55"/>
        <v>0</v>
      </c>
      <c r="CU22" s="82">
        <f t="shared" si="56"/>
        <v>0</v>
      </c>
      <c r="CV22" s="82">
        <f t="shared" si="57"/>
        <v>0</v>
      </c>
      <c r="CW22" s="82">
        <f t="shared" si="58"/>
        <v>0</v>
      </c>
      <c r="CX22" s="82">
        <f t="shared" si="59"/>
        <v>0</v>
      </c>
      <c r="CY22" s="82">
        <f t="shared" si="60"/>
        <v>0</v>
      </c>
      <c r="CZ22" s="82">
        <f t="shared" si="61"/>
        <v>0</v>
      </c>
      <c r="DA22" s="82">
        <f t="shared" si="62"/>
        <v>0</v>
      </c>
      <c r="DB22" s="82">
        <f t="shared" si="63"/>
        <v>0</v>
      </c>
      <c r="DC22" s="82">
        <f t="shared" si="64"/>
        <v>0</v>
      </c>
      <c r="DD22" s="82">
        <f t="shared" si="65"/>
        <v>0</v>
      </c>
      <c r="DE22" s="82">
        <f t="shared" si="66"/>
        <v>0</v>
      </c>
      <c r="DF22" s="82">
        <f t="shared" si="67"/>
        <v>0</v>
      </c>
      <c r="DG22" s="82">
        <f t="shared" si="68"/>
        <v>0</v>
      </c>
      <c r="DH22" s="82">
        <f t="shared" si="69"/>
        <v>0</v>
      </c>
      <c r="DI22" s="82">
        <f t="shared" si="70"/>
        <v>0</v>
      </c>
      <c r="DJ22" s="82">
        <f t="shared" si="71"/>
        <v>0</v>
      </c>
      <c r="DK22" s="82">
        <f t="shared" si="72"/>
        <v>0</v>
      </c>
      <c r="DL22" s="82">
        <f t="shared" si="73"/>
        <v>0</v>
      </c>
      <c r="DM22" s="82">
        <f t="shared" si="74"/>
        <v>0</v>
      </c>
      <c r="DN22" s="82">
        <f t="shared" si="75"/>
        <v>0</v>
      </c>
      <c r="DO22" s="82">
        <f t="shared" si="76"/>
        <v>0</v>
      </c>
      <c r="DP22" s="82">
        <f t="shared" si="77"/>
        <v>0</v>
      </c>
      <c r="DQ22" s="82">
        <f t="shared" si="78"/>
        <v>0</v>
      </c>
      <c r="DR22" s="82">
        <f t="shared" si="79"/>
        <v>0</v>
      </c>
      <c r="DS22" s="82">
        <f t="shared" si="80"/>
        <v>0</v>
      </c>
      <c r="DT22" s="82">
        <f t="shared" si="81"/>
        <v>0</v>
      </c>
      <c r="DU22" s="82">
        <f t="shared" si="82"/>
        <v>0</v>
      </c>
      <c r="DV22" s="82">
        <f t="shared" si="83"/>
        <v>0</v>
      </c>
      <c r="DW22" s="82">
        <f t="shared" si="84"/>
        <v>0</v>
      </c>
      <c r="DX22" s="82">
        <f t="shared" si="85"/>
        <v>0</v>
      </c>
      <c r="DY22" s="82">
        <f t="shared" si="86"/>
        <v>0</v>
      </c>
      <c r="DZ22" s="82">
        <f t="shared" si="87"/>
        <v>0</v>
      </c>
      <c r="EA22" s="82">
        <f t="shared" si="88"/>
        <v>0</v>
      </c>
      <c r="EB22" s="82">
        <f t="shared" si="89"/>
        <v>0</v>
      </c>
      <c r="EC22" s="82">
        <f t="shared" si="90"/>
        <v>0</v>
      </c>
      <c r="ED22" s="82">
        <f t="shared" si="91"/>
        <v>0</v>
      </c>
      <c r="EE22" s="82">
        <f t="shared" si="92"/>
        <v>0</v>
      </c>
      <c r="EF22" s="82">
        <f t="shared" si="93"/>
        <v>0</v>
      </c>
      <c r="EG22" s="82">
        <f t="shared" si="94"/>
        <v>0</v>
      </c>
      <c r="EH22" s="82">
        <f t="shared" si="95"/>
        <v>0</v>
      </c>
      <c r="EI22" s="82">
        <f t="shared" si="96"/>
        <v>0</v>
      </c>
      <c r="EJ22" s="82">
        <f t="shared" si="97"/>
        <v>0</v>
      </c>
      <c r="EK22" s="82">
        <f t="shared" si="98"/>
        <v>0</v>
      </c>
      <c r="EL22" s="82">
        <f t="shared" si="99"/>
        <v>0</v>
      </c>
      <c r="EM22" s="82">
        <f t="shared" si="100"/>
        <v>0</v>
      </c>
      <c r="EN22" s="82">
        <f t="shared" si="101"/>
        <v>0</v>
      </c>
      <c r="EO22" s="82">
        <f t="shared" si="102"/>
        <v>0</v>
      </c>
      <c r="EP22" s="82">
        <f t="shared" si="103"/>
        <v>0</v>
      </c>
      <c r="EQ22" s="82">
        <f t="shared" si="104"/>
        <v>0</v>
      </c>
      <c r="ER22" s="82">
        <f t="shared" si="105"/>
        <v>0</v>
      </c>
      <c r="ES22" s="82">
        <f t="shared" si="106"/>
        <v>0</v>
      </c>
      <c r="ET22" s="82">
        <f t="shared" si="107"/>
        <v>0</v>
      </c>
      <c r="EU22" s="82">
        <f t="shared" si="108"/>
        <v>0</v>
      </c>
      <c r="EV22" s="82">
        <f t="shared" si="109"/>
        <v>0</v>
      </c>
      <c r="EW22" s="82">
        <f t="shared" si="110"/>
        <v>0</v>
      </c>
      <c r="EX22" s="82">
        <f t="shared" si="111"/>
        <v>0</v>
      </c>
      <c r="EY22" s="111">
        <f t="shared" si="112"/>
        <v>0</v>
      </c>
      <c r="EZ22" s="143">
        <f t="shared" ca="1" si="113"/>
        <v>0</v>
      </c>
      <c r="FA22" s="112">
        <f t="shared" ca="1" si="114"/>
        <v>0</v>
      </c>
      <c r="FB22" s="113">
        <f t="shared" ca="1" si="115"/>
        <v>0</v>
      </c>
      <c r="FC22" s="114">
        <f t="shared" ca="1" si="116"/>
        <v>0</v>
      </c>
      <c r="FD22" s="115">
        <f t="shared" ca="1" si="117"/>
        <v>0</v>
      </c>
      <c r="FE22" s="116">
        <f t="shared" ca="1" si="118"/>
        <v>0</v>
      </c>
      <c r="FF22" s="117">
        <f t="shared" ca="1" si="119"/>
        <v>0</v>
      </c>
      <c r="FG22" s="71">
        <f t="shared" si="120"/>
        <v>0</v>
      </c>
      <c r="FH22" s="530">
        <f t="shared" ca="1" si="121"/>
        <v>0</v>
      </c>
      <c r="FI22" s="922"/>
      <c r="FJ22" s="922"/>
      <c r="FK22" s="922"/>
      <c r="FM22" s="421" t="str">
        <f t="shared" si="122"/>
        <v>L01-109_MechRaccBbrd</v>
      </c>
      <c r="FN22" s="422" t="str">
        <f t="shared" ca="1" si="123"/>
        <v>Electrical/MechanicaI Room</v>
      </c>
      <c r="FO22" s="423">
        <f t="shared" ca="1" si="129"/>
        <v>0</v>
      </c>
      <c r="FP22" s="423">
        <f t="shared" ca="1" si="124"/>
        <v>0</v>
      </c>
      <c r="FQ22" s="423">
        <f t="shared" ca="1" si="124"/>
        <v>0</v>
      </c>
      <c r="FR22" s="423">
        <f t="shared" ca="1" si="124"/>
        <v>0</v>
      </c>
      <c r="FS22" s="423">
        <f t="shared" ca="1" si="124"/>
        <v>0</v>
      </c>
      <c r="FT22" s="423">
        <f t="shared" ca="1" si="124"/>
        <v>0</v>
      </c>
      <c r="FU22" s="423">
        <f t="shared" ca="1" si="124"/>
        <v>0</v>
      </c>
      <c r="FV22" s="423">
        <f t="shared" ca="1" si="124"/>
        <v>0</v>
      </c>
      <c r="FW22" s="423">
        <f t="shared" ca="1" si="124"/>
        <v>0</v>
      </c>
      <c r="FX22" s="423">
        <f t="shared" ca="1" si="124"/>
        <v>0</v>
      </c>
      <c r="FY22" s="423">
        <f t="shared" ca="1" si="124"/>
        <v>0</v>
      </c>
      <c r="FZ22" s="423">
        <f t="shared" ca="1" si="124"/>
        <v>0</v>
      </c>
      <c r="GA22" s="423">
        <f t="shared" ca="1" si="124"/>
        <v>0</v>
      </c>
      <c r="GB22" s="423">
        <f t="shared" ca="1" si="124"/>
        <v>0</v>
      </c>
      <c r="GC22" s="423">
        <f t="shared" ca="1" si="124"/>
        <v>0</v>
      </c>
      <c r="GD22" s="423">
        <f t="shared" ca="1" si="124"/>
        <v>0</v>
      </c>
      <c r="GE22" s="423">
        <f t="shared" ca="1" si="124"/>
        <v>0</v>
      </c>
      <c r="GF22" s="423">
        <f t="shared" ca="1" si="125"/>
        <v>0</v>
      </c>
      <c r="GG22" s="423">
        <f t="shared" ca="1" si="125"/>
        <v>0</v>
      </c>
      <c r="GH22" s="423">
        <f t="shared" ca="1" si="125"/>
        <v>0</v>
      </c>
      <c r="GI22" s="423">
        <f t="shared" ca="1" si="125"/>
        <v>0</v>
      </c>
      <c r="GJ22" s="423">
        <f t="shared" ca="1" si="125"/>
        <v>0</v>
      </c>
      <c r="GK22" s="423">
        <f t="shared" ca="1" si="125"/>
        <v>0</v>
      </c>
      <c r="GL22" s="423">
        <f t="shared" ca="1" si="125"/>
        <v>0</v>
      </c>
      <c r="GM22" s="423">
        <f t="shared" ca="1" si="125"/>
        <v>0</v>
      </c>
      <c r="GN22" s="423">
        <f t="shared" ca="1" si="125"/>
        <v>0</v>
      </c>
      <c r="GO22" s="423">
        <f t="shared" ca="1" si="125"/>
        <v>0</v>
      </c>
      <c r="GP22" s="423">
        <f t="shared" ca="1" si="125"/>
        <v>0</v>
      </c>
      <c r="GQ22" s="423">
        <f t="shared" ca="1" si="125"/>
        <v>0</v>
      </c>
      <c r="GR22" s="423">
        <f t="shared" ca="1" si="125"/>
        <v>0</v>
      </c>
      <c r="GS22" s="423">
        <f t="shared" ca="1" si="125"/>
        <v>0</v>
      </c>
      <c r="GT22" s="423">
        <f t="shared" ca="1" si="125"/>
        <v>0</v>
      </c>
      <c r="GU22" s="423">
        <f t="shared" ca="1" si="125"/>
        <v>0</v>
      </c>
      <c r="GV22" s="423">
        <f t="shared" ca="1" si="126"/>
        <v>0</v>
      </c>
      <c r="GW22" s="423">
        <f t="shared" ca="1" si="126"/>
        <v>0</v>
      </c>
      <c r="GX22" s="423">
        <f t="shared" ca="1" si="126"/>
        <v>0</v>
      </c>
      <c r="GY22" s="423">
        <f t="shared" ca="1" si="126"/>
        <v>0</v>
      </c>
      <c r="GZ22" s="423">
        <f t="shared" ca="1" si="126"/>
        <v>0</v>
      </c>
      <c r="HA22" s="423">
        <f t="shared" ca="1" si="126"/>
        <v>0</v>
      </c>
      <c r="HB22" s="423">
        <f t="shared" ca="1" si="126"/>
        <v>0</v>
      </c>
      <c r="HC22" s="423">
        <f t="shared" ca="1" si="126"/>
        <v>0</v>
      </c>
      <c r="HD22" s="423">
        <f t="shared" ca="1" si="126"/>
        <v>0</v>
      </c>
      <c r="HE22" s="423">
        <f t="shared" ca="1" si="126"/>
        <v>0</v>
      </c>
      <c r="HF22" s="423">
        <f t="shared" ca="1" si="126"/>
        <v>0</v>
      </c>
      <c r="HG22" s="423">
        <f t="shared" ca="1" si="126"/>
        <v>0</v>
      </c>
      <c r="HH22" s="423">
        <f t="shared" ca="1" si="126"/>
        <v>0</v>
      </c>
      <c r="HI22" s="423">
        <f t="shared" ca="1" si="126"/>
        <v>0</v>
      </c>
      <c r="HJ22" s="423">
        <f t="shared" ca="1" si="126"/>
        <v>0</v>
      </c>
      <c r="HK22" s="423">
        <f t="shared" ca="1" si="126"/>
        <v>0</v>
      </c>
      <c r="HL22" s="423">
        <f t="shared" ca="1" si="127"/>
        <v>0</v>
      </c>
      <c r="HM22" s="423">
        <f t="shared" ca="1" si="127"/>
        <v>0</v>
      </c>
      <c r="HN22" s="423">
        <f t="shared" ca="1" si="127"/>
        <v>0</v>
      </c>
      <c r="HO22" s="423">
        <f t="shared" ca="1" si="127"/>
        <v>0</v>
      </c>
      <c r="HP22" s="423">
        <f t="shared" ca="1" si="127"/>
        <v>0</v>
      </c>
      <c r="HQ22" s="423">
        <f t="shared" ca="1" si="127"/>
        <v>0</v>
      </c>
      <c r="HR22" s="423">
        <f t="shared" ca="1" si="127"/>
        <v>0</v>
      </c>
      <c r="HS22" s="423">
        <f t="shared" ca="1" si="127"/>
        <v>0</v>
      </c>
      <c r="HT22" s="423">
        <f t="shared" ca="1" si="127"/>
        <v>0</v>
      </c>
    </row>
    <row r="23" spans="1:230" ht="11.25" customHeight="1" x14ac:dyDescent="0.2">
      <c r="A23" s="62">
        <f t="shared" si="128"/>
        <v>12</v>
      </c>
      <c r="B23" s="60" t="str">
        <f>Spaces_Sum!C68</f>
        <v>L01-110_StrsRaccIncd</v>
      </c>
      <c r="C23" s="62" t="str">
        <f>Spaces_Sum!D68</f>
        <v>L01</v>
      </c>
      <c r="D23" s="62" t="str">
        <f ca="1">Spaces_Sum!I68</f>
        <v>IndirectlyConditioned</v>
      </c>
      <c r="F23" s="110">
        <f ca="1">Spaces_Sum!M68</f>
        <v>225.3484</v>
      </c>
      <c r="G23" s="110" t="str">
        <f ca="1">Spaces_Sum!J68</f>
        <v>Stairwell</v>
      </c>
      <c r="H23" s="532"/>
      <c r="I23" s="185"/>
      <c r="J23" s="185"/>
      <c r="K23" s="186"/>
      <c r="L23" s="187"/>
      <c r="M23" s="188"/>
      <c r="N23" s="189"/>
      <c r="O23" s="186"/>
      <c r="P23" s="187"/>
      <c r="Q23" s="188"/>
      <c r="R23" s="189"/>
      <c r="S23" s="186"/>
      <c r="T23" s="187"/>
      <c r="U23" s="188"/>
      <c r="V23" s="189"/>
      <c r="W23" s="186"/>
      <c r="X23" s="187"/>
      <c r="Y23" s="188"/>
      <c r="Z23" s="189"/>
      <c r="AA23" s="186"/>
      <c r="AB23" s="187"/>
      <c r="AC23" s="188"/>
      <c r="AD23" s="189"/>
      <c r="AE23" s="186"/>
      <c r="AF23" s="187"/>
      <c r="AG23" s="188"/>
      <c r="AH23" s="189"/>
      <c r="AI23" s="186"/>
      <c r="AJ23" s="187"/>
      <c r="AK23" s="188"/>
      <c r="AL23" s="189"/>
      <c r="AM23" s="186"/>
      <c r="AN23" s="187"/>
      <c r="AO23" s="188"/>
      <c r="AP23" s="189"/>
      <c r="AQ23" s="186"/>
      <c r="AR23" s="187"/>
      <c r="AS23" s="188"/>
      <c r="AT23" s="189"/>
      <c r="AU23" s="186"/>
      <c r="AV23" s="187"/>
      <c r="AW23" s="188"/>
      <c r="AX23" s="189"/>
      <c r="AY23" s="186"/>
      <c r="AZ23" s="187"/>
      <c r="BA23" s="188"/>
      <c r="BB23" s="189"/>
      <c r="BC23" s="186"/>
      <c r="BD23" s="187"/>
      <c r="BE23" s="188"/>
      <c r="BF23" s="189"/>
      <c r="BG23" s="186"/>
      <c r="BH23" s="187"/>
      <c r="BI23" s="188"/>
      <c r="BJ23" s="189"/>
      <c r="BK23" s="186"/>
      <c r="BL23" s="187"/>
      <c r="BM23" s="188"/>
      <c r="BN23" s="189"/>
      <c r="BO23" s="186"/>
      <c r="BP23" s="187"/>
      <c r="BQ23" s="188"/>
      <c r="BR23" s="189"/>
      <c r="BS23" s="186"/>
      <c r="BT23" s="187"/>
      <c r="BU23" s="188"/>
      <c r="BV23" s="189"/>
      <c r="BW23" s="186"/>
      <c r="BX23" s="187"/>
      <c r="BY23" s="188"/>
      <c r="BZ23" s="189"/>
      <c r="CA23" s="186"/>
      <c r="CB23" s="190"/>
      <c r="CC23" s="190"/>
      <c r="CD23" s="82">
        <f t="shared" si="39"/>
        <v>0</v>
      </c>
      <c r="CE23" s="82">
        <f t="shared" si="40"/>
        <v>0</v>
      </c>
      <c r="CF23" s="82">
        <f t="shared" si="41"/>
        <v>0</v>
      </c>
      <c r="CG23" s="82">
        <f t="shared" si="42"/>
        <v>0</v>
      </c>
      <c r="CH23" s="82">
        <f>IF(ISTEXT(L23),(IF(ISERROR(VLOOKUP(L23,Ltg_IFixtureSch_PROP,2,FALSE)),0.000001,VLOOKUP(L23,Ltg_IFixtureSch_PROP,2,FALSE)*M23)),0)</f>
        <v>0</v>
      </c>
      <c r="CI23" s="82">
        <f t="shared" si="44"/>
        <v>0</v>
      </c>
      <c r="CJ23" s="82">
        <f>IF(ISTEXT(L23),(IF(ISERROR(VLOOKUP(L23,Ltg_IFixtureSch_PROP,2,FALSE)),0.000001,VLOOKUP(L23,Ltg_IFixtureSch_PROP,2,FALSE)*N23)),0)</f>
        <v>0</v>
      </c>
      <c r="CK23" s="82">
        <f t="shared" si="46"/>
        <v>0</v>
      </c>
      <c r="CL23" s="82">
        <f t="shared" si="47"/>
        <v>0</v>
      </c>
      <c r="CM23" s="82">
        <f t="shared" si="48"/>
        <v>0</v>
      </c>
      <c r="CN23" s="82">
        <f t="shared" si="49"/>
        <v>0</v>
      </c>
      <c r="CO23" s="82">
        <f t="shared" si="50"/>
        <v>0</v>
      </c>
      <c r="CP23" s="82">
        <f t="shared" si="51"/>
        <v>0</v>
      </c>
      <c r="CQ23" s="82">
        <f t="shared" si="52"/>
        <v>0</v>
      </c>
      <c r="CR23" s="82">
        <f t="shared" si="53"/>
        <v>0</v>
      </c>
      <c r="CS23" s="82">
        <f t="shared" si="54"/>
        <v>0</v>
      </c>
      <c r="CT23" s="82">
        <f t="shared" si="55"/>
        <v>0</v>
      </c>
      <c r="CU23" s="82">
        <f t="shared" si="56"/>
        <v>0</v>
      </c>
      <c r="CV23" s="82">
        <f t="shared" si="57"/>
        <v>0</v>
      </c>
      <c r="CW23" s="82">
        <f t="shared" si="58"/>
        <v>0</v>
      </c>
      <c r="CX23" s="82">
        <f t="shared" si="59"/>
        <v>0</v>
      </c>
      <c r="CY23" s="82">
        <f t="shared" si="60"/>
        <v>0</v>
      </c>
      <c r="CZ23" s="82">
        <f t="shared" si="61"/>
        <v>0</v>
      </c>
      <c r="DA23" s="82">
        <f t="shared" si="62"/>
        <v>0</v>
      </c>
      <c r="DB23" s="82">
        <f t="shared" si="63"/>
        <v>0</v>
      </c>
      <c r="DC23" s="82">
        <f t="shared" si="64"/>
        <v>0</v>
      </c>
      <c r="DD23" s="82">
        <f t="shared" si="65"/>
        <v>0</v>
      </c>
      <c r="DE23" s="82">
        <f t="shared" si="66"/>
        <v>0</v>
      </c>
      <c r="DF23" s="82">
        <f t="shared" si="67"/>
        <v>0</v>
      </c>
      <c r="DG23" s="82">
        <f t="shared" si="68"/>
        <v>0</v>
      </c>
      <c r="DH23" s="82">
        <f t="shared" si="69"/>
        <v>0</v>
      </c>
      <c r="DI23" s="82">
        <f t="shared" si="70"/>
        <v>0</v>
      </c>
      <c r="DJ23" s="82">
        <f t="shared" si="71"/>
        <v>0</v>
      </c>
      <c r="DK23" s="82">
        <f t="shared" si="72"/>
        <v>0</v>
      </c>
      <c r="DL23" s="82">
        <f t="shared" si="73"/>
        <v>0</v>
      </c>
      <c r="DM23" s="82">
        <f t="shared" si="74"/>
        <v>0</v>
      </c>
      <c r="DN23" s="82">
        <f t="shared" si="75"/>
        <v>0</v>
      </c>
      <c r="DO23" s="82">
        <f t="shared" si="76"/>
        <v>0</v>
      </c>
      <c r="DP23" s="82">
        <f t="shared" si="77"/>
        <v>0</v>
      </c>
      <c r="DQ23" s="82">
        <f t="shared" si="78"/>
        <v>0</v>
      </c>
      <c r="DR23" s="82">
        <f t="shared" si="79"/>
        <v>0</v>
      </c>
      <c r="DS23" s="82">
        <f t="shared" si="80"/>
        <v>0</v>
      </c>
      <c r="DT23" s="82">
        <f t="shared" si="81"/>
        <v>0</v>
      </c>
      <c r="DU23" s="82">
        <f t="shared" si="82"/>
        <v>0</v>
      </c>
      <c r="DV23" s="82">
        <f t="shared" si="83"/>
        <v>0</v>
      </c>
      <c r="DW23" s="82">
        <f t="shared" si="84"/>
        <v>0</v>
      </c>
      <c r="DX23" s="82">
        <f t="shared" si="85"/>
        <v>0</v>
      </c>
      <c r="DY23" s="82">
        <f t="shared" si="86"/>
        <v>0</v>
      </c>
      <c r="DZ23" s="82">
        <f t="shared" si="87"/>
        <v>0</v>
      </c>
      <c r="EA23" s="82">
        <f t="shared" si="88"/>
        <v>0</v>
      </c>
      <c r="EB23" s="82">
        <f t="shared" si="89"/>
        <v>0</v>
      </c>
      <c r="EC23" s="82">
        <f t="shared" si="90"/>
        <v>0</v>
      </c>
      <c r="ED23" s="82">
        <f t="shared" si="91"/>
        <v>0</v>
      </c>
      <c r="EE23" s="82">
        <f t="shared" si="92"/>
        <v>0</v>
      </c>
      <c r="EF23" s="82">
        <f t="shared" si="93"/>
        <v>0</v>
      </c>
      <c r="EG23" s="82">
        <f t="shared" si="94"/>
        <v>0</v>
      </c>
      <c r="EH23" s="82">
        <f t="shared" si="95"/>
        <v>0</v>
      </c>
      <c r="EI23" s="82">
        <f t="shared" si="96"/>
        <v>0</v>
      </c>
      <c r="EJ23" s="82">
        <f t="shared" si="97"/>
        <v>0</v>
      </c>
      <c r="EK23" s="82">
        <f t="shared" si="98"/>
        <v>0</v>
      </c>
      <c r="EL23" s="82">
        <f t="shared" si="99"/>
        <v>0</v>
      </c>
      <c r="EM23" s="82">
        <f t="shared" si="100"/>
        <v>0</v>
      </c>
      <c r="EN23" s="82">
        <f t="shared" si="101"/>
        <v>0</v>
      </c>
      <c r="EO23" s="82">
        <f t="shared" si="102"/>
        <v>0</v>
      </c>
      <c r="EP23" s="82">
        <f t="shared" si="103"/>
        <v>0</v>
      </c>
      <c r="EQ23" s="82">
        <f t="shared" si="104"/>
        <v>0</v>
      </c>
      <c r="ER23" s="82">
        <f t="shared" si="105"/>
        <v>0</v>
      </c>
      <c r="ES23" s="82">
        <f t="shared" si="106"/>
        <v>0</v>
      </c>
      <c r="ET23" s="82">
        <f t="shared" si="107"/>
        <v>0</v>
      </c>
      <c r="EU23" s="82">
        <f t="shared" si="108"/>
        <v>0</v>
      </c>
      <c r="EV23" s="82">
        <f t="shared" si="109"/>
        <v>0</v>
      </c>
      <c r="EW23" s="82">
        <f t="shared" si="110"/>
        <v>0</v>
      </c>
      <c r="EX23" s="82">
        <f t="shared" si="111"/>
        <v>0</v>
      </c>
      <c r="EY23" s="111">
        <f t="shared" si="112"/>
        <v>0</v>
      </c>
      <c r="EZ23" s="143">
        <f t="shared" ca="1" si="113"/>
        <v>0</v>
      </c>
      <c r="FA23" s="112">
        <f t="shared" ca="1" si="114"/>
        <v>0</v>
      </c>
      <c r="FB23" s="113">
        <f t="shared" ca="1" si="115"/>
        <v>0</v>
      </c>
      <c r="FC23" s="114">
        <f t="shared" ca="1" si="116"/>
        <v>0</v>
      </c>
      <c r="FD23" s="115">
        <f t="shared" ca="1" si="117"/>
        <v>0</v>
      </c>
      <c r="FE23" s="116">
        <f t="shared" ca="1" si="118"/>
        <v>0</v>
      </c>
      <c r="FF23" s="117">
        <f t="shared" ca="1" si="119"/>
        <v>0</v>
      </c>
      <c r="FG23" s="71">
        <f t="shared" si="120"/>
        <v>0</v>
      </c>
      <c r="FH23" s="530">
        <f t="shared" ca="1" si="121"/>
        <v>0</v>
      </c>
      <c r="FI23" s="922">
        <f ca="1">0.9*FB23</f>
        <v>0</v>
      </c>
      <c r="FJ23" s="922">
        <f ca="1">FA23</f>
        <v>0</v>
      </c>
      <c r="FK23" s="922">
        <f t="shared" ref="FK23:FK27" ca="1" si="130">SUM(FI23:FJ23)</f>
        <v>0</v>
      </c>
      <c r="FM23" s="421" t="str">
        <f t="shared" si="122"/>
        <v>L01-110_StrsRaccIncd</v>
      </c>
      <c r="FN23" s="422" t="str">
        <f t="shared" ca="1" si="123"/>
        <v>Stairwell</v>
      </c>
      <c r="FO23" s="423">
        <f t="shared" ca="1" si="129"/>
        <v>0</v>
      </c>
      <c r="FP23" s="423">
        <f t="shared" ca="1" si="124"/>
        <v>0</v>
      </c>
      <c r="FQ23" s="423">
        <f t="shared" ca="1" si="124"/>
        <v>0</v>
      </c>
      <c r="FR23" s="423">
        <f t="shared" ca="1" si="124"/>
        <v>0</v>
      </c>
      <c r="FS23" s="423">
        <f t="shared" ca="1" si="124"/>
        <v>0</v>
      </c>
      <c r="FT23" s="423">
        <f t="shared" ca="1" si="124"/>
        <v>0</v>
      </c>
      <c r="FU23" s="423">
        <f t="shared" ca="1" si="124"/>
        <v>0</v>
      </c>
      <c r="FV23" s="423">
        <f t="shared" ca="1" si="124"/>
        <v>0</v>
      </c>
      <c r="FW23" s="423">
        <f t="shared" ca="1" si="124"/>
        <v>0</v>
      </c>
      <c r="FX23" s="423">
        <f t="shared" ca="1" si="124"/>
        <v>0</v>
      </c>
      <c r="FY23" s="423">
        <f t="shared" ca="1" si="124"/>
        <v>0</v>
      </c>
      <c r="FZ23" s="423">
        <f t="shared" ca="1" si="124"/>
        <v>0</v>
      </c>
      <c r="GA23" s="423">
        <f t="shared" ca="1" si="124"/>
        <v>0</v>
      </c>
      <c r="GB23" s="423">
        <f t="shared" ca="1" si="124"/>
        <v>0</v>
      </c>
      <c r="GC23" s="423">
        <f t="shared" ca="1" si="124"/>
        <v>0</v>
      </c>
      <c r="GD23" s="423">
        <f t="shared" ca="1" si="124"/>
        <v>0</v>
      </c>
      <c r="GE23" s="423">
        <f t="shared" ca="1" si="124"/>
        <v>0</v>
      </c>
      <c r="GF23" s="423">
        <f t="shared" ca="1" si="125"/>
        <v>0</v>
      </c>
      <c r="GG23" s="423">
        <f t="shared" ca="1" si="125"/>
        <v>0</v>
      </c>
      <c r="GH23" s="423">
        <f t="shared" ca="1" si="125"/>
        <v>0</v>
      </c>
      <c r="GI23" s="423">
        <f t="shared" ca="1" si="125"/>
        <v>0</v>
      </c>
      <c r="GJ23" s="423">
        <f t="shared" ca="1" si="125"/>
        <v>0</v>
      </c>
      <c r="GK23" s="423">
        <f t="shared" ca="1" si="125"/>
        <v>0</v>
      </c>
      <c r="GL23" s="423">
        <f t="shared" ca="1" si="125"/>
        <v>0</v>
      </c>
      <c r="GM23" s="423">
        <f t="shared" ca="1" si="125"/>
        <v>0</v>
      </c>
      <c r="GN23" s="423">
        <f t="shared" ca="1" si="125"/>
        <v>0</v>
      </c>
      <c r="GO23" s="423">
        <f t="shared" ca="1" si="125"/>
        <v>0</v>
      </c>
      <c r="GP23" s="423">
        <f t="shared" ca="1" si="125"/>
        <v>0</v>
      </c>
      <c r="GQ23" s="423">
        <f t="shared" ca="1" si="125"/>
        <v>0</v>
      </c>
      <c r="GR23" s="423">
        <f t="shared" ca="1" si="125"/>
        <v>0</v>
      </c>
      <c r="GS23" s="423">
        <f t="shared" ca="1" si="125"/>
        <v>0</v>
      </c>
      <c r="GT23" s="423">
        <f t="shared" ca="1" si="125"/>
        <v>0</v>
      </c>
      <c r="GU23" s="423">
        <f t="shared" ca="1" si="125"/>
        <v>0</v>
      </c>
      <c r="GV23" s="423">
        <f t="shared" ca="1" si="126"/>
        <v>0</v>
      </c>
      <c r="GW23" s="423">
        <f t="shared" ca="1" si="126"/>
        <v>0</v>
      </c>
      <c r="GX23" s="423">
        <f t="shared" ca="1" si="126"/>
        <v>0</v>
      </c>
      <c r="GY23" s="423">
        <f t="shared" ca="1" si="126"/>
        <v>0</v>
      </c>
      <c r="GZ23" s="423">
        <f t="shared" ca="1" si="126"/>
        <v>0</v>
      </c>
      <c r="HA23" s="423">
        <f t="shared" ca="1" si="126"/>
        <v>0</v>
      </c>
      <c r="HB23" s="423">
        <f t="shared" ca="1" si="126"/>
        <v>0</v>
      </c>
      <c r="HC23" s="423">
        <f t="shared" ca="1" si="126"/>
        <v>0</v>
      </c>
      <c r="HD23" s="423">
        <f t="shared" ca="1" si="126"/>
        <v>0</v>
      </c>
      <c r="HE23" s="423">
        <f t="shared" ca="1" si="126"/>
        <v>0</v>
      </c>
      <c r="HF23" s="423">
        <f t="shared" ca="1" si="126"/>
        <v>0</v>
      </c>
      <c r="HG23" s="423">
        <f t="shared" ca="1" si="126"/>
        <v>0</v>
      </c>
      <c r="HH23" s="423">
        <f t="shared" ca="1" si="126"/>
        <v>0</v>
      </c>
      <c r="HI23" s="423">
        <f t="shared" ca="1" si="126"/>
        <v>0</v>
      </c>
      <c r="HJ23" s="423">
        <f t="shared" ca="1" si="126"/>
        <v>0</v>
      </c>
      <c r="HK23" s="423">
        <f t="shared" ca="1" si="126"/>
        <v>0</v>
      </c>
      <c r="HL23" s="423">
        <f t="shared" ca="1" si="127"/>
        <v>0</v>
      </c>
      <c r="HM23" s="423">
        <f t="shared" ca="1" si="127"/>
        <v>0</v>
      </c>
      <c r="HN23" s="423">
        <f t="shared" ca="1" si="127"/>
        <v>0</v>
      </c>
      <c r="HO23" s="423">
        <f t="shared" ca="1" si="127"/>
        <v>0</v>
      </c>
      <c r="HP23" s="423">
        <f t="shared" ca="1" si="127"/>
        <v>0</v>
      </c>
      <c r="HQ23" s="423">
        <f t="shared" ca="1" si="127"/>
        <v>0</v>
      </c>
      <c r="HR23" s="423">
        <f t="shared" ca="1" si="127"/>
        <v>0</v>
      </c>
      <c r="HS23" s="423">
        <f t="shared" ca="1" si="127"/>
        <v>0</v>
      </c>
      <c r="HT23" s="423">
        <f t="shared" ca="1" si="127"/>
        <v>0</v>
      </c>
    </row>
    <row r="24" spans="1:230" ht="11.25" customHeight="1" x14ac:dyDescent="0.2">
      <c r="A24" s="62">
        <f t="shared" si="128"/>
        <v>13</v>
      </c>
      <c r="B24" s="60" t="str">
        <f>Spaces_Sum!C69</f>
        <v>L01-111_ElevRaccIncd</v>
      </c>
      <c r="C24" s="62" t="str">
        <f>Spaces_Sum!D69</f>
        <v>L01</v>
      </c>
      <c r="D24" s="62" t="str">
        <f ca="1">Spaces_Sum!I69</f>
        <v>IndirectlyConditioned</v>
      </c>
      <c r="F24" s="110">
        <f ca="1">Spaces_Sum!M69</f>
        <v>149.10720000000001</v>
      </c>
      <c r="G24" s="110" t="str">
        <f ca="1">Spaces_Sum!J69</f>
        <v>Unoccupied-Include in Gross Floor Area</v>
      </c>
      <c r="H24" s="532"/>
      <c r="I24" s="185"/>
      <c r="J24" s="185"/>
      <c r="K24" s="186"/>
      <c r="L24" s="187"/>
      <c r="M24" s="188"/>
      <c r="N24" s="189"/>
      <c r="O24" s="186"/>
      <c r="P24" s="187"/>
      <c r="Q24" s="188"/>
      <c r="R24" s="189"/>
      <c r="S24" s="186"/>
      <c r="T24" s="187"/>
      <c r="U24" s="188"/>
      <c r="V24" s="189"/>
      <c r="W24" s="186"/>
      <c r="X24" s="187"/>
      <c r="Y24" s="188"/>
      <c r="Z24" s="189"/>
      <c r="AA24" s="186"/>
      <c r="AB24" s="187"/>
      <c r="AC24" s="188"/>
      <c r="AD24" s="189"/>
      <c r="AE24" s="186"/>
      <c r="AF24" s="187"/>
      <c r="AG24" s="188"/>
      <c r="AH24" s="189"/>
      <c r="AI24" s="186"/>
      <c r="AJ24" s="187"/>
      <c r="AK24" s="188"/>
      <c r="AL24" s="189"/>
      <c r="AM24" s="186"/>
      <c r="AN24" s="187"/>
      <c r="AO24" s="188"/>
      <c r="AP24" s="189"/>
      <c r="AQ24" s="186"/>
      <c r="AR24" s="187"/>
      <c r="AS24" s="188"/>
      <c r="AT24" s="189"/>
      <c r="AU24" s="186"/>
      <c r="AV24" s="187"/>
      <c r="AW24" s="188"/>
      <c r="AX24" s="189"/>
      <c r="AY24" s="186"/>
      <c r="AZ24" s="187"/>
      <c r="BA24" s="188"/>
      <c r="BB24" s="189"/>
      <c r="BC24" s="186"/>
      <c r="BD24" s="187"/>
      <c r="BE24" s="188"/>
      <c r="BF24" s="189"/>
      <c r="BG24" s="186"/>
      <c r="BH24" s="187"/>
      <c r="BI24" s="188"/>
      <c r="BJ24" s="189"/>
      <c r="BK24" s="186"/>
      <c r="BL24" s="187"/>
      <c r="BM24" s="188"/>
      <c r="BN24" s="189"/>
      <c r="BO24" s="186"/>
      <c r="BP24" s="187"/>
      <c r="BQ24" s="188"/>
      <c r="BR24" s="189"/>
      <c r="BS24" s="186"/>
      <c r="BT24" s="187"/>
      <c r="BU24" s="188"/>
      <c r="BV24" s="189"/>
      <c r="BW24" s="186"/>
      <c r="BX24" s="187"/>
      <c r="BY24" s="188"/>
      <c r="BZ24" s="189"/>
      <c r="CA24" s="186"/>
      <c r="CB24" s="190"/>
      <c r="CC24" s="190"/>
      <c r="CD24" s="82">
        <f t="shared" si="39"/>
        <v>0</v>
      </c>
      <c r="CE24" s="82">
        <f t="shared" si="40"/>
        <v>0</v>
      </c>
      <c r="CF24" s="82">
        <f t="shared" si="41"/>
        <v>0</v>
      </c>
      <c r="CG24" s="82">
        <f t="shared" si="42"/>
        <v>0</v>
      </c>
      <c r="CH24" s="82">
        <f t="shared" si="43"/>
        <v>0</v>
      </c>
      <c r="CI24" s="82">
        <f t="shared" si="44"/>
        <v>0</v>
      </c>
      <c r="CJ24" s="82">
        <f t="shared" si="45"/>
        <v>0</v>
      </c>
      <c r="CK24" s="82">
        <f t="shared" si="46"/>
        <v>0</v>
      </c>
      <c r="CL24" s="82">
        <f t="shared" si="47"/>
        <v>0</v>
      </c>
      <c r="CM24" s="82">
        <f t="shared" si="48"/>
        <v>0</v>
      </c>
      <c r="CN24" s="82">
        <f t="shared" si="49"/>
        <v>0</v>
      </c>
      <c r="CO24" s="82">
        <f t="shared" si="50"/>
        <v>0</v>
      </c>
      <c r="CP24" s="82">
        <f t="shared" si="51"/>
        <v>0</v>
      </c>
      <c r="CQ24" s="82">
        <f t="shared" si="52"/>
        <v>0</v>
      </c>
      <c r="CR24" s="82">
        <f t="shared" si="53"/>
        <v>0</v>
      </c>
      <c r="CS24" s="82">
        <f t="shared" si="54"/>
        <v>0</v>
      </c>
      <c r="CT24" s="82">
        <f t="shared" si="55"/>
        <v>0</v>
      </c>
      <c r="CU24" s="82">
        <f t="shared" si="56"/>
        <v>0</v>
      </c>
      <c r="CV24" s="82">
        <f t="shared" si="57"/>
        <v>0</v>
      </c>
      <c r="CW24" s="82">
        <f t="shared" si="58"/>
        <v>0</v>
      </c>
      <c r="CX24" s="82">
        <f t="shared" si="59"/>
        <v>0</v>
      </c>
      <c r="CY24" s="82">
        <f t="shared" si="60"/>
        <v>0</v>
      </c>
      <c r="CZ24" s="82">
        <f t="shared" si="61"/>
        <v>0</v>
      </c>
      <c r="DA24" s="82">
        <f t="shared" si="62"/>
        <v>0</v>
      </c>
      <c r="DB24" s="82">
        <f t="shared" si="63"/>
        <v>0</v>
      </c>
      <c r="DC24" s="82">
        <f t="shared" si="64"/>
        <v>0</v>
      </c>
      <c r="DD24" s="82">
        <f t="shared" si="65"/>
        <v>0</v>
      </c>
      <c r="DE24" s="82">
        <f t="shared" si="66"/>
        <v>0</v>
      </c>
      <c r="DF24" s="82">
        <f t="shared" si="67"/>
        <v>0</v>
      </c>
      <c r="DG24" s="82">
        <f t="shared" si="68"/>
        <v>0</v>
      </c>
      <c r="DH24" s="82">
        <f t="shared" si="69"/>
        <v>0</v>
      </c>
      <c r="DI24" s="82">
        <f t="shared" si="70"/>
        <v>0</v>
      </c>
      <c r="DJ24" s="82">
        <f t="shared" si="71"/>
        <v>0</v>
      </c>
      <c r="DK24" s="82">
        <f t="shared" si="72"/>
        <v>0</v>
      </c>
      <c r="DL24" s="82">
        <f t="shared" si="73"/>
        <v>0</v>
      </c>
      <c r="DM24" s="82">
        <f t="shared" si="74"/>
        <v>0</v>
      </c>
      <c r="DN24" s="82">
        <f t="shared" si="75"/>
        <v>0</v>
      </c>
      <c r="DO24" s="82">
        <f t="shared" si="76"/>
        <v>0</v>
      </c>
      <c r="DP24" s="82">
        <f t="shared" si="77"/>
        <v>0</v>
      </c>
      <c r="DQ24" s="82">
        <f t="shared" si="78"/>
        <v>0</v>
      </c>
      <c r="DR24" s="82">
        <f t="shared" si="79"/>
        <v>0</v>
      </c>
      <c r="DS24" s="82">
        <f t="shared" si="80"/>
        <v>0</v>
      </c>
      <c r="DT24" s="82">
        <f t="shared" si="81"/>
        <v>0</v>
      </c>
      <c r="DU24" s="82">
        <f t="shared" si="82"/>
        <v>0</v>
      </c>
      <c r="DV24" s="82">
        <f t="shared" si="83"/>
        <v>0</v>
      </c>
      <c r="DW24" s="82">
        <f t="shared" si="84"/>
        <v>0</v>
      </c>
      <c r="DX24" s="82">
        <f t="shared" si="85"/>
        <v>0</v>
      </c>
      <c r="DY24" s="82">
        <f t="shared" si="86"/>
        <v>0</v>
      </c>
      <c r="DZ24" s="82">
        <f t="shared" si="87"/>
        <v>0</v>
      </c>
      <c r="EA24" s="82">
        <f t="shared" si="88"/>
        <v>0</v>
      </c>
      <c r="EB24" s="82">
        <f t="shared" si="89"/>
        <v>0</v>
      </c>
      <c r="EC24" s="82">
        <f t="shared" si="90"/>
        <v>0</v>
      </c>
      <c r="ED24" s="82">
        <f t="shared" si="91"/>
        <v>0</v>
      </c>
      <c r="EE24" s="82">
        <f t="shared" si="92"/>
        <v>0</v>
      </c>
      <c r="EF24" s="82">
        <f t="shared" si="93"/>
        <v>0</v>
      </c>
      <c r="EG24" s="82">
        <f t="shared" si="94"/>
        <v>0</v>
      </c>
      <c r="EH24" s="82">
        <f t="shared" si="95"/>
        <v>0</v>
      </c>
      <c r="EI24" s="82">
        <f t="shared" si="96"/>
        <v>0</v>
      </c>
      <c r="EJ24" s="82">
        <f t="shared" si="97"/>
        <v>0</v>
      </c>
      <c r="EK24" s="82">
        <f t="shared" si="98"/>
        <v>0</v>
      </c>
      <c r="EL24" s="82">
        <f t="shared" si="99"/>
        <v>0</v>
      </c>
      <c r="EM24" s="82">
        <f t="shared" si="100"/>
        <v>0</v>
      </c>
      <c r="EN24" s="82">
        <f t="shared" si="101"/>
        <v>0</v>
      </c>
      <c r="EO24" s="82">
        <f t="shared" si="102"/>
        <v>0</v>
      </c>
      <c r="EP24" s="82">
        <f t="shared" si="103"/>
        <v>0</v>
      </c>
      <c r="EQ24" s="82">
        <f t="shared" si="104"/>
        <v>0</v>
      </c>
      <c r="ER24" s="82">
        <f t="shared" si="105"/>
        <v>0</v>
      </c>
      <c r="ES24" s="82">
        <f t="shared" si="106"/>
        <v>0</v>
      </c>
      <c r="ET24" s="82">
        <f t="shared" si="107"/>
        <v>0</v>
      </c>
      <c r="EU24" s="82">
        <f t="shared" si="108"/>
        <v>0</v>
      </c>
      <c r="EV24" s="82">
        <f t="shared" si="109"/>
        <v>0</v>
      </c>
      <c r="EW24" s="82">
        <f t="shared" si="110"/>
        <v>0</v>
      </c>
      <c r="EX24" s="82">
        <f t="shared" si="111"/>
        <v>0</v>
      </c>
      <c r="EY24" s="111">
        <f t="shared" si="112"/>
        <v>0</v>
      </c>
      <c r="EZ24" s="143">
        <f t="shared" ca="1" si="113"/>
        <v>0</v>
      </c>
      <c r="FA24" s="112">
        <f t="shared" ca="1" si="114"/>
        <v>0</v>
      </c>
      <c r="FB24" s="113">
        <f t="shared" ca="1" si="115"/>
        <v>0</v>
      </c>
      <c r="FC24" s="114">
        <f t="shared" ca="1" si="116"/>
        <v>0</v>
      </c>
      <c r="FD24" s="115">
        <f t="shared" ca="1" si="117"/>
        <v>0</v>
      </c>
      <c r="FE24" s="116">
        <f t="shared" ca="1" si="118"/>
        <v>0</v>
      </c>
      <c r="FF24" s="117">
        <f t="shared" ca="1" si="119"/>
        <v>0</v>
      </c>
      <c r="FG24" s="71">
        <f t="shared" si="120"/>
        <v>0</v>
      </c>
      <c r="FH24" s="530">
        <f t="shared" ca="1" si="121"/>
        <v>0</v>
      </c>
      <c r="FI24" s="922">
        <f ca="1">0.65*FB24</f>
        <v>0</v>
      </c>
      <c r="FJ24" s="922">
        <f ca="1">FA24</f>
        <v>0</v>
      </c>
      <c r="FK24" s="922">
        <f t="shared" ca="1" si="130"/>
        <v>0</v>
      </c>
      <c r="FM24" s="421" t="str">
        <f t="shared" si="122"/>
        <v>L01-111_ElevRaccIncd</v>
      </c>
      <c r="FN24" s="422" t="str">
        <f t="shared" ca="1" si="123"/>
        <v>Unoccupied-Include in Gross Floor Area</v>
      </c>
      <c r="FO24" s="423">
        <f t="shared" ca="1" si="129"/>
        <v>0</v>
      </c>
      <c r="FP24" s="423">
        <f t="shared" ca="1" si="124"/>
        <v>0</v>
      </c>
      <c r="FQ24" s="423">
        <f t="shared" ca="1" si="124"/>
        <v>0</v>
      </c>
      <c r="FR24" s="423">
        <f t="shared" ca="1" si="124"/>
        <v>0</v>
      </c>
      <c r="FS24" s="423">
        <f t="shared" ca="1" si="124"/>
        <v>0</v>
      </c>
      <c r="FT24" s="423">
        <f t="shared" ca="1" si="124"/>
        <v>0</v>
      </c>
      <c r="FU24" s="423">
        <f t="shared" ca="1" si="124"/>
        <v>0</v>
      </c>
      <c r="FV24" s="423">
        <f t="shared" ca="1" si="124"/>
        <v>0</v>
      </c>
      <c r="FW24" s="423">
        <f t="shared" ca="1" si="124"/>
        <v>0</v>
      </c>
      <c r="FX24" s="423">
        <f t="shared" ca="1" si="124"/>
        <v>0</v>
      </c>
      <c r="FY24" s="423">
        <f t="shared" ca="1" si="124"/>
        <v>0</v>
      </c>
      <c r="FZ24" s="423">
        <f t="shared" ca="1" si="124"/>
        <v>0</v>
      </c>
      <c r="GA24" s="423">
        <f t="shared" ca="1" si="124"/>
        <v>0</v>
      </c>
      <c r="GB24" s="423">
        <f t="shared" ca="1" si="124"/>
        <v>0</v>
      </c>
      <c r="GC24" s="423">
        <f t="shared" ca="1" si="124"/>
        <v>0</v>
      </c>
      <c r="GD24" s="423">
        <f t="shared" ca="1" si="124"/>
        <v>0</v>
      </c>
      <c r="GE24" s="423">
        <f t="shared" ca="1" si="124"/>
        <v>0</v>
      </c>
      <c r="GF24" s="423">
        <f t="shared" ca="1" si="125"/>
        <v>0</v>
      </c>
      <c r="GG24" s="423">
        <f t="shared" ca="1" si="125"/>
        <v>0</v>
      </c>
      <c r="GH24" s="423">
        <f t="shared" ca="1" si="125"/>
        <v>0</v>
      </c>
      <c r="GI24" s="423">
        <f t="shared" ca="1" si="125"/>
        <v>0</v>
      </c>
      <c r="GJ24" s="423">
        <f t="shared" ca="1" si="125"/>
        <v>0</v>
      </c>
      <c r="GK24" s="423">
        <f t="shared" ca="1" si="125"/>
        <v>0</v>
      </c>
      <c r="GL24" s="423">
        <f t="shared" ca="1" si="125"/>
        <v>0</v>
      </c>
      <c r="GM24" s="423">
        <f t="shared" ca="1" si="125"/>
        <v>0</v>
      </c>
      <c r="GN24" s="423">
        <f t="shared" ca="1" si="125"/>
        <v>0</v>
      </c>
      <c r="GO24" s="423">
        <f t="shared" ca="1" si="125"/>
        <v>0</v>
      </c>
      <c r="GP24" s="423">
        <f t="shared" ca="1" si="125"/>
        <v>0</v>
      </c>
      <c r="GQ24" s="423">
        <f t="shared" ca="1" si="125"/>
        <v>0</v>
      </c>
      <c r="GR24" s="423">
        <f t="shared" ca="1" si="125"/>
        <v>0</v>
      </c>
      <c r="GS24" s="423">
        <f t="shared" ca="1" si="125"/>
        <v>0</v>
      </c>
      <c r="GT24" s="423">
        <f t="shared" ca="1" si="125"/>
        <v>0</v>
      </c>
      <c r="GU24" s="423">
        <f t="shared" ca="1" si="125"/>
        <v>0</v>
      </c>
      <c r="GV24" s="423">
        <f t="shared" ca="1" si="126"/>
        <v>0</v>
      </c>
      <c r="GW24" s="423">
        <f t="shared" ca="1" si="126"/>
        <v>0</v>
      </c>
      <c r="GX24" s="423">
        <f t="shared" ca="1" si="126"/>
        <v>0</v>
      </c>
      <c r="GY24" s="423">
        <f t="shared" ca="1" si="126"/>
        <v>0</v>
      </c>
      <c r="GZ24" s="423">
        <f t="shared" ca="1" si="126"/>
        <v>0</v>
      </c>
      <c r="HA24" s="423">
        <f t="shared" ca="1" si="126"/>
        <v>0</v>
      </c>
      <c r="HB24" s="423">
        <f t="shared" ca="1" si="126"/>
        <v>0</v>
      </c>
      <c r="HC24" s="423">
        <f t="shared" ca="1" si="126"/>
        <v>0</v>
      </c>
      <c r="HD24" s="423">
        <f t="shared" ca="1" si="126"/>
        <v>0</v>
      </c>
      <c r="HE24" s="423">
        <f t="shared" ca="1" si="126"/>
        <v>0</v>
      </c>
      <c r="HF24" s="423">
        <f t="shared" ca="1" si="126"/>
        <v>0</v>
      </c>
      <c r="HG24" s="423">
        <f t="shared" ca="1" si="126"/>
        <v>0</v>
      </c>
      <c r="HH24" s="423">
        <f t="shared" ca="1" si="126"/>
        <v>0</v>
      </c>
      <c r="HI24" s="423">
        <f t="shared" ca="1" si="126"/>
        <v>0</v>
      </c>
      <c r="HJ24" s="423">
        <f t="shared" ca="1" si="126"/>
        <v>0</v>
      </c>
      <c r="HK24" s="423">
        <f t="shared" ca="1" si="126"/>
        <v>0</v>
      </c>
      <c r="HL24" s="423">
        <f t="shared" ca="1" si="127"/>
        <v>0</v>
      </c>
      <c r="HM24" s="423">
        <f t="shared" ca="1" si="127"/>
        <v>0</v>
      </c>
      <c r="HN24" s="423">
        <f t="shared" ca="1" si="127"/>
        <v>0</v>
      </c>
      <c r="HO24" s="423">
        <f t="shared" ca="1" si="127"/>
        <v>0</v>
      </c>
      <c r="HP24" s="423">
        <f t="shared" ca="1" si="127"/>
        <v>0</v>
      </c>
      <c r="HQ24" s="423">
        <f t="shared" ca="1" si="127"/>
        <v>0</v>
      </c>
      <c r="HR24" s="423">
        <f t="shared" ca="1" si="127"/>
        <v>0</v>
      </c>
      <c r="HS24" s="423">
        <f t="shared" ca="1" si="127"/>
        <v>0</v>
      </c>
      <c r="HT24" s="423">
        <f t="shared" ca="1" si="127"/>
        <v>0</v>
      </c>
    </row>
    <row r="25" spans="1:230" ht="11.25" customHeight="1" x14ac:dyDescent="0.2">
      <c r="A25" s="62">
        <f t="shared" si="128"/>
        <v>14</v>
      </c>
      <c r="B25" s="60" t="str">
        <f>Spaces_Sum!C70</f>
        <v>L01-112_AstoRaccBbrd</v>
      </c>
      <c r="C25" s="62" t="str">
        <f>Spaces_Sum!D70</f>
        <v>L01</v>
      </c>
      <c r="D25" s="62" t="str">
        <f ca="1">Spaces_Sum!I70</f>
        <v>DirectlyConditioned</v>
      </c>
      <c r="F25" s="110">
        <f ca="1">Spaces_Sum!M70</f>
        <v>657.36040000000003</v>
      </c>
      <c r="G25" s="110" t="str">
        <f ca="1">Spaces_Sum!J70</f>
        <v>Storage Room - &lt;50 ft2</v>
      </c>
      <c r="H25" s="532"/>
      <c r="I25" s="185"/>
      <c r="J25" s="185"/>
      <c r="K25" s="186"/>
      <c r="L25" s="187"/>
      <c r="M25" s="188"/>
      <c r="N25" s="189"/>
      <c r="O25" s="186"/>
      <c r="P25" s="187"/>
      <c r="Q25" s="188"/>
      <c r="R25" s="189"/>
      <c r="S25" s="186"/>
      <c r="T25" s="187"/>
      <c r="U25" s="188"/>
      <c r="V25" s="189"/>
      <c r="W25" s="186"/>
      <c r="X25" s="187"/>
      <c r="Y25" s="188"/>
      <c r="Z25" s="189"/>
      <c r="AA25" s="186"/>
      <c r="AB25" s="187"/>
      <c r="AC25" s="188"/>
      <c r="AD25" s="189"/>
      <c r="AE25" s="186"/>
      <c r="AF25" s="187"/>
      <c r="AG25" s="188"/>
      <c r="AH25" s="189"/>
      <c r="AI25" s="186"/>
      <c r="AJ25" s="187"/>
      <c r="AK25" s="188"/>
      <c r="AL25" s="189"/>
      <c r="AM25" s="186"/>
      <c r="AN25" s="187"/>
      <c r="AO25" s="188"/>
      <c r="AP25" s="189"/>
      <c r="AQ25" s="186"/>
      <c r="AR25" s="187"/>
      <c r="AS25" s="188"/>
      <c r="AT25" s="189"/>
      <c r="AU25" s="186"/>
      <c r="AV25" s="187"/>
      <c r="AW25" s="188"/>
      <c r="AX25" s="189"/>
      <c r="AY25" s="186"/>
      <c r="AZ25" s="187"/>
      <c r="BA25" s="188"/>
      <c r="BB25" s="189"/>
      <c r="BC25" s="186"/>
      <c r="BD25" s="187"/>
      <c r="BE25" s="188"/>
      <c r="BF25" s="189"/>
      <c r="BG25" s="186"/>
      <c r="BH25" s="187"/>
      <c r="BI25" s="188"/>
      <c r="BJ25" s="189"/>
      <c r="BK25" s="186"/>
      <c r="BL25" s="187"/>
      <c r="BM25" s="188"/>
      <c r="BN25" s="189"/>
      <c r="BO25" s="186"/>
      <c r="BP25" s="187"/>
      <c r="BQ25" s="188"/>
      <c r="BR25" s="189"/>
      <c r="BS25" s="186"/>
      <c r="BT25" s="187"/>
      <c r="BU25" s="188"/>
      <c r="BV25" s="189"/>
      <c r="BW25" s="186"/>
      <c r="BX25" s="187"/>
      <c r="BY25" s="188"/>
      <c r="BZ25" s="189"/>
      <c r="CA25" s="186"/>
      <c r="CB25" s="190"/>
      <c r="CC25" s="190"/>
      <c r="CD25" s="82">
        <f t="shared" si="39"/>
        <v>0</v>
      </c>
      <c r="CE25" s="82">
        <f t="shared" si="40"/>
        <v>0</v>
      </c>
      <c r="CF25" s="82">
        <f t="shared" si="41"/>
        <v>0</v>
      </c>
      <c r="CG25" s="82">
        <f t="shared" si="42"/>
        <v>0</v>
      </c>
      <c r="CH25" s="82">
        <f t="shared" si="43"/>
        <v>0</v>
      </c>
      <c r="CI25" s="82">
        <f t="shared" si="44"/>
        <v>0</v>
      </c>
      <c r="CJ25" s="82">
        <f t="shared" si="45"/>
        <v>0</v>
      </c>
      <c r="CK25" s="82">
        <f t="shared" si="46"/>
        <v>0</v>
      </c>
      <c r="CL25" s="82">
        <f t="shared" si="47"/>
        <v>0</v>
      </c>
      <c r="CM25" s="82">
        <f t="shared" si="48"/>
        <v>0</v>
      </c>
      <c r="CN25" s="82">
        <f t="shared" si="49"/>
        <v>0</v>
      </c>
      <c r="CO25" s="82">
        <f t="shared" si="50"/>
        <v>0</v>
      </c>
      <c r="CP25" s="82">
        <f t="shared" si="51"/>
        <v>0</v>
      </c>
      <c r="CQ25" s="82">
        <f t="shared" si="52"/>
        <v>0</v>
      </c>
      <c r="CR25" s="82">
        <f t="shared" si="53"/>
        <v>0</v>
      </c>
      <c r="CS25" s="82">
        <f t="shared" si="54"/>
        <v>0</v>
      </c>
      <c r="CT25" s="82">
        <f t="shared" si="55"/>
        <v>0</v>
      </c>
      <c r="CU25" s="82">
        <f t="shared" si="56"/>
        <v>0</v>
      </c>
      <c r="CV25" s="82">
        <f t="shared" si="57"/>
        <v>0</v>
      </c>
      <c r="CW25" s="82">
        <f t="shared" si="58"/>
        <v>0</v>
      </c>
      <c r="CX25" s="82">
        <f t="shared" si="59"/>
        <v>0</v>
      </c>
      <c r="CY25" s="82">
        <f t="shared" si="60"/>
        <v>0</v>
      </c>
      <c r="CZ25" s="82">
        <f t="shared" si="61"/>
        <v>0</v>
      </c>
      <c r="DA25" s="82">
        <f t="shared" si="62"/>
        <v>0</v>
      </c>
      <c r="DB25" s="82">
        <f t="shared" si="63"/>
        <v>0</v>
      </c>
      <c r="DC25" s="82">
        <f t="shared" si="64"/>
        <v>0</v>
      </c>
      <c r="DD25" s="82">
        <f t="shared" si="65"/>
        <v>0</v>
      </c>
      <c r="DE25" s="82">
        <f t="shared" si="66"/>
        <v>0</v>
      </c>
      <c r="DF25" s="82">
        <f t="shared" si="67"/>
        <v>0</v>
      </c>
      <c r="DG25" s="82">
        <f t="shared" si="68"/>
        <v>0</v>
      </c>
      <c r="DH25" s="82">
        <f t="shared" si="69"/>
        <v>0</v>
      </c>
      <c r="DI25" s="82">
        <f t="shared" si="70"/>
        <v>0</v>
      </c>
      <c r="DJ25" s="82">
        <f t="shared" si="71"/>
        <v>0</v>
      </c>
      <c r="DK25" s="82">
        <f t="shared" si="72"/>
        <v>0</v>
      </c>
      <c r="DL25" s="82">
        <f t="shared" si="73"/>
        <v>0</v>
      </c>
      <c r="DM25" s="82">
        <f t="shared" si="74"/>
        <v>0</v>
      </c>
      <c r="DN25" s="82">
        <f t="shared" si="75"/>
        <v>0</v>
      </c>
      <c r="DO25" s="82">
        <f t="shared" si="76"/>
        <v>0</v>
      </c>
      <c r="DP25" s="82">
        <f t="shared" si="77"/>
        <v>0</v>
      </c>
      <c r="DQ25" s="82">
        <f t="shared" si="78"/>
        <v>0</v>
      </c>
      <c r="DR25" s="82">
        <f t="shared" si="79"/>
        <v>0</v>
      </c>
      <c r="DS25" s="82">
        <f t="shared" si="80"/>
        <v>0</v>
      </c>
      <c r="DT25" s="82">
        <f t="shared" si="81"/>
        <v>0</v>
      </c>
      <c r="DU25" s="82">
        <f t="shared" si="82"/>
        <v>0</v>
      </c>
      <c r="DV25" s="82">
        <f t="shared" si="83"/>
        <v>0</v>
      </c>
      <c r="DW25" s="82">
        <f t="shared" si="84"/>
        <v>0</v>
      </c>
      <c r="DX25" s="82">
        <f t="shared" si="85"/>
        <v>0</v>
      </c>
      <c r="DY25" s="82">
        <f t="shared" si="86"/>
        <v>0</v>
      </c>
      <c r="DZ25" s="82">
        <f t="shared" si="87"/>
        <v>0</v>
      </c>
      <c r="EA25" s="82">
        <f t="shared" si="88"/>
        <v>0</v>
      </c>
      <c r="EB25" s="82">
        <f t="shared" si="89"/>
        <v>0</v>
      </c>
      <c r="EC25" s="82">
        <f t="shared" si="90"/>
        <v>0</v>
      </c>
      <c r="ED25" s="82">
        <f t="shared" si="91"/>
        <v>0</v>
      </c>
      <c r="EE25" s="82">
        <f t="shared" si="92"/>
        <v>0</v>
      </c>
      <c r="EF25" s="82">
        <f t="shared" si="93"/>
        <v>0</v>
      </c>
      <c r="EG25" s="82">
        <f t="shared" si="94"/>
        <v>0</v>
      </c>
      <c r="EH25" s="82">
        <f t="shared" si="95"/>
        <v>0</v>
      </c>
      <c r="EI25" s="82">
        <f t="shared" si="96"/>
        <v>0</v>
      </c>
      <c r="EJ25" s="82">
        <f t="shared" si="97"/>
        <v>0</v>
      </c>
      <c r="EK25" s="82">
        <f t="shared" si="98"/>
        <v>0</v>
      </c>
      <c r="EL25" s="82">
        <f t="shared" si="99"/>
        <v>0</v>
      </c>
      <c r="EM25" s="82">
        <f t="shared" si="100"/>
        <v>0</v>
      </c>
      <c r="EN25" s="82">
        <f t="shared" si="101"/>
        <v>0</v>
      </c>
      <c r="EO25" s="82">
        <f t="shared" si="102"/>
        <v>0</v>
      </c>
      <c r="EP25" s="82">
        <f t="shared" si="103"/>
        <v>0</v>
      </c>
      <c r="EQ25" s="82">
        <f t="shared" si="104"/>
        <v>0</v>
      </c>
      <c r="ER25" s="82">
        <f t="shared" si="105"/>
        <v>0</v>
      </c>
      <c r="ES25" s="82">
        <f t="shared" si="106"/>
        <v>0</v>
      </c>
      <c r="ET25" s="82">
        <f t="shared" si="107"/>
        <v>0</v>
      </c>
      <c r="EU25" s="82">
        <f t="shared" si="108"/>
        <v>0</v>
      </c>
      <c r="EV25" s="82">
        <f t="shared" si="109"/>
        <v>0</v>
      </c>
      <c r="EW25" s="82">
        <f t="shared" si="110"/>
        <v>0</v>
      </c>
      <c r="EX25" s="82">
        <f t="shared" si="111"/>
        <v>0</v>
      </c>
      <c r="EY25" s="111">
        <f t="shared" si="112"/>
        <v>0</v>
      </c>
      <c r="EZ25" s="143">
        <f t="shared" ca="1" si="113"/>
        <v>0</v>
      </c>
      <c r="FA25" s="112">
        <f t="shared" ca="1" si="114"/>
        <v>0</v>
      </c>
      <c r="FB25" s="113">
        <f t="shared" ca="1" si="115"/>
        <v>0</v>
      </c>
      <c r="FC25" s="114">
        <f t="shared" ca="1" si="116"/>
        <v>0</v>
      </c>
      <c r="FD25" s="115">
        <f t="shared" ca="1" si="117"/>
        <v>0</v>
      </c>
      <c r="FE25" s="116">
        <f t="shared" ca="1" si="118"/>
        <v>0</v>
      </c>
      <c r="FF25" s="117">
        <f t="shared" ca="1" si="119"/>
        <v>0</v>
      </c>
      <c r="FG25" s="71">
        <f t="shared" si="120"/>
        <v>0</v>
      </c>
      <c r="FH25" s="530">
        <f t="shared" ca="1" si="121"/>
        <v>0</v>
      </c>
      <c r="FI25" s="922">
        <f t="shared" ref="FI25:FI27" ca="1" si="131">0.65*FB25</f>
        <v>0</v>
      </c>
      <c r="FJ25" s="922">
        <f t="shared" ref="FJ25:FJ27" ca="1" si="132">FA25</f>
        <v>0</v>
      </c>
      <c r="FK25" s="922">
        <f t="shared" ca="1" si="130"/>
        <v>0</v>
      </c>
      <c r="FM25" s="421" t="str">
        <f t="shared" si="122"/>
        <v>L01-112_AstoRaccBbrd</v>
      </c>
      <c r="FN25" s="422" t="str">
        <f t="shared" ca="1" si="123"/>
        <v>Storage Room - &lt;50 ft2</v>
      </c>
      <c r="FO25" s="423">
        <f t="shared" ca="1" si="129"/>
        <v>0</v>
      </c>
      <c r="FP25" s="423">
        <f t="shared" ca="1" si="124"/>
        <v>0</v>
      </c>
      <c r="FQ25" s="423">
        <f t="shared" ca="1" si="124"/>
        <v>0</v>
      </c>
      <c r="FR25" s="423">
        <f t="shared" ca="1" si="124"/>
        <v>0</v>
      </c>
      <c r="FS25" s="423">
        <f t="shared" ca="1" si="124"/>
        <v>0</v>
      </c>
      <c r="FT25" s="423">
        <f t="shared" ca="1" si="124"/>
        <v>0</v>
      </c>
      <c r="FU25" s="423">
        <f t="shared" ca="1" si="124"/>
        <v>0</v>
      </c>
      <c r="FV25" s="423">
        <f t="shared" ca="1" si="124"/>
        <v>0</v>
      </c>
      <c r="FW25" s="423">
        <f t="shared" ca="1" si="124"/>
        <v>0</v>
      </c>
      <c r="FX25" s="423">
        <f t="shared" ca="1" si="124"/>
        <v>0</v>
      </c>
      <c r="FY25" s="423">
        <f t="shared" ca="1" si="124"/>
        <v>0</v>
      </c>
      <c r="FZ25" s="423">
        <f t="shared" ca="1" si="124"/>
        <v>0</v>
      </c>
      <c r="GA25" s="423">
        <f t="shared" ca="1" si="124"/>
        <v>0</v>
      </c>
      <c r="GB25" s="423">
        <f t="shared" ca="1" si="124"/>
        <v>0</v>
      </c>
      <c r="GC25" s="423">
        <f t="shared" ca="1" si="124"/>
        <v>0</v>
      </c>
      <c r="GD25" s="423">
        <f t="shared" ca="1" si="124"/>
        <v>0</v>
      </c>
      <c r="GE25" s="423">
        <f t="shared" ca="1" si="124"/>
        <v>0</v>
      </c>
      <c r="GF25" s="423">
        <f t="shared" ca="1" si="125"/>
        <v>0</v>
      </c>
      <c r="GG25" s="423">
        <f t="shared" ca="1" si="125"/>
        <v>0</v>
      </c>
      <c r="GH25" s="423">
        <f t="shared" ca="1" si="125"/>
        <v>0</v>
      </c>
      <c r="GI25" s="423">
        <f t="shared" ca="1" si="125"/>
        <v>0</v>
      </c>
      <c r="GJ25" s="423">
        <f t="shared" ca="1" si="125"/>
        <v>0</v>
      </c>
      <c r="GK25" s="423">
        <f t="shared" ca="1" si="125"/>
        <v>0</v>
      </c>
      <c r="GL25" s="423">
        <f t="shared" ca="1" si="125"/>
        <v>0</v>
      </c>
      <c r="GM25" s="423">
        <f t="shared" ca="1" si="125"/>
        <v>0</v>
      </c>
      <c r="GN25" s="423">
        <f t="shared" ca="1" si="125"/>
        <v>0</v>
      </c>
      <c r="GO25" s="423">
        <f t="shared" ca="1" si="125"/>
        <v>0</v>
      </c>
      <c r="GP25" s="423">
        <f t="shared" ca="1" si="125"/>
        <v>0</v>
      </c>
      <c r="GQ25" s="423">
        <f t="shared" ca="1" si="125"/>
        <v>0</v>
      </c>
      <c r="GR25" s="423">
        <f t="shared" ca="1" si="125"/>
        <v>0</v>
      </c>
      <c r="GS25" s="423">
        <f t="shared" ca="1" si="125"/>
        <v>0</v>
      </c>
      <c r="GT25" s="423">
        <f t="shared" ca="1" si="125"/>
        <v>0</v>
      </c>
      <c r="GU25" s="423">
        <f t="shared" ca="1" si="125"/>
        <v>0</v>
      </c>
      <c r="GV25" s="423">
        <f t="shared" ca="1" si="126"/>
        <v>0</v>
      </c>
      <c r="GW25" s="423">
        <f t="shared" ca="1" si="126"/>
        <v>0</v>
      </c>
      <c r="GX25" s="423">
        <f t="shared" ca="1" si="126"/>
        <v>0</v>
      </c>
      <c r="GY25" s="423">
        <f t="shared" ca="1" si="126"/>
        <v>0</v>
      </c>
      <c r="GZ25" s="423">
        <f t="shared" ca="1" si="126"/>
        <v>0</v>
      </c>
      <c r="HA25" s="423">
        <f t="shared" ca="1" si="126"/>
        <v>0</v>
      </c>
      <c r="HB25" s="423">
        <f t="shared" ca="1" si="126"/>
        <v>0</v>
      </c>
      <c r="HC25" s="423">
        <f t="shared" ca="1" si="126"/>
        <v>0</v>
      </c>
      <c r="HD25" s="423">
        <f t="shared" ca="1" si="126"/>
        <v>0</v>
      </c>
      <c r="HE25" s="423">
        <f t="shared" ca="1" si="126"/>
        <v>0</v>
      </c>
      <c r="HF25" s="423">
        <f t="shared" ca="1" si="126"/>
        <v>0</v>
      </c>
      <c r="HG25" s="423">
        <f t="shared" ca="1" si="126"/>
        <v>0</v>
      </c>
      <c r="HH25" s="423">
        <f t="shared" ca="1" si="126"/>
        <v>0</v>
      </c>
      <c r="HI25" s="423">
        <f t="shared" ca="1" si="126"/>
        <v>0</v>
      </c>
      <c r="HJ25" s="423">
        <f t="shared" ca="1" si="126"/>
        <v>0</v>
      </c>
      <c r="HK25" s="423">
        <f t="shared" ca="1" si="126"/>
        <v>0</v>
      </c>
      <c r="HL25" s="423">
        <f t="shared" ca="1" si="127"/>
        <v>0</v>
      </c>
      <c r="HM25" s="423">
        <f t="shared" ca="1" si="127"/>
        <v>0</v>
      </c>
      <c r="HN25" s="423">
        <f t="shared" ca="1" si="127"/>
        <v>0</v>
      </c>
      <c r="HO25" s="423">
        <f t="shared" ca="1" si="127"/>
        <v>0</v>
      </c>
      <c r="HP25" s="423">
        <f t="shared" ca="1" si="127"/>
        <v>0</v>
      </c>
      <c r="HQ25" s="423">
        <f t="shared" ca="1" si="127"/>
        <v>0</v>
      </c>
      <c r="HR25" s="423">
        <f t="shared" ca="1" si="127"/>
        <v>0</v>
      </c>
      <c r="HS25" s="423">
        <f t="shared" ca="1" si="127"/>
        <v>0</v>
      </c>
      <c r="HT25" s="423">
        <f t="shared" ca="1" si="127"/>
        <v>0</v>
      </c>
    </row>
    <row r="26" spans="1:230" ht="11.25" customHeight="1" x14ac:dyDescent="0.2">
      <c r="A26" s="62">
        <f t="shared" si="128"/>
        <v>15</v>
      </c>
      <c r="B26" s="60" t="str">
        <f>Spaces_Sum!C71</f>
        <v>L01-113_MechRaccBbrd</v>
      </c>
      <c r="C26" s="62" t="str">
        <f>Spaces_Sum!D71</f>
        <v>L01</v>
      </c>
      <c r="D26" s="62" t="str">
        <f ca="1">Spaces_Sum!I71</f>
        <v>DirectlyConditioned</v>
      </c>
      <c r="F26" s="110">
        <f ca="1">Spaces_Sum!M71</f>
        <v>1337.0291</v>
      </c>
      <c r="G26" s="110" t="str">
        <f ca="1">Spaces_Sum!J71</f>
        <v>Electrical/MechanicaI Room</v>
      </c>
      <c r="H26" s="532"/>
      <c r="I26" s="185"/>
      <c r="J26" s="185"/>
      <c r="K26" s="186"/>
      <c r="L26" s="187"/>
      <c r="M26" s="188"/>
      <c r="N26" s="189"/>
      <c r="O26" s="186"/>
      <c r="P26" s="187"/>
      <c r="Q26" s="188"/>
      <c r="R26" s="189"/>
      <c r="S26" s="186"/>
      <c r="T26" s="187"/>
      <c r="U26" s="188"/>
      <c r="V26" s="189"/>
      <c r="W26" s="186"/>
      <c r="X26" s="187"/>
      <c r="Y26" s="188"/>
      <c r="Z26" s="189"/>
      <c r="AA26" s="186"/>
      <c r="AB26" s="187"/>
      <c r="AC26" s="188"/>
      <c r="AD26" s="189"/>
      <c r="AE26" s="186"/>
      <c r="AF26" s="187"/>
      <c r="AG26" s="188"/>
      <c r="AH26" s="189"/>
      <c r="AI26" s="186"/>
      <c r="AJ26" s="187"/>
      <c r="AK26" s="188"/>
      <c r="AL26" s="189"/>
      <c r="AM26" s="186"/>
      <c r="AN26" s="187"/>
      <c r="AO26" s="188"/>
      <c r="AP26" s="189"/>
      <c r="AQ26" s="186"/>
      <c r="AR26" s="187"/>
      <c r="AS26" s="188"/>
      <c r="AT26" s="189"/>
      <c r="AU26" s="186"/>
      <c r="AV26" s="187"/>
      <c r="AW26" s="188"/>
      <c r="AX26" s="189"/>
      <c r="AY26" s="186"/>
      <c r="AZ26" s="187"/>
      <c r="BA26" s="188"/>
      <c r="BB26" s="189"/>
      <c r="BC26" s="186"/>
      <c r="BD26" s="187"/>
      <c r="BE26" s="188"/>
      <c r="BF26" s="189"/>
      <c r="BG26" s="186"/>
      <c r="BH26" s="187"/>
      <c r="BI26" s="188"/>
      <c r="BJ26" s="189"/>
      <c r="BK26" s="186"/>
      <c r="BL26" s="187"/>
      <c r="BM26" s="188"/>
      <c r="BN26" s="189"/>
      <c r="BO26" s="186"/>
      <c r="BP26" s="187"/>
      <c r="BQ26" s="188"/>
      <c r="BR26" s="189"/>
      <c r="BS26" s="186"/>
      <c r="BT26" s="187"/>
      <c r="BU26" s="188"/>
      <c r="BV26" s="189"/>
      <c r="BW26" s="186"/>
      <c r="BX26" s="187"/>
      <c r="BY26" s="188"/>
      <c r="BZ26" s="189"/>
      <c r="CA26" s="186"/>
      <c r="CB26" s="190"/>
      <c r="CC26" s="190"/>
      <c r="CD26" s="82">
        <f t="shared" si="39"/>
        <v>0</v>
      </c>
      <c r="CE26" s="82">
        <f t="shared" si="40"/>
        <v>0</v>
      </c>
      <c r="CF26" s="82">
        <f t="shared" si="41"/>
        <v>0</v>
      </c>
      <c r="CG26" s="82">
        <f t="shared" si="42"/>
        <v>0</v>
      </c>
      <c r="CH26" s="82">
        <f t="shared" si="43"/>
        <v>0</v>
      </c>
      <c r="CI26" s="82">
        <f t="shared" si="44"/>
        <v>0</v>
      </c>
      <c r="CJ26" s="82">
        <f t="shared" si="45"/>
        <v>0</v>
      </c>
      <c r="CK26" s="82">
        <f t="shared" si="46"/>
        <v>0</v>
      </c>
      <c r="CL26" s="82">
        <f t="shared" si="47"/>
        <v>0</v>
      </c>
      <c r="CM26" s="82">
        <f t="shared" si="48"/>
        <v>0</v>
      </c>
      <c r="CN26" s="82">
        <f t="shared" si="49"/>
        <v>0</v>
      </c>
      <c r="CO26" s="82">
        <f t="shared" si="50"/>
        <v>0</v>
      </c>
      <c r="CP26" s="82">
        <f t="shared" si="51"/>
        <v>0</v>
      </c>
      <c r="CQ26" s="82">
        <f t="shared" si="52"/>
        <v>0</v>
      </c>
      <c r="CR26" s="82">
        <f t="shared" si="53"/>
        <v>0</v>
      </c>
      <c r="CS26" s="82">
        <f t="shared" si="54"/>
        <v>0</v>
      </c>
      <c r="CT26" s="82">
        <f t="shared" si="55"/>
        <v>0</v>
      </c>
      <c r="CU26" s="82">
        <f t="shared" si="56"/>
        <v>0</v>
      </c>
      <c r="CV26" s="82">
        <f t="shared" si="57"/>
        <v>0</v>
      </c>
      <c r="CW26" s="82">
        <f t="shared" si="58"/>
        <v>0</v>
      </c>
      <c r="CX26" s="82">
        <f t="shared" si="59"/>
        <v>0</v>
      </c>
      <c r="CY26" s="82">
        <f t="shared" si="60"/>
        <v>0</v>
      </c>
      <c r="CZ26" s="82">
        <f t="shared" si="61"/>
        <v>0</v>
      </c>
      <c r="DA26" s="82">
        <f t="shared" si="62"/>
        <v>0</v>
      </c>
      <c r="DB26" s="82">
        <f t="shared" si="63"/>
        <v>0</v>
      </c>
      <c r="DC26" s="82">
        <f t="shared" si="64"/>
        <v>0</v>
      </c>
      <c r="DD26" s="82">
        <f t="shared" si="65"/>
        <v>0</v>
      </c>
      <c r="DE26" s="82">
        <f t="shared" si="66"/>
        <v>0</v>
      </c>
      <c r="DF26" s="82">
        <f t="shared" si="67"/>
        <v>0</v>
      </c>
      <c r="DG26" s="82">
        <f t="shared" si="68"/>
        <v>0</v>
      </c>
      <c r="DH26" s="82">
        <f t="shared" si="69"/>
        <v>0</v>
      </c>
      <c r="DI26" s="82">
        <f t="shared" si="70"/>
        <v>0</v>
      </c>
      <c r="DJ26" s="82">
        <f t="shared" si="71"/>
        <v>0</v>
      </c>
      <c r="DK26" s="82">
        <f t="shared" si="72"/>
        <v>0</v>
      </c>
      <c r="DL26" s="82">
        <f t="shared" si="73"/>
        <v>0</v>
      </c>
      <c r="DM26" s="82">
        <f t="shared" si="74"/>
        <v>0</v>
      </c>
      <c r="DN26" s="82">
        <f t="shared" si="75"/>
        <v>0</v>
      </c>
      <c r="DO26" s="82">
        <f t="shared" si="76"/>
        <v>0</v>
      </c>
      <c r="DP26" s="82">
        <f t="shared" si="77"/>
        <v>0</v>
      </c>
      <c r="DQ26" s="82">
        <f t="shared" si="78"/>
        <v>0</v>
      </c>
      <c r="DR26" s="82">
        <f t="shared" si="79"/>
        <v>0</v>
      </c>
      <c r="DS26" s="82">
        <f t="shared" si="80"/>
        <v>0</v>
      </c>
      <c r="DT26" s="82">
        <f t="shared" si="81"/>
        <v>0</v>
      </c>
      <c r="DU26" s="82">
        <f t="shared" si="82"/>
        <v>0</v>
      </c>
      <c r="DV26" s="82">
        <f t="shared" si="83"/>
        <v>0</v>
      </c>
      <c r="DW26" s="82">
        <f t="shared" si="84"/>
        <v>0</v>
      </c>
      <c r="DX26" s="82">
        <f t="shared" si="85"/>
        <v>0</v>
      </c>
      <c r="DY26" s="82">
        <f t="shared" si="86"/>
        <v>0</v>
      </c>
      <c r="DZ26" s="82">
        <f t="shared" si="87"/>
        <v>0</v>
      </c>
      <c r="EA26" s="82">
        <f t="shared" si="88"/>
        <v>0</v>
      </c>
      <c r="EB26" s="82">
        <f t="shared" si="89"/>
        <v>0</v>
      </c>
      <c r="EC26" s="82">
        <f t="shared" si="90"/>
        <v>0</v>
      </c>
      <c r="ED26" s="82">
        <f t="shared" si="91"/>
        <v>0</v>
      </c>
      <c r="EE26" s="82">
        <f t="shared" si="92"/>
        <v>0</v>
      </c>
      <c r="EF26" s="82">
        <f t="shared" si="93"/>
        <v>0</v>
      </c>
      <c r="EG26" s="82">
        <f t="shared" si="94"/>
        <v>0</v>
      </c>
      <c r="EH26" s="82">
        <f t="shared" si="95"/>
        <v>0</v>
      </c>
      <c r="EI26" s="82">
        <f t="shared" si="96"/>
        <v>0</v>
      </c>
      <c r="EJ26" s="82">
        <f t="shared" si="97"/>
        <v>0</v>
      </c>
      <c r="EK26" s="82">
        <f t="shared" si="98"/>
        <v>0</v>
      </c>
      <c r="EL26" s="82">
        <f t="shared" si="99"/>
        <v>0</v>
      </c>
      <c r="EM26" s="82">
        <f t="shared" si="100"/>
        <v>0</v>
      </c>
      <c r="EN26" s="82">
        <f t="shared" si="101"/>
        <v>0</v>
      </c>
      <c r="EO26" s="82">
        <f t="shared" si="102"/>
        <v>0</v>
      </c>
      <c r="EP26" s="82">
        <f t="shared" si="103"/>
        <v>0</v>
      </c>
      <c r="EQ26" s="82">
        <f t="shared" si="104"/>
        <v>0</v>
      </c>
      <c r="ER26" s="82">
        <f t="shared" si="105"/>
        <v>0</v>
      </c>
      <c r="ES26" s="82">
        <f t="shared" si="106"/>
        <v>0</v>
      </c>
      <c r="ET26" s="82">
        <f t="shared" si="107"/>
        <v>0</v>
      </c>
      <c r="EU26" s="82">
        <f t="shared" si="108"/>
        <v>0</v>
      </c>
      <c r="EV26" s="82">
        <f t="shared" si="109"/>
        <v>0</v>
      </c>
      <c r="EW26" s="82">
        <f t="shared" si="110"/>
        <v>0</v>
      </c>
      <c r="EX26" s="82">
        <f t="shared" si="111"/>
        <v>0</v>
      </c>
      <c r="EY26" s="111">
        <f t="shared" si="112"/>
        <v>0</v>
      </c>
      <c r="EZ26" s="143">
        <f t="shared" ca="1" si="113"/>
        <v>0</v>
      </c>
      <c r="FA26" s="112">
        <f t="shared" ca="1" si="114"/>
        <v>0</v>
      </c>
      <c r="FB26" s="113">
        <f t="shared" ca="1" si="115"/>
        <v>0</v>
      </c>
      <c r="FC26" s="114">
        <f t="shared" ca="1" si="116"/>
        <v>0</v>
      </c>
      <c r="FD26" s="115">
        <f t="shared" ca="1" si="117"/>
        <v>0</v>
      </c>
      <c r="FE26" s="116">
        <f t="shared" ca="1" si="118"/>
        <v>0</v>
      </c>
      <c r="FF26" s="117">
        <f t="shared" ca="1" si="119"/>
        <v>0</v>
      </c>
      <c r="FG26" s="71">
        <f t="shared" si="120"/>
        <v>0</v>
      </c>
      <c r="FH26" s="530">
        <f t="shared" ca="1" si="121"/>
        <v>0</v>
      </c>
      <c r="FI26" s="922">
        <f t="shared" ca="1" si="131"/>
        <v>0</v>
      </c>
      <c r="FJ26" s="922">
        <f t="shared" ca="1" si="132"/>
        <v>0</v>
      </c>
      <c r="FK26" s="922">
        <f t="shared" ca="1" si="130"/>
        <v>0</v>
      </c>
      <c r="FM26" s="421" t="str">
        <f t="shared" si="122"/>
        <v>L01-113_MechRaccBbrd</v>
      </c>
      <c r="FN26" s="422" t="str">
        <f t="shared" ca="1" si="123"/>
        <v>Electrical/MechanicaI Room</v>
      </c>
      <c r="FO26" s="423">
        <f t="shared" ca="1" si="129"/>
        <v>0</v>
      </c>
      <c r="FP26" s="423">
        <f t="shared" ca="1" si="124"/>
        <v>0</v>
      </c>
      <c r="FQ26" s="423">
        <f t="shared" ca="1" si="124"/>
        <v>0</v>
      </c>
      <c r="FR26" s="423">
        <f t="shared" ca="1" si="124"/>
        <v>0</v>
      </c>
      <c r="FS26" s="423">
        <f t="shared" ca="1" si="124"/>
        <v>0</v>
      </c>
      <c r="FT26" s="423">
        <f t="shared" ca="1" si="124"/>
        <v>0</v>
      </c>
      <c r="FU26" s="423">
        <f t="shared" ca="1" si="124"/>
        <v>0</v>
      </c>
      <c r="FV26" s="423">
        <f t="shared" ca="1" si="124"/>
        <v>0</v>
      </c>
      <c r="FW26" s="423">
        <f t="shared" ca="1" si="124"/>
        <v>0</v>
      </c>
      <c r="FX26" s="423">
        <f t="shared" ca="1" si="124"/>
        <v>0</v>
      </c>
      <c r="FY26" s="423">
        <f t="shared" ca="1" si="124"/>
        <v>0</v>
      </c>
      <c r="FZ26" s="423">
        <f t="shared" ca="1" si="124"/>
        <v>0</v>
      </c>
      <c r="GA26" s="423">
        <f t="shared" ca="1" si="124"/>
        <v>0</v>
      </c>
      <c r="GB26" s="423">
        <f t="shared" ca="1" si="124"/>
        <v>0</v>
      </c>
      <c r="GC26" s="423">
        <f t="shared" ca="1" si="124"/>
        <v>0</v>
      </c>
      <c r="GD26" s="423">
        <f t="shared" ca="1" si="124"/>
        <v>0</v>
      </c>
      <c r="GE26" s="423">
        <f t="shared" ca="1" si="124"/>
        <v>0</v>
      </c>
      <c r="GF26" s="423">
        <f t="shared" ca="1" si="125"/>
        <v>0</v>
      </c>
      <c r="GG26" s="423">
        <f t="shared" ca="1" si="125"/>
        <v>0</v>
      </c>
      <c r="GH26" s="423">
        <f t="shared" ca="1" si="125"/>
        <v>0</v>
      </c>
      <c r="GI26" s="423">
        <f t="shared" ca="1" si="125"/>
        <v>0</v>
      </c>
      <c r="GJ26" s="423">
        <f t="shared" ca="1" si="125"/>
        <v>0</v>
      </c>
      <c r="GK26" s="423">
        <f t="shared" ca="1" si="125"/>
        <v>0</v>
      </c>
      <c r="GL26" s="423">
        <f t="shared" ca="1" si="125"/>
        <v>0</v>
      </c>
      <c r="GM26" s="423">
        <f t="shared" ca="1" si="125"/>
        <v>0</v>
      </c>
      <c r="GN26" s="423">
        <f t="shared" ca="1" si="125"/>
        <v>0</v>
      </c>
      <c r="GO26" s="423">
        <f t="shared" ca="1" si="125"/>
        <v>0</v>
      </c>
      <c r="GP26" s="423">
        <f t="shared" ca="1" si="125"/>
        <v>0</v>
      </c>
      <c r="GQ26" s="423">
        <f t="shared" ca="1" si="125"/>
        <v>0</v>
      </c>
      <c r="GR26" s="423">
        <f t="shared" ca="1" si="125"/>
        <v>0</v>
      </c>
      <c r="GS26" s="423">
        <f t="shared" ca="1" si="125"/>
        <v>0</v>
      </c>
      <c r="GT26" s="423">
        <f t="shared" ca="1" si="125"/>
        <v>0</v>
      </c>
      <c r="GU26" s="423">
        <f t="shared" ca="1" si="125"/>
        <v>0</v>
      </c>
      <c r="GV26" s="423">
        <f t="shared" ca="1" si="126"/>
        <v>0</v>
      </c>
      <c r="GW26" s="423">
        <f t="shared" ca="1" si="126"/>
        <v>0</v>
      </c>
      <c r="GX26" s="423">
        <f t="shared" ca="1" si="126"/>
        <v>0</v>
      </c>
      <c r="GY26" s="423">
        <f t="shared" ca="1" si="126"/>
        <v>0</v>
      </c>
      <c r="GZ26" s="423">
        <f t="shared" ca="1" si="126"/>
        <v>0</v>
      </c>
      <c r="HA26" s="423">
        <f t="shared" ca="1" si="126"/>
        <v>0</v>
      </c>
      <c r="HB26" s="423">
        <f t="shared" ca="1" si="126"/>
        <v>0</v>
      </c>
      <c r="HC26" s="423">
        <f t="shared" ca="1" si="126"/>
        <v>0</v>
      </c>
      <c r="HD26" s="423">
        <f t="shared" ca="1" si="126"/>
        <v>0</v>
      </c>
      <c r="HE26" s="423">
        <f t="shared" ca="1" si="126"/>
        <v>0</v>
      </c>
      <c r="HF26" s="423">
        <f t="shared" ca="1" si="126"/>
        <v>0</v>
      </c>
      <c r="HG26" s="423">
        <f t="shared" ca="1" si="126"/>
        <v>0</v>
      </c>
      <c r="HH26" s="423">
        <f t="shared" ca="1" si="126"/>
        <v>0</v>
      </c>
      <c r="HI26" s="423">
        <f t="shared" ca="1" si="126"/>
        <v>0</v>
      </c>
      <c r="HJ26" s="423">
        <f t="shared" ca="1" si="126"/>
        <v>0</v>
      </c>
      <c r="HK26" s="423">
        <f t="shared" ca="1" si="126"/>
        <v>0</v>
      </c>
      <c r="HL26" s="423">
        <f t="shared" ca="1" si="127"/>
        <v>0</v>
      </c>
      <c r="HM26" s="423">
        <f t="shared" ca="1" si="127"/>
        <v>0</v>
      </c>
      <c r="HN26" s="423">
        <f t="shared" ca="1" si="127"/>
        <v>0</v>
      </c>
      <c r="HO26" s="423">
        <f t="shared" ca="1" si="127"/>
        <v>0</v>
      </c>
      <c r="HP26" s="423">
        <f t="shared" ca="1" si="127"/>
        <v>0</v>
      </c>
      <c r="HQ26" s="423">
        <f t="shared" ca="1" si="127"/>
        <v>0</v>
      </c>
      <c r="HR26" s="423">
        <f t="shared" ca="1" si="127"/>
        <v>0</v>
      </c>
      <c r="HS26" s="423">
        <f t="shared" ca="1" si="127"/>
        <v>0</v>
      </c>
      <c r="HT26" s="423">
        <f t="shared" ca="1" si="127"/>
        <v>0</v>
      </c>
    </row>
    <row r="27" spans="1:230" ht="11.25" customHeight="1" x14ac:dyDescent="0.2">
      <c r="A27" s="62">
        <f t="shared" si="128"/>
        <v>16</v>
      </c>
      <c r="B27" s="60" t="str">
        <f>Spaces_Sum!C72</f>
        <v>L01-114_CorrRaccBbrdHrv2</v>
      </c>
      <c r="C27" s="62" t="str">
        <f>Spaces_Sum!D72</f>
        <v>L01</v>
      </c>
      <c r="D27" s="62" t="str">
        <f ca="1">Spaces_Sum!I72</f>
        <v>DirectlyConditioned</v>
      </c>
      <c r="F27" s="110">
        <f ca="1">Spaces_Sum!M72</f>
        <v>538.16390000000001</v>
      </c>
      <c r="G27" s="110" t="str">
        <f ca="1">Spaces_Sum!J72</f>
        <v>Corridor - All other</v>
      </c>
      <c r="H27" s="532"/>
      <c r="I27" s="185"/>
      <c r="J27" s="185"/>
      <c r="K27" s="186"/>
      <c r="L27" s="187"/>
      <c r="M27" s="188"/>
      <c r="N27" s="189"/>
      <c r="O27" s="186"/>
      <c r="P27" s="187"/>
      <c r="Q27" s="188"/>
      <c r="R27" s="189"/>
      <c r="S27" s="186"/>
      <c r="T27" s="187"/>
      <c r="U27" s="188"/>
      <c r="V27" s="189"/>
      <c r="W27" s="186"/>
      <c r="X27" s="187"/>
      <c r="Y27" s="188"/>
      <c r="Z27" s="189"/>
      <c r="AA27" s="186"/>
      <c r="AB27" s="187"/>
      <c r="AC27" s="188"/>
      <c r="AD27" s="189"/>
      <c r="AE27" s="186"/>
      <c r="AF27" s="187"/>
      <c r="AG27" s="188"/>
      <c r="AH27" s="189"/>
      <c r="AI27" s="186"/>
      <c r="AJ27" s="187"/>
      <c r="AK27" s="188"/>
      <c r="AL27" s="189"/>
      <c r="AM27" s="186"/>
      <c r="AN27" s="187"/>
      <c r="AO27" s="188"/>
      <c r="AP27" s="189"/>
      <c r="AQ27" s="186"/>
      <c r="AR27" s="187"/>
      <c r="AS27" s="188"/>
      <c r="AT27" s="189"/>
      <c r="AU27" s="186"/>
      <c r="AV27" s="187"/>
      <c r="AW27" s="188"/>
      <c r="AX27" s="189"/>
      <c r="AY27" s="186"/>
      <c r="AZ27" s="187"/>
      <c r="BA27" s="188"/>
      <c r="BB27" s="189"/>
      <c r="BC27" s="186"/>
      <c r="BD27" s="187"/>
      <c r="BE27" s="188"/>
      <c r="BF27" s="189"/>
      <c r="BG27" s="186"/>
      <c r="BH27" s="187"/>
      <c r="BI27" s="188"/>
      <c r="BJ27" s="189"/>
      <c r="BK27" s="186"/>
      <c r="BL27" s="187"/>
      <c r="BM27" s="188"/>
      <c r="BN27" s="189"/>
      <c r="BO27" s="186"/>
      <c r="BP27" s="187"/>
      <c r="BQ27" s="188"/>
      <c r="BR27" s="189"/>
      <c r="BS27" s="186"/>
      <c r="BT27" s="187"/>
      <c r="BU27" s="188"/>
      <c r="BV27" s="189"/>
      <c r="BW27" s="186"/>
      <c r="BX27" s="187"/>
      <c r="BY27" s="188"/>
      <c r="BZ27" s="189"/>
      <c r="CA27" s="186"/>
      <c r="CB27" s="190"/>
      <c r="CC27" s="190"/>
      <c r="CD27" s="82">
        <f t="shared" si="39"/>
        <v>0</v>
      </c>
      <c r="CE27" s="82">
        <f t="shared" si="40"/>
        <v>0</v>
      </c>
      <c r="CF27" s="82">
        <f t="shared" si="41"/>
        <v>0</v>
      </c>
      <c r="CG27" s="82">
        <f t="shared" si="42"/>
        <v>0</v>
      </c>
      <c r="CH27" s="82">
        <f t="shared" si="43"/>
        <v>0</v>
      </c>
      <c r="CI27" s="82">
        <f t="shared" si="44"/>
        <v>0</v>
      </c>
      <c r="CJ27" s="82">
        <f t="shared" si="45"/>
        <v>0</v>
      </c>
      <c r="CK27" s="82">
        <f t="shared" si="46"/>
        <v>0</v>
      </c>
      <c r="CL27" s="82">
        <f t="shared" si="47"/>
        <v>0</v>
      </c>
      <c r="CM27" s="82">
        <f t="shared" si="48"/>
        <v>0</v>
      </c>
      <c r="CN27" s="82">
        <f t="shared" si="49"/>
        <v>0</v>
      </c>
      <c r="CO27" s="82">
        <f t="shared" si="50"/>
        <v>0</v>
      </c>
      <c r="CP27" s="82">
        <f t="shared" si="51"/>
        <v>0</v>
      </c>
      <c r="CQ27" s="82">
        <f t="shared" si="52"/>
        <v>0</v>
      </c>
      <c r="CR27" s="82">
        <f t="shared" si="53"/>
        <v>0</v>
      </c>
      <c r="CS27" s="82">
        <f t="shared" si="54"/>
        <v>0</v>
      </c>
      <c r="CT27" s="82">
        <f t="shared" si="55"/>
        <v>0</v>
      </c>
      <c r="CU27" s="82">
        <f t="shared" si="56"/>
        <v>0</v>
      </c>
      <c r="CV27" s="82">
        <f t="shared" si="57"/>
        <v>0</v>
      </c>
      <c r="CW27" s="82">
        <f t="shared" si="58"/>
        <v>0</v>
      </c>
      <c r="CX27" s="82">
        <f t="shared" si="59"/>
        <v>0</v>
      </c>
      <c r="CY27" s="82">
        <f t="shared" si="60"/>
        <v>0</v>
      </c>
      <c r="CZ27" s="82">
        <f t="shared" si="61"/>
        <v>0</v>
      </c>
      <c r="DA27" s="82">
        <f t="shared" si="62"/>
        <v>0</v>
      </c>
      <c r="DB27" s="82">
        <f t="shared" si="63"/>
        <v>0</v>
      </c>
      <c r="DC27" s="82">
        <f t="shared" si="64"/>
        <v>0</v>
      </c>
      <c r="DD27" s="82">
        <f t="shared" si="65"/>
        <v>0</v>
      </c>
      <c r="DE27" s="82">
        <f t="shared" si="66"/>
        <v>0</v>
      </c>
      <c r="DF27" s="82">
        <f t="shared" si="67"/>
        <v>0</v>
      </c>
      <c r="DG27" s="82">
        <f t="shared" si="68"/>
        <v>0</v>
      </c>
      <c r="DH27" s="82">
        <f t="shared" si="69"/>
        <v>0</v>
      </c>
      <c r="DI27" s="82">
        <f t="shared" si="70"/>
        <v>0</v>
      </c>
      <c r="DJ27" s="82">
        <f t="shared" si="71"/>
        <v>0</v>
      </c>
      <c r="DK27" s="82">
        <f t="shared" si="72"/>
        <v>0</v>
      </c>
      <c r="DL27" s="82">
        <f t="shared" si="73"/>
        <v>0</v>
      </c>
      <c r="DM27" s="82">
        <f t="shared" si="74"/>
        <v>0</v>
      </c>
      <c r="DN27" s="82">
        <f t="shared" si="75"/>
        <v>0</v>
      </c>
      <c r="DO27" s="82">
        <f t="shared" si="76"/>
        <v>0</v>
      </c>
      <c r="DP27" s="82">
        <f t="shared" si="77"/>
        <v>0</v>
      </c>
      <c r="DQ27" s="82">
        <f t="shared" si="78"/>
        <v>0</v>
      </c>
      <c r="DR27" s="82">
        <f t="shared" si="79"/>
        <v>0</v>
      </c>
      <c r="DS27" s="82">
        <f t="shared" si="80"/>
        <v>0</v>
      </c>
      <c r="DT27" s="82">
        <f t="shared" si="81"/>
        <v>0</v>
      </c>
      <c r="DU27" s="82">
        <f t="shared" si="82"/>
        <v>0</v>
      </c>
      <c r="DV27" s="82">
        <f t="shared" si="83"/>
        <v>0</v>
      </c>
      <c r="DW27" s="82">
        <f t="shared" si="84"/>
        <v>0</v>
      </c>
      <c r="DX27" s="82">
        <f t="shared" si="85"/>
        <v>0</v>
      </c>
      <c r="DY27" s="82">
        <f t="shared" si="86"/>
        <v>0</v>
      </c>
      <c r="DZ27" s="82">
        <f t="shared" si="87"/>
        <v>0</v>
      </c>
      <c r="EA27" s="82">
        <f t="shared" si="88"/>
        <v>0</v>
      </c>
      <c r="EB27" s="82">
        <f t="shared" si="89"/>
        <v>0</v>
      </c>
      <c r="EC27" s="82">
        <f t="shared" si="90"/>
        <v>0</v>
      </c>
      <c r="ED27" s="82">
        <f t="shared" si="91"/>
        <v>0</v>
      </c>
      <c r="EE27" s="82">
        <f t="shared" si="92"/>
        <v>0</v>
      </c>
      <c r="EF27" s="82">
        <f t="shared" si="93"/>
        <v>0</v>
      </c>
      <c r="EG27" s="82">
        <f t="shared" si="94"/>
        <v>0</v>
      </c>
      <c r="EH27" s="82">
        <f t="shared" si="95"/>
        <v>0</v>
      </c>
      <c r="EI27" s="82">
        <f t="shared" si="96"/>
        <v>0</v>
      </c>
      <c r="EJ27" s="82">
        <f t="shared" si="97"/>
        <v>0</v>
      </c>
      <c r="EK27" s="82">
        <f t="shared" si="98"/>
        <v>0</v>
      </c>
      <c r="EL27" s="82">
        <f t="shared" si="99"/>
        <v>0</v>
      </c>
      <c r="EM27" s="82">
        <f t="shared" si="100"/>
        <v>0</v>
      </c>
      <c r="EN27" s="82">
        <f t="shared" si="101"/>
        <v>0</v>
      </c>
      <c r="EO27" s="82">
        <f t="shared" si="102"/>
        <v>0</v>
      </c>
      <c r="EP27" s="82">
        <f t="shared" si="103"/>
        <v>0</v>
      </c>
      <c r="EQ27" s="82">
        <f t="shared" si="104"/>
        <v>0</v>
      </c>
      <c r="ER27" s="82">
        <f t="shared" si="105"/>
        <v>0</v>
      </c>
      <c r="ES27" s="82">
        <f t="shared" si="106"/>
        <v>0</v>
      </c>
      <c r="ET27" s="82">
        <f t="shared" si="107"/>
        <v>0</v>
      </c>
      <c r="EU27" s="82">
        <f t="shared" si="108"/>
        <v>0</v>
      </c>
      <c r="EV27" s="82">
        <f t="shared" si="109"/>
        <v>0</v>
      </c>
      <c r="EW27" s="82">
        <f t="shared" si="110"/>
        <v>0</v>
      </c>
      <c r="EX27" s="82">
        <f t="shared" si="111"/>
        <v>0</v>
      </c>
      <c r="EY27" s="111">
        <f t="shared" si="112"/>
        <v>0</v>
      </c>
      <c r="EZ27" s="143">
        <f t="shared" ca="1" si="113"/>
        <v>0</v>
      </c>
      <c r="FA27" s="112">
        <f t="shared" ca="1" si="114"/>
        <v>0</v>
      </c>
      <c r="FB27" s="113">
        <f t="shared" ca="1" si="115"/>
        <v>0</v>
      </c>
      <c r="FC27" s="114">
        <f t="shared" ca="1" si="116"/>
        <v>0</v>
      </c>
      <c r="FD27" s="115">
        <f t="shared" ca="1" si="117"/>
        <v>0</v>
      </c>
      <c r="FE27" s="116">
        <f t="shared" ca="1" si="118"/>
        <v>0</v>
      </c>
      <c r="FF27" s="117">
        <f t="shared" ca="1" si="119"/>
        <v>0</v>
      </c>
      <c r="FG27" s="71">
        <f t="shared" si="120"/>
        <v>0</v>
      </c>
      <c r="FH27" s="530">
        <f t="shared" ca="1" si="121"/>
        <v>0</v>
      </c>
      <c r="FI27" s="922">
        <f t="shared" ca="1" si="131"/>
        <v>0</v>
      </c>
      <c r="FJ27" s="922">
        <f t="shared" ca="1" si="132"/>
        <v>0</v>
      </c>
      <c r="FK27" s="922">
        <f t="shared" ca="1" si="130"/>
        <v>0</v>
      </c>
      <c r="FM27" s="421" t="str">
        <f t="shared" si="122"/>
        <v>L01-114_CorrRaccBbrdHrv2</v>
      </c>
      <c r="FN27" s="422" t="str">
        <f t="shared" ca="1" si="123"/>
        <v>Corridor - All other</v>
      </c>
      <c r="FO27" s="423">
        <f t="shared" ca="1" si="129"/>
        <v>0</v>
      </c>
      <c r="FP27" s="423">
        <f t="shared" ca="1" si="124"/>
        <v>0</v>
      </c>
      <c r="FQ27" s="423">
        <f t="shared" ca="1" si="124"/>
        <v>0</v>
      </c>
      <c r="FR27" s="423">
        <f t="shared" ca="1" si="124"/>
        <v>0</v>
      </c>
      <c r="FS27" s="423">
        <f t="shared" ca="1" si="124"/>
        <v>0</v>
      </c>
      <c r="FT27" s="423">
        <f t="shared" ca="1" si="124"/>
        <v>0</v>
      </c>
      <c r="FU27" s="423">
        <f t="shared" ca="1" si="124"/>
        <v>0</v>
      </c>
      <c r="FV27" s="423">
        <f t="shared" ca="1" si="124"/>
        <v>0</v>
      </c>
      <c r="FW27" s="423">
        <f t="shared" ca="1" si="124"/>
        <v>0</v>
      </c>
      <c r="FX27" s="423">
        <f t="shared" ca="1" si="124"/>
        <v>0</v>
      </c>
      <c r="FY27" s="423">
        <f t="shared" ca="1" si="124"/>
        <v>0</v>
      </c>
      <c r="FZ27" s="423">
        <f t="shared" ca="1" si="124"/>
        <v>0</v>
      </c>
      <c r="GA27" s="423">
        <f t="shared" ca="1" si="124"/>
        <v>0</v>
      </c>
      <c r="GB27" s="423">
        <f t="shared" ca="1" si="124"/>
        <v>0</v>
      </c>
      <c r="GC27" s="423">
        <f t="shared" ca="1" si="124"/>
        <v>0</v>
      </c>
      <c r="GD27" s="423">
        <f t="shared" ca="1" si="124"/>
        <v>0</v>
      </c>
      <c r="GE27" s="423">
        <f t="shared" ref="GE27:GT42" ca="1" si="133">IFERROR(ROUNDDOWN(SUMIF($H27:$CC27,GE$11,$CD27:$EX27)/GE$10,0),0)</f>
        <v>0</v>
      </c>
      <c r="GF27" s="423">
        <f t="shared" ca="1" si="125"/>
        <v>0</v>
      </c>
      <c r="GG27" s="423">
        <f t="shared" ca="1" si="125"/>
        <v>0</v>
      </c>
      <c r="GH27" s="423">
        <f t="shared" ca="1" si="125"/>
        <v>0</v>
      </c>
      <c r="GI27" s="423">
        <f t="shared" ca="1" si="125"/>
        <v>0</v>
      </c>
      <c r="GJ27" s="423">
        <f t="shared" ca="1" si="125"/>
        <v>0</v>
      </c>
      <c r="GK27" s="423">
        <f t="shared" ca="1" si="125"/>
        <v>0</v>
      </c>
      <c r="GL27" s="423">
        <f t="shared" ca="1" si="125"/>
        <v>0</v>
      </c>
      <c r="GM27" s="423">
        <f t="shared" ca="1" si="125"/>
        <v>0</v>
      </c>
      <c r="GN27" s="423">
        <f t="shared" ca="1" si="125"/>
        <v>0</v>
      </c>
      <c r="GO27" s="423">
        <f t="shared" ca="1" si="125"/>
        <v>0</v>
      </c>
      <c r="GP27" s="423">
        <f t="shared" ca="1" si="125"/>
        <v>0</v>
      </c>
      <c r="GQ27" s="423">
        <f t="shared" ca="1" si="125"/>
        <v>0</v>
      </c>
      <c r="GR27" s="423">
        <f t="shared" ca="1" si="125"/>
        <v>0</v>
      </c>
      <c r="GS27" s="423">
        <f t="shared" ca="1" si="125"/>
        <v>0</v>
      </c>
      <c r="GT27" s="423">
        <f t="shared" ca="1" si="125"/>
        <v>0</v>
      </c>
      <c r="GU27" s="423">
        <f t="shared" ref="GU27:HJ42" ca="1" si="134">IFERROR(ROUNDDOWN(SUMIF($H27:$CC27,GU$11,$CD27:$EX27)/GU$10,0),0)</f>
        <v>0</v>
      </c>
      <c r="GV27" s="423">
        <f t="shared" ca="1" si="126"/>
        <v>0</v>
      </c>
      <c r="GW27" s="423">
        <f t="shared" ca="1" si="126"/>
        <v>0</v>
      </c>
      <c r="GX27" s="423">
        <f t="shared" ca="1" si="126"/>
        <v>0</v>
      </c>
      <c r="GY27" s="423">
        <f t="shared" ca="1" si="126"/>
        <v>0</v>
      </c>
      <c r="GZ27" s="423">
        <f t="shared" ca="1" si="126"/>
        <v>0</v>
      </c>
      <c r="HA27" s="423">
        <f t="shared" ca="1" si="126"/>
        <v>0</v>
      </c>
      <c r="HB27" s="423">
        <f t="shared" ca="1" si="126"/>
        <v>0</v>
      </c>
      <c r="HC27" s="423">
        <f t="shared" ca="1" si="126"/>
        <v>0</v>
      </c>
      <c r="HD27" s="423">
        <f t="shared" ca="1" si="126"/>
        <v>0</v>
      </c>
      <c r="HE27" s="423">
        <f t="shared" ca="1" si="126"/>
        <v>0</v>
      </c>
      <c r="HF27" s="423">
        <f t="shared" ca="1" si="126"/>
        <v>0</v>
      </c>
      <c r="HG27" s="423">
        <f t="shared" ca="1" si="126"/>
        <v>0</v>
      </c>
      <c r="HH27" s="423">
        <f t="shared" ca="1" si="126"/>
        <v>0</v>
      </c>
      <c r="HI27" s="423">
        <f t="shared" ca="1" si="126"/>
        <v>0</v>
      </c>
      <c r="HJ27" s="423">
        <f t="shared" ca="1" si="126"/>
        <v>0</v>
      </c>
      <c r="HK27" s="423">
        <f t="shared" ref="HK27:HT42" ca="1" si="135">IFERROR(ROUNDDOWN(SUMIF($H27:$CC27,HK$11,$CD27:$EX27)/HK$10,0),0)</f>
        <v>0</v>
      </c>
      <c r="HL27" s="423">
        <f t="shared" ca="1" si="127"/>
        <v>0</v>
      </c>
      <c r="HM27" s="423">
        <f t="shared" ca="1" si="127"/>
        <v>0</v>
      </c>
      <c r="HN27" s="423">
        <f t="shared" ca="1" si="127"/>
        <v>0</v>
      </c>
      <c r="HO27" s="423">
        <f t="shared" ca="1" si="127"/>
        <v>0</v>
      </c>
      <c r="HP27" s="423">
        <f t="shared" ca="1" si="127"/>
        <v>0</v>
      </c>
      <c r="HQ27" s="423">
        <f t="shared" ca="1" si="127"/>
        <v>0</v>
      </c>
      <c r="HR27" s="423">
        <f t="shared" ca="1" si="127"/>
        <v>0</v>
      </c>
      <c r="HS27" s="423">
        <f t="shared" ca="1" si="127"/>
        <v>0</v>
      </c>
      <c r="HT27" s="423">
        <f t="shared" ca="1" si="127"/>
        <v>0</v>
      </c>
    </row>
    <row r="28" spans="1:230" ht="11.25" customHeight="1" x14ac:dyDescent="0.2">
      <c r="A28" s="62">
        <f t="shared" si="128"/>
        <v>17</v>
      </c>
      <c r="B28" s="60" t="str">
        <f>Spaces_Sum!C73</f>
        <v>L01-115_TrxfUncd</v>
      </c>
      <c r="C28" s="62" t="str">
        <f>Spaces_Sum!D73</f>
        <v>L01</v>
      </c>
      <c r="D28" s="62" t="str">
        <f ca="1">Spaces_Sum!I73</f>
        <v>Unconditioned</v>
      </c>
      <c r="F28" s="110">
        <f ca="1">Spaces_Sum!M73</f>
        <v>0</v>
      </c>
      <c r="G28" s="110" t="str">
        <f ca="1">Spaces_Sum!J73</f>
        <v>Unoccupied-Exclude from Gross Floor Area</v>
      </c>
      <c r="H28" s="532"/>
      <c r="I28" s="185"/>
      <c r="J28" s="185"/>
      <c r="K28" s="186"/>
      <c r="L28" s="187"/>
      <c r="M28" s="188"/>
      <c r="N28" s="189"/>
      <c r="O28" s="186"/>
      <c r="P28" s="187"/>
      <c r="Q28" s="188"/>
      <c r="R28" s="189"/>
      <c r="S28" s="186"/>
      <c r="T28" s="187"/>
      <c r="U28" s="188"/>
      <c r="V28" s="189"/>
      <c r="W28" s="186"/>
      <c r="X28" s="187"/>
      <c r="Y28" s="188"/>
      <c r="Z28" s="189"/>
      <c r="AA28" s="186"/>
      <c r="AB28" s="187"/>
      <c r="AC28" s="188"/>
      <c r="AD28" s="189"/>
      <c r="AE28" s="186"/>
      <c r="AF28" s="187"/>
      <c r="AG28" s="188"/>
      <c r="AH28" s="189"/>
      <c r="AI28" s="186"/>
      <c r="AJ28" s="187"/>
      <c r="AK28" s="188"/>
      <c r="AL28" s="189"/>
      <c r="AM28" s="186"/>
      <c r="AN28" s="187"/>
      <c r="AO28" s="188"/>
      <c r="AP28" s="189"/>
      <c r="AQ28" s="186"/>
      <c r="AR28" s="187"/>
      <c r="AS28" s="188"/>
      <c r="AT28" s="189"/>
      <c r="AU28" s="186"/>
      <c r="AV28" s="187"/>
      <c r="AW28" s="188"/>
      <c r="AX28" s="189"/>
      <c r="AY28" s="186"/>
      <c r="AZ28" s="187"/>
      <c r="BA28" s="188"/>
      <c r="BB28" s="189"/>
      <c r="BC28" s="186"/>
      <c r="BD28" s="187"/>
      <c r="BE28" s="188"/>
      <c r="BF28" s="189"/>
      <c r="BG28" s="186"/>
      <c r="BH28" s="187"/>
      <c r="BI28" s="188"/>
      <c r="BJ28" s="189"/>
      <c r="BK28" s="186"/>
      <c r="BL28" s="187"/>
      <c r="BM28" s="188"/>
      <c r="BN28" s="189"/>
      <c r="BO28" s="186"/>
      <c r="BP28" s="187"/>
      <c r="BQ28" s="188"/>
      <c r="BR28" s="189"/>
      <c r="BS28" s="186"/>
      <c r="BT28" s="187"/>
      <c r="BU28" s="188"/>
      <c r="BV28" s="189"/>
      <c r="BW28" s="186"/>
      <c r="BX28" s="187"/>
      <c r="BY28" s="188"/>
      <c r="BZ28" s="189"/>
      <c r="CA28" s="186"/>
      <c r="CB28" s="190"/>
      <c r="CC28" s="190"/>
      <c r="CD28" s="82">
        <f t="shared" si="39"/>
        <v>0</v>
      </c>
      <c r="CE28" s="82">
        <f t="shared" si="40"/>
        <v>0</v>
      </c>
      <c r="CF28" s="82">
        <f t="shared" si="41"/>
        <v>0</v>
      </c>
      <c r="CG28" s="82">
        <f t="shared" si="42"/>
        <v>0</v>
      </c>
      <c r="CH28" s="82">
        <f t="shared" si="43"/>
        <v>0</v>
      </c>
      <c r="CI28" s="82">
        <f t="shared" si="44"/>
        <v>0</v>
      </c>
      <c r="CJ28" s="82">
        <f t="shared" si="45"/>
        <v>0</v>
      </c>
      <c r="CK28" s="82">
        <f t="shared" si="46"/>
        <v>0</v>
      </c>
      <c r="CL28" s="82">
        <f t="shared" si="47"/>
        <v>0</v>
      </c>
      <c r="CM28" s="82">
        <f t="shared" si="48"/>
        <v>0</v>
      </c>
      <c r="CN28" s="82">
        <f t="shared" si="49"/>
        <v>0</v>
      </c>
      <c r="CO28" s="82">
        <f t="shared" si="50"/>
        <v>0</v>
      </c>
      <c r="CP28" s="82">
        <f t="shared" si="51"/>
        <v>0</v>
      </c>
      <c r="CQ28" s="82">
        <f t="shared" si="52"/>
        <v>0</v>
      </c>
      <c r="CR28" s="82">
        <f t="shared" si="53"/>
        <v>0</v>
      </c>
      <c r="CS28" s="82">
        <f t="shared" si="54"/>
        <v>0</v>
      </c>
      <c r="CT28" s="82">
        <f t="shared" si="55"/>
        <v>0</v>
      </c>
      <c r="CU28" s="82">
        <f t="shared" si="56"/>
        <v>0</v>
      </c>
      <c r="CV28" s="82">
        <f t="shared" si="57"/>
        <v>0</v>
      </c>
      <c r="CW28" s="82">
        <f t="shared" si="58"/>
        <v>0</v>
      </c>
      <c r="CX28" s="82">
        <f t="shared" si="59"/>
        <v>0</v>
      </c>
      <c r="CY28" s="82">
        <f t="shared" si="60"/>
        <v>0</v>
      </c>
      <c r="CZ28" s="82">
        <f t="shared" si="61"/>
        <v>0</v>
      </c>
      <c r="DA28" s="82">
        <f t="shared" si="62"/>
        <v>0</v>
      </c>
      <c r="DB28" s="82">
        <f t="shared" si="63"/>
        <v>0</v>
      </c>
      <c r="DC28" s="82">
        <f t="shared" si="64"/>
        <v>0</v>
      </c>
      <c r="DD28" s="82">
        <f t="shared" si="65"/>
        <v>0</v>
      </c>
      <c r="DE28" s="82">
        <f t="shared" si="66"/>
        <v>0</v>
      </c>
      <c r="DF28" s="82">
        <f t="shared" si="67"/>
        <v>0</v>
      </c>
      <c r="DG28" s="82">
        <f t="shared" si="68"/>
        <v>0</v>
      </c>
      <c r="DH28" s="82">
        <f t="shared" si="69"/>
        <v>0</v>
      </c>
      <c r="DI28" s="82">
        <f t="shared" si="70"/>
        <v>0</v>
      </c>
      <c r="DJ28" s="82">
        <f t="shared" si="71"/>
        <v>0</v>
      </c>
      <c r="DK28" s="82">
        <f t="shared" si="72"/>
        <v>0</v>
      </c>
      <c r="DL28" s="82">
        <f t="shared" si="73"/>
        <v>0</v>
      </c>
      <c r="DM28" s="82">
        <f t="shared" si="74"/>
        <v>0</v>
      </c>
      <c r="DN28" s="82">
        <f t="shared" si="75"/>
        <v>0</v>
      </c>
      <c r="DO28" s="82">
        <f t="shared" si="76"/>
        <v>0</v>
      </c>
      <c r="DP28" s="82">
        <f t="shared" si="77"/>
        <v>0</v>
      </c>
      <c r="DQ28" s="82">
        <f t="shared" si="78"/>
        <v>0</v>
      </c>
      <c r="DR28" s="82">
        <f t="shared" si="79"/>
        <v>0</v>
      </c>
      <c r="DS28" s="82">
        <f t="shared" si="80"/>
        <v>0</v>
      </c>
      <c r="DT28" s="82">
        <f t="shared" si="81"/>
        <v>0</v>
      </c>
      <c r="DU28" s="82">
        <f t="shared" si="82"/>
        <v>0</v>
      </c>
      <c r="DV28" s="82">
        <f t="shared" si="83"/>
        <v>0</v>
      </c>
      <c r="DW28" s="82">
        <f t="shared" si="84"/>
        <v>0</v>
      </c>
      <c r="DX28" s="82">
        <f t="shared" si="85"/>
        <v>0</v>
      </c>
      <c r="DY28" s="82">
        <f t="shared" si="86"/>
        <v>0</v>
      </c>
      <c r="DZ28" s="82">
        <f t="shared" si="87"/>
        <v>0</v>
      </c>
      <c r="EA28" s="82">
        <f t="shared" si="88"/>
        <v>0</v>
      </c>
      <c r="EB28" s="82">
        <f t="shared" si="89"/>
        <v>0</v>
      </c>
      <c r="EC28" s="82">
        <f t="shared" si="90"/>
        <v>0</v>
      </c>
      <c r="ED28" s="82">
        <f t="shared" si="91"/>
        <v>0</v>
      </c>
      <c r="EE28" s="82">
        <f t="shared" si="92"/>
        <v>0</v>
      </c>
      <c r="EF28" s="82">
        <f t="shared" si="93"/>
        <v>0</v>
      </c>
      <c r="EG28" s="82">
        <f t="shared" si="94"/>
        <v>0</v>
      </c>
      <c r="EH28" s="82">
        <f t="shared" si="95"/>
        <v>0</v>
      </c>
      <c r="EI28" s="82">
        <f t="shared" si="96"/>
        <v>0</v>
      </c>
      <c r="EJ28" s="82">
        <f t="shared" si="97"/>
        <v>0</v>
      </c>
      <c r="EK28" s="82">
        <f t="shared" si="98"/>
        <v>0</v>
      </c>
      <c r="EL28" s="82">
        <f t="shared" si="99"/>
        <v>0</v>
      </c>
      <c r="EM28" s="82">
        <f t="shared" si="100"/>
        <v>0</v>
      </c>
      <c r="EN28" s="82">
        <f t="shared" si="101"/>
        <v>0</v>
      </c>
      <c r="EO28" s="82">
        <f t="shared" si="102"/>
        <v>0</v>
      </c>
      <c r="EP28" s="82">
        <f t="shared" si="103"/>
        <v>0</v>
      </c>
      <c r="EQ28" s="82">
        <f t="shared" si="104"/>
        <v>0</v>
      </c>
      <c r="ER28" s="82">
        <f t="shared" si="105"/>
        <v>0</v>
      </c>
      <c r="ES28" s="82">
        <f t="shared" si="106"/>
        <v>0</v>
      </c>
      <c r="ET28" s="82">
        <f t="shared" si="107"/>
        <v>0</v>
      </c>
      <c r="EU28" s="82">
        <f t="shared" si="108"/>
        <v>0</v>
      </c>
      <c r="EV28" s="82">
        <f t="shared" si="109"/>
        <v>0</v>
      </c>
      <c r="EW28" s="82">
        <f t="shared" si="110"/>
        <v>0</v>
      </c>
      <c r="EX28" s="82">
        <f t="shared" si="111"/>
        <v>0</v>
      </c>
      <c r="EY28" s="111">
        <f t="shared" si="112"/>
        <v>0</v>
      </c>
      <c r="EZ28" s="143" t="e">
        <f t="shared" ca="1" si="113"/>
        <v>#DIV/0!</v>
      </c>
      <c r="FA28" s="112" t="e">
        <f t="shared" ca="1" si="114"/>
        <v>#DIV/0!</v>
      </c>
      <c r="FB28" s="113" t="e">
        <f t="shared" ca="1" si="115"/>
        <v>#DIV/0!</v>
      </c>
      <c r="FC28" s="114" t="e">
        <f t="shared" ca="1" si="116"/>
        <v>#DIV/0!</v>
      </c>
      <c r="FD28" s="115">
        <f t="shared" ca="1" si="117"/>
        <v>0</v>
      </c>
      <c r="FE28" s="116" t="e">
        <f t="shared" ca="1" si="118"/>
        <v>#DIV/0!</v>
      </c>
      <c r="FF28" s="117" t="e">
        <f t="shared" ca="1" si="119"/>
        <v>#DIV/0!</v>
      </c>
      <c r="FG28" s="71">
        <f t="shared" si="120"/>
        <v>0</v>
      </c>
      <c r="FH28" s="530" t="e">
        <f t="shared" ca="1" si="121"/>
        <v>#DIV/0!</v>
      </c>
      <c r="FI28" s="922"/>
      <c r="FJ28" s="922"/>
      <c r="FK28" s="922"/>
      <c r="FM28" s="421" t="str">
        <f t="shared" si="122"/>
        <v>L01-115_TrxfUncd</v>
      </c>
      <c r="FN28" s="422" t="str">
        <f t="shared" ca="1" si="123"/>
        <v>Unoccupied-Exclude from Gross Floor Area</v>
      </c>
      <c r="FO28" s="423">
        <f t="shared" ca="1" si="129"/>
        <v>0</v>
      </c>
      <c r="FP28" s="423">
        <f t="shared" ca="1" si="129"/>
        <v>0</v>
      </c>
      <c r="FQ28" s="423">
        <f t="shared" ca="1" si="129"/>
        <v>0</v>
      </c>
      <c r="FR28" s="423">
        <f t="shared" ca="1" si="129"/>
        <v>0</v>
      </c>
      <c r="FS28" s="423">
        <f t="shared" ca="1" si="129"/>
        <v>0</v>
      </c>
      <c r="FT28" s="423">
        <f t="shared" ca="1" si="129"/>
        <v>0</v>
      </c>
      <c r="FU28" s="423">
        <f t="shared" ca="1" si="129"/>
        <v>0</v>
      </c>
      <c r="FV28" s="423">
        <f t="shared" ca="1" si="129"/>
        <v>0</v>
      </c>
      <c r="FW28" s="423">
        <f t="shared" ca="1" si="129"/>
        <v>0</v>
      </c>
      <c r="FX28" s="423">
        <f t="shared" ca="1" si="129"/>
        <v>0</v>
      </c>
      <c r="FY28" s="423">
        <f t="shared" ca="1" si="129"/>
        <v>0</v>
      </c>
      <c r="FZ28" s="423">
        <f t="shared" ca="1" si="129"/>
        <v>0</v>
      </c>
      <c r="GA28" s="423">
        <f t="shared" ca="1" si="129"/>
        <v>0</v>
      </c>
      <c r="GB28" s="423">
        <f t="shared" ca="1" si="129"/>
        <v>0</v>
      </c>
      <c r="GC28" s="423">
        <f t="shared" ca="1" si="129"/>
        <v>0</v>
      </c>
      <c r="GD28" s="423">
        <f t="shared" ca="1" si="129"/>
        <v>0</v>
      </c>
      <c r="GE28" s="423">
        <f t="shared" ca="1" si="133"/>
        <v>0</v>
      </c>
      <c r="GF28" s="423">
        <f t="shared" ca="1" si="133"/>
        <v>0</v>
      </c>
      <c r="GG28" s="423">
        <f t="shared" ca="1" si="133"/>
        <v>0</v>
      </c>
      <c r="GH28" s="423">
        <f t="shared" ca="1" si="133"/>
        <v>0</v>
      </c>
      <c r="GI28" s="423">
        <f t="shared" ca="1" si="133"/>
        <v>0</v>
      </c>
      <c r="GJ28" s="423">
        <f t="shared" ca="1" si="133"/>
        <v>0</v>
      </c>
      <c r="GK28" s="423">
        <f t="shared" ca="1" si="133"/>
        <v>0</v>
      </c>
      <c r="GL28" s="423">
        <f t="shared" ca="1" si="133"/>
        <v>0</v>
      </c>
      <c r="GM28" s="423">
        <f t="shared" ca="1" si="133"/>
        <v>0</v>
      </c>
      <c r="GN28" s="423">
        <f t="shared" ca="1" si="133"/>
        <v>0</v>
      </c>
      <c r="GO28" s="423">
        <f t="shared" ca="1" si="133"/>
        <v>0</v>
      </c>
      <c r="GP28" s="423">
        <f t="shared" ca="1" si="133"/>
        <v>0</v>
      </c>
      <c r="GQ28" s="423">
        <f t="shared" ca="1" si="133"/>
        <v>0</v>
      </c>
      <c r="GR28" s="423">
        <f t="shared" ca="1" si="133"/>
        <v>0</v>
      </c>
      <c r="GS28" s="423">
        <f t="shared" ca="1" si="133"/>
        <v>0</v>
      </c>
      <c r="GT28" s="423">
        <f t="shared" ca="1" si="133"/>
        <v>0</v>
      </c>
      <c r="GU28" s="423">
        <f t="shared" ca="1" si="134"/>
        <v>0</v>
      </c>
      <c r="GV28" s="423">
        <f t="shared" ca="1" si="134"/>
        <v>0</v>
      </c>
      <c r="GW28" s="423">
        <f t="shared" ca="1" si="134"/>
        <v>0</v>
      </c>
      <c r="GX28" s="423">
        <f t="shared" ca="1" si="134"/>
        <v>0</v>
      </c>
      <c r="GY28" s="423">
        <f t="shared" ca="1" si="134"/>
        <v>0</v>
      </c>
      <c r="GZ28" s="423">
        <f t="shared" ca="1" si="134"/>
        <v>0</v>
      </c>
      <c r="HA28" s="423">
        <f t="shared" ca="1" si="134"/>
        <v>0</v>
      </c>
      <c r="HB28" s="423">
        <f t="shared" ca="1" si="134"/>
        <v>0</v>
      </c>
      <c r="HC28" s="423">
        <f t="shared" ca="1" si="134"/>
        <v>0</v>
      </c>
      <c r="HD28" s="423">
        <f t="shared" ca="1" si="134"/>
        <v>0</v>
      </c>
      <c r="HE28" s="423">
        <f t="shared" ca="1" si="134"/>
        <v>0</v>
      </c>
      <c r="HF28" s="423">
        <f t="shared" ca="1" si="134"/>
        <v>0</v>
      </c>
      <c r="HG28" s="423">
        <f t="shared" ca="1" si="134"/>
        <v>0</v>
      </c>
      <c r="HH28" s="423">
        <f t="shared" ca="1" si="134"/>
        <v>0</v>
      </c>
      <c r="HI28" s="423">
        <f t="shared" ca="1" si="134"/>
        <v>0</v>
      </c>
      <c r="HJ28" s="423">
        <f t="shared" ca="1" si="134"/>
        <v>0</v>
      </c>
      <c r="HK28" s="423">
        <f t="shared" ca="1" si="135"/>
        <v>0</v>
      </c>
      <c r="HL28" s="423">
        <f t="shared" ca="1" si="135"/>
        <v>0</v>
      </c>
      <c r="HM28" s="423">
        <f t="shared" ca="1" si="135"/>
        <v>0</v>
      </c>
      <c r="HN28" s="423">
        <f t="shared" ca="1" si="135"/>
        <v>0</v>
      </c>
      <c r="HO28" s="423">
        <f t="shared" ca="1" si="135"/>
        <v>0</v>
      </c>
      <c r="HP28" s="423">
        <f t="shared" ca="1" si="135"/>
        <v>0</v>
      </c>
      <c r="HQ28" s="423">
        <f t="shared" ca="1" si="135"/>
        <v>0</v>
      </c>
      <c r="HR28" s="423">
        <f t="shared" ca="1" si="135"/>
        <v>0</v>
      </c>
      <c r="HS28" s="423">
        <f t="shared" ca="1" si="135"/>
        <v>0</v>
      </c>
      <c r="HT28" s="423">
        <f t="shared" ca="1" si="135"/>
        <v>0</v>
      </c>
    </row>
    <row r="29" spans="1:230" ht="11.25" customHeight="1" x14ac:dyDescent="0.2">
      <c r="A29" s="62">
        <f t="shared" si="128"/>
        <v>18</v>
      </c>
      <c r="B29" s="60" t="str">
        <f>Spaces_Sum!C74</f>
        <v>L02-200_CorrRaccSphp</v>
      </c>
      <c r="C29" s="62" t="str">
        <f>Spaces_Sum!D74</f>
        <v>L02</v>
      </c>
      <c r="D29" s="62" t="str">
        <f ca="1">Spaces_Sum!I74</f>
        <v>DirectlyConditioned</v>
      </c>
      <c r="F29" s="110">
        <f ca="1">Spaces_Sum!M74</f>
        <v>1795.9657999999999</v>
      </c>
      <c r="G29" s="110" t="str">
        <f ca="1">Spaces_Sum!J74</f>
        <v>Corridor - All other</v>
      </c>
      <c r="H29" s="532"/>
      <c r="I29" s="185"/>
      <c r="J29" s="185"/>
      <c r="K29" s="186"/>
      <c r="L29" s="187"/>
      <c r="M29" s="188"/>
      <c r="N29" s="189"/>
      <c r="O29" s="186"/>
      <c r="P29" s="187"/>
      <c r="Q29" s="188"/>
      <c r="R29" s="189"/>
      <c r="S29" s="186"/>
      <c r="T29" s="187"/>
      <c r="U29" s="188"/>
      <c r="V29" s="189"/>
      <c r="W29" s="186"/>
      <c r="X29" s="187"/>
      <c r="Y29" s="188"/>
      <c r="Z29" s="189"/>
      <c r="AA29" s="186"/>
      <c r="AB29" s="187"/>
      <c r="AC29" s="188"/>
      <c r="AD29" s="189"/>
      <c r="AE29" s="186"/>
      <c r="AF29" s="187"/>
      <c r="AG29" s="188"/>
      <c r="AH29" s="189"/>
      <c r="AI29" s="186"/>
      <c r="AJ29" s="187"/>
      <c r="AK29" s="188"/>
      <c r="AL29" s="189"/>
      <c r="AM29" s="186"/>
      <c r="AN29" s="187"/>
      <c r="AO29" s="188"/>
      <c r="AP29" s="189"/>
      <c r="AQ29" s="186"/>
      <c r="AR29" s="187"/>
      <c r="AS29" s="188"/>
      <c r="AT29" s="189"/>
      <c r="AU29" s="186"/>
      <c r="AV29" s="187"/>
      <c r="AW29" s="188"/>
      <c r="AX29" s="189"/>
      <c r="AY29" s="186"/>
      <c r="AZ29" s="187"/>
      <c r="BA29" s="188"/>
      <c r="BB29" s="189"/>
      <c r="BC29" s="186"/>
      <c r="BD29" s="187"/>
      <c r="BE29" s="188"/>
      <c r="BF29" s="189"/>
      <c r="BG29" s="186"/>
      <c r="BH29" s="187"/>
      <c r="BI29" s="188"/>
      <c r="BJ29" s="189"/>
      <c r="BK29" s="186"/>
      <c r="BL29" s="187"/>
      <c r="BM29" s="188"/>
      <c r="BN29" s="189"/>
      <c r="BO29" s="186"/>
      <c r="BP29" s="187"/>
      <c r="BQ29" s="188"/>
      <c r="BR29" s="189"/>
      <c r="BS29" s="186"/>
      <c r="BT29" s="187"/>
      <c r="BU29" s="188"/>
      <c r="BV29" s="189"/>
      <c r="BW29" s="186"/>
      <c r="BX29" s="187"/>
      <c r="BY29" s="188"/>
      <c r="BZ29" s="189"/>
      <c r="CA29" s="186"/>
      <c r="CB29" s="190"/>
      <c r="CC29" s="190"/>
      <c r="CD29" s="82">
        <f t="shared" si="39"/>
        <v>0</v>
      </c>
      <c r="CE29" s="82">
        <f t="shared" si="40"/>
        <v>0</v>
      </c>
      <c r="CF29" s="82">
        <f t="shared" si="41"/>
        <v>0</v>
      </c>
      <c r="CG29" s="82">
        <f t="shared" si="42"/>
        <v>0</v>
      </c>
      <c r="CH29" s="82">
        <f t="shared" si="43"/>
        <v>0</v>
      </c>
      <c r="CI29" s="82">
        <f t="shared" si="44"/>
        <v>0</v>
      </c>
      <c r="CJ29" s="82">
        <f t="shared" si="45"/>
        <v>0</v>
      </c>
      <c r="CK29" s="82">
        <f t="shared" si="46"/>
        <v>0</v>
      </c>
      <c r="CL29" s="82">
        <f t="shared" si="47"/>
        <v>0</v>
      </c>
      <c r="CM29" s="82">
        <f t="shared" si="48"/>
        <v>0</v>
      </c>
      <c r="CN29" s="82">
        <f t="shared" si="49"/>
        <v>0</v>
      </c>
      <c r="CO29" s="82">
        <f t="shared" si="50"/>
        <v>0</v>
      </c>
      <c r="CP29" s="82">
        <f t="shared" si="51"/>
        <v>0</v>
      </c>
      <c r="CQ29" s="82">
        <f t="shared" si="52"/>
        <v>0</v>
      </c>
      <c r="CR29" s="82">
        <f t="shared" si="53"/>
        <v>0</v>
      </c>
      <c r="CS29" s="82">
        <f t="shared" si="54"/>
        <v>0</v>
      </c>
      <c r="CT29" s="82">
        <f t="shared" si="55"/>
        <v>0</v>
      </c>
      <c r="CU29" s="82">
        <f t="shared" si="56"/>
        <v>0</v>
      </c>
      <c r="CV29" s="82">
        <f t="shared" si="57"/>
        <v>0</v>
      </c>
      <c r="CW29" s="82">
        <f t="shared" si="58"/>
        <v>0</v>
      </c>
      <c r="CX29" s="82">
        <f t="shared" si="59"/>
        <v>0</v>
      </c>
      <c r="CY29" s="82">
        <f t="shared" si="60"/>
        <v>0</v>
      </c>
      <c r="CZ29" s="82">
        <f t="shared" si="61"/>
        <v>0</v>
      </c>
      <c r="DA29" s="82">
        <f t="shared" si="62"/>
        <v>0</v>
      </c>
      <c r="DB29" s="82">
        <f t="shared" si="63"/>
        <v>0</v>
      </c>
      <c r="DC29" s="82">
        <f t="shared" si="64"/>
        <v>0</v>
      </c>
      <c r="DD29" s="82">
        <f t="shared" si="65"/>
        <v>0</v>
      </c>
      <c r="DE29" s="82">
        <f t="shared" si="66"/>
        <v>0</v>
      </c>
      <c r="DF29" s="82">
        <f t="shared" si="67"/>
        <v>0</v>
      </c>
      <c r="DG29" s="82">
        <f t="shared" si="68"/>
        <v>0</v>
      </c>
      <c r="DH29" s="82">
        <f t="shared" si="69"/>
        <v>0</v>
      </c>
      <c r="DI29" s="82">
        <f t="shared" si="70"/>
        <v>0</v>
      </c>
      <c r="DJ29" s="82">
        <f t="shared" si="71"/>
        <v>0</v>
      </c>
      <c r="DK29" s="82">
        <f t="shared" si="72"/>
        <v>0</v>
      </c>
      <c r="DL29" s="82">
        <f t="shared" si="73"/>
        <v>0</v>
      </c>
      <c r="DM29" s="82">
        <f t="shared" si="74"/>
        <v>0</v>
      </c>
      <c r="DN29" s="82">
        <f t="shared" si="75"/>
        <v>0</v>
      </c>
      <c r="DO29" s="82">
        <f t="shared" si="76"/>
        <v>0</v>
      </c>
      <c r="DP29" s="82">
        <f t="shared" si="77"/>
        <v>0</v>
      </c>
      <c r="DQ29" s="82">
        <f t="shared" si="78"/>
        <v>0</v>
      </c>
      <c r="DR29" s="82">
        <f t="shared" si="79"/>
        <v>0</v>
      </c>
      <c r="DS29" s="82">
        <f t="shared" si="80"/>
        <v>0</v>
      </c>
      <c r="DT29" s="82">
        <f t="shared" si="81"/>
        <v>0</v>
      </c>
      <c r="DU29" s="82">
        <f t="shared" si="82"/>
        <v>0</v>
      </c>
      <c r="DV29" s="82">
        <f t="shared" si="83"/>
        <v>0</v>
      </c>
      <c r="DW29" s="82">
        <f t="shared" si="84"/>
        <v>0</v>
      </c>
      <c r="DX29" s="82">
        <f t="shared" si="85"/>
        <v>0</v>
      </c>
      <c r="DY29" s="82">
        <f t="shared" si="86"/>
        <v>0</v>
      </c>
      <c r="DZ29" s="82">
        <f t="shared" si="87"/>
        <v>0</v>
      </c>
      <c r="EA29" s="82">
        <f t="shared" si="88"/>
        <v>0</v>
      </c>
      <c r="EB29" s="82">
        <f t="shared" si="89"/>
        <v>0</v>
      </c>
      <c r="EC29" s="82">
        <f t="shared" si="90"/>
        <v>0</v>
      </c>
      <c r="ED29" s="82">
        <f t="shared" si="91"/>
        <v>0</v>
      </c>
      <c r="EE29" s="82">
        <f t="shared" si="92"/>
        <v>0</v>
      </c>
      <c r="EF29" s="82">
        <f t="shared" si="93"/>
        <v>0</v>
      </c>
      <c r="EG29" s="82">
        <f t="shared" si="94"/>
        <v>0</v>
      </c>
      <c r="EH29" s="82">
        <f t="shared" si="95"/>
        <v>0</v>
      </c>
      <c r="EI29" s="82">
        <f t="shared" si="96"/>
        <v>0</v>
      </c>
      <c r="EJ29" s="82">
        <f t="shared" si="97"/>
        <v>0</v>
      </c>
      <c r="EK29" s="82">
        <f t="shared" si="98"/>
        <v>0</v>
      </c>
      <c r="EL29" s="82">
        <f t="shared" si="99"/>
        <v>0</v>
      </c>
      <c r="EM29" s="82">
        <f t="shared" si="100"/>
        <v>0</v>
      </c>
      <c r="EN29" s="82">
        <f t="shared" si="101"/>
        <v>0</v>
      </c>
      <c r="EO29" s="82">
        <f t="shared" si="102"/>
        <v>0</v>
      </c>
      <c r="EP29" s="82">
        <f t="shared" si="103"/>
        <v>0</v>
      </c>
      <c r="EQ29" s="82">
        <f t="shared" si="104"/>
        <v>0</v>
      </c>
      <c r="ER29" s="82">
        <f t="shared" si="105"/>
        <v>0</v>
      </c>
      <c r="ES29" s="82">
        <f t="shared" si="106"/>
        <v>0</v>
      </c>
      <c r="ET29" s="82">
        <f t="shared" si="107"/>
        <v>0</v>
      </c>
      <c r="EU29" s="82">
        <f t="shared" si="108"/>
        <v>0</v>
      </c>
      <c r="EV29" s="82">
        <f t="shared" si="109"/>
        <v>0</v>
      </c>
      <c r="EW29" s="82">
        <f t="shared" si="110"/>
        <v>0</v>
      </c>
      <c r="EX29" s="82">
        <f t="shared" si="111"/>
        <v>0</v>
      </c>
      <c r="EY29" s="111">
        <f t="shared" si="112"/>
        <v>0</v>
      </c>
      <c r="EZ29" s="143">
        <f t="shared" ca="1" si="113"/>
        <v>0</v>
      </c>
      <c r="FA29" s="112">
        <f t="shared" ca="1" si="114"/>
        <v>0</v>
      </c>
      <c r="FB29" s="113">
        <f t="shared" ca="1" si="115"/>
        <v>0</v>
      </c>
      <c r="FC29" s="114">
        <f t="shared" ca="1" si="116"/>
        <v>0</v>
      </c>
      <c r="FD29" s="115">
        <f t="shared" ca="1" si="117"/>
        <v>0</v>
      </c>
      <c r="FE29" s="116">
        <f t="shared" ca="1" si="118"/>
        <v>0</v>
      </c>
      <c r="FF29" s="117">
        <f t="shared" ca="1" si="119"/>
        <v>0</v>
      </c>
      <c r="FG29" s="71">
        <f t="shared" si="120"/>
        <v>0</v>
      </c>
      <c r="FH29" s="530">
        <f t="shared" ca="1" si="121"/>
        <v>0</v>
      </c>
      <c r="FI29" s="922"/>
      <c r="FJ29" s="922"/>
      <c r="FK29" s="922"/>
      <c r="FM29" s="421" t="str">
        <f t="shared" si="122"/>
        <v>L02-200_CorrRaccSphp</v>
      </c>
      <c r="FN29" s="422" t="str">
        <f t="shared" ca="1" si="123"/>
        <v>Corridor - All other</v>
      </c>
      <c r="FO29" s="423">
        <f t="shared" ref="FO29:GD44" ca="1" si="136">IFERROR(ROUNDDOWN(SUMIF($H29:$CC29,FO$11,$CD29:$EX29)/FO$10,0),0)</f>
        <v>0</v>
      </c>
      <c r="FP29" s="423">
        <f t="shared" ca="1" si="136"/>
        <v>0</v>
      </c>
      <c r="FQ29" s="423">
        <f t="shared" ca="1" si="136"/>
        <v>0</v>
      </c>
      <c r="FR29" s="423">
        <f t="shared" ca="1" si="136"/>
        <v>0</v>
      </c>
      <c r="FS29" s="423">
        <f t="shared" ca="1" si="136"/>
        <v>0</v>
      </c>
      <c r="FT29" s="423">
        <f t="shared" ca="1" si="136"/>
        <v>0</v>
      </c>
      <c r="FU29" s="423">
        <f t="shared" ca="1" si="136"/>
        <v>0</v>
      </c>
      <c r="FV29" s="423">
        <f t="shared" ca="1" si="136"/>
        <v>0</v>
      </c>
      <c r="FW29" s="423">
        <f t="shared" ca="1" si="136"/>
        <v>0</v>
      </c>
      <c r="FX29" s="423">
        <f t="shared" ca="1" si="136"/>
        <v>0</v>
      </c>
      <c r="FY29" s="423">
        <f t="shared" ca="1" si="136"/>
        <v>0</v>
      </c>
      <c r="FZ29" s="423">
        <f t="shared" ca="1" si="136"/>
        <v>0</v>
      </c>
      <c r="GA29" s="423">
        <f t="shared" ca="1" si="136"/>
        <v>0</v>
      </c>
      <c r="GB29" s="423">
        <f t="shared" ca="1" si="136"/>
        <v>0</v>
      </c>
      <c r="GC29" s="423">
        <f t="shared" ca="1" si="136"/>
        <v>0</v>
      </c>
      <c r="GD29" s="423">
        <f t="shared" ca="1" si="136"/>
        <v>0</v>
      </c>
      <c r="GE29" s="423">
        <f t="shared" ca="1" si="133"/>
        <v>0</v>
      </c>
      <c r="GF29" s="423">
        <f t="shared" ca="1" si="133"/>
        <v>0</v>
      </c>
      <c r="GG29" s="423">
        <f t="shared" ca="1" si="133"/>
        <v>0</v>
      </c>
      <c r="GH29" s="423">
        <f t="shared" ca="1" si="133"/>
        <v>0</v>
      </c>
      <c r="GI29" s="423">
        <f t="shared" ca="1" si="133"/>
        <v>0</v>
      </c>
      <c r="GJ29" s="423">
        <f t="shared" ca="1" si="133"/>
        <v>0</v>
      </c>
      <c r="GK29" s="423">
        <f t="shared" ca="1" si="133"/>
        <v>0</v>
      </c>
      <c r="GL29" s="423">
        <f t="shared" ca="1" si="133"/>
        <v>0</v>
      </c>
      <c r="GM29" s="423">
        <f t="shared" ca="1" si="133"/>
        <v>0</v>
      </c>
      <c r="GN29" s="423">
        <f t="shared" ca="1" si="133"/>
        <v>0</v>
      </c>
      <c r="GO29" s="423">
        <f t="shared" ca="1" si="133"/>
        <v>0</v>
      </c>
      <c r="GP29" s="423">
        <f t="shared" ca="1" si="133"/>
        <v>0</v>
      </c>
      <c r="GQ29" s="423">
        <f t="shared" ca="1" si="133"/>
        <v>0</v>
      </c>
      <c r="GR29" s="423">
        <f t="shared" ca="1" si="133"/>
        <v>0</v>
      </c>
      <c r="GS29" s="423">
        <f t="shared" ca="1" si="133"/>
        <v>0</v>
      </c>
      <c r="GT29" s="423">
        <f t="shared" ca="1" si="133"/>
        <v>0</v>
      </c>
      <c r="GU29" s="423">
        <f t="shared" ca="1" si="134"/>
        <v>0</v>
      </c>
      <c r="GV29" s="423">
        <f t="shared" ca="1" si="134"/>
        <v>0</v>
      </c>
      <c r="GW29" s="423">
        <f t="shared" ca="1" si="134"/>
        <v>0</v>
      </c>
      <c r="GX29" s="423">
        <f t="shared" ca="1" si="134"/>
        <v>0</v>
      </c>
      <c r="GY29" s="423">
        <f t="shared" ca="1" si="134"/>
        <v>0</v>
      </c>
      <c r="GZ29" s="423">
        <f t="shared" ca="1" si="134"/>
        <v>0</v>
      </c>
      <c r="HA29" s="423">
        <f t="shared" ca="1" si="134"/>
        <v>0</v>
      </c>
      <c r="HB29" s="423">
        <f t="shared" ca="1" si="134"/>
        <v>0</v>
      </c>
      <c r="HC29" s="423">
        <f t="shared" ca="1" si="134"/>
        <v>0</v>
      </c>
      <c r="HD29" s="423">
        <f t="shared" ca="1" si="134"/>
        <v>0</v>
      </c>
      <c r="HE29" s="423">
        <f t="shared" ca="1" si="134"/>
        <v>0</v>
      </c>
      <c r="HF29" s="423">
        <f t="shared" ca="1" si="134"/>
        <v>0</v>
      </c>
      <c r="HG29" s="423">
        <f t="shared" ca="1" si="134"/>
        <v>0</v>
      </c>
      <c r="HH29" s="423">
        <f t="shared" ca="1" si="134"/>
        <v>0</v>
      </c>
      <c r="HI29" s="423">
        <f t="shared" ca="1" si="134"/>
        <v>0</v>
      </c>
      <c r="HJ29" s="423">
        <f t="shared" ca="1" si="134"/>
        <v>0</v>
      </c>
      <c r="HK29" s="423">
        <f t="shared" ca="1" si="135"/>
        <v>0</v>
      </c>
      <c r="HL29" s="423">
        <f t="shared" ca="1" si="135"/>
        <v>0</v>
      </c>
      <c r="HM29" s="423">
        <f t="shared" ca="1" si="135"/>
        <v>0</v>
      </c>
      <c r="HN29" s="423">
        <f t="shared" ca="1" si="135"/>
        <v>0</v>
      </c>
      <c r="HO29" s="423">
        <f t="shared" ca="1" si="135"/>
        <v>0</v>
      </c>
      <c r="HP29" s="423">
        <f t="shared" ca="1" si="135"/>
        <v>0</v>
      </c>
      <c r="HQ29" s="423">
        <f t="shared" ca="1" si="135"/>
        <v>0</v>
      </c>
      <c r="HR29" s="423">
        <f t="shared" ca="1" si="135"/>
        <v>0</v>
      </c>
      <c r="HS29" s="423">
        <f t="shared" ca="1" si="135"/>
        <v>0</v>
      </c>
      <c r="HT29" s="423">
        <f t="shared" ca="1" si="135"/>
        <v>0</v>
      </c>
    </row>
    <row r="30" spans="1:230" ht="11.25" customHeight="1" x14ac:dyDescent="0.2">
      <c r="A30" s="62">
        <f t="shared" si="128"/>
        <v>19</v>
      </c>
      <c r="B30" s="60" t="str">
        <f>Spaces_Sum!C75</f>
        <v>L02-201_OfceRaccPthpHrv3</v>
      </c>
      <c r="C30" s="62" t="str">
        <f>Spaces_Sum!D75</f>
        <v>L02</v>
      </c>
      <c r="D30" s="62" t="str">
        <f ca="1">Spaces_Sum!I75</f>
        <v>DirectlyConditioned</v>
      </c>
      <c r="F30" s="110">
        <f ca="1">Spaces_Sum!M75</f>
        <v>641.20320000000004</v>
      </c>
      <c r="G30" s="110" t="str">
        <f ca="1">Spaces_Sum!J75</f>
        <v>Office - Enclosed</v>
      </c>
      <c r="H30" s="532"/>
      <c r="I30" s="185"/>
      <c r="J30" s="185"/>
      <c r="K30" s="186"/>
      <c r="L30" s="187"/>
      <c r="M30" s="188"/>
      <c r="N30" s="189"/>
      <c r="O30" s="186"/>
      <c r="P30" s="187"/>
      <c r="Q30" s="188"/>
      <c r="R30" s="189"/>
      <c r="S30" s="186"/>
      <c r="T30" s="187"/>
      <c r="U30" s="188"/>
      <c r="V30" s="189"/>
      <c r="W30" s="186"/>
      <c r="X30" s="187"/>
      <c r="Y30" s="188"/>
      <c r="Z30" s="189"/>
      <c r="AA30" s="186"/>
      <c r="AB30" s="187"/>
      <c r="AC30" s="188"/>
      <c r="AD30" s="189"/>
      <c r="AE30" s="186"/>
      <c r="AF30" s="187"/>
      <c r="AG30" s="188"/>
      <c r="AH30" s="189"/>
      <c r="AI30" s="186"/>
      <c r="AJ30" s="187"/>
      <c r="AK30" s="188"/>
      <c r="AL30" s="189"/>
      <c r="AM30" s="186"/>
      <c r="AN30" s="187"/>
      <c r="AO30" s="188"/>
      <c r="AP30" s="189"/>
      <c r="AQ30" s="186"/>
      <c r="AR30" s="187"/>
      <c r="AS30" s="188"/>
      <c r="AT30" s="189"/>
      <c r="AU30" s="186"/>
      <c r="AV30" s="187"/>
      <c r="AW30" s="188"/>
      <c r="AX30" s="189"/>
      <c r="AY30" s="186"/>
      <c r="AZ30" s="187"/>
      <c r="BA30" s="188"/>
      <c r="BB30" s="189"/>
      <c r="BC30" s="186"/>
      <c r="BD30" s="187"/>
      <c r="BE30" s="188"/>
      <c r="BF30" s="189"/>
      <c r="BG30" s="186"/>
      <c r="BH30" s="187"/>
      <c r="BI30" s="188"/>
      <c r="BJ30" s="189"/>
      <c r="BK30" s="186"/>
      <c r="BL30" s="187"/>
      <c r="BM30" s="188"/>
      <c r="BN30" s="189"/>
      <c r="BO30" s="186"/>
      <c r="BP30" s="187"/>
      <c r="BQ30" s="188"/>
      <c r="BR30" s="189"/>
      <c r="BS30" s="186"/>
      <c r="BT30" s="187"/>
      <c r="BU30" s="188"/>
      <c r="BV30" s="189"/>
      <c r="BW30" s="186"/>
      <c r="BX30" s="187"/>
      <c r="BY30" s="188"/>
      <c r="BZ30" s="189"/>
      <c r="CA30" s="186"/>
      <c r="CB30" s="190"/>
      <c r="CC30" s="190"/>
      <c r="CD30" s="82">
        <f t="shared" si="39"/>
        <v>0</v>
      </c>
      <c r="CE30" s="82">
        <f t="shared" si="40"/>
        <v>0</v>
      </c>
      <c r="CF30" s="82">
        <f t="shared" si="41"/>
        <v>0</v>
      </c>
      <c r="CG30" s="82">
        <f t="shared" si="42"/>
        <v>0</v>
      </c>
      <c r="CH30" s="82">
        <f t="shared" si="43"/>
        <v>0</v>
      </c>
      <c r="CI30" s="82">
        <f t="shared" si="44"/>
        <v>0</v>
      </c>
      <c r="CJ30" s="82">
        <f t="shared" si="45"/>
        <v>0</v>
      </c>
      <c r="CK30" s="82">
        <f t="shared" si="46"/>
        <v>0</v>
      </c>
      <c r="CL30" s="82">
        <f t="shared" si="47"/>
        <v>0</v>
      </c>
      <c r="CM30" s="82">
        <f t="shared" si="48"/>
        <v>0</v>
      </c>
      <c r="CN30" s="82">
        <f t="shared" si="49"/>
        <v>0</v>
      </c>
      <c r="CO30" s="82">
        <f t="shared" si="50"/>
        <v>0</v>
      </c>
      <c r="CP30" s="82">
        <f t="shared" si="51"/>
        <v>0</v>
      </c>
      <c r="CQ30" s="82">
        <f t="shared" si="52"/>
        <v>0</v>
      </c>
      <c r="CR30" s="82">
        <f t="shared" si="53"/>
        <v>0</v>
      </c>
      <c r="CS30" s="82">
        <f t="shared" si="54"/>
        <v>0</v>
      </c>
      <c r="CT30" s="82">
        <f t="shared" si="55"/>
        <v>0</v>
      </c>
      <c r="CU30" s="82">
        <f t="shared" si="56"/>
        <v>0</v>
      </c>
      <c r="CV30" s="82">
        <f t="shared" si="57"/>
        <v>0</v>
      </c>
      <c r="CW30" s="82">
        <f t="shared" si="58"/>
        <v>0</v>
      </c>
      <c r="CX30" s="82">
        <f t="shared" si="59"/>
        <v>0</v>
      </c>
      <c r="CY30" s="82">
        <f t="shared" si="60"/>
        <v>0</v>
      </c>
      <c r="CZ30" s="82">
        <f t="shared" si="61"/>
        <v>0</v>
      </c>
      <c r="DA30" s="82">
        <f t="shared" si="62"/>
        <v>0</v>
      </c>
      <c r="DB30" s="82">
        <f t="shared" si="63"/>
        <v>0</v>
      </c>
      <c r="DC30" s="82">
        <f t="shared" si="64"/>
        <v>0</v>
      </c>
      <c r="DD30" s="82">
        <f t="shared" si="65"/>
        <v>0</v>
      </c>
      <c r="DE30" s="82">
        <f t="shared" si="66"/>
        <v>0</v>
      </c>
      <c r="DF30" s="82">
        <f t="shared" si="67"/>
        <v>0</v>
      </c>
      <c r="DG30" s="82">
        <f t="shared" si="68"/>
        <v>0</v>
      </c>
      <c r="DH30" s="82">
        <f t="shared" si="69"/>
        <v>0</v>
      </c>
      <c r="DI30" s="82">
        <f t="shared" si="70"/>
        <v>0</v>
      </c>
      <c r="DJ30" s="82">
        <f t="shared" si="71"/>
        <v>0</v>
      </c>
      <c r="DK30" s="82">
        <f t="shared" si="72"/>
        <v>0</v>
      </c>
      <c r="DL30" s="82">
        <f t="shared" si="73"/>
        <v>0</v>
      </c>
      <c r="DM30" s="82">
        <f t="shared" si="74"/>
        <v>0</v>
      </c>
      <c r="DN30" s="82">
        <f t="shared" si="75"/>
        <v>0</v>
      </c>
      <c r="DO30" s="82">
        <f t="shared" si="76"/>
        <v>0</v>
      </c>
      <c r="DP30" s="82">
        <f t="shared" si="77"/>
        <v>0</v>
      </c>
      <c r="DQ30" s="82">
        <f t="shared" si="78"/>
        <v>0</v>
      </c>
      <c r="DR30" s="82">
        <f t="shared" si="79"/>
        <v>0</v>
      </c>
      <c r="DS30" s="82">
        <f t="shared" si="80"/>
        <v>0</v>
      </c>
      <c r="DT30" s="82">
        <f t="shared" si="81"/>
        <v>0</v>
      </c>
      <c r="DU30" s="82">
        <f t="shared" si="82"/>
        <v>0</v>
      </c>
      <c r="DV30" s="82">
        <f t="shared" si="83"/>
        <v>0</v>
      </c>
      <c r="DW30" s="82">
        <f t="shared" si="84"/>
        <v>0</v>
      </c>
      <c r="DX30" s="82">
        <f t="shared" si="85"/>
        <v>0</v>
      </c>
      <c r="DY30" s="82">
        <f t="shared" si="86"/>
        <v>0</v>
      </c>
      <c r="DZ30" s="82">
        <f t="shared" si="87"/>
        <v>0</v>
      </c>
      <c r="EA30" s="82">
        <f t="shared" si="88"/>
        <v>0</v>
      </c>
      <c r="EB30" s="82">
        <f t="shared" si="89"/>
        <v>0</v>
      </c>
      <c r="EC30" s="82">
        <f t="shared" si="90"/>
        <v>0</v>
      </c>
      <c r="ED30" s="82">
        <f t="shared" si="91"/>
        <v>0</v>
      </c>
      <c r="EE30" s="82">
        <f t="shared" si="92"/>
        <v>0</v>
      </c>
      <c r="EF30" s="82">
        <f t="shared" si="93"/>
        <v>0</v>
      </c>
      <c r="EG30" s="82">
        <f t="shared" si="94"/>
        <v>0</v>
      </c>
      <c r="EH30" s="82">
        <f t="shared" si="95"/>
        <v>0</v>
      </c>
      <c r="EI30" s="82">
        <f t="shared" si="96"/>
        <v>0</v>
      </c>
      <c r="EJ30" s="82">
        <f t="shared" si="97"/>
        <v>0</v>
      </c>
      <c r="EK30" s="82">
        <f t="shared" si="98"/>
        <v>0</v>
      </c>
      <c r="EL30" s="82">
        <f t="shared" si="99"/>
        <v>0</v>
      </c>
      <c r="EM30" s="82">
        <f t="shared" si="100"/>
        <v>0</v>
      </c>
      <c r="EN30" s="82">
        <f t="shared" si="101"/>
        <v>0</v>
      </c>
      <c r="EO30" s="82">
        <f t="shared" si="102"/>
        <v>0</v>
      </c>
      <c r="EP30" s="82">
        <f t="shared" si="103"/>
        <v>0</v>
      </c>
      <c r="EQ30" s="82">
        <f t="shared" si="104"/>
        <v>0</v>
      </c>
      <c r="ER30" s="82">
        <f t="shared" si="105"/>
        <v>0</v>
      </c>
      <c r="ES30" s="82">
        <f t="shared" si="106"/>
        <v>0</v>
      </c>
      <c r="ET30" s="82">
        <f t="shared" si="107"/>
        <v>0</v>
      </c>
      <c r="EU30" s="82">
        <f t="shared" si="108"/>
        <v>0</v>
      </c>
      <c r="EV30" s="82">
        <f t="shared" si="109"/>
        <v>0</v>
      </c>
      <c r="EW30" s="82">
        <f t="shared" si="110"/>
        <v>0</v>
      </c>
      <c r="EX30" s="82">
        <f t="shared" si="111"/>
        <v>0</v>
      </c>
      <c r="EY30" s="111">
        <f t="shared" si="112"/>
        <v>0</v>
      </c>
      <c r="EZ30" s="143">
        <f t="shared" ca="1" si="113"/>
        <v>0</v>
      </c>
      <c r="FA30" s="112">
        <f t="shared" ca="1" si="114"/>
        <v>0</v>
      </c>
      <c r="FB30" s="113">
        <f t="shared" ca="1" si="115"/>
        <v>0</v>
      </c>
      <c r="FC30" s="114">
        <f t="shared" ca="1" si="116"/>
        <v>0</v>
      </c>
      <c r="FD30" s="115">
        <f t="shared" ca="1" si="117"/>
        <v>0</v>
      </c>
      <c r="FE30" s="116">
        <f t="shared" ca="1" si="118"/>
        <v>0</v>
      </c>
      <c r="FF30" s="117">
        <f t="shared" ca="1" si="119"/>
        <v>0</v>
      </c>
      <c r="FG30" s="71">
        <f t="shared" si="120"/>
        <v>0</v>
      </c>
      <c r="FH30" s="530">
        <f t="shared" ca="1" si="121"/>
        <v>0</v>
      </c>
      <c r="FI30" s="922"/>
      <c r="FJ30" s="922"/>
      <c r="FK30" s="922"/>
      <c r="FM30" s="421" t="str">
        <f t="shared" si="122"/>
        <v>L02-201_OfceRaccPthpHrv3</v>
      </c>
      <c r="FN30" s="422" t="str">
        <f t="shared" ca="1" si="123"/>
        <v>Office - Enclosed</v>
      </c>
      <c r="FO30" s="423">
        <f t="shared" ca="1" si="136"/>
        <v>0</v>
      </c>
      <c r="FP30" s="423">
        <f t="shared" ca="1" si="136"/>
        <v>0</v>
      </c>
      <c r="FQ30" s="423">
        <f t="shared" ca="1" si="136"/>
        <v>0</v>
      </c>
      <c r="FR30" s="423">
        <f t="shared" ca="1" si="136"/>
        <v>0</v>
      </c>
      <c r="FS30" s="423">
        <f t="shared" ca="1" si="136"/>
        <v>0</v>
      </c>
      <c r="FT30" s="423">
        <f t="shared" ca="1" si="136"/>
        <v>0</v>
      </c>
      <c r="FU30" s="423">
        <f t="shared" ca="1" si="136"/>
        <v>0</v>
      </c>
      <c r="FV30" s="423">
        <f t="shared" ca="1" si="136"/>
        <v>0</v>
      </c>
      <c r="FW30" s="423">
        <f t="shared" ca="1" si="136"/>
        <v>0</v>
      </c>
      <c r="FX30" s="423">
        <f t="shared" ca="1" si="136"/>
        <v>0</v>
      </c>
      <c r="FY30" s="423">
        <f t="shared" ca="1" si="136"/>
        <v>0</v>
      </c>
      <c r="FZ30" s="423">
        <f t="shared" ca="1" si="136"/>
        <v>0</v>
      </c>
      <c r="GA30" s="423">
        <f t="shared" ca="1" si="136"/>
        <v>0</v>
      </c>
      <c r="GB30" s="423">
        <f t="shared" ca="1" si="136"/>
        <v>0</v>
      </c>
      <c r="GC30" s="423">
        <f t="shared" ca="1" si="136"/>
        <v>0</v>
      </c>
      <c r="GD30" s="423">
        <f t="shared" ca="1" si="136"/>
        <v>0</v>
      </c>
      <c r="GE30" s="423">
        <f t="shared" ca="1" si="133"/>
        <v>0</v>
      </c>
      <c r="GF30" s="423">
        <f t="shared" ca="1" si="133"/>
        <v>0</v>
      </c>
      <c r="GG30" s="423">
        <f t="shared" ca="1" si="133"/>
        <v>0</v>
      </c>
      <c r="GH30" s="423">
        <f t="shared" ca="1" si="133"/>
        <v>0</v>
      </c>
      <c r="GI30" s="423">
        <f t="shared" ca="1" si="133"/>
        <v>0</v>
      </c>
      <c r="GJ30" s="423">
        <f t="shared" ca="1" si="133"/>
        <v>0</v>
      </c>
      <c r="GK30" s="423">
        <f t="shared" ca="1" si="133"/>
        <v>0</v>
      </c>
      <c r="GL30" s="423">
        <f t="shared" ca="1" si="133"/>
        <v>0</v>
      </c>
      <c r="GM30" s="423">
        <f t="shared" ca="1" si="133"/>
        <v>0</v>
      </c>
      <c r="GN30" s="423">
        <f t="shared" ca="1" si="133"/>
        <v>0</v>
      </c>
      <c r="GO30" s="423">
        <f t="shared" ca="1" si="133"/>
        <v>0</v>
      </c>
      <c r="GP30" s="423">
        <f t="shared" ca="1" si="133"/>
        <v>0</v>
      </c>
      <c r="GQ30" s="423">
        <f t="shared" ca="1" si="133"/>
        <v>0</v>
      </c>
      <c r="GR30" s="423">
        <f t="shared" ca="1" si="133"/>
        <v>0</v>
      </c>
      <c r="GS30" s="423">
        <f t="shared" ca="1" si="133"/>
        <v>0</v>
      </c>
      <c r="GT30" s="423">
        <f t="shared" ca="1" si="133"/>
        <v>0</v>
      </c>
      <c r="GU30" s="423">
        <f t="shared" ca="1" si="134"/>
        <v>0</v>
      </c>
      <c r="GV30" s="423">
        <f t="shared" ca="1" si="134"/>
        <v>0</v>
      </c>
      <c r="GW30" s="423">
        <f t="shared" ca="1" si="134"/>
        <v>0</v>
      </c>
      <c r="GX30" s="423">
        <f t="shared" ca="1" si="134"/>
        <v>0</v>
      </c>
      <c r="GY30" s="423">
        <f t="shared" ca="1" si="134"/>
        <v>0</v>
      </c>
      <c r="GZ30" s="423">
        <f t="shared" ca="1" si="134"/>
        <v>0</v>
      </c>
      <c r="HA30" s="423">
        <f t="shared" ca="1" si="134"/>
        <v>0</v>
      </c>
      <c r="HB30" s="423">
        <f t="shared" ca="1" si="134"/>
        <v>0</v>
      </c>
      <c r="HC30" s="423">
        <f t="shared" ca="1" si="134"/>
        <v>0</v>
      </c>
      <c r="HD30" s="423">
        <f t="shared" ca="1" si="134"/>
        <v>0</v>
      </c>
      <c r="HE30" s="423">
        <f t="shared" ca="1" si="134"/>
        <v>0</v>
      </c>
      <c r="HF30" s="423">
        <f t="shared" ca="1" si="134"/>
        <v>0</v>
      </c>
      <c r="HG30" s="423">
        <f t="shared" ca="1" si="134"/>
        <v>0</v>
      </c>
      <c r="HH30" s="423">
        <f t="shared" ca="1" si="134"/>
        <v>0</v>
      </c>
      <c r="HI30" s="423">
        <f t="shared" ca="1" si="134"/>
        <v>0</v>
      </c>
      <c r="HJ30" s="423">
        <f t="shared" ca="1" si="134"/>
        <v>0</v>
      </c>
      <c r="HK30" s="423">
        <f t="shared" ca="1" si="135"/>
        <v>0</v>
      </c>
      <c r="HL30" s="423">
        <f t="shared" ca="1" si="135"/>
        <v>0</v>
      </c>
      <c r="HM30" s="423">
        <f t="shared" ca="1" si="135"/>
        <v>0</v>
      </c>
      <c r="HN30" s="423">
        <f t="shared" ca="1" si="135"/>
        <v>0</v>
      </c>
      <c r="HO30" s="423">
        <f t="shared" ca="1" si="135"/>
        <v>0</v>
      </c>
      <c r="HP30" s="423">
        <f t="shared" ca="1" si="135"/>
        <v>0</v>
      </c>
      <c r="HQ30" s="423">
        <f t="shared" ca="1" si="135"/>
        <v>0</v>
      </c>
      <c r="HR30" s="423">
        <f t="shared" ca="1" si="135"/>
        <v>0</v>
      </c>
      <c r="HS30" s="423">
        <f t="shared" ca="1" si="135"/>
        <v>0</v>
      </c>
      <c r="HT30" s="423">
        <f t="shared" ca="1" si="135"/>
        <v>0</v>
      </c>
    </row>
    <row r="31" spans="1:230" ht="11.25" customHeight="1" x14ac:dyDescent="0.2">
      <c r="A31" s="62">
        <f t="shared" si="128"/>
        <v>20</v>
      </c>
      <c r="B31" s="60" t="str">
        <f>Spaces_Sum!C76</f>
        <v>L02-202_MfamResiPthp</v>
      </c>
      <c r="C31" s="62" t="str">
        <f>Spaces_Sum!D76</f>
        <v>L02</v>
      </c>
      <c r="D31" s="62" t="str">
        <f ca="1">Spaces_Sum!I76</f>
        <v>DirectlyConditioned</v>
      </c>
      <c r="F31" s="110">
        <f ca="1">Spaces_Sum!M76</f>
        <v>1321.32</v>
      </c>
      <c r="G31" s="110" t="str">
        <f ca="1">Spaces_Sum!J76</f>
        <v>Dwelling Unit</v>
      </c>
      <c r="H31" s="532"/>
      <c r="I31" s="185"/>
      <c r="J31" s="185"/>
      <c r="K31" s="186"/>
      <c r="L31" s="187"/>
      <c r="M31" s="188"/>
      <c r="N31" s="189"/>
      <c r="O31" s="186"/>
      <c r="P31" s="187"/>
      <c r="Q31" s="188"/>
      <c r="R31" s="189"/>
      <c r="S31" s="186"/>
      <c r="T31" s="187"/>
      <c r="U31" s="188"/>
      <c r="V31" s="189"/>
      <c r="W31" s="186"/>
      <c r="X31" s="187"/>
      <c r="Y31" s="188"/>
      <c r="Z31" s="189"/>
      <c r="AA31" s="186"/>
      <c r="AB31" s="187"/>
      <c r="AC31" s="188"/>
      <c r="AD31" s="189"/>
      <c r="AE31" s="186"/>
      <c r="AF31" s="187"/>
      <c r="AG31" s="188"/>
      <c r="AH31" s="189"/>
      <c r="AI31" s="186"/>
      <c r="AJ31" s="187"/>
      <c r="AK31" s="188"/>
      <c r="AL31" s="189"/>
      <c r="AM31" s="186"/>
      <c r="AN31" s="187"/>
      <c r="AO31" s="188"/>
      <c r="AP31" s="189"/>
      <c r="AQ31" s="186"/>
      <c r="AR31" s="187"/>
      <c r="AS31" s="188"/>
      <c r="AT31" s="189"/>
      <c r="AU31" s="186"/>
      <c r="AV31" s="187"/>
      <c r="AW31" s="188"/>
      <c r="AX31" s="189"/>
      <c r="AY31" s="186"/>
      <c r="AZ31" s="187"/>
      <c r="BA31" s="188"/>
      <c r="BB31" s="189"/>
      <c r="BC31" s="186"/>
      <c r="BD31" s="187"/>
      <c r="BE31" s="188"/>
      <c r="BF31" s="189"/>
      <c r="BG31" s="186"/>
      <c r="BH31" s="187"/>
      <c r="BI31" s="188"/>
      <c r="BJ31" s="189"/>
      <c r="BK31" s="186"/>
      <c r="BL31" s="187"/>
      <c r="BM31" s="188"/>
      <c r="BN31" s="189"/>
      <c r="BO31" s="186"/>
      <c r="BP31" s="187"/>
      <c r="BQ31" s="188"/>
      <c r="BR31" s="189"/>
      <c r="BS31" s="186"/>
      <c r="BT31" s="187"/>
      <c r="BU31" s="188"/>
      <c r="BV31" s="189"/>
      <c r="BW31" s="186"/>
      <c r="BX31" s="187"/>
      <c r="BY31" s="188"/>
      <c r="BZ31" s="189"/>
      <c r="CA31" s="186"/>
      <c r="CB31" s="190"/>
      <c r="CC31" s="190"/>
      <c r="CD31" s="82">
        <f t="shared" si="39"/>
        <v>0</v>
      </c>
      <c r="CE31" s="82">
        <f t="shared" si="40"/>
        <v>0</v>
      </c>
      <c r="CF31" s="82">
        <f t="shared" si="41"/>
        <v>0</v>
      </c>
      <c r="CG31" s="82">
        <f t="shared" si="42"/>
        <v>0</v>
      </c>
      <c r="CH31" s="82">
        <f t="shared" si="43"/>
        <v>0</v>
      </c>
      <c r="CI31" s="82">
        <f t="shared" si="44"/>
        <v>0</v>
      </c>
      <c r="CJ31" s="82">
        <f t="shared" si="45"/>
        <v>0</v>
      </c>
      <c r="CK31" s="82">
        <f t="shared" si="46"/>
        <v>0</v>
      </c>
      <c r="CL31" s="82">
        <f t="shared" si="47"/>
        <v>0</v>
      </c>
      <c r="CM31" s="82">
        <f t="shared" si="48"/>
        <v>0</v>
      </c>
      <c r="CN31" s="82">
        <f t="shared" si="49"/>
        <v>0</v>
      </c>
      <c r="CO31" s="82">
        <f t="shared" si="50"/>
        <v>0</v>
      </c>
      <c r="CP31" s="82">
        <f t="shared" si="51"/>
        <v>0</v>
      </c>
      <c r="CQ31" s="82">
        <f t="shared" si="52"/>
        <v>0</v>
      </c>
      <c r="CR31" s="82">
        <f t="shared" si="53"/>
        <v>0</v>
      </c>
      <c r="CS31" s="82">
        <f t="shared" si="54"/>
        <v>0</v>
      </c>
      <c r="CT31" s="82">
        <f t="shared" si="55"/>
        <v>0</v>
      </c>
      <c r="CU31" s="82">
        <f t="shared" si="56"/>
        <v>0</v>
      </c>
      <c r="CV31" s="82">
        <f t="shared" si="57"/>
        <v>0</v>
      </c>
      <c r="CW31" s="82">
        <f t="shared" si="58"/>
        <v>0</v>
      </c>
      <c r="CX31" s="82">
        <f t="shared" si="59"/>
        <v>0</v>
      </c>
      <c r="CY31" s="82">
        <f t="shared" si="60"/>
        <v>0</v>
      </c>
      <c r="CZ31" s="82">
        <f t="shared" si="61"/>
        <v>0</v>
      </c>
      <c r="DA31" s="82">
        <f t="shared" si="62"/>
        <v>0</v>
      </c>
      <c r="DB31" s="82">
        <f t="shared" si="63"/>
        <v>0</v>
      </c>
      <c r="DC31" s="82">
        <f t="shared" si="64"/>
        <v>0</v>
      </c>
      <c r="DD31" s="82">
        <f t="shared" si="65"/>
        <v>0</v>
      </c>
      <c r="DE31" s="82">
        <f t="shared" si="66"/>
        <v>0</v>
      </c>
      <c r="DF31" s="82">
        <f t="shared" si="67"/>
        <v>0</v>
      </c>
      <c r="DG31" s="82">
        <f t="shared" si="68"/>
        <v>0</v>
      </c>
      <c r="DH31" s="82">
        <f t="shared" si="69"/>
        <v>0</v>
      </c>
      <c r="DI31" s="82">
        <f t="shared" si="70"/>
        <v>0</v>
      </c>
      <c r="DJ31" s="82">
        <f t="shared" si="71"/>
        <v>0</v>
      </c>
      <c r="DK31" s="82">
        <f t="shared" si="72"/>
        <v>0</v>
      </c>
      <c r="DL31" s="82">
        <f t="shared" si="73"/>
        <v>0</v>
      </c>
      <c r="DM31" s="82">
        <f t="shared" si="74"/>
        <v>0</v>
      </c>
      <c r="DN31" s="82">
        <f t="shared" si="75"/>
        <v>0</v>
      </c>
      <c r="DO31" s="82">
        <f t="shared" si="76"/>
        <v>0</v>
      </c>
      <c r="DP31" s="82">
        <f t="shared" si="77"/>
        <v>0</v>
      </c>
      <c r="DQ31" s="82">
        <f t="shared" si="78"/>
        <v>0</v>
      </c>
      <c r="DR31" s="82">
        <f t="shared" si="79"/>
        <v>0</v>
      </c>
      <c r="DS31" s="82">
        <f t="shared" si="80"/>
        <v>0</v>
      </c>
      <c r="DT31" s="82">
        <f t="shared" si="81"/>
        <v>0</v>
      </c>
      <c r="DU31" s="82">
        <f t="shared" si="82"/>
        <v>0</v>
      </c>
      <c r="DV31" s="82">
        <f t="shared" si="83"/>
        <v>0</v>
      </c>
      <c r="DW31" s="82">
        <f t="shared" si="84"/>
        <v>0</v>
      </c>
      <c r="DX31" s="82">
        <f t="shared" si="85"/>
        <v>0</v>
      </c>
      <c r="DY31" s="82">
        <f t="shared" si="86"/>
        <v>0</v>
      </c>
      <c r="DZ31" s="82">
        <f t="shared" si="87"/>
        <v>0</v>
      </c>
      <c r="EA31" s="82">
        <f t="shared" si="88"/>
        <v>0</v>
      </c>
      <c r="EB31" s="82">
        <f t="shared" si="89"/>
        <v>0</v>
      </c>
      <c r="EC31" s="82">
        <f t="shared" si="90"/>
        <v>0</v>
      </c>
      <c r="ED31" s="82">
        <f t="shared" si="91"/>
        <v>0</v>
      </c>
      <c r="EE31" s="82">
        <f t="shared" si="92"/>
        <v>0</v>
      </c>
      <c r="EF31" s="82">
        <f t="shared" si="93"/>
        <v>0</v>
      </c>
      <c r="EG31" s="82">
        <f t="shared" si="94"/>
        <v>0</v>
      </c>
      <c r="EH31" s="82">
        <f t="shared" si="95"/>
        <v>0</v>
      </c>
      <c r="EI31" s="82">
        <f t="shared" si="96"/>
        <v>0</v>
      </c>
      <c r="EJ31" s="82">
        <f t="shared" si="97"/>
        <v>0</v>
      </c>
      <c r="EK31" s="82">
        <f t="shared" si="98"/>
        <v>0</v>
      </c>
      <c r="EL31" s="82">
        <f t="shared" si="99"/>
        <v>0</v>
      </c>
      <c r="EM31" s="82">
        <f t="shared" si="100"/>
        <v>0</v>
      </c>
      <c r="EN31" s="82">
        <f t="shared" si="101"/>
        <v>0</v>
      </c>
      <c r="EO31" s="82">
        <f t="shared" si="102"/>
        <v>0</v>
      </c>
      <c r="EP31" s="82">
        <f t="shared" si="103"/>
        <v>0</v>
      </c>
      <c r="EQ31" s="82">
        <f t="shared" si="104"/>
        <v>0</v>
      </c>
      <c r="ER31" s="82">
        <f t="shared" si="105"/>
        <v>0</v>
      </c>
      <c r="ES31" s="82">
        <f t="shared" si="106"/>
        <v>0</v>
      </c>
      <c r="ET31" s="82">
        <f t="shared" si="107"/>
        <v>0</v>
      </c>
      <c r="EU31" s="82">
        <f t="shared" si="108"/>
        <v>0</v>
      </c>
      <c r="EV31" s="82">
        <f t="shared" si="109"/>
        <v>0</v>
      </c>
      <c r="EW31" s="82">
        <f t="shared" si="110"/>
        <v>0</v>
      </c>
      <c r="EX31" s="82">
        <f t="shared" si="111"/>
        <v>0</v>
      </c>
      <c r="EY31" s="111">
        <f t="shared" si="112"/>
        <v>0</v>
      </c>
      <c r="EZ31" s="143">
        <f t="shared" ca="1" si="113"/>
        <v>0</v>
      </c>
      <c r="FA31" s="112">
        <f t="shared" ca="1" si="114"/>
        <v>0</v>
      </c>
      <c r="FB31" s="113">
        <f t="shared" ca="1" si="115"/>
        <v>0</v>
      </c>
      <c r="FC31" s="114">
        <f t="shared" ca="1" si="116"/>
        <v>0</v>
      </c>
      <c r="FD31" s="115">
        <f t="shared" ca="1" si="117"/>
        <v>0</v>
      </c>
      <c r="FE31" s="116">
        <f t="shared" ca="1" si="118"/>
        <v>0</v>
      </c>
      <c r="FF31" s="117">
        <f t="shared" ca="1" si="119"/>
        <v>0</v>
      </c>
      <c r="FG31" s="71">
        <f t="shared" si="120"/>
        <v>0</v>
      </c>
      <c r="FH31" s="530">
        <f t="shared" ca="1" si="121"/>
        <v>0</v>
      </c>
      <c r="FI31" s="72"/>
      <c r="FJ31" s="72"/>
      <c r="FK31" s="72"/>
      <c r="FM31" s="421" t="str">
        <f t="shared" si="122"/>
        <v>L02-202_MfamResiPthp</v>
      </c>
      <c r="FN31" s="422" t="str">
        <f t="shared" ca="1" si="123"/>
        <v>Dwelling Unit</v>
      </c>
      <c r="FO31" s="423">
        <f t="shared" ca="1" si="136"/>
        <v>0</v>
      </c>
      <c r="FP31" s="423">
        <f t="shared" ca="1" si="136"/>
        <v>0</v>
      </c>
      <c r="FQ31" s="423">
        <f t="shared" ca="1" si="136"/>
        <v>0</v>
      </c>
      <c r="FR31" s="423">
        <f t="shared" ca="1" si="136"/>
        <v>0</v>
      </c>
      <c r="FS31" s="423">
        <f t="shared" ca="1" si="136"/>
        <v>0</v>
      </c>
      <c r="FT31" s="423">
        <f t="shared" ca="1" si="136"/>
        <v>0</v>
      </c>
      <c r="FU31" s="423">
        <f t="shared" ca="1" si="136"/>
        <v>0</v>
      </c>
      <c r="FV31" s="423">
        <f t="shared" ca="1" si="136"/>
        <v>0</v>
      </c>
      <c r="FW31" s="423">
        <f t="shared" ca="1" si="136"/>
        <v>0</v>
      </c>
      <c r="FX31" s="423">
        <f t="shared" ca="1" si="136"/>
        <v>0</v>
      </c>
      <c r="FY31" s="423">
        <f t="shared" ca="1" si="136"/>
        <v>0</v>
      </c>
      <c r="FZ31" s="423">
        <f t="shared" ca="1" si="136"/>
        <v>0</v>
      </c>
      <c r="GA31" s="423">
        <f t="shared" ca="1" si="136"/>
        <v>0</v>
      </c>
      <c r="GB31" s="423">
        <f t="shared" ca="1" si="136"/>
        <v>0</v>
      </c>
      <c r="GC31" s="423">
        <f t="shared" ca="1" si="136"/>
        <v>0</v>
      </c>
      <c r="GD31" s="423">
        <f t="shared" ca="1" si="136"/>
        <v>0</v>
      </c>
      <c r="GE31" s="423">
        <f t="shared" ca="1" si="133"/>
        <v>0</v>
      </c>
      <c r="GF31" s="423">
        <f t="shared" ca="1" si="133"/>
        <v>0</v>
      </c>
      <c r="GG31" s="423">
        <f t="shared" ca="1" si="133"/>
        <v>0</v>
      </c>
      <c r="GH31" s="423">
        <f t="shared" ca="1" si="133"/>
        <v>0</v>
      </c>
      <c r="GI31" s="423">
        <f t="shared" ca="1" si="133"/>
        <v>0</v>
      </c>
      <c r="GJ31" s="423">
        <f t="shared" ca="1" si="133"/>
        <v>0</v>
      </c>
      <c r="GK31" s="423">
        <f t="shared" ca="1" si="133"/>
        <v>0</v>
      </c>
      <c r="GL31" s="423">
        <f t="shared" ca="1" si="133"/>
        <v>0</v>
      </c>
      <c r="GM31" s="423">
        <f t="shared" ca="1" si="133"/>
        <v>0</v>
      </c>
      <c r="GN31" s="423">
        <f t="shared" ca="1" si="133"/>
        <v>0</v>
      </c>
      <c r="GO31" s="423">
        <f t="shared" ca="1" si="133"/>
        <v>0</v>
      </c>
      <c r="GP31" s="423">
        <f t="shared" ca="1" si="133"/>
        <v>0</v>
      </c>
      <c r="GQ31" s="423">
        <f t="shared" ca="1" si="133"/>
        <v>0</v>
      </c>
      <c r="GR31" s="423">
        <f t="shared" ca="1" si="133"/>
        <v>0</v>
      </c>
      <c r="GS31" s="423">
        <f t="shared" ca="1" si="133"/>
        <v>0</v>
      </c>
      <c r="GT31" s="423">
        <f t="shared" ca="1" si="133"/>
        <v>0</v>
      </c>
      <c r="GU31" s="423">
        <f t="shared" ca="1" si="134"/>
        <v>0</v>
      </c>
      <c r="GV31" s="423">
        <f t="shared" ca="1" si="134"/>
        <v>0</v>
      </c>
      <c r="GW31" s="423">
        <f t="shared" ca="1" si="134"/>
        <v>0</v>
      </c>
      <c r="GX31" s="423">
        <f t="shared" ca="1" si="134"/>
        <v>0</v>
      </c>
      <c r="GY31" s="423">
        <f t="shared" ca="1" si="134"/>
        <v>0</v>
      </c>
      <c r="GZ31" s="423">
        <f t="shared" ca="1" si="134"/>
        <v>0</v>
      </c>
      <c r="HA31" s="423">
        <f t="shared" ca="1" si="134"/>
        <v>0</v>
      </c>
      <c r="HB31" s="423">
        <f t="shared" ca="1" si="134"/>
        <v>0</v>
      </c>
      <c r="HC31" s="423">
        <f t="shared" ca="1" si="134"/>
        <v>0</v>
      </c>
      <c r="HD31" s="423">
        <f t="shared" ca="1" si="134"/>
        <v>0</v>
      </c>
      <c r="HE31" s="423">
        <f t="shared" ca="1" si="134"/>
        <v>0</v>
      </c>
      <c r="HF31" s="423">
        <f t="shared" ca="1" si="134"/>
        <v>0</v>
      </c>
      <c r="HG31" s="423">
        <f t="shared" ca="1" si="134"/>
        <v>0</v>
      </c>
      <c r="HH31" s="423">
        <f t="shared" ca="1" si="134"/>
        <v>0</v>
      </c>
      <c r="HI31" s="423">
        <f t="shared" ca="1" si="134"/>
        <v>0</v>
      </c>
      <c r="HJ31" s="423">
        <f t="shared" ca="1" si="134"/>
        <v>0</v>
      </c>
      <c r="HK31" s="423">
        <f t="shared" ca="1" si="135"/>
        <v>0</v>
      </c>
      <c r="HL31" s="423">
        <f t="shared" ca="1" si="135"/>
        <v>0</v>
      </c>
      <c r="HM31" s="423">
        <f t="shared" ca="1" si="135"/>
        <v>0</v>
      </c>
      <c r="HN31" s="423">
        <f t="shared" ca="1" si="135"/>
        <v>0</v>
      </c>
      <c r="HO31" s="423">
        <f t="shared" ca="1" si="135"/>
        <v>0</v>
      </c>
      <c r="HP31" s="423">
        <f t="shared" ca="1" si="135"/>
        <v>0</v>
      </c>
      <c r="HQ31" s="423">
        <f t="shared" ca="1" si="135"/>
        <v>0</v>
      </c>
      <c r="HR31" s="423">
        <f t="shared" ca="1" si="135"/>
        <v>0</v>
      </c>
      <c r="HS31" s="423">
        <f t="shared" ca="1" si="135"/>
        <v>0</v>
      </c>
      <c r="HT31" s="423">
        <f t="shared" ca="1" si="135"/>
        <v>0</v>
      </c>
      <c r="HU31" s="423"/>
      <c r="HV31" s="423"/>
    </row>
    <row r="32" spans="1:230" ht="11.25" customHeight="1" x14ac:dyDescent="0.2">
      <c r="A32" s="62">
        <f t="shared" si="128"/>
        <v>21</v>
      </c>
      <c r="B32" s="60" t="str">
        <f>Spaces_Sum!C77</f>
        <v>L02-203_MfamResiPthp</v>
      </c>
      <c r="C32" s="62" t="str">
        <f>Spaces_Sum!D77</f>
        <v>L02</v>
      </c>
      <c r="D32" s="62" t="str">
        <f ca="1">Spaces_Sum!I77</f>
        <v>DirectlyConditioned</v>
      </c>
      <c r="F32" s="110">
        <f ca="1">Spaces_Sum!M77</f>
        <v>1116.5980999999999</v>
      </c>
      <c r="G32" s="110" t="str">
        <f ca="1">Spaces_Sum!J77</f>
        <v>Dwelling Unit</v>
      </c>
      <c r="H32" s="532"/>
      <c r="I32" s="185"/>
      <c r="J32" s="185"/>
      <c r="K32" s="186"/>
      <c r="L32" s="187"/>
      <c r="M32" s="188"/>
      <c r="N32" s="189"/>
      <c r="O32" s="186"/>
      <c r="P32" s="187"/>
      <c r="Q32" s="188"/>
      <c r="R32" s="189"/>
      <c r="S32" s="186"/>
      <c r="T32" s="187"/>
      <c r="U32" s="188"/>
      <c r="V32" s="189"/>
      <c r="W32" s="186"/>
      <c r="X32" s="187"/>
      <c r="Y32" s="188"/>
      <c r="Z32" s="189"/>
      <c r="AA32" s="186"/>
      <c r="AB32" s="187"/>
      <c r="AC32" s="188"/>
      <c r="AD32" s="189"/>
      <c r="AE32" s="186"/>
      <c r="AF32" s="187"/>
      <c r="AG32" s="188"/>
      <c r="AH32" s="189"/>
      <c r="AI32" s="186"/>
      <c r="AJ32" s="187"/>
      <c r="AK32" s="188"/>
      <c r="AL32" s="189"/>
      <c r="AM32" s="186"/>
      <c r="AN32" s="187"/>
      <c r="AO32" s="188"/>
      <c r="AP32" s="189"/>
      <c r="AQ32" s="186"/>
      <c r="AR32" s="187"/>
      <c r="AS32" s="188"/>
      <c r="AT32" s="189"/>
      <c r="AU32" s="186"/>
      <c r="AV32" s="187"/>
      <c r="AW32" s="188"/>
      <c r="AX32" s="189"/>
      <c r="AY32" s="186"/>
      <c r="AZ32" s="187"/>
      <c r="BA32" s="188"/>
      <c r="BB32" s="189"/>
      <c r="BC32" s="186"/>
      <c r="BD32" s="187"/>
      <c r="BE32" s="188"/>
      <c r="BF32" s="189"/>
      <c r="BG32" s="186"/>
      <c r="BH32" s="187"/>
      <c r="BI32" s="188"/>
      <c r="BJ32" s="189"/>
      <c r="BK32" s="186"/>
      <c r="BL32" s="187"/>
      <c r="BM32" s="188"/>
      <c r="BN32" s="189"/>
      <c r="BO32" s="186"/>
      <c r="BP32" s="187"/>
      <c r="BQ32" s="188"/>
      <c r="BR32" s="189"/>
      <c r="BS32" s="186"/>
      <c r="BT32" s="187"/>
      <c r="BU32" s="188"/>
      <c r="BV32" s="189"/>
      <c r="BW32" s="186"/>
      <c r="BX32" s="187"/>
      <c r="BY32" s="188"/>
      <c r="BZ32" s="189"/>
      <c r="CA32" s="186"/>
      <c r="CB32" s="190"/>
      <c r="CC32" s="190"/>
      <c r="CD32" s="82">
        <f t="shared" si="39"/>
        <v>0</v>
      </c>
      <c r="CE32" s="82">
        <f t="shared" si="40"/>
        <v>0</v>
      </c>
      <c r="CF32" s="82">
        <f t="shared" si="41"/>
        <v>0</v>
      </c>
      <c r="CG32" s="82">
        <f t="shared" si="42"/>
        <v>0</v>
      </c>
      <c r="CH32" s="82">
        <f t="shared" si="43"/>
        <v>0</v>
      </c>
      <c r="CI32" s="82">
        <f t="shared" si="44"/>
        <v>0</v>
      </c>
      <c r="CJ32" s="82">
        <f t="shared" si="45"/>
        <v>0</v>
      </c>
      <c r="CK32" s="82">
        <f t="shared" si="46"/>
        <v>0</v>
      </c>
      <c r="CL32" s="82">
        <f t="shared" si="47"/>
        <v>0</v>
      </c>
      <c r="CM32" s="82">
        <f t="shared" si="48"/>
        <v>0</v>
      </c>
      <c r="CN32" s="82">
        <f t="shared" si="49"/>
        <v>0</v>
      </c>
      <c r="CO32" s="82">
        <f t="shared" si="50"/>
        <v>0</v>
      </c>
      <c r="CP32" s="82">
        <f t="shared" si="51"/>
        <v>0</v>
      </c>
      <c r="CQ32" s="82">
        <f t="shared" si="52"/>
        <v>0</v>
      </c>
      <c r="CR32" s="82">
        <f t="shared" si="53"/>
        <v>0</v>
      </c>
      <c r="CS32" s="82">
        <f t="shared" si="54"/>
        <v>0</v>
      </c>
      <c r="CT32" s="82">
        <f t="shared" si="55"/>
        <v>0</v>
      </c>
      <c r="CU32" s="82">
        <f t="shared" si="56"/>
        <v>0</v>
      </c>
      <c r="CV32" s="82">
        <f t="shared" si="57"/>
        <v>0</v>
      </c>
      <c r="CW32" s="82">
        <f t="shared" si="58"/>
        <v>0</v>
      </c>
      <c r="CX32" s="82">
        <f t="shared" si="59"/>
        <v>0</v>
      </c>
      <c r="CY32" s="82">
        <f t="shared" si="60"/>
        <v>0</v>
      </c>
      <c r="CZ32" s="82">
        <f t="shared" si="61"/>
        <v>0</v>
      </c>
      <c r="DA32" s="82">
        <f t="shared" si="62"/>
        <v>0</v>
      </c>
      <c r="DB32" s="82">
        <f t="shared" si="63"/>
        <v>0</v>
      </c>
      <c r="DC32" s="82">
        <f t="shared" si="64"/>
        <v>0</v>
      </c>
      <c r="DD32" s="82">
        <f t="shared" si="65"/>
        <v>0</v>
      </c>
      <c r="DE32" s="82">
        <f t="shared" si="66"/>
        <v>0</v>
      </c>
      <c r="DF32" s="82">
        <f t="shared" si="67"/>
        <v>0</v>
      </c>
      <c r="DG32" s="82">
        <f t="shared" si="68"/>
        <v>0</v>
      </c>
      <c r="DH32" s="82">
        <f t="shared" si="69"/>
        <v>0</v>
      </c>
      <c r="DI32" s="82">
        <f t="shared" si="70"/>
        <v>0</v>
      </c>
      <c r="DJ32" s="82">
        <f t="shared" si="71"/>
        <v>0</v>
      </c>
      <c r="DK32" s="82">
        <f t="shared" si="72"/>
        <v>0</v>
      </c>
      <c r="DL32" s="82">
        <f t="shared" si="73"/>
        <v>0</v>
      </c>
      <c r="DM32" s="82">
        <f t="shared" si="74"/>
        <v>0</v>
      </c>
      <c r="DN32" s="82">
        <f t="shared" si="75"/>
        <v>0</v>
      </c>
      <c r="DO32" s="82">
        <f t="shared" si="76"/>
        <v>0</v>
      </c>
      <c r="DP32" s="82">
        <f t="shared" si="77"/>
        <v>0</v>
      </c>
      <c r="DQ32" s="82">
        <f t="shared" si="78"/>
        <v>0</v>
      </c>
      <c r="DR32" s="82">
        <f t="shared" si="79"/>
        <v>0</v>
      </c>
      <c r="DS32" s="82">
        <f t="shared" si="80"/>
        <v>0</v>
      </c>
      <c r="DT32" s="82">
        <f t="shared" si="81"/>
        <v>0</v>
      </c>
      <c r="DU32" s="82">
        <f t="shared" si="82"/>
        <v>0</v>
      </c>
      <c r="DV32" s="82">
        <f t="shared" si="83"/>
        <v>0</v>
      </c>
      <c r="DW32" s="82">
        <f t="shared" si="84"/>
        <v>0</v>
      </c>
      <c r="DX32" s="82">
        <f t="shared" si="85"/>
        <v>0</v>
      </c>
      <c r="DY32" s="82">
        <f t="shared" si="86"/>
        <v>0</v>
      </c>
      <c r="DZ32" s="82">
        <f t="shared" si="87"/>
        <v>0</v>
      </c>
      <c r="EA32" s="82">
        <f t="shared" si="88"/>
        <v>0</v>
      </c>
      <c r="EB32" s="82">
        <f t="shared" si="89"/>
        <v>0</v>
      </c>
      <c r="EC32" s="82">
        <f t="shared" si="90"/>
        <v>0</v>
      </c>
      <c r="ED32" s="82">
        <f t="shared" si="91"/>
        <v>0</v>
      </c>
      <c r="EE32" s="82">
        <f t="shared" si="92"/>
        <v>0</v>
      </c>
      <c r="EF32" s="82">
        <f t="shared" si="93"/>
        <v>0</v>
      </c>
      <c r="EG32" s="82">
        <f t="shared" si="94"/>
        <v>0</v>
      </c>
      <c r="EH32" s="82">
        <f t="shared" si="95"/>
        <v>0</v>
      </c>
      <c r="EI32" s="82">
        <f t="shared" si="96"/>
        <v>0</v>
      </c>
      <c r="EJ32" s="82">
        <f t="shared" si="97"/>
        <v>0</v>
      </c>
      <c r="EK32" s="82">
        <f t="shared" si="98"/>
        <v>0</v>
      </c>
      <c r="EL32" s="82">
        <f t="shared" si="99"/>
        <v>0</v>
      </c>
      <c r="EM32" s="82">
        <f t="shared" si="100"/>
        <v>0</v>
      </c>
      <c r="EN32" s="82">
        <f t="shared" si="101"/>
        <v>0</v>
      </c>
      <c r="EO32" s="82">
        <f t="shared" si="102"/>
        <v>0</v>
      </c>
      <c r="EP32" s="82">
        <f t="shared" si="103"/>
        <v>0</v>
      </c>
      <c r="EQ32" s="82">
        <f t="shared" si="104"/>
        <v>0</v>
      </c>
      <c r="ER32" s="82">
        <f t="shared" si="105"/>
        <v>0</v>
      </c>
      <c r="ES32" s="82">
        <f t="shared" si="106"/>
        <v>0</v>
      </c>
      <c r="ET32" s="82">
        <f t="shared" si="107"/>
        <v>0</v>
      </c>
      <c r="EU32" s="82">
        <f t="shared" si="108"/>
        <v>0</v>
      </c>
      <c r="EV32" s="82">
        <f t="shared" si="109"/>
        <v>0</v>
      </c>
      <c r="EW32" s="82">
        <f t="shared" si="110"/>
        <v>0</v>
      </c>
      <c r="EX32" s="82">
        <f t="shared" si="111"/>
        <v>0</v>
      </c>
      <c r="EY32" s="111">
        <f t="shared" si="112"/>
        <v>0</v>
      </c>
      <c r="EZ32" s="143">
        <f t="shared" ca="1" si="113"/>
        <v>0</v>
      </c>
      <c r="FA32" s="112">
        <f t="shared" ca="1" si="114"/>
        <v>0</v>
      </c>
      <c r="FB32" s="113">
        <f t="shared" ca="1" si="115"/>
        <v>0</v>
      </c>
      <c r="FC32" s="114">
        <f t="shared" ca="1" si="116"/>
        <v>0</v>
      </c>
      <c r="FD32" s="115">
        <f t="shared" ca="1" si="117"/>
        <v>0</v>
      </c>
      <c r="FE32" s="116">
        <f t="shared" ca="1" si="118"/>
        <v>0</v>
      </c>
      <c r="FF32" s="117">
        <f t="shared" ca="1" si="119"/>
        <v>0</v>
      </c>
      <c r="FG32" s="71">
        <f t="shared" si="120"/>
        <v>0</v>
      </c>
      <c r="FH32" s="530">
        <f t="shared" ca="1" si="121"/>
        <v>0</v>
      </c>
      <c r="FI32" s="72"/>
      <c r="FJ32" s="72"/>
      <c r="FK32" s="72"/>
      <c r="FM32" s="421" t="str">
        <f t="shared" si="122"/>
        <v>L02-203_MfamResiPthp</v>
      </c>
      <c r="FN32" s="422" t="str">
        <f t="shared" ca="1" si="123"/>
        <v>Dwelling Unit</v>
      </c>
      <c r="FO32" s="423">
        <f t="shared" ca="1" si="136"/>
        <v>0</v>
      </c>
      <c r="FP32" s="423">
        <f t="shared" ca="1" si="136"/>
        <v>0</v>
      </c>
      <c r="FQ32" s="423">
        <f t="shared" ca="1" si="136"/>
        <v>0</v>
      </c>
      <c r="FR32" s="423">
        <f t="shared" ca="1" si="136"/>
        <v>0</v>
      </c>
      <c r="FS32" s="423">
        <f t="shared" ca="1" si="136"/>
        <v>0</v>
      </c>
      <c r="FT32" s="423">
        <f t="shared" ca="1" si="136"/>
        <v>0</v>
      </c>
      <c r="FU32" s="423">
        <f t="shared" ca="1" si="136"/>
        <v>0</v>
      </c>
      <c r="FV32" s="423">
        <f t="shared" ca="1" si="136"/>
        <v>0</v>
      </c>
      <c r="FW32" s="423">
        <f t="shared" ca="1" si="136"/>
        <v>0</v>
      </c>
      <c r="FX32" s="423">
        <f t="shared" ca="1" si="136"/>
        <v>0</v>
      </c>
      <c r="FY32" s="423">
        <f t="shared" ca="1" si="136"/>
        <v>0</v>
      </c>
      <c r="FZ32" s="423">
        <f t="shared" ca="1" si="136"/>
        <v>0</v>
      </c>
      <c r="GA32" s="423">
        <f t="shared" ca="1" si="136"/>
        <v>0</v>
      </c>
      <c r="GB32" s="423">
        <f t="shared" ca="1" si="136"/>
        <v>0</v>
      </c>
      <c r="GC32" s="423">
        <f t="shared" ca="1" si="136"/>
        <v>0</v>
      </c>
      <c r="GD32" s="423">
        <f t="shared" ca="1" si="136"/>
        <v>0</v>
      </c>
      <c r="GE32" s="423">
        <f t="shared" ca="1" si="133"/>
        <v>0</v>
      </c>
      <c r="GF32" s="423">
        <f t="shared" ca="1" si="133"/>
        <v>0</v>
      </c>
      <c r="GG32" s="423">
        <f t="shared" ca="1" si="133"/>
        <v>0</v>
      </c>
      <c r="GH32" s="423">
        <f t="shared" ca="1" si="133"/>
        <v>0</v>
      </c>
      <c r="GI32" s="423">
        <f t="shared" ca="1" si="133"/>
        <v>0</v>
      </c>
      <c r="GJ32" s="423">
        <f t="shared" ca="1" si="133"/>
        <v>0</v>
      </c>
      <c r="GK32" s="423">
        <f t="shared" ca="1" si="133"/>
        <v>0</v>
      </c>
      <c r="GL32" s="423">
        <f t="shared" ca="1" si="133"/>
        <v>0</v>
      </c>
      <c r="GM32" s="423">
        <f t="shared" ca="1" si="133"/>
        <v>0</v>
      </c>
      <c r="GN32" s="423">
        <f t="shared" ca="1" si="133"/>
        <v>0</v>
      </c>
      <c r="GO32" s="423">
        <f t="shared" ca="1" si="133"/>
        <v>0</v>
      </c>
      <c r="GP32" s="423">
        <f t="shared" ca="1" si="133"/>
        <v>0</v>
      </c>
      <c r="GQ32" s="423">
        <f t="shared" ca="1" si="133"/>
        <v>0</v>
      </c>
      <c r="GR32" s="423">
        <f t="shared" ca="1" si="133"/>
        <v>0</v>
      </c>
      <c r="GS32" s="423">
        <f t="shared" ca="1" si="133"/>
        <v>0</v>
      </c>
      <c r="GT32" s="423">
        <f t="shared" ca="1" si="133"/>
        <v>0</v>
      </c>
      <c r="GU32" s="423">
        <f t="shared" ca="1" si="134"/>
        <v>0</v>
      </c>
      <c r="GV32" s="423">
        <f t="shared" ca="1" si="134"/>
        <v>0</v>
      </c>
      <c r="GW32" s="423">
        <f t="shared" ca="1" si="134"/>
        <v>0</v>
      </c>
      <c r="GX32" s="423">
        <f t="shared" ca="1" si="134"/>
        <v>0</v>
      </c>
      <c r="GY32" s="423">
        <f t="shared" ca="1" si="134"/>
        <v>0</v>
      </c>
      <c r="GZ32" s="423">
        <f t="shared" ca="1" si="134"/>
        <v>0</v>
      </c>
      <c r="HA32" s="423">
        <f t="shared" ca="1" si="134"/>
        <v>0</v>
      </c>
      <c r="HB32" s="423">
        <f t="shared" ca="1" si="134"/>
        <v>0</v>
      </c>
      <c r="HC32" s="423">
        <f t="shared" ca="1" si="134"/>
        <v>0</v>
      </c>
      <c r="HD32" s="423">
        <f t="shared" ca="1" si="134"/>
        <v>0</v>
      </c>
      <c r="HE32" s="423">
        <f t="shared" ca="1" si="134"/>
        <v>0</v>
      </c>
      <c r="HF32" s="423">
        <f t="shared" ca="1" si="134"/>
        <v>0</v>
      </c>
      <c r="HG32" s="423">
        <f t="shared" ca="1" si="134"/>
        <v>0</v>
      </c>
      <c r="HH32" s="423">
        <f t="shared" ca="1" si="134"/>
        <v>0</v>
      </c>
      <c r="HI32" s="423">
        <f t="shared" ca="1" si="134"/>
        <v>0</v>
      </c>
      <c r="HJ32" s="423">
        <f t="shared" ca="1" si="134"/>
        <v>0</v>
      </c>
      <c r="HK32" s="423">
        <f t="shared" ca="1" si="135"/>
        <v>0</v>
      </c>
      <c r="HL32" s="423">
        <f t="shared" ca="1" si="135"/>
        <v>0</v>
      </c>
      <c r="HM32" s="423">
        <f t="shared" ca="1" si="135"/>
        <v>0</v>
      </c>
      <c r="HN32" s="423">
        <f t="shared" ca="1" si="135"/>
        <v>0</v>
      </c>
      <c r="HO32" s="423">
        <f t="shared" ca="1" si="135"/>
        <v>0</v>
      </c>
      <c r="HP32" s="423">
        <f t="shared" ca="1" si="135"/>
        <v>0</v>
      </c>
      <c r="HQ32" s="423">
        <f t="shared" ca="1" si="135"/>
        <v>0</v>
      </c>
      <c r="HR32" s="423">
        <f t="shared" ca="1" si="135"/>
        <v>0</v>
      </c>
      <c r="HS32" s="423">
        <f t="shared" ca="1" si="135"/>
        <v>0</v>
      </c>
      <c r="HT32" s="423">
        <f t="shared" ca="1" si="135"/>
        <v>0</v>
      </c>
    </row>
    <row r="33" spans="1:230" ht="11.25" customHeight="1" x14ac:dyDescent="0.2">
      <c r="A33" s="62">
        <f t="shared" si="128"/>
        <v>22</v>
      </c>
      <c r="B33" s="60" t="str">
        <f>Spaces_Sum!C78</f>
        <v>L02-204_AstoRaccIncd</v>
      </c>
      <c r="C33" s="62" t="str">
        <f>Spaces_Sum!D78</f>
        <v>L02</v>
      </c>
      <c r="D33" s="62" t="str">
        <f ca="1">Spaces_Sum!I78</f>
        <v>IndirectlyConditioned</v>
      </c>
      <c r="F33" s="110">
        <f ca="1">Spaces_Sum!M78</f>
        <v>135.05760000000001</v>
      </c>
      <c r="G33" s="110" t="str">
        <f ca="1">Spaces_Sum!J78</f>
        <v>Storage Room - &lt;50 ft2</v>
      </c>
      <c r="H33" s="532"/>
      <c r="I33" s="185"/>
      <c r="J33" s="185"/>
      <c r="K33" s="186"/>
      <c r="L33" s="187"/>
      <c r="M33" s="188"/>
      <c r="N33" s="189"/>
      <c r="O33" s="186"/>
      <c r="P33" s="187"/>
      <c r="Q33" s="188"/>
      <c r="R33" s="189"/>
      <c r="S33" s="186"/>
      <c r="T33" s="187"/>
      <c r="U33" s="188"/>
      <c r="V33" s="189"/>
      <c r="W33" s="186"/>
      <c r="X33" s="187"/>
      <c r="Y33" s="188"/>
      <c r="Z33" s="189"/>
      <c r="AA33" s="186"/>
      <c r="AB33" s="187"/>
      <c r="AC33" s="188"/>
      <c r="AD33" s="189"/>
      <c r="AE33" s="186"/>
      <c r="AF33" s="187"/>
      <c r="AG33" s="188"/>
      <c r="AH33" s="189"/>
      <c r="AI33" s="186"/>
      <c r="AJ33" s="187"/>
      <c r="AK33" s="188"/>
      <c r="AL33" s="189"/>
      <c r="AM33" s="186"/>
      <c r="AN33" s="187"/>
      <c r="AO33" s="188"/>
      <c r="AP33" s="189"/>
      <c r="AQ33" s="186"/>
      <c r="AR33" s="187"/>
      <c r="AS33" s="188"/>
      <c r="AT33" s="189"/>
      <c r="AU33" s="186"/>
      <c r="AV33" s="187"/>
      <c r="AW33" s="188"/>
      <c r="AX33" s="189"/>
      <c r="AY33" s="186"/>
      <c r="AZ33" s="187"/>
      <c r="BA33" s="188"/>
      <c r="BB33" s="189"/>
      <c r="BC33" s="186"/>
      <c r="BD33" s="187"/>
      <c r="BE33" s="188"/>
      <c r="BF33" s="189"/>
      <c r="BG33" s="186"/>
      <c r="BH33" s="187"/>
      <c r="BI33" s="188"/>
      <c r="BJ33" s="189"/>
      <c r="BK33" s="186"/>
      <c r="BL33" s="187"/>
      <c r="BM33" s="188"/>
      <c r="BN33" s="189"/>
      <c r="BO33" s="186"/>
      <c r="BP33" s="187"/>
      <c r="BQ33" s="188"/>
      <c r="BR33" s="189"/>
      <c r="BS33" s="186"/>
      <c r="BT33" s="187"/>
      <c r="BU33" s="188"/>
      <c r="BV33" s="189"/>
      <c r="BW33" s="186"/>
      <c r="BX33" s="187"/>
      <c r="BY33" s="188"/>
      <c r="BZ33" s="189"/>
      <c r="CA33" s="186"/>
      <c r="CB33" s="190"/>
      <c r="CC33" s="190"/>
      <c r="CD33" s="82">
        <f t="shared" si="39"/>
        <v>0</v>
      </c>
      <c r="CE33" s="82">
        <f t="shared" si="40"/>
        <v>0</v>
      </c>
      <c r="CF33" s="82">
        <f t="shared" si="41"/>
        <v>0</v>
      </c>
      <c r="CG33" s="82">
        <f t="shared" si="42"/>
        <v>0</v>
      </c>
      <c r="CH33" s="82">
        <f t="shared" si="43"/>
        <v>0</v>
      </c>
      <c r="CI33" s="82">
        <f t="shared" si="44"/>
        <v>0</v>
      </c>
      <c r="CJ33" s="82">
        <f t="shared" si="45"/>
        <v>0</v>
      </c>
      <c r="CK33" s="82">
        <f t="shared" si="46"/>
        <v>0</v>
      </c>
      <c r="CL33" s="82">
        <f t="shared" si="47"/>
        <v>0</v>
      </c>
      <c r="CM33" s="82">
        <f t="shared" si="48"/>
        <v>0</v>
      </c>
      <c r="CN33" s="82">
        <f t="shared" si="49"/>
        <v>0</v>
      </c>
      <c r="CO33" s="82">
        <f t="shared" si="50"/>
        <v>0</v>
      </c>
      <c r="CP33" s="82">
        <f t="shared" si="51"/>
        <v>0</v>
      </c>
      <c r="CQ33" s="82">
        <f t="shared" si="52"/>
        <v>0</v>
      </c>
      <c r="CR33" s="82">
        <f t="shared" si="53"/>
        <v>0</v>
      </c>
      <c r="CS33" s="82">
        <f t="shared" si="54"/>
        <v>0</v>
      </c>
      <c r="CT33" s="82">
        <f t="shared" si="55"/>
        <v>0</v>
      </c>
      <c r="CU33" s="82">
        <f t="shared" si="56"/>
        <v>0</v>
      </c>
      <c r="CV33" s="82">
        <f t="shared" si="57"/>
        <v>0</v>
      </c>
      <c r="CW33" s="82">
        <f t="shared" si="58"/>
        <v>0</v>
      </c>
      <c r="CX33" s="82">
        <f t="shared" si="59"/>
        <v>0</v>
      </c>
      <c r="CY33" s="82">
        <f t="shared" si="60"/>
        <v>0</v>
      </c>
      <c r="CZ33" s="82">
        <f t="shared" si="61"/>
        <v>0</v>
      </c>
      <c r="DA33" s="82">
        <f t="shared" si="62"/>
        <v>0</v>
      </c>
      <c r="DB33" s="82">
        <f t="shared" si="63"/>
        <v>0</v>
      </c>
      <c r="DC33" s="82">
        <f t="shared" si="64"/>
        <v>0</v>
      </c>
      <c r="DD33" s="82">
        <f t="shared" si="65"/>
        <v>0</v>
      </c>
      <c r="DE33" s="82">
        <f t="shared" si="66"/>
        <v>0</v>
      </c>
      <c r="DF33" s="82">
        <f t="shared" si="67"/>
        <v>0</v>
      </c>
      <c r="DG33" s="82">
        <f t="shared" si="68"/>
        <v>0</v>
      </c>
      <c r="DH33" s="82">
        <f t="shared" si="69"/>
        <v>0</v>
      </c>
      <c r="DI33" s="82">
        <f t="shared" si="70"/>
        <v>0</v>
      </c>
      <c r="DJ33" s="82">
        <f t="shared" si="71"/>
        <v>0</v>
      </c>
      <c r="DK33" s="82">
        <f t="shared" si="72"/>
        <v>0</v>
      </c>
      <c r="DL33" s="82">
        <f t="shared" si="73"/>
        <v>0</v>
      </c>
      <c r="DM33" s="82">
        <f t="shared" si="74"/>
        <v>0</v>
      </c>
      <c r="DN33" s="82">
        <f t="shared" si="75"/>
        <v>0</v>
      </c>
      <c r="DO33" s="82">
        <f t="shared" si="76"/>
        <v>0</v>
      </c>
      <c r="DP33" s="82">
        <f t="shared" si="77"/>
        <v>0</v>
      </c>
      <c r="DQ33" s="82">
        <f t="shared" si="78"/>
        <v>0</v>
      </c>
      <c r="DR33" s="82">
        <f t="shared" si="79"/>
        <v>0</v>
      </c>
      <c r="DS33" s="82">
        <f t="shared" si="80"/>
        <v>0</v>
      </c>
      <c r="DT33" s="82">
        <f t="shared" si="81"/>
        <v>0</v>
      </c>
      <c r="DU33" s="82">
        <f t="shared" si="82"/>
        <v>0</v>
      </c>
      <c r="DV33" s="82">
        <f t="shared" si="83"/>
        <v>0</v>
      </c>
      <c r="DW33" s="82">
        <f t="shared" si="84"/>
        <v>0</v>
      </c>
      <c r="DX33" s="82">
        <f t="shared" si="85"/>
        <v>0</v>
      </c>
      <c r="DY33" s="82">
        <f t="shared" si="86"/>
        <v>0</v>
      </c>
      <c r="DZ33" s="82">
        <f t="shared" si="87"/>
        <v>0</v>
      </c>
      <c r="EA33" s="82">
        <f t="shared" si="88"/>
        <v>0</v>
      </c>
      <c r="EB33" s="82">
        <f t="shared" si="89"/>
        <v>0</v>
      </c>
      <c r="EC33" s="82">
        <f t="shared" si="90"/>
        <v>0</v>
      </c>
      <c r="ED33" s="82">
        <f t="shared" si="91"/>
        <v>0</v>
      </c>
      <c r="EE33" s="82">
        <f t="shared" si="92"/>
        <v>0</v>
      </c>
      <c r="EF33" s="82">
        <f t="shared" si="93"/>
        <v>0</v>
      </c>
      <c r="EG33" s="82">
        <f t="shared" si="94"/>
        <v>0</v>
      </c>
      <c r="EH33" s="82">
        <f t="shared" si="95"/>
        <v>0</v>
      </c>
      <c r="EI33" s="82">
        <f t="shared" si="96"/>
        <v>0</v>
      </c>
      <c r="EJ33" s="82">
        <f t="shared" si="97"/>
        <v>0</v>
      </c>
      <c r="EK33" s="82">
        <f t="shared" si="98"/>
        <v>0</v>
      </c>
      <c r="EL33" s="82">
        <f t="shared" si="99"/>
        <v>0</v>
      </c>
      <c r="EM33" s="82">
        <f t="shared" si="100"/>
        <v>0</v>
      </c>
      <c r="EN33" s="82">
        <f t="shared" si="101"/>
        <v>0</v>
      </c>
      <c r="EO33" s="82">
        <f t="shared" si="102"/>
        <v>0</v>
      </c>
      <c r="EP33" s="82">
        <f t="shared" si="103"/>
        <v>0</v>
      </c>
      <c r="EQ33" s="82">
        <f t="shared" si="104"/>
        <v>0</v>
      </c>
      <c r="ER33" s="82">
        <f t="shared" si="105"/>
        <v>0</v>
      </c>
      <c r="ES33" s="82">
        <f t="shared" si="106"/>
        <v>0</v>
      </c>
      <c r="ET33" s="82">
        <f t="shared" si="107"/>
        <v>0</v>
      </c>
      <c r="EU33" s="82">
        <f t="shared" si="108"/>
        <v>0</v>
      </c>
      <c r="EV33" s="82">
        <f t="shared" si="109"/>
        <v>0</v>
      </c>
      <c r="EW33" s="82">
        <f t="shared" si="110"/>
        <v>0</v>
      </c>
      <c r="EX33" s="82">
        <f>IF(ISTEXT(CB33),(IF(ISERROR(VLOOKUP(CB33,Ltg_IFixtureSch_PROP,2,FALSE)),0.000001,VLOOKUP(CB33,Ltg_IFixtureSch_PROP,2,FALSE)*CC33)),0)</f>
        <v>0</v>
      </c>
      <c r="EY33" s="111">
        <f t="shared" si="112"/>
        <v>0</v>
      </c>
      <c r="EZ33" s="143">
        <f t="shared" ca="1" si="113"/>
        <v>0</v>
      </c>
      <c r="FA33" s="112">
        <f t="shared" ca="1" si="114"/>
        <v>0</v>
      </c>
      <c r="FB33" s="113">
        <f t="shared" ca="1" si="115"/>
        <v>0</v>
      </c>
      <c r="FC33" s="114">
        <f t="shared" ca="1" si="116"/>
        <v>0</v>
      </c>
      <c r="FD33" s="115">
        <f t="shared" ca="1" si="117"/>
        <v>0</v>
      </c>
      <c r="FE33" s="116">
        <f t="shared" ca="1" si="118"/>
        <v>0</v>
      </c>
      <c r="FF33" s="117">
        <f t="shared" ca="1" si="119"/>
        <v>0</v>
      </c>
      <c r="FG33" s="71">
        <f t="shared" si="120"/>
        <v>0</v>
      </c>
      <c r="FH33" s="530">
        <f t="shared" ca="1" si="121"/>
        <v>0</v>
      </c>
      <c r="FI33" s="72"/>
      <c r="FJ33" s="72"/>
      <c r="FK33" s="72"/>
      <c r="FM33" s="421" t="str">
        <f t="shared" si="122"/>
        <v>L02-204_AstoRaccIncd</v>
      </c>
      <c r="FN33" s="422" t="str">
        <f t="shared" ca="1" si="123"/>
        <v>Storage Room - &lt;50 ft2</v>
      </c>
      <c r="FO33" s="423">
        <f t="shared" ca="1" si="136"/>
        <v>0</v>
      </c>
      <c r="FP33" s="423">
        <f t="shared" ca="1" si="136"/>
        <v>0</v>
      </c>
      <c r="FQ33" s="423">
        <f t="shared" ca="1" si="136"/>
        <v>0</v>
      </c>
      <c r="FR33" s="423">
        <f t="shared" ca="1" si="136"/>
        <v>0</v>
      </c>
      <c r="FS33" s="423">
        <f t="shared" ca="1" si="136"/>
        <v>0</v>
      </c>
      <c r="FT33" s="423">
        <f t="shared" ca="1" si="136"/>
        <v>0</v>
      </c>
      <c r="FU33" s="423">
        <f t="shared" ca="1" si="136"/>
        <v>0</v>
      </c>
      <c r="FV33" s="423">
        <f t="shared" ca="1" si="136"/>
        <v>0</v>
      </c>
      <c r="FW33" s="423">
        <f t="shared" ca="1" si="136"/>
        <v>0</v>
      </c>
      <c r="FX33" s="423">
        <f t="shared" ca="1" si="136"/>
        <v>0</v>
      </c>
      <c r="FY33" s="423">
        <f t="shared" ca="1" si="136"/>
        <v>0</v>
      </c>
      <c r="FZ33" s="423">
        <f t="shared" ca="1" si="136"/>
        <v>0</v>
      </c>
      <c r="GA33" s="423">
        <f t="shared" ca="1" si="136"/>
        <v>0</v>
      </c>
      <c r="GB33" s="423">
        <f t="shared" ca="1" si="136"/>
        <v>0</v>
      </c>
      <c r="GC33" s="423">
        <f t="shared" ca="1" si="136"/>
        <v>0</v>
      </c>
      <c r="GD33" s="423">
        <f t="shared" ca="1" si="136"/>
        <v>0</v>
      </c>
      <c r="GE33" s="423">
        <f t="shared" ca="1" si="133"/>
        <v>0</v>
      </c>
      <c r="GF33" s="423">
        <f t="shared" ca="1" si="133"/>
        <v>0</v>
      </c>
      <c r="GG33" s="423">
        <f t="shared" ca="1" si="133"/>
        <v>0</v>
      </c>
      <c r="GH33" s="423">
        <f t="shared" ca="1" si="133"/>
        <v>0</v>
      </c>
      <c r="GI33" s="423">
        <f t="shared" ca="1" si="133"/>
        <v>0</v>
      </c>
      <c r="GJ33" s="423">
        <f t="shared" ca="1" si="133"/>
        <v>0</v>
      </c>
      <c r="GK33" s="423">
        <f t="shared" ca="1" si="133"/>
        <v>0</v>
      </c>
      <c r="GL33" s="423">
        <f t="shared" ca="1" si="133"/>
        <v>0</v>
      </c>
      <c r="GM33" s="423">
        <f t="shared" ca="1" si="133"/>
        <v>0</v>
      </c>
      <c r="GN33" s="423">
        <f t="shared" ca="1" si="133"/>
        <v>0</v>
      </c>
      <c r="GO33" s="423">
        <f t="shared" ca="1" si="133"/>
        <v>0</v>
      </c>
      <c r="GP33" s="423">
        <f t="shared" ca="1" si="133"/>
        <v>0</v>
      </c>
      <c r="GQ33" s="423">
        <f t="shared" ca="1" si="133"/>
        <v>0</v>
      </c>
      <c r="GR33" s="423">
        <f t="shared" ca="1" si="133"/>
        <v>0</v>
      </c>
      <c r="GS33" s="423">
        <f t="shared" ca="1" si="133"/>
        <v>0</v>
      </c>
      <c r="GT33" s="423">
        <f t="shared" ca="1" si="133"/>
        <v>0</v>
      </c>
      <c r="GU33" s="423">
        <f t="shared" ca="1" si="134"/>
        <v>0</v>
      </c>
      <c r="GV33" s="423">
        <f t="shared" ca="1" si="134"/>
        <v>0</v>
      </c>
      <c r="GW33" s="423">
        <f t="shared" ca="1" si="134"/>
        <v>0</v>
      </c>
      <c r="GX33" s="423">
        <f t="shared" ca="1" si="134"/>
        <v>0</v>
      </c>
      <c r="GY33" s="423">
        <f t="shared" ca="1" si="134"/>
        <v>0</v>
      </c>
      <c r="GZ33" s="423">
        <f t="shared" ca="1" si="134"/>
        <v>0</v>
      </c>
      <c r="HA33" s="423">
        <f t="shared" ca="1" si="134"/>
        <v>0</v>
      </c>
      <c r="HB33" s="423">
        <f t="shared" ca="1" si="134"/>
        <v>0</v>
      </c>
      <c r="HC33" s="423">
        <f t="shared" ca="1" si="134"/>
        <v>0</v>
      </c>
      <c r="HD33" s="423">
        <f t="shared" ca="1" si="134"/>
        <v>0</v>
      </c>
      <c r="HE33" s="423">
        <f t="shared" ca="1" si="134"/>
        <v>0</v>
      </c>
      <c r="HF33" s="423">
        <f t="shared" ca="1" si="134"/>
        <v>0</v>
      </c>
      <c r="HG33" s="423">
        <f t="shared" ca="1" si="134"/>
        <v>0</v>
      </c>
      <c r="HH33" s="423">
        <f t="shared" ca="1" si="134"/>
        <v>0</v>
      </c>
      <c r="HI33" s="423">
        <f t="shared" ca="1" si="134"/>
        <v>0</v>
      </c>
      <c r="HJ33" s="423">
        <f t="shared" ca="1" si="134"/>
        <v>0</v>
      </c>
      <c r="HK33" s="423">
        <f t="shared" ca="1" si="135"/>
        <v>0</v>
      </c>
      <c r="HL33" s="423">
        <f t="shared" ca="1" si="135"/>
        <v>0</v>
      </c>
      <c r="HM33" s="423">
        <f t="shared" ca="1" si="135"/>
        <v>0</v>
      </c>
      <c r="HN33" s="423">
        <f t="shared" ca="1" si="135"/>
        <v>0</v>
      </c>
      <c r="HO33" s="423">
        <f t="shared" ca="1" si="135"/>
        <v>0</v>
      </c>
      <c r="HP33" s="423">
        <f t="shared" ca="1" si="135"/>
        <v>0</v>
      </c>
      <c r="HQ33" s="423">
        <f t="shared" ca="1" si="135"/>
        <v>0</v>
      </c>
      <c r="HR33" s="423">
        <f t="shared" ca="1" si="135"/>
        <v>0</v>
      </c>
      <c r="HS33" s="423">
        <f t="shared" ca="1" si="135"/>
        <v>0</v>
      </c>
      <c r="HT33" s="423">
        <f t="shared" ca="1" si="135"/>
        <v>0</v>
      </c>
    </row>
    <row r="34" spans="1:230" ht="11.25" customHeight="1" x14ac:dyDescent="0.2">
      <c r="A34" s="62">
        <f t="shared" si="128"/>
        <v>23</v>
      </c>
      <c r="B34" s="60" t="str">
        <f>Spaces_Sum!C79</f>
        <v>L02-205_MfamResiPthp</v>
      </c>
      <c r="C34" s="62" t="str">
        <f>Spaces_Sum!D79</f>
        <v>L02</v>
      </c>
      <c r="D34" s="62" t="str">
        <f ca="1">Spaces_Sum!I79</f>
        <v>DirectlyConditioned</v>
      </c>
      <c r="F34" s="110">
        <f ca="1">Spaces_Sum!M79</f>
        <v>3678.0304999999998</v>
      </c>
      <c r="G34" s="110" t="str">
        <f ca="1">Spaces_Sum!J79</f>
        <v>Dwelling Unit</v>
      </c>
      <c r="H34" s="532"/>
      <c r="I34" s="185"/>
      <c r="J34" s="618"/>
      <c r="K34" s="186"/>
      <c r="L34" s="187"/>
      <c r="M34" s="188"/>
      <c r="N34" s="189"/>
      <c r="O34" s="186"/>
      <c r="P34" s="187"/>
      <c r="Q34" s="188"/>
      <c r="R34" s="189"/>
      <c r="S34" s="186"/>
      <c r="T34" s="187"/>
      <c r="U34" s="188"/>
      <c r="V34" s="189"/>
      <c r="W34" s="186"/>
      <c r="X34" s="187"/>
      <c r="Y34" s="188"/>
      <c r="Z34" s="189"/>
      <c r="AA34" s="186"/>
      <c r="AB34" s="187"/>
      <c r="AC34" s="188"/>
      <c r="AD34" s="189"/>
      <c r="AE34" s="186"/>
      <c r="AF34" s="187"/>
      <c r="AG34" s="188"/>
      <c r="AH34" s="189"/>
      <c r="AI34" s="186"/>
      <c r="AJ34" s="187"/>
      <c r="AK34" s="188"/>
      <c r="AL34" s="189"/>
      <c r="AM34" s="186"/>
      <c r="AN34" s="187"/>
      <c r="AO34" s="188"/>
      <c r="AP34" s="189"/>
      <c r="AQ34" s="186"/>
      <c r="AR34" s="187"/>
      <c r="AS34" s="188"/>
      <c r="AT34" s="189"/>
      <c r="AU34" s="186"/>
      <c r="AV34" s="187"/>
      <c r="AW34" s="188"/>
      <c r="AX34" s="189"/>
      <c r="AY34" s="186"/>
      <c r="AZ34" s="187"/>
      <c r="BA34" s="188"/>
      <c r="BB34" s="189"/>
      <c r="BC34" s="186"/>
      <c r="BD34" s="187"/>
      <c r="BE34" s="188"/>
      <c r="BF34" s="189"/>
      <c r="BG34" s="186"/>
      <c r="BH34" s="187"/>
      <c r="BI34" s="188"/>
      <c r="BJ34" s="189"/>
      <c r="BK34" s="186"/>
      <c r="BL34" s="187"/>
      <c r="BM34" s="188"/>
      <c r="BN34" s="189"/>
      <c r="BO34" s="186"/>
      <c r="BP34" s="187"/>
      <c r="BQ34" s="188"/>
      <c r="BR34" s="189"/>
      <c r="BS34" s="186"/>
      <c r="BT34" s="187"/>
      <c r="BU34" s="188"/>
      <c r="BV34" s="189"/>
      <c r="BW34" s="186"/>
      <c r="BX34" s="187"/>
      <c r="BY34" s="188"/>
      <c r="BZ34" s="189"/>
      <c r="CA34" s="186"/>
      <c r="CB34" s="190"/>
      <c r="CC34" s="190"/>
      <c r="CD34" s="82">
        <f t="shared" si="39"/>
        <v>0</v>
      </c>
      <c r="CE34" s="82">
        <f t="shared" si="40"/>
        <v>0</v>
      </c>
      <c r="CF34" s="82">
        <f t="shared" si="41"/>
        <v>0</v>
      </c>
      <c r="CG34" s="82">
        <f t="shared" si="42"/>
        <v>0</v>
      </c>
      <c r="CH34" s="82">
        <f t="shared" si="43"/>
        <v>0</v>
      </c>
      <c r="CI34" s="82">
        <f t="shared" si="44"/>
        <v>0</v>
      </c>
      <c r="CJ34" s="82">
        <f t="shared" si="45"/>
        <v>0</v>
      </c>
      <c r="CK34" s="82">
        <f t="shared" si="46"/>
        <v>0</v>
      </c>
      <c r="CL34" s="82">
        <f t="shared" si="47"/>
        <v>0</v>
      </c>
      <c r="CM34" s="82">
        <f t="shared" si="48"/>
        <v>0</v>
      </c>
      <c r="CN34" s="82">
        <f t="shared" si="49"/>
        <v>0</v>
      </c>
      <c r="CO34" s="82">
        <f t="shared" si="50"/>
        <v>0</v>
      </c>
      <c r="CP34" s="82">
        <f t="shared" si="51"/>
        <v>0</v>
      </c>
      <c r="CQ34" s="82">
        <f t="shared" si="52"/>
        <v>0</v>
      </c>
      <c r="CR34" s="82">
        <f t="shared" si="53"/>
        <v>0</v>
      </c>
      <c r="CS34" s="82">
        <f t="shared" si="54"/>
        <v>0</v>
      </c>
      <c r="CT34" s="82">
        <f t="shared" si="55"/>
        <v>0</v>
      </c>
      <c r="CU34" s="82">
        <f t="shared" si="56"/>
        <v>0</v>
      </c>
      <c r="CV34" s="82">
        <f t="shared" si="57"/>
        <v>0</v>
      </c>
      <c r="CW34" s="82">
        <f t="shared" si="58"/>
        <v>0</v>
      </c>
      <c r="CX34" s="82">
        <f t="shared" si="59"/>
        <v>0</v>
      </c>
      <c r="CY34" s="82">
        <f t="shared" si="60"/>
        <v>0</v>
      </c>
      <c r="CZ34" s="82">
        <f t="shared" si="61"/>
        <v>0</v>
      </c>
      <c r="DA34" s="82">
        <f t="shared" si="62"/>
        <v>0</v>
      </c>
      <c r="DB34" s="82">
        <f t="shared" si="63"/>
        <v>0</v>
      </c>
      <c r="DC34" s="82">
        <f t="shared" si="64"/>
        <v>0</v>
      </c>
      <c r="DD34" s="82">
        <f t="shared" si="65"/>
        <v>0</v>
      </c>
      <c r="DE34" s="82">
        <f t="shared" si="66"/>
        <v>0</v>
      </c>
      <c r="DF34" s="82">
        <f t="shared" si="67"/>
        <v>0</v>
      </c>
      <c r="DG34" s="82">
        <f t="shared" si="68"/>
        <v>0</v>
      </c>
      <c r="DH34" s="82">
        <f t="shared" si="69"/>
        <v>0</v>
      </c>
      <c r="DI34" s="82">
        <f t="shared" si="70"/>
        <v>0</v>
      </c>
      <c r="DJ34" s="82">
        <f t="shared" si="71"/>
        <v>0</v>
      </c>
      <c r="DK34" s="82">
        <f t="shared" si="72"/>
        <v>0</v>
      </c>
      <c r="DL34" s="82">
        <f t="shared" si="73"/>
        <v>0</v>
      </c>
      <c r="DM34" s="82">
        <f t="shared" si="74"/>
        <v>0</v>
      </c>
      <c r="DN34" s="82">
        <f t="shared" si="75"/>
        <v>0</v>
      </c>
      <c r="DO34" s="82">
        <f t="shared" si="76"/>
        <v>0</v>
      </c>
      <c r="DP34" s="82">
        <f t="shared" si="77"/>
        <v>0</v>
      </c>
      <c r="DQ34" s="82">
        <f t="shared" si="78"/>
        <v>0</v>
      </c>
      <c r="DR34" s="82">
        <f t="shared" si="79"/>
        <v>0</v>
      </c>
      <c r="DS34" s="82">
        <f t="shared" si="80"/>
        <v>0</v>
      </c>
      <c r="DT34" s="82">
        <f t="shared" si="81"/>
        <v>0</v>
      </c>
      <c r="DU34" s="82">
        <f t="shared" si="82"/>
        <v>0</v>
      </c>
      <c r="DV34" s="82">
        <f t="shared" si="83"/>
        <v>0</v>
      </c>
      <c r="DW34" s="82">
        <f t="shared" si="84"/>
        <v>0</v>
      </c>
      <c r="DX34" s="82">
        <f t="shared" si="85"/>
        <v>0</v>
      </c>
      <c r="DY34" s="82">
        <f t="shared" si="86"/>
        <v>0</v>
      </c>
      <c r="DZ34" s="82">
        <f t="shared" si="87"/>
        <v>0</v>
      </c>
      <c r="EA34" s="82">
        <f t="shared" si="88"/>
        <v>0</v>
      </c>
      <c r="EB34" s="82">
        <f t="shared" si="89"/>
        <v>0</v>
      </c>
      <c r="EC34" s="82">
        <f t="shared" si="90"/>
        <v>0</v>
      </c>
      <c r="ED34" s="82">
        <f t="shared" si="91"/>
        <v>0</v>
      </c>
      <c r="EE34" s="82">
        <f t="shared" si="92"/>
        <v>0</v>
      </c>
      <c r="EF34" s="82">
        <f t="shared" si="93"/>
        <v>0</v>
      </c>
      <c r="EG34" s="82">
        <f t="shared" si="94"/>
        <v>0</v>
      </c>
      <c r="EH34" s="82">
        <f t="shared" si="95"/>
        <v>0</v>
      </c>
      <c r="EI34" s="82">
        <f t="shared" si="96"/>
        <v>0</v>
      </c>
      <c r="EJ34" s="82">
        <f t="shared" si="97"/>
        <v>0</v>
      </c>
      <c r="EK34" s="82">
        <f t="shared" si="98"/>
        <v>0</v>
      </c>
      <c r="EL34" s="82">
        <f t="shared" si="99"/>
        <v>0</v>
      </c>
      <c r="EM34" s="82">
        <f t="shared" si="100"/>
        <v>0</v>
      </c>
      <c r="EN34" s="82">
        <f t="shared" si="101"/>
        <v>0</v>
      </c>
      <c r="EO34" s="82">
        <f t="shared" si="102"/>
        <v>0</v>
      </c>
      <c r="EP34" s="82">
        <f t="shared" si="103"/>
        <v>0</v>
      </c>
      <c r="EQ34" s="82">
        <f t="shared" si="104"/>
        <v>0</v>
      </c>
      <c r="ER34" s="82">
        <f t="shared" si="105"/>
        <v>0</v>
      </c>
      <c r="ES34" s="82">
        <f t="shared" si="106"/>
        <v>0</v>
      </c>
      <c r="ET34" s="82">
        <f t="shared" si="107"/>
        <v>0</v>
      </c>
      <c r="EU34" s="82">
        <f t="shared" si="108"/>
        <v>0</v>
      </c>
      <c r="EV34" s="82">
        <f t="shared" si="109"/>
        <v>0</v>
      </c>
      <c r="EW34" s="82">
        <f t="shared" si="110"/>
        <v>0</v>
      </c>
      <c r="EX34" s="82">
        <f t="shared" si="111"/>
        <v>0</v>
      </c>
      <c r="EY34" s="111">
        <f t="shared" si="112"/>
        <v>0</v>
      </c>
      <c r="EZ34" s="143">
        <f t="shared" ca="1" si="113"/>
        <v>0</v>
      </c>
      <c r="FA34" s="112">
        <f t="shared" ca="1" si="114"/>
        <v>0</v>
      </c>
      <c r="FB34" s="113">
        <f t="shared" ca="1" si="115"/>
        <v>0</v>
      </c>
      <c r="FC34" s="114">
        <f t="shared" ca="1" si="116"/>
        <v>0</v>
      </c>
      <c r="FD34" s="115">
        <f t="shared" ca="1" si="117"/>
        <v>0</v>
      </c>
      <c r="FE34" s="116">
        <f t="shared" ca="1" si="118"/>
        <v>0</v>
      </c>
      <c r="FF34" s="117">
        <f t="shared" ca="1" si="119"/>
        <v>0</v>
      </c>
      <c r="FG34" s="71">
        <f t="shared" si="120"/>
        <v>0</v>
      </c>
      <c r="FH34" s="530">
        <f t="shared" ca="1" si="121"/>
        <v>0</v>
      </c>
      <c r="FI34" s="72">
        <f ca="1">0.9*FB34</f>
        <v>0</v>
      </c>
      <c r="FJ34" s="72">
        <f t="shared" ref="FJ34" ca="1" si="137">FA34</f>
        <v>0</v>
      </c>
      <c r="FK34" s="72">
        <f t="shared" ref="FK34" ca="1" si="138">SUM(FI34:FJ34)</f>
        <v>0</v>
      </c>
      <c r="FM34" s="421" t="str">
        <f t="shared" si="122"/>
        <v>L02-205_MfamResiPthp</v>
      </c>
      <c r="FN34" s="422" t="str">
        <f t="shared" ca="1" si="123"/>
        <v>Dwelling Unit</v>
      </c>
      <c r="FO34" s="423">
        <f t="shared" ca="1" si="136"/>
        <v>0</v>
      </c>
      <c r="FP34" s="423">
        <f t="shared" ca="1" si="136"/>
        <v>0</v>
      </c>
      <c r="FQ34" s="423">
        <f t="shared" ca="1" si="136"/>
        <v>0</v>
      </c>
      <c r="FR34" s="423">
        <f t="shared" ca="1" si="136"/>
        <v>0</v>
      </c>
      <c r="FS34" s="423">
        <f t="shared" ca="1" si="136"/>
        <v>0</v>
      </c>
      <c r="FT34" s="423">
        <f t="shared" ca="1" si="136"/>
        <v>0</v>
      </c>
      <c r="FU34" s="423">
        <f t="shared" ca="1" si="136"/>
        <v>0</v>
      </c>
      <c r="FV34" s="423">
        <f t="shared" ca="1" si="136"/>
        <v>0</v>
      </c>
      <c r="FW34" s="423">
        <f t="shared" ca="1" si="136"/>
        <v>0</v>
      </c>
      <c r="FX34" s="423">
        <f t="shared" ca="1" si="136"/>
        <v>0</v>
      </c>
      <c r="FY34" s="423">
        <f t="shared" ca="1" si="136"/>
        <v>0</v>
      </c>
      <c r="FZ34" s="423">
        <f t="shared" ca="1" si="136"/>
        <v>0</v>
      </c>
      <c r="GA34" s="423">
        <f t="shared" ca="1" si="136"/>
        <v>0</v>
      </c>
      <c r="GB34" s="423">
        <f t="shared" ca="1" si="136"/>
        <v>0</v>
      </c>
      <c r="GC34" s="423">
        <f t="shared" ca="1" si="136"/>
        <v>0</v>
      </c>
      <c r="GD34" s="423">
        <f t="shared" ca="1" si="136"/>
        <v>0</v>
      </c>
      <c r="GE34" s="423">
        <f t="shared" ca="1" si="133"/>
        <v>0</v>
      </c>
      <c r="GF34" s="423">
        <f t="shared" ca="1" si="133"/>
        <v>0</v>
      </c>
      <c r="GG34" s="423">
        <f t="shared" ca="1" si="133"/>
        <v>0</v>
      </c>
      <c r="GH34" s="423">
        <f t="shared" ca="1" si="133"/>
        <v>0</v>
      </c>
      <c r="GI34" s="423">
        <f t="shared" ca="1" si="133"/>
        <v>0</v>
      </c>
      <c r="GJ34" s="423">
        <f t="shared" ca="1" si="133"/>
        <v>0</v>
      </c>
      <c r="GK34" s="423">
        <f t="shared" ca="1" si="133"/>
        <v>0</v>
      </c>
      <c r="GL34" s="423">
        <f t="shared" ca="1" si="133"/>
        <v>0</v>
      </c>
      <c r="GM34" s="423">
        <f t="shared" ca="1" si="133"/>
        <v>0</v>
      </c>
      <c r="GN34" s="423">
        <f t="shared" ca="1" si="133"/>
        <v>0</v>
      </c>
      <c r="GO34" s="423">
        <f t="shared" ca="1" si="133"/>
        <v>0</v>
      </c>
      <c r="GP34" s="423">
        <f t="shared" ca="1" si="133"/>
        <v>0</v>
      </c>
      <c r="GQ34" s="423">
        <f t="shared" ca="1" si="133"/>
        <v>0</v>
      </c>
      <c r="GR34" s="423">
        <f t="shared" ca="1" si="133"/>
        <v>0</v>
      </c>
      <c r="GS34" s="423">
        <f t="shared" ca="1" si="133"/>
        <v>0</v>
      </c>
      <c r="GT34" s="423">
        <f t="shared" ca="1" si="133"/>
        <v>0</v>
      </c>
      <c r="GU34" s="423">
        <f t="shared" ca="1" si="134"/>
        <v>0</v>
      </c>
      <c r="GV34" s="423">
        <f t="shared" ca="1" si="134"/>
        <v>0</v>
      </c>
      <c r="GW34" s="423">
        <f t="shared" ca="1" si="134"/>
        <v>0</v>
      </c>
      <c r="GX34" s="423">
        <f t="shared" ca="1" si="134"/>
        <v>0</v>
      </c>
      <c r="GY34" s="423">
        <f t="shared" ca="1" si="134"/>
        <v>0</v>
      </c>
      <c r="GZ34" s="423">
        <f t="shared" ca="1" si="134"/>
        <v>0</v>
      </c>
      <c r="HA34" s="423">
        <f t="shared" ca="1" si="134"/>
        <v>0</v>
      </c>
      <c r="HB34" s="423">
        <f t="shared" ca="1" si="134"/>
        <v>0</v>
      </c>
      <c r="HC34" s="423">
        <f t="shared" ca="1" si="134"/>
        <v>0</v>
      </c>
      <c r="HD34" s="423">
        <f t="shared" ca="1" si="134"/>
        <v>0</v>
      </c>
      <c r="HE34" s="423">
        <f t="shared" ca="1" si="134"/>
        <v>0</v>
      </c>
      <c r="HF34" s="423">
        <f t="shared" ca="1" si="134"/>
        <v>0</v>
      </c>
      <c r="HG34" s="423">
        <f t="shared" ca="1" si="134"/>
        <v>0</v>
      </c>
      <c r="HH34" s="423">
        <f t="shared" ca="1" si="134"/>
        <v>0</v>
      </c>
      <c r="HI34" s="423">
        <f t="shared" ca="1" si="134"/>
        <v>0</v>
      </c>
      <c r="HJ34" s="423">
        <f t="shared" ca="1" si="134"/>
        <v>0</v>
      </c>
      <c r="HK34" s="423">
        <f t="shared" ca="1" si="135"/>
        <v>0</v>
      </c>
      <c r="HL34" s="423">
        <f t="shared" ca="1" si="135"/>
        <v>0</v>
      </c>
      <c r="HM34" s="423">
        <f t="shared" ca="1" si="135"/>
        <v>0</v>
      </c>
      <c r="HN34" s="423">
        <f t="shared" ca="1" si="135"/>
        <v>0</v>
      </c>
      <c r="HO34" s="423">
        <f t="shared" ca="1" si="135"/>
        <v>0</v>
      </c>
      <c r="HP34" s="423">
        <f t="shared" ca="1" si="135"/>
        <v>0</v>
      </c>
      <c r="HQ34" s="423">
        <f t="shared" ca="1" si="135"/>
        <v>0</v>
      </c>
      <c r="HR34" s="423">
        <f t="shared" ca="1" si="135"/>
        <v>0</v>
      </c>
      <c r="HS34" s="423">
        <f t="shared" ca="1" si="135"/>
        <v>0</v>
      </c>
      <c r="HT34" s="423">
        <f t="shared" ca="1" si="135"/>
        <v>0</v>
      </c>
    </row>
    <row r="35" spans="1:230" ht="11.25" customHeight="1" x14ac:dyDescent="0.2">
      <c r="A35" s="62">
        <f t="shared" si="128"/>
        <v>24</v>
      </c>
      <c r="B35" s="60" t="str">
        <f>Spaces_Sum!C80</f>
        <v>L02-206_MfamResiPthp</v>
      </c>
      <c r="C35" s="62" t="str">
        <f>Spaces_Sum!D80</f>
        <v>L02</v>
      </c>
      <c r="D35" s="62" t="str">
        <f ca="1">Spaces_Sum!I80</f>
        <v>DirectlyConditioned</v>
      </c>
      <c r="F35" s="110">
        <f ca="1">Spaces_Sum!M80</f>
        <v>1160.8827000000001</v>
      </c>
      <c r="G35" s="110" t="str">
        <f ca="1">Spaces_Sum!J80</f>
        <v>Dwelling Unit</v>
      </c>
      <c r="H35" s="532"/>
      <c r="I35" s="185"/>
      <c r="J35" s="618"/>
      <c r="K35" s="186"/>
      <c r="L35" s="187"/>
      <c r="M35" s="188"/>
      <c r="N35" s="189"/>
      <c r="O35" s="186"/>
      <c r="P35" s="187"/>
      <c r="Q35" s="188"/>
      <c r="R35" s="189"/>
      <c r="S35" s="186"/>
      <c r="T35" s="187"/>
      <c r="U35" s="188"/>
      <c r="V35" s="189"/>
      <c r="W35" s="186"/>
      <c r="X35" s="187"/>
      <c r="Y35" s="188"/>
      <c r="Z35" s="189"/>
      <c r="AA35" s="186"/>
      <c r="AB35" s="187"/>
      <c r="AC35" s="188"/>
      <c r="AD35" s="189"/>
      <c r="AE35" s="186"/>
      <c r="AF35" s="187"/>
      <c r="AG35" s="188"/>
      <c r="AH35" s="189"/>
      <c r="AI35" s="186"/>
      <c r="AJ35" s="187"/>
      <c r="AK35" s="188"/>
      <c r="AL35" s="189"/>
      <c r="AM35" s="186"/>
      <c r="AN35" s="187"/>
      <c r="AO35" s="188"/>
      <c r="AP35" s="189"/>
      <c r="AQ35" s="186"/>
      <c r="AR35" s="187"/>
      <c r="AS35" s="188"/>
      <c r="AT35" s="189"/>
      <c r="AU35" s="186"/>
      <c r="AV35" s="187"/>
      <c r="AW35" s="188"/>
      <c r="AX35" s="189"/>
      <c r="AY35" s="186"/>
      <c r="AZ35" s="187"/>
      <c r="BA35" s="188"/>
      <c r="BB35" s="189"/>
      <c r="BC35" s="186"/>
      <c r="BD35" s="187"/>
      <c r="BE35" s="188"/>
      <c r="BF35" s="189"/>
      <c r="BG35" s="186"/>
      <c r="BH35" s="187"/>
      <c r="BI35" s="188"/>
      <c r="BJ35" s="189"/>
      <c r="BK35" s="186"/>
      <c r="BL35" s="187"/>
      <c r="BM35" s="188"/>
      <c r="BN35" s="189"/>
      <c r="BO35" s="186"/>
      <c r="BP35" s="187"/>
      <c r="BQ35" s="188"/>
      <c r="BR35" s="189"/>
      <c r="BS35" s="186"/>
      <c r="BT35" s="187"/>
      <c r="BU35" s="188"/>
      <c r="BV35" s="189"/>
      <c r="BW35" s="186"/>
      <c r="BX35" s="187"/>
      <c r="BY35" s="188"/>
      <c r="BZ35" s="189"/>
      <c r="CA35" s="186"/>
      <c r="CB35" s="190"/>
      <c r="CC35" s="190"/>
      <c r="CD35" s="82">
        <f t="shared" si="39"/>
        <v>0</v>
      </c>
      <c r="CE35" s="82">
        <f t="shared" si="40"/>
        <v>0</v>
      </c>
      <c r="CF35" s="82">
        <f t="shared" si="41"/>
        <v>0</v>
      </c>
      <c r="CG35" s="82">
        <f t="shared" si="42"/>
        <v>0</v>
      </c>
      <c r="CH35" s="82">
        <f t="shared" si="43"/>
        <v>0</v>
      </c>
      <c r="CI35" s="82">
        <f t="shared" si="44"/>
        <v>0</v>
      </c>
      <c r="CJ35" s="82">
        <f t="shared" si="45"/>
        <v>0</v>
      </c>
      <c r="CK35" s="82">
        <f t="shared" si="46"/>
        <v>0</v>
      </c>
      <c r="CL35" s="82">
        <f t="shared" si="47"/>
        <v>0</v>
      </c>
      <c r="CM35" s="82">
        <f t="shared" si="48"/>
        <v>0</v>
      </c>
      <c r="CN35" s="82">
        <f t="shared" si="49"/>
        <v>0</v>
      </c>
      <c r="CO35" s="82">
        <f t="shared" si="50"/>
        <v>0</v>
      </c>
      <c r="CP35" s="82">
        <f t="shared" si="51"/>
        <v>0</v>
      </c>
      <c r="CQ35" s="82">
        <f t="shared" si="52"/>
        <v>0</v>
      </c>
      <c r="CR35" s="82">
        <f t="shared" si="53"/>
        <v>0</v>
      </c>
      <c r="CS35" s="82">
        <f t="shared" si="54"/>
        <v>0</v>
      </c>
      <c r="CT35" s="82">
        <f t="shared" si="55"/>
        <v>0</v>
      </c>
      <c r="CU35" s="82">
        <f t="shared" si="56"/>
        <v>0</v>
      </c>
      <c r="CV35" s="82">
        <f t="shared" si="57"/>
        <v>0</v>
      </c>
      <c r="CW35" s="82">
        <f t="shared" si="58"/>
        <v>0</v>
      </c>
      <c r="CX35" s="82">
        <f t="shared" si="59"/>
        <v>0</v>
      </c>
      <c r="CY35" s="82">
        <f t="shared" si="60"/>
        <v>0</v>
      </c>
      <c r="CZ35" s="82">
        <f t="shared" si="61"/>
        <v>0</v>
      </c>
      <c r="DA35" s="82">
        <f t="shared" si="62"/>
        <v>0</v>
      </c>
      <c r="DB35" s="82">
        <f t="shared" si="63"/>
        <v>0</v>
      </c>
      <c r="DC35" s="82">
        <f t="shared" si="64"/>
        <v>0</v>
      </c>
      <c r="DD35" s="82">
        <f t="shared" si="65"/>
        <v>0</v>
      </c>
      <c r="DE35" s="82">
        <f t="shared" si="66"/>
        <v>0</v>
      </c>
      <c r="DF35" s="82">
        <f t="shared" si="67"/>
        <v>0</v>
      </c>
      <c r="DG35" s="82">
        <f t="shared" si="68"/>
        <v>0</v>
      </c>
      <c r="DH35" s="82">
        <f t="shared" si="69"/>
        <v>0</v>
      </c>
      <c r="DI35" s="82">
        <f t="shared" si="70"/>
        <v>0</v>
      </c>
      <c r="DJ35" s="82">
        <f t="shared" si="71"/>
        <v>0</v>
      </c>
      <c r="DK35" s="82">
        <f t="shared" si="72"/>
        <v>0</v>
      </c>
      <c r="DL35" s="82">
        <f t="shared" si="73"/>
        <v>0</v>
      </c>
      <c r="DM35" s="82">
        <f t="shared" si="74"/>
        <v>0</v>
      </c>
      <c r="DN35" s="82">
        <f t="shared" si="75"/>
        <v>0</v>
      </c>
      <c r="DO35" s="82">
        <f t="shared" si="76"/>
        <v>0</v>
      </c>
      <c r="DP35" s="82">
        <f t="shared" si="77"/>
        <v>0</v>
      </c>
      <c r="DQ35" s="82">
        <f t="shared" si="78"/>
        <v>0</v>
      </c>
      <c r="DR35" s="82">
        <f t="shared" si="79"/>
        <v>0</v>
      </c>
      <c r="DS35" s="82">
        <f t="shared" si="80"/>
        <v>0</v>
      </c>
      <c r="DT35" s="82">
        <f t="shared" si="81"/>
        <v>0</v>
      </c>
      <c r="DU35" s="82">
        <f t="shared" si="82"/>
        <v>0</v>
      </c>
      <c r="DV35" s="82">
        <f t="shared" si="83"/>
        <v>0</v>
      </c>
      <c r="DW35" s="82">
        <f t="shared" si="84"/>
        <v>0</v>
      </c>
      <c r="DX35" s="82">
        <f t="shared" si="85"/>
        <v>0</v>
      </c>
      <c r="DY35" s="82">
        <f t="shared" si="86"/>
        <v>0</v>
      </c>
      <c r="DZ35" s="82">
        <f t="shared" si="87"/>
        <v>0</v>
      </c>
      <c r="EA35" s="82">
        <f t="shared" si="88"/>
        <v>0</v>
      </c>
      <c r="EB35" s="82">
        <f t="shared" si="89"/>
        <v>0</v>
      </c>
      <c r="EC35" s="82">
        <f t="shared" si="90"/>
        <v>0</v>
      </c>
      <c r="ED35" s="82">
        <f t="shared" si="91"/>
        <v>0</v>
      </c>
      <c r="EE35" s="82">
        <f t="shared" si="92"/>
        <v>0</v>
      </c>
      <c r="EF35" s="82">
        <f t="shared" si="93"/>
        <v>0</v>
      </c>
      <c r="EG35" s="82">
        <f t="shared" si="94"/>
        <v>0</v>
      </c>
      <c r="EH35" s="82">
        <f t="shared" si="95"/>
        <v>0</v>
      </c>
      <c r="EI35" s="82">
        <f t="shared" si="96"/>
        <v>0</v>
      </c>
      <c r="EJ35" s="82">
        <f t="shared" si="97"/>
        <v>0</v>
      </c>
      <c r="EK35" s="82">
        <f t="shared" si="98"/>
        <v>0</v>
      </c>
      <c r="EL35" s="82">
        <f t="shared" si="99"/>
        <v>0</v>
      </c>
      <c r="EM35" s="82">
        <f t="shared" si="100"/>
        <v>0</v>
      </c>
      <c r="EN35" s="82">
        <f t="shared" si="101"/>
        <v>0</v>
      </c>
      <c r="EO35" s="82">
        <f t="shared" si="102"/>
        <v>0</v>
      </c>
      <c r="EP35" s="82">
        <f t="shared" si="103"/>
        <v>0</v>
      </c>
      <c r="EQ35" s="82">
        <f t="shared" si="104"/>
        <v>0</v>
      </c>
      <c r="ER35" s="82">
        <f t="shared" si="105"/>
        <v>0</v>
      </c>
      <c r="ES35" s="82">
        <f t="shared" si="106"/>
        <v>0</v>
      </c>
      <c r="ET35" s="82">
        <f t="shared" si="107"/>
        <v>0</v>
      </c>
      <c r="EU35" s="82">
        <f t="shared" si="108"/>
        <v>0</v>
      </c>
      <c r="EV35" s="82">
        <f t="shared" si="109"/>
        <v>0</v>
      </c>
      <c r="EW35" s="82">
        <f t="shared" si="110"/>
        <v>0</v>
      </c>
      <c r="EX35" s="82">
        <f t="shared" si="111"/>
        <v>0</v>
      </c>
      <c r="EY35" s="111">
        <f t="shared" si="112"/>
        <v>0</v>
      </c>
      <c r="EZ35" s="143">
        <f t="shared" ca="1" si="113"/>
        <v>0</v>
      </c>
      <c r="FA35" s="112">
        <f t="shared" ca="1" si="114"/>
        <v>0</v>
      </c>
      <c r="FB35" s="113">
        <f t="shared" ca="1" si="115"/>
        <v>0</v>
      </c>
      <c r="FC35" s="114">
        <f t="shared" ca="1" si="116"/>
        <v>0</v>
      </c>
      <c r="FD35" s="115">
        <f t="shared" ca="1" si="117"/>
        <v>0</v>
      </c>
      <c r="FE35" s="116">
        <f t="shared" ca="1" si="118"/>
        <v>0</v>
      </c>
      <c r="FF35" s="117">
        <f t="shared" ca="1" si="119"/>
        <v>0</v>
      </c>
      <c r="FG35" s="71">
        <f t="shared" si="120"/>
        <v>0</v>
      </c>
      <c r="FH35" s="530">
        <f t="shared" ca="1" si="121"/>
        <v>0</v>
      </c>
      <c r="FI35" s="72"/>
      <c r="FJ35" s="72"/>
      <c r="FK35" s="72"/>
      <c r="FM35" s="421" t="str">
        <f t="shared" si="122"/>
        <v>L02-206_MfamResiPthp</v>
      </c>
      <c r="FN35" s="422" t="str">
        <f t="shared" ca="1" si="123"/>
        <v>Dwelling Unit</v>
      </c>
      <c r="FO35" s="423">
        <f t="shared" ca="1" si="136"/>
        <v>0</v>
      </c>
      <c r="FP35" s="423">
        <f t="shared" ca="1" si="136"/>
        <v>0</v>
      </c>
      <c r="FQ35" s="423">
        <f t="shared" ca="1" si="136"/>
        <v>0</v>
      </c>
      <c r="FR35" s="423">
        <f t="shared" ca="1" si="136"/>
        <v>0</v>
      </c>
      <c r="FS35" s="423">
        <f t="shared" ca="1" si="136"/>
        <v>0</v>
      </c>
      <c r="FT35" s="423">
        <f t="shared" ca="1" si="136"/>
        <v>0</v>
      </c>
      <c r="FU35" s="423">
        <f t="shared" ca="1" si="136"/>
        <v>0</v>
      </c>
      <c r="FV35" s="423">
        <f t="shared" ca="1" si="136"/>
        <v>0</v>
      </c>
      <c r="FW35" s="423">
        <f t="shared" ca="1" si="136"/>
        <v>0</v>
      </c>
      <c r="FX35" s="423">
        <f t="shared" ca="1" si="136"/>
        <v>0</v>
      </c>
      <c r="FY35" s="423">
        <f t="shared" ca="1" si="136"/>
        <v>0</v>
      </c>
      <c r="FZ35" s="423">
        <f t="shared" ca="1" si="136"/>
        <v>0</v>
      </c>
      <c r="GA35" s="423">
        <f t="shared" ca="1" si="136"/>
        <v>0</v>
      </c>
      <c r="GB35" s="423">
        <f t="shared" ca="1" si="136"/>
        <v>0</v>
      </c>
      <c r="GC35" s="423">
        <f t="shared" ca="1" si="136"/>
        <v>0</v>
      </c>
      <c r="GD35" s="423">
        <f t="shared" ca="1" si="136"/>
        <v>0</v>
      </c>
      <c r="GE35" s="423">
        <f t="shared" ca="1" si="133"/>
        <v>0</v>
      </c>
      <c r="GF35" s="423">
        <f t="shared" ca="1" si="133"/>
        <v>0</v>
      </c>
      <c r="GG35" s="423">
        <f t="shared" ca="1" si="133"/>
        <v>0</v>
      </c>
      <c r="GH35" s="423">
        <f t="shared" ca="1" si="133"/>
        <v>0</v>
      </c>
      <c r="GI35" s="423">
        <f t="shared" ca="1" si="133"/>
        <v>0</v>
      </c>
      <c r="GJ35" s="423">
        <f t="shared" ca="1" si="133"/>
        <v>0</v>
      </c>
      <c r="GK35" s="423">
        <f t="shared" ca="1" si="133"/>
        <v>0</v>
      </c>
      <c r="GL35" s="423">
        <f t="shared" ca="1" si="133"/>
        <v>0</v>
      </c>
      <c r="GM35" s="423">
        <f t="shared" ca="1" si="133"/>
        <v>0</v>
      </c>
      <c r="GN35" s="423">
        <f t="shared" ca="1" si="133"/>
        <v>0</v>
      </c>
      <c r="GO35" s="423">
        <f t="shared" ca="1" si="133"/>
        <v>0</v>
      </c>
      <c r="GP35" s="423">
        <f t="shared" ca="1" si="133"/>
        <v>0</v>
      </c>
      <c r="GQ35" s="423">
        <f t="shared" ca="1" si="133"/>
        <v>0</v>
      </c>
      <c r="GR35" s="423">
        <f t="shared" ca="1" si="133"/>
        <v>0</v>
      </c>
      <c r="GS35" s="423">
        <f t="shared" ca="1" si="133"/>
        <v>0</v>
      </c>
      <c r="GT35" s="423">
        <f t="shared" ca="1" si="133"/>
        <v>0</v>
      </c>
      <c r="GU35" s="423">
        <f t="shared" ca="1" si="134"/>
        <v>0</v>
      </c>
      <c r="GV35" s="423">
        <f t="shared" ca="1" si="134"/>
        <v>0</v>
      </c>
      <c r="GW35" s="423">
        <f t="shared" ca="1" si="134"/>
        <v>0</v>
      </c>
      <c r="GX35" s="423">
        <f t="shared" ca="1" si="134"/>
        <v>0</v>
      </c>
      <c r="GY35" s="423">
        <f t="shared" ca="1" si="134"/>
        <v>0</v>
      </c>
      <c r="GZ35" s="423">
        <f t="shared" ca="1" si="134"/>
        <v>0</v>
      </c>
      <c r="HA35" s="423">
        <f t="shared" ca="1" si="134"/>
        <v>0</v>
      </c>
      <c r="HB35" s="423">
        <f t="shared" ca="1" si="134"/>
        <v>0</v>
      </c>
      <c r="HC35" s="423">
        <f t="shared" ca="1" si="134"/>
        <v>0</v>
      </c>
      <c r="HD35" s="423">
        <f t="shared" ca="1" si="134"/>
        <v>0</v>
      </c>
      <c r="HE35" s="423">
        <f t="shared" ca="1" si="134"/>
        <v>0</v>
      </c>
      <c r="HF35" s="423">
        <f t="shared" ca="1" si="134"/>
        <v>0</v>
      </c>
      <c r="HG35" s="423">
        <f t="shared" ca="1" si="134"/>
        <v>0</v>
      </c>
      <c r="HH35" s="423">
        <f t="shared" ca="1" si="134"/>
        <v>0</v>
      </c>
      <c r="HI35" s="423">
        <f t="shared" ca="1" si="134"/>
        <v>0</v>
      </c>
      <c r="HJ35" s="423">
        <f t="shared" ca="1" si="134"/>
        <v>0</v>
      </c>
      <c r="HK35" s="423">
        <f t="shared" ca="1" si="135"/>
        <v>0</v>
      </c>
      <c r="HL35" s="423">
        <f t="shared" ca="1" si="135"/>
        <v>0</v>
      </c>
      <c r="HM35" s="423">
        <f t="shared" ca="1" si="135"/>
        <v>0</v>
      </c>
      <c r="HN35" s="423">
        <f t="shared" ca="1" si="135"/>
        <v>0</v>
      </c>
      <c r="HO35" s="423">
        <f t="shared" ca="1" si="135"/>
        <v>0</v>
      </c>
      <c r="HP35" s="423">
        <f t="shared" ca="1" si="135"/>
        <v>0</v>
      </c>
      <c r="HQ35" s="423">
        <f t="shared" ca="1" si="135"/>
        <v>0</v>
      </c>
      <c r="HR35" s="423">
        <f t="shared" ca="1" si="135"/>
        <v>0</v>
      </c>
      <c r="HS35" s="423">
        <f t="shared" ca="1" si="135"/>
        <v>0</v>
      </c>
      <c r="HT35" s="423">
        <f t="shared" ca="1" si="135"/>
        <v>0</v>
      </c>
    </row>
    <row r="36" spans="1:230" ht="11.25" customHeight="1" x14ac:dyDescent="0.2">
      <c r="A36" s="62">
        <f t="shared" si="128"/>
        <v>25</v>
      </c>
      <c r="B36" s="60" t="str">
        <f>Spaces_Sum!C81</f>
        <v>L02-207_MfamResiPthp</v>
      </c>
      <c r="C36" s="62" t="str">
        <f>Spaces_Sum!D81</f>
        <v>L02</v>
      </c>
      <c r="D36" s="62" t="str">
        <f ca="1">Spaces_Sum!I81</f>
        <v>DirectlyConditioned</v>
      </c>
      <c r="F36" s="110">
        <f ca="1">Spaces_Sum!M81</f>
        <v>1858.692</v>
      </c>
      <c r="G36" s="110" t="str">
        <f ca="1">Spaces_Sum!J81</f>
        <v>Dwelling Unit</v>
      </c>
      <c r="H36" s="532"/>
      <c r="I36" s="618"/>
      <c r="J36" s="618"/>
      <c r="K36" s="186"/>
      <c r="L36" s="187"/>
      <c r="M36" s="188"/>
      <c r="N36" s="189"/>
      <c r="O36" s="186"/>
      <c r="P36" s="187"/>
      <c r="Q36" s="188"/>
      <c r="R36" s="189"/>
      <c r="S36" s="186"/>
      <c r="T36" s="187"/>
      <c r="U36" s="188"/>
      <c r="V36" s="189"/>
      <c r="W36" s="186"/>
      <c r="X36" s="187"/>
      <c r="Y36" s="188"/>
      <c r="Z36" s="189"/>
      <c r="AA36" s="186"/>
      <c r="AB36" s="187"/>
      <c r="AC36" s="188"/>
      <c r="AD36" s="189"/>
      <c r="AE36" s="186"/>
      <c r="AF36" s="187"/>
      <c r="AG36" s="188"/>
      <c r="AH36" s="189"/>
      <c r="AI36" s="186"/>
      <c r="AJ36" s="187"/>
      <c r="AK36" s="188"/>
      <c r="AL36" s="189"/>
      <c r="AM36" s="186"/>
      <c r="AN36" s="187"/>
      <c r="AO36" s="188"/>
      <c r="AP36" s="189"/>
      <c r="AQ36" s="186"/>
      <c r="AR36" s="187"/>
      <c r="AS36" s="188"/>
      <c r="AT36" s="189"/>
      <c r="AU36" s="186"/>
      <c r="AV36" s="187"/>
      <c r="AW36" s="188"/>
      <c r="AX36" s="189"/>
      <c r="AY36" s="186"/>
      <c r="AZ36" s="187"/>
      <c r="BA36" s="188"/>
      <c r="BB36" s="189"/>
      <c r="BC36" s="186"/>
      <c r="BD36" s="187"/>
      <c r="BE36" s="188"/>
      <c r="BF36" s="189"/>
      <c r="BG36" s="186"/>
      <c r="BH36" s="187"/>
      <c r="BI36" s="188"/>
      <c r="BJ36" s="189"/>
      <c r="BK36" s="186"/>
      <c r="BL36" s="187"/>
      <c r="BM36" s="188"/>
      <c r="BN36" s="189"/>
      <c r="BO36" s="186"/>
      <c r="BP36" s="187"/>
      <c r="BQ36" s="188"/>
      <c r="BR36" s="189"/>
      <c r="BS36" s="186"/>
      <c r="BT36" s="187"/>
      <c r="BU36" s="188"/>
      <c r="BV36" s="189"/>
      <c r="BW36" s="186"/>
      <c r="BX36" s="187"/>
      <c r="BY36" s="188"/>
      <c r="BZ36" s="189"/>
      <c r="CA36" s="186"/>
      <c r="CB36" s="190"/>
      <c r="CC36" s="190"/>
      <c r="CD36" s="82">
        <f t="shared" si="39"/>
        <v>0</v>
      </c>
      <c r="CE36" s="82">
        <f t="shared" si="40"/>
        <v>0</v>
      </c>
      <c r="CF36" s="82">
        <f t="shared" si="41"/>
        <v>0</v>
      </c>
      <c r="CG36" s="82">
        <f t="shared" si="42"/>
        <v>0</v>
      </c>
      <c r="CH36" s="82">
        <f t="shared" si="43"/>
        <v>0</v>
      </c>
      <c r="CI36" s="82">
        <f t="shared" si="44"/>
        <v>0</v>
      </c>
      <c r="CJ36" s="82">
        <f t="shared" si="45"/>
        <v>0</v>
      </c>
      <c r="CK36" s="82">
        <f t="shared" si="46"/>
        <v>0</v>
      </c>
      <c r="CL36" s="82">
        <f t="shared" si="47"/>
        <v>0</v>
      </c>
      <c r="CM36" s="82">
        <f t="shared" si="48"/>
        <v>0</v>
      </c>
      <c r="CN36" s="82">
        <f t="shared" si="49"/>
        <v>0</v>
      </c>
      <c r="CO36" s="82">
        <f t="shared" si="50"/>
        <v>0</v>
      </c>
      <c r="CP36" s="82">
        <f t="shared" si="51"/>
        <v>0</v>
      </c>
      <c r="CQ36" s="82">
        <f t="shared" si="52"/>
        <v>0</v>
      </c>
      <c r="CR36" s="82">
        <f t="shared" si="53"/>
        <v>0</v>
      </c>
      <c r="CS36" s="82">
        <f t="shared" si="54"/>
        <v>0</v>
      </c>
      <c r="CT36" s="82">
        <f t="shared" si="55"/>
        <v>0</v>
      </c>
      <c r="CU36" s="82">
        <f t="shared" si="56"/>
        <v>0</v>
      </c>
      <c r="CV36" s="82">
        <f t="shared" si="57"/>
        <v>0</v>
      </c>
      <c r="CW36" s="82">
        <f t="shared" si="58"/>
        <v>0</v>
      </c>
      <c r="CX36" s="82">
        <f t="shared" si="59"/>
        <v>0</v>
      </c>
      <c r="CY36" s="82">
        <f t="shared" si="60"/>
        <v>0</v>
      </c>
      <c r="CZ36" s="82">
        <f t="shared" si="61"/>
        <v>0</v>
      </c>
      <c r="DA36" s="82">
        <f t="shared" si="62"/>
        <v>0</v>
      </c>
      <c r="DB36" s="82">
        <f t="shared" si="63"/>
        <v>0</v>
      </c>
      <c r="DC36" s="82">
        <f t="shared" si="64"/>
        <v>0</v>
      </c>
      <c r="DD36" s="82">
        <f t="shared" si="65"/>
        <v>0</v>
      </c>
      <c r="DE36" s="82">
        <f t="shared" si="66"/>
        <v>0</v>
      </c>
      <c r="DF36" s="82">
        <f t="shared" si="67"/>
        <v>0</v>
      </c>
      <c r="DG36" s="82">
        <f t="shared" si="68"/>
        <v>0</v>
      </c>
      <c r="DH36" s="82">
        <f t="shared" si="69"/>
        <v>0</v>
      </c>
      <c r="DI36" s="82">
        <f t="shared" si="70"/>
        <v>0</v>
      </c>
      <c r="DJ36" s="82">
        <f t="shared" si="71"/>
        <v>0</v>
      </c>
      <c r="DK36" s="82">
        <f t="shared" si="72"/>
        <v>0</v>
      </c>
      <c r="DL36" s="82">
        <f t="shared" si="73"/>
        <v>0</v>
      </c>
      <c r="DM36" s="82">
        <f t="shared" si="74"/>
        <v>0</v>
      </c>
      <c r="DN36" s="82">
        <f t="shared" si="75"/>
        <v>0</v>
      </c>
      <c r="DO36" s="82">
        <f t="shared" si="76"/>
        <v>0</v>
      </c>
      <c r="DP36" s="82">
        <f t="shared" si="77"/>
        <v>0</v>
      </c>
      <c r="DQ36" s="82">
        <f t="shared" si="78"/>
        <v>0</v>
      </c>
      <c r="DR36" s="82">
        <f t="shared" si="79"/>
        <v>0</v>
      </c>
      <c r="DS36" s="82">
        <f t="shared" si="80"/>
        <v>0</v>
      </c>
      <c r="DT36" s="82">
        <f t="shared" si="81"/>
        <v>0</v>
      </c>
      <c r="DU36" s="82">
        <f t="shared" si="82"/>
        <v>0</v>
      </c>
      <c r="DV36" s="82">
        <f t="shared" si="83"/>
        <v>0</v>
      </c>
      <c r="DW36" s="82">
        <f t="shared" si="84"/>
        <v>0</v>
      </c>
      <c r="DX36" s="82">
        <f t="shared" si="85"/>
        <v>0</v>
      </c>
      <c r="DY36" s="82">
        <f t="shared" si="86"/>
        <v>0</v>
      </c>
      <c r="DZ36" s="82">
        <f t="shared" si="87"/>
        <v>0</v>
      </c>
      <c r="EA36" s="82">
        <f t="shared" si="88"/>
        <v>0</v>
      </c>
      <c r="EB36" s="82">
        <f t="shared" si="89"/>
        <v>0</v>
      </c>
      <c r="EC36" s="82">
        <f t="shared" si="90"/>
        <v>0</v>
      </c>
      <c r="ED36" s="82">
        <f t="shared" si="91"/>
        <v>0</v>
      </c>
      <c r="EE36" s="82">
        <f t="shared" si="92"/>
        <v>0</v>
      </c>
      <c r="EF36" s="82">
        <f t="shared" si="93"/>
        <v>0</v>
      </c>
      <c r="EG36" s="82">
        <f t="shared" si="94"/>
        <v>0</v>
      </c>
      <c r="EH36" s="82">
        <f t="shared" si="95"/>
        <v>0</v>
      </c>
      <c r="EI36" s="82">
        <f t="shared" si="96"/>
        <v>0</v>
      </c>
      <c r="EJ36" s="82">
        <f t="shared" si="97"/>
        <v>0</v>
      </c>
      <c r="EK36" s="82">
        <f t="shared" si="98"/>
        <v>0</v>
      </c>
      <c r="EL36" s="82">
        <f t="shared" si="99"/>
        <v>0</v>
      </c>
      <c r="EM36" s="82">
        <f t="shared" si="100"/>
        <v>0</v>
      </c>
      <c r="EN36" s="82">
        <f t="shared" si="101"/>
        <v>0</v>
      </c>
      <c r="EO36" s="82">
        <f t="shared" si="102"/>
        <v>0</v>
      </c>
      <c r="EP36" s="82">
        <f t="shared" si="103"/>
        <v>0</v>
      </c>
      <c r="EQ36" s="82">
        <f t="shared" si="104"/>
        <v>0</v>
      </c>
      <c r="ER36" s="82">
        <f t="shared" si="105"/>
        <v>0</v>
      </c>
      <c r="ES36" s="82">
        <f t="shared" si="106"/>
        <v>0</v>
      </c>
      <c r="ET36" s="82">
        <f t="shared" si="107"/>
        <v>0</v>
      </c>
      <c r="EU36" s="82">
        <f t="shared" si="108"/>
        <v>0</v>
      </c>
      <c r="EV36" s="82">
        <f t="shared" si="109"/>
        <v>0</v>
      </c>
      <c r="EW36" s="82">
        <f t="shared" si="110"/>
        <v>0</v>
      </c>
      <c r="EX36" s="82">
        <f t="shared" si="111"/>
        <v>0</v>
      </c>
      <c r="EY36" s="111">
        <f t="shared" si="112"/>
        <v>0</v>
      </c>
      <c r="EZ36" s="143">
        <f t="shared" ca="1" si="113"/>
        <v>0</v>
      </c>
      <c r="FA36" s="112">
        <f t="shared" ca="1" si="114"/>
        <v>0</v>
      </c>
      <c r="FB36" s="113">
        <f t="shared" ca="1" si="115"/>
        <v>0</v>
      </c>
      <c r="FC36" s="114">
        <f t="shared" ca="1" si="116"/>
        <v>0</v>
      </c>
      <c r="FD36" s="115">
        <f t="shared" ca="1" si="117"/>
        <v>0</v>
      </c>
      <c r="FE36" s="116">
        <f t="shared" ca="1" si="118"/>
        <v>0</v>
      </c>
      <c r="FF36" s="117">
        <f t="shared" ca="1" si="119"/>
        <v>0</v>
      </c>
      <c r="FG36" s="71">
        <f t="shared" si="120"/>
        <v>0</v>
      </c>
      <c r="FH36" s="530">
        <f t="shared" ca="1" si="121"/>
        <v>0</v>
      </c>
      <c r="FI36" s="72"/>
      <c r="FJ36" s="72"/>
      <c r="FK36" s="72"/>
      <c r="FM36" s="421" t="str">
        <f t="shared" si="122"/>
        <v>L02-207_MfamResiPthp</v>
      </c>
      <c r="FN36" s="422" t="str">
        <f t="shared" ca="1" si="123"/>
        <v>Dwelling Unit</v>
      </c>
      <c r="FO36" s="423">
        <f t="shared" ca="1" si="136"/>
        <v>0</v>
      </c>
      <c r="FP36" s="423">
        <f t="shared" ca="1" si="136"/>
        <v>0</v>
      </c>
      <c r="FQ36" s="423">
        <f t="shared" ca="1" si="136"/>
        <v>0</v>
      </c>
      <c r="FR36" s="423">
        <f t="shared" ca="1" si="136"/>
        <v>0</v>
      </c>
      <c r="FS36" s="423">
        <f t="shared" ca="1" si="136"/>
        <v>0</v>
      </c>
      <c r="FT36" s="423">
        <f t="shared" ca="1" si="136"/>
        <v>0</v>
      </c>
      <c r="FU36" s="423">
        <f t="shared" ca="1" si="136"/>
        <v>0</v>
      </c>
      <c r="FV36" s="423">
        <f t="shared" ca="1" si="136"/>
        <v>0</v>
      </c>
      <c r="FW36" s="423">
        <f t="shared" ca="1" si="136"/>
        <v>0</v>
      </c>
      <c r="FX36" s="423">
        <f t="shared" ca="1" si="136"/>
        <v>0</v>
      </c>
      <c r="FY36" s="423">
        <f t="shared" ca="1" si="136"/>
        <v>0</v>
      </c>
      <c r="FZ36" s="423">
        <f t="shared" ca="1" si="136"/>
        <v>0</v>
      </c>
      <c r="GA36" s="423">
        <f t="shared" ca="1" si="136"/>
        <v>0</v>
      </c>
      <c r="GB36" s="423">
        <f t="shared" ca="1" si="136"/>
        <v>0</v>
      </c>
      <c r="GC36" s="423">
        <f t="shared" ca="1" si="136"/>
        <v>0</v>
      </c>
      <c r="GD36" s="423">
        <f t="shared" ca="1" si="136"/>
        <v>0</v>
      </c>
      <c r="GE36" s="423">
        <f t="shared" ca="1" si="133"/>
        <v>0</v>
      </c>
      <c r="GF36" s="423">
        <f t="shared" ca="1" si="133"/>
        <v>0</v>
      </c>
      <c r="GG36" s="423">
        <f t="shared" ca="1" si="133"/>
        <v>0</v>
      </c>
      <c r="GH36" s="423">
        <f t="shared" ca="1" si="133"/>
        <v>0</v>
      </c>
      <c r="GI36" s="423">
        <f t="shared" ca="1" si="133"/>
        <v>0</v>
      </c>
      <c r="GJ36" s="423">
        <f t="shared" ca="1" si="133"/>
        <v>0</v>
      </c>
      <c r="GK36" s="423">
        <f t="shared" ca="1" si="133"/>
        <v>0</v>
      </c>
      <c r="GL36" s="423">
        <f t="shared" ca="1" si="133"/>
        <v>0</v>
      </c>
      <c r="GM36" s="423">
        <f t="shared" ca="1" si="133"/>
        <v>0</v>
      </c>
      <c r="GN36" s="423">
        <f t="shared" ca="1" si="133"/>
        <v>0</v>
      </c>
      <c r="GO36" s="423">
        <f t="shared" ca="1" si="133"/>
        <v>0</v>
      </c>
      <c r="GP36" s="423">
        <f t="shared" ca="1" si="133"/>
        <v>0</v>
      </c>
      <c r="GQ36" s="423">
        <f t="shared" ca="1" si="133"/>
        <v>0</v>
      </c>
      <c r="GR36" s="423">
        <f t="shared" ca="1" si="133"/>
        <v>0</v>
      </c>
      <c r="GS36" s="423">
        <f t="shared" ca="1" si="133"/>
        <v>0</v>
      </c>
      <c r="GT36" s="423">
        <f t="shared" ca="1" si="133"/>
        <v>0</v>
      </c>
      <c r="GU36" s="423">
        <f t="shared" ca="1" si="134"/>
        <v>0</v>
      </c>
      <c r="GV36" s="423">
        <f t="shared" ca="1" si="134"/>
        <v>0</v>
      </c>
      <c r="GW36" s="423">
        <f t="shared" ca="1" si="134"/>
        <v>0</v>
      </c>
      <c r="GX36" s="423">
        <f t="shared" ca="1" si="134"/>
        <v>0</v>
      </c>
      <c r="GY36" s="423">
        <f t="shared" ca="1" si="134"/>
        <v>0</v>
      </c>
      <c r="GZ36" s="423">
        <f t="shared" ca="1" si="134"/>
        <v>0</v>
      </c>
      <c r="HA36" s="423">
        <f t="shared" ca="1" si="134"/>
        <v>0</v>
      </c>
      <c r="HB36" s="423">
        <f t="shared" ca="1" si="134"/>
        <v>0</v>
      </c>
      <c r="HC36" s="423">
        <f t="shared" ca="1" si="134"/>
        <v>0</v>
      </c>
      <c r="HD36" s="423">
        <f t="shared" ca="1" si="134"/>
        <v>0</v>
      </c>
      <c r="HE36" s="423">
        <f t="shared" ca="1" si="134"/>
        <v>0</v>
      </c>
      <c r="HF36" s="423">
        <f t="shared" ca="1" si="134"/>
        <v>0</v>
      </c>
      <c r="HG36" s="423">
        <f t="shared" ca="1" si="134"/>
        <v>0</v>
      </c>
      <c r="HH36" s="423">
        <f t="shared" ca="1" si="134"/>
        <v>0</v>
      </c>
      <c r="HI36" s="423">
        <f t="shared" ca="1" si="134"/>
        <v>0</v>
      </c>
      <c r="HJ36" s="423">
        <f t="shared" ca="1" si="134"/>
        <v>0</v>
      </c>
      <c r="HK36" s="423">
        <f t="shared" ca="1" si="135"/>
        <v>0</v>
      </c>
      <c r="HL36" s="423">
        <f t="shared" ca="1" si="135"/>
        <v>0</v>
      </c>
      <c r="HM36" s="423">
        <f t="shared" ca="1" si="135"/>
        <v>0</v>
      </c>
      <c r="HN36" s="423">
        <f t="shared" ca="1" si="135"/>
        <v>0</v>
      </c>
      <c r="HO36" s="423">
        <f t="shared" ca="1" si="135"/>
        <v>0</v>
      </c>
      <c r="HP36" s="423">
        <f t="shared" ca="1" si="135"/>
        <v>0</v>
      </c>
      <c r="HQ36" s="423">
        <f t="shared" ca="1" si="135"/>
        <v>0</v>
      </c>
      <c r="HR36" s="423">
        <f t="shared" ca="1" si="135"/>
        <v>0</v>
      </c>
      <c r="HS36" s="423">
        <f t="shared" ca="1" si="135"/>
        <v>0</v>
      </c>
      <c r="HT36" s="423">
        <f t="shared" ca="1" si="135"/>
        <v>0</v>
      </c>
    </row>
    <row r="37" spans="1:230" ht="11.25" customHeight="1" x14ac:dyDescent="0.2">
      <c r="A37" s="62">
        <f t="shared" si="128"/>
        <v>26</v>
      </c>
      <c r="B37" s="60" t="str">
        <f>Spaces_Sum!C82</f>
        <v>L02-208_MfamResiPthp</v>
      </c>
      <c r="C37" s="62" t="str">
        <f>Spaces_Sum!D82</f>
        <v>L02</v>
      </c>
      <c r="D37" s="62" t="str">
        <f ca="1">Spaces_Sum!I82</f>
        <v>DirectlyConditioned</v>
      </c>
      <c r="F37" s="110">
        <f ca="1">Spaces_Sum!M82</f>
        <v>872.66200000000003</v>
      </c>
      <c r="G37" s="110" t="str">
        <f ca="1">Spaces_Sum!J82</f>
        <v>Dwelling Unit</v>
      </c>
      <c r="H37" s="532"/>
      <c r="I37" s="185"/>
      <c r="J37" s="185"/>
      <c r="K37" s="186"/>
      <c r="L37" s="187"/>
      <c r="M37" s="188"/>
      <c r="N37" s="189"/>
      <c r="O37" s="186"/>
      <c r="P37" s="187"/>
      <c r="Q37" s="188"/>
      <c r="R37" s="189"/>
      <c r="S37" s="186"/>
      <c r="T37" s="187"/>
      <c r="U37" s="188"/>
      <c r="V37" s="189"/>
      <c r="W37" s="186"/>
      <c r="X37" s="187"/>
      <c r="Y37" s="188"/>
      <c r="Z37" s="189"/>
      <c r="AA37" s="186"/>
      <c r="AB37" s="187"/>
      <c r="AC37" s="188"/>
      <c r="AD37" s="189"/>
      <c r="AE37" s="186"/>
      <c r="AF37" s="187"/>
      <c r="AG37" s="188"/>
      <c r="AH37" s="189"/>
      <c r="AI37" s="186"/>
      <c r="AJ37" s="187"/>
      <c r="AK37" s="188"/>
      <c r="AL37" s="189"/>
      <c r="AM37" s="186"/>
      <c r="AN37" s="187"/>
      <c r="AO37" s="188"/>
      <c r="AP37" s="189"/>
      <c r="AQ37" s="186"/>
      <c r="AR37" s="187"/>
      <c r="AS37" s="188"/>
      <c r="AT37" s="189"/>
      <c r="AU37" s="186"/>
      <c r="AV37" s="187"/>
      <c r="AW37" s="188"/>
      <c r="AX37" s="189"/>
      <c r="AY37" s="186"/>
      <c r="AZ37" s="187"/>
      <c r="BA37" s="188"/>
      <c r="BB37" s="189"/>
      <c r="BC37" s="186"/>
      <c r="BD37" s="187"/>
      <c r="BE37" s="188"/>
      <c r="BF37" s="189"/>
      <c r="BG37" s="186"/>
      <c r="BH37" s="187"/>
      <c r="BI37" s="188"/>
      <c r="BJ37" s="189"/>
      <c r="BK37" s="186"/>
      <c r="BL37" s="187"/>
      <c r="BM37" s="188"/>
      <c r="BN37" s="189"/>
      <c r="BO37" s="186"/>
      <c r="BP37" s="187"/>
      <c r="BQ37" s="188"/>
      <c r="BR37" s="189"/>
      <c r="BS37" s="186"/>
      <c r="BT37" s="187"/>
      <c r="BU37" s="188"/>
      <c r="BV37" s="189"/>
      <c r="BW37" s="186"/>
      <c r="BX37" s="187"/>
      <c r="BY37" s="188"/>
      <c r="BZ37" s="189"/>
      <c r="CA37" s="186"/>
      <c r="CB37" s="190"/>
      <c r="CC37" s="190"/>
      <c r="CD37" s="82">
        <f t="shared" si="39"/>
        <v>0</v>
      </c>
      <c r="CE37" s="82">
        <f t="shared" si="40"/>
        <v>0</v>
      </c>
      <c r="CF37" s="82">
        <f t="shared" si="41"/>
        <v>0</v>
      </c>
      <c r="CG37" s="82">
        <f t="shared" si="42"/>
        <v>0</v>
      </c>
      <c r="CH37" s="82">
        <f t="shared" si="43"/>
        <v>0</v>
      </c>
      <c r="CI37" s="82">
        <f t="shared" si="44"/>
        <v>0</v>
      </c>
      <c r="CJ37" s="82">
        <f t="shared" si="45"/>
        <v>0</v>
      </c>
      <c r="CK37" s="82">
        <f t="shared" si="46"/>
        <v>0</v>
      </c>
      <c r="CL37" s="82">
        <f t="shared" si="47"/>
        <v>0</v>
      </c>
      <c r="CM37" s="82">
        <f t="shared" si="48"/>
        <v>0</v>
      </c>
      <c r="CN37" s="82">
        <f t="shared" si="49"/>
        <v>0</v>
      </c>
      <c r="CO37" s="82">
        <f t="shared" si="50"/>
        <v>0</v>
      </c>
      <c r="CP37" s="82">
        <f t="shared" si="51"/>
        <v>0</v>
      </c>
      <c r="CQ37" s="82">
        <f t="shared" si="52"/>
        <v>0</v>
      </c>
      <c r="CR37" s="82">
        <f t="shared" si="53"/>
        <v>0</v>
      </c>
      <c r="CS37" s="82">
        <f t="shared" si="54"/>
        <v>0</v>
      </c>
      <c r="CT37" s="82">
        <f t="shared" si="55"/>
        <v>0</v>
      </c>
      <c r="CU37" s="82">
        <f t="shared" si="56"/>
        <v>0</v>
      </c>
      <c r="CV37" s="82">
        <f t="shared" si="57"/>
        <v>0</v>
      </c>
      <c r="CW37" s="82">
        <f t="shared" si="58"/>
        <v>0</v>
      </c>
      <c r="CX37" s="82">
        <f t="shared" si="59"/>
        <v>0</v>
      </c>
      <c r="CY37" s="82">
        <f t="shared" si="60"/>
        <v>0</v>
      </c>
      <c r="CZ37" s="82">
        <f t="shared" si="61"/>
        <v>0</v>
      </c>
      <c r="DA37" s="82">
        <f t="shared" si="62"/>
        <v>0</v>
      </c>
      <c r="DB37" s="82">
        <f t="shared" si="63"/>
        <v>0</v>
      </c>
      <c r="DC37" s="82">
        <f t="shared" si="64"/>
        <v>0</v>
      </c>
      <c r="DD37" s="82">
        <f t="shared" si="65"/>
        <v>0</v>
      </c>
      <c r="DE37" s="82">
        <f t="shared" si="66"/>
        <v>0</v>
      </c>
      <c r="DF37" s="82">
        <f t="shared" si="67"/>
        <v>0</v>
      </c>
      <c r="DG37" s="82">
        <f t="shared" si="68"/>
        <v>0</v>
      </c>
      <c r="DH37" s="82">
        <f t="shared" si="69"/>
        <v>0</v>
      </c>
      <c r="DI37" s="82">
        <f t="shared" si="70"/>
        <v>0</v>
      </c>
      <c r="DJ37" s="82">
        <f t="shared" si="71"/>
        <v>0</v>
      </c>
      <c r="DK37" s="82">
        <f t="shared" si="72"/>
        <v>0</v>
      </c>
      <c r="DL37" s="82">
        <f t="shared" si="73"/>
        <v>0</v>
      </c>
      <c r="DM37" s="82">
        <f t="shared" si="74"/>
        <v>0</v>
      </c>
      <c r="DN37" s="82">
        <f t="shared" si="75"/>
        <v>0</v>
      </c>
      <c r="DO37" s="82">
        <f t="shared" si="76"/>
        <v>0</v>
      </c>
      <c r="DP37" s="82">
        <f t="shared" si="77"/>
        <v>0</v>
      </c>
      <c r="DQ37" s="82">
        <f t="shared" si="78"/>
        <v>0</v>
      </c>
      <c r="DR37" s="82">
        <f t="shared" si="79"/>
        <v>0</v>
      </c>
      <c r="DS37" s="82">
        <f t="shared" si="80"/>
        <v>0</v>
      </c>
      <c r="DT37" s="82">
        <f t="shared" si="81"/>
        <v>0</v>
      </c>
      <c r="DU37" s="82">
        <f t="shared" si="82"/>
        <v>0</v>
      </c>
      <c r="DV37" s="82">
        <f t="shared" si="83"/>
        <v>0</v>
      </c>
      <c r="DW37" s="82">
        <f t="shared" si="84"/>
        <v>0</v>
      </c>
      <c r="DX37" s="82">
        <f t="shared" si="85"/>
        <v>0</v>
      </c>
      <c r="DY37" s="82">
        <f t="shared" si="86"/>
        <v>0</v>
      </c>
      <c r="DZ37" s="82">
        <f t="shared" si="87"/>
        <v>0</v>
      </c>
      <c r="EA37" s="82">
        <f t="shared" si="88"/>
        <v>0</v>
      </c>
      <c r="EB37" s="82">
        <f t="shared" si="89"/>
        <v>0</v>
      </c>
      <c r="EC37" s="82">
        <f t="shared" si="90"/>
        <v>0</v>
      </c>
      <c r="ED37" s="82">
        <f t="shared" si="91"/>
        <v>0</v>
      </c>
      <c r="EE37" s="82">
        <f t="shared" si="92"/>
        <v>0</v>
      </c>
      <c r="EF37" s="82">
        <f t="shared" si="93"/>
        <v>0</v>
      </c>
      <c r="EG37" s="82">
        <f t="shared" si="94"/>
        <v>0</v>
      </c>
      <c r="EH37" s="82">
        <f t="shared" si="95"/>
        <v>0</v>
      </c>
      <c r="EI37" s="82">
        <f t="shared" si="96"/>
        <v>0</v>
      </c>
      <c r="EJ37" s="82">
        <f t="shared" si="97"/>
        <v>0</v>
      </c>
      <c r="EK37" s="82">
        <f t="shared" si="98"/>
        <v>0</v>
      </c>
      <c r="EL37" s="82">
        <f t="shared" si="99"/>
        <v>0</v>
      </c>
      <c r="EM37" s="82">
        <f t="shared" si="100"/>
        <v>0</v>
      </c>
      <c r="EN37" s="82">
        <f t="shared" si="101"/>
        <v>0</v>
      </c>
      <c r="EO37" s="82">
        <f t="shared" si="102"/>
        <v>0</v>
      </c>
      <c r="EP37" s="82">
        <f t="shared" si="103"/>
        <v>0</v>
      </c>
      <c r="EQ37" s="82">
        <f t="shared" si="104"/>
        <v>0</v>
      </c>
      <c r="ER37" s="82">
        <f t="shared" si="105"/>
        <v>0</v>
      </c>
      <c r="ES37" s="82">
        <f t="shared" si="106"/>
        <v>0</v>
      </c>
      <c r="ET37" s="82">
        <f t="shared" si="107"/>
        <v>0</v>
      </c>
      <c r="EU37" s="82">
        <f t="shared" si="108"/>
        <v>0</v>
      </c>
      <c r="EV37" s="82">
        <f t="shared" si="109"/>
        <v>0</v>
      </c>
      <c r="EW37" s="82">
        <f t="shared" si="110"/>
        <v>0</v>
      </c>
      <c r="EX37" s="82">
        <f t="shared" si="111"/>
        <v>0</v>
      </c>
      <c r="EY37" s="111">
        <f t="shared" si="112"/>
        <v>0</v>
      </c>
      <c r="EZ37" s="143">
        <f t="shared" ca="1" si="113"/>
        <v>0</v>
      </c>
      <c r="FA37" s="112">
        <f t="shared" ca="1" si="114"/>
        <v>0</v>
      </c>
      <c r="FB37" s="113">
        <f t="shared" ca="1" si="115"/>
        <v>0</v>
      </c>
      <c r="FC37" s="114">
        <f t="shared" ca="1" si="116"/>
        <v>0</v>
      </c>
      <c r="FD37" s="115">
        <f t="shared" ca="1" si="117"/>
        <v>0</v>
      </c>
      <c r="FE37" s="116">
        <f t="shared" ca="1" si="118"/>
        <v>0</v>
      </c>
      <c r="FF37" s="117">
        <f t="shared" ca="1" si="119"/>
        <v>0</v>
      </c>
      <c r="FG37" s="71">
        <f t="shared" si="120"/>
        <v>0</v>
      </c>
      <c r="FH37" s="530">
        <f t="shared" ca="1" si="121"/>
        <v>0</v>
      </c>
      <c r="FI37" s="72"/>
      <c r="FJ37" s="72"/>
      <c r="FK37" s="72"/>
      <c r="FM37" s="421" t="str">
        <f t="shared" si="122"/>
        <v>L02-208_MfamResiPthp</v>
      </c>
      <c r="FN37" s="422" t="str">
        <f t="shared" ca="1" si="123"/>
        <v>Dwelling Unit</v>
      </c>
      <c r="FO37" s="423">
        <f t="shared" ca="1" si="136"/>
        <v>0</v>
      </c>
      <c r="FP37" s="423">
        <f t="shared" ca="1" si="136"/>
        <v>0</v>
      </c>
      <c r="FQ37" s="423">
        <f t="shared" ca="1" si="136"/>
        <v>0</v>
      </c>
      <c r="FR37" s="423">
        <f t="shared" ca="1" si="136"/>
        <v>0</v>
      </c>
      <c r="FS37" s="423">
        <f t="shared" ca="1" si="136"/>
        <v>0</v>
      </c>
      <c r="FT37" s="423">
        <f t="shared" ca="1" si="136"/>
        <v>0</v>
      </c>
      <c r="FU37" s="423">
        <f t="shared" ca="1" si="136"/>
        <v>0</v>
      </c>
      <c r="FV37" s="423">
        <f t="shared" ca="1" si="136"/>
        <v>0</v>
      </c>
      <c r="FW37" s="423">
        <f t="shared" ca="1" si="136"/>
        <v>0</v>
      </c>
      <c r="FX37" s="423">
        <f t="shared" ca="1" si="136"/>
        <v>0</v>
      </c>
      <c r="FY37" s="423">
        <f t="shared" ca="1" si="136"/>
        <v>0</v>
      </c>
      <c r="FZ37" s="423">
        <f t="shared" ca="1" si="136"/>
        <v>0</v>
      </c>
      <c r="GA37" s="423">
        <f t="shared" ca="1" si="136"/>
        <v>0</v>
      </c>
      <c r="GB37" s="423">
        <f t="shared" ca="1" si="136"/>
        <v>0</v>
      </c>
      <c r="GC37" s="423">
        <f t="shared" ca="1" si="136"/>
        <v>0</v>
      </c>
      <c r="GD37" s="423">
        <f t="shared" ca="1" si="136"/>
        <v>0</v>
      </c>
      <c r="GE37" s="423">
        <f t="shared" ca="1" si="133"/>
        <v>0</v>
      </c>
      <c r="GF37" s="423">
        <f t="shared" ca="1" si="133"/>
        <v>0</v>
      </c>
      <c r="GG37" s="423">
        <f t="shared" ca="1" si="133"/>
        <v>0</v>
      </c>
      <c r="GH37" s="423">
        <f t="shared" ca="1" si="133"/>
        <v>0</v>
      </c>
      <c r="GI37" s="423">
        <f t="shared" ca="1" si="133"/>
        <v>0</v>
      </c>
      <c r="GJ37" s="423">
        <f t="shared" ca="1" si="133"/>
        <v>0</v>
      </c>
      <c r="GK37" s="423">
        <f t="shared" ca="1" si="133"/>
        <v>0</v>
      </c>
      <c r="GL37" s="423">
        <f t="shared" ca="1" si="133"/>
        <v>0</v>
      </c>
      <c r="GM37" s="423">
        <f t="shared" ca="1" si="133"/>
        <v>0</v>
      </c>
      <c r="GN37" s="423">
        <f t="shared" ca="1" si="133"/>
        <v>0</v>
      </c>
      <c r="GO37" s="423">
        <f t="shared" ca="1" si="133"/>
        <v>0</v>
      </c>
      <c r="GP37" s="423">
        <f t="shared" ca="1" si="133"/>
        <v>0</v>
      </c>
      <c r="GQ37" s="423">
        <f t="shared" ca="1" si="133"/>
        <v>0</v>
      </c>
      <c r="GR37" s="423">
        <f t="shared" ca="1" si="133"/>
        <v>0</v>
      </c>
      <c r="GS37" s="423">
        <f t="shared" ca="1" si="133"/>
        <v>0</v>
      </c>
      <c r="GT37" s="423">
        <f t="shared" ca="1" si="133"/>
        <v>0</v>
      </c>
      <c r="GU37" s="423">
        <f t="shared" ca="1" si="134"/>
        <v>0</v>
      </c>
      <c r="GV37" s="423">
        <f t="shared" ca="1" si="134"/>
        <v>0</v>
      </c>
      <c r="GW37" s="423">
        <f t="shared" ca="1" si="134"/>
        <v>0</v>
      </c>
      <c r="GX37" s="423">
        <f t="shared" ca="1" si="134"/>
        <v>0</v>
      </c>
      <c r="GY37" s="423">
        <f t="shared" ca="1" si="134"/>
        <v>0</v>
      </c>
      <c r="GZ37" s="423">
        <f t="shared" ca="1" si="134"/>
        <v>0</v>
      </c>
      <c r="HA37" s="423">
        <f t="shared" ca="1" si="134"/>
        <v>0</v>
      </c>
      <c r="HB37" s="423">
        <f t="shared" ca="1" si="134"/>
        <v>0</v>
      </c>
      <c r="HC37" s="423">
        <f t="shared" ca="1" si="134"/>
        <v>0</v>
      </c>
      <c r="HD37" s="423">
        <f t="shared" ca="1" si="134"/>
        <v>0</v>
      </c>
      <c r="HE37" s="423">
        <f t="shared" ca="1" si="134"/>
        <v>0</v>
      </c>
      <c r="HF37" s="423">
        <f t="shared" ca="1" si="134"/>
        <v>0</v>
      </c>
      <c r="HG37" s="423">
        <f t="shared" ca="1" si="134"/>
        <v>0</v>
      </c>
      <c r="HH37" s="423">
        <f t="shared" ca="1" si="134"/>
        <v>0</v>
      </c>
      <c r="HI37" s="423">
        <f t="shared" ca="1" si="134"/>
        <v>0</v>
      </c>
      <c r="HJ37" s="423">
        <f t="shared" ca="1" si="134"/>
        <v>0</v>
      </c>
      <c r="HK37" s="423">
        <f t="shared" ca="1" si="135"/>
        <v>0</v>
      </c>
      <c r="HL37" s="423">
        <f t="shared" ca="1" si="135"/>
        <v>0</v>
      </c>
      <c r="HM37" s="423">
        <f t="shared" ca="1" si="135"/>
        <v>0</v>
      </c>
      <c r="HN37" s="423">
        <f t="shared" ca="1" si="135"/>
        <v>0</v>
      </c>
      <c r="HO37" s="423">
        <f t="shared" ca="1" si="135"/>
        <v>0</v>
      </c>
      <c r="HP37" s="423">
        <f t="shared" ca="1" si="135"/>
        <v>0</v>
      </c>
      <c r="HQ37" s="423">
        <f t="shared" ca="1" si="135"/>
        <v>0</v>
      </c>
      <c r="HR37" s="423">
        <f t="shared" ca="1" si="135"/>
        <v>0</v>
      </c>
      <c r="HS37" s="423">
        <f t="shared" ca="1" si="135"/>
        <v>0</v>
      </c>
      <c r="HT37" s="423">
        <f t="shared" ca="1" si="135"/>
        <v>0</v>
      </c>
    </row>
    <row r="38" spans="1:230" ht="11.25" customHeight="1" x14ac:dyDescent="0.2">
      <c r="A38" s="62">
        <f t="shared" si="128"/>
        <v>27</v>
      </c>
      <c r="B38" s="60" t="str">
        <f>Spaces_Sum!C83</f>
        <v>L02-209_MfamResiPthp</v>
      </c>
      <c r="C38" s="62" t="str">
        <f>Spaces_Sum!D83</f>
        <v>L02</v>
      </c>
      <c r="D38" s="62" t="str">
        <f ca="1">Spaces_Sum!I83</f>
        <v>DirectlyConditioned</v>
      </c>
      <c r="F38" s="110">
        <f ca="1">Spaces_Sum!M83</f>
        <v>1347.52</v>
      </c>
      <c r="G38" s="110" t="str">
        <f ca="1">Spaces_Sum!J83</f>
        <v>Dwelling Unit</v>
      </c>
      <c r="H38" s="532"/>
      <c r="I38" s="185"/>
      <c r="J38" s="185"/>
      <c r="K38" s="186"/>
      <c r="L38" s="187"/>
      <c r="M38" s="188"/>
      <c r="N38" s="189"/>
      <c r="O38" s="186"/>
      <c r="P38" s="187"/>
      <c r="Q38" s="188"/>
      <c r="R38" s="189"/>
      <c r="S38" s="186"/>
      <c r="T38" s="187"/>
      <c r="U38" s="188"/>
      <c r="V38" s="189"/>
      <c r="W38" s="186"/>
      <c r="X38" s="187"/>
      <c r="Y38" s="188"/>
      <c r="Z38" s="189"/>
      <c r="AA38" s="186"/>
      <c r="AB38" s="187"/>
      <c r="AC38" s="188"/>
      <c r="AD38" s="189"/>
      <c r="AE38" s="186"/>
      <c r="AF38" s="187"/>
      <c r="AG38" s="188"/>
      <c r="AH38" s="189"/>
      <c r="AI38" s="186"/>
      <c r="AJ38" s="187"/>
      <c r="AK38" s="188"/>
      <c r="AL38" s="189"/>
      <c r="AM38" s="186"/>
      <c r="AN38" s="187"/>
      <c r="AO38" s="188"/>
      <c r="AP38" s="189"/>
      <c r="AQ38" s="186"/>
      <c r="AR38" s="187"/>
      <c r="AS38" s="188"/>
      <c r="AT38" s="189"/>
      <c r="AU38" s="186"/>
      <c r="AV38" s="187"/>
      <c r="AW38" s="188"/>
      <c r="AX38" s="189"/>
      <c r="AY38" s="186"/>
      <c r="AZ38" s="187"/>
      <c r="BA38" s="188"/>
      <c r="BB38" s="189"/>
      <c r="BC38" s="186"/>
      <c r="BD38" s="187"/>
      <c r="BE38" s="188"/>
      <c r="BF38" s="189"/>
      <c r="BG38" s="186"/>
      <c r="BH38" s="187"/>
      <c r="BI38" s="188"/>
      <c r="BJ38" s="189"/>
      <c r="BK38" s="186"/>
      <c r="BL38" s="187"/>
      <c r="BM38" s="188"/>
      <c r="BN38" s="189"/>
      <c r="BO38" s="186"/>
      <c r="BP38" s="187"/>
      <c r="BQ38" s="188"/>
      <c r="BR38" s="189"/>
      <c r="BS38" s="186"/>
      <c r="BT38" s="187"/>
      <c r="BU38" s="188"/>
      <c r="BV38" s="189"/>
      <c r="BW38" s="186"/>
      <c r="BX38" s="187"/>
      <c r="BY38" s="188"/>
      <c r="BZ38" s="189"/>
      <c r="CA38" s="186"/>
      <c r="CB38" s="190"/>
      <c r="CC38" s="190"/>
      <c r="CD38" s="82">
        <f t="shared" si="39"/>
        <v>0</v>
      </c>
      <c r="CE38" s="82">
        <f t="shared" si="40"/>
        <v>0</v>
      </c>
      <c r="CF38" s="82">
        <f t="shared" si="41"/>
        <v>0</v>
      </c>
      <c r="CG38" s="82">
        <f t="shared" si="42"/>
        <v>0</v>
      </c>
      <c r="CH38" s="82">
        <f t="shared" si="43"/>
        <v>0</v>
      </c>
      <c r="CI38" s="82">
        <f t="shared" si="44"/>
        <v>0</v>
      </c>
      <c r="CJ38" s="82">
        <f t="shared" si="45"/>
        <v>0</v>
      </c>
      <c r="CK38" s="82">
        <f t="shared" si="46"/>
        <v>0</v>
      </c>
      <c r="CL38" s="82">
        <f t="shared" si="47"/>
        <v>0</v>
      </c>
      <c r="CM38" s="82">
        <f t="shared" si="48"/>
        <v>0</v>
      </c>
      <c r="CN38" s="82">
        <f t="shared" si="49"/>
        <v>0</v>
      </c>
      <c r="CO38" s="82">
        <f t="shared" si="50"/>
        <v>0</v>
      </c>
      <c r="CP38" s="82">
        <f t="shared" si="51"/>
        <v>0</v>
      </c>
      <c r="CQ38" s="82">
        <f t="shared" si="52"/>
        <v>0</v>
      </c>
      <c r="CR38" s="82">
        <f t="shared" si="53"/>
        <v>0</v>
      </c>
      <c r="CS38" s="82">
        <f t="shared" si="54"/>
        <v>0</v>
      </c>
      <c r="CT38" s="82">
        <f t="shared" si="55"/>
        <v>0</v>
      </c>
      <c r="CU38" s="82">
        <f t="shared" si="56"/>
        <v>0</v>
      </c>
      <c r="CV38" s="82">
        <f t="shared" si="57"/>
        <v>0</v>
      </c>
      <c r="CW38" s="82">
        <f t="shared" si="58"/>
        <v>0</v>
      </c>
      <c r="CX38" s="82">
        <f t="shared" si="59"/>
        <v>0</v>
      </c>
      <c r="CY38" s="82">
        <f t="shared" si="60"/>
        <v>0</v>
      </c>
      <c r="CZ38" s="82">
        <f t="shared" si="61"/>
        <v>0</v>
      </c>
      <c r="DA38" s="82">
        <f t="shared" si="62"/>
        <v>0</v>
      </c>
      <c r="DB38" s="82">
        <f t="shared" si="63"/>
        <v>0</v>
      </c>
      <c r="DC38" s="82">
        <f t="shared" si="64"/>
        <v>0</v>
      </c>
      <c r="DD38" s="82">
        <f t="shared" si="65"/>
        <v>0</v>
      </c>
      <c r="DE38" s="82">
        <f t="shared" si="66"/>
        <v>0</v>
      </c>
      <c r="DF38" s="82">
        <f t="shared" si="67"/>
        <v>0</v>
      </c>
      <c r="DG38" s="82">
        <f t="shared" si="68"/>
        <v>0</v>
      </c>
      <c r="DH38" s="82">
        <f t="shared" si="69"/>
        <v>0</v>
      </c>
      <c r="DI38" s="82">
        <f t="shared" si="70"/>
        <v>0</v>
      </c>
      <c r="DJ38" s="82">
        <f t="shared" si="71"/>
        <v>0</v>
      </c>
      <c r="DK38" s="82">
        <f t="shared" si="72"/>
        <v>0</v>
      </c>
      <c r="DL38" s="82">
        <f t="shared" si="73"/>
        <v>0</v>
      </c>
      <c r="DM38" s="82">
        <f t="shared" si="74"/>
        <v>0</v>
      </c>
      <c r="DN38" s="82">
        <f t="shared" si="75"/>
        <v>0</v>
      </c>
      <c r="DO38" s="82">
        <f t="shared" si="76"/>
        <v>0</v>
      </c>
      <c r="DP38" s="82">
        <f t="shared" si="77"/>
        <v>0</v>
      </c>
      <c r="DQ38" s="82">
        <f t="shared" si="78"/>
        <v>0</v>
      </c>
      <c r="DR38" s="82">
        <f t="shared" si="79"/>
        <v>0</v>
      </c>
      <c r="DS38" s="82">
        <f t="shared" si="80"/>
        <v>0</v>
      </c>
      <c r="DT38" s="82">
        <f t="shared" si="81"/>
        <v>0</v>
      </c>
      <c r="DU38" s="82">
        <f t="shared" si="82"/>
        <v>0</v>
      </c>
      <c r="DV38" s="82">
        <f t="shared" si="83"/>
        <v>0</v>
      </c>
      <c r="DW38" s="82">
        <f t="shared" si="84"/>
        <v>0</v>
      </c>
      <c r="DX38" s="82">
        <f t="shared" si="85"/>
        <v>0</v>
      </c>
      <c r="DY38" s="82">
        <f t="shared" si="86"/>
        <v>0</v>
      </c>
      <c r="DZ38" s="82">
        <f t="shared" si="87"/>
        <v>0</v>
      </c>
      <c r="EA38" s="82">
        <f t="shared" si="88"/>
        <v>0</v>
      </c>
      <c r="EB38" s="82">
        <f t="shared" si="89"/>
        <v>0</v>
      </c>
      <c r="EC38" s="82">
        <f t="shared" si="90"/>
        <v>0</v>
      </c>
      <c r="ED38" s="82">
        <f t="shared" si="91"/>
        <v>0</v>
      </c>
      <c r="EE38" s="82">
        <f t="shared" si="92"/>
        <v>0</v>
      </c>
      <c r="EF38" s="82">
        <f t="shared" si="93"/>
        <v>0</v>
      </c>
      <c r="EG38" s="82">
        <f t="shared" si="94"/>
        <v>0</v>
      </c>
      <c r="EH38" s="82">
        <f t="shared" si="95"/>
        <v>0</v>
      </c>
      <c r="EI38" s="82">
        <f t="shared" si="96"/>
        <v>0</v>
      </c>
      <c r="EJ38" s="82">
        <f t="shared" si="97"/>
        <v>0</v>
      </c>
      <c r="EK38" s="82">
        <f t="shared" si="98"/>
        <v>0</v>
      </c>
      <c r="EL38" s="82">
        <f t="shared" si="99"/>
        <v>0</v>
      </c>
      <c r="EM38" s="82">
        <f t="shared" si="100"/>
        <v>0</v>
      </c>
      <c r="EN38" s="82">
        <f t="shared" si="101"/>
        <v>0</v>
      </c>
      <c r="EO38" s="82">
        <f t="shared" si="102"/>
        <v>0</v>
      </c>
      <c r="EP38" s="82">
        <f t="shared" si="103"/>
        <v>0</v>
      </c>
      <c r="EQ38" s="82">
        <f t="shared" si="104"/>
        <v>0</v>
      </c>
      <c r="ER38" s="82">
        <f t="shared" si="105"/>
        <v>0</v>
      </c>
      <c r="ES38" s="82">
        <f t="shared" si="106"/>
        <v>0</v>
      </c>
      <c r="ET38" s="82">
        <f t="shared" si="107"/>
        <v>0</v>
      </c>
      <c r="EU38" s="82">
        <f t="shared" si="108"/>
        <v>0</v>
      </c>
      <c r="EV38" s="82">
        <f t="shared" si="109"/>
        <v>0</v>
      </c>
      <c r="EW38" s="82">
        <f t="shared" si="110"/>
        <v>0</v>
      </c>
      <c r="EX38" s="82">
        <f t="shared" si="111"/>
        <v>0</v>
      </c>
      <c r="EY38" s="111">
        <f t="shared" si="112"/>
        <v>0</v>
      </c>
      <c r="EZ38" s="143">
        <f t="shared" ca="1" si="113"/>
        <v>0</v>
      </c>
      <c r="FA38" s="112">
        <f t="shared" ca="1" si="114"/>
        <v>0</v>
      </c>
      <c r="FB38" s="113">
        <f t="shared" ca="1" si="115"/>
        <v>0</v>
      </c>
      <c r="FC38" s="114">
        <f t="shared" ca="1" si="116"/>
        <v>0</v>
      </c>
      <c r="FD38" s="115">
        <f t="shared" ca="1" si="117"/>
        <v>0</v>
      </c>
      <c r="FE38" s="116">
        <f t="shared" ca="1" si="118"/>
        <v>0</v>
      </c>
      <c r="FF38" s="117">
        <f t="shared" ca="1" si="119"/>
        <v>0</v>
      </c>
      <c r="FG38" s="71">
        <f t="shared" si="120"/>
        <v>0</v>
      </c>
      <c r="FH38" s="530">
        <f t="shared" ca="1" si="121"/>
        <v>0</v>
      </c>
      <c r="FI38" s="72"/>
      <c r="FJ38" s="72"/>
      <c r="FK38" s="72"/>
      <c r="FM38" s="421" t="str">
        <f t="shared" si="122"/>
        <v>L02-209_MfamResiPthp</v>
      </c>
      <c r="FN38" s="422" t="str">
        <f t="shared" ca="1" si="123"/>
        <v>Dwelling Unit</v>
      </c>
      <c r="FO38" s="423">
        <f t="shared" ca="1" si="136"/>
        <v>0</v>
      </c>
      <c r="FP38" s="423">
        <f t="shared" ca="1" si="136"/>
        <v>0</v>
      </c>
      <c r="FQ38" s="423">
        <f t="shared" ca="1" si="136"/>
        <v>0</v>
      </c>
      <c r="FR38" s="423">
        <f t="shared" ca="1" si="136"/>
        <v>0</v>
      </c>
      <c r="FS38" s="423">
        <f t="shared" ca="1" si="136"/>
        <v>0</v>
      </c>
      <c r="FT38" s="423">
        <f t="shared" ca="1" si="136"/>
        <v>0</v>
      </c>
      <c r="FU38" s="423">
        <f t="shared" ca="1" si="136"/>
        <v>0</v>
      </c>
      <c r="FV38" s="423">
        <f t="shared" ca="1" si="136"/>
        <v>0</v>
      </c>
      <c r="FW38" s="423">
        <f t="shared" ca="1" si="136"/>
        <v>0</v>
      </c>
      <c r="FX38" s="423">
        <f t="shared" ca="1" si="136"/>
        <v>0</v>
      </c>
      <c r="FY38" s="423">
        <f t="shared" ca="1" si="136"/>
        <v>0</v>
      </c>
      <c r="FZ38" s="423">
        <f t="shared" ca="1" si="136"/>
        <v>0</v>
      </c>
      <c r="GA38" s="423">
        <f t="shared" ca="1" si="136"/>
        <v>0</v>
      </c>
      <c r="GB38" s="423">
        <f t="shared" ca="1" si="136"/>
        <v>0</v>
      </c>
      <c r="GC38" s="423">
        <f t="shared" ca="1" si="136"/>
        <v>0</v>
      </c>
      <c r="GD38" s="423">
        <f t="shared" ca="1" si="136"/>
        <v>0</v>
      </c>
      <c r="GE38" s="423">
        <f t="shared" ca="1" si="133"/>
        <v>0</v>
      </c>
      <c r="GF38" s="423">
        <f t="shared" ca="1" si="133"/>
        <v>0</v>
      </c>
      <c r="GG38" s="423">
        <f t="shared" ca="1" si="133"/>
        <v>0</v>
      </c>
      <c r="GH38" s="423">
        <f t="shared" ca="1" si="133"/>
        <v>0</v>
      </c>
      <c r="GI38" s="423">
        <f t="shared" ca="1" si="133"/>
        <v>0</v>
      </c>
      <c r="GJ38" s="423">
        <f t="shared" ca="1" si="133"/>
        <v>0</v>
      </c>
      <c r="GK38" s="423">
        <f t="shared" ca="1" si="133"/>
        <v>0</v>
      </c>
      <c r="GL38" s="423">
        <f t="shared" ca="1" si="133"/>
        <v>0</v>
      </c>
      <c r="GM38" s="423">
        <f t="shared" ca="1" si="133"/>
        <v>0</v>
      </c>
      <c r="GN38" s="423">
        <f t="shared" ca="1" si="133"/>
        <v>0</v>
      </c>
      <c r="GO38" s="423">
        <f t="shared" ca="1" si="133"/>
        <v>0</v>
      </c>
      <c r="GP38" s="423">
        <f t="shared" ca="1" si="133"/>
        <v>0</v>
      </c>
      <c r="GQ38" s="423">
        <f t="shared" ca="1" si="133"/>
        <v>0</v>
      </c>
      <c r="GR38" s="423">
        <f t="shared" ca="1" si="133"/>
        <v>0</v>
      </c>
      <c r="GS38" s="423">
        <f t="shared" ca="1" si="133"/>
        <v>0</v>
      </c>
      <c r="GT38" s="423">
        <f t="shared" ca="1" si="133"/>
        <v>0</v>
      </c>
      <c r="GU38" s="423">
        <f t="shared" ca="1" si="134"/>
        <v>0</v>
      </c>
      <c r="GV38" s="423">
        <f t="shared" ca="1" si="134"/>
        <v>0</v>
      </c>
      <c r="GW38" s="423">
        <f t="shared" ca="1" si="134"/>
        <v>0</v>
      </c>
      <c r="GX38" s="423">
        <f t="shared" ca="1" si="134"/>
        <v>0</v>
      </c>
      <c r="GY38" s="423">
        <f t="shared" ca="1" si="134"/>
        <v>0</v>
      </c>
      <c r="GZ38" s="423">
        <f t="shared" ca="1" si="134"/>
        <v>0</v>
      </c>
      <c r="HA38" s="423">
        <f t="shared" ca="1" si="134"/>
        <v>0</v>
      </c>
      <c r="HB38" s="423">
        <f t="shared" ca="1" si="134"/>
        <v>0</v>
      </c>
      <c r="HC38" s="423">
        <f t="shared" ca="1" si="134"/>
        <v>0</v>
      </c>
      <c r="HD38" s="423">
        <f t="shared" ca="1" si="134"/>
        <v>0</v>
      </c>
      <c r="HE38" s="423">
        <f t="shared" ca="1" si="134"/>
        <v>0</v>
      </c>
      <c r="HF38" s="423">
        <f t="shared" ca="1" si="134"/>
        <v>0</v>
      </c>
      <c r="HG38" s="423">
        <f t="shared" ca="1" si="134"/>
        <v>0</v>
      </c>
      <c r="HH38" s="423">
        <f t="shared" ca="1" si="134"/>
        <v>0</v>
      </c>
      <c r="HI38" s="423">
        <f t="shared" ca="1" si="134"/>
        <v>0</v>
      </c>
      <c r="HJ38" s="423">
        <f t="shared" ca="1" si="134"/>
        <v>0</v>
      </c>
      <c r="HK38" s="423">
        <f t="shared" ca="1" si="135"/>
        <v>0</v>
      </c>
      <c r="HL38" s="423">
        <f t="shared" ca="1" si="135"/>
        <v>0</v>
      </c>
      <c r="HM38" s="423">
        <f t="shared" ca="1" si="135"/>
        <v>0</v>
      </c>
      <c r="HN38" s="423">
        <f t="shared" ca="1" si="135"/>
        <v>0</v>
      </c>
      <c r="HO38" s="423">
        <f t="shared" ca="1" si="135"/>
        <v>0</v>
      </c>
      <c r="HP38" s="423">
        <f t="shared" ca="1" si="135"/>
        <v>0</v>
      </c>
      <c r="HQ38" s="423">
        <f t="shared" ca="1" si="135"/>
        <v>0</v>
      </c>
      <c r="HR38" s="423">
        <f t="shared" ca="1" si="135"/>
        <v>0</v>
      </c>
      <c r="HS38" s="423">
        <f t="shared" ca="1" si="135"/>
        <v>0</v>
      </c>
      <c r="HT38" s="423">
        <f t="shared" ca="1" si="135"/>
        <v>0</v>
      </c>
    </row>
    <row r="39" spans="1:230" ht="11.25" customHeight="1" x14ac:dyDescent="0.2">
      <c r="A39" s="62">
        <f t="shared" si="128"/>
        <v>28</v>
      </c>
      <c r="B39" s="60" t="str">
        <f>Spaces_Sum!C84</f>
        <v>L02-210_LndyRaccBbrd</v>
      </c>
      <c r="C39" s="62" t="str">
        <f>Spaces_Sum!D84</f>
        <v>L02</v>
      </c>
      <c r="D39" s="62" t="str">
        <f ca="1">Spaces_Sum!I84</f>
        <v>DirectlyConditioned</v>
      </c>
      <c r="F39" s="110">
        <f ca="1">Spaces_Sum!M84</f>
        <v>272.42880000000002</v>
      </c>
      <c r="G39" s="110" t="str">
        <f ca="1">Spaces_Sum!J84</f>
        <v>Laundry/Washing Area</v>
      </c>
      <c r="H39" s="532"/>
      <c r="I39" s="185"/>
      <c r="J39" s="618"/>
      <c r="K39" s="635"/>
      <c r="L39" s="633"/>
      <c r="M39" s="634"/>
      <c r="N39" s="636"/>
      <c r="O39" s="635"/>
      <c r="P39" s="633"/>
      <c r="Q39" s="634"/>
      <c r="R39" s="189"/>
      <c r="S39" s="635"/>
      <c r="T39" s="633"/>
      <c r="U39" s="634"/>
      <c r="V39" s="636"/>
      <c r="W39" s="635"/>
      <c r="X39" s="633"/>
      <c r="Y39" s="634"/>
      <c r="Z39" s="636"/>
      <c r="AA39" s="635"/>
      <c r="AB39" s="187"/>
      <c r="AC39" s="188"/>
      <c r="AD39" s="189"/>
      <c r="AE39" s="186"/>
      <c r="AF39" s="633"/>
      <c r="AG39" s="634"/>
      <c r="AH39" s="189"/>
      <c r="AI39" s="186"/>
      <c r="AJ39" s="187"/>
      <c r="AK39" s="188"/>
      <c r="AL39" s="189"/>
      <c r="AM39" s="186"/>
      <c r="AN39" s="187"/>
      <c r="AO39" s="188"/>
      <c r="AP39" s="189"/>
      <c r="AQ39" s="186"/>
      <c r="AR39" s="187"/>
      <c r="AS39" s="188"/>
      <c r="AT39" s="189"/>
      <c r="AU39" s="186"/>
      <c r="AV39" s="187"/>
      <c r="AW39" s="188"/>
      <c r="AX39" s="189"/>
      <c r="AY39" s="186"/>
      <c r="AZ39" s="187"/>
      <c r="BA39" s="188"/>
      <c r="BB39" s="189"/>
      <c r="BC39" s="186"/>
      <c r="BD39" s="187"/>
      <c r="BE39" s="188"/>
      <c r="BF39" s="189"/>
      <c r="BG39" s="186"/>
      <c r="BH39" s="187"/>
      <c r="BI39" s="188"/>
      <c r="BJ39" s="189"/>
      <c r="BK39" s="186"/>
      <c r="BL39" s="187"/>
      <c r="BM39" s="188"/>
      <c r="BN39" s="189"/>
      <c r="BO39" s="186"/>
      <c r="BP39" s="187"/>
      <c r="BQ39" s="188"/>
      <c r="BR39" s="189"/>
      <c r="BS39" s="186"/>
      <c r="BT39" s="187"/>
      <c r="BU39" s="188"/>
      <c r="BV39" s="189"/>
      <c r="BW39" s="186"/>
      <c r="BX39" s="187"/>
      <c r="BY39" s="188"/>
      <c r="BZ39" s="189"/>
      <c r="CA39" s="186"/>
      <c r="CB39" s="190"/>
      <c r="CC39" s="190"/>
      <c r="CD39" s="82">
        <f t="shared" si="39"/>
        <v>0</v>
      </c>
      <c r="CE39" s="82">
        <f t="shared" si="40"/>
        <v>0</v>
      </c>
      <c r="CF39" s="82">
        <f t="shared" si="41"/>
        <v>0</v>
      </c>
      <c r="CG39" s="82">
        <f t="shared" si="42"/>
        <v>0</v>
      </c>
      <c r="CH39" s="82">
        <f t="shared" si="43"/>
        <v>0</v>
      </c>
      <c r="CI39" s="82">
        <f t="shared" si="44"/>
        <v>0</v>
      </c>
      <c r="CJ39" s="82">
        <f t="shared" si="45"/>
        <v>0</v>
      </c>
      <c r="CK39" s="82">
        <f t="shared" si="46"/>
        <v>0</v>
      </c>
      <c r="CL39" s="82">
        <f t="shared" si="47"/>
        <v>0</v>
      </c>
      <c r="CM39" s="82">
        <f t="shared" si="48"/>
        <v>0</v>
      </c>
      <c r="CN39" s="82">
        <f t="shared" si="49"/>
        <v>0</v>
      </c>
      <c r="CO39" s="82">
        <f t="shared" si="50"/>
        <v>0</v>
      </c>
      <c r="CP39" s="82">
        <f t="shared" si="51"/>
        <v>0</v>
      </c>
      <c r="CQ39" s="82">
        <f t="shared" si="52"/>
        <v>0</v>
      </c>
      <c r="CR39" s="82">
        <f t="shared" si="53"/>
        <v>0</v>
      </c>
      <c r="CS39" s="82">
        <f t="shared" si="54"/>
        <v>0</v>
      </c>
      <c r="CT39" s="82">
        <f t="shared" si="55"/>
        <v>0</v>
      </c>
      <c r="CU39" s="82">
        <f t="shared" si="56"/>
        <v>0</v>
      </c>
      <c r="CV39" s="82">
        <f t="shared" si="57"/>
        <v>0</v>
      </c>
      <c r="CW39" s="82">
        <f t="shared" si="58"/>
        <v>0</v>
      </c>
      <c r="CX39" s="82">
        <f t="shared" si="59"/>
        <v>0</v>
      </c>
      <c r="CY39" s="82">
        <f t="shared" si="60"/>
        <v>0</v>
      </c>
      <c r="CZ39" s="82">
        <f t="shared" si="61"/>
        <v>0</v>
      </c>
      <c r="DA39" s="82">
        <f t="shared" si="62"/>
        <v>0</v>
      </c>
      <c r="DB39" s="82">
        <f t="shared" si="63"/>
        <v>0</v>
      </c>
      <c r="DC39" s="82">
        <f t="shared" si="64"/>
        <v>0</v>
      </c>
      <c r="DD39" s="82">
        <f t="shared" si="65"/>
        <v>0</v>
      </c>
      <c r="DE39" s="82">
        <f t="shared" si="66"/>
        <v>0</v>
      </c>
      <c r="DF39" s="82">
        <f t="shared" si="67"/>
        <v>0</v>
      </c>
      <c r="DG39" s="82">
        <f t="shared" si="68"/>
        <v>0</v>
      </c>
      <c r="DH39" s="82">
        <f t="shared" si="69"/>
        <v>0</v>
      </c>
      <c r="DI39" s="82">
        <f t="shared" si="70"/>
        <v>0</v>
      </c>
      <c r="DJ39" s="82">
        <f t="shared" si="71"/>
        <v>0</v>
      </c>
      <c r="DK39" s="82">
        <f t="shared" si="72"/>
        <v>0</v>
      </c>
      <c r="DL39" s="82">
        <f t="shared" si="73"/>
        <v>0</v>
      </c>
      <c r="DM39" s="82">
        <f t="shared" si="74"/>
        <v>0</v>
      </c>
      <c r="DN39" s="82">
        <f t="shared" si="75"/>
        <v>0</v>
      </c>
      <c r="DO39" s="82">
        <f t="shared" si="76"/>
        <v>0</v>
      </c>
      <c r="DP39" s="82">
        <f t="shared" si="77"/>
        <v>0</v>
      </c>
      <c r="DQ39" s="82">
        <f t="shared" si="78"/>
        <v>0</v>
      </c>
      <c r="DR39" s="82">
        <f t="shared" si="79"/>
        <v>0</v>
      </c>
      <c r="DS39" s="82">
        <f t="shared" si="80"/>
        <v>0</v>
      </c>
      <c r="DT39" s="82">
        <f t="shared" si="81"/>
        <v>0</v>
      </c>
      <c r="DU39" s="82">
        <f t="shared" si="82"/>
        <v>0</v>
      </c>
      <c r="DV39" s="82">
        <f t="shared" si="83"/>
        <v>0</v>
      </c>
      <c r="DW39" s="82">
        <f t="shared" si="84"/>
        <v>0</v>
      </c>
      <c r="DX39" s="82">
        <f t="shared" si="85"/>
        <v>0</v>
      </c>
      <c r="DY39" s="82">
        <f t="shared" si="86"/>
        <v>0</v>
      </c>
      <c r="DZ39" s="82">
        <f t="shared" si="87"/>
        <v>0</v>
      </c>
      <c r="EA39" s="82">
        <f t="shared" si="88"/>
        <v>0</v>
      </c>
      <c r="EB39" s="82">
        <f t="shared" si="89"/>
        <v>0</v>
      </c>
      <c r="EC39" s="82">
        <f t="shared" si="90"/>
        <v>0</v>
      </c>
      <c r="ED39" s="82">
        <f t="shared" si="91"/>
        <v>0</v>
      </c>
      <c r="EE39" s="82">
        <f t="shared" si="92"/>
        <v>0</v>
      </c>
      <c r="EF39" s="82">
        <f t="shared" si="93"/>
        <v>0</v>
      </c>
      <c r="EG39" s="82">
        <f t="shared" si="94"/>
        <v>0</v>
      </c>
      <c r="EH39" s="82">
        <f t="shared" si="95"/>
        <v>0</v>
      </c>
      <c r="EI39" s="82">
        <f t="shared" si="96"/>
        <v>0</v>
      </c>
      <c r="EJ39" s="82">
        <f t="shared" si="97"/>
        <v>0</v>
      </c>
      <c r="EK39" s="82">
        <f t="shared" si="98"/>
        <v>0</v>
      </c>
      <c r="EL39" s="82">
        <f t="shared" si="99"/>
        <v>0</v>
      </c>
      <c r="EM39" s="82">
        <f t="shared" si="100"/>
        <v>0</v>
      </c>
      <c r="EN39" s="82">
        <f t="shared" si="101"/>
        <v>0</v>
      </c>
      <c r="EO39" s="82">
        <f t="shared" si="102"/>
        <v>0</v>
      </c>
      <c r="EP39" s="82">
        <f t="shared" si="103"/>
        <v>0</v>
      </c>
      <c r="EQ39" s="82">
        <f t="shared" si="104"/>
        <v>0</v>
      </c>
      <c r="ER39" s="82">
        <f t="shared" si="105"/>
        <v>0</v>
      </c>
      <c r="ES39" s="82">
        <f t="shared" si="106"/>
        <v>0</v>
      </c>
      <c r="ET39" s="82">
        <f t="shared" si="107"/>
        <v>0</v>
      </c>
      <c r="EU39" s="82">
        <f t="shared" si="108"/>
        <v>0</v>
      </c>
      <c r="EV39" s="82">
        <f t="shared" si="109"/>
        <v>0</v>
      </c>
      <c r="EW39" s="82">
        <f t="shared" si="110"/>
        <v>0</v>
      </c>
      <c r="EX39" s="82">
        <f t="shared" si="111"/>
        <v>0</v>
      </c>
      <c r="EY39" s="111">
        <f t="shared" si="112"/>
        <v>0</v>
      </c>
      <c r="EZ39" s="143">
        <f t="shared" ca="1" si="113"/>
        <v>0</v>
      </c>
      <c r="FA39" s="112">
        <f t="shared" ca="1" si="114"/>
        <v>0</v>
      </c>
      <c r="FB39" s="113">
        <f t="shared" ca="1" si="115"/>
        <v>0</v>
      </c>
      <c r="FC39" s="114">
        <f t="shared" ca="1" si="116"/>
        <v>0</v>
      </c>
      <c r="FD39" s="115">
        <f t="shared" ca="1" si="117"/>
        <v>0</v>
      </c>
      <c r="FE39" s="116">
        <f t="shared" ca="1" si="118"/>
        <v>0</v>
      </c>
      <c r="FF39" s="117">
        <f t="shared" ca="1" si="119"/>
        <v>0</v>
      </c>
      <c r="FG39" s="71">
        <f t="shared" si="120"/>
        <v>0</v>
      </c>
      <c r="FH39" s="530">
        <f t="shared" ca="1" si="121"/>
        <v>0</v>
      </c>
      <c r="FI39" s="72"/>
      <c r="FJ39" s="72"/>
      <c r="FK39" s="72"/>
      <c r="FM39" s="421" t="str">
        <f t="shared" si="122"/>
        <v>L02-210_LndyRaccBbrd</v>
      </c>
      <c r="FN39" s="422" t="str">
        <f t="shared" ca="1" si="123"/>
        <v>Laundry/Washing Area</v>
      </c>
      <c r="FO39" s="423">
        <f t="shared" ca="1" si="136"/>
        <v>0</v>
      </c>
      <c r="FP39" s="423">
        <f t="shared" ca="1" si="136"/>
        <v>0</v>
      </c>
      <c r="FQ39" s="423">
        <f t="shared" ca="1" si="136"/>
        <v>0</v>
      </c>
      <c r="FR39" s="423">
        <f t="shared" ca="1" si="136"/>
        <v>0</v>
      </c>
      <c r="FS39" s="423">
        <f t="shared" ca="1" si="136"/>
        <v>0</v>
      </c>
      <c r="FT39" s="423">
        <f t="shared" ca="1" si="136"/>
        <v>0</v>
      </c>
      <c r="FU39" s="423">
        <f t="shared" ca="1" si="136"/>
        <v>0</v>
      </c>
      <c r="FV39" s="423">
        <f t="shared" ca="1" si="136"/>
        <v>0</v>
      </c>
      <c r="FW39" s="423">
        <f t="shared" ca="1" si="136"/>
        <v>0</v>
      </c>
      <c r="FX39" s="423">
        <f t="shared" ca="1" si="136"/>
        <v>0</v>
      </c>
      <c r="FY39" s="423">
        <f t="shared" ca="1" si="136"/>
        <v>0</v>
      </c>
      <c r="FZ39" s="423">
        <f t="shared" ca="1" si="136"/>
        <v>0</v>
      </c>
      <c r="GA39" s="423">
        <f t="shared" ca="1" si="136"/>
        <v>0</v>
      </c>
      <c r="GB39" s="423">
        <f t="shared" ca="1" si="136"/>
        <v>0</v>
      </c>
      <c r="GC39" s="423">
        <f t="shared" ca="1" si="136"/>
        <v>0</v>
      </c>
      <c r="GD39" s="423">
        <f t="shared" ca="1" si="136"/>
        <v>0</v>
      </c>
      <c r="GE39" s="423">
        <f t="shared" ca="1" si="133"/>
        <v>0</v>
      </c>
      <c r="GF39" s="423">
        <f t="shared" ca="1" si="133"/>
        <v>0</v>
      </c>
      <c r="GG39" s="423">
        <f t="shared" ca="1" si="133"/>
        <v>0</v>
      </c>
      <c r="GH39" s="423">
        <f t="shared" ca="1" si="133"/>
        <v>0</v>
      </c>
      <c r="GI39" s="423">
        <f t="shared" ca="1" si="133"/>
        <v>0</v>
      </c>
      <c r="GJ39" s="423">
        <f t="shared" ca="1" si="133"/>
        <v>0</v>
      </c>
      <c r="GK39" s="423">
        <f t="shared" ca="1" si="133"/>
        <v>0</v>
      </c>
      <c r="GL39" s="423">
        <f t="shared" ca="1" si="133"/>
        <v>0</v>
      </c>
      <c r="GM39" s="423">
        <f t="shared" ca="1" si="133"/>
        <v>0</v>
      </c>
      <c r="GN39" s="423">
        <f t="shared" ca="1" si="133"/>
        <v>0</v>
      </c>
      <c r="GO39" s="423">
        <f t="shared" ca="1" si="133"/>
        <v>0</v>
      </c>
      <c r="GP39" s="423">
        <f t="shared" ca="1" si="133"/>
        <v>0</v>
      </c>
      <c r="GQ39" s="423">
        <f t="shared" ca="1" si="133"/>
        <v>0</v>
      </c>
      <c r="GR39" s="423">
        <f t="shared" ca="1" si="133"/>
        <v>0</v>
      </c>
      <c r="GS39" s="423">
        <f t="shared" ca="1" si="133"/>
        <v>0</v>
      </c>
      <c r="GT39" s="423">
        <f t="shared" ca="1" si="133"/>
        <v>0</v>
      </c>
      <c r="GU39" s="423">
        <f t="shared" ca="1" si="134"/>
        <v>0</v>
      </c>
      <c r="GV39" s="423">
        <f t="shared" ca="1" si="134"/>
        <v>0</v>
      </c>
      <c r="GW39" s="423">
        <f t="shared" ca="1" si="134"/>
        <v>0</v>
      </c>
      <c r="GX39" s="423">
        <f t="shared" ca="1" si="134"/>
        <v>0</v>
      </c>
      <c r="GY39" s="423">
        <f t="shared" ca="1" si="134"/>
        <v>0</v>
      </c>
      <c r="GZ39" s="423">
        <f t="shared" ca="1" si="134"/>
        <v>0</v>
      </c>
      <c r="HA39" s="423">
        <f t="shared" ca="1" si="134"/>
        <v>0</v>
      </c>
      <c r="HB39" s="423">
        <f t="shared" ca="1" si="134"/>
        <v>0</v>
      </c>
      <c r="HC39" s="423">
        <f t="shared" ca="1" si="134"/>
        <v>0</v>
      </c>
      <c r="HD39" s="423">
        <f t="shared" ca="1" si="134"/>
        <v>0</v>
      </c>
      <c r="HE39" s="423">
        <f t="shared" ca="1" si="134"/>
        <v>0</v>
      </c>
      <c r="HF39" s="423">
        <f t="shared" ca="1" si="134"/>
        <v>0</v>
      </c>
      <c r="HG39" s="423">
        <f t="shared" ca="1" si="134"/>
        <v>0</v>
      </c>
      <c r="HH39" s="423">
        <f t="shared" ca="1" si="134"/>
        <v>0</v>
      </c>
      <c r="HI39" s="423">
        <f t="shared" ca="1" si="134"/>
        <v>0</v>
      </c>
      <c r="HJ39" s="423">
        <f t="shared" ca="1" si="134"/>
        <v>0</v>
      </c>
      <c r="HK39" s="423">
        <f t="shared" ca="1" si="135"/>
        <v>0</v>
      </c>
      <c r="HL39" s="423">
        <f t="shared" ca="1" si="135"/>
        <v>0</v>
      </c>
      <c r="HM39" s="423">
        <f t="shared" ca="1" si="135"/>
        <v>0</v>
      </c>
      <c r="HN39" s="423">
        <f t="shared" ca="1" si="135"/>
        <v>0</v>
      </c>
      <c r="HO39" s="423">
        <f t="shared" ca="1" si="135"/>
        <v>0</v>
      </c>
      <c r="HP39" s="423">
        <f t="shared" ca="1" si="135"/>
        <v>0</v>
      </c>
      <c r="HQ39" s="423">
        <f t="shared" ca="1" si="135"/>
        <v>0</v>
      </c>
      <c r="HR39" s="423">
        <f t="shared" ca="1" si="135"/>
        <v>0</v>
      </c>
      <c r="HS39" s="423">
        <f t="shared" ca="1" si="135"/>
        <v>0</v>
      </c>
      <c r="HT39" s="423">
        <f t="shared" ca="1" si="135"/>
        <v>0</v>
      </c>
    </row>
    <row r="40" spans="1:230" ht="11.25" customHeight="1" x14ac:dyDescent="0.2">
      <c r="A40" s="62">
        <f t="shared" si="128"/>
        <v>29</v>
      </c>
      <c r="B40" s="60" t="str">
        <f>Spaces_Sum!C85</f>
        <v>L02-211_ElevRaccIncd</v>
      </c>
      <c r="C40" s="62" t="str">
        <f>Spaces_Sum!D85</f>
        <v>L02</v>
      </c>
      <c r="D40" s="62" t="str">
        <f ca="1">Spaces_Sum!I85</f>
        <v>IndirectlyConditioned</v>
      </c>
      <c r="F40" s="110">
        <f ca="1">Spaces_Sum!M85</f>
        <v>211.21340000000001</v>
      </c>
      <c r="G40" s="110" t="str">
        <f ca="1">Spaces_Sum!J85</f>
        <v>Unoccupied-Include in Gross Floor Area</v>
      </c>
      <c r="H40" s="632"/>
      <c r="I40" s="618"/>
      <c r="J40" s="618"/>
      <c r="K40" s="635"/>
      <c r="L40" s="633"/>
      <c r="M40" s="634"/>
      <c r="N40" s="636"/>
      <c r="O40" s="635"/>
      <c r="P40" s="633"/>
      <c r="Q40" s="634"/>
      <c r="R40" s="634"/>
      <c r="S40" s="186"/>
      <c r="T40" s="187"/>
      <c r="U40" s="188"/>
      <c r="V40" s="189"/>
      <c r="W40" s="186"/>
      <c r="X40" s="187"/>
      <c r="Y40" s="188"/>
      <c r="Z40" s="189"/>
      <c r="AA40" s="186"/>
      <c r="AB40" s="187"/>
      <c r="AC40" s="188"/>
      <c r="AD40" s="189"/>
      <c r="AE40" s="186"/>
      <c r="AF40" s="187"/>
      <c r="AG40" s="188"/>
      <c r="AH40" s="189"/>
      <c r="AI40" s="186"/>
      <c r="AJ40" s="187"/>
      <c r="AK40" s="188"/>
      <c r="AL40" s="189"/>
      <c r="AM40" s="186"/>
      <c r="AN40" s="187"/>
      <c r="AO40" s="188"/>
      <c r="AP40" s="189"/>
      <c r="AQ40" s="186"/>
      <c r="AR40" s="187"/>
      <c r="AS40" s="188"/>
      <c r="AT40" s="189"/>
      <c r="AU40" s="186"/>
      <c r="AV40" s="187"/>
      <c r="AW40" s="188"/>
      <c r="AX40" s="189"/>
      <c r="AY40" s="186"/>
      <c r="AZ40" s="187"/>
      <c r="BA40" s="188"/>
      <c r="BB40" s="189"/>
      <c r="BC40" s="186"/>
      <c r="BD40" s="187"/>
      <c r="BE40" s="188"/>
      <c r="BF40" s="189"/>
      <c r="BG40" s="186"/>
      <c r="BH40" s="187"/>
      <c r="BI40" s="188"/>
      <c r="BJ40" s="189"/>
      <c r="BK40" s="186"/>
      <c r="BL40" s="187"/>
      <c r="BM40" s="188"/>
      <c r="BN40" s="189"/>
      <c r="BO40" s="186"/>
      <c r="BP40" s="187"/>
      <c r="BQ40" s="188"/>
      <c r="BR40" s="189"/>
      <c r="BS40" s="186"/>
      <c r="BT40" s="187"/>
      <c r="BU40" s="188"/>
      <c r="BV40" s="189"/>
      <c r="BW40" s="186"/>
      <c r="BX40" s="187"/>
      <c r="BY40" s="188"/>
      <c r="BZ40" s="189"/>
      <c r="CA40" s="186"/>
      <c r="CB40" s="190"/>
      <c r="CC40" s="190"/>
      <c r="CD40" s="82">
        <f t="shared" si="39"/>
        <v>0</v>
      </c>
      <c r="CE40" s="82">
        <f t="shared" si="40"/>
        <v>0</v>
      </c>
      <c r="CF40" s="82">
        <f t="shared" si="41"/>
        <v>0</v>
      </c>
      <c r="CG40" s="82">
        <f t="shared" si="42"/>
        <v>0</v>
      </c>
      <c r="CH40" s="82">
        <f t="shared" si="43"/>
        <v>0</v>
      </c>
      <c r="CI40" s="82">
        <f t="shared" si="44"/>
        <v>0</v>
      </c>
      <c r="CJ40" s="82">
        <f t="shared" si="45"/>
        <v>0</v>
      </c>
      <c r="CK40" s="82">
        <f t="shared" si="46"/>
        <v>0</v>
      </c>
      <c r="CL40" s="82">
        <f t="shared" si="47"/>
        <v>0</v>
      </c>
      <c r="CM40" s="82">
        <f t="shared" si="48"/>
        <v>0</v>
      </c>
      <c r="CN40" s="82">
        <f t="shared" si="49"/>
        <v>0</v>
      </c>
      <c r="CO40" s="82">
        <f t="shared" si="50"/>
        <v>0</v>
      </c>
      <c r="CP40" s="82">
        <f t="shared" si="51"/>
        <v>0</v>
      </c>
      <c r="CQ40" s="82">
        <f t="shared" si="52"/>
        <v>0</v>
      </c>
      <c r="CR40" s="82">
        <f t="shared" si="53"/>
        <v>0</v>
      </c>
      <c r="CS40" s="82">
        <f t="shared" si="54"/>
        <v>0</v>
      </c>
      <c r="CT40" s="82">
        <f t="shared" si="55"/>
        <v>0</v>
      </c>
      <c r="CU40" s="82">
        <f t="shared" si="56"/>
        <v>0</v>
      </c>
      <c r="CV40" s="82">
        <f t="shared" si="57"/>
        <v>0</v>
      </c>
      <c r="CW40" s="82">
        <f t="shared" si="58"/>
        <v>0</v>
      </c>
      <c r="CX40" s="82">
        <f t="shared" si="59"/>
        <v>0</v>
      </c>
      <c r="CY40" s="82">
        <f t="shared" si="60"/>
        <v>0</v>
      </c>
      <c r="CZ40" s="82">
        <f t="shared" si="61"/>
        <v>0</v>
      </c>
      <c r="DA40" s="82">
        <f t="shared" si="62"/>
        <v>0</v>
      </c>
      <c r="DB40" s="82">
        <f t="shared" si="63"/>
        <v>0</v>
      </c>
      <c r="DC40" s="82">
        <f t="shared" si="64"/>
        <v>0</v>
      </c>
      <c r="DD40" s="82">
        <f t="shared" si="65"/>
        <v>0</v>
      </c>
      <c r="DE40" s="82">
        <f t="shared" si="66"/>
        <v>0</v>
      </c>
      <c r="DF40" s="82">
        <f t="shared" si="67"/>
        <v>0</v>
      </c>
      <c r="DG40" s="82">
        <f t="shared" si="68"/>
        <v>0</v>
      </c>
      <c r="DH40" s="82">
        <f t="shared" si="69"/>
        <v>0</v>
      </c>
      <c r="DI40" s="82">
        <f t="shared" si="70"/>
        <v>0</v>
      </c>
      <c r="DJ40" s="82">
        <f t="shared" si="71"/>
        <v>0</v>
      </c>
      <c r="DK40" s="82">
        <f t="shared" si="72"/>
        <v>0</v>
      </c>
      <c r="DL40" s="82">
        <f t="shared" si="73"/>
        <v>0</v>
      </c>
      <c r="DM40" s="82">
        <f t="shared" si="74"/>
        <v>0</v>
      </c>
      <c r="DN40" s="82">
        <f t="shared" si="75"/>
        <v>0</v>
      </c>
      <c r="DO40" s="82">
        <f t="shared" si="76"/>
        <v>0</v>
      </c>
      <c r="DP40" s="82">
        <f t="shared" si="77"/>
        <v>0</v>
      </c>
      <c r="DQ40" s="82">
        <f t="shared" si="78"/>
        <v>0</v>
      </c>
      <c r="DR40" s="82">
        <f t="shared" si="79"/>
        <v>0</v>
      </c>
      <c r="DS40" s="82">
        <f t="shared" si="80"/>
        <v>0</v>
      </c>
      <c r="DT40" s="82">
        <f t="shared" si="81"/>
        <v>0</v>
      </c>
      <c r="DU40" s="82">
        <f t="shared" si="82"/>
        <v>0</v>
      </c>
      <c r="DV40" s="82">
        <f t="shared" si="83"/>
        <v>0</v>
      </c>
      <c r="DW40" s="82">
        <f t="shared" si="84"/>
        <v>0</v>
      </c>
      <c r="DX40" s="82">
        <f t="shared" si="85"/>
        <v>0</v>
      </c>
      <c r="DY40" s="82">
        <f t="shared" si="86"/>
        <v>0</v>
      </c>
      <c r="DZ40" s="82">
        <f t="shared" si="87"/>
        <v>0</v>
      </c>
      <c r="EA40" s="82">
        <f t="shared" si="88"/>
        <v>0</v>
      </c>
      <c r="EB40" s="82">
        <f t="shared" si="89"/>
        <v>0</v>
      </c>
      <c r="EC40" s="82">
        <f t="shared" si="90"/>
        <v>0</v>
      </c>
      <c r="ED40" s="82">
        <f t="shared" si="91"/>
        <v>0</v>
      </c>
      <c r="EE40" s="82">
        <f t="shared" si="92"/>
        <v>0</v>
      </c>
      <c r="EF40" s="82">
        <f t="shared" si="93"/>
        <v>0</v>
      </c>
      <c r="EG40" s="82">
        <f t="shared" si="94"/>
        <v>0</v>
      </c>
      <c r="EH40" s="82">
        <f t="shared" si="95"/>
        <v>0</v>
      </c>
      <c r="EI40" s="82">
        <f t="shared" si="96"/>
        <v>0</v>
      </c>
      <c r="EJ40" s="82">
        <f t="shared" si="97"/>
        <v>0</v>
      </c>
      <c r="EK40" s="82">
        <f t="shared" si="98"/>
        <v>0</v>
      </c>
      <c r="EL40" s="82">
        <f t="shared" si="99"/>
        <v>0</v>
      </c>
      <c r="EM40" s="82">
        <f t="shared" si="100"/>
        <v>0</v>
      </c>
      <c r="EN40" s="82">
        <f t="shared" si="101"/>
        <v>0</v>
      </c>
      <c r="EO40" s="82">
        <f t="shared" si="102"/>
        <v>0</v>
      </c>
      <c r="EP40" s="82">
        <f t="shared" si="103"/>
        <v>0</v>
      </c>
      <c r="EQ40" s="82">
        <f t="shared" si="104"/>
        <v>0</v>
      </c>
      <c r="ER40" s="82">
        <f t="shared" si="105"/>
        <v>0</v>
      </c>
      <c r="ES40" s="82">
        <f t="shared" si="106"/>
        <v>0</v>
      </c>
      <c r="ET40" s="82">
        <f t="shared" si="107"/>
        <v>0</v>
      </c>
      <c r="EU40" s="82">
        <f t="shared" si="108"/>
        <v>0</v>
      </c>
      <c r="EV40" s="82">
        <f t="shared" si="109"/>
        <v>0</v>
      </c>
      <c r="EW40" s="82">
        <f t="shared" si="110"/>
        <v>0</v>
      </c>
      <c r="EX40" s="82">
        <f t="shared" si="111"/>
        <v>0</v>
      </c>
      <c r="EY40" s="111">
        <f t="shared" si="112"/>
        <v>0</v>
      </c>
      <c r="EZ40" s="143">
        <f t="shared" ca="1" si="113"/>
        <v>0</v>
      </c>
      <c r="FA40" s="112">
        <f t="shared" ca="1" si="114"/>
        <v>0</v>
      </c>
      <c r="FB40" s="113">
        <f t="shared" ca="1" si="115"/>
        <v>0</v>
      </c>
      <c r="FC40" s="114">
        <f t="shared" ca="1" si="116"/>
        <v>0</v>
      </c>
      <c r="FD40" s="115">
        <f t="shared" ca="1" si="117"/>
        <v>0</v>
      </c>
      <c r="FE40" s="116">
        <f t="shared" ca="1" si="118"/>
        <v>0</v>
      </c>
      <c r="FF40" s="117">
        <f t="shared" ca="1" si="119"/>
        <v>0</v>
      </c>
      <c r="FG40" s="71">
        <f t="shared" si="120"/>
        <v>0</v>
      </c>
      <c r="FH40" s="530">
        <f t="shared" ca="1" si="121"/>
        <v>0</v>
      </c>
      <c r="FI40" s="72"/>
      <c r="FJ40" s="72"/>
      <c r="FK40" s="72"/>
      <c r="FM40" s="421" t="str">
        <f t="shared" si="122"/>
        <v>L02-211_ElevRaccIncd</v>
      </c>
      <c r="FN40" s="422" t="str">
        <f t="shared" ca="1" si="123"/>
        <v>Unoccupied-Include in Gross Floor Area</v>
      </c>
      <c r="FO40" s="423">
        <f t="shared" ca="1" si="136"/>
        <v>0</v>
      </c>
      <c r="FP40" s="423">
        <f t="shared" ca="1" si="136"/>
        <v>0</v>
      </c>
      <c r="FQ40" s="423">
        <f t="shared" ca="1" si="136"/>
        <v>0</v>
      </c>
      <c r="FR40" s="423">
        <f t="shared" ca="1" si="136"/>
        <v>0</v>
      </c>
      <c r="FS40" s="423">
        <f t="shared" ca="1" si="136"/>
        <v>0</v>
      </c>
      <c r="FT40" s="423">
        <f t="shared" ca="1" si="136"/>
        <v>0</v>
      </c>
      <c r="FU40" s="423">
        <f t="shared" ca="1" si="136"/>
        <v>0</v>
      </c>
      <c r="FV40" s="423">
        <f t="shared" ca="1" si="136"/>
        <v>0</v>
      </c>
      <c r="FW40" s="423">
        <f t="shared" ca="1" si="136"/>
        <v>0</v>
      </c>
      <c r="FX40" s="423">
        <f t="shared" ca="1" si="136"/>
        <v>0</v>
      </c>
      <c r="FY40" s="423">
        <f t="shared" ca="1" si="136"/>
        <v>0</v>
      </c>
      <c r="FZ40" s="423">
        <f t="shared" ca="1" si="136"/>
        <v>0</v>
      </c>
      <c r="GA40" s="423">
        <f t="shared" ca="1" si="136"/>
        <v>0</v>
      </c>
      <c r="GB40" s="423">
        <f t="shared" ca="1" si="136"/>
        <v>0</v>
      </c>
      <c r="GC40" s="423">
        <f t="shared" ca="1" si="136"/>
        <v>0</v>
      </c>
      <c r="GD40" s="423">
        <f t="shared" ca="1" si="136"/>
        <v>0</v>
      </c>
      <c r="GE40" s="423">
        <f t="shared" ca="1" si="133"/>
        <v>0</v>
      </c>
      <c r="GF40" s="423">
        <f t="shared" ca="1" si="133"/>
        <v>0</v>
      </c>
      <c r="GG40" s="423">
        <f t="shared" ca="1" si="133"/>
        <v>0</v>
      </c>
      <c r="GH40" s="423">
        <f t="shared" ca="1" si="133"/>
        <v>0</v>
      </c>
      <c r="GI40" s="423">
        <f t="shared" ca="1" si="133"/>
        <v>0</v>
      </c>
      <c r="GJ40" s="423">
        <f t="shared" ca="1" si="133"/>
        <v>0</v>
      </c>
      <c r="GK40" s="423">
        <f t="shared" ca="1" si="133"/>
        <v>0</v>
      </c>
      <c r="GL40" s="423">
        <f t="shared" ca="1" si="133"/>
        <v>0</v>
      </c>
      <c r="GM40" s="423">
        <f t="shared" ca="1" si="133"/>
        <v>0</v>
      </c>
      <c r="GN40" s="423">
        <f t="shared" ca="1" si="133"/>
        <v>0</v>
      </c>
      <c r="GO40" s="423">
        <f t="shared" ca="1" si="133"/>
        <v>0</v>
      </c>
      <c r="GP40" s="423">
        <f t="shared" ca="1" si="133"/>
        <v>0</v>
      </c>
      <c r="GQ40" s="423">
        <f t="shared" ca="1" si="133"/>
        <v>0</v>
      </c>
      <c r="GR40" s="423">
        <f t="shared" ca="1" si="133"/>
        <v>0</v>
      </c>
      <c r="GS40" s="423">
        <f t="shared" ca="1" si="133"/>
        <v>0</v>
      </c>
      <c r="GT40" s="423">
        <f t="shared" ca="1" si="133"/>
        <v>0</v>
      </c>
      <c r="GU40" s="423">
        <f t="shared" ca="1" si="134"/>
        <v>0</v>
      </c>
      <c r="GV40" s="423">
        <f t="shared" ca="1" si="134"/>
        <v>0</v>
      </c>
      <c r="GW40" s="423">
        <f t="shared" ca="1" si="134"/>
        <v>0</v>
      </c>
      <c r="GX40" s="423">
        <f t="shared" ca="1" si="134"/>
        <v>0</v>
      </c>
      <c r="GY40" s="423">
        <f t="shared" ca="1" si="134"/>
        <v>0</v>
      </c>
      <c r="GZ40" s="423">
        <f t="shared" ca="1" si="134"/>
        <v>0</v>
      </c>
      <c r="HA40" s="423">
        <f t="shared" ca="1" si="134"/>
        <v>0</v>
      </c>
      <c r="HB40" s="423">
        <f t="shared" ca="1" si="134"/>
        <v>0</v>
      </c>
      <c r="HC40" s="423">
        <f t="shared" ca="1" si="134"/>
        <v>0</v>
      </c>
      <c r="HD40" s="423">
        <f t="shared" ca="1" si="134"/>
        <v>0</v>
      </c>
      <c r="HE40" s="423">
        <f t="shared" ca="1" si="134"/>
        <v>0</v>
      </c>
      <c r="HF40" s="423">
        <f t="shared" ca="1" si="134"/>
        <v>0</v>
      </c>
      <c r="HG40" s="423">
        <f t="shared" ca="1" si="134"/>
        <v>0</v>
      </c>
      <c r="HH40" s="423">
        <f t="shared" ca="1" si="134"/>
        <v>0</v>
      </c>
      <c r="HI40" s="423">
        <f t="shared" ca="1" si="134"/>
        <v>0</v>
      </c>
      <c r="HJ40" s="423">
        <f t="shared" ca="1" si="134"/>
        <v>0</v>
      </c>
      <c r="HK40" s="423">
        <f t="shared" ca="1" si="135"/>
        <v>0</v>
      </c>
      <c r="HL40" s="423">
        <f t="shared" ca="1" si="135"/>
        <v>0</v>
      </c>
      <c r="HM40" s="423">
        <f t="shared" ca="1" si="135"/>
        <v>0</v>
      </c>
      <c r="HN40" s="423">
        <f t="shared" ca="1" si="135"/>
        <v>0</v>
      </c>
      <c r="HO40" s="423">
        <f t="shared" ca="1" si="135"/>
        <v>0</v>
      </c>
      <c r="HP40" s="423">
        <f t="shared" ca="1" si="135"/>
        <v>0</v>
      </c>
      <c r="HQ40" s="423">
        <f t="shared" ca="1" si="135"/>
        <v>0</v>
      </c>
      <c r="HR40" s="423">
        <f t="shared" ca="1" si="135"/>
        <v>0</v>
      </c>
      <c r="HS40" s="423">
        <f t="shared" ca="1" si="135"/>
        <v>0</v>
      </c>
      <c r="HT40" s="423">
        <f t="shared" ca="1" si="135"/>
        <v>0</v>
      </c>
    </row>
    <row r="41" spans="1:230" ht="11.25" customHeight="1" x14ac:dyDescent="0.2">
      <c r="A41" s="62">
        <f t="shared" si="128"/>
        <v>30</v>
      </c>
      <c r="B41" s="60" t="str">
        <f>Spaces_Sum!C86</f>
        <v>L02-212_StrsRaccIncd</v>
      </c>
      <c r="C41" s="62" t="str">
        <f>Spaces_Sum!D86</f>
        <v>L02</v>
      </c>
      <c r="D41" s="62" t="str">
        <f ca="1">Spaces_Sum!I86</f>
        <v>IndirectlyConditioned</v>
      </c>
      <c r="F41" s="110">
        <f ca="1">Spaces_Sum!M86</f>
        <v>236.34819999999999</v>
      </c>
      <c r="G41" s="110" t="str">
        <f ca="1">Spaces_Sum!J86</f>
        <v>Stairwell</v>
      </c>
      <c r="H41" s="532"/>
      <c r="I41" s="185"/>
      <c r="J41" s="185"/>
      <c r="K41" s="186"/>
      <c r="L41" s="187"/>
      <c r="M41" s="188"/>
      <c r="N41" s="189"/>
      <c r="O41" s="186"/>
      <c r="P41" s="187"/>
      <c r="Q41" s="188"/>
      <c r="R41" s="189"/>
      <c r="S41" s="186"/>
      <c r="T41" s="187"/>
      <c r="U41" s="188"/>
      <c r="V41" s="189"/>
      <c r="W41" s="186"/>
      <c r="X41" s="187"/>
      <c r="Y41" s="188"/>
      <c r="Z41" s="189"/>
      <c r="AA41" s="186"/>
      <c r="AB41" s="187"/>
      <c r="AC41" s="188"/>
      <c r="AD41" s="189"/>
      <c r="AE41" s="186"/>
      <c r="AF41" s="187"/>
      <c r="AG41" s="188"/>
      <c r="AH41" s="189"/>
      <c r="AI41" s="186"/>
      <c r="AJ41" s="187"/>
      <c r="AK41" s="188"/>
      <c r="AL41" s="189"/>
      <c r="AM41" s="186"/>
      <c r="AN41" s="187"/>
      <c r="AO41" s="188"/>
      <c r="AP41" s="189"/>
      <c r="AQ41" s="186"/>
      <c r="AR41" s="187"/>
      <c r="AS41" s="188"/>
      <c r="AT41" s="189"/>
      <c r="AU41" s="186"/>
      <c r="AV41" s="187"/>
      <c r="AW41" s="188"/>
      <c r="AX41" s="189"/>
      <c r="AY41" s="186"/>
      <c r="AZ41" s="187"/>
      <c r="BA41" s="188"/>
      <c r="BB41" s="189"/>
      <c r="BC41" s="186"/>
      <c r="BD41" s="187"/>
      <c r="BE41" s="188"/>
      <c r="BF41" s="189"/>
      <c r="BG41" s="186"/>
      <c r="BH41" s="187"/>
      <c r="BI41" s="188"/>
      <c r="BJ41" s="189"/>
      <c r="BK41" s="186"/>
      <c r="BL41" s="187"/>
      <c r="BM41" s="188"/>
      <c r="BN41" s="189"/>
      <c r="BO41" s="186"/>
      <c r="BP41" s="187"/>
      <c r="BQ41" s="188"/>
      <c r="BR41" s="189"/>
      <c r="BS41" s="186"/>
      <c r="BT41" s="187"/>
      <c r="BU41" s="188"/>
      <c r="BV41" s="189"/>
      <c r="BW41" s="186"/>
      <c r="BX41" s="187"/>
      <c r="BY41" s="188"/>
      <c r="BZ41" s="189"/>
      <c r="CA41" s="186"/>
      <c r="CB41" s="190"/>
      <c r="CC41" s="190"/>
      <c r="CD41" s="82">
        <f t="shared" si="39"/>
        <v>0</v>
      </c>
      <c r="CE41" s="82">
        <f t="shared" si="40"/>
        <v>0</v>
      </c>
      <c r="CF41" s="82">
        <f t="shared" si="41"/>
        <v>0</v>
      </c>
      <c r="CG41" s="82">
        <f t="shared" si="42"/>
        <v>0</v>
      </c>
      <c r="CH41" s="82">
        <f t="shared" si="43"/>
        <v>0</v>
      </c>
      <c r="CI41" s="82">
        <f t="shared" si="44"/>
        <v>0</v>
      </c>
      <c r="CJ41" s="82">
        <f t="shared" si="45"/>
        <v>0</v>
      </c>
      <c r="CK41" s="82">
        <f t="shared" si="46"/>
        <v>0</v>
      </c>
      <c r="CL41" s="82">
        <f t="shared" si="47"/>
        <v>0</v>
      </c>
      <c r="CM41" s="82">
        <f t="shared" si="48"/>
        <v>0</v>
      </c>
      <c r="CN41" s="82">
        <f t="shared" si="49"/>
        <v>0</v>
      </c>
      <c r="CO41" s="82">
        <f t="shared" si="50"/>
        <v>0</v>
      </c>
      <c r="CP41" s="82">
        <f t="shared" si="51"/>
        <v>0</v>
      </c>
      <c r="CQ41" s="82">
        <f t="shared" si="52"/>
        <v>0</v>
      </c>
      <c r="CR41" s="82">
        <f t="shared" si="53"/>
        <v>0</v>
      </c>
      <c r="CS41" s="82">
        <f t="shared" si="54"/>
        <v>0</v>
      </c>
      <c r="CT41" s="82">
        <f t="shared" si="55"/>
        <v>0</v>
      </c>
      <c r="CU41" s="82">
        <f t="shared" si="56"/>
        <v>0</v>
      </c>
      <c r="CV41" s="82">
        <f t="shared" si="57"/>
        <v>0</v>
      </c>
      <c r="CW41" s="82">
        <f t="shared" si="58"/>
        <v>0</v>
      </c>
      <c r="CX41" s="82">
        <f t="shared" si="59"/>
        <v>0</v>
      </c>
      <c r="CY41" s="82">
        <f t="shared" si="60"/>
        <v>0</v>
      </c>
      <c r="CZ41" s="82">
        <f t="shared" si="61"/>
        <v>0</v>
      </c>
      <c r="DA41" s="82">
        <f t="shared" si="62"/>
        <v>0</v>
      </c>
      <c r="DB41" s="82">
        <f t="shared" si="63"/>
        <v>0</v>
      </c>
      <c r="DC41" s="82">
        <f t="shared" si="64"/>
        <v>0</v>
      </c>
      <c r="DD41" s="82">
        <f t="shared" si="65"/>
        <v>0</v>
      </c>
      <c r="DE41" s="82">
        <f t="shared" si="66"/>
        <v>0</v>
      </c>
      <c r="DF41" s="82">
        <f t="shared" si="67"/>
        <v>0</v>
      </c>
      <c r="DG41" s="82">
        <f t="shared" si="68"/>
        <v>0</v>
      </c>
      <c r="DH41" s="82">
        <f t="shared" si="69"/>
        <v>0</v>
      </c>
      <c r="DI41" s="82">
        <f t="shared" si="70"/>
        <v>0</v>
      </c>
      <c r="DJ41" s="82">
        <f t="shared" si="71"/>
        <v>0</v>
      </c>
      <c r="DK41" s="82">
        <f t="shared" si="72"/>
        <v>0</v>
      </c>
      <c r="DL41" s="82">
        <f t="shared" si="73"/>
        <v>0</v>
      </c>
      <c r="DM41" s="82">
        <f t="shared" si="74"/>
        <v>0</v>
      </c>
      <c r="DN41" s="82">
        <f t="shared" si="75"/>
        <v>0</v>
      </c>
      <c r="DO41" s="82">
        <f t="shared" si="76"/>
        <v>0</v>
      </c>
      <c r="DP41" s="82">
        <f t="shared" si="77"/>
        <v>0</v>
      </c>
      <c r="DQ41" s="82">
        <f t="shared" si="78"/>
        <v>0</v>
      </c>
      <c r="DR41" s="82">
        <f t="shared" si="79"/>
        <v>0</v>
      </c>
      <c r="DS41" s="82">
        <f t="shared" si="80"/>
        <v>0</v>
      </c>
      <c r="DT41" s="82">
        <f t="shared" si="81"/>
        <v>0</v>
      </c>
      <c r="DU41" s="82">
        <f t="shared" si="82"/>
        <v>0</v>
      </c>
      <c r="DV41" s="82">
        <f t="shared" si="83"/>
        <v>0</v>
      </c>
      <c r="DW41" s="82">
        <f t="shared" si="84"/>
        <v>0</v>
      </c>
      <c r="DX41" s="82">
        <f t="shared" si="85"/>
        <v>0</v>
      </c>
      <c r="DY41" s="82">
        <f t="shared" si="86"/>
        <v>0</v>
      </c>
      <c r="DZ41" s="82">
        <f t="shared" si="87"/>
        <v>0</v>
      </c>
      <c r="EA41" s="82">
        <f t="shared" si="88"/>
        <v>0</v>
      </c>
      <c r="EB41" s="82">
        <f t="shared" si="89"/>
        <v>0</v>
      </c>
      <c r="EC41" s="82">
        <f t="shared" si="90"/>
        <v>0</v>
      </c>
      <c r="ED41" s="82">
        <f t="shared" si="91"/>
        <v>0</v>
      </c>
      <c r="EE41" s="82">
        <f t="shared" si="92"/>
        <v>0</v>
      </c>
      <c r="EF41" s="82">
        <f t="shared" si="93"/>
        <v>0</v>
      </c>
      <c r="EG41" s="82">
        <f t="shared" si="94"/>
        <v>0</v>
      </c>
      <c r="EH41" s="82">
        <f t="shared" si="95"/>
        <v>0</v>
      </c>
      <c r="EI41" s="82">
        <f t="shared" si="96"/>
        <v>0</v>
      </c>
      <c r="EJ41" s="82">
        <f t="shared" si="97"/>
        <v>0</v>
      </c>
      <c r="EK41" s="82">
        <f t="shared" si="98"/>
        <v>0</v>
      </c>
      <c r="EL41" s="82">
        <f t="shared" si="99"/>
        <v>0</v>
      </c>
      <c r="EM41" s="82">
        <f t="shared" si="100"/>
        <v>0</v>
      </c>
      <c r="EN41" s="82">
        <f t="shared" si="101"/>
        <v>0</v>
      </c>
      <c r="EO41" s="82">
        <f t="shared" si="102"/>
        <v>0</v>
      </c>
      <c r="EP41" s="82">
        <f t="shared" si="103"/>
        <v>0</v>
      </c>
      <c r="EQ41" s="82">
        <f t="shared" si="104"/>
        <v>0</v>
      </c>
      <c r="ER41" s="82">
        <f t="shared" si="105"/>
        <v>0</v>
      </c>
      <c r="ES41" s="82">
        <f t="shared" si="106"/>
        <v>0</v>
      </c>
      <c r="ET41" s="82">
        <f t="shared" si="107"/>
        <v>0</v>
      </c>
      <c r="EU41" s="82">
        <f t="shared" si="108"/>
        <v>0</v>
      </c>
      <c r="EV41" s="82">
        <f t="shared" si="109"/>
        <v>0</v>
      </c>
      <c r="EW41" s="82">
        <f t="shared" si="110"/>
        <v>0</v>
      </c>
      <c r="EX41" s="82">
        <f t="shared" si="111"/>
        <v>0</v>
      </c>
      <c r="EY41" s="111">
        <f t="shared" si="112"/>
        <v>0</v>
      </c>
      <c r="EZ41" s="143">
        <f t="shared" ca="1" si="113"/>
        <v>0</v>
      </c>
      <c r="FA41" s="112">
        <f t="shared" ca="1" si="114"/>
        <v>0</v>
      </c>
      <c r="FB41" s="113">
        <f t="shared" ca="1" si="115"/>
        <v>0</v>
      </c>
      <c r="FC41" s="114">
        <f t="shared" ca="1" si="116"/>
        <v>0</v>
      </c>
      <c r="FD41" s="115">
        <f t="shared" ca="1" si="117"/>
        <v>0</v>
      </c>
      <c r="FE41" s="116">
        <f t="shared" ca="1" si="118"/>
        <v>0</v>
      </c>
      <c r="FF41" s="117">
        <f t="shared" ca="1" si="119"/>
        <v>0</v>
      </c>
      <c r="FG41" s="71">
        <f t="shared" si="120"/>
        <v>0</v>
      </c>
      <c r="FH41" s="530">
        <f t="shared" ca="1" si="121"/>
        <v>0</v>
      </c>
      <c r="FI41" s="72"/>
      <c r="FJ41" s="72"/>
      <c r="FK41" s="72"/>
      <c r="FM41" s="421" t="str">
        <f t="shared" si="122"/>
        <v>L02-212_StrsRaccIncd</v>
      </c>
      <c r="FN41" s="422" t="str">
        <f t="shared" ca="1" si="123"/>
        <v>Stairwell</v>
      </c>
      <c r="FO41" s="423">
        <f t="shared" ca="1" si="136"/>
        <v>0</v>
      </c>
      <c r="FP41" s="423">
        <f t="shared" ca="1" si="136"/>
        <v>0</v>
      </c>
      <c r="FQ41" s="423">
        <f t="shared" ca="1" si="136"/>
        <v>0</v>
      </c>
      <c r="FR41" s="423">
        <f t="shared" ca="1" si="136"/>
        <v>0</v>
      </c>
      <c r="FS41" s="423">
        <f t="shared" ca="1" si="136"/>
        <v>0</v>
      </c>
      <c r="FT41" s="423">
        <f t="shared" ca="1" si="136"/>
        <v>0</v>
      </c>
      <c r="FU41" s="423">
        <f t="shared" ca="1" si="136"/>
        <v>0</v>
      </c>
      <c r="FV41" s="423">
        <f t="shared" ca="1" si="136"/>
        <v>0</v>
      </c>
      <c r="FW41" s="423">
        <f t="shared" ca="1" si="136"/>
        <v>0</v>
      </c>
      <c r="FX41" s="423">
        <f t="shared" ca="1" si="136"/>
        <v>0</v>
      </c>
      <c r="FY41" s="423">
        <f t="shared" ca="1" si="136"/>
        <v>0</v>
      </c>
      <c r="FZ41" s="423">
        <f t="shared" ca="1" si="136"/>
        <v>0</v>
      </c>
      <c r="GA41" s="423">
        <f t="shared" ca="1" si="136"/>
        <v>0</v>
      </c>
      <c r="GB41" s="423">
        <f t="shared" ca="1" si="136"/>
        <v>0</v>
      </c>
      <c r="GC41" s="423">
        <f t="shared" ca="1" si="136"/>
        <v>0</v>
      </c>
      <c r="GD41" s="423">
        <f t="shared" ca="1" si="136"/>
        <v>0</v>
      </c>
      <c r="GE41" s="423">
        <f t="shared" ca="1" si="133"/>
        <v>0</v>
      </c>
      <c r="GF41" s="423">
        <f t="shared" ca="1" si="133"/>
        <v>0</v>
      </c>
      <c r="GG41" s="423">
        <f t="shared" ca="1" si="133"/>
        <v>0</v>
      </c>
      <c r="GH41" s="423">
        <f t="shared" ca="1" si="133"/>
        <v>0</v>
      </c>
      <c r="GI41" s="423">
        <f t="shared" ca="1" si="133"/>
        <v>0</v>
      </c>
      <c r="GJ41" s="423">
        <f t="shared" ca="1" si="133"/>
        <v>0</v>
      </c>
      <c r="GK41" s="423">
        <f t="shared" ca="1" si="133"/>
        <v>0</v>
      </c>
      <c r="GL41" s="423">
        <f t="shared" ca="1" si="133"/>
        <v>0</v>
      </c>
      <c r="GM41" s="423">
        <f t="shared" ca="1" si="133"/>
        <v>0</v>
      </c>
      <c r="GN41" s="423">
        <f t="shared" ca="1" si="133"/>
        <v>0</v>
      </c>
      <c r="GO41" s="423">
        <f t="shared" ca="1" si="133"/>
        <v>0</v>
      </c>
      <c r="GP41" s="423">
        <f t="shared" ca="1" si="133"/>
        <v>0</v>
      </c>
      <c r="GQ41" s="423">
        <f t="shared" ca="1" si="133"/>
        <v>0</v>
      </c>
      <c r="GR41" s="423">
        <f t="shared" ca="1" si="133"/>
        <v>0</v>
      </c>
      <c r="GS41" s="423">
        <f t="shared" ca="1" si="133"/>
        <v>0</v>
      </c>
      <c r="GT41" s="423">
        <f t="shared" ca="1" si="133"/>
        <v>0</v>
      </c>
      <c r="GU41" s="423">
        <f t="shared" ca="1" si="134"/>
        <v>0</v>
      </c>
      <c r="GV41" s="423">
        <f t="shared" ca="1" si="134"/>
        <v>0</v>
      </c>
      <c r="GW41" s="423">
        <f t="shared" ca="1" si="134"/>
        <v>0</v>
      </c>
      <c r="GX41" s="423">
        <f t="shared" ca="1" si="134"/>
        <v>0</v>
      </c>
      <c r="GY41" s="423">
        <f t="shared" ca="1" si="134"/>
        <v>0</v>
      </c>
      <c r="GZ41" s="423">
        <f t="shared" ca="1" si="134"/>
        <v>0</v>
      </c>
      <c r="HA41" s="423">
        <f t="shared" ca="1" si="134"/>
        <v>0</v>
      </c>
      <c r="HB41" s="423">
        <f t="shared" ca="1" si="134"/>
        <v>0</v>
      </c>
      <c r="HC41" s="423">
        <f t="shared" ca="1" si="134"/>
        <v>0</v>
      </c>
      <c r="HD41" s="423">
        <f t="shared" ca="1" si="134"/>
        <v>0</v>
      </c>
      <c r="HE41" s="423">
        <f t="shared" ca="1" si="134"/>
        <v>0</v>
      </c>
      <c r="HF41" s="423">
        <f t="shared" ca="1" si="134"/>
        <v>0</v>
      </c>
      <c r="HG41" s="423">
        <f t="shared" ca="1" si="134"/>
        <v>0</v>
      </c>
      <c r="HH41" s="423">
        <f t="shared" ca="1" si="134"/>
        <v>0</v>
      </c>
      <c r="HI41" s="423">
        <f t="shared" ca="1" si="134"/>
        <v>0</v>
      </c>
      <c r="HJ41" s="423">
        <f t="shared" ca="1" si="134"/>
        <v>0</v>
      </c>
      <c r="HK41" s="423">
        <f t="shared" ca="1" si="135"/>
        <v>0</v>
      </c>
      <c r="HL41" s="423">
        <f t="shared" ca="1" si="135"/>
        <v>0</v>
      </c>
      <c r="HM41" s="423">
        <f t="shared" ca="1" si="135"/>
        <v>0</v>
      </c>
      <c r="HN41" s="423">
        <f t="shared" ca="1" si="135"/>
        <v>0</v>
      </c>
      <c r="HO41" s="423">
        <f t="shared" ca="1" si="135"/>
        <v>0</v>
      </c>
      <c r="HP41" s="423">
        <f t="shared" ca="1" si="135"/>
        <v>0</v>
      </c>
      <c r="HQ41" s="423">
        <f t="shared" ca="1" si="135"/>
        <v>0</v>
      </c>
      <c r="HR41" s="423">
        <f t="shared" ca="1" si="135"/>
        <v>0</v>
      </c>
      <c r="HS41" s="423">
        <f t="shared" ca="1" si="135"/>
        <v>0</v>
      </c>
      <c r="HT41" s="423">
        <f t="shared" ca="1" si="135"/>
        <v>0</v>
      </c>
    </row>
    <row r="42" spans="1:230" ht="11.25" customHeight="1" x14ac:dyDescent="0.2">
      <c r="A42" s="62">
        <f t="shared" si="128"/>
        <v>31</v>
      </c>
      <c r="B42" s="60" t="str">
        <f>Spaces_Sum!C87</f>
        <v>L02-213_MfamResiPthp</v>
      </c>
      <c r="C42" s="62" t="str">
        <f>Spaces_Sum!D87</f>
        <v>L02</v>
      </c>
      <c r="D42" s="62" t="str">
        <f ca="1">Spaces_Sum!I87</f>
        <v>DirectlyConditioned</v>
      </c>
      <c r="F42" s="110">
        <f ca="1">Spaces_Sum!M87</f>
        <v>3034.0410000000002</v>
      </c>
      <c r="G42" s="110" t="str">
        <f ca="1">Spaces_Sum!J87</f>
        <v>Dwelling Unit</v>
      </c>
      <c r="H42" s="532"/>
      <c r="I42" s="185"/>
      <c r="J42" s="185"/>
      <c r="K42" s="635"/>
      <c r="L42" s="633"/>
      <c r="M42" s="634"/>
      <c r="N42" s="634"/>
      <c r="O42" s="635"/>
      <c r="P42" s="187"/>
      <c r="Q42" s="188"/>
      <c r="R42" s="189"/>
      <c r="S42" s="186"/>
      <c r="T42" s="187"/>
      <c r="U42" s="188"/>
      <c r="V42" s="189"/>
      <c r="W42" s="186"/>
      <c r="X42" s="187"/>
      <c r="Y42" s="188"/>
      <c r="Z42" s="189"/>
      <c r="AA42" s="186"/>
      <c r="AB42" s="187"/>
      <c r="AC42" s="188"/>
      <c r="AD42" s="189"/>
      <c r="AE42" s="186"/>
      <c r="AF42" s="187"/>
      <c r="AG42" s="188"/>
      <c r="AH42" s="189"/>
      <c r="AI42" s="186"/>
      <c r="AJ42" s="187"/>
      <c r="AK42" s="188"/>
      <c r="AL42" s="189"/>
      <c r="AM42" s="186"/>
      <c r="AN42" s="187"/>
      <c r="AO42" s="188"/>
      <c r="AP42" s="189"/>
      <c r="AQ42" s="186"/>
      <c r="AR42" s="187"/>
      <c r="AS42" s="188"/>
      <c r="AT42" s="189"/>
      <c r="AU42" s="186"/>
      <c r="AV42" s="187"/>
      <c r="AW42" s="188"/>
      <c r="AX42" s="189"/>
      <c r="AY42" s="186"/>
      <c r="AZ42" s="187"/>
      <c r="BA42" s="188"/>
      <c r="BB42" s="189"/>
      <c r="BC42" s="186"/>
      <c r="BD42" s="187"/>
      <c r="BE42" s="188"/>
      <c r="BF42" s="189"/>
      <c r="BG42" s="186"/>
      <c r="BH42" s="187"/>
      <c r="BI42" s="188"/>
      <c r="BJ42" s="189"/>
      <c r="BK42" s="186"/>
      <c r="BL42" s="187"/>
      <c r="BM42" s="188"/>
      <c r="BN42" s="189"/>
      <c r="BO42" s="186"/>
      <c r="BP42" s="187"/>
      <c r="BQ42" s="188"/>
      <c r="BR42" s="189"/>
      <c r="BS42" s="186"/>
      <c r="BT42" s="187"/>
      <c r="BU42" s="188"/>
      <c r="BV42" s="189"/>
      <c r="BW42" s="186"/>
      <c r="BX42" s="187"/>
      <c r="BY42" s="188"/>
      <c r="BZ42" s="189"/>
      <c r="CA42" s="186"/>
      <c r="CB42" s="190"/>
      <c r="CC42" s="190"/>
      <c r="CD42" s="82">
        <f t="shared" si="39"/>
        <v>0</v>
      </c>
      <c r="CE42" s="82">
        <f t="shared" si="40"/>
        <v>0</v>
      </c>
      <c r="CF42" s="82">
        <f t="shared" si="41"/>
        <v>0</v>
      </c>
      <c r="CG42" s="82">
        <f t="shared" si="42"/>
        <v>0</v>
      </c>
      <c r="CH42" s="82">
        <f t="shared" si="43"/>
        <v>0</v>
      </c>
      <c r="CI42" s="82">
        <f t="shared" si="44"/>
        <v>0</v>
      </c>
      <c r="CJ42" s="82">
        <f t="shared" si="45"/>
        <v>0</v>
      </c>
      <c r="CK42" s="82">
        <f t="shared" si="46"/>
        <v>0</v>
      </c>
      <c r="CL42" s="82">
        <f t="shared" si="47"/>
        <v>0</v>
      </c>
      <c r="CM42" s="82">
        <f t="shared" si="48"/>
        <v>0</v>
      </c>
      <c r="CN42" s="82">
        <f t="shared" si="49"/>
        <v>0</v>
      </c>
      <c r="CO42" s="82">
        <f t="shared" si="50"/>
        <v>0</v>
      </c>
      <c r="CP42" s="82">
        <f t="shared" si="51"/>
        <v>0</v>
      </c>
      <c r="CQ42" s="82">
        <f t="shared" si="52"/>
        <v>0</v>
      </c>
      <c r="CR42" s="82">
        <f t="shared" si="53"/>
        <v>0</v>
      </c>
      <c r="CS42" s="82">
        <f t="shared" si="54"/>
        <v>0</v>
      </c>
      <c r="CT42" s="82">
        <f t="shared" si="55"/>
        <v>0</v>
      </c>
      <c r="CU42" s="82">
        <f t="shared" si="56"/>
        <v>0</v>
      </c>
      <c r="CV42" s="82">
        <f t="shared" si="57"/>
        <v>0</v>
      </c>
      <c r="CW42" s="82">
        <f t="shared" si="58"/>
        <v>0</v>
      </c>
      <c r="CX42" s="82">
        <f t="shared" si="59"/>
        <v>0</v>
      </c>
      <c r="CY42" s="82">
        <f t="shared" si="60"/>
        <v>0</v>
      </c>
      <c r="CZ42" s="82">
        <f t="shared" si="61"/>
        <v>0</v>
      </c>
      <c r="DA42" s="82">
        <f t="shared" si="62"/>
        <v>0</v>
      </c>
      <c r="DB42" s="82">
        <f t="shared" si="63"/>
        <v>0</v>
      </c>
      <c r="DC42" s="82">
        <f t="shared" si="64"/>
        <v>0</v>
      </c>
      <c r="DD42" s="82">
        <f t="shared" si="65"/>
        <v>0</v>
      </c>
      <c r="DE42" s="82">
        <f t="shared" si="66"/>
        <v>0</v>
      </c>
      <c r="DF42" s="82">
        <f t="shared" si="67"/>
        <v>0</v>
      </c>
      <c r="DG42" s="82">
        <f t="shared" si="68"/>
        <v>0</v>
      </c>
      <c r="DH42" s="82">
        <f t="shared" si="69"/>
        <v>0</v>
      </c>
      <c r="DI42" s="82">
        <f t="shared" si="70"/>
        <v>0</v>
      </c>
      <c r="DJ42" s="82">
        <f t="shared" si="71"/>
        <v>0</v>
      </c>
      <c r="DK42" s="82">
        <f t="shared" si="72"/>
        <v>0</v>
      </c>
      <c r="DL42" s="82">
        <f t="shared" si="73"/>
        <v>0</v>
      </c>
      <c r="DM42" s="82">
        <f t="shared" si="74"/>
        <v>0</v>
      </c>
      <c r="DN42" s="82">
        <f t="shared" si="75"/>
        <v>0</v>
      </c>
      <c r="DO42" s="82">
        <f t="shared" si="76"/>
        <v>0</v>
      </c>
      <c r="DP42" s="82">
        <f t="shared" si="77"/>
        <v>0</v>
      </c>
      <c r="DQ42" s="82">
        <f t="shared" si="78"/>
        <v>0</v>
      </c>
      <c r="DR42" s="82">
        <f t="shared" si="79"/>
        <v>0</v>
      </c>
      <c r="DS42" s="82">
        <f t="shared" si="80"/>
        <v>0</v>
      </c>
      <c r="DT42" s="82">
        <f t="shared" si="81"/>
        <v>0</v>
      </c>
      <c r="DU42" s="82">
        <f t="shared" si="82"/>
        <v>0</v>
      </c>
      <c r="DV42" s="82">
        <f t="shared" si="83"/>
        <v>0</v>
      </c>
      <c r="DW42" s="82">
        <f t="shared" si="84"/>
        <v>0</v>
      </c>
      <c r="DX42" s="82">
        <f t="shared" si="85"/>
        <v>0</v>
      </c>
      <c r="DY42" s="82">
        <f t="shared" si="86"/>
        <v>0</v>
      </c>
      <c r="DZ42" s="82">
        <f t="shared" si="87"/>
        <v>0</v>
      </c>
      <c r="EA42" s="82">
        <f t="shared" si="88"/>
        <v>0</v>
      </c>
      <c r="EB42" s="82">
        <f t="shared" si="89"/>
        <v>0</v>
      </c>
      <c r="EC42" s="82">
        <f t="shared" si="90"/>
        <v>0</v>
      </c>
      <c r="ED42" s="82">
        <f t="shared" si="91"/>
        <v>0</v>
      </c>
      <c r="EE42" s="82">
        <f t="shared" si="92"/>
        <v>0</v>
      </c>
      <c r="EF42" s="82">
        <f t="shared" si="93"/>
        <v>0</v>
      </c>
      <c r="EG42" s="82">
        <f t="shared" si="94"/>
        <v>0</v>
      </c>
      <c r="EH42" s="82">
        <f t="shared" si="95"/>
        <v>0</v>
      </c>
      <c r="EI42" s="82">
        <f t="shared" si="96"/>
        <v>0</v>
      </c>
      <c r="EJ42" s="82">
        <f t="shared" si="97"/>
        <v>0</v>
      </c>
      <c r="EK42" s="82">
        <f t="shared" si="98"/>
        <v>0</v>
      </c>
      <c r="EL42" s="82">
        <f t="shared" si="99"/>
        <v>0</v>
      </c>
      <c r="EM42" s="82">
        <f t="shared" si="100"/>
        <v>0</v>
      </c>
      <c r="EN42" s="82">
        <f t="shared" si="101"/>
        <v>0</v>
      </c>
      <c r="EO42" s="82">
        <f t="shared" si="102"/>
        <v>0</v>
      </c>
      <c r="EP42" s="82">
        <f t="shared" si="103"/>
        <v>0</v>
      </c>
      <c r="EQ42" s="82">
        <f t="shared" si="104"/>
        <v>0</v>
      </c>
      <c r="ER42" s="82">
        <f t="shared" si="105"/>
        <v>0</v>
      </c>
      <c r="ES42" s="82">
        <f t="shared" si="106"/>
        <v>0</v>
      </c>
      <c r="ET42" s="82">
        <f t="shared" si="107"/>
        <v>0</v>
      </c>
      <c r="EU42" s="82">
        <f t="shared" si="108"/>
        <v>0</v>
      </c>
      <c r="EV42" s="82">
        <f t="shared" si="109"/>
        <v>0</v>
      </c>
      <c r="EW42" s="82">
        <f t="shared" si="110"/>
        <v>0</v>
      </c>
      <c r="EX42" s="82">
        <f t="shared" si="111"/>
        <v>0</v>
      </c>
      <c r="EY42" s="111">
        <f t="shared" si="112"/>
        <v>0</v>
      </c>
      <c r="EZ42" s="143">
        <f t="shared" ca="1" si="113"/>
        <v>0</v>
      </c>
      <c r="FA42" s="112">
        <f t="shared" ca="1" si="114"/>
        <v>0</v>
      </c>
      <c r="FB42" s="113">
        <f t="shared" ca="1" si="115"/>
        <v>0</v>
      </c>
      <c r="FC42" s="114">
        <f t="shared" ca="1" si="116"/>
        <v>0</v>
      </c>
      <c r="FD42" s="115">
        <f t="shared" ca="1" si="117"/>
        <v>0</v>
      </c>
      <c r="FE42" s="116">
        <f t="shared" ca="1" si="118"/>
        <v>0</v>
      </c>
      <c r="FF42" s="117">
        <f t="shared" ca="1" si="119"/>
        <v>0</v>
      </c>
      <c r="FG42" s="71">
        <f t="shared" si="120"/>
        <v>0</v>
      </c>
      <c r="FH42" s="530">
        <f t="shared" ca="1" si="121"/>
        <v>0</v>
      </c>
      <c r="FI42" s="72"/>
      <c r="FJ42" s="72"/>
      <c r="FK42" s="72"/>
      <c r="FM42" s="421" t="str">
        <f t="shared" si="122"/>
        <v>L02-213_MfamResiPthp</v>
      </c>
      <c r="FN42" s="422" t="str">
        <f t="shared" ca="1" si="123"/>
        <v>Dwelling Unit</v>
      </c>
      <c r="FO42" s="423">
        <f t="shared" ca="1" si="136"/>
        <v>0</v>
      </c>
      <c r="FP42" s="423">
        <f t="shared" ca="1" si="136"/>
        <v>0</v>
      </c>
      <c r="FQ42" s="423">
        <f t="shared" ca="1" si="136"/>
        <v>0</v>
      </c>
      <c r="FR42" s="423">
        <f t="shared" ca="1" si="136"/>
        <v>0</v>
      </c>
      <c r="FS42" s="423">
        <f t="shared" ca="1" si="136"/>
        <v>0</v>
      </c>
      <c r="FT42" s="423">
        <f t="shared" ca="1" si="136"/>
        <v>0</v>
      </c>
      <c r="FU42" s="423">
        <f t="shared" ca="1" si="136"/>
        <v>0</v>
      </c>
      <c r="FV42" s="423">
        <f t="shared" ca="1" si="136"/>
        <v>0</v>
      </c>
      <c r="FW42" s="423">
        <f t="shared" ca="1" si="136"/>
        <v>0</v>
      </c>
      <c r="FX42" s="423">
        <f t="shared" ca="1" si="136"/>
        <v>0</v>
      </c>
      <c r="FY42" s="423">
        <f t="shared" ca="1" si="136"/>
        <v>0</v>
      </c>
      <c r="FZ42" s="423">
        <f t="shared" ca="1" si="136"/>
        <v>0</v>
      </c>
      <c r="GA42" s="423">
        <f t="shared" ca="1" si="136"/>
        <v>0</v>
      </c>
      <c r="GB42" s="423">
        <f t="shared" ca="1" si="136"/>
        <v>0</v>
      </c>
      <c r="GC42" s="423">
        <f t="shared" ca="1" si="136"/>
        <v>0</v>
      </c>
      <c r="GD42" s="423">
        <f t="shared" ca="1" si="136"/>
        <v>0</v>
      </c>
      <c r="GE42" s="423">
        <f t="shared" ca="1" si="133"/>
        <v>0</v>
      </c>
      <c r="GF42" s="423">
        <f t="shared" ca="1" si="133"/>
        <v>0</v>
      </c>
      <c r="GG42" s="423">
        <f t="shared" ca="1" si="133"/>
        <v>0</v>
      </c>
      <c r="GH42" s="423">
        <f t="shared" ca="1" si="133"/>
        <v>0</v>
      </c>
      <c r="GI42" s="423">
        <f t="shared" ca="1" si="133"/>
        <v>0</v>
      </c>
      <c r="GJ42" s="423">
        <f t="shared" ca="1" si="133"/>
        <v>0</v>
      </c>
      <c r="GK42" s="423">
        <f t="shared" ca="1" si="133"/>
        <v>0</v>
      </c>
      <c r="GL42" s="423">
        <f t="shared" ca="1" si="133"/>
        <v>0</v>
      </c>
      <c r="GM42" s="423">
        <f t="shared" ca="1" si="133"/>
        <v>0</v>
      </c>
      <c r="GN42" s="423">
        <f t="shared" ca="1" si="133"/>
        <v>0</v>
      </c>
      <c r="GO42" s="423">
        <f t="shared" ca="1" si="133"/>
        <v>0</v>
      </c>
      <c r="GP42" s="423">
        <f t="shared" ca="1" si="133"/>
        <v>0</v>
      </c>
      <c r="GQ42" s="423">
        <f t="shared" ca="1" si="133"/>
        <v>0</v>
      </c>
      <c r="GR42" s="423">
        <f t="shared" ca="1" si="133"/>
        <v>0</v>
      </c>
      <c r="GS42" s="423">
        <f t="shared" ca="1" si="133"/>
        <v>0</v>
      </c>
      <c r="GT42" s="423">
        <f t="shared" ca="1" si="133"/>
        <v>0</v>
      </c>
      <c r="GU42" s="423">
        <f t="shared" ca="1" si="134"/>
        <v>0</v>
      </c>
      <c r="GV42" s="423">
        <f t="shared" ca="1" si="134"/>
        <v>0</v>
      </c>
      <c r="GW42" s="423">
        <f t="shared" ca="1" si="134"/>
        <v>0</v>
      </c>
      <c r="GX42" s="423">
        <f t="shared" ca="1" si="134"/>
        <v>0</v>
      </c>
      <c r="GY42" s="423">
        <f t="shared" ca="1" si="134"/>
        <v>0</v>
      </c>
      <c r="GZ42" s="423">
        <f t="shared" ca="1" si="134"/>
        <v>0</v>
      </c>
      <c r="HA42" s="423">
        <f t="shared" ca="1" si="134"/>
        <v>0</v>
      </c>
      <c r="HB42" s="423">
        <f t="shared" ca="1" si="134"/>
        <v>0</v>
      </c>
      <c r="HC42" s="423">
        <f t="shared" ca="1" si="134"/>
        <v>0</v>
      </c>
      <c r="HD42" s="423">
        <f t="shared" ca="1" si="134"/>
        <v>0</v>
      </c>
      <c r="HE42" s="423">
        <f t="shared" ca="1" si="134"/>
        <v>0</v>
      </c>
      <c r="HF42" s="423">
        <f t="shared" ca="1" si="134"/>
        <v>0</v>
      </c>
      <c r="HG42" s="423">
        <f t="shared" ca="1" si="134"/>
        <v>0</v>
      </c>
      <c r="HH42" s="423">
        <f t="shared" ca="1" si="134"/>
        <v>0</v>
      </c>
      <c r="HI42" s="423">
        <f t="shared" ca="1" si="134"/>
        <v>0</v>
      </c>
      <c r="HJ42" s="423">
        <f t="shared" ca="1" si="134"/>
        <v>0</v>
      </c>
      <c r="HK42" s="423">
        <f t="shared" ca="1" si="135"/>
        <v>0</v>
      </c>
      <c r="HL42" s="423">
        <f t="shared" ca="1" si="135"/>
        <v>0</v>
      </c>
      <c r="HM42" s="423">
        <f t="shared" ca="1" si="135"/>
        <v>0</v>
      </c>
      <c r="HN42" s="423">
        <f t="shared" ca="1" si="135"/>
        <v>0</v>
      </c>
      <c r="HO42" s="423">
        <f t="shared" ca="1" si="135"/>
        <v>0</v>
      </c>
      <c r="HP42" s="423">
        <f t="shared" ca="1" si="135"/>
        <v>0</v>
      </c>
      <c r="HQ42" s="423">
        <f t="shared" ca="1" si="135"/>
        <v>0</v>
      </c>
      <c r="HR42" s="423">
        <f t="shared" ca="1" si="135"/>
        <v>0</v>
      </c>
      <c r="HS42" s="423">
        <f t="shared" ca="1" si="135"/>
        <v>0</v>
      </c>
      <c r="HT42" s="423">
        <f t="shared" ca="1" si="135"/>
        <v>0</v>
      </c>
      <c r="HU42" s="423"/>
      <c r="HV42" s="423"/>
    </row>
    <row r="43" spans="1:230" ht="11.25" customHeight="1" x14ac:dyDescent="0.2">
      <c r="A43" s="62">
        <f t="shared" si="128"/>
        <v>32</v>
      </c>
      <c r="B43" s="60" t="str">
        <f>Spaces_Sum!C88</f>
        <v>L02-214_MechRaccIncd</v>
      </c>
      <c r="C43" s="62" t="str">
        <f>Spaces_Sum!D88</f>
        <v>L02</v>
      </c>
      <c r="D43" s="62" t="str">
        <f ca="1">Spaces_Sum!I88</f>
        <v>IndirectlyConditioned</v>
      </c>
      <c r="F43" s="110">
        <f ca="1">Spaces_Sum!M88</f>
        <v>347.74279999999999</v>
      </c>
      <c r="G43" s="110" t="str">
        <f ca="1">Spaces_Sum!J88</f>
        <v>Electrical/MechanicaI Room</v>
      </c>
      <c r="H43" s="632"/>
      <c r="I43" s="618"/>
      <c r="J43" s="618"/>
      <c r="K43" s="635"/>
      <c r="L43" s="633"/>
      <c r="M43" s="634"/>
      <c r="N43" s="634"/>
      <c r="O43" s="186"/>
      <c r="P43" s="187"/>
      <c r="Q43" s="188"/>
      <c r="R43" s="189"/>
      <c r="S43" s="186"/>
      <c r="T43" s="187"/>
      <c r="U43" s="188"/>
      <c r="V43" s="189"/>
      <c r="W43" s="186"/>
      <c r="X43" s="187"/>
      <c r="Y43" s="188"/>
      <c r="Z43" s="189"/>
      <c r="AA43" s="186"/>
      <c r="AB43" s="187"/>
      <c r="AC43" s="188"/>
      <c r="AD43" s="189"/>
      <c r="AE43" s="186"/>
      <c r="AF43" s="187"/>
      <c r="AG43" s="188"/>
      <c r="AH43" s="189"/>
      <c r="AI43" s="186"/>
      <c r="AJ43" s="187"/>
      <c r="AK43" s="188"/>
      <c r="AL43" s="189"/>
      <c r="AM43" s="186"/>
      <c r="AN43" s="187"/>
      <c r="AO43" s="188"/>
      <c r="AP43" s="189"/>
      <c r="AQ43" s="186"/>
      <c r="AR43" s="187"/>
      <c r="AS43" s="188"/>
      <c r="AT43" s="189"/>
      <c r="AU43" s="186"/>
      <c r="AV43" s="187"/>
      <c r="AW43" s="188"/>
      <c r="AX43" s="189"/>
      <c r="AY43" s="186"/>
      <c r="AZ43" s="187"/>
      <c r="BA43" s="188"/>
      <c r="BB43" s="189"/>
      <c r="BC43" s="186"/>
      <c r="BD43" s="187"/>
      <c r="BE43" s="188"/>
      <c r="BF43" s="189"/>
      <c r="BG43" s="186"/>
      <c r="BH43" s="187"/>
      <c r="BI43" s="188"/>
      <c r="BJ43" s="189"/>
      <c r="BK43" s="186"/>
      <c r="BL43" s="187"/>
      <c r="BM43" s="188"/>
      <c r="BN43" s="189"/>
      <c r="BO43" s="186"/>
      <c r="BP43" s="187"/>
      <c r="BQ43" s="188"/>
      <c r="BR43" s="189"/>
      <c r="BS43" s="186"/>
      <c r="BT43" s="187"/>
      <c r="BU43" s="188"/>
      <c r="BV43" s="189"/>
      <c r="BW43" s="186"/>
      <c r="BX43" s="187"/>
      <c r="BY43" s="188"/>
      <c r="BZ43" s="189"/>
      <c r="CA43" s="186"/>
      <c r="CB43" s="190"/>
      <c r="CC43" s="190"/>
      <c r="CD43" s="82">
        <f t="shared" si="39"/>
        <v>0</v>
      </c>
      <c r="CE43" s="82">
        <f t="shared" si="40"/>
        <v>0</v>
      </c>
      <c r="CF43" s="82">
        <f t="shared" si="41"/>
        <v>0</v>
      </c>
      <c r="CG43" s="82">
        <f t="shared" si="42"/>
        <v>0</v>
      </c>
      <c r="CH43" s="82">
        <f t="shared" si="43"/>
        <v>0</v>
      </c>
      <c r="CI43" s="82">
        <f t="shared" si="44"/>
        <v>0</v>
      </c>
      <c r="CJ43" s="82">
        <f t="shared" si="45"/>
        <v>0</v>
      </c>
      <c r="CK43" s="82">
        <f t="shared" si="46"/>
        <v>0</v>
      </c>
      <c r="CL43" s="82">
        <f t="shared" si="47"/>
        <v>0</v>
      </c>
      <c r="CM43" s="82">
        <f t="shared" si="48"/>
        <v>0</v>
      </c>
      <c r="CN43" s="82">
        <f t="shared" si="49"/>
        <v>0</v>
      </c>
      <c r="CO43" s="82">
        <f t="shared" si="50"/>
        <v>0</v>
      </c>
      <c r="CP43" s="82">
        <f t="shared" si="51"/>
        <v>0</v>
      </c>
      <c r="CQ43" s="82">
        <f t="shared" si="52"/>
        <v>0</v>
      </c>
      <c r="CR43" s="82">
        <f t="shared" si="53"/>
        <v>0</v>
      </c>
      <c r="CS43" s="82">
        <f t="shared" si="54"/>
        <v>0</v>
      </c>
      <c r="CT43" s="82">
        <f t="shared" si="55"/>
        <v>0</v>
      </c>
      <c r="CU43" s="82">
        <f t="shared" si="56"/>
        <v>0</v>
      </c>
      <c r="CV43" s="82">
        <f t="shared" si="57"/>
        <v>0</v>
      </c>
      <c r="CW43" s="82">
        <f t="shared" si="58"/>
        <v>0</v>
      </c>
      <c r="CX43" s="82">
        <f t="shared" si="59"/>
        <v>0</v>
      </c>
      <c r="CY43" s="82">
        <f t="shared" si="60"/>
        <v>0</v>
      </c>
      <c r="CZ43" s="82">
        <f t="shared" si="61"/>
        <v>0</v>
      </c>
      <c r="DA43" s="82">
        <f t="shared" si="62"/>
        <v>0</v>
      </c>
      <c r="DB43" s="82">
        <f t="shared" si="63"/>
        <v>0</v>
      </c>
      <c r="DC43" s="82">
        <f t="shared" si="64"/>
        <v>0</v>
      </c>
      <c r="DD43" s="82">
        <f t="shared" si="65"/>
        <v>0</v>
      </c>
      <c r="DE43" s="82">
        <f t="shared" si="66"/>
        <v>0</v>
      </c>
      <c r="DF43" s="82">
        <f t="shared" si="67"/>
        <v>0</v>
      </c>
      <c r="DG43" s="82">
        <f t="shared" si="68"/>
        <v>0</v>
      </c>
      <c r="DH43" s="82">
        <f t="shared" si="69"/>
        <v>0</v>
      </c>
      <c r="DI43" s="82">
        <f t="shared" si="70"/>
        <v>0</v>
      </c>
      <c r="DJ43" s="82">
        <f t="shared" si="71"/>
        <v>0</v>
      </c>
      <c r="DK43" s="82">
        <f t="shared" si="72"/>
        <v>0</v>
      </c>
      <c r="DL43" s="82">
        <f t="shared" si="73"/>
        <v>0</v>
      </c>
      <c r="DM43" s="82">
        <f t="shared" si="74"/>
        <v>0</v>
      </c>
      <c r="DN43" s="82">
        <f t="shared" si="75"/>
        <v>0</v>
      </c>
      <c r="DO43" s="82">
        <f t="shared" si="76"/>
        <v>0</v>
      </c>
      <c r="DP43" s="82">
        <f t="shared" si="77"/>
        <v>0</v>
      </c>
      <c r="DQ43" s="82">
        <f t="shared" si="78"/>
        <v>0</v>
      </c>
      <c r="DR43" s="82">
        <f t="shared" si="79"/>
        <v>0</v>
      </c>
      <c r="DS43" s="82">
        <f t="shared" si="80"/>
        <v>0</v>
      </c>
      <c r="DT43" s="82">
        <f t="shared" si="81"/>
        <v>0</v>
      </c>
      <c r="DU43" s="82">
        <f t="shared" si="82"/>
        <v>0</v>
      </c>
      <c r="DV43" s="82">
        <f t="shared" si="83"/>
        <v>0</v>
      </c>
      <c r="DW43" s="82">
        <f t="shared" si="84"/>
        <v>0</v>
      </c>
      <c r="DX43" s="82">
        <f t="shared" si="85"/>
        <v>0</v>
      </c>
      <c r="DY43" s="82">
        <f t="shared" si="86"/>
        <v>0</v>
      </c>
      <c r="DZ43" s="82">
        <f t="shared" si="87"/>
        <v>0</v>
      </c>
      <c r="EA43" s="82">
        <f t="shared" si="88"/>
        <v>0</v>
      </c>
      <c r="EB43" s="82">
        <f t="shared" si="89"/>
        <v>0</v>
      </c>
      <c r="EC43" s="82">
        <f t="shared" si="90"/>
        <v>0</v>
      </c>
      <c r="ED43" s="82">
        <f t="shared" si="91"/>
        <v>0</v>
      </c>
      <c r="EE43" s="82">
        <f t="shared" si="92"/>
        <v>0</v>
      </c>
      <c r="EF43" s="82">
        <f t="shared" si="93"/>
        <v>0</v>
      </c>
      <c r="EG43" s="82">
        <f t="shared" si="94"/>
        <v>0</v>
      </c>
      <c r="EH43" s="82">
        <f t="shared" si="95"/>
        <v>0</v>
      </c>
      <c r="EI43" s="82">
        <f t="shared" si="96"/>
        <v>0</v>
      </c>
      <c r="EJ43" s="82">
        <f t="shared" si="97"/>
        <v>0</v>
      </c>
      <c r="EK43" s="82">
        <f t="shared" si="98"/>
        <v>0</v>
      </c>
      <c r="EL43" s="82">
        <f t="shared" si="99"/>
        <v>0</v>
      </c>
      <c r="EM43" s="82">
        <f t="shared" si="100"/>
        <v>0</v>
      </c>
      <c r="EN43" s="82">
        <f t="shared" si="101"/>
        <v>0</v>
      </c>
      <c r="EO43" s="82">
        <f t="shared" si="102"/>
        <v>0</v>
      </c>
      <c r="EP43" s="82">
        <f t="shared" si="103"/>
        <v>0</v>
      </c>
      <c r="EQ43" s="82">
        <f t="shared" si="104"/>
        <v>0</v>
      </c>
      <c r="ER43" s="82">
        <f t="shared" si="105"/>
        <v>0</v>
      </c>
      <c r="ES43" s="82">
        <f t="shared" si="106"/>
        <v>0</v>
      </c>
      <c r="ET43" s="82">
        <f t="shared" si="107"/>
        <v>0</v>
      </c>
      <c r="EU43" s="82">
        <f t="shared" si="108"/>
        <v>0</v>
      </c>
      <c r="EV43" s="82">
        <f t="shared" si="109"/>
        <v>0</v>
      </c>
      <c r="EW43" s="82">
        <f t="shared" si="110"/>
        <v>0</v>
      </c>
      <c r="EX43" s="82">
        <f t="shared" si="111"/>
        <v>0</v>
      </c>
      <c r="EY43" s="111">
        <f t="shared" si="112"/>
        <v>0</v>
      </c>
      <c r="EZ43" s="143">
        <f t="shared" ca="1" si="113"/>
        <v>0</v>
      </c>
      <c r="FA43" s="112">
        <f t="shared" ca="1" si="114"/>
        <v>0</v>
      </c>
      <c r="FB43" s="113">
        <f t="shared" ca="1" si="115"/>
        <v>0</v>
      </c>
      <c r="FC43" s="114">
        <f t="shared" ca="1" si="116"/>
        <v>0</v>
      </c>
      <c r="FD43" s="115">
        <f t="shared" ca="1" si="117"/>
        <v>0</v>
      </c>
      <c r="FE43" s="116">
        <f t="shared" ca="1" si="118"/>
        <v>0</v>
      </c>
      <c r="FF43" s="117">
        <f t="shared" ca="1" si="119"/>
        <v>0</v>
      </c>
      <c r="FG43" s="71">
        <f t="shared" si="120"/>
        <v>0</v>
      </c>
      <c r="FH43" s="530">
        <f t="shared" ca="1" si="121"/>
        <v>0</v>
      </c>
      <c r="FI43" s="72">
        <f ca="1">0.75*FB43</f>
        <v>0</v>
      </c>
      <c r="FJ43" s="72">
        <f ca="1">FA43</f>
        <v>0</v>
      </c>
      <c r="FK43" s="72">
        <f ca="1">SUM(FI43:FJ43)</f>
        <v>0</v>
      </c>
      <c r="FM43" s="421" t="str">
        <f t="shared" si="122"/>
        <v>L02-214_MechRaccIncd</v>
      </c>
      <c r="FN43" s="422" t="str">
        <f t="shared" ca="1" si="123"/>
        <v>Electrical/MechanicaI Room</v>
      </c>
      <c r="FO43" s="423">
        <f t="shared" ca="1" si="136"/>
        <v>0</v>
      </c>
      <c r="FP43" s="423">
        <f t="shared" ca="1" si="136"/>
        <v>0</v>
      </c>
      <c r="FQ43" s="423">
        <f t="shared" ca="1" si="136"/>
        <v>0</v>
      </c>
      <c r="FR43" s="423">
        <f t="shared" ca="1" si="136"/>
        <v>0</v>
      </c>
      <c r="FS43" s="423">
        <f t="shared" ca="1" si="136"/>
        <v>0</v>
      </c>
      <c r="FT43" s="423">
        <f t="shared" ca="1" si="136"/>
        <v>0</v>
      </c>
      <c r="FU43" s="423">
        <f t="shared" ca="1" si="136"/>
        <v>0</v>
      </c>
      <c r="FV43" s="423">
        <f t="shared" ca="1" si="136"/>
        <v>0</v>
      </c>
      <c r="FW43" s="423">
        <f t="shared" ca="1" si="136"/>
        <v>0</v>
      </c>
      <c r="FX43" s="423">
        <f t="shared" ca="1" si="136"/>
        <v>0</v>
      </c>
      <c r="FY43" s="423">
        <f t="shared" ca="1" si="136"/>
        <v>0</v>
      </c>
      <c r="FZ43" s="423">
        <f t="shared" ca="1" si="136"/>
        <v>0</v>
      </c>
      <c r="GA43" s="423">
        <f t="shared" ca="1" si="136"/>
        <v>0</v>
      </c>
      <c r="GB43" s="423">
        <f t="shared" ca="1" si="136"/>
        <v>0</v>
      </c>
      <c r="GC43" s="423">
        <f t="shared" ca="1" si="136"/>
        <v>0</v>
      </c>
      <c r="GD43" s="423">
        <f t="shared" ca="1" si="136"/>
        <v>0</v>
      </c>
      <c r="GE43" s="423">
        <f t="shared" ref="GE43:GT58" ca="1" si="139">IFERROR(ROUNDDOWN(SUMIF($H43:$CC43,GE$11,$CD43:$EX43)/GE$10,0),0)</f>
        <v>0</v>
      </c>
      <c r="GF43" s="423">
        <f t="shared" ca="1" si="139"/>
        <v>0</v>
      </c>
      <c r="GG43" s="423">
        <f t="shared" ca="1" si="139"/>
        <v>0</v>
      </c>
      <c r="GH43" s="423">
        <f t="shared" ca="1" si="139"/>
        <v>0</v>
      </c>
      <c r="GI43" s="423">
        <f t="shared" ca="1" si="139"/>
        <v>0</v>
      </c>
      <c r="GJ43" s="423">
        <f t="shared" ca="1" si="139"/>
        <v>0</v>
      </c>
      <c r="GK43" s="423">
        <f t="shared" ca="1" si="139"/>
        <v>0</v>
      </c>
      <c r="GL43" s="423">
        <f t="shared" ca="1" si="139"/>
        <v>0</v>
      </c>
      <c r="GM43" s="423">
        <f t="shared" ca="1" si="139"/>
        <v>0</v>
      </c>
      <c r="GN43" s="423">
        <f t="shared" ca="1" si="139"/>
        <v>0</v>
      </c>
      <c r="GO43" s="423">
        <f t="shared" ca="1" si="139"/>
        <v>0</v>
      </c>
      <c r="GP43" s="423">
        <f t="shared" ca="1" si="139"/>
        <v>0</v>
      </c>
      <c r="GQ43" s="423">
        <f t="shared" ca="1" si="139"/>
        <v>0</v>
      </c>
      <c r="GR43" s="423">
        <f t="shared" ca="1" si="139"/>
        <v>0</v>
      </c>
      <c r="GS43" s="423">
        <f t="shared" ca="1" si="139"/>
        <v>0</v>
      </c>
      <c r="GT43" s="423">
        <f t="shared" ca="1" si="139"/>
        <v>0</v>
      </c>
      <c r="GU43" s="423">
        <f t="shared" ref="GU43:HJ58" ca="1" si="140">IFERROR(ROUNDDOWN(SUMIF($H43:$CC43,GU$11,$CD43:$EX43)/GU$10,0),0)</f>
        <v>0</v>
      </c>
      <c r="GV43" s="423">
        <f t="shared" ca="1" si="140"/>
        <v>0</v>
      </c>
      <c r="GW43" s="423">
        <f t="shared" ca="1" si="140"/>
        <v>0</v>
      </c>
      <c r="GX43" s="423">
        <f t="shared" ca="1" si="140"/>
        <v>0</v>
      </c>
      <c r="GY43" s="423">
        <f t="shared" ca="1" si="140"/>
        <v>0</v>
      </c>
      <c r="GZ43" s="423">
        <f t="shared" ca="1" si="140"/>
        <v>0</v>
      </c>
      <c r="HA43" s="423">
        <f t="shared" ca="1" si="140"/>
        <v>0</v>
      </c>
      <c r="HB43" s="423">
        <f t="shared" ca="1" si="140"/>
        <v>0</v>
      </c>
      <c r="HC43" s="423">
        <f t="shared" ca="1" si="140"/>
        <v>0</v>
      </c>
      <c r="HD43" s="423">
        <f t="shared" ca="1" si="140"/>
        <v>0</v>
      </c>
      <c r="HE43" s="423">
        <f t="shared" ca="1" si="140"/>
        <v>0</v>
      </c>
      <c r="HF43" s="423">
        <f t="shared" ca="1" si="140"/>
        <v>0</v>
      </c>
      <c r="HG43" s="423">
        <f t="shared" ca="1" si="140"/>
        <v>0</v>
      </c>
      <c r="HH43" s="423">
        <f t="shared" ca="1" si="140"/>
        <v>0</v>
      </c>
      <c r="HI43" s="423">
        <f t="shared" ca="1" si="140"/>
        <v>0</v>
      </c>
      <c r="HJ43" s="423">
        <f t="shared" ca="1" si="140"/>
        <v>0</v>
      </c>
      <c r="HK43" s="423">
        <f t="shared" ref="HK43:HT58" ca="1" si="141">IFERROR(ROUNDDOWN(SUMIF($H43:$CC43,HK$11,$CD43:$EX43)/HK$10,0),0)</f>
        <v>0</v>
      </c>
      <c r="HL43" s="423">
        <f t="shared" ca="1" si="141"/>
        <v>0</v>
      </c>
      <c r="HM43" s="423">
        <f t="shared" ca="1" si="141"/>
        <v>0</v>
      </c>
      <c r="HN43" s="423">
        <f t="shared" ca="1" si="141"/>
        <v>0</v>
      </c>
      <c r="HO43" s="423">
        <f t="shared" ca="1" si="141"/>
        <v>0</v>
      </c>
      <c r="HP43" s="423">
        <f t="shared" ca="1" si="141"/>
        <v>0</v>
      </c>
      <c r="HQ43" s="423">
        <f t="shared" ca="1" si="141"/>
        <v>0</v>
      </c>
      <c r="HR43" s="423">
        <f t="shared" ca="1" si="141"/>
        <v>0</v>
      </c>
      <c r="HS43" s="423">
        <f t="shared" ca="1" si="141"/>
        <v>0</v>
      </c>
      <c r="HT43" s="423">
        <f t="shared" ca="1" si="141"/>
        <v>0</v>
      </c>
    </row>
    <row r="44" spans="1:230" ht="11.25" customHeight="1" x14ac:dyDescent="0.2">
      <c r="A44" s="62">
        <f t="shared" si="128"/>
        <v>33</v>
      </c>
      <c r="B44" s="60" t="str">
        <f>Spaces_Sum!C89</f>
        <v>L02-215_ElevRaccIncd</v>
      </c>
      <c r="C44" s="62" t="str">
        <f>Spaces_Sum!D89</f>
        <v>L02</v>
      </c>
      <c r="D44" s="62" t="str">
        <f ca="1">Spaces_Sum!I89</f>
        <v>IndirectlyConditioned</v>
      </c>
      <c r="F44" s="110">
        <f ca="1">Spaces_Sum!M89</f>
        <v>178.88640000000001</v>
      </c>
      <c r="G44" s="110" t="str">
        <f ca="1">Spaces_Sum!J89</f>
        <v>Unoccupied-Include in Gross Floor Area</v>
      </c>
      <c r="H44" s="532"/>
      <c r="I44" s="185"/>
      <c r="J44" s="185"/>
      <c r="K44" s="186"/>
      <c r="L44" s="187"/>
      <c r="M44" s="188"/>
      <c r="N44" s="189"/>
      <c r="O44" s="186"/>
      <c r="P44" s="187"/>
      <c r="Q44" s="188"/>
      <c r="R44" s="189"/>
      <c r="S44" s="186"/>
      <c r="T44" s="187"/>
      <c r="U44" s="188"/>
      <c r="V44" s="189"/>
      <c r="W44" s="186"/>
      <c r="X44" s="187"/>
      <c r="Y44" s="188"/>
      <c r="Z44" s="189"/>
      <c r="AA44" s="186"/>
      <c r="AB44" s="187"/>
      <c r="AC44" s="188"/>
      <c r="AD44" s="189"/>
      <c r="AE44" s="186"/>
      <c r="AF44" s="187"/>
      <c r="AG44" s="188"/>
      <c r="AH44" s="189"/>
      <c r="AI44" s="186"/>
      <c r="AJ44" s="187"/>
      <c r="AK44" s="188"/>
      <c r="AL44" s="189"/>
      <c r="AM44" s="186"/>
      <c r="AN44" s="187"/>
      <c r="AO44" s="188"/>
      <c r="AP44" s="189"/>
      <c r="AQ44" s="186"/>
      <c r="AR44" s="187"/>
      <c r="AS44" s="188"/>
      <c r="AT44" s="189"/>
      <c r="AU44" s="186"/>
      <c r="AV44" s="187"/>
      <c r="AW44" s="188"/>
      <c r="AX44" s="189"/>
      <c r="AY44" s="186"/>
      <c r="AZ44" s="187"/>
      <c r="BA44" s="188"/>
      <c r="BB44" s="189"/>
      <c r="BC44" s="186"/>
      <c r="BD44" s="187"/>
      <c r="BE44" s="188"/>
      <c r="BF44" s="189"/>
      <c r="BG44" s="186"/>
      <c r="BH44" s="187"/>
      <c r="BI44" s="188"/>
      <c r="BJ44" s="189"/>
      <c r="BK44" s="186"/>
      <c r="BL44" s="187"/>
      <c r="BM44" s="188"/>
      <c r="BN44" s="189"/>
      <c r="BO44" s="186"/>
      <c r="BP44" s="187"/>
      <c r="BQ44" s="188"/>
      <c r="BR44" s="189"/>
      <c r="BS44" s="186"/>
      <c r="BT44" s="187"/>
      <c r="BU44" s="188"/>
      <c r="BV44" s="189"/>
      <c r="BW44" s="186"/>
      <c r="BX44" s="187"/>
      <c r="BY44" s="188"/>
      <c r="BZ44" s="189"/>
      <c r="CA44" s="186"/>
      <c r="CB44" s="190"/>
      <c r="CC44" s="190"/>
      <c r="CD44" s="82">
        <f t="shared" ref="CD44:CD75" si="142">IF(ISTEXT(H44),(IF(ISERROR(VLOOKUP(H44,Ltg_IFixtureSch_PROP,2,FALSE)),0.000001,VLOOKUP(H44,Ltg_IFixtureSch_PROP,2,FALSE)*I44)),0)</f>
        <v>0</v>
      </c>
      <c r="CE44" s="82">
        <f t="shared" ref="CE44:CE75" si="143">CD44-CF44</f>
        <v>0</v>
      </c>
      <c r="CF44" s="82">
        <f t="shared" ref="CF44:CF75" si="144">IF(ISTEXT(H44),(IF(ISERROR(VLOOKUP(H44,Ltg_IFixtureSch_PROP,2,FALSE)),0.000001,VLOOKUP(H44,Ltg_IFixtureSch_PROP,2,FALSE)*J44)),0)</f>
        <v>0</v>
      </c>
      <c r="CG44" s="82">
        <f t="shared" ref="CG44:CG75" si="145">IF(ISTEXT(H44),(IF(ISERROR(VLOOKUP(H44,Ltg_IFixtureSch_PROP,2,FALSE)),0.000001,VLOOKUP(H44,Ltg_IFixtureSch_PROP,2,FALSE)*K44)),0)</f>
        <v>0</v>
      </c>
      <c r="CH44" s="82">
        <f t="shared" ref="CH44:CH75" si="146">IF(ISTEXT(L44),(IF(ISERROR(VLOOKUP(L44,Ltg_IFixtureSch_PROP,2,FALSE)),0.000001,VLOOKUP(L44,Ltg_IFixtureSch_PROP,2,FALSE)*M44)),0)</f>
        <v>0</v>
      </c>
      <c r="CI44" s="82">
        <f t="shared" ref="CI44:CI75" si="147">CH44-CJ44</f>
        <v>0</v>
      </c>
      <c r="CJ44" s="82">
        <f t="shared" ref="CJ44:CJ75" si="148">IF(ISTEXT(L44),(IF(ISERROR(VLOOKUP(L44,Ltg_IFixtureSch_PROP,2,FALSE)),0.000001,VLOOKUP(L44,Ltg_IFixtureSch_PROP,2,FALSE)*N44)),0)</f>
        <v>0</v>
      </c>
      <c r="CK44" s="82">
        <f t="shared" ref="CK44:CK75" si="149">IF(ISTEXT(L44),(IF(ISERROR(VLOOKUP(L44,Ltg_IFixtureSch_PROP,2,FALSE)),0.000001,VLOOKUP(L44,Ltg_IFixtureSch_PROP,2,FALSE)*O44)),0)</f>
        <v>0</v>
      </c>
      <c r="CL44" s="82">
        <f t="shared" ref="CL44:CL75" si="150">IF(ISTEXT(P44),(IF(ISERROR(VLOOKUP(P44,Ltg_IFixtureSch_PROP,2,FALSE)),0.000001,VLOOKUP(P44,Ltg_IFixtureSch_PROP,2,FALSE)*Q44)),0)</f>
        <v>0</v>
      </c>
      <c r="CM44" s="82">
        <f t="shared" ref="CM44:CM75" si="151">CL44-CN44</f>
        <v>0</v>
      </c>
      <c r="CN44" s="82">
        <f t="shared" ref="CN44:CN75" si="152">IF(ISTEXT(P44),(IF(ISERROR(VLOOKUP(P44,Ltg_IFixtureSch_PROP,2,FALSE)),0.000001,VLOOKUP(P44,Ltg_IFixtureSch_PROP,2,FALSE)*R44)),0)</f>
        <v>0</v>
      </c>
      <c r="CO44" s="82">
        <f t="shared" ref="CO44:CO75" si="153">IF(ISTEXT(P44),(IF(ISERROR(VLOOKUP(P44,Ltg_IFixtureSch_PROP,2,FALSE)),0.000001,VLOOKUP(P44,Ltg_IFixtureSch_PROP,2,FALSE)*S44)),0)</f>
        <v>0</v>
      </c>
      <c r="CP44" s="82">
        <f t="shared" ref="CP44:CP75" si="154">IF(ISTEXT(T44),(IF(ISERROR(VLOOKUP(T44,Ltg_IFixtureSch_PROP,2,FALSE)),0.000001,VLOOKUP(T44,Ltg_IFixtureSch_PROP,2,FALSE)*U44)),0)</f>
        <v>0</v>
      </c>
      <c r="CQ44" s="82">
        <f t="shared" ref="CQ44:CQ75" si="155">CP44-CR44</f>
        <v>0</v>
      </c>
      <c r="CR44" s="82">
        <f t="shared" ref="CR44:CR75" si="156">IF(ISTEXT(T44),(IF(ISERROR(VLOOKUP(T44,Ltg_IFixtureSch_PROP,2,FALSE)),0.000001,VLOOKUP(T44,Ltg_IFixtureSch_PROP,2,FALSE)*V44)),0)</f>
        <v>0</v>
      </c>
      <c r="CS44" s="82">
        <f t="shared" ref="CS44:CS75" si="157">IF(ISTEXT(T44),(IF(ISERROR(VLOOKUP(T44,Ltg_IFixtureSch_PROP,2,FALSE)),0.000001,VLOOKUP(T44,Ltg_IFixtureSch_PROP,2,FALSE)*W44)),0)</f>
        <v>0</v>
      </c>
      <c r="CT44" s="82">
        <f t="shared" ref="CT44:CT75" si="158">IF(ISTEXT(X44),(IF(ISERROR(VLOOKUP(X44,Ltg_IFixtureSch_PROP,2,FALSE)),0.000001,VLOOKUP(X44,Ltg_IFixtureSch_PROP,2,FALSE)*Y44)),0)</f>
        <v>0</v>
      </c>
      <c r="CU44" s="82">
        <f t="shared" ref="CU44:CU75" si="159">CT44-CV44</f>
        <v>0</v>
      </c>
      <c r="CV44" s="82">
        <f t="shared" ref="CV44:CV75" si="160">IF(ISTEXT(X44),(IF(ISERROR(VLOOKUP(X44,Ltg_IFixtureSch_PROP,2,FALSE)),0.000001,VLOOKUP(X44,Ltg_IFixtureSch_PROP,2,FALSE)*Z44)),0)</f>
        <v>0</v>
      </c>
      <c r="CW44" s="82">
        <f t="shared" ref="CW44:CW75" si="161">IF(ISTEXT(X44),(IF(ISERROR(VLOOKUP(X44,Ltg_IFixtureSch_PROP,2,FALSE)),0.000001,VLOOKUP(X44,Ltg_IFixtureSch_PROP,2,FALSE)*AA44)),0)</f>
        <v>0</v>
      </c>
      <c r="CX44" s="82">
        <f t="shared" ref="CX44:CX75" si="162">IF(ISTEXT(AB44),(IF(ISERROR(VLOOKUP(AB44,Ltg_IFixtureSch_PROP,2,FALSE)),0.000001,VLOOKUP(AB44,Ltg_IFixtureSch_PROP,2,FALSE)*AC44)),0)</f>
        <v>0</v>
      </c>
      <c r="CY44" s="82">
        <f t="shared" ref="CY44:CY75" si="163">CX44-CZ44</f>
        <v>0</v>
      </c>
      <c r="CZ44" s="82">
        <f t="shared" ref="CZ44:CZ75" si="164">IF(ISTEXT(AB44),(IF(ISERROR(VLOOKUP(AB44,Ltg_IFixtureSch_PROP,2,FALSE)),0.000001,VLOOKUP(AB44,Ltg_IFixtureSch_PROP,2,FALSE)*AD44)),0)</f>
        <v>0</v>
      </c>
      <c r="DA44" s="82">
        <f t="shared" ref="DA44:DA75" si="165">IF(ISTEXT(AB44),(IF(ISERROR(VLOOKUP(AB44,Ltg_IFixtureSch_PROP,2,FALSE)),0.000001,VLOOKUP(AB44,Ltg_IFixtureSch_PROP,2,FALSE)*AE44)),0)</f>
        <v>0</v>
      </c>
      <c r="DB44" s="82">
        <f t="shared" ref="DB44:DB75" si="166">IF(ISTEXT(AF44),(IF(ISERROR(VLOOKUP(AF44,Ltg_IFixtureSch_PROP,2,FALSE)),0.000001,VLOOKUP(AF44,Ltg_IFixtureSch_PROP,2,FALSE)*AG44)),0)</f>
        <v>0</v>
      </c>
      <c r="DC44" s="82">
        <f t="shared" ref="DC44:DC75" si="167">DB44-DD44</f>
        <v>0</v>
      </c>
      <c r="DD44" s="82">
        <f t="shared" ref="DD44:DD75" si="168">IF(ISTEXT(AF44),(IF(ISERROR(VLOOKUP(AF44,Ltg_IFixtureSch_PROP,2,FALSE)),0.000001,VLOOKUP(AF44,Ltg_IFixtureSch_PROP,2,FALSE)*AH44)),0)</f>
        <v>0</v>
      </c>
      <c r="DE44" s="82">
        <f t="shared" ref="DE44:DE75" si="169">IF(ISTEXT(AF44),(IF(ISERROR(VLOOKUP(AF44,Ltg_IFixtureSch_PROP,2,FALSE)),0.000001,VLOOKUP(AF44,Ltg_IFixtureSch_PROP,2,FALSE)*AI44)),0)</f>
        <v>0</v>
      </c>
      <c r="DF44" s="82">
        <f t="shared" ref="DF44:DF75" si="170">IF(ISTEXT(AJ44),(IF(ISERROR(VLOOKUP(AJ44,Ltg_IFixtureSch_PROP,2,FALSE)),0.000001,VLOOKUP(AJ44,Ltg_IFixtureSch_PROP,2,FALSE)*AK44)),0)</f>
        <v>0</v>
      </c>
      <c r="DG44" s="82">
        <f t="shared" ref="DG44:DG75" si="171">DF44-DH44</f>
        <v>0</v>
      </c>
      <c r="DH44" s="82">
        <f t="shared" ref="DH44:DH75" si="172">IF(ISTEXT(AJ44),(IF(ISERROR(VLOOKUP(AJ44,Ltg_IFixtureSch_PROP,2,FALSE)),0.000001,VLOOKUP(AJ44,Ltg_IFixtureSch_PROP,2,FALSE)*AL44)),0)</f>
        <v>0</v>
      </c>
      <c r="DI44" s="82">
        <f t="shared" ref="DI44:DI75" si="173">IF(ISTEXT(AJ44),(IF(ISERROR(VLOOKUP(AJ44,Ltg_IFixtureSch_PROP,2,FALSE)),0.000001,VLOOKUP(AJ44,Ltg_IFixtureSch_PROP,2,FALSE)*AM44)),0)</f>
        <v>0</v>
      </c>
      <c r="DJ44" s="82">
        <f t="shared" ref="DJ44:DJ75" si="174">IF(ISTEXT(AN44),(IF(ISERROR(VLOOKUP(AN44,Ltg_IFixtureSch_PROP,2,FALSE)),0.000001,VLOOKUP(AN44,Ltg_IFixtureSch_PROP,2,FALSE)*AO44)),0)</f>
        <v>0</v>
      </c>
      <c r="DK44" s="82">
        <f t="shared" ref="DK44:DK75" si="175">DJ44-DL44</f>
        <v>0</v>
      </c>
      <c r="DL44" s="82">
        <f t="shared" ref="DL44:DL75" si="176">IF(ISTEXT(AN44),(IF(ISERROR(VLOOKUP(AN44,Ltg_IFixtureSch_PROP,2,FALSE)),0.000001,VLOOKUP(AN44,Ltg_IFixtureSch_PROP,2,FALSE)*AP44)),0)</f>
        <v>0</v>
      </c>
      <c r="DM44" s="82">
        <f t="shared" ref="DM44:DM75" si="177">IF(ISTEXT(AN44),(IF(ISERROR(VLOOKUP(AN44,Ltg_IFixtureSch_PROP,2,FALSE)),0.000001,VLOOKUP(AN44,Ltg_IFixtureSch_PROP,2,FALSE)*AQ44)),0)</f>
        <v>0</v>
      </c>
      <c r="DN44" s="82">
        <f t="shared" ref="DN44:DN75" si="178">IF(ISTEXT(AR44),(IF(ISERROR(VLOOKUP(AR44,Ltg_IFixtureSch_PROP,2,FALSE)),0.000001,VLOOKUP(AR44,Ltg_IFixtureSch_PROP,2,FALSE)*AS44)),0)</f>
        <v>0</v>
      </c>
      <c r="DO44" s="82">
        <f t="shared" ref="DO44:DO75" si="179">DN44-DP44</f>
        <v>0</v>
      </c>
      <c r="DP44" s="82">
        <f t="shared" ref="DP44:DP75" si="180">IF(ISTEXT(AR44),(IF(ISERROR(VLOOKUP(AR44,Ltg_IFixtureSch_PROP,2,FALSE)),0.000001,VLOOKUP(AR44,Ltg_IFixtureSch_PROP,2,FALSE)*AT44)),0)</f>
        <v>0</v>
      </c>
      <c r="DQ44" s="82">
        <f t="shared" ref="DQ44:DQ75" si="181">IF(ISTEXT(AR44),(IF(ISERROR(VLOOKUP(AR44,Ltg_IFixtureSch_PROP,2,FALSE)),0.000001,VLOOKUP(AR44,Ltg_IFixtureSch_PROP,2,FALSE)*AU44)),0)</f>
        <v>0</v>
      </c>
      <c r="DR44" s="82">
        <f t="shared" ref="DR44:DR75" si="182">IF(ISTEXT(AV44),(IF(ISERROR(VLOOKUP(AV44,Ltg_IFixtureSch_PROP,2,FALSE)),0.000001,VLOOKUP(AV44,Ltg_IFixtureSch_PROP,2,FALSE)*AW44)),0)</f>
        <v>0</v>
      </c>
      <c r="DS44" s="82">
        <f t="shared" ref="DS44:DS75" si="183">DR44-DT44</f>
        <v>0</v>
      </c>
      <c r="DT44" s="82">
        <f t="shared" ref="DT44:DT75" si="184">IF(ISTEXT(AV44),(IF(ISERROR(VLOOKUP(AV44,Ltg_IFixtureSch_PROP,2,FALSE)),0.000001,VLOOKUP(AV44,Ltg_IFixtureSch_PROP,2,FALSE)*AX44)),0)</f>
        <v>0</v>
      </c>
      <c r="DU44" s="82">
        <f t="shared" ref="DU44:DU75" si="185">IF(ISTEXT(AV44),(IF(ISERROR(VLOOKUP(AV44,Ltg_IFixtureSch_PROP,2,FALSE)),0.000001,VLOOKUP(AV44,Ltg_IFixtureSch_PROP,2,FALSE)*AY44)),0)</f>
        <v>0</v>
      </c>
      <c r="DV44" s="82">
        <f t="shared" ref="DV44:DV75" si="186">IF(ISTEXT(AZ44),(IF(ISERROR(VLOOKUP(AZ44,Ltg_IFixtureSch_PROP,2,FALSE)),0.000001,VLOOKUP(AZ44,Ltg_IFixtureSch_PROP,2,FALSE)*BA44)),0)</f>
        <v>0</v>
      </c>
      <c r="DW44" s="82">
        <f t="shared" ref="DW44:DW75" si="187">DV44-DX44</f>
        <v>0</v>
      </c>
      <c r="DX44" s="82">
        <f t="shared" ref="DX44:DX75" si="188">IF(ISTEXT(AZ44),(IF(ISERROR(VLOOKUP(AZ44,Ltg_IFixtureSch_PROP,2,FALSE)),0.000001,VLOOKUP(AZ44,Ltg_IFixtureSch_PROP,2,FALSE)*BB44)),0)</f>
        <v>0</v>
      </c>
      <c r="DY44" s="82">
        <f t="shared" ref="DY44:DY75" si="189">IF(ISTEXT(AZ44),(IF(ISERROR(VLOOKUP(AZ44,Ltg_IFixtureSch_PROP,2,FALSE)),0.000001,VLOOKUP(AZ44,Ltg_IFixtureSch_PROP,2,FALSE)*BC44)),0)</f>
        <v>0</v>
      </c>
      <c r="DZ44" s="82">
        <f t="shared" ref="DZ44:DZ75" si="190">IF(ISTEXT(BD44),(IF(ISERROR(VLOOKUP(BD44,Ltg_IFixtureSch_PROP,2,FALSE)),0.000001,VLOOKUP(BD44,Ltg_IFixtureSch_PROP,2,FALSE)*BE44)),0)</f>
        <v>0</v>
      </c>
      <c r="EA44" s="82">
        <f t="shared" ref="EA44:EA75" si="191">DZ44-EB44</f>
        <v>0</v>
      </c>
      <c r="EB44" s="82">
        <f t="shared" ref="EB44:EB75" si="192">IF(ISTEXT(BD44),(IF(ISERROR(VLOOKUP(BD44,Ltg_IFixtureSch_PROP,2,FALSE)),0.000001,VLOOKUP(BD44,Ltg_IFixtureSch_PROP,2,FALSE)*BF44)),0)</f>
        <v>0</v>
      </c>
      <c r="EC44" s="82">
        <f t="shared" ref="EC44:EC75" si="193">IF(ISTEXT(BD44),(IF(ISERROR(VLOOKUP(BD44,Ltg_IFixtureSch_PROP,2,FALSE)),0.000001,VLOOKUP(BD44,Ltg_IFixtureSch_PROP,2,FALSE)*BG44)),0)</f>
        <v>0</v>
      </c>
      <c r="ED44" s="82">
        <f t="shared" ref="ED44:ED75" si="194">IF(ISTEXT(BH44),(IF(ISERROR(VLOOKUP(BH44,Ltg_IFixtureSch_PROP,2,FALSE)),0.000001,VLOOKUP(BH44,Ltg_IFixtureSch_PROP,2,FALSE)*BI44)),0)</f>
        <v>0</v>
      </c>
      <c r="EE44" s="82">
        <f t="shared" ref="EE44:EE75" si="195">ED44-EF44</f>
        <v>0</v>
      </c>
      <c r="EF44" s="82">
        <f t="shared" ref="EF44:EF75" si="196">IF(ISTEXT(BH44),(IF(ISERROR(VLOOKUP(BH44,Ltg_IFixtureSch_PROP,2,FALSE)),0.000001,VLOOKUP(BH44,Ltg_IFixtureSch_PROP,2,FALSE)*BJ44)),0)</f>
        <v>0</v>
      </c>
      <c r="EG44" s="82">
        <f t="shared" ref="EG44:EG75" si="197">IF(ISTEXT(BH44),(IF(ISERROR(VLOOKUP(BH44,Ltg_IFixtureSch_PROP,2,FALSE)),0.000001,VLOOKUP(BH44,Ltg_IFixtureSch_PROP,2,FALSE)*BK44)),0)</f>
        <v>0</v>
      </c>
      <c r="EH44" s="82">
        <f t="shared" ref="EH44:EH75" si="198">IF(ISTEXT(BL44),(IF(ISERROR(VLOOKUP(BL44,Ltg_IFixtureSch_PROP,2,FALSE)),0.000001,VLOOKUP(BL44,Ltg_IFixtureSch_PROP,2,FALSE)*BM44)),0)</f>
        <v>0</v>
      </c>
      <c r="EI44" s="82">
        <f t="shared" ref="EI44:EI75" si="199">EH44-EJ44</f>
        <v>0</v>
      </c>
      <c r="EJ44" s="82">
        <f t="shared" ref="EJ44:EJ75" si="200">IF(ISTEXT(BL44),(IF(ISERROR(VLOOKUP(BL44,Ltg_IFixtureSch_PROP,2,FALSE)),0.000001,VLOOKUP(BL44,Ltg_IFixtureSch_PROP,2,FALSE)*BN44)),0)</f>
        <v>0</v>
      </c>
      <c r="EK44" s="82">
        <f t="shared" ref="EK44:EK75" si="201">IF(ISTEXT(BL44),(IF(ISERROR(VLOOKUP(BL44,Ltg_IFixtureSch_PROP,2,FALSE)),0.000001,VLOOKUP(BL44,Ltg_IFixtureSch_PROP,2,FALSE)*BO44)),0)</f>
        <v>0</v>
      </c>
      <c r="EL44" s="82">
        <f t="shared" ref="EL44:EL75" si="202">IF(ISTEXT(BP44),(IF(ISERROR(VLOOKUP(BP44,Ltg_IFixtureSch_PROP,2,FALSE)),0.000001,VLOOKUP(BP44,Ltg_IFixtureSch_PROP,2,FALSE)*BQ44)),0)</f>
        <v>0</v>
      </c>
      <c r="EM44" s="82">
        <f t="shared" ref="EM44:EM75" si="203">EL44-EN44</f>
        <v>0</v>
      </c>
      <c r="EN44" s="82">
        <f t="shared" ref="EN44:EN75" si="204">IF(ISTEXT(BP44),(IF(ISERROR(VLOOKUP(BP44,Ltg_IFixtureSch_PROP,2,FALSE)),0.000001,VLOOKUP(BP44,Ltg_IFixtureSch_PROP,2,FALSE)*BR44)),0)</f>
        <v>0</v>
      </c>
      <c r="EO44" s="82">
        <f t="shared" ref="EO44:EO75" si="205">IF(ISTEXT(BP44),(IF(ISERROR(VLOOKUP(BP44,Ltg_IFixtureSch_PROP,2,FALSE)),0.000001,VLOOKUP(BP44,Ltg_IFixtureSch_PROP,2,FALSE)*BS44)),0)</f>
        <v>0</v>
      </c>
      <c r="EP44" s="82">
        <f t="shared" ref="EP44:EP75" si="206">IF(ISTEXT(BT44),(IF(ISERROR(VLOOKUP(BT44,Ltg_IFixtureSch_PROP,2,FALSE)),0.000001,VLOOKUP(BT44,Ltg_IFixtureSch_PROP,2,FALSE)*BU44)),0)</f>
        <v>0</v>
      </c>
      <c r="EQ44" s="82">
        <f t="shared" ref="EQ44:EQ75" si="207">EP44-ER44</f>
        <v>0</v>
      </c>
      <c r="ER44" s="82">
        <f t="shared" ref="ER44:ER75" si="208">IF(ISTEXT(BT44),(IF(ISERROR(VLOOKUP(BT44,Ltg_IFixtureSch_PROP,2,FALSE)),0.000001,VLOOKUP(BT44,Ltg_IFixtureSch_PROP,2,FALSE)*BV44)),0)</f>
        <v>0</v>
      </c>
      <c r="ES44" s="82">
        <f t="shared" ref="ES44:ES75" si="209">IF(ISTEXT(BT44),(IF(ISERROR(VLOOKUP(BT44,Ltg_IFixtureSch_PROP,2,FALSE)),0.000001,VLOOKUP(BT44,Ltg_IFixtureSch_PROP,2,FALSE)*BW44)),0)</f>
        <v>0</v>
      </c>
      <c r="ET44" s="82">
        <f t="shared" ref="ET44:ET75" si="210">IF(ISTEXT(BX44),(IF(ISERROR(VLOOKUP(BX44,Ltg_IFixtureSch_PROP,2,FALSE)),0.000001,VLOOKUP(BX44,Ltg_IFixtureSch_PROP,2,FALSE)*BY44)),0)</f>
        <v>0</v>
      </c>
      <c r="EU44" s="82">
        <f t="shared" ref="EU44:EU75" si="211">ET44-EV44</f>
        <v>0</v>
      </c>
      <c r="EV44" s="82">
        <f t="shared" ref="EV44:EV75" si="212">IF(ISTEXT(BX44),(IF(ISERROR(VLOOKUP(BX44,Ltg_IFixtureSch_PROP,2,FALSE)),0.000001,VLOOKUP(BX44,Ltg_IFixtureSch_PROP,2,FALSE)*BZ44)),0)</f>
        <v>0</v>
      </c>
      <c r="EW44" s="82">
        <f t="shared" ref="EW44:EW75" si="213">IF(ISTEXT(BX44),(IF(ISERROR(VLOOKUP(BX44,Ltg_IFixtureSch_PROP,2,FALSE)),0.000001,VLOOKUP(BX44,Ltg_IFixtureSch_PROP,2,FALSE)*CA44)),0)</f>
        <v>0</v>
      </c>
      <c r="EX44" s="82">
        <f t="shared" ref="EX44:EX75" si="214">IF(ISTEXT(CB44),(IF(ISERROR(VLOOKUP(CB44,Ltg_IFixtureSch_PROP,2,FALSE)),0.000001,VLOOKUP(CB44,Ltg_IFixtureSch_PROP,2,FALSE)*CC44)),0)</f>
        <v>0</v>
      </c>
      <c r="EY44" s="111">
        <f t="shared" ref="EY44:EY75" si="215">SUM(CD44,CH44,CL44,CP44,CT44,CX44,DB44,DF44,DJ44,DN44,DR44,DV44,DZ44,ED44,EH44,EL44,EP44,ET44)</f>
        <v>0</v>
      </c>
      <c r="EZ44" s="143">
        <f t="shared" ref="EZ44:EZ75" ca="1" si="216">ROUND(EY44/F44,3)</f>
        <v>0</v>
      </c>
      <c r="FA44" s="112">
        <f t="shared" ref="FA44:FA75" ca="1" si="217">EZ44-FB44</f>
        <v>0</v>
      </c>
      <c r="FB44" s="113">
        <f t="shared" ref="FB44:FB75" ca="1" si="218">ROUND(SUM(CF44,CJ44,CN44,CR44,CV44,CZ44,DD44,DH44,DL44,DP44,DT44,DX44,EB44,EF44,EJ44,EN44,ER44,EV44)/F44,3)</f>
        <v>0</v>
      </c>
      <c r="FC44" s="114">
        <f t="shared" ref="FC44:FC75" ca="1" si="219">ROUND(SUM(CG44,CK44,CO44,CS44,CW44,DA44,DE44,DI44,DM44,DQ44,DU44,DY44,EC44,EG44,EK44,EO44,ES44,EW44)/F44,3)</f>
        <v>0</v>
      </c>
      <c r="FD44" s="115">
        <f t="shared" ref="FD44:FD75" ca="1" si="220">IF(ISERROR(FC44/EZ44),0,FC44/EZ44)</f>
        <v>0</v>
      </c>
      <c r="FE44" s="116">
        <f t="shared" ref="FE44:FE75" ca="1" si="221">FB44*F44</f>
        <v>0</v>
      </c>
      <c r="FF44" s="117">
        <f t="shared" ref="FF44:FF75" ca="1" si="222">FC44*F44</f>
        <v>0</v>
      </c>
      <c r="FG44" s="71">
        <f t="shared" ref="FG44:FG75" si="223">EX44</f>
        <v>0</v>
      </c>
      <c r="FH44" s="530">
        <f t="shared" ref="FH44:FH75" ca="1" si="224">(EY44+FG44)/F44</f>
        <v>0</v>
      </c>
      <c r="FI44" s="72"/>
      <c r="FJ44" s="72"/>
      <c r="FK44" s="72"/>
      <c r="FM44" s="421" t="str">
        <f t="shared" si="122"/>
        <v>L02-215_ElevRaccIncd</v>
      </c>
      <c r="FN44" s="422" t="str">
        <f t="shared" ca="1" si="123"/>
        <v>Unoccupied-Include in Gross Floor Area</v>
      </c>
      <c r="FO44" s="423">
        <f t="shared" ca="1" si="136"/>
        <v>0</v>
      </c>
      <c r="FP44" s="423">
        <f t="shared" ca="1" si="136"/>
        <v>0</v>
      </c>
      <c r="FQ44" s="423">
        <f t="shared" ca="1" si="136"/>
        <v>0</v>
      </c>
      <c r="FR44" s="423">
        <f t="shared" ca="1" si="136"/>
        <v>0</v>
      </c>
      <c r="FS44" s="423">
        <f t="shared" ca="1" si="136"/>
        <v>0</v>
      </c>
      <c r="FT44" s="423">
        <f t="shared" ca="1" si="136"/>
        <v>0</v>
      </c>
      <c r="FU44" s="423">
        <f t="shared" ca="1" si="136"/>
        <v>0</v>
      </c>
      <c r="FV44" s="423">
        <f t="shared" ca="1" si="136"/>
        <v>0</v>
      </c>
      <c r="FW44" s="423">
        <f t="shared" ca="1" si="136"/>
        <v>0</v>
      </c>
      <c r="FX44" s="423">
        <f t="shared" ca="1" si="136"/>
        <v>0</v>
      </c>
      <c r="FY44" s="423">
        <f t="shared" ca="1" si="136"/>
        <v>0</v>
      </c>
      <c r="FZ44" s="423">
        <f t="shared" ca="1" si="136"/>
        <v>0</v>
      </c>
      <c r="GA44" s="423">
        <f t="shared" ca="1" si="136"/>
        <v>0</v>
      </c>
      <c r="GB44" s="423">
        <f t="shared" ca="1" si="136"/>
        <v>0</v>
      </c>
      <c r="GC44" s="423">
        <f t="shared" ca="1" si="136"/>
        <v>0</v>
      </c>
      <c r="GD44" s="423">
        <f t="shared" ref="GD44:GS59" ca="1" si="225">IFERROR(ROUNDDOWN(SUMIF($H44:$CC44,GD$11,$CD44:$EX44)/GD$10,0),0)</f>
        <v>0</v>
      </c>
      <c r="GE44" s="423">
        <f t="shared" ca="1" si="139"/>
        <v>0</v>
      </c>
      <c r="GF44" s="423">
        <f t="shared" ca="1" si="139"/>
        <v>0</v>
      </c>
      <c r="GG44" s="423">
        <f t="shared" ca="1" si="139"/>
        <v>0</v>
      </c>
      <c r="GH44" s="423">
        <f t="shared" ca="1" si="139"/>
        <v>0</v>
      </c>
      <c r="GI44" s="423">
        <f t="shared" ca="1" si="139"/>
        <v>0</v>
      </c>
      <c r="GJ44" s="423">
        <f t="shared" ca="1" si="139"/>
        <v>0</v>
      </c>
      <c r="GK44" s="423">
        <f t="shared" ca="1" si="139"/>
        <v>0</v>
      </c>
      <c r="GL44" s="423">
        <f t="shared" ca="1" si="139"/>
        <v>0</v>
      </c>
      <c r="GM44" s="423">
        <f t="shared" ca="1" si="139"/>
        <v>0</v>
      </c>
      <c r="GN44" s="423">
        <f t="shared" ca="1" si="139"/>
        <v>0</v>
      </c>
      <c r="GO44" s="423">
        <f t="shared" ca="1" si="139"/>
        <v>0</v>
      </c>
      <c r="GP44" s="423">
        <f t="shared" ca="1" si="139"/>
        <v>0</v>
      </c>
      <c r="GQ44" s="423">
        <f t="shared" ca="1" si="139"/>
        <v>0</v>
      </c>
      <c r="GR44" s="423">
        <f t="shared" ca="1" si="139"/>
        <v>0</v>
      </c>
      <c r="GS44" s="423">
        <f t="shared" ca="1" si="139"/>
        <v>0</v>
      </c>
      <c r="GT44" s="423">
        <f t="shared" ca="1" si="139"/>
        <v>0</v>
      </c>
      <c r="GU44" s="423">
        <f t="shared" ca="1" si="140"/>
        <v>0</v>
      </c>
      <c r="GV44" s="423">
        <f t="shared" ca="1" si="140"/>
        <v>0</v>
      </c>
      <c r="GW44" s="423">
        <f t="shared" ca="1" si="140"/>
        <v>0</v>
      </c>
      <c r="GX44" s="423">
        <f t="shared" ca="1" si="140"/>
        <v>0</v>
      </c>
      <c r="GY44" s="423">
        <f t="shared" ca="1" si="140"/>
        <v>0</v>
      </c>
      <c r="GZ44" s="423">
        <f t="shared" ca="1" si="140"/>
        <v>0</v>
      </c>
      <c r="HA44" s="423">
        <f t="shared" ca="1" si="140"/>
        <v>0</v>
      </c>
      <c r="HB44" s="423">
        <f t="shared" ca="1" si="140"/>
        <v>0</v>
      </c>
      <c r="HC44" s="423">
        <f t="shared" ca="1" si="140"/>
        <v>0</v>
      </c>
      <c r="HD44" s="423">
        <f t="shared" ca="1" si="140"/>
        <v>0</v>
      </c>
      <c r="HE44" s="423">
        <f t="shared" ca="1" si="140"/>
        <v>0</v>
      </c>
      <c r="HF44" s="423">
        <f t="shared" ca="1" si="140"/>
        <v>0</v>
      </c>
      <c r="HG44" s="423">
        <f t="shared" ca="1" si="140"/>
        <v>0</v>
      </c>
      <c r="HH44" s="423">
        <f t="shared" ca="1" si="140"/>
        <v>0</v>
      </c>
      <c r="HI44" s="423">
        <f t="shared" ca="1" si="140"/>
        <v>0</v>
      </c>
      <c r="HJ44" s="423">
        <f t="shared" ca="1" si="140"/>
        <v>0</v>
      </c>
      <c r="HK44" s="423">
        <f t="shared" ca="1" si="141"/>
        <v>0</v>
      </c>
      <c r="HL44" s="423">
        <f t="shared" ca="1" si="141"/>
        <v>0</v>
      </c>
      <c r="HM44" s="423">
        <f t="shared" ca="1" si="141"/>
        <v>0</v>
      </c>
      <c r="HN44" s="423">
        <f t="shared" ca="1" si="141"/>
        <v>0</v>
      </c>
      <c r="HO44" s="423">
        <f t="shared" ca="1" si="141"/>
        <v>0</v>
      </c>
      <c r="HP44" s="423">
        <f t="shared" ca="1" si="141"/>
        <v>0</v>
      </c>
      <c r="HQ44" s="423">
        <f t="shared" ca="1" si="141"/>
        <v>0</v>
      </c>
      <c r="HR44" s="423">
        <f t="shared" ca="1" si="141"/>
        <v>0</v>
      </c>
      <c r="HS44" s="423">
        <f t="shared" ca="1" si="141"/>
        <v>0</v>
      </c>
      <c r="HT44" s="423">
        <f t="shared" ca="1" si="141"/>
        <v>0</v>
      </c>
    </row>
    <row r="45" spans="1:230" ht="11.25" customHeight="1" x14ac:dyDescent="0.2">
      <c r="A45" s="62">
        <f t="shared" si="128"/>
        <v>34</v>
      </c>
      <c r="B45" s="60" t="str">
        <f>Spaces_Sum!C90</f>
        <v>L02-216_StrsRaccIncd</v>
      </c>
      <c r="C45" s="62" t="str">
        <f>Spaces_Sum!D90</f>
        <v>L02</v>
      </c>
      <c r="D45" s="62" t="str">
        <f ca="1">Spaces_Sum!I90</f>
        <v>IndirectlyConditioned</v>
      </c>
      <c r="F45" s="110">
        <f ca="1">Spaces_Sum!M90</f>
        <v>232.53399999999999</v>
      </c>
      <c r="G45" s="110" t="str">
        <f ca="1">Spaces_Sum!J90</f>
        <v>Stairwell</v>
      </c>
      <c r="H45" s="632"/>
      <c r="I45" s="618"/>
      <c r="J45" s="618"/>
      <c r="K45" s="635"/>
      <c r="L45" s="633"/>
      <c r="M45" s="634"/>
      <c r="N45" s="187"/>
      <c r="O45" s="635"/>
      <c r="P45" s="633"/>
      <c r="Q45" s="634"/>
      <c r="R45" s="636"/>
      <c r="S45" s="186"/>
      <c r="T45" s="187"/>
      <c r="U45" s="188"/>
      <c r="V45" s="189"/>
      <c r="W45" s="186"/>
      <c r="X45" s="187"/>
      <c r="Y45" s="188"/>
      <c r="Z45" s="189"/>
      <c r="AA45" s="186"/>
      <c r="AB45" s="187"/>
      <c r="AC45" s="188"/>
      <c r="AD45" s="189"/>
      <c r="AE45" s="186"/>
      <c r="AF45" s="187"/>
      <c r="AG45" s="188"/>
      <c r="AH45" s="189"/>
      <c r="AI45" s="186"/>
      <c r="AJ45" s="187"/>
      <c r="AK45" s="188"/>
      <c r="AL45" s="189"/>
      <c r="AM45" s="186"/>
      <c r="AN45" s="187"/>
      <c r="AO45" s="188"/>
      <c r="AP45" s="189"/>
      <c r="AQ45" s="186"/>
      <c r="AR45" s="187"/>
      <c r="AS45" s="188"/>
      <c r="AT45" s="189"/>
      <c r="AU45" s="186"/>
      <c r="AV45" s="187"/>
      <c r="AW45" s="188"/>
      <c r="AX45" s="189"/>
      <c r="AY45" s="186"/>
      <c r="AZ45" s="187"/>
      <c r="BA45" s="188"/>
      <c r="BB45" s="189"/>
      <c r="BC45" s="186"/>
      <c r="BD45" s="187"/>
      <c r="BE45" s="188"/>
      <c r="BF45" s="189"/>
      <c r="BG45" s="186"/>
      <c r="BH45" s="187"/>
      <c r="BI45" s="188"/>
      <c r="BJ45" s="189"/>
      <c r="BK45" s="186"/>
      <c r="BL45" s="187"/>
      <c r="BM45" s="188"/>
      <c r="BN45" s="189"/>
      <c r="BO45" s="186"/>
      <c r="BP45" s="187"/>
      <c r="BQ45" s="188"/>
      <c r="BR45" s="189"/>
      <c r="BS45" s="186"/>
      <c r="BT45" s="187"/>
      <c r="BU45" s="188"/>
      <c r="BV45" s="189"/>
      <c r="BW45" s="186"/>
      <c r="BX45" s="187"/>
      <c r="BY45" s="188"/>
      <c r="BZ45" s="189"/>
      <c r="CA45" s="186"/>
      <c r="CB45" s="190"/>
      <c r="CC45" s="190"/>
      <c r="CD45" s="82">
        <f t="shared" si="142"/>
        <v>0</v>
      </c>
      <c r="CE45" s="82">
        <f t="shared" si="143"/>
        <v>0</v>
      </c>
      <c r="CF45" s="82">
        <f t="shared" si="144"/>
        <v>0</v>
      </c>
      <c r="CG45" s="82">
        <f t="shared" si="145"/>
        <v>0</v>
      </c>
      <c r="CH45" s="82">
        <f t="shared" si="146"/>
        <v>0</v>
      </c>
      <c r="CI45" s="82">
        <f t="shared" si="147"/>
        <v>0</v>
      </c>
      <c r="CJ45" s="82">
        <f>IF(ISTEXT(L45),(IF(ISERROR(VLOOKUP(L45,Ltg_IFixtureSch_PROP,2,FALSE)),0.000001,VLOOKUP(L45,Ltg_IFixtureSch_PROP,2,FALSE)*#REF!)),0)</f>
        <v>0</v>
      </c>
      <c r="CK45" s="82">
        <f t="shared" si="149"/>
        <v>0</v>
      </c>
      <c r="CL45" s="82">
        <f t="shared" si="150"/>
        <v>0</v>
      </c>
      <c r="CM45" s="82">
        <f t="shared" si="151"/>
        <v>0</v>
      </c>
      <c r="CN45" s="82">
        <f t="shared" si="152"/>
        <v>0</v>
      </c>
      <c r="CO45" s="82">
        <f t="shared" si="153"/>
        <v>0</v>
      </c>
      <c r="CP45" s="82">
        <f t="shared" si="154"/>
        <v>0</v>
      </c>
      <c r="CQ45" s="82">
        <f t="shared" si="155"/>
        <v>0</v>
      </c>
      <c r="CR45" s="82">
        <f t="shared" si="156"/>
        <v>0</v>
      </c>
      <c r="CS45" s="82">
        <f t="shared" si="157"/>
        <v>0</v>
      </c>
      <c r="CT45" s="82">
        <f t="shared" si="158"/>
        <v>0</v>
      </c>
      <c r="CU45" s="82">
        <f t="shared" si="159"/>
        <v>0</v>
      </c>
      <c r="CV45" s="82">
        <f t="shared" si="160"/>
        <v>0</v>
      </c>
      <c r="CW45" s="82">
        <f t="shared" si="161"/>
        <v>0</v>
      </c>
      <c r="CX45" s="82">
        <f t="shared" si="162"/>
        <v>0</v>
      </c>
      <c r="CY45" s="82">
        <f t="shared" si="163"/>
        <v>0</v>
      </c>
      <c r="CZ45" s="82">
        <f t="shared" si="164"/>
        <v>0</v>
      </c>
      <c r="DA45" s="82">
        <f t="shared" si="165"/>
        <v>0</v>
      </c>
      <c r="DB45" s="82">
        <f t="shared" si="166"/>
        <v>0</v>
      </c>
      <c r="DC45" s="82">
        <f t="shared" si="167"/>
        <v>0</v>
      </c>
      <c r="DD45" s="82">
        <f t="shared" si="168"/>
        <v>0</v>
      </c>
      <c r="DE45" s="82">
        <f t="shared" si="169"/>
        <v>0</v>
      </c>
      <c r="DF45" s="82">
        <f t="shared" si="170"/>
        <v>0</v>
      </c>
      <c r="DG45" s="82">
        <f t="shared" si="171"/>
        <v>0</v>
      </c>
      <c r="DH45" s="82">
        <f t="shared" si="172"/>
        <v>0</v>
      </c>
      <c r="DI45" s="82">
        <f t="shared" si="173"/>
        <v>0</v>
      </c>
      <c r="DJ45" s="82">
        <f t="shared" si="174"/>
        <v>0</v>
      </c>
      <c r="DK45" s="82">
        <f t="shared" si="175"/>
        <v>0</v>
      </c>
      <c r="DL45" s="82">
        <f t="shared" si="176"/>
        <v>0</v>
      </c>
      <c r="DM45" s="82">
        <f t="shared" si="177"/>
        <v>0</v>
      </c>
      <c r="DN45" s="82">
        <f t="shared" si="178"/>
        <v>0</v>
      </c>
      <c r="DO45" s="82">
        <f t="shared" si="179"/>
        <v>0</v>
      </c>
      <c r="DP45" s="82">
        <f t="shared" si="180"/>
        <v>0</v>
      </c>
      <c r="DQ45" s="82">
        <f t="shared" si="181"/>
        <v>0</v>
      </c>
      <c r="DR45" s="82">
        <f t="shared" si="182"/>
        <v>0</v>
      </c>
      <c r="DS45" s="82">
        <f t="shared" si="183"/>
        <v>0</v>
      </c>
      <c r="DT45" s="82">
        <f t="shared" si="184"/>
        <v>0</v>
      </c>
      <c r="DU45" s="82">
        <f t="shared" si="185"/>
        <v>0</v>
      </c>
      <c r="DV45" s="82">
        <f t="shared" si="186"/>
        <v>0</v>
      </c>
      <c r="DW45" s="82">
        <f t="shared" si="187"/>
        <v>0</v>
      </c>
      <c r="DX45" s="82">
        <f t="shared" si="188"/>
        <v>0</v>
      </c>
      <c r="DY45" s="82">
        <f t="shared" si="189"/>
        <v>0</v>
      </c>
      <c r="DZ45" s="82">
        <f t="shared" si="190"/>
        <v>0</v>
      </c>
      <c r="EA45" s="82">
        <f t="shared" si="191"/>
        <v>0</v>
      </c>
      <c r="EB45" s="82">
        <f t="shared" si="192"/>
        <v>0</v>
      </c>
      <c r="EC45" s="82">
        <f t="shared" si="193"/>
        <v>0</v>
      </c>
      <c r="ED45" s="82">
        <f t="shared" si="194"/>
        <v>0</v>
      </c>
      <c r="EE45" s="82">
        <f t="shared" si="195"/>
        <v>0</v>
      </c>
      <c r="EF45" s="82">
        <f t="shared" si="196"/>
        <v>0</v>
      </c>
      <c r="EG45" s="82">
        <f t="shared" si="197"/>
        <v>0</v>
      </c>
      <c r="EH45" s="82">
        <f t="shared" si="198"/>
        <v>0</v>
      </c>
      <c r="EI45" s="82">
        <f t="shared" si="199"/>
        <v>0</v>
      </c>
      <c r="EJ45" s="82">
        <f t="shared" si="200"/>
        <v>0</v>
      </c>
      <c r="EK45" s="82">
        <f t="shared" si="201"/>
        <v>0</v>
      </c>
      <c r="EL45" s="82">
        <f t="shared" si="202"/>
        <v>0</v>
      </c>
      <c r="EM45" s="82">
        <f t="shared" si="203"/>
        <v>0</v>
      </c>
      <c r="EN45" s="82">
        <f t="shared" si="204"/>
        <v>0</v>
      </c>
      <c r="EO45" s="82">
        <f t="shared" si="205"/>
        <v>0</v>
      </c>
      <c r="EP45" s="82">
        <f t="shared" si="206"/>
        <v>0</v>
      </c>
      <c r="EQ45" s="82">
        <f t="shared" si="207"/>
        <v>0</v>
      </c>
      <c r="ER45" s="82">
        <f t="shared" si="208"/>
        <v>0</v>
      </c>
      <c r="ES45" s="82">
        <f t="shared" si="209"/>
        <v>0</v>
      </c>
      <c r="ET45" s="82">
        <f t="shared" si="210"/>
        <v>0</v>
      </c>
      <c r="EU45" s="82">
        <f t="shared" si="211"/>
        <v>0</v>
      </c>
      <c r="EV45" s="82">
        <f t="shared" si="212"/>
        <v>0</v>
      </c>
      <c r="EW45" s="82">
        <f t="shared" si="213"/>
        <v>0</v>
      </c>
      <c r="EX45" s="82">
        <f t="shared" si="214"/>
        <v>0</v>
      </c>
      <c r="EY45" s="111">
        <f t="shared" si="215"/>
        <v>0</v>
      </c>
      <c r="EZ45" s="143">
        <f t="shared" ca="1" si="216"/>
        <v>0</v>
      </c>
      <c r="FA45" s="112">
        <f t="shared" ca="1" si="217"/>
        <v>0</v>
      </c>
      <c r="FB45" s="113">
        <f t="shared" ca="1" si="218"/>
        <v>0</v>
      </c>
      <c r="FC45" s="114">
        <f t="shared" ca="1" si="219"/>
        <v>0</v>
      </c>
      <c r="FD45" s="115">
        <f t="shared" ca="1" si="220"/>
        <v>0</v>
      </c>
      <c r="FE45" s="116">
        <f t="shared" ca="1" si="221"/>
        <v>0</v>
      </c>
      <c r="FF45" s="117">
        <f t="shared" ca="1" si="222"/>
        <v>0</v>
      </c>
      <c r="FG45" s="71">
        <f t="shared" si="223"/>
        <v>0</v>
      </c>
      <c r="FH45" s="530">
        <f t="shared" ca="1" si="224"/>
        <v>0</v>
      </c>
      <c r="FI45" s="72"/>
      <c r="FJ45" s="72"/>
      <c r="FK45" s="72"/>
      <c r="FM45" s="421" t="str">
        <f t="shared" si="122"/>
        <v>L02-216_StrsRaccIncd</v>
      </c>
      <c r="FN45" s="422" t="str">
        <f t="shared" ca="1" si="123"/>
        <v>Stairwell</v>
      </c>
      <c r="FO45" s="423">
        <f t="shared" ref="FO45:GD60" ca="1" si="226">IFERROR(ROUNDDOWN(SUMIF($H45:$CC45,FO$11,$CD45:$EX45)/FO$10,0),0)</f>
        <v>0</v>
      </c>
      <c r="FP45" s="423">
        <f t="shared" ca="1" si="226"/>
        <v>0</v>
      </c>
      <c r="FQ45" s="423">
        <f t="shared" ca="1" si="226"/>
        <v>0</v>
      </c>
      <c r="FR45" s="423">
        <f t="shared" ca="1" si="226"/>
        <v>0</v>
      </c>
      <c r="FS45" s="423">
        <f t="shared" ca="1" si="226"/>
        <v>0</v>
      </c>
      <c r="FT45" s="423">
        <f t="shared" ca="1" si="226"/>
        <v>0</v>
      </c>
      <c r="FU45" s="423">
        <f t="shared" ca="1" si="226"/>
        <v>0</v>
      </c>
      <c r="FV45" s="423">
        <f t="shared" ca="1" si="226"/>
        <v>0</v>
      </c>
      <c r="FW45" s="423">
        <f t="shared" ca="1" si="226"/>
        <v>0</v>
      </c>
      <c r="FX45" s="423">
        <f t="shared" ca="1" si="226"/>
        <v>0</v>
      </c>
      <c r="FY45" s="423">
        <f t="shared" ca="1" si="226"/>
        <v>0</v>
      </c>
      <c r="FZ45" s="423">
        <f t="shared" ca="1" si="226"/>
        <v>0</v>
      </c>
      <c r="GA45" s="423">
        <f t="shared" ca="1" si="226"/>
        <v>0</v>
      </c>
      <c r="GB45" s="423">
        <f t="shared" ca="1" si="226"/>
        <v>0</v>
      </c>
      <c r="GC45" s="423">
        <f t="shared" ca="1" si="226"/>
        <v>0</v>
      </c>
      <c r="GD45" s="423">
        <f t="shared" ca="1" si="225"/>
        <v>0</v>
      </c>
      <c r="GE45" s="423">
        <f t="shared" ca="1" si="139"/>
        <v>0</v>
      </c>
      <c r="GF45" s="423">
        <f t="shared" ca="1" si="139"/>
        <v>0</v>
      </c>
      <c r="GG45" s="423">
        <f t="shared" ca="1" si="139"/>
        <v>0</v>
      </c>
      <c r="GH45" s="423">
        <f t="shared" ca="1" si="139"/>
        <v>0</v>
      </c>
      <c r="GI45" s="423">
        <f t="shared" ca="1" si="139"/>
        <v>0</v>
      </c>
      <c r="GJ45" s="423">
        <f t="shared" ca="1" si="139"/>
        <v>0</v>
      </c>
      <c r="GK45" s="423">
        <f t="shared" ca="1" si="139"/>
        <v>0</v>
      </c>
      <c r="GL45" s="423">
        <f t="shared" ca="1" si="139"/>
        <v>0</v>
      </c>
      <c r="GM45" s="423">
        <f t="shared" ca="1" si="139"/>
        <v>0</v>
      </c>
      <c r="GN45" s="423">
        <f t="shared" ca="1" si="139"/>
        <v>0</v>
      </c>
      <c r="GO45" s="423">
        <f t="shared" ca="1" si="139"/>
        <v>0</v>
      </c>
      <c r="GP45" s="423">
        <f t="shared" ca="1" si="139"/>
        <v>0</v>
      </c>
      <c r="GQ45" s="423">
        <f t="shared" ca="1" si="139"/>
        <v>0</v>
      </c>
      <c r="GR45" s="423">
        <f t="shared" ca="1" si="139"/>
        <v>0</v>
      </c>
      <c r="GS45" s="423">
        <f t="shared" ca="1" si="139"/>
        <v>0</v>
      </c>
      <c r="GT45" s="423">
        <f t="shared" ca="1" si="139"/>
        <v>0</v>
      </c>
      <c r="GU45" s="423">
        <f t="shared" ca="1" si="140"/>
        <v>0</v>
      </c>
      <c r="GV45" s="423">
        <f t="shared" ca="1" si="140"/>
        <v>0</v>
      </c>
      <c r="GW45" s="423">
        <f t="shared" ca="1" si="140"/>
        <v>0</v>
      </c>
      <c r="GX45" s="423">
        <f t="shared" ca="1" si="140"/>
        <v>0</v>
      </c>
      <c r="GY45" s="423">
        <f t="shared" ca="1" si="140"/>
        <v>0</v>
      </c>
      <c r="GZ45" s="423">
        <f t="shared" ca="1" si="140"/>
        <v>0</v>
      </c>
      <c r="HA45" s="423">
        <f t="shared" ca="1" si="140"/>
        <v>0</v>
      </c>
      <c r="HB45" s="423">
        <f t="shared" ca="1" si="140"/>
        <v>0</v>
      </c>
      <c r="HC45" s="423">
        <f t="shared" ca="1" si="140"/>
        <v>0</v>
      </c>
      <c r="HD45" s="423">
        <f t="shared" ca="1" si="140"/>
        <v>0</v>
      </c>
      <c r="HE45" s="423">
        <f t="shared" ca="1" si="140"/>
        <v>0</v>
      </c>
      <c r="HF45" s="423">
        <f t="shared" ca="1" si="140"/>
        <v>0</v>
      </c>
      <c r="HG45" s="423">
        <f t="shared" ca="1" si="140"/>
        <v>0</v>
      </c>
      <c r="HH45" s="423">
        <f t="shared" ca="1" si="140"/>
        <v>0</v>
      </c>
      <c r="HI45" s="423">
        <f t="shared" ca="1" si="140"/>
        <v>0</v>
      </c>
      <c r="HJ45" s="423">
        <f t="shared" ca="1" si="140"/>
        <v>0</v>
      </c>
      <c r="HK45" s="423">
        <f t="shared" ca="1" si="141"/>
        <v>0</v>
      </c>
      <c r="HL45" s="423">
        <f t="shared" ca="1" si="141"/>
        <v>0</v>
      </c>
      <c r="HM45" s="423">
        <f t="shared" ca="1" si="141"/>
        <v>0</v>
      </c>
      <c r="HN45" s="423">
        <f t="shared" ca="1" si="141"/>
        <v>0</v>
      </c>
      <c r="HO45" s="423">
        <f t="shared" ca="1" si="141"/>
        <v>0</v>
      </c>
      <c r="HP45" s="423">
        <f t="shared" ca="1" si="141"/>
        <v>0</v>
      </c>
      <c r="HQ45" s="423">
        <f t="shared" ca="1" si="141"/>
        <v>0</v>
      </c>
      <c r="HR45" s="423">
        <f t="shared" ca="1" si="141"/>
        <v>0</v>
      </c>
      <c r="HS45" s="423">
        <f t="shared" ca="1" si="141"/>
        <v>0</v>
      </c>
      <c r="HT45" s="423">
        <f t="shared" ca="1" si="141"/>
        <v>0</v>
      </c>
    </row>
    <row r="46" spans="1:230" ht="11.25" customHeight="1" x14ac:dyDescent="0.2">
      <c r="A46" s="62">
        <f t="shared" si="128"/>
        <v>35</v>
      </c>
      <c r="B46" s="60" t="str">
        <f>Spaces_Sum!C91</f>
        <v>L02-217_MfamResiPthp</v>
      </c>
      <c r="C46" s="62" t="str">
        <f>Spaces_Sum!D91</f>
        <v>L02</v>
      </c>
      <c r="D46" s="62" t="str">
        <f ca="1">Spaces_Sum!I91</f>
        <v>DirectlyConditioned</v>
      </c>
      <c r="F46" s="110">
        <f ca="1">Spaces_Sum!M91</f>
        <v>839.5806</v>
      </c>
      <c r="G46" s="110" t="str">
        <f ca="1">Spaces_Sum!J91</f>
        <v>Dwelling Unit</v>
      </c>
      <c r="H46" s="532"/>
      <c r="I46" s="185"/>
      <c r="J46" s="185"/>
      <c r="K46" s="186"/>
      <c r="M46" s="188"/>
      <c r="N46" s="189"/>
      <c r="O46" s="186"/>
      <c r="P46" s="187"/>
      <c r="Q46" s="188"/>
      <c r="R46" s="189"/>
      <c r="S46" s="186"/>
      <c r="T46" s="187"/>
      <c r="U46" s="188"/>
      <c r="V46" s="189"/>
      <c r="W46" s="186"/>
      <c r="X46" s="187"/>
      <c r="Y46" s="188"/>
      <c r="Z46" s="189"/>
      <c r="AA46" s="186"/>
      <c r="AB46" s="187"/>
      <c r="AC46" s="188"/>
      <c r="AD46" s="189"/>
      <c r="AE46" s="186"/>
      <c r="AF46" s="187"/>
      <c r="AG46" s="188"/>
      <c r="AH46" s="189"/>
      <c r="AI46" s="186"/>
      <c r="AJ46" s="187"/>
      <c r="AK46" s="188"/>
      <c r="AL46" s="189"/>
      <c r="AM46" s="186"/>
      <c r="AN46" s="187"/>
      <c r="AO46" s="188"/>
      <c r="AP46" s="189"/>
      <c r="AQ46" s="186"/>
      <c r="AR46" s="187"/>
      <c r="AS46" s="188"/>
      <c r="AT46" s="189"/>
      <c r="AU46" s="186"/>
      <c r="AV46" s="187"/>
      <c r="AW46" s="188"/>
      <c r="AX46" s="189"/>
      <c r="AY46" s="186"/>
      <c r="AZ46" s="187"/>
      <c r="BA46" s="188"/>
      <c r="BB46" s="189"/>
      <c r="BC46" s="186"/>
      <c r="BD46" s="187"/>
      <c r="BE46" s="188"/>
      <c r="BF46" s="189"/>
      <c r="BG46" s="186"/>
      <c r="BH46" s="187"/>
      <c r="BI46" s="188"/>
      <c r="BJ46" s="189"/>
      <c r="BK46" s="186"/>
      <c r="BL46" s="187"/>
      <c r="BM46" s="188"/>
      <c r="BN46" s="189"/>
      <c r="BO46" s="186"/>
      <c r="BP46" s="187"/>
      <c r="BQ46" s="188"/>
      <c r="BR46" s="189"/>
      <c r="BS46" s="186"/>
      <c r="BT46" s="187"/>
      <c r="BU46" s="188"/>
      <c r="BV46" s="189"/>
      <c r="BW46" s="186"/>
      <c r="BX46" s="187"/>
      <c r="BY46" s="188"/>
      <c r="BZ46" s="189"/>
      <c r="CA46" s="186"/>
      <c r="CB46" s="190"/>
      <c r="CC46" s="190"/>
      <c r="CD46" s="82">
        <f t="shared" si="142"/>
        <v>0</v>
      </c>
      <c r="CE46" s="82">
        <f t="shared" si="143"/>
        <v>0</v>
      </c>
      <c r="CF46" s="82">
        <f t="shared" si="144"/>
        <v>0</v>
      </c>
      <c r="CG46" s="82">
        <f t="shared" si="145"/>
        <v>0</v>
      </c>
      <c r="CH46" s="82">
        <f>IF(ISTEXT(N45),(IF(ISERROR(VLOOKUP(N45,Ltg_IFixtureSch_PROP,2,FALSE)),0.000001,VLOOKUP(N45,Ltg_IFixtureSch_PROP,2,FALSE)*M46)),0)</f>
        <v>0</v>
      </c>
      <c r="CI46" s="82">
        <f t="shared" si="147"/>
        <v>0</v>
      </c>
      <c r="CJ46" s="82">
        <f>IF(ISTEXT(N45),(IF(ISERROR(VLOOKUP(N45,Ltg_IFixtureSch_PROP,2,FALSE)),0.000001,VLOOKUP(N45,Ltg_IFixtureSch_PROP,2,FALSE)*N46)),0)</f>
        <v>0</v>
      </c>
      <c r="CK46" s="82">
        <f>IF(ISTEXT(N45),(IF(ISERROR(VLOOKUP(N45,Ltg_IFixtureSch_PROP,2,FALSE)),0.000001,VLOOKUP(N45,Ltg_IFixtureSch_PROP,2,FALSE)*O46)),0)</f>
        <v>0</v>
      </c>
      <c r="CL46" s="82">
        <f t="shared" si="150"/>
        <v>0</v>
      </c>
      <c r="CM46" s="82">
        <f t="shared" si="151"/>
        <v>0</v>
      </c>
      <c r="CN46" s="82">
        <f t="shared" si="152"/>
        <v>0</v>
      </c>
      <c r="CO46" s="82">
        <f t="shared" si="153"/>
        <v>0</v>
      </c>
      <c r="CP46" s="82">
        <f t="shared" si="154"/>
        <v>0</v>
      </c>
      <c r="CQ46" s="82">
        <f t="shared" si="155"/>
        <v>0</v>
      </c>
      <c r="CR46" s="82">
        <f t="shared" si="156"/>
        <v>0</v>
      </c>
      <c r="CS46" s="82">
        <f t="shared" si="157"/>
        <v>0</v>
      </c>
      <c r="CT46" s="82">
        <f t="shared" si="158"/>
        <v>0</v>
      </c>
      <c r="CU46" s="82">
        <f t="shared" si="159"/>
        <v>0</v>
      </c>
      <c r="CV46" s="82">
        <f t="shared" si="160"/>
        <v>0</v>
      </c>
      <c r="CW46" s="82">
        <f t="shared" si="161"/>
        <v>0</v>
      </c>
      <c r="CX46" s="82">
        <f t="shared" si="162"/>
        <v>0</v>
      </c>
      <c r="CY46" s="82">
        <f t="shared" si="163"/>
        <v>0</v>
      </c>
      <c r="CZ46" s="82">
        <f t="shared" si="164"/>
        <v>0</v>
      </c>
      <c r="DA46" s="82">
        <f t="shared" si="165"/>
        <v>0</v>
      </c>
      <c r="DB46" s="82">
        <f t="shared" si="166"/>
        <v>0</v>
      </c>
      <c r="DC46" s="82">
        <f t="shared" si="167"/>
        <v>0</v>
      </c>
      <c r="DD46" s="82">
        <f t="shared" si="168"/>
        <v>0</v>
      </c>
      <c r="DE46" s="82">
        <f t="shared" si="169"/>
        <v>0</v>
      </c>
      <c r="DF46" s="82">
        <f t="shared" si="170"/>
        <v>0</v>
      </c>
      <c r="DG46" s="82">
        <f t="shared" si="171"/>
        <v>0</v>
      </c>
      <c r="DH46" s="82">
        <f t="shared" si="172"/>
        <v>0</v>
      </c>
      <c r="DI46" s="82">
        <f t="shared" si="173"/>
        <v>0</v>
      </c>
      <c r="DJ46" s="82">
        <f t="shared" si="174"/>
        <v>0</v>
      </c>
      <c r="DK46" s="82">
        <f t="shared" si="175"/>
        <v>0</v>
      </c>
      <c r="DL46" s="82">
        <f t="shared" si="176"/>
        <v>0</v>
      </c>
      <c r="DM46" s="82">
        <f t="shared" si="177"/>
        <v>0</v>
      </c>
      <c r="DN46" s="82">
        <f t="shared" si="178"/>
        <v>0</v>
      </c>
      <c r="DO46" s="82">
        <f t="shared" si="179"/>
        <v>0</v>
      </c>
      <c r="DP46" s="82">
        <f t="shared" si="180"/>
        <v>0</v>
      </c>
      <c r="DQ46" s="82">
        <f t="shared" si="181"/>
        <v>0</v>
      </c>
      <c r="DR46" s="82">
        <f t="shared" si="182"/>
        <v>0</v>
      </c>
      <c r="DS46" s="82">
        <f t="shared" si="183"/>
        <v>0</v>
      </c>
      <c r="DT46" s="82">
        <f t="shared" si="184"/>
        <v>0</v>
      </c>
      <c r="DU46" s="82">
        <f t="shared" si="185"/>
        <v>0</v>
      </c>
      <c r="DV46" s="82">
        <f t="shared" si="186"/>
        <v>0</v>
      </c>
      <c r="DW46" s="82">
        <f t="shared" si="187"/>
        <v>0</v>
      </c>
      <c r="DX46" s="82">
        <f t="shared" si="188"/>
        <v>0</v>
      </c>
      <c r="DY46" s="82">
        <f t="shared" si="189"/>
        <v>0</v>
      </c>
      <c r="DZ46" s="82">
        <f t="shared" si="190"/>
        <v>0</v>
      </c>
      <c r="EA46" s="82">
        <f t="shared" si="191"/>
        <v>0</v>
      </c>
      <c r="EB46" s="82">
        <f t="shared" si="192"/>
        <v>0</v>
      </c>
      <c r="EC46" s="82">
        <f t="shared" si="193"/>
        <v>0</v>
      </c>
      <c r="ED46" s="82">
        <f t="shared" si="194"/>
        <v>0</v>
      </c>
      <c r="EE46" s="82">
        <f t="shared" si="195"/>
        <v>0</v>
      </c>
      <c r="EF46" s="82">
        <f t="shared" si="196"/>
        <v>0</v>
      </c>
      <c r="EG46" s="82">
        <f t="shared" si="197"/>
        <v>0</v>
      </c>
      <c r="EH46" s="82">
        <f t="shared" si="198"/>
        <v>0</v>
      </c>
      <c r="EI46" s="82">
        <f t="shared" si="199"/>
        <v>0</v>
      </c>
      <c r="EJ46" s="82">
        <f t="shared" si="200"/>
        <v>0</v>
      </c>
      <c r="EK46" s="82">
        <f t="shared" si="201"/>
        <v>0</v>
      </c>
      <c r="EL46" s="82">
        <f t="shared" si="202"/>
        <v>0</v>
      </c>
      <c r="EM46" s="82">
        <f t="shared" si="203"/>
        <v>0</v>
      </c>
      <c r="EN46" s="82">
        <f t="shared" si="204"/>
        <v>0</v>
      </c>
      <c r="EO46" s="82">
        <f t="shared" si="205"/>
        <v>0</v>
      </c>
      <c r="EP46" s="82">
        <f t="shared" si="206"/>
        <v>0</v>
      </c>
      <c r="EQ46" s="82">
        <f t="shared" si="207"/>
        <v>0</v>
      </c>
      <c r="ER46" s="82">
        <f t="shared" si="208"/>
        <v>0</v>
      </c>
      <c r="ES46" s="82">
        <f t="shared" si="209"/>
        <v>0</v>
      </c>
      <c r="ET46" s="82">
        <f t="shared" si="210"/>
        <v>0</v>
      </c>
      <c r="EU46" s="82">
        <f t="shared" si="211"/>
        <v>0</v>
      </c>
      <c r="EV46" s="82">
        <f t="shared" si="212"/>
        <v>0</v>
      </c>
      <c r="EW46" s="82">
        <f t="shared" si="213"/>
        <v>0</v>
      </c>
      <c r="EX46" s="82">
        <f t="shared" si="214"/>
        <v>0</v>
      </c>
      <c r="EY46" s="111">
        <f t="shared" si="215"/>
        <v>0</v>
      </c>
      <c r="EZ46" s="143">
        <f t="shared" ca="1" si="216"/>
        <v>0</v>
      </c>
      <c r="FA46" s="112">
        <f t="shared" ca="1" si="217"/>
        <v>0</v>
      </c>
      <c r="FB46" s="113">
        <f t="shared" ca="1" si="218"/>
        <v>0</v>
      </c>
      <c r="FC46" s="114">
        <f t="shared" ca="1" si="219"/>
        <v>0</v>
      </c>
      <c r="FD46" s="115">
        <f t="shared" ca="1" si="220"/>
        <v>0</v>
      </c>
      <c r="FE46" s="116">
        <f t="shared" ca="1" si="221"/>
        <v>0</v>
      </c>
      <c r="FF46" s="117">
        <f t="shared" ca="1" si="222"/>
        <v>0</v>
      </c>
      <c r="FG46" s="71">
        <f t="shared" si="223"/>
        <v>0</v>
      </c>
      <c r="FH46" s="530">
        <f t="shared" ca="1" si="224"/>
        <v>0</v>
      </c>
      <c r="FI46" s="72"/>
      <c r="FJ46" s="72"/>
      <c r="FK46" s="72"/>
      <c r="FM46" s="421" t="str">
        <f t="shared" si="122"/>
        <v>L02-217_MfamResiPthp</v>
      </c>
      <c r="FN46" s="422" t="str">
        <f t="shared" ca="1" si="123"/>
        <v>Dwelling Unit</v>
      </c>
      <c r="FO46" s="423">
        <f t="shared" ca="1" si="226"/>
        <v>0</v>
      </c>
      <c r="FP46" s="423">
        <f t="shared" ca="1" si="226"/>
        <v>0</v>
      </c>
      <c r="FQ46" s="423">
        <f t="shared" ca="1" si="226"/>
        <v>0</v>
      </c>
      <c r="FR46" s="423">
        <f t="shared" ca="1" si="226"/>
        <v>0</v>
      </c>
      <c r="FS46" s="423">
        <f t="shared" ca="1" si="226"/>
        <v>0</v>
      </c>
      <c r="FT46" s="423">
        <f t="shared" ca="1" si="226"/>
        <v>0</v>
      </c>
      <c r="FU46" s="423">
        <f t="shared" ca="1" si="226"/>
        <v>0</v>
      </c>
      <c r="FV46" s="423">
        <f t="shared" ca="1" si="226"/>
        <v>0</v>
      </c>
      <c r="FW46" s="423">
        <f t="shared" ca="1" si="226"/>
        <v>0</v>
      </c>
      <c r="FX46" s="423">
        <f t="shared" ca="1" si="226"/>
        <v>0</v>
      </c>
      <c r="FY46" s="423">
        <f t="shared" ca="1" si="226"/>
        <v>0</v>
      </c>
      <c r="FZ46" s="423">
        <f t="shared" ca="1" si="226"/>
        <v>0</v>
      </c>
      <c r="GA46" s="423">
        <f t="shared" ca="1" si="226"/>
        <v>0</v>
      </c>
      <c r="GB46" s="423">
        <f t="shared" ca="1" si="226"/>
        <v>0</v>
      </c>
      <c r="GC46" s="423">
        <f t="shared" ca="1" si="226"/>
        <v>0</v>
      </c>
      <c r="GD46" s="423">
        <f t="shared" ca="1" si="225"/>
        <v>0</v>
      </c>
      <c r="GE46" s="423">
        <f t="shared" ca="1" si="139"/>
        <v>0</v>
      </c>
      <c r="GF46" s="423">
        <f t="shared" ca="1" si="139"/>
        <v>0</v>
      </c>
      <c r="GG46" s="423">
        <f t="shared" ca="1" si="139"/>
        <v>0</v>
      </c>
      <c r="GH46" s="423">
        <f t="shared" ca="1" si="139"/>
        <v>0</v>
      </c>
      <c r="GI46" s="423">
        <f t="shared" ca="1" si="139"/>
        <v>0</v>
      </c>
      <c r="GJ46" s="423">
        <f t="shared" ca="1" si="139"/>
        <v>0</v>
      </c>
      <c r="GK46" s="423">
        <f t="shared" ca="1" si="139"/>
        <v>0</v>
      </c>
      <c r="GL46" s="423">
        <f t="shared" ca="1" si="139"/>
        <v>0</v>
      </c>
      <c r="GM46" s="423">
        <f t="shared" ca="1" si="139"/>
        <v>0</v>
      </c>
      <c r="GN46" s="423">
        <f t="shared" ca="1" si="139"/>
        <v>0</v>
      </c>
      <c r="GO46" s="423">
        <f t="shared" ca="1" si="139"/>
        <v>0</v>
      </c>
      <c r="GP46" s="423">
        <f t="shared" ca="1" si="139"/>
        <v>0</v>
      </c>
      <c r="GQ46" s="423">
        <f t="shared" ca="1" si="139"/>
        <v>0</v>
      </c>
      <c r="GR46" s="423">
        <f t="shared" ca="1" si="139"/>
        <v>0</v>
      </c>
      <c r="GS46" s="423">
        <f t="shared" ca="1" si="139"/>
        <v>0</v>
      </c>
      <c r="GT46" s="423">
        <f t="shared" ca="1" si="139"/>
        <v>0</v>
      </c>
      <c r="GU46" s="423">
        <f t="shared" ca="1" si="140"/>
        <v>0</v>
      </c>
      <c r="GV46" s="423">
        <f t="shared" ca="1" si="140"/>
        <v>0</v>
      </c>
      <c r="GW46" s="423">
        <f t="shared" ca="1" si="140"/>
        <v>0</v>
      </c>
      <c r="GX46" s="423">
        <f t="shared" ca="1" si="140"/>
        <v>0</v>
      </c>
      <c r="GY46" s="423">
        <f t="shared" ca="1" si="140"/>
        <v>0</v>
      </c>
      <c r="GZ46" s="423">
        <f t="shared" ca="1" si="140"/>
        <v>0</v>
      </c>
      <c r="HA46" s="423">
        <f t="shared" ca="1" si="140"/>
        <v>0</v>
      </c>
      <c r="HB46" s="423">
        <f t="shared" ca="1" si="140"/>
        <v>0</v>
      </c>
      <c r="HC46" s="423">
        <f t="shared" ca="1" si="140"/>
        <v>0</v>
      </c>
      <c r="HD46" s="423">
        <f t="shared" ca="1" si="140"/>
        <v>0</v>
      </c>
      <c r="HE46" s="423">
        <f t="shared" ca="1" si="140"/>
        <v>0</v>
      </c>
      <c r="HF46" s="423">
        <f t="shared" ca="1" si="140"/>
        <v>0</v>
      </c>
      <c r="HG46" s="423">
        <f t="shared" ca="1" si="140"/>
        <v>0</v>
      </c>
      <c r="HH46" s="423">
        <f t="shared" ca="1" si="140"/>
        <v>0</v>
      </c>
      <c r="HI46" s="423">
        <f t="shared" ca="1" si="140"/>
        <v>0</v>
      </c>
      <c r="HJ46" s="423">
        <f t="shared" ca="1" si="140"/>
        <v>0</v>
      </c>
      <c r="HK46" s="423">
        <f t="shared" ca="1" si="141"/>
        <v>0</v>
      </c>
      <c r="HL46" s="423">
        <f t="shared" ca="1" si="141"/>
        <v>0</v>
      </c>
      <c r="HM46" s="423">
        <f t="shared" ca="1" si="141"/>
        <v>0</v>
      </c>
      <c r="HN46" s="423">
        <f t="shared" ca="1" si="141"/>
        <v>0</v>
      </c>
      <c r="HO46" s="423">
        <f t="shared" ca="1" si="141"/>
        <v>0</v>
      </c>
      <c r="HP46" s="423">
        <f t="shared" ca="1" si="141"/>
        <v>0</v>
      </c>
      <c r="HQ46" s="423">
        <f t="shared" ca="1" si="141"/>
        <v>0</v>
      </c>
      <c r="HR46" s="423">
        <f t="shared" ca="1" si="141"/>
        <v>0</v>
      </c>
      <c r="HS46" s="423">
        <f t="shared" ca="1" si="141"/>
        <v>0</v>
      </c>
      <c r="HT46" s="423">
        <f t="shared" ca="1" si="141"/>
        <v>0</v>
      </c>
    </row>
    <row r="47" spans="1:230" ht="11.25" customHeight="1" x14ac:dyDescent="0.2">
      <c r="A47" s="62">
        <f t="shared" si="128"/>
        <v>36</v>
      </c>
      <c r="B47" s="60" t="str">
        <f>Spaces_Sum!C92</f>
        <v>L02-218_TrshRaccIncd</v>
      </c>
      <c r="C47" s="62" t="str">
        <f>Spaces_Sum!D92</f>
        <v>L02</v>
      </c>
      <c r="D47" s="62" t="str">
        <f ca="1">Spaces_Sum!I92</f>
        <v>IndirectlyConditioned</v>
      </c>
      <c r="F47" s="110">
        <f ca="1">Spaces_Sum!M92</f>
        <v>187.88740000000001</v>
      </c>
      <c r="G47" s="110" t="str">
        <f ca="1">Spaces_Sum!J92</f>
        <v>Storage Room - &lt;50 ft2</v>
      </c>
      <c r="H47" s="532"/>
      <c r="I47" s="185"/>
      <c r="J47" s="185"/>
      <c r="K47" s="186"/>
      <c r="L47" s="187"/>
      <c r="M47" s="188"/>
      <c r="N47" s="189"/>
      <c r="O47" s="186"/>
      <c r="P47" s="187"/>
      <c r="Q47" s="188"/>
      <c r="R47" s="189"/>
      <c r="S47" s="186"/>
      <c r="T47" s="187"/>
      <c r="U47" s="188"/>
      <c r="V47" s="189"/>
      <c r="W47" s="186"/>
      <c r="X47" s="187"/>
      <c r="Y47" s="188"/>
      <c r="Z47" s="189"/>
      <c r="AA47" s="186"/>
      <c r="AB47" s="187"/>
      <c r="AC47" s="188"/>
      <c r="AD47" s="189"/>
      <c r="AE47" s="186"/>
      <c r="AF47" s="187"/>
      <c r="AG47" s="188"/>
      <c r="AH47" s="189"/>
      <c r="AI47" s="186"/>
      <c r="AJ47" s="187"/>
      <c r="AK47" s="188"/>
      <c r="AL47" s="189"/>
      <c r="AM47" s="186"/>
      <c r="AN47" s="187"/>
      <c r="AO47" s="188"/>
      <c r="AP47" s="189"/>
      <c r="AQ47" s="186"/>
      <c r="AR47" s="187"/>
      <c r="AS47" s="188"/>
      <c r="AT47" s="189"/>
      <c r="AU47" s="186"/>
      <c r="AV47" s="187"/>
      <c r="AW47" s="188"/>
      <c r="AX47" s="189"/>
      <c r="AY47" s="186"/>
      <c r="AZ47" s="187"/>
      <c r="BA47" s="188"/>
      <c r="BB47" s="189"/>
      <c r="BC47" s="186"/>
      <c r="BD47" s="187"/>
      <c r="BE47" s="188"/>
      <c r="BF47" s="189"/>
      <c r="BG47" s="186"/>
      <c r="BH47" s="187"/>
      <c r="BI47" s="188"/>
      <c r="BJ47" s="189"/>
      <c r="BK47" s="186"/>
      <c r="BL47" s="187"/>
      <c r="BM47" s="188"/>
      <c r="BN47" s="189"/>
      <c r="BO47" s="186"/>
      <c r="BP47" s="187"/>
      <c r="BQ47" s="188"/>
      <c r="BR47" s="189"/>
      <c r="BS47" s="186"/>
      <c r="BT47" s="187"/>
      <c r="BU47" s="188"/>
      <c r="BV47" s="189"/>
      <c r="BW47" s="186"/>
      <c r="BX47" s="187"/>
      <c r="BY47" s="188"/>
      <c r="BZ47" s="189"/>
      <c r="CA47" s="186"/>
      <c r="CB47" s="190"/>
      <c r="CC47" s="190"/>
      <c r="CD47" s="82">
        <f t="shared" si="142"/>
        <v>0</v>
      </c>
      <c r="CE47" s="82">
        <f t="shared" si="143"/>
        <v>0</v>
      </c>
      <c r="CF47" s="82">
        <f t="shared" si="144"/>
        <v>0</v>
      </c>
      <c r="CG47" s="82">
        <f t="shared" si="145"/>
        <v>0</v>
      </c>
      <c r="CH47" s="82">
        <f t="shared" si="146"/>
        <v>0</v>
      </c>
      <c r="CI47" s="82">
        <f t="shared" si="147"/>
        <v>0</v>
      </c>
      <c r="CJ47" s="82">
        <f t="shared" si="148"/>
        <v>0</v>
      </c>
      <c r="CK47" s="82">
        <f t="shared" si="149"/>
        <v>0</v>
      </c>
      <c r="CL47" s="82">
        <f t="shared" si="150"/>
        <v>0</v>
      </c>
      <c r="CM47" s="82">
        <f t="shared" si="151"/>
        <v>0</v>
      </c>
      <c r="CN47" s="82">
        <f t="shared" si="152"/>
        <v>0</v>
      </c>
      <c r="CO47" s="82">
        <f t="shared" si="153"/>
        <v>0</v>
      </c>
      <c r="CP47" s="82">
        <f t="shared" si="154"/>
        <v>0</v>
      </c>
      <c r="CQ47" s="82">
        <f t="shared" si="155"/>
        <v>0</v>
      </c>
      <c r="CR47" s="82">
        <f t="shared" si="156"/>
        <v>0</v>
      </c>
      <c r="CS47" s="82">
        <f t="shared" si="157"/>
        <v>0</v>
      </c>
      <c r="CT47" s="82">
        <f t="shared" si="158"/>
        <v>0</v>
      </c>
      <c r="CU47" s="82">
        <f t="shared" si="159"/>
        <v>0</v>
      </c>
      <c r="CV47" s="82">
        <f t="shared" si="160"/>
        <v>0</v>
      </c>
      <c r="CW47" s="82">
        <f t="shared" si="161"/>
        <v>0</v>
      </c>
      <c r="CX47" s="82">
        <f t="shared" si="162"/>
        <v>0</v>
      </c>
      <c r="CY47" s="82">
        <f t="shared" si="163"/>
        <v>0</v>
      </c>
      <c r="CZ47" s="82">
        <f t="shared" si="164"/>
        <v>0</v>
      </c>
      <c r="DA47" s="82">
        <f t="shared" si="165"/>
        <v>0</v>
      </c>
      <c r="DB47" s="82">
        <f t="shared" si="166"/>
        <v>0</v>
      </c>
      <c r="DC47" s="82">
        <f t="shared" si="167"/>
        <v>0</v>
      </c>
      <c r="DD47" s="82">
        <f t="shared" si="168"/>
        <v>0</v>
      </c>
      <c r="DE47" s="82">
        <f t="shared" si="169"/>
        <v>0</v>
      </c>
      <c r="DF47" s="82">
        <f t="shared" si="170"/>
        <v>0</v>
      </c>
      <c r="DG47" s="82">
        <f t="shared" si="171"/>
        <v>0</v>
      </c>
      <c r="DH47" s="82">
        <f t="shared" si="172"/>
        <v>0</v>
      </c>
      <c r="DI47" s="82">
        <f t="shared" si="173"/>
        <v>0</v>
      </c>
      <c r="DJ47" s="82">
        <f t="shared" si="174"/>
        <v>0</v>
      </c>
      <c r="DK47" s="82">
        <f t="shared" si="175"/>
        <v>0</v>
      </c>
      <c r="DL47" s="82">
        <f t="shared" si="176"/>
        <v>0</v>
      </c>
      <c r="DM47" s="82">
        <f t="shared" si="177"/>
        <v>0</v>
      </c>
      <c r="DN47" s="82">
        <f t="shared" si="178"/>
        <v>0</v>
      </c>
      <c r="DO47" s="82">
        <f t="shared" si="179"/>
        <v>0</v>
      </c>
      <c r="DP47" s="82">
        <f t="shared" si="180"/>
        <v>0</v>
      </c>
      <c r="DQ47" s="82">
        <f t="shared" si="181"/>
        <v>0</v>
      </c>
      <c r="DR47" s="82">
        <f t="shared" si="182"/>
        <v>0</v>
      </c>
      <c r="DS47" s="82">
        <f t="shared" si="183"/>
        <v>0</v>
      </c>
      <c r="DT47" s="82">
        <f t="shared" si="184"/>
        <v>0</v>
      </c>
      <c r="DU47" s="82">
        <f t="shared" si="185"/>
        <v>0</v>
      </c>
      <c r="DV47" s="82">
        <f t="shared" si="186"/>
        <v>0</v>
      </c>
      <c r="DW47" s="82">
        <f t="shared" si="187"/>
        <v>0</v>
      </c>
      <c r="DX47" s="82">
        <f t="shared" si="188"/>
        <v>0</v>
      </c>
      <c r="DY47" s="82">
        <f t="shared" si="189"/>
        <v>0</v>
      </c>
      <c r="DZ47" s="82">
        <f t="shared" si="190"/>
        <v>0</v>
      </c>
      <c r="EA47" s="82">
        <f t="shared" si="191"/>
        <v>0</v>
      </c>
      <c r="EB47" s="82">
        <f t="shared" si="192"/>
        <v>0</v>
      </c>
      <c r="EC47" s="82">
        <f t="shared" si="193"/>
        <v>0</v>
      </c>
      <c r="ED47" s="82">
        <f t="shared" si="194"/>
        <v>0</v>
      </c>
      <c r="EE47" s="82">
        <f t="shared" si="195"/>
        <v>0</v>
      </c>
      <c r="EF47" s="82">
        <f t="shared" si="196"/>
        <v>0</v>
      </c>
      <c r="EG47" s="82">
        <f t="shared" si="197"/>
        <v>0</v>
      </c>
      <c r="EH47" s="82">
        <f t="shared" si="198"/>
        <v>0</v>
      </c>
      <c r="EI47" s="82">
        <f t="shared" si="199"/>
        <v>0</v>
      </c>
      <c r="EJ47" s="82">
        <f t="shared" si="200"/>
        <v>0</v>
      </c>
      <c r="EK47" s="82">
        <f t="shared" si="201"/>
        <v>0</v>
      </c>
      <c r="EL47" s="82">
        <f t="shared" si="202"/>
        <v>0</v>
      </c>
      <c r="EM47" s="82">
        <f t="shared" si="203"/>
        <v>0</v>
      </c>
      <c r="EN47" s="82">
        <f t="shared" si="204"/>
        <v>0</v>
      </c>
      <c r="EO47" s="82">
        <f t="shared" si="205"/>
        <v>0</v>
      </c>
      <c r="EP47" s="82">
        <f t="shared" si="206"/>
        <v>0</v>
      </c>
      <c r="EQ47" s="82">
        <f t="shared" si="207"/>
        <v>0</v>
      </c>
      <c r="ER47" s="82">
        <f t="shared" si="208"/>
        <v>0</v>
      </c>
      <c r="ES47" s="82">
        <f t="shared" si="209"/>
        <v>0</v>
      </c>
      <c r="ET47" s="82">
        <f t="shared" si="210"/>
        <v>0</v>
      </c>
      <c r="EU47" s="82">
        <f t="shared" si="211"/>
        <v>0</v>
      </c>
      <c r="EV47" s="82">
        <f t="shared" si="212"/>
        <v>0</v>
      </c>
      <c r="EW47" s="82">
        <f t="shared" si="213"/>
        <v>0</v>
      </c>
      <c r="EX47" s="82">
        <f t="shared" si="214"/>
        <v>0</v>
      </c>
      <c r="EY47" s="111">
        <f t="shared" si="215"/>
        <v>0</v>
      </c>
      <c r="EZ47" s="143">
        <f t="shared" ca="1" si="216"/>
        <v>0</v>
      </c>
      <c r="FA47" s="112">
        <f t="shared" ca="1" si="217"/>
        <v>0</v>
      </c>
      <c r="FB47" s="113">
        <f t="shared" ca="1" si="218"/>
        <v>0</v>
      </c>
      <c r="FC47" s="114">
        <f t="shared" ca="1" si="219"/>
        <v>0</v>
      </c>
      <c r="FD47" s="115">
        <f t="shared" ca="1" si="220"/>
        <v>0</v>
      </c>
      <c r="FE47" s="116">
        <f t="shared" ca="1" si="221"/>
        <v>0</v>
      </c>
      <c r="FF47" s="117">
        <f t="shared" ca="1" si="222"/>
        <v>0</v>
      </c>
      <c r="FG47" s="71">
        <f t="shared" si="223"/>
        <v>0</v>
      </c>
      <c r="FH47" s="530">
        <f t="shared" ca="1" si="224"/>
        <v>0</v>
      </c>
      <c r="FI47" s="72"/>
      <c r="FJ47" s="72"/>
      <c r="FK47" s="72"/>
      <c r="FM47" s="421" t="str">
        <f t="shared" si="122"/>
        <v>L02-218_TrshRaccIncd</v>
      </c>
      <c r="FN47" s="422" t="str">
        <f t="shared" ca="1" si="123"/>
        <v>Storage Room - &lt;50 ft2</v>
      </c>
      <c r="FO47" s="423">
        <f t="shared" ca="1" si="226"/>
        <v>0</v>
      </c>
      <c r="FP47" s="423">
        <f t="shared" ca="1" si="226"/>
        <v>0</v>
      </c>
      <c r="FQ47" s="423">
        <f t="shared" ca="1" si="226"/>
        <v>0</v>
      </c>
      <c r="FR47" s="423">
        <f t="shared" ca="1" si="226"/>
        <v>0</v>
      </c>
      <c r="FS47" s="423">
        <f t="shared" ca="1" si="226"/>
        <v>0</v>
      </c>
      <c r="FT47" s="423">
        <f t="shared" ca="1" si="226"/>
        <v>0</v>
      </c>
      <c r="FU47" s="423">
        <f t="shared" ca="1" si="226"/>
        <v>0</v>
      </c>
      <c r="FV47" s="423">
        <f t="shared" ca="1" si="226"/>
        <v>0</v>
      </c>
      <c r="FW47" s="423">
        <f t="shared" ca="1" si="226"/>
        <v>0</v>
      </c>
      <c r="FX47" s="423">
        <f t="shared" ca="1" si="226"/>
        <v>0</v>
      </c>
      <c r="FY47" s="423">
        <f t="shared" ca="1" si="226"/>
        <v>0</v>
      </c>
      <c r="FZ47" s="423">
        <f t="shared" ca="1" si="226"/>
        <v>0</v>
      </c>
      <c r="GA47" s="423">
        <f t="shared" ca="1" si="226"/>
        <v>0</v>
      </c>
      <c r="GB47" s="423">
        <f t="shared" ca="1" si="226"/>
        <v>0</v>
      </c>
      <c r="GC47" s="423">
        <f t="shared" ca="1" si="226"/>
        <v>0</v>
      </c>
      <c r="GD47" s="423">
        <f t="shared" ca="1" si="225"/>
        <v>0</v>
      </c>
      <c r="GE47" s="423">
        <f t="shared" ca="1" si="139"/>
        <v>0</v>
      </c>
      <c r="GF47" s="423">
        <f t="shared" ca="1" si="139"/>
        <v>0</v>
      </c>
      <c r="GG47" s="423">
        <f t="shared" ca="1" si="139"/>
        <v>0</v>
      </c>
      <c r="GH47" s="423">
        <f t="shared" ca="1" si="139"/>
        <v>0</v>
      </c>
      <c r="GI47" s="423">
        <f t="shared" ca="1" si="139"/>
        <v>0</v>
      </c>
      <c r="GJ47" s="423">
        <f t="shared" ca="1" si="139"/>
        <v>0</v>
      </c>
      <c r="GK47" s="423">
        <f t="shared" ca="1" si="139"/>
        <v>0</v>
      </c>
      <c r="GL47" s="423">
        <f t="shared" ca="1" si="139"/>
        <v>0</v>
      </c>
      <c r="GM47" s="423">
        <f t="shared" ca="1" si="139"/>
        <v>0</v>
      </c>
      <c r="GN47" s="423">
        <f t="shared" ca="1" si="139"/>
        <v>0</v>
      </c>
      <c r="GO47" s="423">
        <f t="shared" ca="1" si="139"/>
        <v>0</v>
      </c>
      <c r="GP47" s="423">
        <f t="shared" ca="1" si="139"/>
        <v>0</v>
      </c>
      <c r="GQ47" s="423">
        <f t="shared" ca="1" si="139"/>
        <v>0</v>
      </c>
      <c r="GR47" s="423">
        <f t="shared" ca="1" si="139"/>
        <v>0</v>
      </c>
      <c r="GS47" s="423">
        <f t="shared" ca="1" si="139"/>
        <v>0</v>
      </c>
      <c r="GT47" s="423">
        <f t="shared" ca="1" si="139"/>
        <v>0</v>
      </c>
      <c r="GU47" s="423">
        <f t="shared" ca="1" si="140"/>
        <v>0</v>
      </c>
      <c r="GV47" s="423">
        <f t="shared" ca="1" si="140"/>
        <v>0</v>
      </c>
      <c r="GW47" s="423">
        <f t="shared" ca="1" si="140"/>
        <v>0</v>
      </c>
      <c r="GX47" s="423">
        <f t="shared" ca="1" si="140"/>
        <v>0</v>
      </c>
      <c r="GY47" s="423">
        <f t="shared" ca="1" si="140"/>
        <v>0</v>
      </c>
      <c r="GZ47" s="423">
        <f t="shared" ca="1" si="140"/>
        <v>0</v>
      </c>
      <c r="HA47" s="423">
        <f t="shared" ca="1" si="140"/>
        <v>0</v>
      </c>
      <c r="HB47" s="423">
        <f t="shared" ca="1" si="140"/>
        <v>0</v>
      </c>
      <c r="HC47" s="423">
        <f t="shared" ca="1" si="140"/>
        <v>0</v>
      </c>
      <c r="HD47" s="423">
        <f t="shared" ca="1" si="140"/>
        <v>0</v>
      </c>
      <c r="HE47" s="423">
        <f t="shared" ca="1" si="140"/>
        <v>0</v>
      </c>
      <c r="HF47" s="423">
        <f t="shared" ca="1" si="140"/>
        <v>0</v>
      </c>
      <c r="HG47" s="423">
        <f t="shared" ca="1" si="140"/>
        <v>0</v>
      </c>
      <c r="HH47" s="423">
        <f t="shared" ca="1" si="140"/>
        <v>0</v>
      </c>
      <c r="HI47" s="423">
        <f t="shared" ca="1" si="140"/>
        <v>0</v>
      </c>
      <c r="HJ47" s="423">
        <f t="shared" ca="1" si="140"/>
        <v>0</v>
      </c>
      <c r="HK47" s="423">
        <f t="shared" ca="1" si="141"/>
        <v>0</v>
      </c>
      <c r="HL47" s="423">
        <f t="shared" ca="1" si="141"/>
        <v>0</v>
      </c>
      <c r="HM47" s="423">
        <f t="shared" ca="1" si="141"/>
        <v>0</v>
      </c>
      <c r="HN47" s="423">
        <f t="shared" ca="1" si="141"/>
        <v>0</v>
      </c>
      <c r="HO47" s="423">
        <f t="shared" ca="1" si="141"/>
        <v>0</v>
      </c>
      <c r="HP47" s="423">
        <f t="shared" ca="1" si="141"/>
        <v>0</v>
      </c>
      <c r="HQ47" s="423">
        <f t="shared" ca="1" si="141"/>
        <v>0</v>
      </c>
      <c r="HR47" s="423">
        <f t="shared" ca="1" si="141"/>
        <v>0</v>
      </c>
      <c r="HS47" s="423">
        <f t="shared" ca="1" si="141"/>
        <v>0</v>
      </c>
      <c r="HT47" s="423">
        <f t="shared" ca="1" si="141"/>
        <v>0</v>
      </c>
    </row>
    <row r="48" spans="1:230" ht="11.25" customHeight="1" x14ac:dyDescent="0.2">
      <c r="A48" s="62">
        <f t="shared" si="128"/>
        <v>37</v>
      </c>
      <c r="B48" s="60" t="str">
        <f>Spaces_Sum!C93</f>
        <v>L03-300_CorrRaccSphp</v>
      </c>
      <c r="C48" s="62" t="str">
        <f>Spaces_Sum!D93</f>
        <v>L03</v>
      </c>
      <c r="D48" s="62" t="str">
        <f ca="1">Spaces_Sum!I93</f>
        <v>DirectlyConditioned</v>
      </c>
      <c r="F48" s="110">
        <f ca="1">Spaces_Sum!M93</f>
        <v>1916.0455999999999</v>
      </c>
      <c r="G48" s="110" t="str">
        <f ca="1">Spaces_Sum!J93</f>
        <v>Corridor - All other</v>
      </c>
      <c r="H48" s="532"/>
      <c r="I48" s="185"/>
      <c r="J48" s="185"/>
      <c r="K48" s="641"/>
      <c r="L48" s="642"/>
      <c r="M48" s="643"/>
      <c r="N48" s="189"/>
      <c r="O48" s="186"/>
      <c r="P48" s="187"/>
      <c r="Q48" s="188"/>
      <c r="R48" s="189"/>
      <c r="S48" s="186"/>
      <c r="T48" s="187"/>
      <c r="U48" s="188"/>
      <c r="V48" s="189"/>
      <c r="W48" s="186"/>
      <c r="X48" s="187"/>
      <c r="Y48" s="188"/>
      <c r="Z48" s="189"/>
      <c r="AA48" s="186"/>
      <c r="AB48" s="187"/>
      <c r="AC48" s="188"/>
      <c r="AD48" s="189"/>
      <c r="AE48" s="186"/>
      <c r="AF48" s="187"/>
      <c r="AG48" s="188"/>
      <c r="AH48" s="189"/>
      <c r="AI48" s="186"/>
      <c r="AJ48" s="187"/>
      <c r="AK48" s="188"/>
      <c r="AL48" s="189"/>
      <c r="AM48" s="186"/>
      <c r="AN48" s="187"/>
      <c r="AO48" s="188"/>
      <c r="AP48" s="189"/>
      <c r="AQ48" s="186"/>
      <c r="AR48" s="187"/>
      <c r="AS48" s="188"/>
      <c r="AT48" s="189"/>
      <c r="AU48" s="186"/>
      <c r="AV48" s="187"/>
      <c r="AW48" s="188"/>
      <c r="AX48" s="189"/>
      <c r="AY48" s="186"/>
      <c r="AZ48" s="187"/>
      <c r="BA48" s="188"/>
      <c r="BB48" s="189"/>
      <c r="BC48" s="186"/>
      <c r="BD48" s="187"/>
      <c r="BE48" s="188"/>
      <c r="BF48" s="189"/>
      <c r="BG48" s="186"/>
      <c r="BH48" s="187"/>
      <c r="BI48" s="188"/>
      <c r="BJ48" s="189"/>
      <c r="BK48" s="186"/>
      <c r="BL48" s="187"/>
      <c r="BM48" s="188"/>
      <c r="BN48" s="189"/>
      <c r="BO48" s="186"/>
      <c r="BP48" s="187"/>
      <c r="BQ48" s="188"/>
      <c r="BR48" s="189"/>
      <c r="BS48" s="186"/>
      <c r="BT48" s="187"/>
      <c r="BU48" s="188"/>
      <c r="BV48" s="189"/>
      <c r="BW48" s="186"/>
      <c r="BX48" s="187"/>
      <c r="BY48" s="188"/>
      <c r="BZ48" s="189"/>
      <c r="CA48" s="186"/>
      <c r="CB48" s="190"/>
      <c r="CC48" s="190"/>
      <c r="CD48" s="82">
        <f t="shared" si="142"/>
        <v>0</v>
      </c>
      <c r="CE48" s="82">
        <f t="shared" si="143"/>
        <v>0</v>
      </c>
      <c r="CF48" s="82">
        <f t="shared" si="144"/>
        <v>0</v>
      </c>
      <c r="CG48" s="82">
        <f t="shared" si="145"/>
        <v>0</v>
      </c>
      <c r="CH48" s="82">
        <f t="shared" si="146"/>
        <v>0</v>
      </c>
      <c r="CI48" s="82">
        <f t="shared" si="147"/>
        <v>0</v>
      </c>
      <c r="CJ48" s="82">
        <f t="shared" si="148"/>
        <v>0</v>
      </c>
      <c r="CK48" s="82">
        <f t="shared" si="149"/>
        <v>0</v>
      </c>
      <c r="CL48" s="82">
        <f t="shared" si="150"/>
        <v>0</v>
      </c>
      <c r="CM48" s="82">
        <f t="shared" si="151"/>
        <v>0</v>
      </c>
      <c r="CN48" s="82">
        <f t="shared" si="152"/>
        <v>0</v>
      </c>
      <c r="CO48" s="82">
        <f t="shared" si="153"/>
        <v>0</v>
      </c>
      <c r="CP48" s="82">
        <f t="shared" si="154"/>
        <v>0</v>
      </c>
      <c r="CQ48" s="82">
        <f t="shared" si="155"/>
        <v>0</v>
      </c>
      <c r="CR48" s="82">
        <f t="shared" si="156"/>
        <v>0</v>
      </c>
      <c r="CS48" s="82">
        <f t="shared" si="157"/>
        <v>0</v>
      </c>
      <c r="CT48" s="82">
        <f t="shared" si="158"/>
        <v>0</v>
      </c>
      <c r="CU48" s="82">
        <f t="shared" si="159"/>
        <v>0</v>
      </c>
      <c r="CV48" s="82">
        <f t="shared" si="160"/>
        <v>0</v>
      </c>
      <c r="CW48" s="82">
        <f t="shared" si="161"/>
        <v>0</v>
      </c>
      <c r="CX48" s="82">
        <f t="shared" si="162"/>
        <v>0</v>
      </c>
      <c r="CY48" s="82">
        <f t="shared" si="163"/>
        <v>0</v>
      </c>
      <c r="CZ48" s="82">
        <f t="shared" si="164"/>
        <v>0</v>
      </c>
      <c r="DA48" s="82">
        <f t="shared" si="165"/>
        <v>0</v>
      </c>
      <c r="DB48" s="82">
        <f t="shared" si="166"/>
        <v>0</v>
      </c>
      <c r="DC48" s="82">
        <f t="shared" si="167"/>
        <v>0</v>
      </c>
      <c r="DD48" s="82">
        <f t="shared" si="168"/>
        <v>0</v>
      </c>
      <c r="DE48" s="82">
        <f t="shared" si="169"/>
        <v>0</v>
      </c>
      <c r="DF48" s="82">
        <f t="shared" si="170"/>
        <v>0</v>
      </c>
      <c r="DG48" s="82">
        <f t="shared" si="171"/>
        <v>0</v>
      </c>
      <c r="DH48" s="82">
        <f t="shared" si="172"/>
        <v>0</v>
      </c>
      <c r="DI48" s="82">
        <f t="shared" si="173"/>
        <v>0</v>
      </c>
      <c r="DJ48" s="82">
        <f t="shared" si="174"/>
        <v>0</v>
      </c>
      <c r="DK48" s="82">
        <f t="shared" si="175"/>
        <v>0</v>
      </c>
      <c r="DL48" s="82">
        <f t="shared" si="176"/>
        <v>0</v>
      </c>
      <c r="DM48" s="82">
        <f t="shared" si="177"/>
        <v>0</v>
      </c>
      <c r="DN48" s="82">
        <f t="shared" si="178"/>
        <v>0</v>
      </c>
      <c r="DO48" s="82">
        <f t="shared" si="179"/>
        <v>0</v>
      </c>
      <c r="DP48" s="82">
        <f t="shared" si="180"/>
        <v>0</v>
      </c>
      <c r="DQ48" s="82">
        <f t="shared" si="181"/>
        <v>0</v>
      </c>
      <c r="DR48" s="82">
        <f t="shared" si="182"/>
        <v>0</v>
      </c>
      <c r="DS48" s="82">
        <f t="shared" si="183"/>
        <v>0</v>
      </c>
      <c r="DT48" s="82">
        <f t="shared" si="184"/>
        <v>0</v>
      </c>
      <c r="DU48" s="82">
        <f t="shared" si="185"/>
        <v>0</v>
      </c>
      <c r="DV48" s="82">
        <f t="shared" si="186"/>
        <v>0</v>
      </c>
      <c r="DW48" s="82">
        <f t="shared" si="187"/>
        <v>0</v>
      </c>
      <c r="DX48" s="82">
        <f t="shared" si="188"/>
        <v>0</v>
      </c>
      <c r="DY48" s="82">
        <f t="shared" si="189"/>
        <v>0</v>
      </c>
      <c r="DZ48" s="82">
        <f t="shared" si="190"/>
        <v>0</v>
      </c>
      <c r="EA48" s="82">
        <f t="shared" si="191"/>
        <v>0</v>
      </c>
      <c r="EB48" s="82">
        <f t="shared" si="192"/>
        <v>0</v>
      </c>
      <c r="EC48" s="82">
        <f t="shared" si="193"/>
        <v>0</v>
      </c>
      <c r="ED48" s="82">
        <f t="shared" si="194"/>
        <v>0</v>
      </c>
      <c r="EE48" s="82">
        <f t="shared" si="195"/>
        <v>0</v>
      </c>
      <c r="EF48" s="82">
        <f t="shared" si="196"/>
        <v>0</v>
      </c>
      <c r="EG48" s="82">
        <f t="shared" si="197"/>
        <v>0</v>
      </c>
      <c r="EH48" s="82">
        <f t="shared" si="198"/>
        <v>0</v>
      </c>
      <c r="EI48" s="82">
        <f t="shared" si="199"/>
        <v>0</v>
      </c>
      <c r="EJ48" s="82">
        <f t="shared" si="200"/>
        <v>0</v>
      </c>
      <c r="EK48" s="82">
        <f t="shared" si="201"/>
        <v>0</v>
      </c>
      <c r="EL48" s="82">
        <f t="shared" si="202"/>
        <v>0</v>
      </c>
      <c r="EM48" s="82">
        <f t="shared" si="203"/>
        <v>0</v>
      </c>
      <c r="EN48" s="82">
        <f t="shared" si="204"/>
        <v>0</v>
      </c>
      <c r="EO48" s="82">
        <f t="shared" si="205"/>
        <v>0</v>
      </c>
      <c r="EP48" s="82">
        <f t="shared" si="206"/>
        <v>0</v>
      </c>
      <c r="EQ48" s="82">
        <f t="shared" si="207"/>
        <v>0</v>
      </c>
      <c r="ER48" s="82">
        <f t="shared" si="208"/>
        <v>0</v>
      </c>
      <c r="ES48" s="82">
        <f t="shared" si="209"/>
        <v>0</v>
      </c>
      <c r="ET48" s="82">
        <f t="shared" si="210"/>
        <v>0</v>
      </c>
      <c r="EU48" s="82">
        <f t="shared" si="211"/>
        <v>0</v>
      </c>
      <c r="EV48" s="82">
        <f t="shared" si="212"/>
        <v>0</v>
      </c>
      <c r="EW48" s="82">
        <f t="shared" si="213"/>
        <v>0</v>
      </c>
      <c r="EX48" s="82">
        <f>IF(ISTEXT(CB48),(IF(ISERROR(VLOOKUP(CB48,Ltg_IFixtureSch_PROP,2,FALSE)),0.000001,VLOOKUP(CB48,Ltg_IFixtureSch_PROP,2,FALSE)*CC48)),0)</f>
        <v>0</v>
      </c>
      <c r="EY48" s="111">
        <f t="shared" si="215"/>
        <v>0</v>
      </c>
      <c r="EZ48" s="143">
        <f t="shared" ca="1" si="216"/>
        <v>0</v>
      </c>
      <c r="FA48" s="112">
        <f t="shared" ca="1" si="217"/>
        <v>0</v>
      </c>
      <c r="FB48" s="113">
        <f t="shared" ca="1" si="218"/>
        <v>0</v>
      </c>
      <c r="FC48" s="114">
        <f t="shared" ca="1" si="219"/>
        <v>0</v>
      </c>
      <c r="FD48" s="115">
        <f t="shared" ca="1" si="220"/>
        <v>0</v>
      </c>
      <c r="FE48" s="116">
        <f t="shared" ca="1" si="221"/>
        <v>0</v>
      </c>
      <c r="FF48" s="117">
        <f t="shared" ca="1" si="222"/>
        <v>0</v>
      </c>
      <c r="FG48" s="71">
        <f t="shared" si="223"/>
        <v>0</v>
      </c>
      <c r="FH48" s="530">
        <f t="shared" ca="1" si="224"/>
        <v>0</v>
      </c>
      <c r="FI48" s="72"/>
      <c r="FJ48" s="72"/>
      <c r="FK48" s="72"/>
      <c r="FM48" s="421" t="str">
        <f t="shared" si="122"/>
        <v>L03-300_CorrRaccSphp</v>
      </c>
      <c r="FN48" s="422" t="str">
        <f t="shared" ca="1" si="123"/>
        <v>Corridor - All other</v>
      </c>
      <c r="FO48" s="423">
        <f t="shared" ca="1" si="226"/>
        <v>0</v>
      </c>
      <c r="FP48" s="423">
        <f t="shared" ca="1" si="226"/>
        <v>0</v>
      </c>
      <c r="FQ48" s="423">
        <f t="shared" ca="1" si="226"/>
        <v>0</v>
      </c>
      <c r="FR48" s="423">
        <f t="shared" ca="1" si="226"/>
        <v>0</v>
      </c>
      <c r="FS48" s="423">
        <f t="shared" ca="1" si="226"/>
        <v>0</v>
      </c>
      <c r="FT48" s="423">
        <f t="shared" ca="1" si="226"/>
        <v>0</v>
      </c>
      <c r="FU48" s="423">
        <f t="shared" ca="1" si="226"/>
        <v>0</v>
      </c>
      <c r="FV48" s="423">
        <f t="shared" ca="1" si="226"/>
        <v>0</v>
      </c>
      <c r="FW48" s="423">
        <f t="shared" ca="1" si="226"/>
        <v>0</v>
      </c>
      <c r="FX48" s="423">
        <f t="shared" ca="1" si="226"/>
        <v>0</v>
      </c>
      <c r="FY48" s="423">
        <f t="shared" ca="1" si="226"/>
        <v>0</v>
      </c>
      <c r="FZ48" s="423">
        <f t="shared" ca="1" si="226"/>
        <v>0</v>
      </c>
      <c r="GA48" s="423">
        <f t="shared" ca="1" si="226"/>
        <v>0</v>
      </c>
      <c r="GB48" s="423">
        <f t="shared" ca="1" si="226"/>
        <v>0</v>
      </c>
      <c r="GC48" s="423">
        <f t="shared" ca="1" si="226"/>
        <v>0</v>
      </c>
      <c r="GD48" s="423">
        <f t="shared" ca="1" si="225"/>
        <v>0</v>
      </c>
      <c r="GE48" s="423">
        <f t="shared" ca="1" si="139"/>
        <v>0</v>
      </c>
      <c r="GF48" s="423">
        <f t="shared" ca="1" si="139"/>
        <v>0</v>
      </c>
      <c r="GG48" s="423">
        <f t="shared" ca="1" si="139"/>
        <v>0</v>
      </c>
      <c r="GH48" s="423">
        <f t="shared" ca="1" si="139"/>
        <v>0</v>
      </c>
      <c r="GI48" s="423">
        <f t="shared" ca="1" si="139"/>
        <v>0</v>
      </c>
      <c r="GJ48" s="423">
        <f t="shared" ca="1" si="139"/>
        <v>0</v>
      </c>
      <c r="GK48" s="423">
        <f t="shared" ca="1" si="139"/>
        <v>0</v>
      </c>
      <c r="GL48" s="423">
        <f t="shared" ca="1" si="139"/>
        <v>0</v>
      </c>
      <c r="GM48" s="423">
        <f t="shared" ca="1" si="139"/>
        <v>0</v>
      </c>
      <c r="GN48" s="423">
        <f t="shared" ca="1" si="139"/>
        <v>0</v>
      </c>
      <c r="GO48" s="423">
        <f t="shared" ca="1" si="139"/>
        <v>0</v>
      </c>
      <c r="GP48" s="423">
        <f t="shared" ca="1" si="139"/>
        <v>0</v>
      </c>
      <c r="GQ48" s="423">
        <f t="shared" ca="1" si="139"/>
        <v>0</v>
      </c>
      <c r="GR48" s="423">
        <f t="shared" ca="1" si="139"/>
        <v>0</v>
      </c>
      <c r="GS48" s="423">
        <f t="shared" ca="1" si="139"/>
        <v>0</v>
      </c>
      <c r="GT48" s="423">
        <f t="shared" ca="1" si="139"/>
        <v>0</v>
      </c>
      <c r="GU48" s="423">
        <f t="shared" ca="1" si="140"/>
        <v>0</v>
      </c>
      <c r="GV48" s="423">
        <f t="shared" ca="1" si="140"/>
        <v>0</v>
      </c>
      <c r="GW48" s="423">
        <f t="shared" ca="1" si="140"/>
        <v>0</v>
      </c>
      <c r="GX48" s="423">
        <f t="shared" ca="1" si="140"/>
        <v>0</v>
      </c>
      <c r="GY48" s="423">
        <f t="shared" ca="1" si="140"/>
        <v>0</v>
      </c>
      <c r="GZ48" s="423">
        <f t="shared" ca="1" si="140"/>
        <v>0</v>
      </c>
      <c r="HA48" s="423">
        <f t="shared" ca="1" si="140"/>
        <v>0</v>
      </c>
      <c r="HB48" s="423">
        <f t="shared" ca="1" si="140"/>
        <v>0</v>
      </c>
      <c r="HC48" s="423">
        <f t="shared" ca="1" si="140"/>
        <v>0</v>
      </c>
      <c r="HD48" s="423">
        <f t="shared" ca="1" si="140"/>
        <v>0</v>
      </c>
      <c r="HE48" s="423">
        <f t="shared" ca="1" si="140"/>
        <v>0</v>
      </c>
      <c r="HF48" s="423">
        <f t="shared" ca="1" si="140"/>
        <v>0</v>
      </c>
      <c r="HG48" s="423">
        <f t="shared" ca="1" si="140"/>
        <v>0</v>
      </c>
      <c r="HH48" s="423">
        <f t="shared" ca="1" si="140"/>
        <v>0</v>
      </c>
      <c r="HI48" s="423">
        <f t="shared" ca="1" si="140"/>
        <v>0</v>
      </c>
      <c r="HJ48" s="423">
        <f t="shared" ca="1" si="140"/>
        <v>0</v>
      </c>
      <c r="HK48" s="423">
        <f t="shared" ca="1" si="141"/>
        <v>0</v>
      </c>
      <c r="HL48" s="423">
        <f t="shared" ca="1" si="141"/>
        <v>0</v>
      </c>
      <c r="HM48" s="423">
        <f t="shared" ca="1" si="141"/>
        <v>0</v>
      </c>
      <c r="HN48" s="423">
        <f t="shared" ca="1" si="141"/>
        <v>0</v>
      </c>
      <c r="HO48" s="423">
        <f t="shared" ca="1" si="141"/>
        <v>0</v>
      </c>
      <c r="HP48" s="423">
        <f t="shared" ca="1" si="141"/>
        <v>0</v>
      </c>
      <c r="HQ48" s="423">
        <f t="shared" ca="1" si="141"/>
        <v>0</v>
      </c>
      <c r="HR48" s="423">
        <f t="shared" ca="1" si="141"/>
        <v>0</v>
      </c>
      <c r="HS48" s="423">
        <f t="shared" ca="1" si="141"/>
        <v>0</v>
      </c>
      <c r="HT48" s="423">
        <f t="shared" ca="1" si="141"/>
        <v>0</v>
      </c>
      <c r="HU48" s="423"/>
      <c r="HV48" s="423"/>
    </row>
    <row r="49" spans="1:228" ht="11.25" customHeight="1" x14ac:dyDescent="0.2">
      <c r="A49" s="62">
        <f t="shared" si="128"/>
        <v>38</v>
      </c>
      <c r="B49" s="60" t="str">
        <f>Spaces_Sum!C94</f>
        <v>L03-301_MfamResiPthp</v>
      </c>
      <c r="C49" s="62" t="str">
        <f>Spaces_Sum!D94</f>
        <v>L03</v>
      </c>
      <c r="D49" s="62" t="str">
        <f ca="1">Spaces_Sum!I94</f>
        <v>DirectlyConditioned</v>
      </c>
      <c r="F49" s="110">
        <f ca="1">Spaces_Sum!M94</f>
        <v>872.36159999999995</v>
      </c>
      <c r="G49" s="110" t="str">
        <f ca="1">Spaces_Sum!J94</f>
        <v>Dwelling Unit</v>
      </c>
      <c r="H49" s="532"/>
      <c r="I49" s="185"/>
      <c r="J49" s="185"/>
      <c r="K49" s="186"/>
      <c r="L49" s="187"/>
      <c r="M49" s="188"/>
      <c r="N49" s="189"/>
      <c r="O49" s="186"/>
      <c r="P49" s="187"/>
      <c r="Q49" s="188"/>
      <c r="R49" s="189"/>
      <c r="S49" s="186"/>
      <c r="T49" s="187"/>
      <c r="U49" s="188"/>
      <c r="V49" s="189"/>
      <c r="W49" s="186"/>
      <c r="X49" s="187"/>
      <c r="Y49" s="188"/>
      <c r="Z49" s="189"/>
      <c r="AA49" s="186"/>
      <c r="AB49" s="187"/>
      <c r="AC49" s="188"/>
      <c r="AD49" s="189"/>
      <c r="AE49" s="186"/>
      <c r="AF49" s="187"/>
      <c r="AG49" s="188"/>
      <c r="AH49" s="189"/>
      <c r="AI49" s="186"/>
      <c r="AJ49" s="187"/>
      <c r="AK49" s="188"/>
      <c r="AL49" s="189"/>
      <c r="AM49" s="186"/>
      <c r="AN49" s="187"/>
      <c r="AO49" s="188"/>
      <c r="AP49" s="189"/>
      <c r="AQ49" s="186"/>
      <c r="AR49" s="187"/>
      <c r="AS49" s="188"/>
      <c r="AT49" s="189"/>
      <c r="AU49" s="186"/>
      <c r="AV49" s="187"/>
      <c r="AW49" s="188"/>
      <c r="AX49" s="189"/>
      <c r="AY49" s="186"/>
      <c r="AZ49" s="187"/>
      <c r="BA49" s="188"/>
      <c r="BB49" s="189"/>
      <c r="BC49" s="186"/>
      <c r="BD49" s="187"/>
      <c r="BE49" s="188"/>
      <c r="BF49" s="189"/>
      <c r="BG49" s="186"/>
      <c r="BH49" s="187"/>
      <c r="BI49" s="188"/>
      <c r="BJ49" s="189"/>
      <c r="BK49" s="186"/>
      <c r="BL49" s="187"/>
      <c r="BM49" s="188"/>
      <c r="BN49" s="189"/>
      <c r="BO49" s="186"/>
      <c r="BP49" s="187"/>
      <c r="BQ49" s="188"/>
      <c r="BR49" s="189"/>
      <c r="BS49" s="186"/>
      <c r="BT49" s="187"/>
      <c r="BU49" s="188"/>
      <c r="BV49" s="189"/>
      <c r="BW49" s="186"/>
      <c r="BX49" s="187"/>
      <c r="BY49" s="188"/>
      <c r="BZ49" s="189"/>
      <c r="CA49" s="186"/>
      <c r="CB49" s="190"/>
      <c r="CC49" s="190"/>
      <c r="CD49" s="82">
        <f t="shared" si="142"/>
        <v>0</v>
      </c>
      <c r="CE49" s="82">
        <f t="shared" si="143"/>
        <v>0</v>
      </c>
      <c r="CF49" s="82">
        <f t="shared" si="144"/>
        <v>0</v>
      </c>
      <c r="CG49" s="82">
        <f t="shared" si="145"/>
        <v>0</v>
      </c>
      <c r="CH49" s="82">
        <f t="shared" si="146"/>
        <v>0</v>
      </c>
      <c r="CI49" s="82">
        <f t="shared" si="147"/>
        <v>0</v>
      </c>
      <c r="CJ49" s="82">
        <f t="shared" si="148"/>
        <v>0</v>
      </c>
      <c r="CK49" s="82">
        <f t="shared" si="149"/>
        <v>0</v>
      </c>
      <c r="CL49" s="82">
        <f t="shared" si="150"/>
        <v>0</v>
      </c>
      <c r="CM49" s="82">
        <f t="shared" si="151"/>
        <v>0</v>
      </c>
      <c r="CN49" s="82">
        <f t="shared" si="152"/>
        <v>0</v>
      </c>
      <c r="CO49" s="82">
        <f t="shared" si="153"/>
        <v>0</v>
      </c>
      <c r="CP49" s="82">
        <f t="shared" si="154"/>
        <v>0</v>
      </c>
      <c r="CQ49" s="82">
        <f t="shared" si="155"/>
        <v>0</v>
      </c>
      <c r="CR49" s="82">
        <f t="shared" si="156"/>
        <v>0</v>
      </c>
      <c r="CS49" s="82">
        <f t="shared" si="157"/>
        <v>0</v>
      </c>
      <c r="CT49" s="82">
        <f t="shared" si="158"/>
        <v>0</v>
      </c>
      <c r="CU49" s="82">
        <f t="shared" si="159"/>
        <v>0</v>
      </c>
      <c r="CV49" s="82">
        <f t="shared" si="160"/>
        <v>0</v>
      </c>
      <c r="CW49" s="82">
        <f t="shared" si="161"/>
        <v>0</v>
      </c>
      <c r="CX49" s="82">
        <f t="shared" si="162"/>
        <v>0</v>
      </c>
      <c r="CY49" s="82">
        <f t="shared" si="163"/>
        <v>0</v>
      </c>
      <c r="CZ49" s="82">
        <f t="shared" si="164"/>
        <v>0</v>
      </c>
      <c r="DA49" s="82">
        <f t="shared" si="165"/>
        <v>0</v>
      </c>
      <c r="DB49" s="82">
        <f t="shared" si="166"/>
        <v>0</v>
      </c>
      <c r="DC49" s="82">
        <f t="shared" si="167"/>
        <v>0</v>
      </c>
      <c r="DD49" s="82">
        <f t="shared" si="168"/>
        <v>0</v>
      </c>
      <c r="DE49" s="82">
        <f t="shared" si="169"/>
        <v>0</v>
      </c>
      <c r="DF49" s="82">
        <f t="shared" si="170"/>
        <v>0</v>
      </c>
      <c r="DG49" s="82">
        <f t="shared" si="171"/>
        <v>0</v>
      </c>
      <c r="DH49" s="82">
        <f t="shared" si="172"/>
        <v>0</v>
      </c>
      <c r="DI49" s="82">
        <f t="shared" si="173"/>
        <v>0</v>
      </c>
      <c r="DJ49" s="82">
        <f t="shared" si="174"/>
        <v>0</v>
      </c>
      <c r="DK49" s="82">
        <f t="shared" si="175"/>
        <v>0</v>
      </c>
      <c r="DL49" s="82">
        <f t="shared" si="176"/>
        <v>0</v>
      </c>
      <c r="DM49" s="82">
        <f t="shared" si="177"/>
        <v>0</v>
      </c>
      <c r="DN49" s="82">
        <f t="shared" si="178"/>
        <v>0</v>
      </c>
      <c r="DO49" s="82">
        <f t="shared" si="179"/>
        <v>0</v>
      </c>
      <c r="DP49" s="82">
        <f t="shared" si="180"/>
        <v>0</v>
      </c>
      <c r="DQ49" s="82">
        <f t="shared" si="181"/>
        <v>0</v>
      </c>
      <c r="DR49" s="82">
        <f t="shared" si="182"/>
        <v>0</v>
      </c>
      <c r="DS49" s="82">
        <f t="shared" si="183"/>
        <v>0</v>
      </c>
      <c r="DT49" s="82">
        <f t="shared" si="184"/>
        <v>0</v>
      </c>
      <c r="DU49" s="82">
        <f t="shared" si="185"/>
        <v>0</v>
      </c>
      <c r="DV49" s="82">
        <f t="shared" si="186"/>
        <v>0</v>
      </c>
      <c r="DW49" s="82">
        <f t="shared" si="187"/>
        <v>0</v>
      </c>
      <c r="DX49" s="82">
        <f t="shared" si="188"/>
        <v>0</v>
      </c>
      <c r="DY49" s="82">
        <f t="shared" si="189"/>
        <v>0</v>
      </c>
      <c r="DZ49" s="82">
        <f t="shared" si="190"/>
        <v>0</v>
      </c>
      <c r="EA49" s="82">
        <f t="shared" si="191"/>
        <v>0</v>
      </c>
      <c r="EB49" s="82">
        <f t="shared" si="192"/>
        <v>0</v>
      </c>
      <c r="EC49" s="82">
        <f t="shared" si="193"/>
        <v>0</v>
      </c>
      <c r="ED49" s="82">
        <f t="shared" si="194"/>
        <v>0</v>
      </c>
      <c r="EE49" s="82">
        <f t="shared" si="195"/>
        <v>0</v>
      </c>
      <c r="EF49" s="82">
        <f t="shared" si="196"/>
        <v>0</v>
      </c>
      <c r="EG49" s="82">
        <f t="shared" si="197"/>
        <v>0</v>
      </c>
      <c r="EH49" s="82">
        <f t="shared" si="198"/>
        <v>0</v>
      </c>
      <c r="EI49" s="82">
        <f t="shared" si="199"/>
        <v>0</v>
      </c>
      <c r="EJ49" s="82">
        <f t="shared" si="200"/>
        <v>0</v>
      </c>
      <c r="EK49" s="82">
        <f t="shared" si="201"/>
        <v>0</v>
      </c>
      <c r="EL49" s="82">
        <f t="shared" si="202"/>
        <v>0</v>
      </c>
      <c r="EM49" s="82">
        <f t="shared" si="203"/>
        <v>0</v>
      </c>
      <c r="EN49" s="82">
        <f t="shared" si="204"/>
        <v>0</v>
      </c>
      <c r="EO49" s="82">
        <f t="shared" si="205"/>
        <v>0</v>
      </c>
      <c r="EP49" s="82">
        <f t="shared" si="206"/>
        <v>0</v>
      </c>
      <c r="EQ49" s="82">
        <f t="shared" si="207"/>
        <v>0</v>
      </c>
      <c r="ER49" s="82">
        <f t="shared" si="208"/>
        <v>0</v>
      </c>
      <c r="ES49" s="82">
        <f t="shared" si="209"/>
        <v>0</v>
      </c>
      <c r="ET49" s="82">
        <f t="shared" si="210"/>
        <v>0</v>
      </c>
      <c r="EU49" s="82">
        <f t="shared" si="211"/>
        <v>0</v>
      </c>
      <c r="EV49" s="82">
        <f t="shared" si="212"/>
        <v>0</v>
      </c>
      <c r="EW49" s="82">
        <f t="shared" si="213"/>
        <v>0</v>
      </c>
      <c r="EX49" s="82">
        <f t="shared" si="214"/>
        <v>0</v>
      </c>
      <c r="EY49" s="111">
        <f t="shared" si="215"/>
        <v>0</v>
      </c>
      <c r="EZ49" s="143">
        <f t="shared" ca="1" si="216"/>
        <v>0</v>
      </c>
      <c r="FA49" s="112">
        <f t="shared" ca="1" si="217"/>
        <v>0</v>
      </c>
      <c r="FB49" s="113">
        <f t="shared" ca="1" si="218"/>
        <v>0</v>
      </c>
      <c r="FC49" s="114">
        <f t="shared" ca="1" si="219"/>
        <v>0</v>
      </c>
      <c r="FD49" s="115">
        <f t="shared" ca="1" si="220"/>
        <v>0</v>
      </c>
      <c r="FE49" s="116">
        <f t="shared" ca="1" si="221"/>
        <v>0</v>
      </c>
      <c r="FF49" s="117">
        <f t="shared" ca="1" si="222"/>
        <v>0</v>
      </c>
      <c r="FG49" s="71">
        <f t="shared" si="223"/>
        <v>0</v>
      </c>
      <c r="FH49" s="530">
        <f t="shared" ca="1" si="224"/>
        <v>0</v>
      </c>
      <c r="FI49" s="72"/>
      <c r="FJ49" s="72"/>
      <c r="FK49" s="72"/>
      <c r="FM49" s="421" t="str">
        <f t="shared" si="122"/>
        <v>L03-301_MfamResiPthp</v>
      </c>
      <c r="FN49" s="422" t="str">
        <f t="shared" ca="1" si="123"/>
        <v>Dwelling Unit</v>
      </c>
      <c r="FO49" s="423">
        <f t="shared" ca="1" si="226"/>
        <v>0</v>
      </c>
      <c r="FP49" s="423">
        <f t="shared" ca="1" si="226"/>
        <v>0</v>
      </c>
      <c r="FQ49" s="423">
        <f t="shared" ca="1" si="226"/>
        <v>0</v>
      </c>
      <c r="FR49" s="423">
        <f t="shared" ca="1" si="226"/>
        <v>0</v>
      </c>
      <c r="FS49" s="423">
        <f t="shared" ca="1" si="226"/>
        <v>0</v>
      </c>
      <c r="FT49" s="423">
        <f t="shared" ca="1" si="226"/>
        <v>0</v>
      </c>
      <c r="FU49" s="423">
        <f t="shared" ca="1" si="226"/>
        <v>0</v>
      </c>
      <c r="FV49" s="423">
        <f t="shared" ca="1" si="226"/>
        <v>0</v>
      </c>
      <c r="FW49" s="423">
        <f t="shared" ca="1" si="226"/>
        <v>0</v>
      </c>
      <c r="FX49" s="423">
        <f t="shared" ca="1" si="226"/>
        <v>0</v>
      </c>
      <c r="FY49" s="423">
        <f t="shared" ca="1" si="226"/>
        <v>0</v>
      </c>
      <c r="FZ49" s="423">
        <f t="shared" ca="1" si="226"/>
        <v>0</v>
      </c>
      <c r="GA49" s="423">
        <f t="shared" ca="1" si="226"/>
        <v>0</v>
      </c>
      <c r="GB49" s="423">
        <f t="shared" ca="1" si="226"/>
        <v>0</v>
      </c>
      <c r="GC49" s="423">
        <f t="shared" ca="1" si="226"/>
        <v>0</v>
      </c>
      <c r="GD49" s="423">
        <f t="shared" ca="1" si="225"/>
        <v>0</v>
      </c>
      <c r="GE49" s="423">
        <f t="shared" ca="1" si="139"/>
        <v>0</v>
      </c>
      <c r="GF49" s="423">
        <f t="shared" ca="1" si="139"/>
        <v>0</v>
      </c>
      <c r="GG49" s="423">
        <f t="shared" ca="1" si="139"/>
        <v>0</v>
      </c>
      <c r="GH49" s="423">
        <f t="shared" ca="1" si="139"/>
        <v>0</v>
      </c>
      <c r="GI49" s="423">
        <f t="shared" ca="1" si="139"/>
        <v>0</v>
      </c>
      <c r="GJ49" s="423">
        <f t="shared" ca="1" si="139"/>
        <v>0</v>
      </c>
      <c r="GK49" s="423">
        <f t="shared" ca="1" si="139"/>
        <v>0</v>
      </c>
      <c r="GL49" s="423">
        <f t="shared" ca="1" si="139"/>
        <v>0</v>
      </c>
      <c r="GM49" s="423">
        <f t="shared" ca="1" si="139"/>
        <v>0</v>
      </c>
      <c r="GN49" s="423">
        <f t="shared" ca="1" si="139"/>
        <v>0</v>
      </c>
      <c r="GO49" s="423">
        <f t="shared" ca="1" si="139"/>
        <v>0</v>
      </c>
      <c r="GP49" s="423">
        <f t="shared" ca="1" si="139"/>
        <v>0</v>
      </c>
      <c r="GQ49" s="423">
        <f t="shared" ca="1" si="139"/>
        <v>0</v>
      </c>
      <c r="GR49" s="423">
        <f t="shared" ca="1" si="139"/>
        <v>0</v>
      </c>
      <c r="GS49" s="423">
        <f t="shared" ca="1" si="139"/>
        <v>0</v>
      </c>
      <c r="GT49" s="423">
        <f t="shared" ca="1" si="139"/>
        <v>0</v>
      </c>
      <c r="GU49" s="423">
        <f t="shared" ca="1" si="140"/>
        <v>0</v>
      </c>
      <c r="GV49" s="423">
        <f t="shared" ca="1" si="140"/>
        <v>0</v>
      </c>
      <c r="GW49" s="423">
        <f t="shared" ca="1" si="140"/>
        <v>0</v>
      </c>
      <c r="GX49" s="423">
        <f t="shared" ca="1" si="140"/>
        <v>0</v>
      </c>
      <c r="GY49" s="423">
        <f t="shared" ca="1" si="140"/>
        <v>0</v>
      </c>
      <c r="GZ49" s="423">
        <f t="shared" ca="1" si="140"/>
        <v>0</v>
      </c>
      <c r="HA49" s="423">
        <f t="shared" ca="1" si="140"/>
        <v>0</v>
      </c>
      <c r="HB49" s="423">
        <f t="shared" ca="1" si="140"/>
        <v>0</v>
      </c>
      <c r="HC49" s="423">
        <f t="shared" ca="1" si="140"/>
        <v>0</v>
      </c>
      <c r="HD49" s="423">
        <f t="shared" ca="1" si="140"/>
        <v>0</v>
      </c>
      <c r="HE49" s="423">
        <f t="shared" ca="1" si="140"/>
        <v>0</v>
      </c>
      <c r="HF49" s="423">
        <f t="shared" ca="1" si="140"/>
        <v>0</v>
      </c>
      <c r="HG49" s="423">
        <f t="shared" ca="1" si="140"/>
        <v>0</v>
      </c>
      <c r="HH49" s="423">
        <f t="shared" ca="1" si="140"/>
        <v>0</v>
      </c>
      <c r="HI49" s="423">
        <f t="shared" ca="1" si="140"/>
        <v>0</v>
      </c>
      <c r="HJ49" s="423">
        <f t="shared" ca="1" si="140"/>
        <v>0</v>
      </c>
      <c r="HK49" s="423">
        <f t="shared" ca="1" si="141"/>
        <v>0</v>
      </c>
      <c r="HL49" s="423">
        <f t="shared" ca="1" si="141"/>
        <v>0</v>
      </c>
      <c r="HM49" s="423">
        <f t="shared" ca="1" si="141"/>
        <v>0</v>
      </c>
      <c r="HN49" s="423">
        <f t="shared" ca="1" si="141"/>
        <v>0</v>
      </c>
      <c r="HO49" s="423">
        <f t="shared" ca="1" si="141"/>
        <v>0</v>
      </c>
      <c r="HP49" s="423">
        <f t="shared" ca="1" si="141"/>
        <v>0</v>
      </c>
      <c r="HQ49" s="423">
        <f t="shared" ca="1" si="141"/>
        <v>0</v>
      </c>
      <c r="HR49" s="423">
        <f t="shared" ca="1" si="141"/>
        <v>0</v>
      </c>
      <c r="HS49" s="423">
        <f t="shared" ca="1" si="141"/>
        <v>0</v>
      </c>
      <c r="HT49" s="423">
        <f t="shared" ca="1" si="141"/>
        <v>0</v>
      </c>
    </row>
    <row r="50" spans="1:228" ht="11.25" customHeight="1" x14ac:dyDescent="0.2">
      <c r="A50" s="62">
        <f t="shared" si="128"/>
        <v>39</v>
      </c>
      <c r="B50" s="60" t="str">
        <f>Spaces_Sum!C95</f>
        <v>L03-302_MfamResiPthp</v>
      </c>
      <c r="C50" s="62" t="str">
        <f>Spaces_Sum!D95</f>
        <v>L03</v>
      </c>
      <c r="D50" s="62" t="str">
        <f ca="1">Spaces_Sum!I95</f>
        <v>DirectlyConditioned</v>
      </c>
      <c r="F50" s="110">
        <f ca="1">Spaces_Sum!M95</f>
        <v>1660.6944000000001</v>
      </c>
      <c r="G50" s="110" t="str">
        <f ca="1">Spaces_Sum!J95</f>
        <v>Dwelling Unit</v>
      </c>
      <c r="H50" s="532"/>
      <c r="I50" s="185"/>
      <c r="J50" s="185"/>
      <c r="K50" s="635"/>
      <c r="L50" s="187"/>
      <c r="M50" s="188"/>
      <c r="N50" s="189"/>
      <c r="O50" s="186"/>
      <c r="P50" s="187"/>
      <c r="Q50" s="188"/>
      <c r="R50" s="189"/>
      <c r="S50" s="186"/>
      <c r="T50" s="187"/>
      <c r="U50" s="188"/>
      <c r="V50" s="189"/>
      <c r="W50" s="186"/>
      <c r="X50" s="187"/>
      <c r="Y50" s="188"/>
      <c r="Z50" s="189"/>
      <c r="AA50" s="186"/>
      <c r="AB50" s="187"/>
      <c r="AC50" s="188"/>
      <c r="AD50" s="189"/>
      <c r="AE50" s="186"/>
      <c r="AF50" s="187"/>
      <c r="AG50" s="188"/>
      <c r="AH50" s="189"/>
      <c r="AI50" s="186"/>
      <c r="AJ50" s="187"/>
      <c r="AK50" s="188"/>
      <c r="AL50" s="189"/>
      <c r="AM50" s="186"/>
      <c r="AN50" s="187"/>
      <c r="AO50" s="188"/>
      <c r="AP50" s="189"/>
      <c r="AQ50" s="186"/>
      <c r="AR50" s="187"/>
      <c r="AS50" s="188"/>
      <c r="AT50" s="189"/>
      <c r="AU50" s="186"/>
      <c r="AV50" s="187"/>
      <c r="AW50" s="188"/>
      <c r="AX50" s="189"/>
      <c r="AY50" s="186"/>
      <c r="AZ50" s="187"/>
      <c r="BA50" s="188"/>
      <c r="BB50" s="189"/>
      <c r="BC50" s="186"/>
      <c r="BD50" s="187"/>
      <c r="BE50" s="188"/>
      <c r="BF50" s="189"/>
      <c r="BG50" s="186"/>
      <c r="BH50" s="187"/>
      <c r="BI50" s="188"/>
      <c r="BJ50" s="189"/>
      <c r="BK50" s="186"/>
      <c r="BL50" s="187"/>
      <c r="BM50" s="188"/>
      <c r="BN50" s="189"/>
      <c r="BO50" s="186"/>
      <c r="BP50" s="187"/>
      <c r="BQ50" s="188"/>
      <c r="BR50" s="189"/>
      <c r="BS50" s="186"/>
      <c r="BT50" s="187"/>
      <c r="BU50" s="188"/>
      <c r="BV50" s="189"/>
      <c r="BW50" s="186"/>
      <c r="BX50" s="187"/>
      <c r="BY50" s="188"/>
      <c r="BZ50" s="189"/>
      <c r="CA50" s="186"/>
      <c r="CB50" s="190"/>
      <c r="CC50" s="190"/>
      <c r="CD50" s="82">
        <f t="shared" si="142"/>
        <v>0</v>
      </c>
      <c r="CE50" s="82">
        <f t="shared" si="143"/>
        <v>0</v>
      </c>
      <c r="CF50" s="82">
        <f t="shared" si="144"/>
        <v>0</v>
      </c>
      <c r="CG50" s="82">
        <f t="shared" si="145"/>
        <v>0</v>
      </c>
      <c r="CH50" s="82">
        <f t="shared" si="146"/>
        <v>0</v>
      </c>
      <c r="CI50" s="82">
        <f t="shared" si="147"/>
        <v>0</v>
      </c>
      <c r="CJ50" s="82">
        <f t="shared" si="148"/>
        <v>0</v>
      </c>
      <c r="CK50" s="82">
        <f t="shared" si="149"/>
        <v>0</v>
      </c>
      <c r="CL50" s="82">
        <f t="shared" si="150"/>
        <v>0</v>
      </c>
      <c r="CM50" s="82">
        <f t="shared" si="151"/>
        <v>0</v>
      </c>
      <c r="CN50" s="82">
        <f t="shared" si="152"/>
        <v>0</v>
      </c>
      <c r="CO50" s="82">
        <f t="shared" si="153"/>
        <v>0</v>
      </c>
      <c r="CP50" s="82">
        <f t="shared" si="154"/>
        <v>0</v>
      </c>
      <c r="CQ50" s="82">
        <f t="shared" si="155"/>
        <v>0</v>
      </c>
      <c r="CR50" s="82">
        <f t="shared" si="156"/>
        <v>0</v>
      </c>
      <c r="CS50" s="82">
        <f t="shared" si="157"/>
        <v>0</v>
      </c>
      <c r="CT50" s="82">
        <f t="shared" si="158"/>
        <v>0</v>
      </c>
      <c r="CU50" s="82">
        <f t="shared" si="159"/>
        <v>0</v>
      </c>
      <c r="CV50" s="82">
        <f t="shared" si="160"/>
        <v>0</v>
      </c>
      <c r="CW50" s="82">
        <f t="shared" si="161"/>
        <v>0</v>
      </c>
      <c r="CX50" s="82">
        <f t="shared" si="162"/>
        <v>0</v>
      </c>
      <c r="CY50" s="82">
        <f t="shared" si="163"/>
        <v>0</v>
      </c>
      <c r="CZ50" s="82">
        <f t="shared" si="164"/>
        <v>0</v>
      </c>
      <c r="DA50" s="82">
        <f t="shared" si="165"/>
        <v>0</v>
      </c>
      <c r="DB50" s="82">
        <f t="shared" si="166"/>
        <v>0</v>
      </c>
      <c r="DC50" s="82">
        <f t="shared" si="167"/>
        <v>0</v>
      </c>
      <c r="DD50" s="82">
        <f t="shared" si="168"/>
        <v>0</v>
      </c>
      <c r="DE50" s="82">
        <f t="shared" si="169"/>
        <v>0</v>
      </c>
      <c r="DF50" s="82">
        <f t="shared" si="170"/>
        <v>0</v>
      </c>
      <c r="DG50" s="82">
        <f t="shared" si="171"/>
        <v>0</v>
      </c>
      <c r="DH50" s="82">
        <f t="shared" si="172"/>
        <v>0</v>
      </c>
      <c r="DI50" s="82">
        <f t="shared" si="173"/>
        <v>0</v>
      </c>
      <c r="DJ50" s="82">
        <f t="shared" si="174"/>
        <v>0</v>
      </c>
      <c r="DK50" s="82">
        <f t="shared" si="175"/>
        <v>0</v>
      </c>
      <c r="DL50" s="82">
        <f t="shared" si="176"/>
        <v>0</v>
      </c>
      <c r="DM50" s="82">
        <f t="shared" si="177"/>
        <v>0</v>
      </c>
      <c r="DN50" s="82">
        <f t="shared" si="178"/>
        <v>0</v>
      </c>
      <c r="DO50" s="82">
        <f t="shared" si="179"/>
        <v>0</v>
      </c>
      <c r="DP50" s="82">
        <f t="shared" si="180"/>
        <v>0</v>
      </c>
      <c r="DQ50" s="82">
        <f t="shared" si="181"/>
        <v>0</v>
      </c>
      <c r="DR50" s="82">
        <f t="shared" si="182"/>
        <v>0</v>
      </c>
      <c r="DS50" s="82">
        <f t="shared" si="183"/>
        <v>0</v>
      </c>
      <c r="DT50" s="82">
        <f t="shared" si="184"/>
        <v>0</v>
      </c>
      <c r="DU50" s="82">
        <f t="shared" si="185"/>
        <v>0</v>
      </c>
      <c r="DV50" s="82">
        <f t="shared" si="186"/>
        <v>0</v>
      </c>
      <c r="DW50" s="82">
        <f t="shared" si="187"/>
        <v>0</v>
      </c>
      <c r="DX50" s="82">
        <f t="shared" si="188"/>
        <v>0</v>
      </c>
      <c r="DY50" s="82">
        <f t="shared" si="189"/>
        <v>0</v>
      </c>
      <c r="DZ50" s="82">
        <f t="shared" si="190"/>
        <v>0</v>
      </c>
      <c r="EA50" s="82">
        <f t="shared" si="191"/>
        <v>0</v>
      </c>
      <c r="EB50" s="82">
        <f t="shared" si="192"/>
        <v>0</v>
      </c>
      <c r="EC50" s="82">
        <f t="shared" si="193"/>
        <v>0</v>
      </c>
      <c r="ED50" s="82">
        <f t="shared" si="194"/>
        <v>0</v>
      </c>
      <c r="EE50" s="82">
        <f t="shared" si="195"/>
        <v>0</v>
      </c>
      <c r="EF50" s="82">
        <f t="shared" si="196"/>
        <v>0</v>
      </c>
      <c r="EG50" s="82">
        <f t="shared" si="197"/>
        <v>0</v>
      </c>
      <c r="EH50" s="82">
        <f t="shared" si="198"/>
        <v>0</v>
      </c>
      <c r="EI50" s="82">
        <f t="shared" si="199"/>
        <v>0</v>
      </c>
      <c r="EJ50" s="82">
        <f t="shared" si="200"/>
        <v>0</v>
      </c>
      <c r="EK50" s="82">
        <f t="shared" si="201"/>
        <v>0</v>
      </c>
      <c r="EL50" s="82">
        <f t="shared" si="202"/>
        <v>0</v>
      </c>
      <c r="EM50" s="82">
        <f t="shared" si="203"/>
        <v>0</v>
      </c>
      <c r="EN50" s="82">
        <f t="shared" si="204"/>
        <v>0</v>
      </c>
      <c r="EO50" s="82">
        <f t="shared" si="205"/>
        <v>0</v>
      </c>
      <c r="EP50" s="82">
        <f t="shared" si="206"/>
        <v>0</v>
      </c>
      <c r="EQ50" s="82">
        <f t="shared" si="207"/>
        <v>0</v>
      </c>
      <c r="ER50" s="82">
        <f t="shared" si="208"/>
        <v>0</v>
      </c>
      <c r="ES50" s="82">
        <f t="shared" si="209"/>
        <v>0</v>
      </c>
      <c r="ET50" s="82">
        <f t="shared" si="210"/>
        <v>0</v>
      </c>
      <c r="EU50" s="82">
        <f t="shared" si="211"/>
        <v>0</v>
      </c>
      <c r="EV50" s="82">
        <f t="shared" si="212"/>
        <v>0</v>
      </c>
      <c r="EW50" s="82">
        <f t="shared" si="213"/>
        <v>0</v>
      </c>
      <c r="EX50" s="82">
        <f t="shared" si="214"/>
        <v>0</v>
      </c>
      <c r="EY50" s="111">
        <f t="shared" si="215"/>
        <v>0</v>
      </c>
      <c r="EZ50" s="143">
        <f t="shared" ca="1" si="216"/>
        <v>0</v>
      </c>
      <c r="FA50" s="112">
        <f t="shared" ca="1" si="217"/>
        <v>0</v>
      </c>
      <c r="FB50" s="113">
        <f t="shared" ca="1" si="218"/>
        <v>0</v>
      </c>
      <c r="FC50" s="114">
        <f t="shared" ca="1" si="219"/>
        <v>0</v>
      </c>
      <c r="FD50" s="115">
        <f t="shared" ca="1" si="220"/>
        <v>0</v>
      </c>
      <c r="FE50" s="116">
        <f t="shared" ca="1" si="221"/>
        <v>0</v>
      </c>
      <c r="FF50" s="117">
        <f t="shared" ca="1" si="222"/>
        <v>0</v>
      </c>
      <c r="FG50" s="71">
        <f t="shared" si="223"/>
        <v>0</v>
      </c>
      <c r="FH50" s="530">
        <f t="shared" ca="1" si="224"/>
        <v>0</v>
      </c>
      <c r="FI50" s="72"/>
      <c r="FJ50" s="72"/>
      <c r="FK50" s="72"/>
      <c r="FM50" s="421" t="str">
        <f t="shared" si="122"/>
        <v>L03-302_MfamResiPthp</v>
      </c>
      <c r="FN50" s="422" t="str">
        <f t="shared" ca="1" si="123"/>
        <v>Dwelling Unit</v>
      </c>
      <c r="FO50" s="423">
        <f t="shared" ca="1" si="226"/>
        <v>0</v>
      </c>
      <c r="FP50" s="423">
        <f t="shared" ca="1" si="226"/>
        <v>0</v>
      </c>
      <c r="FQ50" s="423">
        <f t="shared" ca="1" si="226"/>
        <v>0</v>
      </c>
      <c r="FR50" s="423">
        <f t="shared" ca="1" si="226"/>
        <v>0</v>
      </c>
      <c r="FS50" s="423">
        <f t="shared" ca="1" si="226"/>
        <v>0</v>
      </c>
      <c r="FT50" s="423">
        <f t="shared" ca="1" si="226"/>
        <v>0</v>
      </c>
      <c r="FU50" s="423">
        <f t="shared" ca="1" si="226"/>
        <v>0</v>
      </c>
      <c r="FV50" s="423">
        <f t="shared" ca="1" si="226"/>
        <v>0</v>
      </c>
      <c r="FW50" s="423">
        <f t="shared" ca="1" si="226"/>
        <v>0</v>
      </c>
      <c r="FX50" s="423">
        <f t="shared" ca="1" si="226"/>
        <v>0</v>
      </c>
      <c r="FY50" s="423">
        <f t="shared" ca="1" si="226"/>
        <v>0</v>
      </c>
      <c r="FZ50" s="423">
        <f t="shared" ca="1" si="226"/>
        <v>0</v>
      </c>
      <c r="GA50" s="423">
        <f t="shared" ca="1" si="226"/>
        <v>0</v>
      </c>
      <c r="GB50" s="423">
        <f t="shared" ca="1" si="226"/>
        <v>0</v>
      </c>
      <c r="GC50" s="423">
        <f t="shared" ca="1" si="226"/>
        <v>0</v>
      </c>
      <c r="GD50" s="423">
        <f t="shared" ca="1" si="225"/>
        <v>0</v>
      </c>
      <c r="GE50" s="423">
        <f t="shared" ca="1" si="139"/>
        <v>0</v>
      </c>
      <c r="GF50" s="423">
        <f t="shared" ca="1" si="139"/>
        <v>0</v>
      </c>
      <c r="GG50" s="423">
        <f t="shared" ca="1" si="139"/>
        <v>0</v>
      </c>
      <c r="GH50" s="423">
        <f t="shared" ca="1" si="139"/>
        <v>0</v>
      </c>
      <c r="GI50" s="423">
        <f t="shared" ca="1" si="139"/>
        <v>0</v>
      </c>
      <c r="GJ50" s="423">
        <f t="shared" ca="1" si="139"/>
        <v>0</v>
      </c>
      <c r="GK50" s="423">
        <f t="shared" ca="1" si="139"/>
        <v>0</v>
      </c>
      <c r="GL50" s="423">
        <f t="shared" ca="1" si="139"/>
        <v>0</v>
      </c>
      <c r="GM50" s="423">
        <f t="shared" ca="1" si="139"/>
        <v>0</v>
      </c>
      <c r="GN50" s="423">
        <f t="shared" ca="1" si="139"/>
        <v>0</v>
      </c>
      <c r="GO50" s="423">
        <f t="shared" ca="1" si="139"/>
        <v>0</v>
      </c>
      <c r="GP50" s="423">
        <f t="shared" ca="1" si="139"/>
        <v>0</v>
      </c>
      <c r="GQ50" s="423">
        <f t="shared" ca="1" si="139"/>
        <v>0</v>
      </c>
      <c r="GR50" s="423">
        <f t="shared" ca="1" si="139"/>
        <v>0</v>
      </c>
      <c r="GS50" s="423">
        <f t="shared" ca="1" si="139"/>
        <v>0</v>
      </c>
      <c r="GT50" s="423">
        <f t="shared" ca="1" si="139"/>
        <v>0</v>
      </c>
      <c r="GU50" s="423">
        <f t="shared" ca="1" si="140"/>
        <v>0</v>
      </c>
      <c r="GV50" s="423">
        <f t="shared" ca="1" si="140"/>
        <v>0</v>
      </c>
      <c r="GW50" s="423">
        <f t="shared" ca="1" si="140"/>
        <v>0</v>
      </c>
      <c r="GX50" s="423">
        <f t="shared" ca="1" si="140"/>
        <v>0</v>
      </c>
      <c r="GY50" s="423">
        <f t="shared" ca="1" si="140"/>
        <v>0</v>
      </c>
      <c r="GZ50" s="423">
        <f t="shared" ca="1" si="140"/>
        <v>0</v>
      </c>
      <c r="HA50" s="423">
        <f t="shared" ca="1" si="140"/>
        <v>0</v>
      </c>
      <c r="HB50" s="423">
        <f t="shared" ca="1" si="140"/>
        <v>0</v>
      </c>
      <c r="HC50" s="423">
        <f t="shared" ca="1" si="140"/>
        <v>0</v>
      </c>
      <c r="HD50" s="423">
        <f t="shared" ca="1" si="140"/>
        <v>0</v>
      </c>
      <c r="HE50" s="423">
        <f t="shared" ca="1" si="140"/>
        <v>0</v>
      </c>
      <c r="HF50" s="423">
        <f t="shared" ca="1" si="140"/>
        <v>0</v>
      </c>
      <c r="HG50" s="423">
        <f t="shared" ca="1" si="140"/>
        <v>0</v>
      </c>
      <c r="HH50" s="423">
        <f t="shared" ca="1" si="140"/>
        <v>0</v>
      </c>
      <c r="HI50" s="423">
        <f t="shared" ca="1" si="140"/>
        <v>0</v>
      </c>
      <c r="HJ50" s="423">
        <f t="shared" ca="1" si="140"/>
        <v>0</v>
      </c>
      <c r="HK50" s="423">
        <f t="shared" ca="1" si="141"/>
        <v>0</v>
      </c>
      <c r="HL50" s="423">
        <f t="shared" ca="1" si="141"/>
        <v>0</v>
      </c>
      <c r="HM50" s="423">
        <f t="shared" ca="1" si="141"/>
        <v>0</v>
      </c>
      <c r="HN50" s="423">
        <f t="shared" ca="1" si="141"/>
        <v>0</v>
      </c>
      <c r="HO50" s="423">
        <f t="shared" ca="1" si="141"/>
        <v>0</v>
      </c>
      <c r="HP50" s="423">
        <f t="shared" ca="1" si="141"/>
        <v>0</v>
      </c>
      <c r="HQ50" s="423">
        <f t="shared" ca="1" si="141"/>
        <v>0</v>
      </c>
      <c r="HR50" s="423">
        <f t="shared" ca="1" si="141"/>
        <v>0</v>
      </c>
      <c r="HS50" s="423">
        <f t="shared" ca="1" si="141"/>
        <v>0</v>
      </c>
      <c r="HT50" s="423">
        <f t="shared" ca="1" si="141"/>
        <v>0</v>
      </c>
    </row>
    <row r="51" spans="1:228" ht="11.25" customHeight="1" x14ac:dyDescent="0.2">
      <c r="A51" s="62">
        <f t="shared" si="128"/>
        <v>40</v>
      </c>
      <c r="B51" s="60" t="str">
        <f>Spaces_Sum!C96</f>
        <v>L03-303_MfamResiPthp</v>
      </c>
      <c r="C51" s="62" t="str">
        <f>Spaces_Sum!D96</f>
        <v>L03</v>
      </c>
      <c r="D51" s="62" t="str">
        <f ca="1">Spaces_Sum!I96</f>
        <v>DirectlyConditioned</v>
      </c>
      <c r="F51" s="110">
        <f ca="1">Spaces_Sum!M96</f>
        <v>1116.5980999999999</v>
      </c>
      <c r="G51" s="110" t="str">
        <f ca="1">Spaces_Sum!J96</f>
        <v>Dwelling Unit</v>
      </c>
      <c r="H51" s="532"/>
      <c r="I51" s="185"/>
      <c r="J51" s="185"/>
      <c r="K51" s="186"/>
      <c r="L51" s="187"/>
      <c r="M51" s="188"/>
      <c r="N51" s="189"/>
      <c r="O51" s="186"/>
      <c r="P51" s="187"/>
      <c r="Q51" s="188"/>
      <c r="R51" s="189"/>
      <c r="S51" s="186"/>
      <c r="T51" s="187"/>
      <c r="U51" s="188"/>
      <c r="V51" s="189"/>
      <c r="W51" s="186"/>
      <c r="X51" s="187"/>
      <c r="Y51" s="188"/>
      <c r="Z51" s="189"/>
      <c r="AA51" s="186"/>
      <c r="AB51" s="187"/>
      <c r="AC51" s="188"/>
      <c r="AD51" s="189"/>
      <c r="AE51" s="186"/>
      <c r="AF51" s="187"/>
      <c r="AG51" s="188"/>
      <c r="AH51" s="189"/>
      <c r="AI51" s="186"/>
      <c r="AJ51" s="187"/>
      <c r="AK51" s="188"/>
      <c r="AL51" s="189"/>
      <c r="AM51" s="186"/>
      <c r="AN51" s="187"/>
      <c r="AO51" s="188"/>
      <c r="AP51" s="189"/>
      <c r="AQ51" s="186"/>
      <c r="AR51" s="187"/>
      <c r="AS51" s="188"/>
      <c r="AT51" s="189"/>
      <c r="AU51" s="186"/>
      <c r="AV51" s="187"/>
      <c r="AW51" s="188"/>
      <c r="AX51" s="189"/>
      <c r="AY51" s="186"/>
      <c r="AZ51" s="187"/>
      <c r="BA51" s="188"/>
      <c r="BB51" s="189"/>
      <c r="BC51" s="186"/>
      <c r="BD51" s="187"/>
      <c r="BE51" s="188"/>
      <c r="BF51" s="189"/>
      <c r="BG51" s="186"/>
      <c r="BH51" s="187"/>
      <c r="BI51" s="188"/>
      <c r="BJ51" s="189"/>
      <c r="BK51" s="186"/>
      <c r="BL51" s="187"/>
      <c r="BM51" s="188"/>
      <c r="BN51" s="189"/>
      <c r="BO51" s="186"/>
      <c r="BP51" s="187"/>
      <c r="BQ51" s="188"/>
      <c r="BR51" s="189"/>
      <c r="BS51" s="186"/>
      <c r="BT51" s="187"/>
      <c r="BU51" s="188"/>
      <c r="BV51" s="189"/>
      <c r="BW51" s="186"/>
      <c r="BX51" s="187"/>
      <c r="BY51" s="188"/>
      <c r="BZ51" s="189"/>
      <c r="CA51" s="186"/>
      <c r="CB51" s="190"/>
      <c r="CC51" s="190"/>
      <c r="CD51" s="82">
        <f t="shared" si="142"/>
        <v>0</v>
      </c>
      <c r="CE51" s="82">
        <f t="shared" si="143"/>
        <v>0</v>
      </c>
      <c r="CF51" s="82">
        <f t="shared" si="144"/>
        <v>0</v>
      </c>
      <c r="CG51" s="82">
        <f t="shared" si="145"/>
        <v>0</v>
      </c>
      <c r="CH51" s="82">
        <f t="shared" si="146"/>
        <v>0</v>
      </c>
      <c r="CI51" s="82">
        <f t="shared" si="147"/>
        <v>0</v>
      </c>
      <c r="CJ51" s="82">
        <f t="shared" si="148"/>
        <v>0</v>
      </c>
      <c r="CK51" s="82">
        <f t="shared" si="149"/>
        <v>0</v>
      </c>
      <c r="CL51" s="82">
        <f t="shared" si="150"/>
        <v>0</v>
      </c>
      <c r="CM51" s="82">
        <f t="shared" si="151"/>
        <v>0</v>
      </c>
      <c r="CN51" s="82">
        <f t="shared" si="152"/>
        <v>0</v>
      </c>
      <c r="CO51" s="82">
        <f t="shared" si="153"/>
        <v>0</v>
      </c>
      <c r="CP51" s="82">
        <f t="shared" si="154"/>
        <v>0</v>
      </c>
      <c r="CQ51" s="82">
        <f t="shared" si="155"/>
        <v>0</v>
      </c>
      <c r="CR51" s="82">
        <f t="shared" si="156"/>
        <v>0</v>
      </c>
      <c r="CS51" s="82">
        <f t="shared" si="157"/>
        <v>0</v>
      </c>
      <c r="CT51" s="82">
        <f t="shared" si="158"/>
        <v>0</v>
      </c>
      <c r="CU51" s="82">
        <f t="shared" si="159"/>
        <v>0</v>
      </c>
      <c r="CV51" s="82">
        <f t="shared" si="160"/>
        <v>0</v>
      </c>
      <c r="CW51" s="82">
        <f t="shared" si="161"/>
        <v>0</v>
      </c>
      <c r="CX51" s="82">
        <f t="shared" si="162"/>
        <v>0</v>
      </c>
      <c r="CY51" s="82">
        <f t="shared" si="163"/>
        <v>0</v>
      </c>
      <c r="CZ51" s="82">
        <f t="shared" si="164"/>
        <v>0</v>
      </c>
      <c r="DA51" s="82">
        <f t="shared" si="165"/>
        <v>0</v>
      </c>
      <c r="DB51" s="82">
        <f t="shared" si="166"/>
        <v>0</v>
      </c>
      <c r="DC51" s="82">
        <f t="shared" si="167"/>
        <v>0</v>
      </c>
      <c r="DD51" s="82">
        <f t="shared" si="168"/>
        <v>0</v>
      </c>
      <c r="DE51" s="82">
        <f t="shared" si="169"/>
        <v>0</v>
      </c>
      <c r="DF51" s="82">
        <f t="shared" si="170"/>
        <v>0</v>
      </c>
      <c r="DG51" s="82">
        <f t="shared" si="171"/>
        <v>0</v>
      </c>
      <c r="DH51" s="82">
        <f t="shared" si="172"/>
        <v>0</v>
      </c>
      <c r="DI51" s="82">
        <f t="shared" si="173"/>
        <v>0</v>
      </c>
      <c r="DJ51" s="82">
        <f t="shared" si="174"/>
        <v>0</v>
      </c>
      <c r="DK51" s="82">
        <f t="shared" si="175"/>
        <v>0</v>
      </c>
      <c r="DL51" s="82">
        <f t="shared" si="176"/>
        <v>0</v>
      </c>
      <c r="DM51" s="82">
        <f t="shared" si="177"/>
        <v>0</v>
      </c>
      <c r="DN51" s="82">
        <f t="shared" si="178"/>
        <v>0</v>
      </c>
      <c r="DO51" s="82">
        <f t="shared" si="179"/>
        <v>0</v>
      </c>
      <c r="DP51" s="82">
        <f t="shared" si="180"/>
        <v>0</v>
      </c>
      <c r="DQ51" s="82">
        <f t="shared" si="181"/>
        <v>0</v>
      </c>
      <c r="DR51" s="82">
        <f t="shared" si="182"/>
        <v>0</v>
      </c>
      <c r="DS51" s="82">
        <f t="shared" si="183"/>
        <v>0</v>
      </c>
      <c r="DT51" s="82">
        <f t="shared" si="184"/>
        <v>0</v>
      </c>
      <c r="DU51" s="82">
        <f t="shared" si="185"/>
        <v>0</v>
      </c>
      <c r="DV51" s="82">
        <f t="shared" si="186"/>
        <v>0</v>
      </c>
      <c r="DW51" s="82">
        <f t="shared" si="187"/>
        <v>0</v>
      </c>
      <c r="DX51" s="82">
        <f t="shared" si="188"/>
        <v>0</v>
      </c>
      <c r="DY51" s="82">
        <f t="shared" si="189"/>
        <v>0</v>
      </c>
      <c r="DZ51" s="82">
        <f t="shared" si="190"/>
        <v>0</v>
      </c>
      <c r="EA51" s="82">
        <f t="shared" si="191"/>
        <v>0</v>
      </c>
      <c r="EB51" s="82">
        <f t="shared" si="192"/>
        <v>0</v>
      </c>
      <c r="EC51" s="82">
        <f t="shared" si="193"/>
        <v>0</v>
      </c>
      <c r="ED51" s="82">
        <f t="shared" si="194"/>
        <v>0</v>
      </c>
      <c r="EE51" s="82">
        <f t="shared" si="195"/>
        <v>0</v>
      </c>
      <c r="EF51" s="82">
        <f t="shared" si="196"/>
        <v>0</v>
      </c>
      <c r="EG51" s="82">
        <f t="shared" si="197"/>
        <v>0</v>
      </c>
      <c r="EH51" s="82">
        <f t="shared" si="198"/>
        <v>0</v>
      </c>
      <c r="EI51" s="82">
        <f t="shared" si="199"/>
        <v>0</v>
      </c>
      <c r="EJ51" s="82">
        <f t="shared" si="200"/>
        <v>0</v>
      </c>
      <c r="EK51" s="82">
        <f t="shared" si="201"/>
        <v>0</v>
      </c>
      <c r="EL51" s="82">
        <f t="shared" si="202"/>
        <v>0</v>
      </c>
      <c r="EM51" s="82">
        <f t="shared" si="203"/>
        <v>0</v>
      </c>
      <c r="EN51" s="82">
        <f t="shared" si="204"/>
        <v>0</v>
      </c>
      <c r="EO51" s="82">
        <f t="shared" si="205"/>
        <v>0</v>
      </c>
      <c r="EP51" s="82">
        <f t="shared" si="206"/>
        <v>0</v>
      </c>
      <c r="EQ51" s="82">
        <f t="shared" si="207"/>
        <v>0</v>
      </c>
      <c r="ER51" s="82">
        <f t="shared" si="208"/>
        <v>0</v>
      </c>
      <c r="ES51" s="82">
        <f t="shared" si="209"/>
        <v>0</v>
      </c>
      <c r="ET51" s="82">
        <f t="shared" si="210"/>
        <v>0</v>
      </c>
      <c r="EU51" s="82">
        <f t="shared" si="211"/>
        <v>0</v>
      </c>
      <c r="EV51" s="82">
        <f t="shared" si="212"/>
        <v>0</v>
      </c>
      <c r="EW51" s="82">
        <f t="shared" si="213"/>
        <v>0</v>
      </c>
      <c r="EX51" s="82">
        <f t="shared" si="214"/>
        <v>0</v>
      </c>
      <c r="EY51" s="111">
        <f t="shared" si="215"/>
        <v>0</v>
      </c>
      <c r="EZ51" s="143">
        <f t="shared" ca="1" si="216"/>
        <v>0</v>
      </c>
      <c r="FA51" s="112">
        <f t="shared" ca="1" si="217"/>
        <v>0</v>
      </c>
      <c r="FB51" s="113">
        <f t="shared" ca="1" si="218"/>
        <v>0</v>
      </c>
      <c r="FC51" s="114">
        <f t="shared" ca="1" si="219"/>
        <v>0</v>
      </c>
      <c r="FD51" s="115">
        <f t="shared" ca="1" si="220"/>
        <v>0</v>
      </c>
      <c r="FE51" s="116">
        <f t="shared" ca="1" si="221"/>
        <v>0</v>
      </c>
      <c r="FF51" s="117">
        <f t="shared" ca="1" si="222"/>
        <v>0</v>
      </c>
      <c r="FG51" s="71">
        <f t="shared" si="223"/>
        <v>0</v>
      </c>
      <c r="FH51" s="530">
        <f t="shared" ca="1" si="224"/>
        <v>0</v>
      </c>
      <c r="FI51" s="72"/>
      <c r="FJ51" s="72"/>
      <c r="FK51" s="72"/>
      <c r="FM51" s="421" t="str">
        <f t="shared" si="122"/>
        <v>L03-303_MfamResiPthp</v>
      </c>
      <c r="FN51" s="422" t="str">
        <f t="shared" ca="1" si="123"/>
        <v>Dwelling Unit</v>
      </c>
      <c r="FO51" s="423">
        <f t="shared" ca="1" si="226"/>
        <v>0</v>
      </c>
      <c r="FP51" s="423">
        <f t="shared" ca="1" si="226"/>
        <v>0</v>
      </c>
      <c r="FQ51" s="423">
        <f t="shared" ca="1" si="226"/>
        <v>0</v>
      </c>
      <c r="FR51" s="423">
        <f t="shared" ca="1" si="226"/>
        <v>0</v>
      </c>
      <c r="FS51" s="423">
        <f t="shared" ca="1" si="226"/>
        <v>0</v>
      </c>
      <c r="FT51" s="423">
        <f t="shared" ca="1" si="226"/>
        <v>0</v>
      </c>
      <c r="FU51" s="423">
        <f t="shared" ca="1" si="226"/>
        <v>0</v>
      </c>
      <c r="FV51" s="423">
        <f t="shared" ca="1" si="226"/>
        <v>0</v>
      </c>
      <c r="FW51" s="423">
        <f t="shared" ca="1" si="226"/>
        <v>0</v>
      </c>
      <c r="FX51" s="423">
        <f t="shared" ca="1" si="226"/>
        <v>0</v>
      </c>
      <c r="FY51" s="423">
        <f t="shared" ca="1" si="226"/>
        <v>0</v>
      </c>
      <c r="FZ51" s="423">
        <f t="shared" ca="1" si="226"/>
        <v>0</v>
      </c>
      <c r="GA51" s="423">
        <f t="shared" ca="1" si="226"/>
        <v>0</v>
      </c>
      <c r="GB51" s="423">
        <f t="shared" ca="1" si="226"/>
        <v>0</v>
      </c>
      <c r="GC51" s="423">
        <f t="shared" ca="1" si="226"/>
        <v>0</v>
      </c>
      <c r="GD51" s="423">
        <f t="shared" ca="1" si="225"/>
        <v>0</v>
      </c>
      <c r="GE51" s="423">
        <f t="shared" ca="1" si="139"/>
        <v>0</v>
      </c>
      <c r="GF51" s="423">
        <f t="shared" ca="1" si="139"/>
        <v>0</v>
      </c>
      <c r="GG51" s="423">
        <f t="shared" ca="1" si="139"/>
        <v>0</v>
      </c>
      <c r="GH51" s="423">
        <f t="shared" ca="1" si="139"/>
        <v>0</v>
      </c>
      <c r="GI51" s="423">
        <f t="shared" ca="1" si="139"/>
        <v>0</v>
      </c>
      <c r="GJ51" s="423">
        <f t="shared" ca="1" si="139"/>
        <v>0</v>
      </c>
      <c r="GK51" s="423">
        <f t="shared" ca="1" si="139"/>
        <v>0</v>
      </c>
      <c r="GL51" s="423">
        <f t="shared" ca="1" si="139"/>
        <v>0</v>
      </c>
      <c r="GM51" s="423">
        <f t="shared" ca="1" si="139"/>
        <v>0</v>
      </c>
      <c r="GN51" s="423">
        <f t="shared" ca="1" si="139"/>
        <v>0</v>
      </c>
      <c r="GO51" s="423">
        <f t="shared" ca="1" si="139"/>
        <v>0</v>
      </c>
      <c r="GP51" s="423">
        <f t="shared" ca="1" si="139"/>
        <v>0</v>
      </c>
      <c r="GQ51" s="423">
        <f t="shared" ca="1" si="139"/>
        <v>0</v>
      </c>
      <c r="GR51" s="423">
        <f t="shared" ca="1" si="139"/>
        <v>0</v>
      </c>
      <c r="GS51" s="423">
        <f t="shared" ca="1" si="139"/>
        <v>0</v>
      </c>
      <c r="GT51" s="423">
        <f t="shared" ca="1" si="139"/>
        <v>0</v>
      </c>
      <c r="GU51" s="423">
        <f t="shared" ca="1" si="140"/>
        <v>0</v>
      </c>
      <c r="GV51" s="423">
        <f t="shared" ca="1" si="140"/>
        <v>0</v>
      </c>
      <c r="GW51" s="423">
        <f t="shared" ca="1" si="140"/>
        <v>0</v>
      </c>
      <c r="GX51" s="423">
        <f t="shared" ca="1" si="140"/>
        <v>0</v>
      </c>
      <c r="GY51" s="423">
        <f t="shared" ca="1" si="140"/>
        <v>0</v>
      </c>
      <c r="GZ51" s="423">
        <f t="shared" ca="1" si="140"/>
        <v>0</v>
      </c>
      <c r="HA51" s="423">
        <f t="shared" ca="1" si="140"/>
        <v>0</v>
      </c>
      <c r="HB51" s="423">
        <f t="shared" ca="1" si="140"/>
        <v>0</v>
      </c>
      <c r="HC51" s="423">
        <f t="shared" ca="1" si="140"/>
        <v>0</v>
      </c>
      <c r="HD51" s="423">
        <f t="shared" ca="1" si="140"/>
        <v>0</v>
      </c>
      <c r="HE51" s="423">
        <f t="shared" ca="1" si="140"/>
        <v>0</v>
      </c>
      <c r="HF51" s="423">
        <f t="shared" ca="1" si="140"/>
        <v>0</v>
      </c>
      <c r="HG51" s="423">
        <f t="shared" ca="1" si="140"/>
        <v>0</v>
      </c>
      <c r="HH51" s="423">
        <f t="shared" ca="1" si="140"/>
        <v>0</v>
      </c>
      <c r="HI51" s="423">
        <f t="shared" ca="1" si="140"/>
        <v>0</v>
      </c>
      <c r="HJ51" s="423">
        <f t="shared" ca="1" si="140"/>
        <v>0</v>
      </c>
      <c r="HK51" s="423">
        <f t="shared" ca="1" si="141"/>
        <v>0</v>
      </c>
      <c r="HL51" s="423">
        <f t="shared" ca="1" si="141"/>
        <v>0</v>
      </c>
      <c r="HM51" s="423">
        <f t="shared" ca="1" si="141"/>
        <v>0</v>
      </c>
      <c r="HN51" s="423">
        <f t="shared" ca="1" si="141"/>
        <v>0</v>
      </c>
      <c r="HO51" s="423">
        <f t="shared" ca="1" si="141"/>
        <v>0</v>
      </c>
      <c r="HP51" s="423">
        <f t="shared" ca="1" si="141"/>
        <v>0</v>
      </c>
      <c r="HQ51" s="423">
        <f t="shared" ca="1" si="141"/>
        <v>0</v>
      </c>
      <c r="HR51" s="423">
        <f t="shared" ca="1" si="141"/>
        <v>0</v>
      </c>
      <c r="HS51" s="423">
        <f t="shared" ca="1" si="141"/>
        <v>0</v>
      </c>
      <c r="HT51" s="423">
        <f t="shared" ca="1" si="141"/>
        <v>0</v>
      </c>
    </row>
    <row r="52" spans="1:228" ht="11.25" customHeight="1" x14ac:dyDescent="0.2">
      <c r="A52" s="62">
        <f t="shared" si="128"/>
        <v>41</v>
      </c>
      <c r="B52" s="60" t="str">
        <f>Spaces_Sum!C97</f>
        <v>L03-304_AstoRaccIncd</v>
      </c>
      <c r="C52" s="62" t="str">
        <f>Spaces_Sum!D97</f>
        <v>L03</v>
      </c>
      <c r="D52" s="62" t="str">
        <f ca="1">Spaces_Sum!I97</f>
        <v>IndirectlyConditioned</v>
      </c>
      <c r="F52" s="110">
        <f ca="1">Spaces_Sum!M97</f>
        <v>135.05760000000001</v>
      </c>
      <c r="G52" s="110" t="str">
        <f ca="1">Spaces_Sum!J97</f>
        <v>Storage Room - &lt;50 ft2</v>
      </c>
      <c r="H52" s="532"/>
      <c r="I52" s="185"/>
      <c r="J52" s="185"/>
      <c r="K52" s="186"/>
      <c r="L52" s="187"/>
      <c r="M52" s="188"/>
      <c r="N52" s="189"/>
      <c r="O52" s="186"/>
      <c r="P52" s="187"/>
      <c r="Q52" s="188"/>
      <c r="R52" s="189"/>
      <c r="S52" s="186"/>
      <c r="T52" s="187"/>
      <c r="U52" s="188"/>
      <c r="V52" s="189"/>
      <c r="W52" s="186"/>
      <c r="X52" s="187"/>
      <c r="Y52" s="188"/>
      <c r="Z52" s="189"/>
      <c r="AA52" s="186"/>
      <c r="AB52" s="187"/>
      <c r="AC52" s="188"/>
      <c r="AD52" s="189"/>
      <c r="AE52" s="186"/>
      <c r="AF52" s="187"/>
      <c r="AG52" s="188"/>
      <c r="AH52" s="189"/>
      <c r="AI52" s="186"/>
      <c r="AJ52" s="187"/>
      <c r="AK52" s="188"/>
      <c r="AL52" s="189"/>
      <c r="AM52" s="186"/>
      <c r="AN52" s="187"/>
      <c r="AO52" s="188"/>
      <c r="AP52" s="189"/>
      <c r="AQ52" s="186"/>
      <c r="AR52" s="187"/>
      <c r="AS52" s="188"/>
      <c r="AT52" s="189"/>
      <c r="AU52" s="186"/>
      <c r="AV52" s="187"/>
      <c r="AW52" s="188"/>
      <c r="AX52" s="189"/>
      <c r="AY52" s="186"/>
      <c r="AZ52" s="187"/>
      <c r="BA52" s="188"/>
      <c r="BB52" s="189"/>
      <c r="BC52" s="186"/>
      <c r="BD52" s="187"/>
      <c r="BE52" s="188"/>
      <c r="BF52" s="189"/>
      <c r="BG52" s="186"/>
      <c r="BH52" s="187"/>
      <c r="BI52" s="188"/>
      <c r="BJ52" s="189"/>
      <c r="BK52" s="186"/>
      <c r="BL52" s="187"/>
      <c r="BM52" s="188"/>
      <c r="BN52" s="189"/>
      <c r="BO52" s="186"/>
      <c r="BP52" s="187"/>
      <c r="BQ52" s="188"/>
      <c r="BR52" s="189"/>
      <c r="BS52" s="186"/>
      <c r="BT52" s="187"/>
      <c r="BU52" s="188"/>
      <c r="BV52" s="189"/>
      <c r="BW52" s="186"/>
      <c r="BX52" s="187"/>
      <c r="BY52" s="188"/>
      <c r="BZ52" s="189"/>
      <c r="CA52" s="186"/>
      <c r="CB52" s="190"/>
      <c r="CC52" s="190"/>
      <c r="CD52" s="82">
        <f t="shared" si="142"/>
        <v>0</v>
      </c>
      <c r="CE52" s="82">
        <f t="shared" si="143"/>
        <v>0</v>
      </c>
      <c r="CF52" s="82">
        <f t="shared" si="144"/>
        <v>0</v>
      </c>
      <c r="CG52" s="82">
        <f t="shared" si="145"/>
        <v>0</v>
      </c>
      <c r="CH52" s="82">
        <f t="shared" si="146"/>
        <v>0</v>
      </c>
      <c r="CI52" s="82">
        <f t="shared" si="147"/>
        <v>0</v>
      </c>
      <c r="CJ52" s="82">
        <f t="shared" si="148"/>
        <v>0</v>
      </c>
      <c r="CK52" s="82">
        <f t="shared" si="149"/>
        <v>0</v>
      </c>
      <c r="CL52" s="82">
        <f t="shared" si="150"/>
        <v>0</v>
      </c>
      <c r="CM52" s="82">
        <f t="shared" si="151"/>
        <v>0</v>
      </c>
      <c r="CN52" s="82">
        <f t="shared" si="152"/>
        <v>0</v>
      </c>
      <c r="CO52" s="82">
        <f t="shared" si="153"/>
        <v>0</v>
      </c>
      <c r="CP52" s="82">
        <f t="shared" si="154"/>
        <v>0</v>
      </c>
      <c r="CQ52" s="82">
        <f t="shared" si="155"/>
        <v>0</v>
      </c>
      <c r="CR52" s="82">
        <f t="shared" si="156"/>
        <v>0</v>
      </c>
      <c r="CS52" s="82">
        <f t="shared" si="157"/>
        <v>0</v>
      </c>
      <c r="CT52" s="82">
        <f t="shared" si="158"/>
        <v>0</v>
      </c>
      <c r="CU52" s="82">
        <f t="shared" si="159"/>
        <v>0</v>
      </c>
      <c r="CV52" s="82">
        <f t="shared" si="160"/>
        <v>0</v>
      </c>
      <c r="CW52" s="82">
        <f t="shared" si="161"/>
        <v>0</v>
      </c>
      <c r="CX52" s="82">
        <f t="shared" si="162"/>
        <v>0</v>
      </c>
      <c r="CY52" s="82">
        <f t="shared" si="163"/>
        <v>0</v>
      </c>
      <c r="CZ52" s="82">
        <f t="shared" si="164"/>
        <v>0</v>
      </c>
      <c r="DA52" s="82">
        <f t="shared" si="165"/>
        <v>0</v>
      </c>
      <c r="DB52" s="82">
        <f t="shared" si="166"/>
        <v>0</v>
      </c>
      <c r="DC52" s="82">
        <f t="shared" si="167"/>
        <v>0</v>
      </c>
      <c r="DD52" s="82">
        <f t="shared" si="168"/>
        <v>0</v>
      </c>
      <c r="DE52" s="82">
        <f t="shared" si="169"/>
        <v>0</v>
      </c>
      <c r="DF52" s="82">
        <f t="shared" si="170"/>
        <v>0</v>
      </c>
      <c r="DG52" s="82">
        <f t="shared" si="171"/>
        <v>0</v>
      </c>
      <c r="DH52" s="82">
        <f t="shared" si="172"/>
        <v>0</v>
      </c>
      <c r="DI52" s="82">
        <f t="shared" si="173"/>
        <v>0</v>
      </c>
      <c r="DJ52" s="82">
        <f t="shared" si="174"/>
        <v>0</v>
      </c>
      <c r="DK52" s="82">
        <f t="shared" si="175"/>
        <v>0</v>
      </c>
      <c r="DL52" s="82">
        <f t="shared" si="176"/>
        <v>0</v>
      </c>
      <c r="DM52" s="82">
        <f t="shared" si="177"/>
        <v>0</v>
      </c>
      <c r="DN52" s="82">
        <f t="shared" si="178"/>
        <v>0</v>
      </c>
      <c r="DO52" s="82">
        <f t="shared" si="179"/>
        <v>0</v>
      </c>
      <c r="DP52" s="82">
        <f t="shared" si="180"/>
        <v>0</v>
      </c>
      <c r="DQ52" s="82">
        <f t="shared" si="181"/>
        <v>0</v>
      </c>
      <c r="DR52" s="82">
        <f t="shared" si="182"/>
        <v>0</v>
      </c>
      <c r="DS52" s="82">
        <f t="shared" si="183"/>
        <v>0</v>
      </c>
      <c r="DT52" s="82">
        <f t="shared" si="184"/>
        <v>0</v>
      </c>
      <c r="DU52" s="82">
        <f t="shared" si="185"/>
        <v>0</v>
      </c>
      <c r="DV52" s="82">
        <f t="shared" si="186"/>
        <v>0</v>
      </c>
      <c r="DW52" s="82">
        <f t="shared" si="187"/>
        <v>0</v>
      </c>
      <c r="DX52" s="82">
        <f t="shared" si="188"/>
        <v>0</v>
      </c>
      <c r="DY52" s="82">
        <f t="shared" si="189"/>
        <v>0</v>
      </c>
      <c r="DZ52" s="82">
        <f t="shared" si="190"/>
        <v>0</v>
      </c>
      <c r="EA52" s="82">
        <f t="shared" si="191"/>
        <v>0</v>
      </c>
      <c r="EB52" s="82">
        <f t="shared" si="192"/>
        <v>0</v>
      </c>
      <c r="EC52" s="82">
        <f t="shared" si="193"/>
        <v>0</v>
      </c>
      <c r="ED52" s="82">
        <f t="shared" si="194"/>
        <v>0</v>
      </c>
      <c r="EE52" s="82">
        <f t="shared" si="195"/>
        <v>0</v>
      </c>
      <c r="EF52" s="82">
        <f t="shared" si="196"/>
        <v>0</v>
      </c>
      <c r="EG52" s="82">
        <f t="shared" si="197"/>
        <v>0</v>
      </c>
      <c r="EH52" s="82">
        <f t="shared" si="198"/>
        <v>0</v>
      </c>
      <c r="EI52" s="82">
        <f t="shared" si="199"/>
        <v>0</v>
      </c>
      <c r="EJ52" s="82">
        <f t="shared" si="200"/>
        <v>0</v>
      </c>
      <c r="EK52" s="82">
        <f t="shared" si="201"/>
        <v>0</v>
      </c>
      <c r="EL52" s="82">
        <f t="shared" si="202"/>
        <v>0</v>
      </c>
      <c r="EM52" s="82">
        <f t="shared" si="203"/>
        <v>0</v>
      </c>
      <c r="EN52" s="82">
        <f t="shared" si="204"/>
        <v>0</v>
      </c>
      <c r="EO52" s="82">
        <f t="shared" si="205"/>
        <v>0</v>
      </c>
      <c r="EP52" s="82">
        <f t="shared" si="206"/>
        <v>0</v>
      </c>
      <c r="EQ52" s="82">
        <f t="shared" si="207"/>
        <v>0</v>
      </c>
      <c r="ER52" s="82">
        <f t="shared" si="208"/>
        <v>0</v>
      </c>
      <c r="ES52" s="82">
        <f t="shared" si="209"/>
        <v>0</v>
      </c>
      <c r="ET52" s="82">
        <f t="shared" si="210"/>
        <v>0</v>
      </c>
      <c r="EU52" s="82">
        <f t="shared" si="211"/>
        <v>0</v>
      </c>
      <c r="EV52" s="82">
        <f t="shared" si="212"/>
        <v>0</v>
      </c>
      <c r="EW52" s="82">
        <f t="shared" si="213"/>
        <v>0</v>
      </c>
      <c r="EX52" s="82">
        <f t="shared" si="214"/>
        <v>0</v>
      </c>
      <c r="EY52" s="111">
        <f t="shared" si="215"/>
        <v>0</v>
      </c>
      <c r="EZ52" s="143">
        <f t="shared" ca="1" si="216"/>
        <v>0</v>
      </c>
      <c r="FA52" s="112">
        <f t="shared" ca="1" si="217"/>
        <v>0</v>
      </c>
      <c r="FB52" s="113">
        <f t="shared" ca="1" si="218"/>
        <v>0</v>
      </c>
      <c r="FC52" s="114">
        <f t="shared" ca="1" si="219"/>
        <v>0</v>
      </c>
      <c r="FD52" s="115">
        <f t="shared" ca="1" si="220"/>
        <v>0</v>
      </c>
      <c r="FE52" s="116">
        <f t="shared" ca="1" si="221"/>
        <v>0</v>
      </c>
      <c r="FF52" s="117">
        <f t="shared" ca="1" si="222"/>
        <v>0</v>
      </c>
      <c r="FG52" s="71">
        <f t="shared" si="223"/>
        <v>0</v>
      </c>
      <c r="FH52" s="530">
        <f t="shared" ca="1" si="224"/>
        <v>0</v>
      </c>
      <c r="FI52" s="72"/>
      <c r="FJ52" s="72"/>
      <c r="FK52" s="72"/>
      <c r="FM52" s="421" t="str">
        <f t="shared" si="122"/>
        <v>L03-304_AstoRaccIncd</v>
      </c>
      <c r="FN52" s="422" t="str">
        <f t="shared" ca="1" si="123"/>
        <v>Storage Room - &lt;50 ft2</v>
      </c>
      <c r="FO52" s="423">
        <f t="shared" ca="1" si="226"/>
        <v>0</v>
      </c>
      <c r="FP52" s="423">
        <f t="shared" ca="1" si="226"/>
        <v>0</v>
      </c>
      <c r="FQ52" s="423">
        <f t="shared" ca="1" si="226"/>
        <v>0</v>
      </c>
      <c r="FR52" s="423">
        <f t="shared" ca="1" si="226"/>
        <v>0</v>
      </c>
      <c r="FS52" s="423">
        <f t="shared" ca="1" si="226"/>
        <v>0</v>
      </c>
      <c r="FT52" s="423">
        <f t="shared" ca="1" si="226"/>
        <v>0</v>
      </c>
      <c r="FU52" s="423">
        <f t="shared" ca="1" si="226"/>
        <v>0</v>
      </c>
      <c r="FV52" s="423">
        <f t="shared" ca="1" si="226"/>
        <v>0</v>
      </c>
      <c r="FW52" s="423">
        <f t="shared" ca="1" si="226"/>
        <v>0</v>
      </c>
      <c r="FX52" s="423">
        <f t="shared" ca="1" si="226"/>
        <v>0</v>
      </c>
      <c r="FY52" s="423">
        <f t="shared" ca="1" si="226"/>
        <v>0</v>
      </c>
      <c r="FZ52" s="423">
        <f t="shared" ca="1" si="226"/>
        <v>0</v>
      </c>
      <c r="GA52" s="423">
        <f t="shared" ca="1" si="226"/>
        <v>0</v>
      </c>
      <c r="GB52" s="423">
        <f t="shared" ca="1" si="226"/>
        <v>0</v>
      </c>
      <c r="GC52" s="423">
        <f t="shared" ca="1" si="226"/>
        <v>0</v>
      </c>
      <c r="GD52" s="423">
        <f t="shared" ca="1" si="225"/>
        <v>0</v>
      </c>
      <c r="GE52" s="423">
        <f t="shared" ca="1" si="139"/>
        <v>0</v>
      </c>
      <c r="GF52" s="423">
        <f t="shared" ca="1" si="139"/>
        <v>0</v>
      </c>
      <c r="GG52" s="423">
        <f t="shared" ca="1" si="139"/>
        <v>0</v>
      </c>
      <c r="GH52" s="423">
        <f t="shared" ca="1" si="139"/>
        <v>0</v>
      </c>
      <c r="GI52" s="423">
        <f t="shared" ca="1" si="139"/>
        <v>0</v>
      </c>
      <c r="GJ52" s="423">
        <f t="shared" ca="1" si="139"/>
        <v>0</v>
      </c>
      <c r="GK52" s="423">
        <f t="shared" ca="1" si="139"/>
        <v>0</v>
      </c>
      <c r="GL52" s="423">
        <f t="shared" ca="1" si="139"/>
        <v>0</v>
      </c>
      <c r="GM52" s="423">
        <f t="shared" ca="1" si="139"/>
        <v>0</v>
      </c>
      <c r="GN52" s="423">
        <f t="shared" ca="1" si="139"/>
        <v>0</v>
      </c>
      <c r="GO52" s="423">
        <f t="shared" ca="1" si="139"/>
        <v>0</v>
      </c>
      <c r="GP52" s="423">
        <f t="shared" ca="1" si="139"/>
        <v>0</v>
      </c>
      <c r="GQ52" s="423">
        <f t="shared" ca="1" si="139"/>
        <v>0</v>
      </c>
      <c r="GR52" s="423">
        <f t="shared" ca="1" si="139"/>
        <v>0</v>
      </c>
      <c r="GS52" s="423">
        <f t="shared" ca="1" si="139"/>
        <v>0</v>
      </c>
      <c r="GT52" s="423">
        <f t="shared" ca="1" si="139"/>
        <v>0</v>
      </c>
      <c r="GU52" s="423">
        <f t="shared" ca="1" si="140"/>
        <v>0</v>
      </c>
      <c r="GV52" s="423">
        <f t="shared" ca="1" si="140"/>
        <v>0</v>
      </c>
      <c r="GW52" s="423">
        <f t="shared" ca="1" si="140"/>
        <v>0</v>
      </c>
      <c r="GX52" s="423">
        <f t="shared" ca="1" si="140"/>
        <v>0</v>
      </c>
      <c r="GY52" s="423">
        <f t="shared" ca="1" si="140"/>
        <v>0</v>
      </c>
      <c r="GZ52" s="423">
        <f t="shared" ca="1" si="140"/>
        <v>0</v>
      </c>
      <c r="HA52" s="423">
        <f t="shared" ca="1" si="140"/>
        <v>0</v>
      </c>
      <c r="HB52" s="423">
        <f t="shared" ca="1" si="140"/>
        <v>0</v>
      </c>
      <c r="HC52" s="423">
        <f t="shared" ca="1" si="140"/>
        <v>0</v>
      </c>
      <c r="HD52" s="423">
        <f t="shared" ca="1" si="140"/>
        <v>0</v>
      </c>
      <c r="HE52" s="423">
        <f t="shared" ca="1" si="140"/>
        <v>0</v>
      </c>
      <c r="HF52" s="423">
        <f t="shared" ca="1" si="140"/>
        <v>0</v>
      </c>
      <c r="HG52" s="423">
        <f t="shared" ca="1" si="140"/>
        <v>0</v>
      </c>
      <c r="HH52" s="423">
        <f t="shared" ca="1" si="140"/>
        <v>0</v>
      </c>
      <c r="HI52" s="423">
        <f t="shared" ca="1" si="140"/>
        <v>0</v>
      </c>
      <c r="HJ52" s="423">
        <f t="shared" ca="1" si="140"/>
        <v>0</v>
      </c>
      <c r="HK52" s="423">
        <f t="shared" ca="1" si="141"/>
        <v>0</v>
      </c>
      <c r="HL52" s="423">
        <f t="shared" ca="1" si="141"/>
        <v>0</v>
      </c>
      <c r="HM52" s="423">
        <f t="shared" ca="1" si="141"/>
        <v>0</v>
      </c>
      <c r="HN52" s="423">
        <f t="shared" ca="1" si="141"/>
        <v>0</v>
      </c>
      <c r="HO52" s="423">
        <f t="shared" ca="1" si="141"/>
        <v>0</v>
      </c>
      <c r="HP52" s="423">
        <f t="shared" ca="1" si="141"/>
        <v>0</v>
      </c>
      <c r="HQ52" s="423">
        <f t="shared" ca="1" si="141"/>
        <v>0</v>
      </c>
      <c r="HR52" s="423">
        <f t="shared" ca="1" si="141"/>
        <v>0</v>
      </c>
      <c r="HS52" s="423">
        <f t="shared" ca="1" si="141"/>
        <v>0</v>
      </c>
      <c r="HT52" s="423">
        <f t="shared" ca="1" si="141"/>
        <v>0</v>
      </c>
    </row>
    <row r="53" spans="1:228" ht="11.25" customHeight="1" x14ac:dyDescent="0.2">
      <c r="A53" s="62">
        <f t="shared" si="128"/>
        <v>42</v>
      </c>
      <c r="B53" s="60" t="str">
        <f>Spaces_Sum!C98</f>
        <v>L03-305_MfamResiPthp</v>
      </c>
      <c r="C53" s="62" t="str">
        <f>Spaces_Sum!D98</f>
        <v>L03</v>
      </c>
      <c r="D53" s="62" t="str">
        <f ca="1">Spaces_Sum!I98</f>
        <v>DirectlyConditioned</v>
      </c>
      <c r="F53" s="110">
        <f ca="1">Spaces_Sum!M98</f>
        <v>3678.0304999999998</v>
      </c>
      <c r="G53" s="110" t="str">
        <f ca="1">Spaces_Sum!J98</f>
        <v>Dwelling Unit</v>
      </c>
      <c r="H53" s="532"/>
      <c r="I53" s="185"/>
      <c r="J53" s="185"/>
      <c r="K53" s="186"/>
      <c r="L53" s="187"/>
      <c r="M53" s="188"/>
      <c r="N53" s="189"/>
      <c r="O53" s="186"/>
      <c r="P53" s="187"/>
      <c r="Q53" s="188"/>
      <c r="R53" s="189"/>
      <c r="S53" s="186"/>
      <c r="T53" s="187"/>
      <c r="U53" s="188"/>
      <c r="V53" s="189"/>
      <c r="W53" s="186"/>
      <c r="X53" s="187"/>
      <c r="Y53" s="188"/>
      <c r="Z53" s="189"/>
      <c r="AA53" s="186"/>
      <c r="AB53" s="187"/>
      <c r="AC53" s="188"/>
      <c r="AD53" s="189"/>
      <c r="AE53" s="186"/>
      <c r="AF53" s="187"/>
      <c r="AG53" s="188"/>
      <c r="AH53" s="189"/>
      <c r="AI53" s="186"/>
      <c r="AJ53" s="187"/>
      <c r="AK53" s="188"/>
      <c r="AL53" s="189"/>
      <c r="AM53" s="186"/>
      <c r="AN53" s="187"/>
      <c r="AO53" s="188"/>
      <c r="AP53" s="189"/>
      <c r="AQ53" s="186"/>
      <c r="AR53" s="187"/>
      <c r="AS53" s="188"/>
      <c r="AT53" s="189"/>
      <c r="AU53" s="186"/>
      <c r="AV53" s="187"/>
      <c r="AW53" s="188"/>
      <c r="AX53" s="189"/>
      <c r="AY53" s="186"/>
      <c r="AZ53" s="187"/>
      <c r="BA53" s="188"/>
      <c r="BB53" s="189"/>
      <c r="BC53" s="186"/>
      <c r="BD53" s="187"/>
      <c r="BE53" s="188"/>
      <c r="BF53" s="189"/>
      <c r="BG53" s="186"/>
      <c r="BH53" s="187"/>
      <c r="BI53" s="188"/>
      <c r="BJ53" s="189"/>
      <c r="BK53" s="186"/>
      <c r="BL53" s="187"/>
      <c r="BM53" s="188"/>
      <c r="BN53" s="189"/>
      <c r="BO53" s="186"/>
      <c r="BP53" s="187"/>
      <c r="BQ53" s="188"/>
      <c r="BR53" s="189"/>
      <c r="BS53" s="186"/>
      <c r="BT53" s="187"/>
      <c r="BU53" s="188"/>
      <c r="BV53" s="189"/>
      <c r="BW53" s="186"/>
      <c r="BX53" s="187"/>
      <c r="BY53" s="188"/>
      <c r="BZ53" s="189"/>
      <c r="CA53" s="186"/>
      <c r="CB53" s="190"/>
      <c r="CC53" s="190"/>
      <c r="CD53" s="82">
        <f t="shared" si="142"/>
        <v>0</v>
      </c>
      <c r="CE53" s="82">
        <f t="shared" si="143"/>
        <v>0</v>
      </c>
      <c r="CF53" s="82">
        <f t="shared" si="144"/>
        <v>0</v>
      </c>
      <c r="CG53" s="82">
        <f t="shared" si="145"/>
        <v>0</v>
      </c>
      <c r="CH53" s="82">
        <f t="shared" si="146"/>
        <v>0</v>
      </c>
      <c r="CI53" s="82">
        <f t="shared" si="147"/>
        <v>0</v>
      </c>
      <c r="CJ53" s="82">
        <f t="shared" si="148"/>
        <v>0</v>
      </c>
      <c r="CK53" s="82">
        <f t="shared" si="149"/>
        <v>0</v>
      </c>
      <c r="CL53" s="82">
        <f t="shared" si="150"/>
        <v>0</v>
      </c>
      <c r="CM53" s="82">
        <f t="shared" si="151"/>
        <v>0</v>
      </c>
      <c r="CN53" s="82">
        <f t="shared" si="152"/>
        <v>0</v>
      </c>
      <c r="CO53" s="82">
        <f t="shared" si="153"/>
        <v>0</v>
      </c>
      <c r="CP53" s="82">
        <f t="shared" si="154"/>
        <v>0</v>
      </c>
      <c r="CQ53" s="82">
        <f t="shared" si="155"/>
        <v>0</v>
      </c>
      <c r="CR53" s="82">
        <f t="shared" si="156"/>
        <v>0</v>
      </c>
      <c r="CS53" s="82">
        <f t="shared" si="157"/>
        <v>0</v>
      </c>
      <c r="CT53" s="82">
        <f t="shared" si="158"/>
        <v>0</v>
      </c>
      <c r="CU53" s="82">
        <f t="shared" si="159"/>
        <v>0</v>
      </c>
      <c r="CV53" s="82">
        <f t="shared" si="160"/>
        <v>0</v>
      </c>
      <c r="CW53" s="82">
        <f t="shared" si="161"/>
        <v>0</v>
      </c>
      <c r="CX53" s="82">
        <f t="shared" si="162"/>
        <v>0</v>
      </c>
      <c r="CY53" s="82">
        <f t="shared" si="163"/>
        <v>0</v>
      </c>
      <c r="CZ53" s="82">
        <f t="shared" si="164"/>
        <v>0</v>
      </c>
      <c r="DA53" s="82">
        <f t="shared" si="165"/>
        <v>0</v>
      </c>
      <c r="DB53" s="82">
        <f t="shared" si="166"/>
        <v>0</v>
      </c>
      <c r="DC53" s="82">
        <f t="shared" si="167"/>
        <v>0</v>
      </c>
      <c r="DD53" s="82">
        <f t="shared" si="168"/>
        <v>0</v>
      </c>
      <c r="DE53" s="82">
        <f t="shared" si="169"/>
        <v>0</v>
      </c>
      <c r="DF53" s="82">
        <f t="shared" si="170"/>
        <v>0</v>
      </c>
      <c r="DG53" s="82">
        <f t="shared" si="171"/>
        <v>0</v>
      </c>
      <c r="DH53" s="82">
        <f t="shared" si="172"/>
        <v>0</v>
      </c>
      <c r="DI53" s="82">
        <f t="shared" si="173"/>
        <v>0</v>
      </c>
      <c r="DJ53" s="82">
        <f t="shared" si="174"/>
        <v>0</v>
      </c>
      <c r="DK53" s="82">
        <f t="shared" si="175"/>
        <v>0</v>
      </c>
      <c r="DL53" s="82">
        <f t="shared" si="176"/>
        <v>0</v>
      </c>
      <c r="DM53" s="82">
        <f t="shared" si="177"/>
        <v>0</v>
      </c>
      <c r="DN53" s="82">
        <f t="shared" si="178"/>
        <v>0</v>
      </c>
      <c r="DO53" s="82">
        <f t="shared" si="179"/>
        <v>0</v>
      </c>
      <c r="DP53" s="82">
        <f t="shared" si="180"/>
        <v>0</v>
      </c>
      <c r="DQ53" s="82">
        <f t="shared" si="181"/>
        <v>0</v>
      </c>
      <c r="DR53" s="82">
        <f t="shared" si="182"/>
        <v>0</v>
      </c>
      <c r="DS53" s="82">
        <f t="shared" si="183"/>
        <v>0</v>
      </c>
      <c r="DT53" s="82">
        <f t="shared" si="184"/>
        <v>0</v>
      </c>
      <c r="DU53" s="82">
        <f t="shared" si="185"/>
        <v>0</v>
      </c>
      <c r="DV53" s="82">
        <f t="shared" si="186"/>
        <v>0</v>
      </c>
      <c r="DW53" s="82">
        <f t="shared" si="187"/>
        <v>0</v>
      </c>
      <c r="DX53" s="82">
        <f t="shared" si="188"/>
        <v>0</v>
      </c>
      <c r="DY53" s="82">
        <f t="shared" si="189"/>
        <v>0</v>
      </c>
      <c r="DZ53" s="82">
        <f t="shared" si="190"/>
        <v>0</v>
      </c>
      <c r="EA53" s="82">
        <f t="shared" si="191"/>
        <v>0</v>
      </c>
      <c r="EB53" s="82">
        <f t="shared" si="192"/>
        <v>0</v>
      </c>
      <c r="EC53" s="82">
        <f t="shared" si="193"/>
        <v>0</v>
      </c>
      <c r="ED53" s="82">
        <f t="shared" si="194"/>
        <v>0</v>
      </c>
      <c r="EE53" s="82">
        <f t="shared" si="195"/>
        <v>0</v>
      </c>
      <c r="EF53" s="82">
        <f t="shared" si="196"/>
        <v>0</v>
      </c>
      <c r="EG53" s="82">
        <f t="shared" si="197"/>
        <v>0</v>
      </c>
      <c r="EH53" s="82">
        <f t="shared" si="198"/>
        <v>0</v>
      </c>
      <c r="EI53" s="82">
        <f t="shared" si="199"/>
        <v>0</v>
      </c>
      <c r="EJ53" s="82">
        <f t="shared" si="200"/>
        <v>0</v>
      </c>
      <c r="EK53" s="82">
        <f t="shared" si="201"/>
        <v>0</v>
      </c>
      <c r="EL53" s="82">
        <f t="shared" si="202"/>
        <v>0</v>
      </c>
      <c r="EM53" s="82">
        <f t="shared" si="203"/>
        <v>0</v>
      </c>
      <c r="EN53" s="82">
        <f t="shared" si="204"/>
        <v>0</v>
      </c>
      <c r="EO53" s="82">
        <f t="shared" si="205"/>
        <v>0</v>
      </c>
      <c r="EP53" s="82">
        <f t="shared" si="206"/>
        <v>0</v>
      </c>
      <c r="EQ53" s="82">
        <f t="shared" si="207"/>
        <v>0</v>
      </c>
      <c r="ER53" s="82">
        <f t="shared" si="208"/>
        <v>0</v>
      </c>
      <c r="ES53" s="82">
        <f t="shared" si="209"/>
        <v>0</v>
      </c>
      <c r="ET53" s="82">
        <f t="shared" si="210"/>
        <v>0</v>
      </c>
      <c r="EU53" s="82">
        <f t="shared" si="211"/>
        <v>0</v>
      </c>
      <c r="EV53" s="82">
        <f t="shared" si="212"/>
        <v>0</v>
      </c>
      <c r="EW53" s="82">
        <f t="shared" si="213"/>
        <v>0</v>
      </c>
      <c r="EX53" s="82">
        <f t="shared" si="214"/>
        <v>0</v>
      </c>
      <c r="EY53" s="111">
        <f t="shared" si="215"/>
        <v>0</v>
      </c>
      <c r="EZ53" s="143">
        <f t="shared" ca="1" si="216"/>
        <v>0</v>
      </c>
      <c r="FA53" s="112">
        <f t="shared" ca="1" si="217"/>
        <v>0</v>
      </c>
      <c r="FB53" s="113">
        <f t="shared" ca="1" si="218"/>
        <v>0</v>
      </c>
      <c r="FC53" s="114">
        <f t="shared" ca="1" si="219"/>
        <v>0</v>
      </c>
      <c r="FD53" s="115">
        <f t="shared" ca="1" si="220"/>
        <v>0</v>
      </c>
      <c r="FE53" s="116">
        <f t="shared" ca="1" si="221"/>
        <v>0</v>
      </c>
      <c r="FF53" s="117">
        <f t="shared" ca="1" si="222"/>
        <v>0</v>
      </c>
      <c r="FG53" s="71">
        <f t="shared" si="223"/>
        <v>0</v>
      </c>
      <c r="FH53" s="530">
        <f t="shared" ca="1" si="224"/>
        <v>0</v>
      </c>
      <c r="FI53" s="72"/>
      <c r="FJ53" s="72"/>
      <c r="FK53" s="72"/>
      <c r="FM53" s="421" t="str">
        <f t="shared" si="122"/>
        <v>L03-305_MfamResiPthp</v>
      </c>
      <c r="FN53" s="422" t="str">
        <f t="shared" ca="1" si="123"/>
        <v>Dwelling Unit</v>
      </c>
      <c r="FO53" s="423">
        <f t="shared" ca="1" si="226"/>
        <v>0</v>
      </c>
      <c r="FP53" s="423">
        <f t="shared" ca="1" si="226"/>
        <v>0</v>
      </c>
      <c r="FQ53" s="423">
        <f t="shared" ca="1" si="226"/>
        <v>0</v>
      </c>
      <c r="FR53" s="423">
        <f t="shared" ca="1" si="226"/>
        <v>0</v>
      </c>
      <c r="FS53" s="423">
        <f t="shared" ca="1" si="226"/>
        <v>0</v>
      </c>
      <c r="FT53" s="423">
        <f t="shared" ca="1" si="226"/>
        <v>0</v>
      </c>
      <c r="FU53" s="423">
        <f t="shared" ca="1" si="226"/>
        <v>0</v>
      </c>
      <c r="FV53" s="423">
        <f t="shared" ca="1" si="226"/>
        <v>0</v>
      </c>
      <c r="FW53" s="423">
        <f t="shared" ca="1" si="226"/>
        <v>0</v>
      </c>
      <c r="FX53" s="423">
        <f t="shared" ca="1" si="226"/>
        <v>0</v>
      </c>
      <c r="FY53" s="423">
        <f t="shared" ca="1" si="226"/>
        <v>0</v>
      </c>
      <c r="FZ53" s="423">
        <f t="shared" ca="1" si="226"/>
        <v>0</v>
      </c>
      <c r="GA53" s="423">
        <f t="shared" ca="1" si="226"/>
        <v>0</v>
      </c>
      <c r="GB53" s="423">
        <f t="shared" ca="1" si="226"/>
        <v>0</v>
      </c>
      <c r="GC53" s="423">
        <f t="shared" ca="1" si="226"/>
        <v>0</v>
      </c>
      <c r="GD53" s="423">
        <f t="shared" ca="1" si="225"/>
        <v>0</v>
      </c>
      <c r="GE53" s="423">
        <f t="shared" ca="1" si="139"/>
        <v>0</v>
      </c>
      <c r="GF53" s="423">
        <f t="shared" ca="1" si="139"/>
        <v>0</v>
      </c>
      <c r="GG53" s="423">
        <f t="shared" ca="1" si="139"/>
        <v>0</v>
      </c>
      <c r="GH53" s="423">
        <f t="shared" ca="1" si="139"/>
        <v>0</v>
      </c>
      <c r="GI53" s="423">
        <f t="shared" ca="1" si="139"/>
        <v>0</v>
      </c>
      <c r="GJ53" s="423">
        <f t="shared" ca="1" si="139"/>
        <v>0</v>
      </c>
      <c r="GK53" s="423">
        <f t="shared" ca="1" si="139"/>
        <v>0</v>
      </c>
      <c r="GL53" s="423">
        <f t="shared" ca="1" si="139"/>
        <v>0</v>
      </c>
      <c r="GM53" s="423">
        <f t="shared" ca="1" si="139"/>
        <v>0</v>
      </c>
      <c r="GN53" s="423">
        <f t="shared" ca="1" si="139"/>
        <v>0</v>
      </c>
      <c r="GO53" s="423">
        <f t="shared" ca="1" si="139"/>
        <v>0</v>
      </c>
      <c r="GP53" s="423">
        <f t="shared" ca="1" si="139"/>
        <v>0</v>
      </c>
      <c r="GQ53" s="423">
        <f t="shared" ca="1" si="139"/>
        <v>0</v>
      </c>
      <c r="GR53" s="423">
        <f t="shared" ca="1" si="139"/>
        <v>0</v>
      </c>
      <c r="GS53" s="423">
        <f t="shared" ca="1" si="139"/>
        <v>0</v>
      </c>
      <c r="GT53" s="423">
        <f t="shared" ca="1" si="139"/>
        <v>0</v>
      </c>
      <c r="GU53" s="423">
        <f t="shared" ca="1" si="140"/>
        <v>0</v>
      </c>
      <c r="GV53" s="423">
        <f t="shared" ca="1" si="140"/>
        <v>0</v>
      </c>
      <c r="GW53" s="423">
        <f t="shared" ca="1" si="140"/>
        <v>0</v>
      </c>
      <c r="GX53" s="423">
        <f t="shared" ca="1" si="140"/>
        <v>0</v>
      </c>
      <c r="GY53" s="423">
        <f t="shared" ca="1" si="140"/>
        <v>0</v>
      </c>
      <c r="GZ53" s="423">
        <f t="shared" ca="1" si="140"/>
        <v>0</v>
      </c>
      <c r="HA53" s="423">
        <f t="shared" ca="1" si="140"/>
        <v>0</v>
      </c>
      <c r="HB53" s="423">
        <f t="shared" ca="1" si="140"/>
        <v>0</v>
      </c>
      <c r="HC53" s="423">
        <f t="shared" ca="1" si="140"/>
        <v>0</v>
      </c>
      <c r="HD53" s="423">
        <f t="shared" ca="1" si="140"/>
        <v>0</v>
      </c>
      <c r="HE53" s="423">
        <f t="shared" ca="1" si="140"/>
        <v>0</v>
      </c>
      <c r="HF53" s="423">
        <f t="shared" ca="1" si="140"/>
        <v>0</v>
      </c>
      <c r="HG53" s="423">
        <f t="shared" ca="1" si="140"/>
        <v>0</v>
      </c>
      <c r="HH53" s="423">
        <f t="shared" ca="1" si="140"/>
        <v>0</v>
      </c>
      <c r="HI53" s="423">
        <f t="shared" ca="1" si="140"/>
        <v>0</v>
      </c>
      <c r="HJ53" s="423">
        <f t="shared" ca="1" si="140"/>
        <v>0</v>
      </c>
      <c r="HK53" s="423">
        <f t="shared" ca="1" si="141"/>
        <v>0</v>
      </c>
      <c r="HL53" s="423">
        <f t="shared" ca="1" si="141"/>
        <v>0</v>
      </c>
      <c r="HM53" s="423">
        <f t="shared" ca="1" si="141"/>
        <v>0</v>
      </c>
      <c r="HN53" s="423">
        <f t="shared" ca="1" si="141"/>
        <v>0</v>
      </c>
      <c r="HO53" s="423">
        <f t="shared" ca="1" si="141"/>
        <v>0</v>
      </c>
      <c r="HP53" s="423">
        <f t="shared" ca="1" si="141"/>
        <v>0</v>
      </c>
      <c r="HQ53" s="423">
        <f t="shared" ca="1" si="141"/>
        <v>0</v>
      </c>
      <c r="HR53" s="423">
        <f t="shared" ca="1" si="141"/>
        <v>0</v>
      </c>
      <c r="HS53" s="423">
        <f t="shared" ca="1" si="141"/>
        <v>0</v>
      </c>
      <c r="HT53" s="423">
        <f t="shared" ca="1" si="141"/>
        <v>0</v>
      </c>
    </row>
    <row r="54" spans="1:228" ht="11.25" customHeight="1" x14ac:dyDescent="0.2">
      <c r="A54" s="62">
        <f t="shared" si="128"/>
        <v>43</v>
      </c>
      <c r="B54" s="60" t="str">
        <f>Spaces_Sum!C99</f>
        <v>L03-306_MfamResiPthp</v>
      </c>
      <c r="C54" s="62" t="str">
        <f>Spaces_Sum!D99</f>
        <v>L03</v>
      </c>
      <c r="D54" s="62" t="str">
        <f ca="1">Spaces_Sum!I99</f>
        <v>DirectlyConditioned</v>
      </c>
      <c r="F54" s="110">
        <f ca="1">Spaces_Sum!M99</f>
        <v>1160.8827000000001</v>
      </c>
      <c r="G54" s="110" t="str">
        <f ca="1">Spaces_Sum!J99</f>
        <v>Dwelling Unit</v>
      </c>
      <c r="H54" s="532"/>
      <c r="I54" s="185"/>
      <c r="J54" s="185"/>
      <c r="K54" s="186"/>
      <c r="L54" s="187"/>
      <c r="M54" s="188"/>
      <c r="N54" s="189"/>
      <c r="O54" s="186"/>
      <c r="P54" s="187"/>
      <c r="Q54" s="188"/>
      <c r="R54" s="189"/>
      <c r="S54" s="186"/>
      <c r="T54" s="187"/>
      <c r="U54" s="188"/>
      <c r="V54" s="189"/>
      <c r="W54" s="186"/>
      <c r="X54" s="187"/>
      <c r="Y54" s="188"/>
      <c r="Z54" s="189"/>
      <c r="AA54" s="186"/>
      <c r="AB54" s="187"/>
      <c r="AC54" s="188"/>
      <c r="AD54" s="189"/>
      <c r="AE54" s="186"/>
      <c r="AF54" s="187"/>
      <c r="AG54" s="188"/>
      <c r="AH54" s="189"/>
      <c r="AI54" s="186"/>
      <c r="AJ54" s="187"/>
      <c r="AK54" s="188"/>
      <c r="AL54" s="189"/>
      <c r="AM54" s="186"/>
      <c r="AN54" s="187"/>
      <c r="AO54" s="188"/>
      <c r="AP54" s="189"/>
      <c r="AQ54" s="186"/>
      <c r="AR54" s="187"/>
      <c r="AS54" s="188"/>
      <c r="AT54" s="189"/>
      <c r="AU54" s="186"/>
      <c r="AV54" s="187"/>
      <c r="AW54" s="188"/>
      <c r="AX54" s="189"/>
      <c r="AY54" s="186"/>
      <c r="AZ54" s="187"/>
      <c r="BA54" s="188"/>
      <c r="BB54" s="189"/>
      <c r="BC54" s="186"/>
      <c r="BD54" s="187"/>
      <c r="BE54" s="188"/>
      <c r="BF54" s="189"/>
      <c r="BG54" s="186"/>
      <c r="BH54" s="187"/>
      <c r="BI54" s="188"/>
      <c r="BJ54" s="189"/>
      <c r="BK54" s="186"/>
      <c r="BL54" s="187"/>
      <c r="BM54" s="188"/>
      <c r="BN54" s="189"/>
      <c r="BO54" s="186"/>
      <c r="BP54" s="187"/>
      <c r="BQ54" s="188"/>
      <c r="BR54" s="189"/>
      <c r="BS54" s="186"/>
      <c r="BT54" s="187"/>
      <c r="BU54" s="188"/>
      <c r="BV54" s="189"/>
      <c r="BW54" s="186"/>
      <c r="BX54" s="187"/>
      <c r="BY54" s="188"/>
      <c r="BZ54" s="189"/>
      <c r="CA54" s="186"/>
      <c r="CB54" s="190"/>
      <c r="CC54" s="190"/>
      <c r="CD54" s="82">
        <f t="shared" si="142"/>
        <v>0</v>
      </c>
      <c r="CE54" s="82">
        <f t="shared" si="143"/>
        <v>0</v>
      </c>
      <c r="CF54" s="82">
        <f t="shared" si="144"/>
        <v>0</v>
      </c>
      <c r="CG54" s="82">
        <f t="shared" si="145"/>
        <v>0</v>
      </c>
      <c r="CH54" s="82">
        <f t="shared" si="146"/>
        <v>0</v>
      </c>
      <c r="CI54" s="82">
        <f t="shared" si="147"/>
        <v>0</v>
      </c>
      <c r="CJ54" s="82">
        <f t="shared" si="148"/>
        <v>0</v>
      </c>
      <c r="CK54" s="82">
        <f t="shared" si="149"/>
        <v>0</v>
      </c>
      <c r="CL54" s="82">
        <f t="shared" si="150"/>
        <v>0</v>
      </c>
      <c r="CM54" s="82">
        <f t="shared" si="151"/>
        <v>0</v>
      </c>
      <c r="CN54" s="82">
        <f t="shared" si="152"/>
        <v>0</v>
      </c>
      <c r="CO54" s="82">
        <f t="shared" si="153"/>
        <v>0</v>
      </c>
      <c r="CP54" s="82">
        <f t="shared" si="154"/>
        <v>0</v>
      </c>
      <c r="CQ54" s="82">
        <f t="shared" si="155"/>
        <v>0</v>
      </c>
      <c r="CR54" s="82">
        <f t="shared" si="156"/>
        <v>0</v>
      </c>
      <c r="CS54" s="82">
        <f t="shared" si="157"/>
        <v>0</v>
      </c>
      <c r="CT54" s="82">
        <f t="shared" si="158"/>
        <v>0</v>
      </c>
      <c r="CU54" s="82">
        <f t="shared" si="159"/>
        <v>0</v>
      </c>
      <c r="CV54" s="82">
        <f t="shared" si="160"/>
        <v>0</v>
      </c>
      <c r="CW54" s="82">
        <f t="shared" si="161"/>
        <v>0</v>
      </c>
      <c r="CX54" s="82">
        <f t="shared" si="162"/>
        <v>0</v>
      </c>
      <c r="CY54" s="82">
        <f t="shared" si="163"/>
        <v>0</v>
      </c>
      <c r="CZ54" s="82">
        <f t="shared" si="164"/>
        <v>0</v>
      </c>
      <c r="DA54" s="82">
        <f t="shared" si="165"/>
        <v>0</v>
      </c>
      <c r="DB54" s="82">
        <f t="shared" si="166"/>
        <v>0</v>
      </c>
      <c r="DC54" s="82">
        <f t="shared" si="167"/>
        <v>0</v>
      </c>
      <c r="DD54" s="82">
        <f t="shared" si="168"/>
        <v>0</v>
      </c>
      <c r="DE54" s="82">
        <f t="shared" si="169"/>
        <v>0</v>
      </c>
      <c r="DF54" s="82">
        <f t="shared" si="170"/>
        <v>0</v>
      </c>
      <c r="DG54" s="82">
        <f t="shared" si="171"/>
        <v>0</v>
      </c>
      <c r="DH54" s="82">
        <f t="shared" si="172"/>
        <v>0</v>
      </c>
      <c r="DI54" s="82">
        <f t="shared" si="173"/>
        <v>0</v>
      </c>
      <c r="DJ54" s="82">
        <f t="shared" si="174"/>
        <v>0</v>
      </c>
      <c r="DK54" s="82">
        <f t="shared" si="175"/>
        <v>0</v>
      </c>
      <c r="DL54" s="82">
        <f t="shared" si="176"/>
        <v>0</v>
      </c>
      <c r="DM54" s="82">
        <f t="shared" si="177"/>
        <v>0</v>
      </c>
      <c r="DN54" s="82">
        <f t="shared" si="178"/>
        <v>0</v>
      </c>
      <c r="DO54" s="82">
        <f t="shared" si="179"/>
        <v>0</v>
      </c>
      <c r="DP54" s="82">
        <f t="shared" si="180"/>
        <v>0</v>
      </c>
      <c r="DQ54" s="82">
        <f t="shared" si="181"/>
        <v>0</v>
      </c>
      <c r="DR54" s="82">
        <f t="shared" si="182"/>
        <v>0</v>
      </c>
      <c r="DS54" s="82">
        <f t="shared" si="183"/>
        <v>0</v>
      </c>
      <c r="DT54" s="82">
        <f t="shared" si="184"/>
        <v>0</v>
      </c>
      <c r="DU54" s="82">
        <f t="shared" si="185"/>
        <v>0</v>
      </c>
      <c r="DV54" s="82">
        <f t="shared" si="186"/>
        <v>0</v>
      </c>
      <c r="DW54" s="82">
        <f t="shared" si="187"/>
        <v>0</v>
      </c>
      <c r="DX54" s="82">
        <f t="shared" si="188"/>
        <v>0</v>
      </c>
      <c r="DY54" s="82">
        <f t="shared" si="189"/>
        <v>0</v>
      </c>
      <c r="DZ54" s="82">
        <f t="shared" si="190"/>
        <v>0</v>
      </c>
      <c r="EA54" s="82">
        <f t="shared" si="191"/>
        <v>0</v>
      </c>
      <c r="EB54" s="82">
        <f t="shared" si="192"/>
        <v>0</v>
      </c>
      <c r="EC54" s="82">
        <f t="shared" si="193"/>
        <v>0</v>
      </c>
      <c r="ED54" s="82">
        <f t="shared" si="194"/>
        <v>0</v>
      </c>
      <c r="EE54" s="82">
        <f t="shared" si="195"/>
        <v>0</v>
      </c>
      <c r="EF54" s="82">
        <f t="shared" si="196"/>
        <v>0</v>
      </c>
      <c r="EG54" s="82">
        <f t="shared" si="197"/>
        <v>0</v>
      </c>
      <c r="EH54" s="82">
        <f t="shared" si="198"/>
        <v>0</v>
      </c>
      <c r="EI54" s="82">
        <f t="shared" si="199"/>
        <v>0</v>
      </c>
      <c r="EJ54" s="82">
        <f t="shared" si="200"/>
        <v>0</v>
      </c>
      <c r="EK54" s="82">
        <f t="shared" si="201"/>
        <v>0</v>
      </c>
      <c r="EL54" s="82">
        <f t="shared" si="202"/>
        <v>0</v>
      </c>
      <c r="EM54" s="82">
        <f t="shared" si="203"/>
        <v>0</v>
      </c>
      <c r="EN54" s="82">
        <f t="shared" si="204"/>
        <v>0</v>
      </c>
      <c r="EO54" s="82">
        <f t="shared" si="205"/>
        <v>0</v>
      </c>
      <c r="EP54" s="82">
        <f t="shared" si="206"/>
        <v>0</v>
      </c>
      <c r="EQ54" s="82">
        <f t="shared" si="207"/>
        <v>0</v>
      </c>
      <c r="ER54" s="82">
        <f t="shared" si="208"/>
        <v>0</v>
      </c>
      <c r="ES54" s="82">
        <f t="shared" si="209"/>
        <v>0</v>
      </c>
      <c r="ET54" s="82">
        <f t="shared" si="210"/>
        <v>0</v>
      </c>
      <c r="EU54" s="82">
        <f t="shared" si="211"/>
        <v>0</v>
      </c>
      <c r="EV54" s="82">
        <f t="shared" si="212"/>
        <v>0</v>
      </c>
      <c r="EW54" s="82">
        <f t="shared" si="213"/>
        <v>0</v>
      </c>
      <c r="EX54" s="82">
        <f t="shared" si="214"/>
        <v>0</v>
      </c>
      <c r="EY54" s="111">
        <f t="shared" si="215"/>
        <v>0</v>
      </c>
      <c r="EZ54" s="143">
        <f t="shared" ca="1" si="216"/>
        <v>0</v>
      </c>
      <c r="FA54" s="112">
        <f t="shared" ca="1" si="217"/>
        <v>0</v>
      </c>
      <c r="FB54" s="113">
        <f t="shared" ca="1" si="218"/>
        <v>0</v>
      </c>
      <c r="FC54" s="114">
        <f t="shared" ca="1" si="219"/>
        <v>0</v>
      </c>
      <c r="FD54" s="115">
        <f t="shared" ca="1" si="220"/>
        <v>0</v>
      </c>
      <c r="FE54" s="116">
        <f t="shared" ca="1" si="221"/>
        <v>0</v>
      </c>
      <c r="FF54" s="117">
        <f t="shared" ca="1" si="222"/>
        <v>0</v>
      </c>
      <c r="FG54" s="71">
        <f t="shared" si="223"/>
        <v>0</v>
      </c>
      <c r="FH54" s="530">
        <f t="shared" ca="1" si="224"/>
        <v>0</v>
      </c>
      <c r="FI54" s="72"/>
      <c r="FJ54" s="72"/>
      <c r="FK54" s="72"/>
      <c r="FM54" s="421" t="str">
        <f t="shared" si="122"/>
        <v>L03-306_MfamResiPthp</v>
      </c>
      <c r="FN54" s="422" t="str">
        <f t="shared" ca="1" si="123"/>
        <v>Dwelling Unit</v>
      </c>
      <c r="FO54" s="423">
        <f t="shared" ca="1" si="226"/>
        <v>0</v>
      </c>
      <c r="FP54" s="423">
        <f t="shared" ca="1" si="226"/>
        <v>0</v>
      </c>
      <c r="FQ54" s="423">
        <f t="shared" ca="1" si="226"/>
        <v>0</v>
      </c>
      <c r="FR54" s="423">
        <f t="shared" ca="1" si="226"/>
        <v>0</v>
      </c>
      <c r="FS54" s="423">
        <f t="shared" ca="1" si="226"/>
        <v>0</v>
      </c>
      <c r="FT54" s="423">
        <f t="shared" ca="1" si="226"/>
        <v>0</v>
      </c>
      <c r="FU54" s="423">
        <f t="shared" ca="1" si="226"/>
        <v>0</v>
      </c>
      <c r="FV54" s="423">
        <f t="shared" ca="1" si="226"/>
        <v>0</v>
      </c>
      <c r="FW54" s="423">
        <f t="shared" ca="1" si="226"/>
        <v>0</v>
      </c>
      <c r="FX54" s="423">
        <f t="shared" ca="1" si="226"/>
        <v>0</v>
      </c>
      <c r="FY54" s="423">
        <f t="shared" ca="1" si="226"/>
        <v>0</v>
      </c>
      <c r="FZ54" s="423">
        <f t="shared" ca="1" si="226"/>
        <v>0</v>
      </c>
      <c r="GA54" s="423">
        <f t="shared" ca="1" si="226"/>
        <v>0</v>
      </c>
      <c r="GB54" s="423">
        <f t="shared" ca="1" si="226"/>
        <v>0</v>
      </c>
      <c r="GC54" s="423">
        <f t="shared" ca="1" si="226"/>
        <v>0</v>
      </c>
      <c r="GD54" s="423">
        <f t="shared" ca="1" si="225"/>
        <v>0</v>
      </c>
      <c r="GE54" s="423">
        <f t="shared" ca="1" si="139"/>
        <v>0</v>
      </c>
      <c r="GF54" s="423">
        <f t="shared" ca="1" si="139"/>
        <v>0</v>
      </c>
      <c r="GG54" s="423">
        <f t="shared" ca="1" si="139"/>
        <v>0</v>
      </c>
      <c r="GH54" s="423">
        <f t="shared" ca="1" si="139"/>
        <v>0</v>
      </c>
      <c r="GI54" s="423">
        <f t="shared" ca="1" si="139"/>
        <v>0</v>
      </c>
      <c r="GJ54" s="423">
        <f t="shared" ca="1" si="139"/>
        <v>0</v>
      </c>
      <c r="GK54" s="423">
        <f t="shared" ca="1" si="139"/>
        <v>0</v>
      </c>
      <c r="GL54" s="423">
        <f t="shared" ca="1" si="139"/>
        <v>0</v>
      </c>
      <c r="GM54" s="423">
        <f t="shared" ca="1" si="139"/>
        <v>0</v>
      </c>
      <c r="GN54" s="423">
        <f t="shared" ca="1" si="139"/>
        <v>0</v>
      </c>
      <c r="GO54" s="423">
        <f t="shared" ca="1" si="139"/>
        <v>0</v>
      </c>
      <c r="GP54" s="423">
        <f t="shared" ca="1" si="139"/>
        <v>0</v>
      </c>
      <c r="GQ54" s="423">
        <f t="shared" ca="1" si="139"/>
        <v>0</v>
      </c>
      <c r="GR54" s="423">
        <f t="shared" ca="1" si="139"/>
        <v>0</v>
      </c>
      <c r="GS54" s="423">
        <f t="shared" ca="1" si="139"/>
        <v>0</v>
      </c>
      <c r="GT54" s="423">
        <f t="shared" ca="1" si="139"/>
        <v>0</v>
      </c>
      <c r="GU54" s="423">
        <f t="shared" ca="1" si="140"/>
        <v>0</v>
      </c>
      <c r="GV54" s="423">
        <f t="shared" ca="1" si="140"/>
        <v>0</v>
      </c>
      <c r="GW54" s="423">
        <f t="shared" ca="1" si="140"/>
        <v>0</v>
      </c>
      <c r="GX54" s="423">
        <f t="shared" ca="1" si="140"/>
        <v>0</v>
      </c>
      <c r="GY54" s="423">
        <f t="shared" ca="1" si="140"/>
        <v>0</v>
      </c>
      <c r="GZ54" s="423">
        <f t="shared" ca="1" si="140"/>
        <v>0</v>
      </c>
      <c r="HA54" s="423">
        <f t="shared" ca="1" si="140"/>
        <v>0</v>
      </c>
      <c r="HB54" s="423">
        <f t="shared" ca="1" si="140"/>
        <v>0</v>
      </c>
      <c r="HC54" s="423">
        <f t="shared" ca="1" si="140"/>
        <v>0</v>
      </c>
      <c r="HD54" s="423">
        <f t="shared" ca="1" si="140"/>
        <v>0</v>
      </c>
      <c r="HE54" s="423">
        <f t="shared" ca="1" si="140"/>
        <v>0</v>
      </c>
      <c r="HF54" s="423">
        <f t="shared" ca="1" si="140"/>
        <v>0</v>
      </c>
      <c r="HG54" s="423">
        <f t="shared" ca="1" si="140"/>
        <v>0</v>
      </c>
      <c r="HH54" s="423">
        <f t="shared" ca="1" si="140"/>
        <v>0</v>
      </c>
      <c r="HI54" s="423">
        <f t="shared" ca="1" si="140"/>
        <v>0</v>
      </c>
      <c r="HJ54" s="423">
        <f t="shared" ca="1" si="140"/>
        <v>0</v>
      </c>
      <c r="HK54" s="423">
        <f t="shared" ca="1" si="141"/>
        <v>0</v>
      </c>
      <c r="HL54" s="423">
        <f t="shared" ca="1" si="141"/>
        <v>0</v>
      </c>
      <c r="HM54" s="423">
        <f t="shared" ca="1" si="141"/>
        <v>0</v>
      </c>
      <c r="HN54" s="423">
        <f t="shared" ca="1" si="141"/>
        <v>0</v>
      </c>
      <c r="HO54" s="423">
        <f t="shared" ca="1" si="141"/>
        <v>0</v>
      </c>
      <c r="HP54" s="423">
        <f t="shared" ca="1" si="141"/>
        <v>0</v>
      </c>
      <c r="HQ54" s="423">
        <f t="shared" ca="1" si="141"/>
        <v>0</v>
      </c>
      <c r="HR54" s="423">
        <f t="shared" ca="1" si="141"/>
        <v>0</v>
      </c>
      <c r="HS54" s="423">
        <f t="shared" ca="1" si="141"/>
        <v>0</v>
      </c>
      <c r="HT54" s="423">
        <f t="shared" ca="1" si="141"/>
        <v>0</v>
      </c>
    </row>
    <row r="55" spans="1:228" ht="11.25" customHeight="1" x14ac:dyDescent="0.2">
      <c r="A55" s="62">
        <f t="shared" si="128"/>
        <v>44</v>
      </c>
      <c r="B55" s="60" t="str">
        <f>Spaces_Sum!C100</f>
        <v>L03-307_MfamResiPthp</v>
      </c>
      <c r="C55" s="62" t="str">
        <f>Spaces_Sum!D100</f>
        <v>L03</v>
      </c>
      <c r="D55" s="62" t="str">
        <f ca="1">Spaces_Sum!I100</f>
        <v>DirectlyConditioned</v>
      </c>
      <c r="F55" s="110">
        <f ca="1">Spaces_Sum!M100</f>
        <v>1858.692</v>
      </c>
      <c r="G55" s="110" t="str">
        <f ca="1">Spaces_Sum!J100</f>
        <v>Dwelling Unit</v>
      </c>
      <c r="H55" s="532"/>
      <c r="I55" s="185"/>
      <c r="J55" s="185"/>
      <c r="K55" s="186"/>
      <c r="L55" s="187"/>
      <c r="M55" s="188"/>
      <c r="N55" s="189"/>
      <c r="O55" s="186"/>
      <c r="P55" s="187"/>
      <c r="Q55" s="188"/>
      <c r="R55" s="189"/>
      <c r="S55" s="186"/>
      <c r="T55" s="187"/>
      <c r="U55" s="188"/>
      <c r="V55" s="189"/>
      <c r="W55" s="186"/>
      <c r="X55" s="187"/>
      <c r="Y55" s="188"/>
      <c r="Z55" s="189"/>
      <c r="AA55" s="186"/>
      <c r="AB55" s="187"/>
      <c r="AC55" s="188"/>
      <c r="AD55" s="189"/>
      <c r="AE55" s="186"/>
      <c r="AF55" s="187"/>
      <c r="AG55" s="188"/>
      <c r="AH55" s="189"/>
      <c r="AI55" s="186"/>
      <c r="AJ55" s="187"/>
      <c r="AK55" s="188"/>
      <c r="AL55" s="189"/>
      <c r="AM55" s="186"/>
      <c r="AN55" s="187"/>
      <c r="AO55" s="188"/>
      <c r="AP55" s="189"/>
      <c r="AQ55" s="186"/>
      <c r="AR55" s="187"/>
      <c r="AS55" s="188"/>
      <c r="AT55" s="189"/>
      <c r="AU55" s="186"/>
      <c r="AV55" s="187"/>
      <c r="AW55" s="188"/>
      <c r="AX55" s="189"/>
      <c r="AY55" s="186"/>
      <c r="AZ55" s="187"/>
      <c r="BA55" s="188"/>
      <c r="BB55" s="189"/>
      <c r="BC55" s="186"/>
      <c r="BD55" s="187"/>
      <c r="BE55" s="188"/>
      <c r="BF55" s="189"/>
      <c r="BG55" s="186"/>
      <c r="BH55" s="187"/>
      <c r="BI55" s="188"/>
      <c r="BJ55" s="189"/>
      <c r="BK55" s="186"/>
      <c r="BL55" s="187"/>
      <c r="BM55" s="188"/>
      <c r="BN55" s="189"/>
      <c r="BO55" s="186"/>
      <c r="BP55" s="187"/>
      <c r="BQ55" s="188"/>
      <c r="BR55" s="189"/>
      <c r="BS55" s="186"/>
      <c r="BT55" s="187"/>
      <c r="BU55" s="188"/>
      <c r="BV55" s="189"/>
      <c r="BW55" s="186"/>
      <c r="BX55" s="187"/>
      <c r="BY55" s="188"/>
      <c r="BZ55" s="189"/>
      <c r="CA55" s="186"/>
      <c r="CB55" s="190"/>
      <c r="CC55" s="190"/>
      <c r="CD55" s="82">
        <f t="shared" si="142"/>
        <v>0</v>
      </c>
      <c r="CE55" s="82">
        <f t="shared" si="143"/>
        <v>0</v>
      </c>
      <c r="CF55" s="82">
        <f t="shared" si="144"/>
        <v>0</v>
      </c>
      <c r="CG55" s="82">
        <f t="shared" si="145"/>
        <v>0</v>
      </c>
      <c r="CH55" s="82">
        <f t="shared" si="146"/>
        <v>0</v>
      </c>
      <c r="CI55" s="82">
        <f t="shared" si="147"/>
        <v>0</v>
      </c>
      <c r="CJ55" s="82">
        <f t="shared" si="148"/>
        <v>0</v>
      </c>
      <c r="CK55" s="82">
        <f t="shared" si="149"/>
        <v>0</v>
      </c>
      <c r="CL55" s="82">
        <f t="shared" si="150"/>
        <v>0</v>
      </c>
      <c r="CM55" s="82">
        <f t="shared" si="151"/>
        <v>0</v>
      </c>
      <c r="CN55" s="82">
        <f t="shared" si="152"/>
        <v>0</v>
      </c>
      <c r="CO55" s="82">
        <f t="shared" si="153"/>
        <v>0</v>
      </c>
      <c r="CP55" s="82">
        <f t="shared" si="154"/>
        <v>0</v>
      </c>
      <c r="CQ55" s="82">
        <f t="shared" si="155"/>
        <v>0</v>
      </c>
      <c r="CR55" s="82">
        <f t="shared" si="156"/>
        <v>0</v>
      </c>
      <c r="CS55" s="82">
        <f t="shared" si="157"/>
        <v>0</v>
      </c>
      <c r="CT55" s="82">
        <f t="shared" si="158"/>
        <v>0</v>
      </c>
      <c r="CU55" s="82">
        <f t="shared" si="159"/>
        <v>0</v>
      </c>
      <c r="CV55" s="82">
        <f t="shared" si="160"/>
        <v>0</v>
      </c>
      <c r="CW55" s="82">
        <f t="shared" si="161"/>
        <v>0</v>
      </c>
      <c r="CX55" s="82">
        <f t="shared" si="162"/>
        <v>0</v>
      </c>
      <c r="CY55" s="82">
        <f t="shared" si="163"/>
        <v>0</v>
      </c>
      <c r="CZ55" s="82">
        <f t="shared" si="164"/>
        <v>0</v>
      </c>
      <c r="DA55" s="82">
        <f t="shared" si="165"/>
        <v>0</v>
      </c>
      <c r="DB55" s="82">
        <f t="shared" si="166"/>
        <v>0</v>
      </c>
      <c r="DC55" s="82">
        <f t="shared" si="167"/>
        <v>0</v>
      </c>
      <c r="DD55" s="82">
        <f t="shared" si="168"/>
        <v>0</v>
      </c>
      <c r="DE55" s="82">
        <f t="shared" si="169"/>
        <v>0</v>
      </c>
      <c r="DF55" s="82">
        <f t="shared" si="170"/>
        <v>0</v>
      </c>
      <c r="DG55" s="82">
        <f t="shared" si="171"/>
        <v>0</v>
      </c>
      <c r="DH55" s="82">
        <f t="shared" si="172"/>
        <v>0</v>
      </c>
      <c r="DI55" s="82">
        <f t="shared" si="173"/>
        <v>0</v>
      </c>
      <c r="DJ55" s="82">
        <f t="shared" si="174"/>
        <v>0</v>
      </c>
      <c r="DK55" s="82">
        <f t="shared" si="175"/>
        <v>0</v>
      </c>
      <c r="DL55" s="82">
        <f t="shared" si="176"/>
        <v>0</v>
      </c>
      <c r="DM55" s="82">
        <f t="shared" si="177"/>
        <v>0</v>
      </c>
      <c r="DN55" s="82">
        <f t="shared" si="178"/>
        <v>0</v>
      </c>
      <c r="DO55" s="82">
        <f t="shared" si="179"/>
        <v>0</v>
      </c>
      <c r="DP55" s="82">
        <f t="shared" si="180"/>
        <v>0</v>
      </c>
      <c r="DQ55" s="82">
        <f t="shared" si="181"/>
        <v>0</v>
      </c>
      <c r="DR55" s="82">
        <f t="shared" si="182"/>
        <v>0</v>
      </c>
      <c r="DS55" s="82">
        <f t="shared" si="183"/>
        <v>0</v>
      </c>
      <c r="DT55" s="82">
        <f t="shared" si="184"/>
        <v>0</v>
      </c>
      <c r="DU55" s="82">
        <f t="shared" si="185"/>
        <v>0</v>
      </c>
      <c r="DV55" s="82">
        <f t="shared" si="186"/>
        <v>0</v>
      </c>
      <c r="DW55" s="82">
        <f t="shared" si="187"/>
        <v>0</v>
      </c>
      <c r="DX55" s="82">
        <f t="shared" si="188"/>
        <v>0</v>
      </c>
      <c r="DY55" s="82">
        <f t="shared" si="189"/>
        <v>0</v>
      </c>
      <c r="DZ55" s="82">
        <f t="shared" si="190"/>
        <v>0</v>
      </c>
      <c r="EA55" s="82">
        <f t="shared" si="191"/>
        <v>0</v>
      </c>
      <c r="EB55" s="82">
        <f t="shared" si="192"/>
        <v>0</v>
      </c>
      <c r="EC55" s="82">
        <f t="shared" si="193"/>
        <v>0</v>
      </c>
      <c r="ED55" s="82">
        <f t="shared" si="194"/>
        <v>0</v>
      </c>
      <c r="EE55" s="82">
        <f t="shared" si="195"/>
        <v>0</v>
      </c>
      <c r="EF55" s="82">
        <f t="shared" si="196"/>
        <v>0</v>
      </c>
      <c r="EG55" s="82">
        <f t="shared" si="197"/>
        <v>0</v>
      </c>
      <c r="EH55" s="82">
        <f t="shared" si="198"/>
        <v>0</v>
      </c>
      <c r="EI55" s="82">
        <f t="shared" si="199"/>
        <v>0</v>
      </c>
      <c r="EJ55" s="82">
        <f t="shared" si="200"/>
        <v>0</v>
      </c>
      <c r="EK55" s="82">
        <f t="shared" si="201"/>
        <v>0</v>
      </c>
      <c r="EL55" s="82">
        <f t="shared" si="202"/>
        <v>0</v>
      </c>
      <c r="EM55" s="82">
        <f t="shared" si="203"/>
        <v>0</v>
      </c>
      <c r="EN55" s="82">
        <f t="shared" si="204"/>
        <v>0</v>
      </c>
      <c r="EO55" s="82">
        <f t="shared" si="205"/>
        <v>0</v>
      </c>
      <c r="EP55" s="82">
        <f t="shared" si="206"/>
        <v>0</v>
      </c>
      <c r="EQ55" s="82">
        <f t="shared" si="207"/>
        <v>0</v>
      </c>
      <c r="ER55" s="82">
        <f t="shared" si="208"/>
        <v>0</v>
      </c>
      <c r="ES55" s="82">
        <f t="shared" si="209"/>
        <v>0</v>
      </c>
      <c r="ET55" s="82">
        <f t="shared" si="210"/>
        <v>0</v>
      </c>
      <c r="EU55" s="82">
        <f t="shared" si="211"/>
        <v>0</v>
      </c>
      <c r="EV55" s="82">
        <f t="shared" si="212"/>
        <v>0</v>
      </c>
      <c r="EW55" s="82">
        <f t="shared" si="213"/>
        <v>0</v>
      </c>
      <c r="EX55" s="82">
        <f t="shared" si="214"/>
        <v>0</v>
      </c>
      <c r="EY55" s="111">
        <f t="shared" si="215"/>
        <v>0</v>
      </c>
      <c r="EZ55" s="143">
        <f t="shared" ca="1" si="216"/>
        <v>0</v>
      </c>
      <c r="FA55" s="112">
        <f t="shared" ca="1" si="217"/>
        <v>0</v>
      </c>
      <c r="FB55" s="113">
        <f t="shared" ca="1" si="218"/>
        <v>0</v>
      </c>
      <c r="FC55" s="114">
        <f t="shared" ca="1" si="219"/>
        <v>0</v>
      </c>
      <c r="FD55" s="115">
        <f t="shared" ca="1" si="220"/>
        <v>0</v>
      </c>
      <c r="FE55" s="116">
        <f t="shared" ca="1" si="221"/>
        <v>0</v>
      </c>
      <c r="FF55" s="117">
        <f t="shared" ca="1" si="222"/>
        <v>0</v>
      </c>
      <c r="FG55" s="71">
        <f t="shared" si="223"/>
        <v>0</v>
      </c>
      <c r="FH55" s="530">
        <f t="shared" ca="1" si="224"/>
        <v>0</v>
      </c>
      <c r="FI55" s="72"/>
      <c r="FJ55" s="72"/>
      <c r="FK55" s="72"/>
      <c r="FM55" s="421" t="str">
        <f t="shared" si="122"/>
        <v>L03-307_MfamResiPthp</v>
      </c>
      <c r="FN55" s="422" t="str">
        <f t="shared" ca="1" si="123"/>
        <v>Dwelling Unit</v>
      </c>
      <c r="FO55" s="423">
        <f t="shared" ca="1" si="226"/>
        <v>0</v>
      </c>
      <c r="FP55" s="423">
        <f t="shared" ca="1" si="226"/>
        <v>0</v>
      </c>
      <c r="FQ55" s="423">
        <f t="shared" ca="1" si="226"/>
        <v>0</v>
      </c>
      <c r="FR55" s="423">
        <f t="shared" ca="1" si="226"/>
        <v>0</v>
      </c>
      <c r="FS55" s="423">
        <f t="shared" ca="1" si="226"/>
        <v>0</v>
      </c>
      <c r="FT55" s="423">
        <f t="shared" ca="1" si="226"/>
        <v>0</v>
      </c>
      <c r="FU55" s="423">
        <f t="shared" ca="1" si="226"/>
        <v>0</v>
      </c>
      <c r="FV55" s="423">
        <f t="shared" ca="1" si="226"/>
        <v>0</v>
      </c>
      <c r="FW55" s="423">
        <f t="shared" ca="1" si="226"/>
        <v>0</v>
      </c>
      <c r="FX55" s="423">
        <f t="shared" ca="1" si="226"/>
        <v>0</v>
      </c>
      <c r="FY55" s="423">
        <f t="shared" ca="1" si="226"/>
        <v>0</v>
      </c>
      <c r="FZ55" s="423">
        <f t="shared" ca="1" si="226"/>
        <v>0</v>
      </c>
      <c r="GA55" s="423">
        <f t="shared" ca="1" si="226"/>
        <v>0</v>
      </c>
      <c r="GB55" s="423">
        <f t="shared" ca="1" si="226"/>
        <v>0</v>
      </c>
      <c r="GC55" s="423">
        <f t="shared" ca="1" si="226"/>
        <v>0</v>
      </c>
      <c r="GD55" s="423">
        <f t="shared" ca="1" si="225"/>
        <v>0</v>
      </c>
      <c r="GE55" s="423">
        <f t="shared" ca="1" si="139"/>
        <v>0</v>
      </c>
      <c r="GF55" s="423">
        <f t="shared" ca="1" si="139"/>
        <v>0</v>
      </c>
      <c r="GG55" s="423">
        <f t="shared" ca="1" si="139"/>
        <v>0</v>
      </c>
      <c r="GH55" s="423">
        <f t="shared" ca="1" si="139"/>
        <v>0</v>
      </c>
      <c r="GI55" s="423">
        <f t="shared" ca="1" si="139"/>
        <v>0</v>
      </c>
      <c r="GJ55" s="423">
        <f t="shared" ca="1" si="139"/>
        <v>0</v>
      </c>
      <c r="GK55" s="423">
        <f t="shared" ca="1" si="139"/>
        <v>0</v>
      </c>
      <c r="GL55" s="423">
        <f t="shared" ca="1" si="139"/>
        <v>0</v>
      </c>
      <c r="GM55" s="423">
        <f t="shared" ca="1" si="139"/>
        <v>0</v>
      </c>
      <c r="GN55" s="423">
        <f t="shared" ca="1" si="139"/>
        <v>0</v>
      </c>
      <c r="GO55" s="423">
        <f t="shared" ca="1" si="139"/>
        <v>0</v>
      </c>
      <c r="GP55" s="423">
        <f t="shared" ca="1" si="139"/>
        <v>0</v>
      </c>
      <c r="GQ55" s="423">
        <f t="shared" ca="1" si="139"/>
        <v>0</v>
      </c>
      <c r="GR55" s="423">
        <f t="shared" ca="1" si="139"/>
        <v>0</v>
      </c>
      <c r="GS55" s="423">
        <f t="shared" ca="1" si="139"/>
        <v>0</v>
      </c>
      <c r="GT55" s="423">
        <f t="shared" ca="1" si="139"/>
        <v>0</v>
      </c>
      <c r="GU55" s="423">
        <f t="shared" ca="1" si="140"/>
        <v>0</v>
      </c>
      <c r="GV55" s="423">
        <f t="shared" ca="1" si="140"/>
        <v>0</v>
      </c>
      <c r="GW55" s="423">
        <f t="shared" ca="1" si="140"/>
        <v>0</v>
      </c>
      <c r="GX55" s="423">
        <f t="shared" ca="1" si="140"/>
        <v>0</v>
      </c>
      <c r="GY55" s="423">
        <f t="shared" ca="1" si="140"/>
        <v>0</v>
      </c>
      <c r="GZ55" s="423">
        <f t="shared" ca="1" si="140"/>
        <v>0</v>
      </c>
      <c r="HA55" s="423">
        <f t="shared" ca="1" si="140"/>
        <v>0</v>
      </c>
      <c r="HB55" s="423">
        <f t="shared" ca="1" si="140"/>
        <v>0</v>
      </c>
      <c r="HC55" s="423">
        <f t="shared" ca="1" si="140"/>
        <v>0</v>
      </c>
      <c r="HD55" s="423">
        <f t="shared" ca="1" si="140"/>
        <v>0</v>
      </c>
      <c r="HE55" s="423">
        <f t="shared" ca="1" si="140"/>
        <v>0</v>
      </c>
      <c r="HF55" s="423">
        <f t="shared" ca="1" si="140"/>
        <v>0</v>
      </c>
      <c r="HG55" s="423">
        <f t="shared" ca="1" si="140"/>
        <v>0</v>
      </c>
      <c r="HH55" s="423">
        <f t="shared" ca="1" si="140"/>
        <v>0</v>
      </c>
      <c r="HI55" s="423">
        <f t="shared" ca="1" si="140"/>
        <v>0</v>
      </c>
      <c r="HJ55" s="423">
        <f t="shared" ca="1" si="140"/>
        <v>0</v>
      </c>
      <c r="HK55" s="423">
        <f t="shared" ca="1" si="141"/>
        <v>0</v>
      </c>
      <c r="HL55" s="423">
        <f t="shared" ca="1" si="141"/>
        <v>0</v>
      </c>
      <c r="HM55" s="423">
        <f t="shared" ca="1" si="141"/>
        <v>0</v>
      </c>
      <c r="HN55" s="423">
        <f t="shared" ca="1" si="141"/>
        <v>0</v>
      </c>
      <c r="HO55" s="423">
        <f t="shared" ca="1" si="141"/>
        <v>0</v>
      </c>
      <c r="HP55" s="423">
        <f t="shared" ca="1" si="141"/>
        <v>0</v>
      </c>
      <c r="HQ55" s="423">
        <f t="shared" ca="1" si="141"/>
        <v>0</v>
      </c>
      <c r="HR55" s="423">
        <f t="shared" ca="1" si="141"/>
        <v>0</v>
      </c>
      <c r="HS55" s="423">
        <f t="shared" ca="1" si="141"/>
        <v>0</v>
      </c>
      <c r="HT55" s="423">
        <f t="shared" ca="1" si="141"/>
        <v>0</v>
      </c>
    </row>
    <row r="56" spans="1:228" ht="11.25" customHeight="1" x14ac:dyDescent="0.2">
      <c r="A56" s="62">
        <f t="shared" si="128"/>
        <v>45</v>
      </c>
      <c r="B56" s="60" t="str">
        <f>Spaces_Sum!C101</f>
        <v>L03-308_MfamResiPthp</v>
      </c>
      <c r="C56" s="62" t="str">
        <f>Spaces_Sum!D101</f>
        <v>L03</v>
      </c>
      <c r="D56" s="62" t="str">
        <f ca="1">Spaces_Sum!I101</f>
        <v>DirectlyConditioned</v>
      </c>
      <c r="F56" s="110">
        <f ca="1">Spaces_Sum!M101</f>
        <v>872.66200000000003</v>
      </c>
      <c r="G56" s="110" t="str">
        <f ca="1">Spaces_Sum!J101</f>
        <v>Dwelling Unit</v>
      </c>
      <c r="H56" s="532"/>
      <c r="I56" s="185"/>
      <c r="J56" s="185"/>
      <c r="K56" s="186"/>
      <c r="L56" s="187"/>
      <c r="M56" s="188"/>
      <c r="N56" s="189"/>
      <c r="O56" s="186"/>
      <c r="P56" s="187"/>
      <c r="Q56" s="188"/>
      <c r="R56" s="189"/>
      <c r="S56" s="186"/>
      <c r="T56" s="187"/>
      <c r="U56" s="188"/>
      <c r="V56" s="189"/>
      <c r="W56" s="186"/>
      <c r="X56" s="187"/>
      <c r="Y56" s="188"/>
      <c r="Z56" s="189"/>
      <c r="AA56" s="186"/>
      <c r="AB56" s="187"/>
      <c r="AC56" s="188"/>
      <c r="AD56" s="189"/>
      <c r="AE56" s="186"/>
      <c r="AF56" s="187"/>
      <c r="AG56" s="188"/>
      <c r="AH56" s="189"/>
      <c r="AI56" s="186"/>
      <c r="AJ56" s="187"/>
      <c r="AK56" s="188"/>
      <c r="AL56" s="189"/>
      <c r="AM56" s="186"/>
      <c r="AN56" s="187"/>
      <c r="AO56" s="188"/>
      <c r="AP56" s="189"/>
      <c r="AQ56" s="186"/>
      <c r="AR56" s="187"/>
      <c r="AS56" s="188"/>
      <c r="AT56" s="189"/>
      <c r="AU56" s="186"/>
      <c r="AV56" s="187"/>
      <c r="AW56" s="188"/>
      <c r="AX56" s="189"/>
      <c r="AY56" s="186"/>
      <c r="AZ56" s="187"/>
      <c r="BA56" s="188"/>
      <c r="BB56" s="189"/>
      <c r="BC56" s="186"/>
      <c r="BD56" s="187"/>
      <c r="BE56" s="188"/>
      <c r="BF56" s="189"/>
      <c r="BG56" s="186"/>
      <c r="BH56" s="187"/>
      <c r="BI56" s="188"/>
      <c r="BJ56" s="189"/>
      <c r="BK56" s="186"/>
      <c r="BL56" s="187"/>
      <c r="BM56" s="188"/>
      <c r="BN56" s="189"/>
      <c r="BO56" s="186"/>
      <c r="BP56" s="187"/>
      <c r="BQ56" s="188"/>
      <c r="BR56" s="189"/>
      <c r="BS56" s="186"/>
      <c r="BT56" s="187"/>
      <c r="BU56" s="188"/>
      <c r="BV56" s="189"/>
      <c r="BW56" s="186"/>
      <c r="BX56" s="187"/>
      <c r="BY56" s="188"/>
      <c r="BZ56" s="189"/>
      <c r="CA56" s="186"/>
      <c r="CB56" s="190"/>
      <c r="CC56" s="190"/>
      <c r="CD56" s="82">
        <f t="shared" si="142"/>
        <v>0</v>
      </c>
      <c r="CE56" s="82">
        <f t="shared" si="143"/>
        <v>0</v>
      </c>
      <c r="CF56" s="82">
        <f t="shared" si="144"/>
        <v>0</v>
      </c>
      <c r="CG56" s="82">
        <f t="shared" si="145"/>
        <v>0</v>
      </c>
      <c r="CH56" s="82">
        <f t="shared" si="146"/>
        <v>0</v>
      </c>
      <c r="CI56" s="82">
        <f t="shared" si="147"/>
        <v>0</v>
      </c>
      <c r="CJ56" s="82">
        <f t="shared" si="148"/>
        <v>0</v>
      </c>
      <c r="CK56" s="82">
        <f t="shared" si="149"/>
        <v>0</v>
      </c>
      <c r="CL56" s="82">
        <f t="shared" si="150"/>
        <v>0</v>
      </c>
      <c r="CM56" s="82">
        <f t="shared" si="151"/>
        <v>0</v>
      </c>
      <c r="CN56" s="82">
        <f t="shared" si="152"/>
        <v>0</v>
      </c>
      <c r="CO56" s="82">
        <f t="shared" si="153"/>
        <v>0</v>
      </c>
      <c r="CP56" s="82">
        <f t="shared" si="154"/>
        <v>0</v>
      </c>
      <c r="CQ56" s="82">
        <f t="shared" si="155"/>
        <v>0</v>
      </c>
      <c r="CR56" s="82">
        <f t="shared" si="156"/>
        <v>0</v>
      </c>
      <c r="CS56" s="82">
        <f t="shared" si="157"/>
        <v>0</v>
      </c>
      <c r="CT56" s="82">
        <f t="shared" si="158"/>
        <v>0</v>
      </c>
      <c r="CU56" s="82">
        <f t="shared" si="159"/>
        <v>0</v>
      </c>
      <c r="CV56" s="82">
        <f t="shared" si="160"/>
        <v>0</v>
      </c>
      <c r="CW56" s="82">
        <f t="shared" si="161"/>
        <v>0</v>
      </c>
      <c r="CX56" s="82">
        <f t="shared" si="162"/>
        <v>0</v>
      </c>
      <c r="CY56" s="82">
        <f t="shared" si="163"/>
        <v>0</v>
      </c>
      <c r="CZ56" s="82">
        <f t="shared" si="164"/>
        <v>0</v>
      </c>
      <c r="DA56" s="82">
        <f t="shared" si="165"/>
        <v>0</v>
      </c>
      <c r="DB56" s="82">
        <f t="shared" si="166"/>
        <v>0</v>
      </c>
      <c r="DC56" s="82">
        <f t="shared" si="167"/>
        <v>0</v>
      </c>
      <c r="DD56" s="82">
        <f t="shared" si="168"/>
        <v>0</v>
      </c>
      <c r="DE56" s="82">
        <f t="shared" si="169"/>
        <v>0</v>
      </c>
      <c r="DF56" s="82">
        <f t="shared" si="170"/>
        <v>0</v>
      </c>
      <c r="DG56" s="82">
        <f t="shared" si="171"/>
        <v>0</v>
      </c>
      <c r="DH56" s="82">
        <f t="shared" si="172"/>
        <v>0</v>
      </c>
      <c r="DI56" s="82">
        <f t="shared" si="173"/>
        <v>0</v>
      </c>
      <c r="DJ56" s="82">
        <f t="shared" si="174"/>
        <v>0</v>
      </c>
      <c r="DK56" s="82">
        <f t="shared" si="175"/>
        <v>0</v>
      </c>
      <c r="DL56" s="82">
        <f t="shared" si="176"/>
        <v>0</v>
      </c>
      <c r="DM56" s="82">
        <f t="shared" si="177"/>
        <v>0</v>
      </c>
      <c r="DN56" s="82">
        <f t="shared" si="178"/>
        <v>0</v>
      </c>
      <c r="DO56" s="82">
        <f t="shared" si="179"/>
        <v>0</v>
      </c>
      <c r="DP56" s="82">
        <f t="shared" si="180"/>
        <v>0</v>
      </c>
      <c r="DQ56" s="82">
        <f t="shared" si="181"/>
        <v>0</v>
      </c>
      <c r="DR56" s="82">
        <f t="shared" si="182"/>
        <v>0</v>
      </c>
      <c r="DS56" s="82">
        <f t="shared" si="183"/>
        <v>0</v>
      </c>
      <c r="DT56" s="82">
        <f t="shared" si="184"/>
        <v>0</v>
      </c>
      <c r="DU56" s="82">
        <f t="shared" si="185"/>
        <v>0</v>
      </c>
      <c r="DV56" s="82">
        <f t="shared" si="186"/>
        <v>0</v>
      </c>
      <c r="DW56" s="82">
        <f t="shared" si="187"/>
        <v>0</v>
      </c>
      <c r="DX56" s="82">
        <f t="shared" si="188"/>
        <v>0</v>
      </c>
      <c r="DY56" s="82">
        <f t="shared" si="189"/>
        <v>0</v>
      </c>
      <c r="DZ56" s="82">
        <f t="shared" si="190"/>
        <v>0</v>
      </c>
      <c r="EA56" s="82">
        <f t="shared" si="191"/>
        <v>0</v>
      </c>
      <c r="EB56" s="82">
        <f t="shared" si="192"/>
        <v>0</v>
      </c>
      <c r="EC56" s="82">
        <f t="shared" si="193"/>
        <v>0</v>
      </c>
      <c r="ED56" s="82">
        <f t="shared" si="194"/>
        <v>0</v>
      </c>
      <c r="EE56" s="82">
        <f t="shared" si="195"/>
        <v>0</v>
      </c>
      <c r="EF56" s="82">
        <f t="shared" si="196"/>
        <v>0</v>
      </c>
      <c r="EG56" s="82">
        <f t="shared" si="197"/>
        <v>0</v>
      </c>
      <c r="EH56" s="82">
        <f t="shared" si="198"/>
        <v>0</v>
      </c>
      <c r="EI56" s="82">
        <f t="shared" si="199"/>
        <v>0</v>
      </c>
      <c r="EJ56" s="82">
        <f t="shared" si="200"/>
        <v>0</v>
      </c>
      <c r="EK56" s="82">
        <f t="shared" si="201"/>
        <v>0</v>
      </c>
      <c r="EL56" s="82">
        <f t="shared" si="202"/>
        <v>0</v>
      </c>
      <c r="EM56" s="82">
        <f t="shared" si="203"/>
        <v>0</v>
      </c>
      <c r="EN56" s="82">
        <f t="shared" si="204"/>
        <v>0</v>
      </c>
      <c r="EO56" s="82">
        <f t="shared" si="205"/>
        <v>0</v>
      </c>
      <c r="EP56" s="82">
        <f t="shared" si="206"/>
        <v>0</v>
      </c>
      <c r="EQ56" s="82">
        <f t="shared" si="207"/>
        <v>0</v>
      </c>
      <c r="ER56" s="82">
        <f t="shared" si="208"/>
        <v>0</v>
      </c>
      <c r="ES56" s="82">
        <f t="shared" si="209"/>
        <v>0</v>
      </c>
      <c r="ET56" s="82">
        <f t="shared" si="210"/>
        <v>0</v>
      </c>
      <c r="EU56" s="82">
        <f t="shared" si="211"/>
        <v>0</v>
      </c>
      <c r="EV56" s="82">
        <f t="shared" si="212"/>
        <v>0</v>
      </c>
      <c r="EW56" s="82">
        <f t="shared" si="213"/>
        <v>0</v>
      </c>
      <c r="EX56" s="82">
        <f t="shared" si="214"/>
        <v>0</v>
      </c>
      <c r="EY56" s="111">
        <f t="shared" si="215"/>
        <v>0</v>
      </c>
      <c r="EZ56" s="143">
        <f t="shared" ca="1" si="216"/>
        <v>0</v>
      </c>
      <c r="FA56" s="112">
        <f t="shared" ca="1" si="217"/>
        <v>0</v>
      </c>
      <c r="FB56" s="113">
        <f t="shared" ca="1" si="218"/>
        <v>0</v>
      </c>
      <c r="FC56" s="114">
        <f t="shared" ca="1" si="219"/>
        <v>0</v>
      </c>
      <c r="FD56" s="115">
        <f t="shared" ca="1" si="220"/>
        <v>0</v>
      </c>
      <c r="FE56" s="116">
        <f t="shared" ca="1" si="221"/>
        <v>0</v>
      </c>
      <c r="FF56" s="117">
        <f t="shared" ca="1" si="222"/>
        <v>0</v>
      </c>
      <c r="FG56" s="71">
        <f t="shared" si="223"/>
        <v>0</v>
      </c>
      <c r="FH56" s="530">
        <f t="shared" ca="1" si="224"/>
        <v>0</v>
      </c>
      <c r="FI56" s="72"/>
      <c r="FJ56" s="72"/>
      <c r="FK56" s="72"/>
      <c r="FM56" s="421" t="str">
        <f t="shared" si="122"/>
        <v>L03-308_MfamResiPthp</v>
      </c>
      <c r="FN56" s="422" t="str">
        <f t="shared" ca="1" si="123"/>
        <v>Dwelling Unit</v>
      </c>
      <c r="FO56" s="423">
        <f t="shared" ca="1" si="226"/>
        <v>0</v>
      </c>
      <c r="FP56" s="423">
        <f t="shared" ca="1" si="226"/>
        <v>0</v>
      </c>
      <c r="FQ56" s="423">
        <f t="shared" ca="1" si="226"/>
        <v>0</v>
      </c>
      <c r="FR56" s="423">
        <f t="shared" ca="1" si="226"/>
        <v>0</v>
      </c>
      <c r="FS56" s="423">
        <f t="shared" ca="1" si="226"/>
        <v>0</v>
      </c>
      <c r="FT56" s="423">
        <f t="shared" ca="1" si="226"/>
        <v>0</v>
      </c>
      <c r="FU56" s="423">
        <f t="shared" ca="1" si="226"/>
        <v>0</v>
      </c>
      <c r="FV56" s="423">
        <f t="shared" ca="1" si="226"/>
        <v>0</v>
      </c>
      <c r="FW56" s="423">
        <f t="shared" ca="1" si="226"/>
        <v>0</v>
      </c>
      <c r="FX56" s="423">
        <f t="shared" ca="1" si="226"/>
        <v>0</v>
      </c>
      <c r="FY56" s="423">
        <f t="shared" ca="1" si="226"/>
        <v>0</v>
      </c>
      <c r="FZ56" s="423">
        <f t="shared" ca="1" si="226"/>
        <v>0</v>
      </c>
      <c r="GA56" s="423">
        <f t="shared" ca="1" si="226"/>
        <v>0</v>
      </c>
      <c r="GB56" s="423">
        <f t="shared" ca="1" si="226"/>
        <v>0</v>
      </c>
      <c r="GC56" s="423">
        <f t="shared" ca="1" si="226"/>
        <v>0</v>
      </c>
      <c r="GD56" s="423">
        <f t="shared" ca="1" si="225"/>
        <v>0</v>
      </c>
      <c r="GE56" s="423">
        <f t="shared" ca="1" si="139"/>
        <v>0</v>
      </c>
      <c r="GF56" s="423">
        <f t="shared" ca="1" si="139"/>
        <v>0</v>
      </c>
      <c r="GG56" s="423">
        <f t="shared" ca="1" si="139"/>
        <v>0</v>
      </c>
      <c r="GH56" s="423">
        <f t="shared" ca="1" si="139"/>
        <v>0</v>
      </c>
      <c r="GI56" s="423">
        <f t="shared" ca="1" si="139"/>
        <v>0</v>
      </c>
      <c r="GJ56" s="423">
        <f t="shared" ca="1" si="139"/>
        <v>0</v>
      </c>
      <c r="GK56" s="423">
        <f t="shared" ca="1" si="139"/>
        <v>0</v>
      </c>
      <c r="GL56" s="423">
        <f t="shared" ca="1" si="139"/>
        <v>0</v>
      </c>
      <c r="GM56" s="423">
        <f t="shared" ca="1" si="139"/>
        <v>0</v>
      </c>
      <c r="GN56" s="423">
        <f t="shared" ca="1" si="139"/>
        <v>0</v>
      </c>
      <c r="GO56" s="423">
        <f t="shared" ca="1" si="139"/>
        <v>0</v>
      </c>
      <c r="GP56" s="423">
        <f t="shared" ca="1" si="139"/>
        <v>0</v>
      </c>
      <c r="GQ56" s="423">
        <f t="shared" ca="1" si="139"/>
        <v>0</v>
      </c>
      <c r="GR56" s="423">
        <f t="shared" ca="1" si="139"/>
        <v>0</v>
      </c>
      <c r="GS56" s="423">
        <f t="shared" ca="1" si="139"/>
        <v>0</v>
      </c>
      <c r="GT56" s="423">
        <f t="shared" ca="1" si="139"/>
        <v>0</v>
      </c>
      <c r="GU56" s="423">
        <f t="shared" ca="1" si="140"/>
        <v>0</v>
      </c>
      <c r="GV56" s="423">
        <f t="shared" ca="1" si="140"/>
        <v>0</v>
      </c>
      <c r="GW56" s="423">
        <f t="shared" ca="1" si="140"/>
        <v>0</v>
      </c>
      <c r="GX56" s="423">
        <f t="shared" ca="1" si="140"/>
        <v>0</v>
      </c>
      <c r="GY56" s="423">
        <f t="shared" ca="1" si="140"/>
        <v>0</v>
      </c>
      <c r="GZ56" s="423">
        <f t="shared" ca="1" si="140"/>
        <v>0</v>
      </c>
      <c r="HA56" s="423">
        <f t="shared" ca="1" si="140"/>
        <v>0</v>
      </c>
      <c r="HB56" s="423">
        <f t="shared" ca="1" si="140"/>
        <v>0</v>
      </c>
      <c r="HC56" s="423">
        <f t="shared" ca="1" si="140"/>
        <v>0</v>
      </c>
      <c r="HD56" s="423">
        <f t="shared" ca="1" si="140"/>
        <v>0</v>
      </c>
      <c r="HE56" s="423">
        <f t="shared" ca="1" si="140"/>
        <v>0</v>
      </c>
      <c r="HF56" s="423">
        <f t="shared" ca="1" si="140"/>
        <v>0</v>
      </c>
      <c r="HG56" s="423">
        <f t="shared" ca="1" si="140"/>
        <v>0</v>
      </c>
      <c r="HH56" s="423">
        <f t="shared" ca="1" si="140"/>
        <v>0</v>
      </c>
      <c r="HI56" s="423">
        <f t="shared" ca="1" si="140"/>
        <v>0</v>
      </c>
      <c r="HJ56" s="423">
        <f t="shared" ca="1" si="140"/>
        <v>0</v>
      </c>
      <c r="HK56" s="423">
        <f t="shared" ca="1" si="141"/>
        <v>0</v>
      </c>
      <c r="HL56" s="423">
        <f t="shared" ca="1" si="141"/>
        <v>0</v>
      </c>
      <c r="HM56" s="423">
        <f t="shared" ca="1" si="141"/>
        <v>0</v>
      </c>
      <c r="HN56" s="423">
        <f t="shared" ca="1" si="141"/>
        <v>0</v>
      </c>
      <c r="HO56" s="423">
        <f t="shared" ca="1" si="141"/>
        <v>0</v>
      </c>
      <c r="HP56" s="423">
        <f t="shared" ca="1" si="141"/>
        <v>0</v>
      </c>
      <c r="HQ56" s="423">
        <f t="shared" ca="1" si="141"/>
        <v>0</v>
      </c>
      <c r="HR56" s="423">
        <f t="shared" ca="1" si="141"/>
        <v>0</v>
      </c>
      <c r="HS56" s="423">
        <f t="shared" ca="1" si="141"/>
        <v>0</v>
      </c>
      <c r="HT56" s="423">
        <f t="shared" ca="1" si="141"/>
        <v>0</v>
      </c>
    </row>
    <row r="57" spans="1:228" ht="11.25" customHeight="1" x14ac:dyDescent="0.2">
      <c r="A57" s="62">
        <f t="shared" si="128"/>
        <v>46</v>
      </c>
      <c r="B57" s="60" t="str">
        <f>Spaces_Sum!C102</f>
        <v>L03-309_MfamResiPthp</v>
      </c>
      <c r="C57" s="62" t="str">
        <f>Spaces_Sum!D102</f>
        <v>L03</v>
      </c>
      <c r="D57" s="62" t="str">
        <f ca="1">Spaces_Sum!I102</f>
        <v>DirectlyConditioned</v>
      </c>
      <c r="F57" s="110">
        <f ca="1">Spaces_Sum!M102</f>
        <v>1347.52</v>
      </c>
      <c r="G57" s="110" t="str">
        <f ca="1">Spaces_Sum!J102</f>
        <v>Dwelling Unit</v>
      </c>
      <c r="H57" s="532"/>
      <c r="I57" s="185"/>
      <c r="J57" s="185"/>
      <c r="K57" s="186"/>
      <c r="L57" s="187"/>
      <c r="M57" s="188"/>
      <c r="N57" s="189"/>
      <c r="O57" s="186"/>
      <c r="P57" s="187"/>
      <c r="Q57" s="188"/>
      <c r="R57" s="189"/>
      <c r="S57" s="186"/>
      <c r="T57" s="187"/>
      <c r="U57" s="188"/>
      <c r="V57" s="189"/>
      <c r="W57" s="186"/>
      <c r="X57" s="187"/>
      <c r="Y57" s="188"/>
      <c r="Z57" s="189"/>
      <c r="AA57" s="186"/>
      <c r="AB57" s="187"/>
      <c r="AC57" s="188"/>
      <c r="AD57" s="189"/>
      <c r="AE57" s="186"/>
      <c r="AF57" s="187"/>
      <c r="AG57" s="188"/>
      <c r="AH57" s="189"/>
      <c r="AI57" s="186"/>
      <c r="AJ57" s="187"/>
      <c r="AK57" s="188"/>
      <c r="AL57" s="189"/>
      <c r="AM57" s="186"/>
      <c r="AN57" s="187"/>
      <c r="AO57" s="188"/>
      <c r="AP57" s="189"/>
      <c r="AQ57" s="186"/>
      <c r="AR57" s="187"/>
      <c r="AS57" s="188"/>
      <c r="AT57" s="189"/>
      <c r="AU57" s="186"/>
      <c r="AV57" s="187"/>
      <c r="AW57" s="188"/>
      <c r="AX57" s="189"/>
      <c r="AY57" s="186"/>
      <c r="AZ57" s="187"/>
      <c r="BA57" s="188"/>
      <c r="BB57" s="189"/>
      <c r="BC57" s="186"/>
      <c r="BD57" s="187"/>
      <c r="BE57" s="188"/>
      <c r="BF57" s="189"/>
      <c r="BG57" s="186"/>
      <c r="BH57" s="187"/>
      <c r="BI57" s="188"/>
      <c r="BJ57" s="189"/>
      <c r="BK57" s="186"/>
      <c r="BL57" s="187"/>
      <c r="BM57" s="188"/>
      <c r="BN57" s="189"/>
      <c r="BO57" s="186"/>
      <c r="BP57" s="187"/>
      <c r="BQ57" s="188"/>
      <c r="BR57" s="189"/>
      <c r="BS57" s="186"/>
      <c r="BT57" s="187"/>
      <c r="BU57" s="188"/>
      <c r="BV57" s="189"/>
      <c r="BW57" s="186"/>
      <c r="BX57" s="187"/>
      <c r="BY57" s="188"/>
      <c r="BZ57" s="189"/>
      <c r="CA57" s="186"/>
      <c r="CB57" s="190"/>
      <c r="CC57" s="190"/>
      <c r="CD57" s="82">
        <f t="shared" si="142"/>
        <v>0</v>
      </c>
      <c r="CE57" s="82">
        <f t="shared" si="143"/>
        <v>0</v>
      </c>
      <c r="CF57" s="82">
        <f t="shared" si="144"/>
        <v>0</v>
      </c>
      <c r="CG57" s="82">
        <f t="shared" si="145"/>
        <v>0</v>
      </c>
      <c r="CH57" s="82">
        <f t="shared" si="146"/>
        <v>0</v>
      </c>
      <c r="CI57" s="82">
        <f t="shared" si="147"/>
        <v>0</v>
      </c>
      <c r="CJ57" s="82">
        <f t="shared" si="148"/>
        <v>0</v>
      </c>
      <c r="CK57" s="82">
        <f t="shared" si="149"/>
        <v>0</v>
      </c>
      <c r="CL57" s="82">
        <f t="shared" si="150"/>
        <v>0</v>
      </c>
      <c r="CM57" s="82">
        <f t="shared" si="151"/>
        <v>0</v>
      </c>
      <c r="CN57" s="82">
        <f t="shared" si="152"/>
        <v>0</v>
      </c>
      <c r="CO57" s="82">
        <f t="shared" si="153"/>
        <v>0</v>
      </c>
      <c r="CP57" s="82">
        <f t="shared" si="154"/>
        <v>0</v>
      </c>
      <c r="CQ57" s="82">
        <f t="shared" si="155"/>
        <v>0</v>
      </c>
      <c r="CR57" s="82">
        <f t="shared" si="156"/>
        <v>0</v>
      </c>
      <c r="CS57" s="82">
        <f t="shared" si="157"/>
        <v>0</v>
      </c>
      <c r="CT57" s="82">
        <f t="shared" si="158"/>
        <v>0</v>
      </c>
      <c r="CU57" s="82">
        <f t="shared" si="159"/>
        <v>0</v>
      </c>
      <c r="CV57" s="82">
        <f t="shared" si="160"/>
        <v>0</v>
      </c>
      <c r="CW57" s="82">
        <f t="shared" si="161"/>
        <v>0</v>
      </c>
      <c r="CX57" s="82">
        <f t="shared" si="162"/>
        <v>0</v>
      </c>
      <c r="CY57" s="82">
        <f t="shared" si="163"/>
        <v>0</v>
      </c>
      <c r="CZ57" s="82">
        <f t="shared" si="164"/>
        <v>0</v>
      </c>
      <c r="DA57" s="82">
        <f t="shared" si="165"/>
        <v>0</v>
      </c>
      <c r="DB57" s="82">
        <f t="shared" si="166"/>
        <v>0</v>
      </c>
      <c r="DC57" s="82">
        <f t="shared" si="167"/>
        <v>0</v>
      </c>
      <c r="DD57" s="82">
        <f t="shared" si="168"/>
        <v>0</v>
      </c>
      <c r="DE57" s="82">
        <f t="shared" si="169"/>
        <v>0</v>
      </c>
      <c r="DF57" s="82">
        <f t="shared" si="170"/>
        <v>0</v>
      </c>
      <c r="DG57" s="82">
        <f t="shared" si="171"/>
        <v>0</v>
      </c>
      <c r="DH57" s="82">
        <f t="shared" si="172"/>
        <v>0</v>
      </c>
      <c r="DI57" s="82">
        <f t="shared" si="173"/>
        <v>0</v>
      </c>
      <c r="DJ57" s="82">
        <f t="shared" si="174"/>
        <v>0</v>
      </c>
      <c r="DK57" s="82">
        <f t="shared" si="175"/>
        <v>0</v>
      </c>
      <c r="DL57" s="82">
        <f t="shared" si="176"/>
        <v>0</v>
      </c>
      <c r="DM57" s="82">
        <f t="shared" si="177"/>
        <v>0</v>
      </c>
      <c r="DN57" s="82">
        <f t="shared" si="178"/>
        <v>0</v>
      </c>
      <c r="DO57" s="82">
        <f t="shared" si="179"/>
        <v>0</v>
      </c>
      <c r="DP57" s="82">
        <f t="shared" si="180"/>
        <v>0</v>
      </c>
      <c r="DQ57" s="82">
        <f t="shared" si="181"/>
        <v>0</v>
      </c>
      <c r="DR57" s="82">
        <f t="shared" si="182"/>
        <v>0</v>
      </c>
      <c r="DS57" s="82">
        <f t="shared" si="183"/>
        <v>0</v>
      </c>
      <c r="DT57" s="82">
        <f t="shared" si="184"/>
        <v>0</v>
      </c>
      <c r="DU57" s="82">
        <f t="shared" si="185"/>
        <v>0</v>
      </c>
      <c r="DV57" s="82">
        <f t="shared" si="186"/>
        <v>0</v>
      </c>
      <c r="DW57" s="82">
        <f t="shared" si="187"/>
        <v>0</v>
      </c>
      <c r="DX57" s="82">
        <f t="shared" si="188"/>
        <v>0</v>
      </c>
      <c r="DY57" s="82">
        <f t="shared" si="189"/>
        <v>0</v>
      </c>
      <c r="DZ57" s="82">
        <f t="shared" si="190"/>
        <v>0</v>
      </c>
      <c r="EA57" s="82">
        <f t="shared" si="191"/>
        <v>0</v>
      </c>
      <c r="EB57" s="82">
        <f t="shared" si="192"/>
        <v>0</v>
      </c>
      <c r="EC57" s="82">
        <f t="shared" si="193"/>
        <v>0</v>
      </c>
      <c r="ED57" s="82">
        <f t="shared" si="194"/>
        <v>0</v>
      </c>
      <c r="EE57" s="82">
        <f t="shared" si="195"/>
        <v>0</v>
      </c>
      <c r="EF57" s="82">
        <f t="shared" si="196"/>
        <v>0</v>
      </c>
      <c r="EG57" s="82">
        <f t="shared" si="197"/>
        <v>0</v>
      </c>
      <c r="EH57" s="82">
        <f t="shared" si="198"/>
        <v>0</v>
      </c>
      <c r="EI57" s="82">
        <f t="shared" si="199"/>
        <v>0</v>
      </c>
      <c r="EJ57" s="82">
        <f t="shared" si="200"/>
        <v>0</v>
      </c>
      <c r="EK57" s="82">
        <f t="shared" si="201"/>
        <v>0</v>
      </c>
      <c r="EL57" s="82">
        <f t="shared" si="202"/>
        <v>0</v>
      </c>
      <c r="EM57" s="82">
        <f t="shared" si="203"/>
        <v>0</v>
      </c>
      <c r="EN57" s="82">
        <f t="shared" si="204"/>
        <v>0</v>
      </c>
      <c r="EO57" s="82">
        <f t="shared" si="205"/>
        <v>0</v>
      </c>
      <c r="EP57" s="82">
        <f t="shared" si="206"/>
        <v>0</v>
      </c>
      <c r="EQ57" s="82">
        <f t="shared" si="207"/>
        <v>0</v>
      </c>
      <c r="ER57" s="82">
        <f t="shared" si="208"/>
        <v>0</v>
      </c>
      <c r="ES57" s="82">
        <f t="shared" si="209"/>
        <v>0</v>
      </c>
      <c r="ET57" s="82">
        <f t="shared" si="210"/>
        <v>0</v>
      </c>
      <c r="EU57" s="82">
        <f t="shared" si="211"/>
        <v>0</v>
      </c>
      <c r="EV57" s="82">
        <f t="shared" si="212"/>
        <v>0</v>
      </c>
      <c r="EW57" s="82">
        <f t="shared" si="213"/>
        <v>0</v>
      </c>
      <c r="EX57" s="82">
        <f t="shared" si="214"/>
        <v>0</v>
      </c>
      <c r="EY57" s="111">
        <f t="shared" si="215"/>
        <v>0</v>
      </c>
      <c r="EZ57" s="143">
        <f t="shared" ca="1" si="216"/>
        <v>0</v>
      </c>
      <c r="FA57" s="112">
        <f t="shared" ca="1" si="217"/>
        <v>0</v>
      </c>
      <c r="FB57" s="113">
        <f t="shared" ca="1" si="218"/>
        <v>0</v>
      </c>
      <c r="FC57" s="114">
        <f t="shared" ca="1" si="219"/>
        <v>0</v>
      </c>
      <c r="FD57" s="115">
        <f t="shared" ca="1" si="220"/>
        <v>0</v>
      </c>
      <c r="FE57" s="116">
        <f t="shared" ca="1" si="221"/>
        <v>0</v>
      </c>
      <c r="FF57" s="117">
        <f t="shared" ca="1" si="222"/>
        <v>0</v>
      </c>
      <c r="FG57" s="71">
        <f t="shared" si="223"/>
        <v>0</v>
      </c>
      <c r="FH57" s="530">
        <f t="shared" ca="1" si="224"/>
        <v>0</v>
      </c>
      <c r="FI57" s="72"/>
      <c r="FJ57" s="72"/>
      <c r="FK57" s="72"/>
      <c r="FM57" s="421" t="str">
        <f t="shared" si="122"/>
        <v>L03-309_MfamResiPthp</v>
      </c>
      <c r="FN57" s="422" t="str">
        <f t="shared" ca="1" si="123"/>
        <v>Dwelling Unit</v>
      </c>
      <c r="FO57" s="423">
        <f t="shared" ca="1" si="226"/>
        <v>0</v>
      </c>
      <c r="FP57" s="423">
        <f t="shared" ca="1" si="226"/>
        <v>0</v>
      </c>
      <c r="FQ57" s="423">
        <f t="shared" ca="1" si="226"/>
        <v>0</v>
      </c>
      <c r="FR57" s="423">
        <f t="shared" ca="1" si="226"/>
        <v>0</v>
      </c>
      <c r="FS57" s="423">
        <f t="shared" ca="1" si="226"/>
        <v>0</v>
      </c>
      <c r="FT57" s="423">
        <f t="shared" ca="1" si="226"/>
        <v>0</v>
      </c>
      <c r="FU57" s="423">
        <f t="shared" ca="1" si="226"/>
        <v>0</v>
      </c>
      <c r="FV57" s="423">
        <f t="shared" ca="1" si="226"/>
        <v>0</v>
      </c>
      <c r="FW57" s="423">
        <f t="shared" ca="1" si="226"/>
        <v>0</v>
      </c>
      <c r="FX57" s="423">
        <f t="shared" ca="1" si="226"/>
        <v>0</v>
      </c>
      <c r="FY57" s="423">
        <f t="shared" ca="1" si="226"/>
        <v>0</v>
      </c>
      <c r="FZ57" s="423">
        <f t="shared" ca="1" si="226"/>
        <v>0</v>
      </c>
      <c r="GA57" s="423">
        <f t="shared" ca="1" si="226"/>
        <v>0</v>
      </c>
      <c r="GB57" s="423">
        <f t="shared" ca="1" si="226"/>
        <v>0</v>
      </c>
      <c r="GC57" s="423">
        <f t="shared" ca="1" si="226"/>
        <v>0</v>
      </c>
      <c r="GD57" s="423">
        <f t="shared" ca="1" si="225"/>
        <v>0</v>
      </c>
      <c r="GE57" s="423">
        <f t="shared" ca="1" si="139"/>
        <v>0</v>
      </c>
      <c r="GF57" s="423">
        <f t="shared" ca="1" si="139"/>
        <v>0</v>
      </c>
      <c r="GG57" s="423">
        <f t="shared" ca="1" si="139"/>
        <v>0</v>
      </c>
      <c r="GH57" s="423">
        <f t="shared" ca="1" si="139"/>
        <v>0</v>
      </c>
      <c r="GI57" s="423">
        <f t="shared" ca="1" si="139"/>
        <v>0</v>
      </c>
      <c r="GJ57" s="423">
        <f t="shared" ca="1" si="139"/>
        <v>0</v>
      </c>
      <c r="GK57" s="423">
        <f t="shared" ca="1" si="139"/>
        <v>0</v>
      </c>
      <c r="GL57" s="423">
        <f t="shared" ca="1" si="139"/>
        <v>0</v>
      </c>
      <c r="GM57" s="423">
        <f t="shared" ca="1" si="139"/>
        <v>0</v>
      </c>
      <c r="GN57" s="423">
        <f t="shared" ca="1" si="139"/>
        <v>0</v>
      </c>
      <c r="GO57" s="423">
        <f t="shared" ca="1" si="139"/>
        <v>0</v>
      </c>
      <c r="GP57" s="423">
        <f t="shared" ca="1" si="139"/>
        <v>0</v>
      </c>
      <c r="GQ57" s="423">
        <f t="shared" ca="1" si="139"/>
        <v>0</v>
      </c>
      <c r="GR57" s="423">
        <f t="shared" ca="1" si="139"/>
        <v>0</v>
      </c>
      <c r="GS57" s="423">
        <f t="shared" ca="1" si="139"/>
        <v>0</v>
      </c>
      <c r="GT57" s="423">
        <f t="shared" ca="1" si="139"/>
        <v>0</v>
      </c>
      <c r="GU57" s="423">
        <f t="shared" ca="1" si="140"/>
        <v>0</v>
      </c>
      <c r="GV57" s="423">
        <f t="shared" ca="1" si="140"/>
        <v>0</v>
      </c>
      <c r="GW57" s="423">
        <f t="shared" ca="1" si="140"/>
        <v>0</v>
      </c>
      <c r="GX57" s="423">
        <f t="shared" ca="1" si="140"/>
        <v>0</v>
      </c>
      <c r="GY57" s="423">
        <f t="shared" ca="1" si="140"/>
        <v>0</v>
      </c>
      <c r="GZ57" s="423">
        <f t="shared" ca="1" si="140"/>
        <v>0</v>
      </c>
      <c r="HA57" s="423">
        <f t="shared" ca="1" si="140"/>
        <v>0</v>
      </c>
      <c r="HB57" s="423">
        <f t="shared" ca="1" si="140"/>
        <v>0</v>
      </c>
      <c r="HC57" s="423">
        <f t="shared" ca="1" si="140"/>
        <v>0</v>
      </c>
      <c r="HD57" s="423">
        <f t="shared" ca="1" si="140"/>
        <v>0</v>
      </c>
      <c r="HE57" s="423">
        <f t="shared" ca="1" si="140"/>
        <v>0</v>
      </c>
      <c r="HF57" s="423">
        <f t="shared" ca="1" si="140"/>
        <v>0</v>
      </c>
      <c r="HG57" s="423">
        <f t="shared" ca="1" si="140"/>
        <v>0</v>
      </c>
      <c r="HH57" s="423">
        <f t="shared" ca="1" si="140"/>
        <v>0</v>
      </c>
      <c r="HI57" s="423">
        <f t="shared" ca="1" si="140"/>
        <v>0</v>
      </c>
      <c r="HJ57" s="423">
        <f t="shared" ca="1" si="140"/>
        <v>0</v>
      </c>
      <c r="HK57" s="423">
        <f t="shared" ca="1" si="141"/>
        <v>0</v>
      </c>
      <c r="HL57" s="423">
        <f t="shared" ca="1" si="141"/>
        <v>0</v>
      </c>
      <c r="HM57" s="423">
        <f t="shared" ca="1" si="141"/>
        <v>0</v>
      </c>
      <c r="HN57" s="423">
        <f t="shared" ca="1" si="141"/>
        <v>0</v>
      </c>
      <c r="HO57" s="423">
        <f t="shared" ca="1" si="141"/>
        <v>0</v>
      </c>
      <c r="HP57" s="423">
        <f t="shared" ca="1" si="141"/>
        <v>0</v>
      </c>
      <c r="HQ57" s="423">
        <f t="shared" ca="1" si="141"/>
        <v>0</v>
      </c>
      <c r="HR57" s="423">
        <f t="shared" ca="1" si="141"/>
        <v>0</v>
      </c>
      <c r="HS57" s="423">
        <f t="shared" ca="1" si="141"/>
        <v>0</v>
      </c>
      <c r="HT57" s="423">
        <f t="shared" ca="1" si="141"/>
        <v>0</v>
      </c>
    </row>
    <row r="58" spans="1:228" ht="11.25" customHeight="1" x14ac:dyDescent="0.2">
      <c r="A58" s="62">
        <f t="shared" si="128"/>
        <v>47</v>
      </c>
      <c r="B58" s="60" t="str">
        <f>Spaces_Sum!C103</f>
        <v>L03-310_LndyRaccBbrd</v>
      </c>
      <c r="C58" s="62" t="str">
        <f>Spaces_Sum!D103</f>
        <v>L03</v>
      </c>
      <c r="D58" s="62" t="str">
        <f ca="1">Spaces_Sum!I103</f>
        <v>DirectlyConditioned</v>
      </c>
      <c r="F58" s="110">
        <f ca="1">Spaces_Sum!M103</f>
        <v>272.42880000000002</v>
      </c>
      <c r="G58" s="110" t="str">
        <f ca="1">Spaces_Sum!J103</f>
        <v>Laundry/Washing Area</v>
      </c>
      <c r="H58" s="532"/>
      <c r="I58" s="185"/>
      <c r="J58" s="185"/>
      <c r="K58" s="186"/>
      <c r="L58" s="187"/>
      <c r="M58" s="188"/>
      <c r="N58" s="189"/>
      <c r="O58" s="186"/>
      <c r="P58" s="187"/>
      <c r="Q58" s="188"/>
      <c r="R58" s="189"/>
      <c r="S58" s="186"/>
      <c r="T58" s="187"/>
      <c r="U58" s="188"/>
      <c r="V58" s="189"/>
      <c r="W58" s="186"/>
      <c r="X58" s="187"/>
      <c r="Y58" s="188"/>
      <c r="Z58" s="189"/>
      <c r="AA58" s="186"/>
      <c r="AB58" s="187"/>
      <c r="AC58" s="188"/>
      <c r="AD58" s="189"/>
      <c r="AE58" s="186"/>
      <c r="AF58" s="187"/>
      <c r="AG58" s="188"/>
      <c r="AH58" s="189"/>
      <c r="AI58" s="186"/>
      <c r="AJ58" s="187"/>
      <c r="AK58" s="188"/>
      <c r="AL58" s="189"/>
      <c r="AM58" s="186"/>
      <c r="AN58" s="187"/>
      <c r="AO58" s="188"/>
      <c r="AP58" s="189"/>
      <c r="AQ58" s="186"/>
      <c r="AR58" s="187"/>
      <c r="AS58" s="188"/>
      <c r="AT58" s="189"/>
      <c r="AU58" s="186"/>
      <c r="AV58" s="187"/>
      <c r="AW58" s="188"/>
      <c r="AX58" s="189"/>
      <c r="AY58" s="186"/>
      <c r="AZ58" s="187"/>
      <c r="BA58" s="188"/>
      <c r="BB58" s="189"/>
      <c r="BC58" s="186"/>
      <c r="BD58" s="187"/>
      <c r="BE58" s="188"/>
      <c r="BF58" s="189"/>
      <c r="BG58" s="186"/>
      <c r="BH58" s="187"/>
      <c r="BI58" s="188"/>
      <c r="BJ58" s="189"/>
      <c r="BK58" s="186"/>
      <c r="BL58" s="187"/>
      <c r="BM58" s="188"/>
      <c r="BN58" s="189"/>
      <c r="BO58" s="186"/>
      <c r="BP58" s="187"/>
      <c r="BQ58" s="188"/>
      <c r="BR58" s="189"/>
      <c r="BS58" s="186"/>
      <c r="BT58" s="187"/>
      <c r="BU58" s="188"/>
      <c r="BV58" s="189"/>
      <c r="BW58" s="186"/>
      <c r="BX58" s="187"/>
      <c r="BY58" s="188"/>
      <c r="BZ58" s="189"/>
      <c r="CA58" s="186"/>
      <c r="CB58" s="190"/>
      <c r="CC58" s="190"/>
      <c r="CD58" s="82">
        <f t="shared" si="142"/>
        <v>0</v>
      </c>
      <c r="CE58" s="82">
        <f t="shared" si="143"/>
        <v>0</v>
      </c>
      <c r="CF58" s="82">
        <f t="shared" si="144"/>
        <v>0</v>
      </c>
      <c r="CG58" s="82">
        <f t="shared" si="145"/>
        <v>0</v>
      </c>
      <c r="CH58" s="82">
        <f t="shared" si="146"/>
        <v>0</v>
      </c>
      <c r="CI58" s="82">
        <f t="shared" si="147"/>
        <v>0</v>
      </c>
      <c r="CJ58" s="82">
        <f t="shared" si="148"/>
        <v>0</v>
      </c>
      <c r="CK58" s="82">
        <f t="shared" si="149"/>
        <v>0</v>
      </c>
      <c r="CL58" s="82">
        <f t="shared" si="150"/>
        <v>0</v>
      </c>
      <c r="CM58" s="82">
        <f t="shared" si="151"/>
        <v>0</v>
      </c>
      <c r="CN58" s="82">
        <f t="shared" si="152"/>
        <v>0</v>
      </c>
      <c r="CO58" s="82">
        <f t="shared" si="153"/>
        <v>0</v>
      </c>
      <c r="CP58" s="82">
        <f t="shared" si="154"/>
        <v>0</v>
      </c>
      <c r="CQ58" s="82">
        <f t="shared" si="155"/>
        <v>0</v>
      </c>
      <c r="CR58" s="82">
        <f t="shared" si="156"/>
        <v>0</v>
      </c>
      <c r="CS58" s="82">
        <f t="shared" si="157"/>
        <v>0</v>
      </c>
      <c r="CT58" s="82">
        <f t="shared" si="158"/>
        <v>0</v>
      </c>
      <c r="CU58" s="82">
        <f t="shared" si="159"/>
        <v>0</v>
      </c>
      <c r="CV58" s="82">
        <f t="shared" si="160"/>
        <v>0</v>
      </c>
      <c r="CW58" s="82">
        <f t="shared" si="161"/>
        <v>0</v>
      </c>
      <c r="CX58" s="82">
        <f t="shared" si="162"/>
        <v>0</v>
      </c>
      <c r="CY58" s="82">
        <f t="shared" si="163"/>
        <v>0</v>
      </c>
      <c r="CZ58" s="82">
        <f t="shared" si="164"/>
        <v>0</v>
      </c>
      <c r="DA58" s="82">
        <f t="shared" si="165"/>
        <v>0</v>
      </c>
      <c r="DB58" s="82">
        <f t="shared" si="166"/>
        <v>0</v>
      </c>
      <c r="DC58" s="82">
        <f t="shared" si="167"/>
        <v>0</v>
      </c>
      <c r="DD58" s="82">
        <f t="shared" si="168"/>
        <v>0</v>
      </c>
      <c r="DE58" s="82">
        <f t="shared" si="169"/>
        <v>0</v>
      </c>
      <c r="DF58" s="82">
        <f t="shared" si="170"/>
        <v>0</v>
      </c>
      <c r="DG58" s="82">
        <f t="shared" si="171"/>
        <v>0</v>
      </c>
      <c r="DH58" s="82">
        <f t="shared" si="172"/>
        <v>0</v>
      </c>
      <c r="DI58" s="82">
        <f t="shared" si="173"/>
        <v>0</v>
      </c>
      <c r="DJ58" s="82">
        <f t="shared" si="174"/>
        <v>0</v>
      </c>
      <c r="DK58" s="82">
        <f t="shared" si="175"/>
        <v>0</v>
      </c>
      <c r="DL58" s="82">
        <f t="shared" si="176"/>
        <v>0</v>
      </c>
      <c r="DM58" s="82">
        <f t="shared" si="177"/>
        <v>0</v>
      </c>
      <c r="DN58" s="82">
        <f t="shared" si="178"/>
        <v>0</v>
      </c>
      <c r="DO58" s="82">
        <f t="shared" si="179"/>
        <v>0</v>
      </c>
      <c r="DP58" s="82">
        <f t="shared" si="180"/>
        <v>0</v>
      </c>
      <c r="DQ58" s="82">
        <f t="shared" si="181"/>
        <v>0</v>
      </c>
      <c r="DR58" s="82">
        <f t="shared" si="182"/>
        <v>0</v>
      </c>
      <c r="DS58" s="82">
        <f t="shared" si="183"/>
        <v>0</v>
      </c>
      <c r="DT58" s="82">
        <f t="shared" si="184"/>
        <v>0</v>
      </c>
      <c r="DU58" s="82">
        <f t="shared" si="185"/>
        <v>0</v>
      </c>
      <c r="DV58" s="82">
        <f t="shared" si="186"/>
        <v>0</v>
      </c>
      <c r="DW58" s="82">
        <f t="shared" si="187"/>
        <v>0</v>
      </c>
      <c r="DX58" s="82">
        <f t="shared" si="188"/>
        <v>0</v>
      </c>
      <c r="DY58" s="82">
        <f t="shared" si="189"/>
        <v>0</v>
      </c>
      <c r="DZ58" s="82">
        <f t="shared" si="190"/>
        <v>0</v>
      </c>
      <c r="EA58" s="82">
        <f t="shared" si="191"/>
        <v>0</v>
      </c>
      <c r="EB58" s="82">
        <f t="shared" si="192"/>
        <v>0</v>
      </c>
      <c r="EC58" s="82">
        <f t="shared" si="193"/>
        <v>0</v>
      </c>
      <c r="ED58" s="82">
        <f t="shared" si="194"/>
        <v>0</v>
      </c>
      <c r="EE58" s="82">
        <f t="shared" si="195"/>
        <v>0</v>
      </c>
      <c r="EF58" s="82">
        <f t="shared" si="196"/>
        <v>0</v>
      </c>
      <c r="EG58" s="82">
        <f t="shared" si="197"/>
        <v>0</v>
      </c>
      <c r="EH58" s="82">
        <f t="shared" si="198"/>
        <v>0</v>
      </c>
      <c r="EI58" s="82">
        <f t="shared" si="199"/>
        <v>0</v>
      </c>
      <c r="EJ58" s="82">
        <f t="shared" si="200"/>
        <v>0</v>
      </c>
      <c r="EK58" s="82">
        <f t="shared" si="201"/>
        <v>0</v>
      </c>
      <c r="EL58" s="82">
        <f t="shared" si="202"/>
        <v>0</v>
      </c>
      <c r="EM58" s="82">
        <f t="shared" si="203"/>
        <v>0</v>
      </c>
      <c r="EN58" s="82">
        <f t="shared" si="204"/>
        <v>0</v>
      </c>
      <c r="EO58" s="82">
        <f t="shared" si="205"/>
        <v>0</v>
      </c>
      <c r="EP58" s="82">
        <f t="shared" si="206"/>
        <v>0</v>
      </c>
      <c r="EQ58" s="82">
        <f t="shared" si="207"/>
        <v>0</v>
      </c>
      <c r="ER58" s="82">
        <f t="shared" si="208"/>
        <v>0</v>
      </c>
      <c r="ES58" s="82">
        <f t="shared" si="209"/>
        <v>0</v>
      </c>
      <c r="ET58" s="82">
        <f t="shared" si="210"/>
        <v>0</v>
      </c>
      <c r="EU58" s="82">
        <f t="shared" si="211"/>
        <v>0</v>
      </c>
      <c r="EV58" s="82">
        <f t="shared" si="212"/>
        <v>0</v>
      </c>
      <c r="EW58" s="82">
        <f t="shared" si="213"/>
        <v>0</v>
      </c>
      <c r="EX58" s="82">
        <f t="shared" si="214"/>
        <v>0</v>
      </c>
      <c r="EY58" s="111">
        <f t="shared" si="215"/>
        <v>0</v>
      </c>
      <c r="EZ58" s="143">
        <f t="shared" ca="1" si="216"/>
        <v>0</v>
      </c>
      <c r="FA58" s="112">
        <f t="shared" ca="1" si="217"/>
        <v>0</v>
      </c>
      <c r="FB58" s="113">
        <f t="shared" ca="1" si="218"/>
        <v>0</v>
      </c>
      <c r="FC58" s="114">
        <f t="shared" ca="1" si="219"/>
        <v>0</v>
      </c>
      <c r="FD58" s="115">
        <f t="shared" ca="1" si="220"/>
        <v>0</v>
      </c>
      <c r="FE58" s="116">
        <f t="shared" ca="1" si="221"/>
        <v>0</v>
      </c>
      <c r="FF58" s="117">
        <f t="shared" ca="1" si="222"/>
        <v>0</v>
      </c>
      <c r="FG58" s="71">
        <f t="shared" si="223"/>
        <v>0</v>
      </c>
      <c r="FH58" s="530">
        <f t="shared" ca="1" si="224"/>
        <v>0</v>
      </c>
      <c r="FI58" s="72">
        <f ca="1">0.9*FB58</f>
        <v>0</v>
      </c>
      <c r="FJ58" s="72">
        <f t="shared" ref="FJ58" ca="1" si="227">FA58</f>
        <v>0</v>
      </c>
      <c r="FK58" s="72">
        <f t="shared" ref="FK58" ca="1" si="228">SUM(FI58:FJ58)</f>
        <v>0</v>
      </c>
      <c r="FM58" s="421" t="str">
        <f t="shared" si="122"/>
        <v>L03-310_LndyRaccBbrd</v>
      </c>
      <c r="FN58" s="422" t="str">
        <f t="shared" ca="1" si="123"/>
        <v>Laundry/Washing Area</v>
      </c>
      <c r="FO58" s="423">
        <f t="shared" ca="1" si="226"/>
        <v>0</v>
      </c>
      <c r="FP58" s="423">
        <f t="shared" ca="1" si="226"/>
        <v>0</v>
      </c>
      <c r="FQ58" s="423">
        <f t="shared" ca="1" si="226"/>
        <v>0</v>
      </c>
      <c r="FR58" s="423">
        <f t="shared" ca="1" si="226"/>
        <v>0</v>
      </c>
      <c r="FS58" s="423">
        <f t="shared" ca="1" si="226"/>
        <v>0</v>
      </c>
      <c r="FT58" s="423">
        <f t="shared" ca="1" si="226"/>
        <v>0</v>
      </c>
      <c r="FU58" s="423">
        <f t="shared" ca="1" si="226"/>
        <v>0</v>
      </c>
      <c r="FV58" s="423">
        <f t="shared" ca="1" si="226"/>
        <v>0</v>
      </c>
      <c r="FW58" s="423">
        <f t="shared" ca="1" si="226"/>
        <v>0</v>
      </c>
      <c r="FX58" s="423">
        <f t="shared" ca="1" si="226"/>
        <v>0</v>
      </c>
      <c r="FY58" s="423">
        <f t="shared" ca="1" si="226"/>
        <v>0</v>
      </c>
      <c r="FZ58" s="423">
        <f t="shared" ca="1" si="226"/>
        <v>0</v>
      </c>
      <c r="GA58" s="423">
        <f t="shared" ca="1" si="226"/>
        <v>0</v>
      </c>
      <c r="GB58" s="423">
        <f t="shared" ca="1" si="226"/>
        <v>0</v>
      </c>
      <c r="GC58" s="423">
        <f t="shared" ca="1" si="226"/>
        <v>0</v>
      </c>
      <c r="GD58" s="423">
        <f t="shared" ca="1" si="225"/>
        <v>0</v>
      </c>
      <c r="GE58" s="423">
        <f t="shared" ca="1" si="139"/>
        <v>0</v>
      </c>
      <c r="GF58" s="423">
        <f t="shared" ca="1" si="139"/>
        <v>0</v>
      </c>
      <c r="GG58" s="423">
        <f t="shared" ca="1" si="139"/>
        <v>0</v>
      </c>
      <c r="GH58" s="423">
        <f t="shared" ca="1" si="139"/>
        <v>0</v>
      </c>
      <c r="GI58" s="423">
        <f t="shared" ca="1" si="139"/>
        <v>0</v>
      </c>
      <c r="GJ58" s="423">
        <f t="shared" ca="1" si="139"/>
        <v>0</v>
      </c>
      <c r="GK58" s="423">
        <f t="shared" ca="1" si="139"/>
        <v>0</v>
      </c>
      <c r="GL58" s="423">
        <f t="shared" ca="1" si="139"/>
        <v>0</v>
      </c>
      <c r="GM58" s="423">
        <f t="shared" ca="1" si="139"/>
        <v>0</v>
      </c>
      <c r="GN58" s="423">
        <f t="shared" ca="1" si="139"/>
        <v>0</v>
      </c>
      <c r="GO58" s="423">
        <f t="shared" ca="1" si="139"/>
        <v>0</v>
      </c>
      <c r="GP58" s="423">
        <f t="shared" ca="1" si="139"/>
        <v>0</v>
      </c>
      <c r="GQ58" s="423">
        <f t="shared" ca="1" si="139"/>
        <v>0</v>
      </c>
      <c r="GR58" s="423">
        <f t="shared" ca="1" si="139"/>
        <v>0</v>
      </c>
      <c r="GS58" s="423">
        <f t="shared" ca="1" si="139"/>
        <v>0</v>
      </c>
      <c r="GT58" s="423">
        <f t="shared" ref="GT58:HI73" ca="1" si="229">IFERROR(ROUNDDOWN(SUMIF($H58:$CC58,GT$11,$CD58:$EX58)/GT$10,0),0)</f>
        <v>0</v>
      </c>
      <c r="GU58" s="423">
        <f t="shared" ca="1" si="140"/>
        <v>0</v>
      </c>
      <c r="GV58" s="423">
        <f t="shared" ca="1" si="140"/>
        <v>0</v>
      </c>
      <c r="GW58" s="423">
        <f t="shared" ca="1" si="140"/>
        <v>0</v>
      </c>
      <c r="GX58" s="423">
        <f t="shared" ca="1" si="140"/>
        <v>0</v>
      </c>
      <c r="GY58" s="423">
        <f t="shared" ca="1" si="140"/>
        <v>0</v>
      </c>
      <c r="GZ58" s="423">
        <f t="shared" ca="1" si="140"/>
        <v>0</v>
      </c>
      <c r="HA58" s="423">
        <f t="shared" ca="1" si="140"/>
        <v>0</v>
      </c>
      <c r="HB58" s="423">
        <f t="shared" ca="1" si="140"/>
        <v>0</v>
      </c>
      <c r="HC58" s="423">
        <f t="shared" ca="1" si="140"/>
        <v>0</v>
      </c>
      <c r="HD58" s="423">
        <f t="shared" ca="1" si="140"/>
        <v>0</v>
      </c>
      <c r="HE58" s="423">
        <f t="shared" ca="1" si="140"/>
        <v>0</v>
      </c>
      <c r="HF58" s="423">
        <f t="shared" ca="1" si="140"/>
        <v>0</v>
      </c>
      <c r="HG58" s="423">
        <f t="shared" ca="1" si="140"/>
        <v>0</v>
      </c>
      <c r="HH58" s="423">
        <f t="shared" ca="1" si="140"/>
        <v>0</v>
      </c>
      <c r="HI58" s="423">
        <f t="shared" ca="1" si="140"/>
        <v>0</v>
      </c>
      <c r="HJ58" s="423">
        <f t="shared" ref="HJ58:HT73" ca="1" si="230">IFERROR(ROUNDDOWN(SUMIF($H58:$CC58,HJ$11,$CD58:$EX58)/HJ$10,0),0)</f>
        <v>0</v>
      </c>
      <c r="HK58" s="423">
        <f t="shared" ca="1" si="141"/>
        <v>0</v>
      </c>
      <c r="HL58" s="423">
        <f t="shared" ca="1" si="141"/>
        <v>0</v>
      </c>
      <c r="HM58" s="423">
        <f t="shared" ca="1" si="141"/>
        <v>0</v>
      </c>
      <c r="HN58" s="423">
        <f t="shared" ca="1" si="141"/>
        <v>0</v>
      </c>
      <c r="HO58" s="423">
        <f t="shared" ca="1" si="141"/>
        <v>0</v>
      </c>
      <c r="HP58" s="423">
        <f t="shared" ca="1" si="141"/>
        <v>0</v>
      </c>
      <c r="HQ58" s="423">
        <f t="shared" ca="1" si="141"/>
        <v>0</v>
      </c>
      <c r="HR58" s="423">
        <f t="shared" ca="1" si="141"/>
        <v>0</v>
      </c>
      <c r="HS58" s="423">
        <f t="shared" ca="1" si="141"/>
        <v>0</v>
      </c>
      <c r="HT58" s="423">
        <f t="shared" ca="1" si="141"/>
        <v>0</v>
      </c>
    </row>
    <row r="59" spans="1:228" ht="11.25" customHeight="1" x14ac:dyDescent="0.2">
      <c r="A59" s="62">
        <f t="shared" si="128"/>
        <v>48</v>
      </c>
      <c r="B59" s="60" t="str">
        <f>Spaces_Sum!C104</f>
        <v>L03-311_ElevRaccIncd</v>
      </c>
      <c r="C59" s="62" t="str">
        <f>Spaces_Sum!D104</f>
        <v>L03</v>
      </c>
      <c r="D59" s="62" t="str">
        <f ca="1">Spaces_Sum!I104</f>
        <v>IndirectlyConditioned</v>
      </c>
      <c r="F59" s="110">
        <f ca="1">Spaces_Sum!M104</f>
        <v>211.21340000000001</v>
      </c>
      <c r="G59" s="110" t="str">
        <f ca="1">Spaces_Sum!J104</f>
        <v>Unoccupied-Include in Gross Floor Area</v>
      </c>
      <c r="H59" s="532"/>
      <c r="I59" s="185"/>
      <c r="J59" s="185"/>
      <c r="K59" s="186"/>
      <c r="L59" s="187"/>
      <c r="M59" s="188"/>
      <c r="N59" s="189"/>
      <c r="O59" s="186"/>
      <c r="P59" s="187"/>
      <c r="Q59" s="188"/>
      <c r="R59" s="189"/>
      <c r="S59" s="186"/>
      <c r="T59" s="187"/>
      <c r="U59" s="188"/>
      <c r="V59" s="189"/>
      <c r="W59" s="186"/>
      <c r="X59" s="187"/>
      <c r="Y59" s="188"/>
      <c r="Z59" s="189"/>
      <c r="AA59" s="186"/>
      <c r="AB59" s="187"/>
      <c r="AC59" s="188"/>
      <c r="AD59" s="189"/>
      <c r="AE59" s="186"/>
      <c r="AF59" s="187"/>
      <c r="AG59" s="188"/>
      <c r="AH59" s="189"/>
      <c r="AI59" s="186"/>
      <c r="AJ59" s="187"/>
      <c r="AK59" s="188"/>
      <c r="AL59" s="189"/>
      <c r="AM59" s="186"/>
      <c r="AN59" s="187"/>
      <c r="AO59" s="188"/>
      <c r="AP59" s="189"/>
      <c r="AQ59" s="186"/>
      <c r="AR59" s="187"/>
      <c r="AS59" s="188"/>
      <c r="AT59" s="189"/>
      <c r="AU59" s="186"/>
      <c r="AV59" s="187"/>
      <c r="AW59" s="188"/>
      <c r="AX59" s="189"/>
      <c r="AY59" s="186"/>
      <c r="AZ59" s="187"/>
      <c r="BA59" s="188"/>
      <c r="BB59" s="189"/>
      <c r="BC59" s="186"/>
      <c r="BD59" s="187"/>
      <c r="BE59" s="188"/>
      <c r="BF59" s="189"/>
      <c r="BG59" s="186"/>
      <c r="BH59" s="187"/>
      <c r="BI59" s="188"/>
      <c r="BJ59" s="189"/>
      <c r="BK59" s="186"/>
      <c r="BL59" s="187"/>
      <c r="BM59" s="188"/>
      <c r="BN59" s="189"/>
      <c r="BO59" s="186"/>
      <c r="BP59" s="187"/>
      <c r="BQ59" s="188"/>
      <c r="BR59" s="189"/>
      <c r="BS59" s="186"/>
      <c r="BT59" s="187"/>
      <c r="BU59" s="188"/>
      <c r="BV59" s="189"/>
      <c r="BW59" s="186"/>
      <c r="BX59" s="187"/>
      <c r="BY59" s="188"/>
      <c r="BZ59" s="189"/>
      <c r="CA59" s="186"/>
      <c r="CB59" s="190"/>
      <c r="CC59" s="190"/>
      <c r="CD59" s="82">
        <f t="shared" si="142"/>
        <v>0</v>
      </c>
      <c r="CE59" s="82">
        <f t="shared" si="143"/>
        <v>0</v>
      </c>
      <c r="CF59" s="82">
        <f t="shared" si="144"/>
        <v>0</v>
      </c>
      <c r="CG59" s="82">
        <f t="shared" si="145"/>
        <v>0</v>
      </c>
      <c r="CH59" s="82">
        <f t="shared" si="146"/>
        <v>0</v>
      </c>
      <c r="CI59" s="82">
        <f t="shared" si="147"/>
        <v>0</v>
      </c>
      <c r="CJ59" s="82">
        <f t="shared" si="148"/>
        <v>0</v>
      </c>
      <c r="CK59" s="82">
        <f t="shared" si="149"/>
        <v>0</v>
      </c>
      <c r="CL59" s="82">
        <f t="shared" si="150"/>
        <v>0</v>
      </c>
      <c r="CM59" s="82">
        <f t="shared" si="151"/>
        <v>0</v>
      </c>
      <c r="CN59" s="82">
        <f t="shared" si="152"/>
        <v>0</v>
      </c>
      <c r="CO59" s="82">
        <f t="shared" si="153"/>
        <v>0</v>
      </c>
      <c r="CP59" s="82">
        <f t="shared" si="154"/>
        <v>0</v>
      </c>
      <c r="CQ59" s="82">
        <f t="shared" si="155"/>
        <v>0</v>
      </c>
      <c r="CR59" s="82">
        <f t="shared" si="156"/>
        <v>0</v>
      </c>
      <c r="CS59" s="82">
        <f t="shared" si="157"/>
        <v>0</v>
      </c>
      <c r="CT59" s="82">
        <f t="shared" si="158"/>
        <v>0</v>
      </c>
      <c r="CU59" s="82">
        <f t="shared" si="159"/>
        <v>0</v>
      </c>
      <c r="CV59" s="82">
        <f t="shared" si="160"/>
        <v>0</v>
      </c>
      <c r="CW59" s="82">
        <f t="shared" si="161"/>
        <v>0</v>
      </c>
      <c r="CX59" s="82">
        <f t="shared" si="162"/>
        <v>0</v>
      </c>
      <c r="CY59" s="82">
        <f t="shared" si="163"/>
        <v>0</v>
      </c>
      <c r="CZ59" s="82">
        <f t="shared" si="164"/>
        <v>0</v>
      </c>
      <c r="DA59" s="82">
        <f t="shared" si="165"/>
        <v>0</v>
      </c>
      <c r="DB59" s="82">
        <f t="shared" si="166"/>
        <v>0</v>
      </c>
      <c r="DC59" s="82">
        <f t="shared" si="167"/>
        <v>0</v>
      </c>
      <c r="DD59" s="82">
        <f t="shared" si="168"/>
        <v>0</v>
      </c>
      <c r="DE59" s="82">
        <f t="shared" si="169"/>
        <v>0</v>
      </c>
      <c r="DF59" s="82">
        <f t="shared" si="170"/>
        <v>0</v>
      </c>
      <c r="DG59" s="82">
        <f t="shared" si="171"/>
        <v>0</v>
      </c>
      <c r="DH59" s="82">
        <f t="shared" si="172"/>
        <v>0</v>
      </c>
      <c r="DI59" s="82">
        <f t="shared" si="173"/>
        <v>0</v>
      </c>
      <c r="DJ59" s="82">
        <f t="shared" si="174"/>
        <v>0</v>
      </c>
      <c r="DK59" s="82">
        <f t="shared" si="175"/>
        <v>0</v>
      </c>
      <c r="DL59" s="82">
        <f t="shared" si="176"/>
        <v>0</v>
      </c>
      <c r="DM59" s="82">
        <f t="shared" si="177"/>
        <v>0</v>
      </c>
      <c r="DN59" s="82">
        <f t="shared" si="178"/>
        <v>0</v>
      </c>
      <c r="DO59" s="82">
        <f t="shared" si="179"/>
        <v>0</v>
      </c>
      <c r="DP59" s="82">
        <f t="shared" si="180"/>
        <v>0</v>
      </c>
      <c r="DQ59" s="82">
        <f t="shared" si="181"/>
        <v>0</v>
      </c>
      <c r="DR59" s="82">
        <f t="shared" si="182"/>
        <v>0</v>
      </c>
      <c r="DS59" s="82">
        <f t="shared" si="183"/>
        <v>0</v>
      </c>
      <c r="DT59" s="82">
        <f t="shared" si="184"/>
        <v>0</v>
      </c>
      <c r="DU59" s="82">
        <f t="shared" si="185"/>
        <v>0</v>
      </c>
      <c r="DV59" s="82">
        <f t="shared" si="186"/>
        <v>0</v>
      </c>
      <c r="DW59" s="82">
        <f t="shared" si="187"/>
        <v>0</v>
      </c>
      <c r="DX59" s="82">
        <f t="shared" si="188"/>
        <v>0</v>
      </c>
      <c r="DY59" s="82">
        <f t="shared" si="189"/>
        <v>0</v>
      </c>
      <c r="DZ59" s="82">
        <f t="shared" si="190"/>
        <v>0</v>
      </c>
      <c r="EA59" s="82">
        <f t="shared" si="191"/>
        <v>0</v>
      </c>
      <c r="EB59" s="82">
        <f t="shared" si="192"/>
        <v>0</v>
      </c>
      <c r="EC59" s="82">
        <f t="shared" si="193"/>
        <v>0</v>
      </c>
      <c r="ED59" s="82">
        <f t="shared" si="194"/>
        <v>0</v>
      </c>
      <c r="EE59" s="82">
        <f t="shared" si="195"/>
        <v>0</v>
      </c>
      <c r="EF59" s="82">
        <f t="shared" si="196"/>
        <v>0</v>
      </c>
      <c r="EG59" s="82">
        <f t="shared" si="197"/>
        <v>0</v>
      </c>
      <c r="EH59" s="82">
        <f t="shared" si="198"/>
        <v>0</v>
      </c>
      <c r="EI59" s="82">
        <f t="shared" si="199"/>
        <v>0</v>
      </c>
      <c r="EJ59" s="82">
        <f t="shared" si="200"/>
        <v>0</v>
      </c>
      <c r="EK59" s="82">
        <f t="shared" si="201"/>
        <v>0</v>
      </c>
      <c r="EL59" s="82">
        <f t="shared" si="202"/>
        <v>0</v>
      </c>
      <c r="EM59" s="82">
        <f t="shared" si="203"/>
        <v>0</v>
      </c>
      <c r="EN59" s="82">
        <f t="shared" si="204"/>
        <v>0</v>
      </c>
      <c r="EO59" s="82">
        <f t="shared" si="205"/>
        <v>0</v>
      </c>
      <c r="EP59" s="82">
        <f t="shared" si="206"/>
        <v>0</v>
      </c>
      <c r="EQ59" s="82">
        <f t="shared" si="207"/>
        <v>0</v>
      </c>
      <c r="ER59" s="82">
        <f t="shared" si="208"/>
        <v>0</v>
      </c>
      <c r="ES59" s="82">
        <f t="shared" si="209"/>
        <v>0</v>
      </c>
      <c r="ET59" s="82">
        <f t="shared" si="210"/>
        <v>0</v>
      </c>
      <c r="EU59" s="82">
        <f t="shared" si="211"/>
        <v>0</v>
      </c>
      <c r="EV59" s="82">
        <f t="shared" si="212"/>
        <v>0</v>
      </c>
      <c r="EW59" s="82">
        <f t="shared" si="213"/>
        <v>0</v>
      </c>
      <c r="EX59" s="82">
        <f t="shared" si="214"/>
        <v>0</v>
      </c>
      <c r="EY59" s="111">
        <f t="shared" si="215"/>
        <v>0</v>
      </c>
      <c r="EZ59" s="143">
        <f t="shared" ca="1" si="216"/>
        <v>0</v>
      </c>
      <c r="FA59" s="112">
        <f t="shared" ca="1" si="217"/>
        <v>0</v>
      </c>
      <c r="FB59" s="113">
        <f t="shared" ca="1" si="218"/>
        <v>0</v>
      </c>
      <c r="FC59" s="114">
        <f t="shared" ca="1" si="219"/>
        <v>0</v>
      </c>
      <c r="FD59" s="115">
        <f t="shared" ca="1" si="220"/>
        <v>0</v>
      </c>
      <c r="FE59" s="116">
        <f t="shared" ca="1" si="221"/>
        <v>0</v>
      </c>
      <c r="FF59" s="117">
        <f t="shared" ca="1" si="222"/>
        <v>0</v>
      </c>
      <c r="FG59" s="71">
        <f t="shared" si="223"/>
        <v>0</v>
      </c>
      <c r="FH59" s="530">
        <f t="shared" ca="1" si="224"/>
        <v>0</v>
      </c>
      <c r="FI59" s="72"/>
      <c r="FJ59" s="72"/>
      <c r="FK59" s="72"/>
      <c r="FM59" s="421" t="str">
        <f t="shared" si="122"/>
        <v>L03-311_ElevRaccIncd</v>
      </c>
      <c r="FN59" s="422" t="str">
        <f t="shared" ca="1" si="123"/>
        <v>Unoccupied-Include in Gross Floor Area</v>
      </c>
      <c r="FO59" s="423">
        <f t="shared" ca="1" si="226"/>
        <v>0</v>
      </c>
      <c r="FP59" s="423">
        <f t="shared" ca="1" si="226"/>
        <v>0</v>
      </c>
      <c r="FQ59" s="423">
        <f t="shared" ca="1" si="226"/>
        <v>0</v>
      </c>
      <c r="FR59" s="423">
        <f t="shared" ca="1" si="226"/>
        <v>0</v>
      </c>
      <c r="FS59" s="423">
        <f t="shared" ca="1" si="226"/>
        <v>0</v>
      </c>
      <c r="FT59" s="423">
        <f t="shared" ca="1" si="226"/>
        <v>0</v>
      </c>
      <c r="FU59" s="423">
        <f t="shared" ca="1" si="226"/>
        <v>0</v>
      </c>
      <c r="FV59" s="423">
        <f t="shared" ca="1" si="226"/>
        <v>0</v>
      </c>
      <c r="FW59" s="423">
        <f t="shared" ca="1" si="226"/>
        <v>0</v>
      </c>
      <c r="FX59" s="423">
        <f t="shared" ca="1" si="226"/>
        <v>0</v>
      </c>
      <c r="FY59" s="423">
        <f t="shared" ca="1" si="226"/>
        <v>0</v>
      </c>
      <c r="FZ59" s="423">
        <f t="shared" ca="1" si="226"/>
        <v>0</v>
      </c>
      <c r="GA59" s="423">
        <f t="shared" ca="1" si="226"/>
        <v>0</v>
      </c>
      <c r="GB59" s="423">
        <f t="shared" ca="1" si="226"/>
        <v>0</v>
      </c>
      <c r="GC59" s="423">
        <f t="shared" ca="1" si="226"/>
        <v>0</v>
      </c>
      <c r="GD59" s="423">
        <f t="shared" ca="1" si="225"/>
        <v>0</v>
      </c>
      <c r="GE59" s="423">
        <f t="shared" ca="1" si="225"/>
        <v>0</v>
      </c>
      <c r="GF59" s="423">
        <f t="shared" ca="1" si="225"/>
        <v>0</v>
      </c>
      <c r="GG59" s="423">
        <f t="shared" ca="1" si="225"/>
        <v>0</v>
      </c>
      <c r="GH59" s="423">
        <f t="shared" ca="1" si="225"/>
        <v>0</v>
      </c>
      <c r="GI59" s="423">
        <f t="shared" ca="1" si="225"/>
        <v>0</v>
      </c>
      <c r="GJ59" s="423">
        <f t="shared" ca="1" si="225"/>
        <v>0</v>
      </c>
      <c r="GK59" s="423">
        <f t="shared" ca="1" si="225"/>
        <v>0</v>
      </c>
      <c r="GL59" s="423">
        <f t="shared" ca="1" si="225"/>
        <v>0</v>
      </c>
      <c r="GM59" s="423">
        <f t="shared" ca="1" si="225"/>
        <v>0</v>
      </c>
      <c r="GN59" s="423">
        <f t="shared" ca="1" si="225"/>
        <v>0</v>
      </c>
      <c r="GO59" s="423">
        <f t="shared" ca="1" si="225"/>
        <v>0</v>
      </c>
      <c r="GP59" s="423">
        <f t="shared" ca="1" si="225"/>
        <v>0</v>
      </c>
      <c r="GQ59" s="423">
        <f t="shared" ca="1" si="225"/>
        <v>0</v>
      </c>
      <c r="GR59" s="423">
        <f t="shared" ca="1" si="225"/>
        <v>0</v>
      </c>
      <c r="GS59" s="423">
        <f t="shared" ca="1" si="225"/>
        <v>0</v>
      </c>
      <c r="GT59" s="423">
        <f t="shared" ca="1" si="229"/>
        <v>0</v>
      </c>
      <c r="GU59" s="423">
        <f t="shared" ca="1" si="229"/>
        <v>0</v>
      </c>
      <c r="GV59" s="423">
        <f t="shared" ca="1" si="229"/>
        <v>0</v>
      </c>
      <c r="GW59" s="423">
        <f t="shared" ca="1" si="229"/>
        <v>0</v>
      </c>
      <c r="GX59" s="423">
        <f t="shared" ca="1" si="229"/>
        <v>0</v>
      </c>
      <c r="GY59" s="423">
        <f t="shared" ca="1" si="229"/>
        <v>0</v>
      </c>
      <c r="GZ59" s="423">
        <f t="shared" ca="1" si="229"/>
        <v>0</v>
      </c>
      <c r="HA59" s="423">
        <f t="shared" ca="1" si="229"/>
        <v>0</v>
      </c>
      <c r="HB59" s="423">
        <f t="shared" ca="1" si="229"/>
        <v>0</v>
      </c>
      <c r="HC59" s="423">
        <f t="shared" ca="1" si="229"/>
        <v>0</v>
      </c>
      <c r="HD59" s="423">
        <f t="shared" ca="1" si="229"/>
        <v>0</v>
      </c>
      <c r="HE59" s="423">
        <f t="shared" ca="1" si="229"/>
        <v>0</v>
      </c>
      <c r="HF59" s="423">
        <f t="shared" ca="1" si="229"/>
        <v>0</v>
      </c>
      <c r="HG59" s="423">
        <f t="shared" ca="1" si="229"/>
        <v>0</v>
      </c>
      <c r="HH59" s="423">
        <f t="shared" ca="1" si="229"/>
        <v>0</v>
      </c>
      <c r="HI59" s="423">
        <f t="shared" ca="1" si="229"/>
        <v>0</v>
      </c>
      <c r="HJ59" s="423">
        <f t="shared" ca="1" si="230"/>
        <v>0</v>
      </c>
      <c r="HK59" s="423">
        <f t="shared" ca="1" si="230"/>
        <v>0</v>
      </c>
      <c r="HL59" s="423">
        <f t="shared" ca="1" si="230"/>
        <v>0</v>
      </c>
      <c r="HM59" s="423">
        <f t="shared" ca="1" si="230"/>
        <v>0</v>
      </c>
      <c r="HN59" s="423">
        <f t="shared" ca="1" si="230"/>
        <v>0</v>
      </c>
      <c r="HO59" s="423">
        <f t="shared" ca="1" si="230"/>
        <v>0</v>
      </c>
      <c r="HP59" s="423">
        <f t="shared" ca="1" si="230"/>
        <v>0</v>
      </c>
      <c r="HQ59" s="423">
        <f t="shared" ca="1" si="230"/>
        <v>0</v>
      </c>
      <c r="HR59" s="423">
        <f t="shared" ca="1" si="230"/>
        <v>0</v>
      </c>
      <c r="HS59" s="423">
        <f t="shared" ca="1" si="230"/>
        <v>0</v>
      </c>
      <c r="HT59" s="423">
        <f t="shared" ca="1" si="230"/>
        <v>0</v>
      </c>
    </row>
    <row r="60" spans="1:228" ht="11.25" customHeight="1" x14ac:dyDescent="0.2">
      <c r="A60" s="62">
        <f t="shared" si="128"/>
        <v>49</v>
      </c>
      <c r="B60" s="60" t="str">
        <f>Spaces_Sum!C105</f>
        <v>L03-312_StrsRaccIncd</v>
      </c>
      <c r="C60" s="62" t="str">
        <f>Spaces_Sum!D105</f>
        <v>L03</v>
      </c>
      <c r="D60" s="62" t="str">
        <f ca="1">Spaces_Sum!I105</f>
        <v>IndirectlyConditioned</v>
      </c>
      <c r="F60" s="110">
        <f ca="1">Spaces_Sum!M105</f>
        <v>236.34819999999999</v>
      </c>
      <c r="G60" s="110" t="str">
        <f ca="1">Spaces_Sum!J105</f>
        <v>Stairwell</v>
      </c>
      <c r="H60" s="532"/>
      <c r="I60" s="185"/>
      <c r="J60" s="185"/>
      <c r="K60" s="186"/>
      <c r="L60" s="187"/>
      <c r="M60" s="188"/>
      <c r="N60" s="189"/>
      <c r="O60" s="186"/>
      <c r="P60" s="187"/>
      <c r="Q60" s="188"/>
      <c r="R60" s="189"/>
      <c r="S60" s="186"/>
      <c r="T60" s="187"/>
      <c r="U60" s="188"/>
      <c r="V60" s="189"/>
      <c r="W60" s="186"/>
      <c r="X60" s="187"/>
      <c r="Y60" s="188"/>
      <c r="Z60" s="189"/>
      <c r="AA60" s="186"/>
      <c r="AB60" s="187"/>
      <c r="AC60" s="188"/>
      <c r="AD60" s="189"/>
      <c r="AE60" s="186"/>
      <c r="AF60" s="187"/>
      <c r="AG60" s="188"/>
      <c r="AH60" s="189"/>
      <c r="AI60" s="186"/>
      <c r="AJ60" s="187"/>
      <c r="AK60" s="188"/>
      <c r="AL60" s="189"/>
      <c r="AM60" s="186"/>
      <c r="AN60" s="187"/>
      <c r="AO60" s="188"/>
      <c r="AP60" s="189"/>
      <c r="AQ60" s="186"/>
      <c r="AR60" s="187"/>
      <c r="AS60" s="188"/>
      <c r="AT60" s="189"/>
      <c r="AU60" s="186"/>
      <c r="AV60" s="187"/>
      <c r="AW60" s="188"/>
      <c r="AX60" s="189"/>
      <c r="AY60" s="186"/>
      <c r="AZ60" s="187"/>
      <c r="BA60" s="188"/>
      <c r="BB60" s="189"/>
      <c r="BC60" s="186"/>
      <c r="BD60" s="187"/>
      <c r="BE60" s="188"/>
      <c r="BF60" s="189"/>
      <c r="BG60" s="186"/>
      <c r="BH60" s="187"/>
      <c r="BI60" s="188"/>
      <c r="BJ60" s="189"/>
      <c r="BK60" s="186"/>
      <c r="BL60" s="187"/>
      <c r="BM60" s="188"/>
      <c r="BN60" s="189"/>
      <c r="BO60" s="186"/>
      <c r="BP60" s="187"/>
      <c r="BQ60" s="188"/>
      <c r="BR60" s="189"/>
      <c r="BS60" s="186"/>
      <c r="BT60" s="187"/>
      <c r="BU60" s="188"/>
      <c r="BV60" s="189"/>
      <c r="BW60" s="186"/>
      <c r="BX60" s="187"/>
      <c r="BY60" s="188"/>
      <c r="BZ60" s="189"/>
      <c r="CA60" s="186"/>
      <c r="CB60" s="190"/>
      <c r="CC60" s="190"/>
      <c r="CD60" s="82">
        <f t="shared" si="142"/>
        <v>0</v>
      </c>
      <c r="CE60" s="82">
        <f t="shared" si="143"/>
        <v>0</v>
      </c>
      <c r="CF60" s="82">
        <f t="shared" si="144"/>
        <v>0</v>
      </c>
      <c r="CG60" s="82">
        <f t="shared" si="145"/>
        <v>0</v>
      </c>
      <c r="CH60" s="82">
        <f t="shared" si="146"/>
        <v>0</v>
      </c>
      <c r="CI60" s="82">
        <f t="shared" si="147"/>
        <v>0</v>
      </c>
      <c r="CJ60" s="82">
        <f t="shared" si="148"/>
        <v>0</v>
      </c>
      <c r="CK60" s="82">
        <f t="shared" si="149"/>
        <v>0</v>
      </c>
      <c r="CL60" s="82">
        <f t="shared" si="150"/>
        <v>0</v>
      </c>
      <c r="CM60" s="82">
        <f t="shared" si="151"/>
        <v>0</v>
      </c>
      <c r="CN60" s="82">
        <f t="shared" si="152"/>
        <v>0</v>
      </c>
      <c r="CO60" s="82">
        <f t="shared" si="153"/>
        <v>0</v>
      </c>
      <c r="CP60" s="82">
        <f t="shared" si="154"/>
        <v>0</v>
      </c>
      <c r="CQ60" s="82">
        <f t="shared" si="155"/>
        <v>0</v>
      </c>
      <c r="CR60" s="82">
        <f t="shared" si="156"/>
        <v>0</v>
      </c>
      <c r="CS60" s="82">
        <f t="shared" si="157"/>
        <v>0</v>
      </c>
      <c r="CT60" s="82">
        <f t="shared" si="158"/>
        <v>0</v>
      </c>
      <c r="CU60" s="82">
        <f t="shared" si="159"/>
        <v>0</v>
      </c>
      <c r="CV60" s="82">
        <f t="shared" si="160"/>
        <v>0</v>
      </c>
      <c r="CW60" s="82">
        <f t="shared" si="161"/>
        <v>0</v>
      </c>
      <c r="CX60" s="82">
        <f t="shared" si="162"/>
        <v>0</v>
      </c>
      <c r="CY60" s="82">
        <f t="shared" si="163"/>
        <v>0</v>
      </c>
      <c r="CZ60" s="82">
        <f t="shared" si="164"/>
        <v>0</v>
      </c>
      <c r="DA60" s="82">
        <f t="shared" si="165"/>
        <v>0</v>
      </c>
      <c r="DB60" s="82">
        <f t="shared" si="166"/>
        <v>0</v>
      </c>
      <c r="DC60" s="82">
        <f t="shared" si="167"/>
        <v>0</v>
      </c>
      <c r="DD60" s="82">
        <f t="shared" si="168"/>
        <v>0</v>
      </c>
      <c r="DE60" s="82">
        <f t="shared" si="169"/>
        <v>0</v>
      </c>
      <c r="DF60" s="82">
        <f t="shared" si="170"/>
        <v>0</v>
      </c>
      <c r="DG60" s="82">
        <f t="shared" si="171"/>
        <v>0</v>
      </c>
      <c r="DH60" s="82">
        <f t="shared" si="172"/>
        <v>0</v>
      </c>
      <c r="DI60" s="82">
        <f t="shared" si="173"/>
        <v>0</v>
      </c>
      <c r="DJ60" s="82">
        <f t="shared" si="174"/>
        <v>0</v>
      </c>
      <c r="DK60" s="82">
        <f t="shared" si="175"/>
        <v>0</v>
      </c>
      <c r="DL60" s="82">
        <f t="shared" si="176"/>
        <v>0</v>
      </c>
      <c r="DM60" s="82">
        <f t="shared" si="177"/>
        <v>0</v>
      </c>
      <c r="DN60" s="82">
        <f t="shared" si="178"/>
        <v>0</v>
      </c>
      <c r="DO60" s="82">
        <f t="shared" si="179"/>
        <v>0</v>
      </c>
      <c r="DP60" s="82">
        <f t="shared" si="180"/>
        <v>0</v>
      </c>
      <c r="DQ60" s="82">
        <f t="shared" si="181"/>
        <v>0</v>
      </c>
      <c r="DR60" s="82">
        <f t="shared" si="182"/>
        <v>0</v>
      </c>
      <c r="DS60" s="82">
        <f t="shared" si="183"/>
        <v>0</v>
      </c>
      <c r="DT60" s="82">
        <f t="shared" si="184"/>
        <v>0</v>
      </c>
      <c r="DU60" s="82">
        <f t="shared" si="185"/>
        <v>0</v>
      </c>
      <c r="DV60" s="82">
        <f t="shared" si="186"/>
        <v>0</v>
      </c>
      <c r="DW60" s="82">
        <f t="shared" si="187"/>
        <v>0</v>
      </c>
      <c r="DX60" s="82">
        <f t="shared" si="188"/>
        <v>0</v>
      </c>
      <c r="DY60" s="82">
        <f t="shared" si="189"/>
        <v>0</v>
      </c>
      <c r="DZ60" s="82">
        <f t="shared" si="190"/>
        <v>0</v>
      </c>
      <c r="EA60" s="82">
        <f t="shared" si="191"/>
        <v>0</v>
      </c>
      <c r="EB60" s="82">
        <f t="shared" si="192"/>
        <v>0</v>
      </c>
      <c r="EC60" s="82">
        <f t="shared" si="193"/>
        <v>0</v>
      </c>
      <c r="ED60" s="82">
        <f t="shared" si="194"/>
        <v>0</v>
      </c>
      <c r="EE60" s="82">
        <f t="shared" si="195"/>
        <v>0</v>
      </c>
      <c r="EF60" s="82">
        <f t="shared" si="196"/>
        <v>0</v>
      </c>
      <c r="EG60" s="82">
        <f t="shared" si="197"/>
        <v>0</v>
      </c>
      <c r="EH60" s="82">
        <f t="shared" si="198"/>
        <v>0</v>
      </c>
      <c r="EI60" s="82">
        <f t="shared" si="199"/>
        <v>0</v>
      </c>
      <c r="EJ60" s="82">
        <f t="shared" si="200"/>
        <v>0</v>
      </c>
      <c r="EK60" s="82">
        <f t="shared" si="201"/>
        <v>0</v>
      </c>
      <c r="EL60" s="82">
        <f t="shared" si="202"/>
        <v>0</v>
      </c>
      <c r="EM60" s="82">
        <f t="shared" si="203"/>
        <v>0</v>
      </c>
      <c r="EN60" s="82">
        <f t="shared" si="204"/>
        <v>0</v>
      </c>
      <c r="EO60" s="82">
        <f t="shared" si="205"/>
        <v>0</v>
      </c>
      <c r="EP60" s="82">
        <f t="shared" si="206"/>
        <v>0</v>
      </c>
      <c r="EQ60" s="82">
        <f t="shared" si="207"/>
        <v>0</v>
      </c>
      <c r="ER60" s="82">
        <f t="shared" si="208"/>
        <v>0</v>
      </c>
      <c r="ES60" s="82">
        <f t="shared" si="209"/>
        <v>0</v>
      </c>
      <c r="ET60" s="82">
        <f t="shared" si="210"/>
        <v>0</v>
      </c>
      <c r="EU60" s="82">
        <f t="shared" si="211"/>
        <v>0</v>
      </c>
      <c r="EV60" s="82">
        <f t="shared" si="212"/>
        <v>0</v>
      </c>
      <c r="EW60" s="82">
        <f t="shared" si="213"/>
        <v>0</v>
      </c>
      <c r="EX60" s="82">
        <f t="shared" si="214"/>
        <v>0</v>
      </c>
      <c r="EY60" s="111">
        <f t="shared" si="215"/>
        <v>0</v>
      </c>
      <c r="EZ60" s="143">
        <f t="shared" ca="1" si="216"/>
        <v>0</v>
      </c>
      <c r="FA60" s="112">
        <f t="shared" ca="1" si="217"/>
        <v>0</v>
      </c>
      <c r="FB60" s="113">
        <f t="shared" ca="1" si="218"/>
        <v>0</v>
      </c>
      <c r="FC60" s="114">
        <f t="shared" ca="1" si="219"/>
        <v>0</v>
      </c>
      <c r="FD60" s="115">
        <f t="shared" ca="1" si="220"/>
        <v>0</v>
      </c>
      <c r="FE60" s="116">
        <f t="shared" ca="1" si="221"/>
        <v>0</v>
      </c>
      <c r="FF60" s="117">
        <f t="shared" ca="1" si="222"/>
        <v>0</v>
      </c>
      <c r="FG60" s="71">
        <f t="shared" si="223"/>
        <v>0</v>
      </c>
      <c r="FH60" s="530">
        <f t="shared" ca="1" si="224"/>
        <v>0</v>
      </c>
      <c r="FI60" s="72"/>
      <c r="FJ60" s="72"/>
      <c r="FK60" s="72"/>
      <c r="FM60" s="421" t="str">
        <f t="shared" si="122"/>
        <v>L03-312_StrsRaccIncd</v>
      </c>
      <c r="FN60" s="422" t="str">
        <f t="shared" ca="1" si="123"/>
        <v>Stairwell</v>
      </c>
      <c r="FO60" s="423">
        <f t="shared" ca="1" si="226"/>
        <v>0</v>
      </c>
      <c r="FP60" s="423">
        <f t="shared" ca="1" si="226"/>
        <v>0</v>
      </c>
      <c r="FQ60" s="423">
        <f t="shared" ca="1" si="226"/>
        <v>0</v>
      </c>
      <c r="FR60" s="423">
        <f t="shared" ca="1" si="226"/>
        <v>0</v>
      </c>
      <c r="FS60" s="423">
        <f t="shared" ca="1" si="226"/>
        <v>0</v>
      </c>
      <c r="FT60" s="423">
        <f t="shared" ca="1" si="226"/>
        <v>0</v>
      </c>
      <c r="FU60" s="423">
        <f t="shared" ca="1" si="226"/>
        <v>0</v>
      </c>
      <c r="FV60" s="423">
        <f t="shared" ca="1" si="226"/>
        <v>0</v>
      </c>
      <c r="FW60" s="423">
        <f t="shared" ca="1" si="226"/>
        <v>0</v>
      </c>
      <c r="FX60" s="423">
        <f t="shared" ca="1" si="226"/>
        <v>0</v>
      </c>
      <c r="FY60" s="423">
        <f t="shared" ca="1" si="226"/>
        <v>0</v>
      </c>
      <c r="FZ60" s="423">
        <f t="shared" ca="1" si="226"/>
        <v>0</v>
      </c>
      <c r="GA60" s="423">
        <f t="shared" ca="1" si="226"/>
        <v>0</v>
      </c>
      <c r="GB60" s="423">
        <f t="shared" ca="1" si="226"/>
        <v>0</v>
      </c>
      <c r="GC60" s="423">
        <f t="shared" ca="1" si="226"/>
        <v>0</v>
      </c>
      <c r="GD60" s="423">
        <f t="shared" ca="1" si="226"/>
        <v>0</v>
      </c>
      <c r="GE60" s="423">
        <f t="shared" ref="GE60:GT75" ca="1" si="231">IFERROR(ROUNDDOWN(SUMIF($H60:$CC60,GE$11,$CD60:$EX60)/GE$10,0),0)</f>
        <v>0</v>
      </c>
      <c r="GF60" s="423">
        <f t="shared" ca="1" si="231"/>
        <v>0</v>
      </c>
      <c r="GG60" s="423">
        <f t="shared" ca="1" si="231"/>
        <v>0</v>
      </c>
      <c r="GH60" s="423">
        <f t="shared" ca="1" si="231"/>
        <v>0</v>
      </c>
      <c r="GI60" s="423">
        <f t="shared" ca="1" si="231"/>
        <v>0</v>
      </c>
      <c r="GJ60" s="423">
        <f t="shared" ca="1" si="231"/>
        <v>0</v>
      </c>
      <c r="GK60" s="423">
        <f t="shared" ca="1" si="231"/>
        <v>0</v>
      </c>
      <c r="GL60" s="423">
        <f t="shared" ca="1" si="231"/>
        <v>0</v>
      </c>
      <c r="GM60" s="423">
        <f t="shared" ca="1" si="231"/>
        <v>0</v>
      </c>
      <c r="GN60" s="423">
        <f t="shared" ca="1" si="231"/>
        <v>0</v>
      </c>
      <c r="GO60" s="423">
        <f t="shared" ca="1" si="231"/>
        <v>0</v>
      </c>
      <c r="GP60" s="423">
        <f t="shared" ca="1" si="231"/>
        <v>0</v>
      </c>
      <c r="GQ60" s="423">
        <f t="shared" ca="1" si="231"/>
        <v>0</v>
      </c>
      <c r="GR60" s="423">
        <f t="shared" ca="1" si="231"/>
        <v>0</v>
      </c>
      <c r="GS60" s="423">
        <f t="shared" ca="1" si="231"/>
        <v>0</v>
      </c>
      <c r="GT60" s="423">
        <f t="shared" ca="1" si="229"/>
        <v>0</v>
      </c>
      <c r="GU60" s="423">
        <f t="shared" ca="1" si="229"/>
        <v>0</v>
      </c>
      <c r="GV60" s="423">
        <f t="shared" ca="1" si="229"/>
        <v>0</v>
      </c>
      <c r="GW60" s="423">
        <f t="shared" ca="1" si="229"/>
        <v>0</v>
      </c>
      <c r="GX60" s="423">
        <f t="shared" ca="1" si="229"/>
        <v>0</v>
      </c>
      <c r="GY60" s="423">
        <f t="shared" ca="1" si="229"/>
        <v>0</v>
      </c>
      <c r="GZ60" s="423">
        <f t="shared" ca="1" si="229"/>
        <v>0</v>
      </c>
      <c r="HA60" s="423">
        <f t="shared" ca="1" si="229"/>
        <v>0</v>
      </c>
      <c r="HB60" s="423">
        <f t="shared" ca="1" si="229"/>
        <v>0</v>
      </c>
      <c r="HC60" s="423">
        <f t="shared" ca="1" si="229"/>
        <v>0</v>
      </c>
      <c r="HD60" s="423">
        <f t="shared" ca="1" si="229"/>
        <v>0</v>
      </c>
      <c r="HE60" s="423">
        <f t="shared" ca="1" si="229"/>
        <v>0</v>
      </c>
      <c r="HF60" s="423">
        <f t="shared" ca="1" si="229"/>
        <v>0</v>
      </c>
      <c r="HG60" s="423">
        <f t="shared" ca="1" si="229"/>
        <v>0</v>
      </c>
      <c r="HH60" s="423">
        <f t="shared" ca="1" si="229"/>
        <v>0</v>
      </c>
      <c r="HI60" s="423">
        <f t="shared" ca="1" si="229"/>
        <v>0</v>
      </c>
      <c r="HJ60" s="423">
        <f t="shared" ca="1" si="230"/>
        <v>0</v>
      </c>
      <c r="HK60" s="423">
        <f t="shared" ca="1" si="230"/>
        <v>0</v>
      </c>
      <c r="HL60" s="423">
        <f t="shared" ca="1" si="230"/>
        <v>0</v>
      </c>
      <c r="HM60" s="423">
        <f t="shared" ca="1" si="230"/>
        <v>0</v>
      </c>
      <c r="HN60" s="423">
        <f t="shared" ca="1" si="230"/>
        <v>0</v>
      </c>
      <c r="HO60" s="423">
        <f t="shared" ca="1" si="230"/>
        <v>0</v>
      </c>
      <c r="HP60" s="423">
        <f t="shared" ca="1" si="230"/>
        <v>0</v>
      </c>
      <c r="HQ60" s="423">
        <f t="shared" ca="1" si="230"/>
        <v>0</v>
      </c>
      <c r="HR60" s="423">
        <f t="shared" ca="1" si="230"/>
        <v>0</v>
      </c>
      <c r="HS60" s="423">
        <f t="shared" ca="1" si="230"/>
        <v>0</v>
      </c>
      <c r="HT60" s="423">
        <f t="shared" ca="1" si="230"/>
        <v>0</v>
      </c>
    </row>
    <row r="61" spans="1:228" ht="11.25" customHeight="1" x14ac:dyDescent="0.2">
      <c r="A61" s="62">
        <f t="shared" si="128"/>
        <v>50</v>
      </c>
      <c r="B61" s="60" t="str">
        <f>Spaces_Sum!C106</f>
        <v>L03-313_MfamResiPthp</v>
      </c>
      <c r="C61" s="62" t="str">
        <f>Spaces_Sum!D106</f>
        <v>L03</v>
      </c>
      <c r="D61" s="62" t="str">
        <f ca="1">Spaces_Sum!I106</f>
        <v>DirectlyConditioned</v>
      </c>
      <c r="F61" s="110">
        <f ca="1">Spaces_Sum!M106</f>
        <v>3034.0410000000002</v>
      </c>
      <c r="G61" s="110" t="str">
        <f ca="1">Spaces_Sum!J106</f>
        <v>Dwelling Unit</v>
      </c>
      <c r="H61" s="532"/>
      <c r="I61" s="185"/>
      <c r="J61" s="185"/>
      <c r="K61" s="186"/>
      <c r="L61" s="187"/>
      <c r="M61" s="188"/>
      <c r="N61" s="189"/>
      <c r="O61" s="186"/>
      <c r="P61" s="187"/>
      <c r="Q61" s="188"/>
      <c r="R61" s="189"/>
      <c r="S61" s="186"/>
      <c r="T61" s="187"/>
      <c r="U61" s="188"/>
      <c r="V61" s="189"/>
      <c r="W61" s="186"/>
      <c r="X61" s="187"/>
      <c r="Y61" s="188"/>
      <c r="Z61" s="189"/>
      <c r="AA61" s="186"/>
      <c r="AB61" s="187"/>
      <c r="AC61" s="188"/>
      <c r="AD61" s="189"/>
      <c r="AE61" s="186"/>
      <c r="AF61" s="187"/>
      <c r="AG61" s="188"/>
      <c r="AH61" s="189"/>
      <c r="AI61" s="186"/>
      <c r="AJ61" s="187"/>
      <c r="AK61" s="188"/>
      <c r="AL61" s="189"/>
      <c r="AM61" s="186"/>
      <c r="AN61" s="187"/>
      <c r="AO61" s="188"/>
      <c r="AP61" s="189"/>
      <c r="AQ61" s="186"/>
      <c r="AR61" s="187"/>
      <c r="AS61" s="188"/>
      <c r="AT61" s="189"/>
      <c r="AU61" s="186"/>
      <c r="AV61" s="187"/>
      <c r="AW61" s="188"/>
      <c r="AX61" s="189"/>
      <c r="AY61" s="186"/>
      <c r="AZ61" s="187"/>
      <c r="BA61" s="188"/>
      <c r="BB61" s="189"/>
      <c r="BC61" s="186"/>
      <c r="BD61" s="187"/>
      <c r="BE61" s="188"/>
      <c r="BF61" s="189"/>
      <c r="BG61" s="186"/>
      <c r="BH61" s="187"/>
      <c r="BI61" s="188"/>
      <c r="BJ61" s="189"/>
      <c r="BK61" s="186"/>
      <c r="BL61" s="187"/>
      <c r="BM61" s="188"/>
      <c r="BN61" s="189"/>
      <c r="BO61" s="186"/>
      <c r="BP61" s="187"/>
      <c r="BQ61" s="188"/>
      <c r="BR61" s="189"/>
      <c r="BS61" s="186"/>
      <c r="BT61" s="187"/>
      <c r="BU61" s="188"/>
      <c r="BV61" s="189"/>
      <c r="BW61" s="186"/>
      <c r="BX61" s="187"/>
      <c r="BY61" s="188"/>
      <c r="BZ61" s="189"/>
      <c r="CA61" s="186"/>
      <c r="CB61" s="190"/>
      <c r="CC61" s="190"/>
      <c r="CD61" s="82">
        <f t="shared" si="142"/>
        <v>0</v>
      </c>
      <c r="CE61" s="82">
        <f t="shared" si="143"/>
        <v>0</v>
      </c>
      <c r="CF61" s="82">
        <f t="shared" si="144"/>
        <v>0</v>
      </c>
      <c r="CG61" s="82">
        <f t="shared" si="145"/>
        <v>0</v>
      </c>
      <c r="CH61" s="82">
        <f t="shared" si="146"/>
        <v>0</v>
      </c>
      <c r="CI61" s="82">
        <f t="shared" si="147"/>
        <v>0</v>
      </c>
      <c r="CJ61" s="82">
        <f t="shared" si="148"/>
        <v>0</v>
      </c>
      <c r="CK61" s="82">
        <f t="shared" si="149"/>
        <v>0</v>
      </c>
      <c r="CL61" s="82">
        <f t="shared" si="150"/>
        <v>0</v>
      </c>
      <c r="CM61" s="82">
        <f t="shared" si="151"/>
        <v>0</v>
      </c>
      <c r="CN61" s="82">
        <f t="shared" si="152"/>
        <v>0</v>
      </c>
      <c r="CO61" s="82">
        <f t="shared" si="153"/>
        <v>0</v>
      </c>
      <c r="CP61" s="82">
        <f t="shared" si="154"/>
        <v>0</v>
      </c>
      <c r="CQ61" s="82">
        <f t="shared" si="155"/>
        <v>0</v>
      </c>
      <c r="CR61" s="82">
        <f t="shared" si="156"/>
        <v>0</v>
      </c>
      <c r="CS61" s="82">
        <f t="shared" si="157"/>
        <v>0</v>
      </c>
      <c r="CT61" s="82">
        <f t="shared" si="158"/>
        <v>0</v>
      </c>
      <c r="CU61" s="82">
        <f t="shared" si="159"/>
        <v>0</v>
      </c>
      <c r="CV61" s="82">
        <f t="shared" si="160"/>
        <v>0</v>
      </c>
      <c r="CW61" s="82">
        <f t="shared" si="161"/>
        <v>0</v>
      </c>
      <c r="CX61" s="82">
        <f t="shared" si="162"/>
        <v>0</v>
      </c>
      <c r="CY61" s="82">
        <f t="shared" si="163"/>
        <v>0</v>
      </c>
      <c r="CZ61" s="82">
        <f t="shared" si="164"/>
        <v>0</v>
      </c>
      <c r="DA61" s="82">
        <f t="shared" si="165"/>
        <v>0</v>
      </c>
      <c r="DB61" s="82">
        <f t="shared" si="166"/>
        <v>0</v>
      </c>
      <c r="DC61" s="82">
        <f t="shared" si="167"/>
        <v>0</v>
      </c>
      <c r="DD61" s="82">
        <f t="shared" si="168"/>
        <v>0</v>
      </c>
      <c r="DE61" s="82">
        <f t="shared" si="169"/>
        <v>0</v>
      </c>
      <c r="DF61" s="82">
        <f t="shared" si="170"/>
        <v>0</v>
      </c>
      <c r="DG61" s="82">
        <f t="shared" si="171"/>
        <v>0</v>
      </c>
      <c r="DH61" s="82">
        <f t="shared" si="172"/>
        <v>0</v>
      </c>
      <c r="DI61" s="82">
        <f t="shared" si="173"/>
        <v>0</v>
      </c>
      <c r="DJ61" s="82">
        <f t="shared" si="174"/>
        <v>0</v>
      </c>
      <c r="DK61" s="82">
        <f t="shared" si="175"/>
        <v>0</v>
      </c>
      <c r="DL61" s="82">
        <f t="shared" si="176"/>
        <v>0</v>
      </c>
      <c r="DM61" s="82">
        <f t="shared" si="177"/>
        <v>0</v>
      </c>
      <c r="DN61" s="82">
        <f t="shared" si="178"/>
        <v>0</v>
      </c>
      <c r="DO61" s="82">
        <f t="shared" si="179"/>
        <v>0</v>
      </c>
      <c r="DP61" s="82">
        <f t="shared" si="180"/>
        <v>0</v>
      </c>
      <c r="DQ61" s="82">
        <f t="shared" si="181"/>
        <v>0</v>
      </c>
      <c r="DR61" s="82">
        <f t="shared" si="182"/>
        <v>0</v>
      </c>
      <c r="DS61" s="82">
        <f t="shared" si="183"/>
        <v>0</v>
      </c>
      <c r="DT61" s="82">
        <f t="shared" si="184"/>
        <v>0</v>
      </c>
      <c r="DU61" s="82">
        <f t="shared" si="185"/>
        <v>0</v>
      </c>
      <c r="DV61" s="82">
        <f t="shared" si="186"/>
        <v>0</v>
      </c>
      <c r="DW61" s="82">
        <f t="shared" si="187"/>
        <v>0</v>
      </c>
      <c r="DX61" s="82">
        <f t="shared" si="188"/>
        <v>0</v>
      </c>
      <c r="DY61" s="82">
        <f t="shared" si="189"/>
        <v>0</v>
      </c>
      <c r="DZ61" s="82">
        <f t="shared" si="190"/>
        <v>0</v>
      </c>
      <c r="EA61" s="82">
        <f t="shared" si="191"/>
        <v>0</v>
      </c>
      <c r="EB61" s="82">
        <f t="shared" si="192"/>
        <v>0</v>
      </c>
      <c r="EC61" s="82">
        <f t="shared" si="193"/>
        <v>0</v>
      </c>
      <c r="ED61" s="82">
        <f t="shared" si="194"/>
        <v>0</v>
      </c>
      <c r="EE61" s="82">
        <f t="shared" si="195"/>
        <v>0</v>
      </c>
      <c r="EF61" s="82">
        <f t="shared" si="196"/>
        <v>0</v>
      </c>
      <c r="EG61" s="82">
        <f t="shared" si="197"/>
        <v>0</v>
      </c>
      <c r="EH61" s="82">
        <f t="shared" si="198"/>
        <v>0</v>
      </c>
      <c r="EI61" s="82">
        <f t="shared" si="199"/>
        <v>0</v>
      </c>
      <c r="EJ61" s="82">
        <f t="shared" si="200"/>
        <v>0</v>
      </c>
      <c r="EK61" s="82">
        <f t="shared" si="201"/>
        <v>0</v>
      </c>
      <c r="EL61" s="82">
        <f t="shared" si="202"/>
        <v>0</v>
      </c>
      <c r="EM61" s="82">
        <f t="shared" si="203"/>
        <v>0</v>
      </c>
      <c r="EN61" s="82">
        <f t="shared" si="204"/>
        <v>0</v>
      </c>
      <c r="EO61" s="82">
        <f t="shared" si="205"/>
        <v>0</v>
      </c>
      <c r="EP61" s="82">
        <f t="shared" si="206"/>
        <v>0</v>
      </c>
      <c r="EQ61" s="82">
        <f t="shared" si="207"/>
        <v>0</v>
      </c>
      <c r="ER61" s="82">
        <f t="shared" si="208"/>
        <v>0</v>
      </c>
      <c r="ES61" s="82">
        <f t="shared" si="209"/>
        <v>0</v>
      </c>
      <c r="ET61" s="82">
        <f t="shared" si="210"/>
        <v>0</v>
      </c>
      <c r="EU61" s="82">
        <f t="shared" si="211"/>
        <v>0</v>
      </c>
      <c r="EV61" s="82">
        <f t="shared" si="212"/>
        <v>0</v>
      </c>
      <c r="EW61" s="82">
        <f t="shared" si="213"/>
        <v>0</v>
      </c>
      <c r="EX61" s="82">
        <f t="shared" si="214"/>
        <v>0</v>
      </c>
      <c r="EY61" s="111">
        <f t="shared" si="215"/>
        <v>0</v>
      </c>
      <c r="EZ61" s="143">
        <f t="shared" ca="1" si="216"/>
        <v>0</v>
      </c>
      <c r="FA61" s="112">
        <f t="shared" ca="1" si="217"/>
        <v>0</v>
      </c>
      <c r="FB61" s="113">
        <f t="shared" ca="1" si="218"/>
        <v>0</v>
      </c>
      <c r="FC61" s="114">
        <f t="shared" ca="1" si="219"/>
        <v>0</v>
      </c>
      <c r="FD61" s="115">
        <f t="shared" ca="1" si="220"/>
        <v>0</v>
      </c>
      <c r="FE61" s="116">
        <f t="shared" ca="1" si="221"/>
        <v>0</v>
      </c>
      <c r="FF61" s="117">
        <f t="shared" ca="1" si="222"/>
        <v>0</v>
      </c>
      <c r="FG61" s="71">
        <f t="shared" si="223"/>
        <v>0</v>
      </c>
      <c r="FH61" s="530">
        <f t="shared" ca="1" si="224"/>
        <v>0</v>
      </c>
      <c r="FI61" s="72">
        <f ca="1">0.75*FB61</f>
        <v>0</v>
      </c>
      <c r="FJ61" s="72">
        <f ca="1">FA61</f>
        <v>0</v>
      </c>
      <c r="FK61" s="72">
        <f ca="1">SUM(FI61:FJ61)</f>
        <v>0</v>
      </c>
      <c r="FM61" s="421" t="str">
        <f t="shared" si="122"/>
        <v>L03-313_MfamResiPthp</v>
      </c>
      <c r="FN61" s="422" t="str">
        <f t="shared" ca="1" si="123"/>
        <v>Dwelling Unit</v>
      </c>
      <c r="FO61" s="423">
        <f t="shared" ref="FO61:GD76" ca="1" si="232">IFERROR(ROUNDDOWN(SUMIF($H61:$CC61,FO$11,$CD61:$EX61)/FO$10,0),0)</f>
        <v>0</v>
      </c>
      <c r="FP61" s="423">
        <f t="shared" ca="1" si="232"/>
        <v>0</v>
      </c>
      <c r="FQ61" s="423">
        <f t="shared" ca="1" si="232"/>
        <v>0</v>
      </c>
      <c r="FR61" s="423">
        <f t="shared" ca="1" si="232"/>
        <v>0</v>
      </c>
      <c r="FS61" s="423">
        <f t="shared" ca="1" si="232"/>
        <v>0</v>
      </c>
      <c r="FT61" s="423">
        <f t="shared" ca="1" si="232"/>
        <v>0</v>
      </c>
      <c r="FU61" s="423">
        <f t="shared" ca="1" si="232"/>
        <v>0</v>
      </c>
      <c r="FV61" s="423">
        <f t="shared" ca="1" si="232"/>
        <v>0</v>
      </c>
      <c r="FW61" s="423">
        <f t="shared" ca="1" si="232"/>
        <v>0</v>
      </c>
      <c r="FX61" s="423">
        <f t="shared" ca="1" si="232"/>
        <v>0</v>
      </c>
      <c r="FY61" s="423">
        <f t="shared" ca="1" si="232"/>
        <v>0</v>
      </c>
      <c r="FZ61" s="423">
        <f t="shared" ca="1" si="232"/>
        <v>0</v>
      </c>
      <c r="GA61" s="423">
        <f t="shared" ca="1" si="232"/>
        <v>0</v>
      </c>
      <c r="GB61" s="423">
        <f t="shared" ca="1" si="232"/>
        <v>0</v>
      </c>
      <c r="GC61" s="423">
        <f t="shared" ca="1" si="232"/>
        <v>0</v>
      </c>
      <c r="GD61" s="423">
        <f t="shared" ca="1" si="232"/>
        <v>0</v>
      </c>
      <c r="GE61" s="423">
        <f t="shared" ca="1" si="231"/>
        <v>0</v>
      </c>
      <c r="GF61" s="423">
        <f t="shared" ca="1" si="231"/>
        <v>0</v>
      </c>
      <c r="GG61" s="423">
        <f t="shared" ca="1" si="231"/>
        <v>0</v>
      </c>
      <c r="GH61" s="423">
        <f t="shared" ca="1" si="231"/>
        <v>0</v>
      </c>
      <c r="GI61" s="423">
        <f t="shared" ca="1" si="231"/>
        <v>0</v>
      </c>
      <c r="GJ61" s="423">
        <f t="shared" ca="1" si="231"/>
        <v>0</v>
      </c>
      <c r="GK61" s="423">
        <f t="shared" ca="1" si="231"/>
        <v>0</v>
      </c>
      <c r="GL61" s="423">
        <f t="shared" ca="1" si="231"/>
        <v>0</v>
      </c>
      <c r="GM61" s="423">
        <f t="shared" ca="1" si="231"/>
        <v>0</v>
      </c>
      <c r="GN61" s="423">
        <f t="shared" ca="1" si="231"/>
        <v>0</v>
      </c>
      <c r="GO61" s="423">
        <f t="shared" ca="1" si="231"/>
        <v>0</v>
      </c>
      <c r="GP61" s="423">
        <f t="shared" ca="1" si="231"/>
        <v>0</v>
      </c>
      <c r="GQ61" s="423">
        <f t="shared" ca="1" si="231"/>
        <v>0</v>
      </c>
      <c r="GR61" s="423">
        <f t="shared" ca="1" si="231"/>
        <v>0</v>
      </c>
      <c r="GS61" s="423">
        <f t="shared" ca="1" si="231"/>
        <v>0</v>
      </c>
      <c r="GT61" s="423">
        <f t="shared" ca="1" si="229"/>
        <v>0</v>
      </c>
      <c r="GU61" s="423">
        <f t="shared" ca="1" si="229"/>
        <v>0</v>
      </c>
      <c r="GV61" s="423">
        <f t="shared" ca="1" si="229"/>
        <v>0</v>
      </c>
      <c r="GW61" s="423">
        <f t="shared" ca="1" si="229"/>
        <v>0</v>
      </c>
      <c r="GX61" s="423">
        <f t="shared" ca="1" si="229"/>
        <v>0</v>
      </c>
      <c r="GY61" s="423">
        <f t="shared" ca="1" si="229"/>
        <v>0</v>
      </c>
      <c r="GZ61" s="423">
        <f t="shared" ca="1" si="229"/>
        <v>0</v>
      </c>
      <c r="HA61" s="423">
        <f t="shared" ca="1" si="229"/>
        <v>0</v>
      </c>
      <c r="HB61" s="423">
        <f t="shared" ca="1" si="229"/>
        <v>0</v>
      </c>
      <c r="HC61" s="423">
        <f t="shared" ca="1" si="229"/>
        <v>0</v>
      </c>
      <c r="HD61" s="423">
        <f t="shared" ca="1" si="229"/>
        <v>0</v>
      </c>
      <c r="HE61" s="423">
        <f t="shared" ca="1" si="229"/>
        <v>0</v>
      </c>
      <c r="HF61" s="423">
        <f t="shared" ca="1" si="229"/>
        <v>0</v>
      </c>
      <c r="HG61" s="423">
        <f t="shared" ca="1" si="229"/>
        <v>0</v>
      </c>
      <c r="HH61" s="423">
        <f t="shared" ca="1" si="229"/>
        <v>0</v>
      </c>
      <c r="HI61" s="423">
        <f t="shared" ca="1" si="229"/>
        <v>0</v>
      </c>
      <c r="HJ61" s="423">
        <f t="shared" ca="1" si="230"/>
        <v>0</v>
      </c>
      <c r="HK61" s="423">
        <f t="shared" ca="1" si="230"/>
        <v>0</v>
      </c>
      <c r="HL61" s="423">
        <f t="shared" ca="1" si="230"/>
        <v>0</v>
      </c>
      <c r="HM61" s="423">
        <f t="shared" ca="1" si="230"/>
        <v>0</v>
      </c>
      <c r="HN61" s="423">
        <f t="shared" ca="1" si="230"/>
        <v>0</v>
      </c>
      <c r="HO61" s="423">
        <f t="shared" ca="1" si="230"/>
        <v>0</v>
      </c>
      <c r="HP61" s="423">
        <f t="shared" ca="1" si="230"/>
        <v>0</v>
      </c>
      <c r="HQ61" s="423">
        <f t="shared" ca="1" si="230"/>
        <v>0</v>
      </c>
      <c r="HR61" s="423">
        <f t="shared" ca="1" si="230"/>
        <v>0</v>
      </c>
      <c r="HS61" s="423">
        <f t="shared" ca="1" si="230"/>
        <v>0</v>
      </c>
      <c r="HT61" s="423">
        <f t="shared" ca="1" si="230"/>
        <v>0</v>
      </c>
    </row>
    <row r="62" spans="1:228" ht="11.25" customHeight="1" x14ac:dyDescent="0.2">
      <c r="A62" s="62">
        <f t="shared" si="128"/>
        <v>51</v>
      </c>
      <c r="B62" s="60" t="str">
        <f>Spaces_Sum!C107</f>
        <v>L03-314_MechRaccIncd</v>
      </c>
      <c r="C62" s="62" t="str">
        <f>Spaces_Sum!D107</f>
        <v>L03</v>
      </c>
      <c r="D62" s="62" t="str">
        <f ca="1">Spaces_Sum!I107</f>
        <v>IndirectlyConditioned</v>
      </c>
      <c r="F62" s="110">
        <f ca="1">Spaces_Sum!M107</f>
        <v>347.74279999999999</v>
      </c>
      <c r="G62" s="110" t="str">
        <f ca="1">Spaces_Sum!J107</f>
        <v>Electrical/MechanicaI Room</v>
      </c>
      <c r="H62" s="532"/>
      <c r="I62" s="185"/>
      <c r="J62" s="185"/>
      <c r="K62" s="186"/>
      <c r="L62" s="187"/>
      <c r="M62" s="188"/>
      <c r="N62" s="189"/>
      <c r="O62" s="186"/>
      <c r="P62" s="187"/>
      <c r="Q62" s="188"/>
      <c r="R62" s="189"/>
      <c r="S62" s="186"/>
      <c r="T62" s="187"/>
      <c r="U62" s="188"/>
      <c r="V62" s="189"/>
      <c r="W62" s="186"/>
      <c r="X62" s="187"/>
      <c r="Y62" s="188"/>
      <c r="Z62" s="189"/>
      <c r="AA62" s="186"/>
      <c r="AB62" s="187"/>
      <c r="AC62" s="188"/>
      <c r="AD62" s="189"/>
      <c r="AE62" s="186"/>
      <c r="AF62" s="187"/>
      <c r="AG62" s="188"/>
      <c r="AH62" s="189"/>
      <c r="AI62" s="186"/>
      <c r="AJ62" s="187"/>
      <c r="AK62" s="188"/>
      <c r="AL62" s="189"/>
      <c r="AM62" s="186"/>
      <c r="AN62" s="187"/>
      <c r="AO62" s="188"/>
      <c r="AP62" s="189"/>
      <c r="AQ62" s="186"/>
      <c r="AR62" s="187"/>
      <c r="AS62" s="188"/>
      <c r="AT62" s="189"/>
      <c r="AU62" s="186"/>
      <c r="AV62" s="187"/>
      <c r="AW62" s="188"/>
      <c r="AX62" s="189"/>
      <c r="AY62" s="186"/>
      <c r="AZ62" s="187"/>
      <c r="BA62" s="188"/>
      <c r="BB62" s="189"/>
      <c r="BC62" s="186"/>
      <c r="BD62" s="187"/>
      <c r="BE62" s="188"/>
      <c r="BF62" s="189"/>
      <c r="BG62" s="186"/>
      <c r="BH62" s="187"/>
      <c r="BI62" s="188"/>
      <c r="BJ62" s="189"/>
      <c r="BK62" s="186"/>
      <c r="BL62" s="187"/>
      <c r="BM62" s="188"/>
      <c r="BN62" s="189"/>
      <c r="BO62" s="186"/>
      <c r="BP62" s="187"/>
      <c r="BQ62" s="188"/>
      <c r="BR62" s="189"/>
      <c r="BS62" s="186"/>
      <c r="BT62" s="187"/>
      <c r="BU62" s="188"/>
      <c r="BV62" s="189"/>
      <c r="BW62" s="186"/>
      <c r="BX62" s="187"/>
      <c r="BY62" s="188"/>
      <c r="BZ62" s="189"/>
      <c r="CA62" s="186"/>
      <c r="CB62" s="190"/>
      <c r="CC62" s="190"/>
      <c r="CD62" s="82">
        <f t="shared" si="142"/>
        <v>0</v>
      </c>
      <c r="CE62" s="82">
        <f t="shared" si="143"/>
        <v>0</v>
      </c>
      <c r="CF62" s="82">
        <f t="shared" si="144"/>
        <v>0</v>
      </c>
      <c r="CG62" s="82">
        <f t="shared" si="145"/>
        <v>0</v>
      </c>
      <c r="CH62" s="82">
        <f t="shared" si="146"/>
        <v>0</v>
      </c>
      <c r="CI62" s="82">
        <f t="shared" si="147"/>
        <v>0</v>
      </c>
      <c r="CJ62" s="82">
        <f t="shared" si="148"/>
        <v>0</v>
      </c>
      <c r="CK62" s="82">
        <f t="shared" si="149"/>
        <v>0</v>
      </c>
      <c r="CL62" s="82">
        <f t="shared" si="150"/>
        <v>0</v>
      </c>
      <c r="CM62" s="82">
        <f t="shared" si="151"/>
        <v>0</v>
      </c>
      <c r="CN62" s="82">
        <f t="shared" si="152"/>
        <v>0</v>
      </c>
      <c r="CO62" s="82">
        <f t="shared" si="153"/>
        <v>0</v>
      </c>
      <c r="CP62" s="82">
        <f t="shared" si="154"/>
        <v>0</v>
      </c>
      <c r="CQ62" s="82">
        <f t="shared" si="155"/>
        <v>0</v>
      </c>
      <c r="CR62" s="82">
        <f t="shared" si="156"/>
        <v>0</v>
      </c>
      <c r="CS62" s="82">
        <f t="shared" si="157"/>
        <v>0</v>
      </c>
      <c r="CT62" s="82">
        <f t="shared" si="158"/>
        <v>0</v>
      </c>
      <c r="CU62" s="82">
        <f t="shared" si="159"/>
        <v>0</v>
      </c>
      <c r="CV62" s="82">
        <f t="shared" si="160"/>
        <v>0</v>
      </c>
      <c r="CW62" s="82">
        <f t="shared" si="161"/>
        <v>0</v>
      </c>
      <c r="CX62" s="82">
        <f t="shared" si="162"/>
        <v>0</v>
      </c>
      <c r="CY62" s="82">
        <f t="shared" si="163"/>
        <v>0</v>
      </c>
      <c r="CZ62" s="82">
        <f t="shared" si="164"/>
        <v>0</v>
      </c>
      <c r="DA62" s="82">
        <f t="shared" si="165"/>
        <v>0</v>
      </c>
      <c r="DB62" s="82">
        <f t="shared" si="166"/>
        <v>0</v>
      </c>
      <c r="DC62" s="82">
        <f t="shared" si="167"/>
        <v>0</v>
      </c>
      <c r="DD62" s="82">
        <f t="shared" si="168"/>
        <v>0</v>
      </c>
      <c r="DE62" s="82">
        <f t="shared" si="169"/>
        <v>0</v>
      </c>
      <c r="DF62" s="82">
        <f t="shared" si="170"/>
        <v>0</v>
      </c>
      <c r="DG62" s="82">
        <f t="shared" si="171"/>
        <v>0</v>
      </c>
      <c r="DH62" s="82">
        <f t="shared" si="172"/>
        <v>0</v>
      </c>
      <c r="DI62" s="82">
        <f t="shared" si="173"/>
        <v>0</v>
      </c>
      <c r="DJ62" s="82">
        <f t="shared" si="174"/>
        <v>0</v>
      </c>
      <c r="DK62" s="82">
        <f t="shared" si="175"/>
        <v>0</v>
      </c>
      <c r="DL62" s="82">
        <f t="shared" si="176"/>
        <v>0</v>
      </c>
      <c r="DM62" s="82">
        <f t="shared" si="177"/>
        <v>0</v>
      </c>
      <c r="DN62" s="82">
        <f t="shared" si="178"/>
        <v>0</v>
      </c>
      <c r="DO62" s="82">
        <f t="shared" si="179"/>
        <v>0</v>
      </c>
      <c r="DP62" s="82">
        <f t="shared" si="180"/>
        <v>0</v>
      </c>
      <c r="DQ62" s="82">
        <f t="shared" si="181"/>
        <v>0</v>
      </c>
      <c r="DR62" s="82">
        <f t="shared" si="182"/>
        <v>0</v>
      </c>
      <c r="DS62" s="82">
        <f t="shared" si="183"/>
        <v>0</v>
      </c>
      <c r="DT62" s="82">
        <f t="shared" si="184"/>
        <v>0</v>
      </c>
      <c r="DU62" s="82">
        <f t="shared" si="185"/>
        <v>0</v>
      </c>
      <c r="DV62" s="82">
        <f t="shared" si="186"/>
        <v>0</v>
      </c>
      <c r="DW62" s="82">
        <f t="shared" si="187"/>
        <v>0</v>
      </c>
      <c r="DX62" s="82">
        <f t="shared" si="188"/>
        <v>0</v>
      </c>
      <c r="DY62" s="82">
        <f t="shared" si="189"/>
        <v>0</v>
      </c>
      <c r="DZ62" s="82">
        <f t="shared" si="190"/>
        <v>0</v>
      </c>
      <c r="EA62" s="82">
        <f t="shared" si="191"/>
        <v>0</v>
      </c>
      <c r="EB62" s="82">
        <f t="shared" si="192"/>
        <v>0</v>
      </c>
      <c r="EC62" s="82">
        <f t="shared" si="193"/>
        <v>0</v>
      </c>
      <c r="ED62" s="82">
        <f t="shared" si="194"/>
        <v>0</v>
      </c>
      <c r="EE62" s="82">
        <f t="shared" si="195"/>
        <v>0</v>
      </c>
      <c r="EF62" s="82">
        <f t="shared" si="196"/>
        <v>0</v>
      </c>
      <c r="EG62" s="82">
        <f t="shared" si="197"/>
        <v>0</v>
      </c>
      <c r="EH62" s="82">
        <f t="shared" si="198"/>
        <v>0</v>
      </c>
      <c r="EI62" s="82">
        <f t="shared" si="199"/>
        <v>0</v>
      </c>
      <c r="EJ62" s="82">
        <f t="shared" si="200"/>
        <v>0</v>
      </c>
      <c r="EK62" s="82">
        <f t="shared" si="201"/>
        <v>0</v>
      </c>
      <c r="EL62" s="82">
        <f t="shared" si="202"/>
        <v>0</v>
      </c>
      <c r="EM62" s="82">
        <f t="shared" si="203"/>
        <v>0</v>
      </c>
      <c r="EN62" s="82">
        <f t="shared" si="204"/>
        <v>0</v>
      </c>
      <c r="EO62" s="82">
        <f t="shared" si="205"/>
        <v>0</v>
      </c>
      <c r="EP62" s="82">
        <f t="shared" si="206"/>
        <v>0</v>
      </c>
      <c r="EQ62" s="82">
        <f t="shared" si="207"/>
        <v>0</v>
      </c>
      <c r="ER62" s="82">
        <f t="shared" si="208"/>
        <v>0</v>
      </c>
      <c r="ES62" s="82">
        <f t="shared" si="209"/>
        <v>0</v>
      </c>
      <c r="ET62" s="82">
        <f t="shared" si="210"/>
        <v>0</v>
      </c>
      <c r="EU62" s="82">
        <f t="shared" si="211"/>
        <v>0</v>
      </c>
      <c r="EV62" s="82">
        <f t="shared" si="212"/>
        <v>0</v>
      </c>
      <c r="EW62" s="82">
        <f t="shared" si="213"/>
        <v>0</v>
      </c>
      <c r="EX62" s="82">
        <f t="shared" si="214"/>
        <v>0</v>
      </c>
      <c r="EY62" s="111">
        <f t="shared" si="215"/>
        <v>0</v>
      </c>
      <c r="EZ62" s="143">
        <f t="shared" ca="1" si="216"/>
        <v>0</v>
      </c>
      <c r="FA62" s="112">
        <f t="shared" ca="1" si="217"/>
        <v>0</v>
      </c>
      <c r="FB62" s="113">
        <f t="shared" ca="1" si="218"/>
        <v>0</v>
      </c>
      <c r="FC62" s="114">
        <f t="shared" ca="1" si="219"/>
        <v>0</v>
      </c>
      <c r="FD62" s="115">
        <f t="shared" ca="1" si="220"/>
        <v>0</v>
      </c>
      <c r="FE62" s="116">
        <f t="shared" ca="1" si="221"/>
        <v>0</v>
      </c>
      <c r="FF62" s="117">
        <f t="shared" ca="1" si="222"/>
        <v>0</v>
      </c>
      <c r="FG62" s="71">
        <f t="shared" si="223"/>
        <v>0</v>
      </c>
      <c r="FH62" s="530">
        <f t="shared" ca="1" si="224"/>
        <v>0</v>
      </c>
      <c r="FI62" s="72"/>
      <c r="FJ62" s="72"/>
      <c r="FK62" s="72"/>
      <c r="FM62" s="421" t="str">
        <f t="shared" si="122"/>
        <v>L03-314_MechRaccIncd</v>
      </c>
      <c r="FN62" s="422" t="str">
        <f t="shared" ca="1" si="123"/>
        <v>Electrical/MechanicaI Room</v>
      </c>
      <c r="FO62" s="423">
        <f t="shared" ca="1" si="232"/>
        <v>0</v>
      </c>
      <c r="FP62" s="423">
        <f t="shared" ca="1" si="232"/>
        <v>0</v>
      </c>
      <c r="FQ62" s="423">
        <f t="shared" ca="1" si="232"/>
        <v>0</v>
      </c>
      <c r="FR62" s="423">
        <f t="shared" ca="1" si="232"/>
        <v>0</v>
      </c>
      <c r="FS62" s="423">
        <f t="shared" ca="1" si="232"/>
        <v>0</v>
      </c>
      <c r="FT62" s="423">
        <f t="shared" ca="1" si="232"/>
        <v>0</v>
      </c>
      <c r="FU62" s="423">
        <f t="shared" ca="1" si="232"/>
        <v>0</v>
      </c>
      <c r="FV62" s="423">
        <f t="shared" ca="1" si="232"/>
        <v>0</v>
      </c>
      <c r="FW62" s="423">
        <f t="shared" ca="1" si="232"/>
        <v>0</v>
      </c>
      <c r="FX62" s="423">
        <f t="shared" ca="1" si="232"/>
        <v>0</v>
      </c>
      <c r="FY62" s="423">
        <f t="shared" ca="1" si="232"/>
        <v>0</v>
      </c>
      <c r="FZ62" s="423">
        <f t="shared" ca="1" si="232"/>
        <v>0</v>
      </c>
      <c r="GA62" s="423">
        <f t="shared" ca="1" si="232"/>
        <v>0</v>
      </c>
      <c r="GB62" s="423">
        <f t="shared" ca="1" si="232"/>
        <v>0</v>
      </c>
      <c r="GC62" s="423">
        <f t="shared" ca="1" si="232"/>
        <v>0</v>
      </c>
      <c r="GD62" s="423">
        <f t="shared" ca="1" si="232"/>
        <v>0</v>
      </c>
      <c r="GE62" s="423">
        <f t="shared" ca="1" si="231"/>
        <v>0</v>
      </c>
      <c r="GF62" s="423">
        <f t="shared" ca="1" si="231"/>
        <v>0</v>
      </c>
      <c r="GG62" s="423">
        <f t="shared" ca="1" si="231"/>
        <v>0</v>
      </c>
      <c r="GH62" s="423">
        <f t="shared" ca="1" si="231"/>
        <v>0</v>
      </c>
      <c r="GI62" s="423">
        <f t="shared" ca="1" si="231"/>
        <v>0</v>
      </c>
      <c r="GJ62" s="423">
        <f t="shared" ca="1" si="231"/>
        <v>0</v>
      </c>
      <c r="GK62" s="423">
        <f t="shared" ca="1" si="231"/>
        <v>0</v>
      </c>
      <c r="GL62" s="423">
        <f t="shared" ca="1" si="231"/>
        <v>0</v>
      </c>
      <c r="GM62" s="423">
        <f t="shared" ca="1" si="231"/>
        <v>0</v>
      </c>
      <c r="GN62" s="423">
        <f t="shared" ca="1" si="231"/>
        <v>0</v>
      </c>
      <c r="GO62" s="423">
        <f t="shared" ca="1" si="231"/>
        <v>0</v>
      </c>
      <c r="GP62" s="423">
        <f t="shared" ca="1" si="231"/>
        <v>0</v>
      </c>
      <c r="GQ62" s="423">
        <f t="shared" ca="1" si="231"/>
        <v>0</v>
      </c>
      <c r="GR62" s="423">
        <f t="shared" ca="1" si="231"/>
        <v>0</v>
      </c>
      <c r="GS62" s="423">
        <f t="shared" ca="1" si="231"/>
        <v>0</v>
      </c>
      <c r="GT62" s="423">
        <f t="shared" ca="1" si="229"/>
        <v>0</v>
      </c>
      <c r="GU62" s="423">
        <f t="shared" ca="1" si="229"/>
        <v>0</v>
      </c>
      <c r="GV62" s="423">
        <f t="shared" ca="1" si="229"/>
        <v>0</v>
      </c>
      <c r="GW62" s="423">
        <f t="shared" ca="1" si="229"/>
        <v>0</v>
      </c>
      <c r="GX62" s="423">
        <f t="shared" ca="1" si="229"/>
        <v>0</v>
      </c>
      <c r="GY62" s="423">
        <f t="shared" ca="1" si="229"/>
        <v>0</v>
      </c>
      <c r="GZ62" s="423">
        <f t="shared" ca="1" si="229"/>
        <v>0</v>
      </c>
      <c r="HA62" s="423">
        <f t="shared" ca="1" si="229"/>
        <v>0</v>
      </c>
      <c r="HB62" s="423">
        <f t="shared" ca="1" si="229"/>
        <v>0</v>
      </c>
      <c r="HC62" s="423">
        <f t="shared" ca="1" si="229"/>
        <v>0</v>
      </c>
      <c r="HD62" s="423">
        <f t="shared" ca="1" si="229"/>
        <v>0</v>
      </c>
      <c r="HE62" s="423">
        <f t="shared" ca="1" si="229"/>
        <v>0</v>
      </c>
      <c r="HF62" s="423">
        <f t="shared" ca="1" si="229"/>
        <v>0</v>
      </c>
      <c r="HG62" s="423">
        <f t="shared" ca="1" si="229"/>
        <v>0</v>
      </c>
      <c r="HH62" s="423">
        <f t="shared" ca="1" si="229"/>
        <v>0</v>
      </c>
      <c r="HI62" s="423">
        <f t="shared" ca="1" si="229"/>
        <v>0</v>
      </c>
      <c r="HJ62" s="423">
        <f t="shared" ca="1" si="230"/>
        <v>0</v>
      </c>
      <c r="HK62" s="423">
        <f t="shared" ca="1" si="230"/>
        <v>0</v>
      </c>
      <c r="HL62" s="423">
        <f t="shared" ca="1" si="230"/>
        <v>0</v>
      </c>
      <c r="HM62" s="423">
        <f t="shared" ca="1" si="230"/>
        <v>0</v>
      </c>
      <c r="HN62" s="423">
        <f t="shared" ca="1" si="230"/>
        <v>0</v>
      </c>
      <c r="HO62" s="423">
        <f t="shared" ca="1" si="230"/>
        <v>0</v>
      </c>
      <c r="HP62" s="423">
        <f t="shared" ca="1" si="230"/>
        <v>0</v>
      </c>
      <c r="HQ62" s="423">
        <f t="shared" ca="1" si="230"/>
        <v>0</v>
      </c>
      <c r="HR62" s="423">
        <f t="shared" ca="1" si="230"/>
        <v>0</v>
      </c>
      <c r="HS62" s="423">
        <f t="shared" ca="1" si="230"/>
        <v>0</v>
      </c>
      <c r="HT62" s="423">
        <f t="shared" ca="1" si="230"/>
        <v>0</v>
      </c>
    </row>
    <row r="63" spans="1:228" ht="11.25" customHeight="1" x14ac:dyDescent="0.2">
      <c r="A63" s="62">
        <f t="shared" si="128"/>
        <v>52</v>
      </c>
      <c r="B63" s="60" t="str">
        <f>Spaces_Sum!C108</f>
        <v>L03-315_ElevRaccIncd</v>
      </c>
      <c r="C63" s="62" t="str">
        <f>Spaces_Sum!D108</f>
        <v>L03</v>
      </c>
      <c r="D63" s="62" t="str">
        <f ca="1">Spaces_Sum!I108</f>
        <v>IndirectlyConditioned</v>
      </c>
      <c r="F63" s="110">
        <f ca="1">Spaces_Sum!M108</f>
        <v>178.88640000000001</v>
      </c>
      <c r="G63" s="110" t="str">
        <f ca="1">Spaces_Sum!J108</f>
        <v>Unoccupied-Include in Gross Floor Area</v>
      </c>
      <c r="H63" s="532"/>
      <c r="I63" s="185"/>
      <c r="J63" s="185"/>
      <c r="K63" s="186"/>
      <c r="L63" s="187"/>
      <c r="M63" s="188"/>
      <c r="N63" s="189"/>
      <c r="O63" s="186"/>
      <c r="P63" s="187"/>
      <c r="Q63" s="188"/>
      <c r="R63" s="189"/>
      <c r="S63" s="186"/>
      <c r="T63" s="187"/>
      <c r="U63" s="188"/>
      <c r="V63" s="189"/>
      <c r="W63" s="186"/>
      <c r="X63" s="187"/>
      <c r="Y63" s="188"/>
      <c r="Z63" s="189"/>
      <c r="AA63" s="186"/>
      <c r="AB63" s="187"/>
      <c r="AC63" s="188"/>
      <c r="AD63" s="189"/>
      <c r="AE63" s="186"/>
      <c r="AF63" s="187"/>
      <c r="AG63" s="188"/>
      <c r="AH63" s="189"/>
      <c r="AI63" s="186"/>
      <c r="AJ63" s="187"/>
      <c r="AK63" s="188"/>
      <c r="AL63" s="189"/>
      <c r="AM63" s="186"/>
      <c r="AN63" s="187"/>
      <c r="AO63" s="188"/>
      <c r="AP63" s="189"/>
      <c r="AQ63" s="186"/>
      <c r="AR63" s="187"/>
      <c r="AS63" s="188"/>
      <c r="AT63" s="189"/>
      <c r="AU63" s="186"/>
      <c r="AV63" s="187"/>
      <c r="AW63" s="188"/>
      <c r="AX63" s="189"/>
      <c r="AY63" s="186"/>
      <c r="AZ63" s="187"/>
      <c r="BA63" s="188"/>
      <c r="BB63" s="189"/>
      <c r="BC63" s="186"/>
      <c r="BD63" s="187"/>
      <c r="BE63" s="188"/>
      <c r="BF63" s="189"/>
      <c r="BG63" s="186"/>
      <c r="BH63" s="187"/>
      <c r="BI63" s="188"/>
      <c r="BJ63" s="189"/>
      <c r="BK63" s="186"/>
      <c r="BL63" s="187"/>
      <c r="BM63" s="188"/>
      <c r="BN63" s="189"/>
      <c r="BO63" s="186"/>
      <c r="BP63" s="187"/>
      <c r="BQ63" s="188"/>
      <c r="BR63" s="189"/>
      <c r="BS63" s="186"/>
      <c r="BT63" s="187"/>
      <c r="BU63" s="188"/>
      <c r="BV63" s="189"/>
      <c r="BW63" s="186"/>
      <c r="BX63" s="187"/>
      <c r="BY63" s="188"/>
      <c r="BZ63" s="189"/>
      <c r="CA63" s="186"/>
      <c r="CB63" s="190"/>
      <c r="CC63" s="190"/>
      <c r="CD63" s="82">
        <f t="shared" si="142"/>
        <v>0</v>
      </c>
      <c r="CE63" s="82">
        <f t="shared" si="143"/>
        <v>0</v>
      </c>
      <c r="CF63" s="82">
        <f t="shared" si="144"/>
        <v>0</v>
      </c>
      <c r="CG63" s="82">
        <f t="shared" si="145"/>
        <v>0</v>
      </c>
      <c r="CH63" s="82">
        <f t="shared" si="146"/>
        <v>0</v>
      </c>
      <c r="CI63" s="82">
        <f t="shared" si="147"/>
        <v>0</v>
      </c>
      <c r="CJ63" s="82">
        <f t="shared" si="148"/>
        <v>0</v>
      </c>
      <c r="CK63" s="82">
        <f t="shared" si="149"/>
        <v>0</v>
      </c>
      <c r="CL63" s="82">
        <f t="shared" si="150"/>
        <v>0</v>
      </c>
      <c r="CM63" s="82">
        <f t="shared" si="151"/>
        <v>0</v>
      </c>
      <c r="CN63" s="82">
        <f t="shared" si="152"/>
        <v>0</v>
      </c>
      <c r="CO63" s="82">
        <f t="shared" si="153"/>
        <v>0</v>
      </c>
      <c r="CP63" s="82">
        <f t="shared" si="154"/>
        <v>0</v>
      </c>
      <c r="CQ63" s="82">
        <f t="shared" si="155"/>
        <v>0</v>
      </c>
      <c r="CR63" s="82">
        <f t="shared" si="156"/>
        <v>0</v>
      </c>
      <c r="CS63" s="82">
        <f t="shared" si="157"/>
        <v>0</v>
      </c>
      <c r="CT63" s="82">
        <f t="shared" si="158"/>
        <v>0</v>
      </c>
      <c r="CU63" s="82">
        <f t="shared" si="159"/>
        <v>0</v>
      </c>
      <c r="CV63" s="82">
        <f t="shared" si="160"/>
        <v>0</v>
      </c>
      <c r="CW63" s="82">
        <f t="shared" si="161"/>
        <v>0</v>
      </c>
      <c r="CX63" s="82">
        <f t="shared" si="162"/>
        <v>0</v>
      </c>
      <c r="CY63" s="82">
        <f t="shared" si="163"/>
        <v>0</v>
      </c>
      <c r="CZ63" s="82">
        <f t="shared" si="164"/>
        <v>0</v>
      </c>
      <c r="DA63" s="82">
        <f t="shared" si="165"/>
        <v>0</v>
      </c>
      <c r="DB63" s="82">
        <f t="shared" si="166"/>
        <v>0</v>
      </c>
      <c r="DC63" s="82">
        <f t="shared" si="167"/>
        <v>0</v>
      </c>
      <c r="DD63" s="82">
        <f t="shared" si="168"/>
        <v>0</v>
      </c>
      <c r="DE63" s="82">
        <f t="shared" si="169"/>
        <v>0</v>
      </c>
      <c r="DF63" s="82">
        <f t="shared" si="170"/>
        <v>0</v>
      </c>
      <c r="DG63" s="82">
        <f t="shared" si="171"/>
        <v>0</v>
      </c>
      <c r="DH63" s="82">
        <f t="shared" si="172"/>
        <v>0</v>
      </c>
      <c r="DI63" s="82">
        <f t="shared" si="173"/>
        <v>0</v>
      </c>
      <c r="DJ63" s="82">
        <f t="shared" si="174"/>
        <v>0</v>
      </c>
      <c r="DK63" s="82">
        <f t="shared" si="175"/>
        <v>0</v>
      </c>
      <c r="DL63" s="82">
        <f t="shared" si="176"/>
        <v>0</v>
      </c>
      <c r="DM63" s="82">
        <f t="shared" si="177"/>
        <v>0</v>
      </c>
      <c r="DN63" s="82">
        <f t="shared" si="178"/>
        <v>0</v>
      </c>
      <c r="DO63" s="82">
        <f t="shared" si="179"/>
        <v>0</v>
      </c>
      <c r="DP63" s="82">
        <f t="shared" si="180"/>
        <v>0</v>
      </c>
      <c r="DQ63" s="82">
        <f t="shared" si="181"/>
        <v>0</v>
      </c>
      <c r="DR63" s="82">
        <f t="shared" si="182"/>
        <v>0</v>
      </c>
      <c r="DS63" s="82">
        <f t="shared" si="183"/>
        <v>0</v>
      </c>
      <c r="DT63" s="82">
        <f t="shared" si="184"/>
        <v>0</v>
      </c>
      <c r="DU63" s="82">
        <f t="shared" si="185"/>
        <v>0</v>
      </c>
      <c r="DV63" s="82">
        <f t="shared" si="186"/>
        <v>0</v>
      </c>
      <c r="DW63" s="82">
        <f t="shared" si="187"/>
        <v>0</v>
      </c>
      <c r="DX63" s="82">
        <f t="shared" si="188"/>
        <v>0</v>
      </c>
      <c r="DY63" s="82">
        <f t="shared" si="189"/>
        <v>0</v>
      </c>
      <c r="DZ63" s="82">
        <f t="shared" si="190"/>
        <v>0</v>
      </c>
      <c r="EA63" s="82">
        <f t="shared" si="191"/>
        <v>0</v>
      </c>
      <c r="EB63" s="82">
        <f t="shared" si="192"/>
        <v>0</v>
      </c>
      <c r="EC63" s="82">
        <f t="shared" si="193"/>
        <v>0</v>
      </c>
      <c r="ED63" s="82">
        <f t="shared" si="194"/>
        <v>0</v>
      </c>
      <c r="EE63" s="82">
        <f t="shared" si="195"/>
        <v>0</v>
      </c>
      <c r="EF63" s="82">
        <f t="shared" si="196"/>
        <v>0</v>
      </c>
      <c r="EG63" s="82">
        <f t="shared" si="197"/>
        <v>0</v>
      </c>
      <c r="EH63" s="82">
        <f t="shared" si="198"/>
        <v>0</v>
      </c>
      <c r="EI63" s="82">
        <f t="shared" si="199"/>
        <v>0</v>
      </c>
      <c r="EJ63" s="82">
        <f t="shared" si="200"/>
        <v>0</v>
      </c>
      <c r="EK63" s="82">
        <f t="shared" si="201"/>
        <v>0</v>
      </c>
      <c r="EL63" s="82">
        <f t="shared" si="202"/>
        <v>0</v>
      </c>
      <c r="EM63" s="82">
        <f t="shared" si="203"/>
        <v>0</v>
      </c>
      <c r="EN63" s="82">
        <f t="shared" si="204"/>
        <v>0</v>
      </c>
      <c r="EO63" s="82">
        <f t="shared" si="205"/>
        <v>0</v>
      </c>
      <c r="EP63" s="82">
        <f t="shared" si="206"/>
        <v>0</v>
      </c>
      <c r="EQ63" s="82">
        <f t="shared" si="207"/>
        <v>0</v>
      </c>
      <c r="ER63" s="82">
        <f t="shared" si="208"/>
        <v>0</v>
      </c>
      <c r="ES63" s="82">
        <f t="shared" si="209"/>
        <v>0</v>
      </c>
      <c r="ET63" s="82">
        <f t="shared" si="210"/>
        <v>0</v>
      </c>
      <c r="EU63" s="82">
        <f t="shared" si="211"/>
        <v>0</v>
      </c>
      <c r="EV63" s="82">
        <f t="shared" si="212"/>
        <v>0</v>
      </c>
      <c r="EW63" s="82">
        <f t="shared" si="213"/>
        <v>0</v>
      </c>
      <c r="EX63" s="82">
        <f t="shared" si="214"/>
        <v>0</v>
      </c>
      <c r="EY63" s="111">
        <f t="shared" si="215"/>
        <v>0</v>
      </c>
      <c r="EZ63" s="143">
        <f t="shared" ca="1" si="216"/>
        <v>0</v>
      </c>
      <c r="FA63" s="112">
        <f t="shared" ca="1" si="217"/>
        <v>0</v>
      </c>
      <c r="FB63" s="113">
        <f t="shared" ca="1" si="218"/>
        <v>0</v>
      </c>
      <c r="FC63" s="114">
        <f t="shared" ca="1" si="219"/>
        <v>0</v>
      </c>
      <c r="FD63" s="115">
        <f t="shared" ca="1" si="220"/>
        <v>0</v>
      </c>
      <c r="FE63" s="116">
        <f t="shared" ca="1" si="221"/>
        <v>0</v>
      </c>
      <c r="FF63" s="117">
        <f t="shared" ca="1" si="222"/>
        <v>0</v>
      </c>
      <c r="FG63" s="71">
        <f t="shared" si="223"/>
        <v>0</v>
      </c>
      <c r="FH63" s="530">
        <f t="shared" ca="1" si="224"/>
        <v>0</v>
      </c>
      <c r="FI63" s="72"/>
      <c r="FJ63" s="72"/>
      <c r="FK63" s="72"/>
      <c r="FM63" s="421" t="str">
        <f t="shared" si="122"/>
        <v>L03-315_ElevRaccIncd</v>
      </c>
      <c r="FN63" s="422" t="str">
        <f t="shared" ca="1" si="123"/>
        <v>Unoccupied-Include in Gross Floor Area</v>
      </c>
      <c r="FO63" s="423">
        <f t="shared" ca="1" si="232"/>
        <v>0</v>
      </c>
      <c r="FP63" s="423">
        <f t="shared" ca="1" si="232"/>
        <v>0</v>
      </c>
      <c r="FQ63" s="423">
        <f t="shared" ca="1" si="232"/>
        <v>0</v>
      </c>
      <c r="FR63" s="423">
        <f t="shared" ca="1" si="232"/>
        <v>0</v>
      </c>
      <c r="FS63" s="423">
        <f t="shared" ca="1" si="232"/>
        <v>0</v>
      </c>
      <c r="FT63" s="423">
        <f t="shared" ca="1" si="232"/>
        <v>0</v>
      </c>
      <c r="FU63" s="423">
        <f t="shared" ca="1" si="232"/>
        <v>0</v>
      </c>
      <c r="FV63" s="423">
        <f t="shared" ca="1" si="232"/>
        <v>0</v>
      </c>
      <c r="FW63" s="423">
        <f t="shared" ca="1" si="232"/>
        <v>0</v>
      </c>
      <c r="FX63" s="423">
        <f t="shared" ca="1" si="232"/>
        <v>0</v>
      </c>
      <c r="FY63" s="423">
        <f t="shared" ca="1" si="232"/>
        <v>0</v>
      </c>
      <c r="FZ63" s="423">
        <f t="shared" ca="1" si="232"/>
        <v>0</v>
      </c>
      <c r="GA63" s="423">
        <f t="shared" ca="1" si="232"/>
        <v>0</v>
      </c>
      <c r="GB63" s="423">
        <f t="shared" ca="1" si="232"/>
        <v>0</v>
      </c>
      <c r="GC63" s="423">
        <f t="shared" ca="1" si="232"/>
        <v>0</v>
      </c>
      <c r="GD63" s="423">
        <f t="shared" ca="1" si="232"/>
        <v>0</v>
      </c>
      <c r="GE63" s="423">
        <f t="shared" ca="1" si="231"/>
        <v>0</v>
      </c>
      <c r="GF63" s="423">
        <f t="shared" ca="1" si="231"/>
        <v>0</v>
      </c>
      <c r="GG63" s="423">
        <f t="shared" ca="1" si="231"/>
        <v>0</v>
      </c>
      <c r="GH63" s="423">
        <f t="shared" ca="1" si="231"/>
        <v>0</v>
      </c>
      <c r="GI63" s="423">
        <f t="shared" ca="1" si="231"/>
        <v>0</v>
      </c>
      <c r="GJ63" s="423">
        <f t="shared" ca="1" si="231"/>
        <v>0</v>
      </c>
      <c r="GK63" s="423">
        <f t="shared" ca="1" si="231"/>
        <v>0</v>
      </c>
      <c r="GL63" s="423">
        <f t="shared" ca="1" si="231"/>
        <v>0</v>
      </c>
      <c r="GM63" s="423">
        <f t="shared" ca="1" si="231"/>
        <v>0</v>
      </c>
      <c r="GN63" s="423">
        <f t="shared" ca="1" si="231"/>
        <v>0</v>
      </c>
      <c r="GO63" s="423">
        <f t="shared" ca="1" si="231"/>
        <v>0</v>
      </c>
      <c r="GP63" s="423">
        <f t="shared" ca="1" si="231"/>
        <v>0</v>
      </c>
      <c r="GQ63" s="423">
        <f t="shared" ca="1" si="231"/>
        <v>0</v>
      </c>
      <c r="GR63" s="423">
        <f t="shared" ca="1" si="231"/>
        <v>0</v>
      </c>
      <c r="GS63" s="423">
        <f t="shared" ca="1" si="231"/>
        <v>0</v>
      </c>
      <c r="GT63" s="423">
        <f t="shared" ca="1" si="229"/>
        <v>0</v>
      </c>
      <c r="GU63" s="423">
        <f t="shared" ca="1" si="229"/>
        <v>0</v>
      </c>
      <c r="GV63" s="423">
        <f t="shared" ca="1" si="229"/>
        <v>0</v>
      </c>
      <c r="GW63" s="423">
        <f t="shared" ca="1" si="229"/>
        <v>0</v>
      </c>
      <c r="GX63" s="423">
        <f t="shared" ca="1" si="229"/>
        <v>0</v>
      </c>
      <c r="GY63" s="423">
        <f t="shared" ca="1" si="229"/>
        <v>0</v>
      </c>
      <c r="GZ63" s="423">
        <f t="shared" ca="1" si="229"/>
        <v>0</v>
      </c>
      <c r="HA63" s="423">
        <f t="shared" ca="1" si="229"/>
        <v>0</v>
      </c>
      <c r="HB63" s="423">
        <f t="shared" ca="1" si="229"/>
        <v>0</v>
      </c>
      <c r="HC63" s="423">
        <f t="shared" ca="1" si="229"/>
        <v>0</v>
      </c>
      <c r="HD63" s="423">
        <f t="shared" ca="1" si="229"/>
        <v>0</v>
      </c>
      <c r="HE63" s="423">
        <f t="shared" ca="1" si="229"/>
        <v>0</v>
      </c>
      <c r="HF63" s="423">
        <f t="shared" ca="1" si="229"/>
        <v>0</v>
      </c>
      <c r="HG63" s="423">
        <f t="shared" ca="1" si="229"/>
        <v>0</v>
      </c>
      <c r="HH63" s="423">
        <f t="shared" ca="1" si="229"/>
        <v>0</v>
      </c>
      <c r="HI63" s="423">
        <f t="shared" ca="1" si="229"/>
        <v>0</v>
      </c>
      <c r="HJ63" s="423">
        <f t="shared" ca="1" si="230"/>
        <v>0</v>
      </c>
      <c r="HK63" s="423">
        <f t="shared" ca="1" si="230"/>
        <v>0</v>
      </c>
      <c r="HL63" s="423">
        <f t="shared" ca="1" si="230"/>
        <v>0</v>
      </c>
      <c r="HM63" s="423">
        <f t="shared" ca="1" si="230"/>
        <v>0</v>
      </c>
      <c r="HN63" s="423">
        <f t="shared" ca="1" si="230"/>
        <v>0</v>
      </c>
      <c r="HO63" s="423">
        <f t="shared" ca="1" si="230"/>
        <v>0</v>
      </c>
      <c r="HP63" s="423">
        <f t="shared" ca="1" si="230"/>
        <v>0</v>
      </c>
      <c r="HQ63" s="423">
        <f t="shared" ca="1" si="230"/>
        <v>0</v>
      </c>
      <c r="HR63" s="423">
        <f t="shared" ca="1" si="230"/>
        <v>0</v>
      </c>
      <c r="HS63" s="423">
        <f t="shared" ca="1" si="230"/>
        <v>0</v>
      </c>
      <c r="HT63" s="423">
        <f t="shared" ca="1" si="230"/>
        <v>0</v>
      </c>
    </row>
    <row r="64" spans="1:228" ht="11.25" customHeight="1" x14ac:dyDescent="0.2">
      <c r="A64" s="62">
        <f t="shared" si="128"/>
        <v>53</v>
      </c>
      <c r="B64" s="60" t="str">
        <f>Spaces_Sum!C109</f>
        <v>L03-316_StrsRaccIncd</v>
      </c>
      <c r="C64" s="62" t="str">
        <f>Spaces_Sum!D109</f>
        <v>L03</v>
      </c>
      <c r="D64" s="62" t="str">
        <f ca="1">Spaces_Sum!I109</f>
        <v>IndirectlyConditioned</v>
      </c>
      <c r="F64" s="110">
        <f ca="1">Spaces_Sum!M109</f>
        <v>232.53399999999999</v>
      </c>
      <c r="G64" s="110" t="str">
        <f ca="1">Spaces_Sum!J109</f>
        <v>Stairwell</v>
      </c>
      <c r="H64" s="532"/>
      <c r="I64" s="185"/>
      <c r="J64" s="185"/>
      <c r="K64" s="186"/>
      <c r="L64" s="187"/>
      <c r="M64" s="188"/>
      <c r="N64" s="189"/>
      <c r="O64" s="186"/>
      <c r="P64" s="187"/>
      <c r="Q64" s="188"/>
      <c r="R64" s="189"/>
      <c r="S64" s="186"/>
      <c r="T64" s="187"/>
      <c r="U64" s="188"/>
      <c r="V64" s="189"/>
      <c r="W64" s="186"/>
      <c r="X64" s="187"/>
      <c r="Y64" s="188"/>
      <c r="Z64" s="189"/>
      <c r="AA64" s="186"/>
      <c r="AB64" s="187"/>
      <c r="AC64" s="188"/>
      <c r="AD64" s="189"/>
      <c r="AE64" s="186"/>
      <c r="AF64" s="187"/>
      <c r="AG64" s="188"/>
      <c r="AH64" s="189"/>
      <c r="AI64" s="186"/>
      <c r="AJ64" s="187"/>
      <c r="AK64" s="188"/>
      <c r="AL64" s="189"/>
      <c r="AM64" s="186"/>
      <c r="AN64" s="187"/>
      <c r="AO64" s="188"/>
      <c r="AP64" s="189"/>
      <c r="AQ64" s="186"/>
      <c r="AR64" s="187"/>
      <c r="AS64" s="188"/>
      <c r="AT64" s="189"/>
      <c r="AU64" s="186"/>
      <c r="AV64" s="187"/>
      <c r="AW64" s="188"/>
      <c r="AX64" s="189"/>
      <c r="AY64" s="186"/>
      <c r="AZ64" s="187"/>
      <c r="BA64" s="188"/>
      <c r="BB64" s="189"/>
      <c r="BC64" s="186"/>
      <c r="BD64" s="187"/>
      <c r="BE64" s="188"/>
      <c r="BF64" s="189"/>
      <c r="BG64" s="186"/>
      <c r="BH64" s="187"/>
      <c r="BI64" s="188"/>
      <c r="BJ64" s="189"/>
      <c r="BK64" s="186"/>
      <c r="BL64" s="187"/>
      <c r="BM64" s="188"/>
      <c r="BN64" s="189"/>
      <c r="BO64" s="186"/>
      <c r="BP64" s="187"/>
      <c r="BQ64" s="188"/>
      <c r="BR64" s="189"/>
      <c r="BS64" s="186"/>
      <c r="BT64" s="187"/>
      <c r="BU64" s="188"/>
      <c r="BV64" s="189"/>
      <c r="BW64" s="186"/>
      <c r="BX64" s="187"/>
      <c r="BY64" s="188"/>
      <c r="BZ64" s="189"/>
      <c r="CA64" s="186"/>
      <c r="CB64" s="190"/>
      <c r="CC64" s="190"/>
      <c r="CD64" s="82">
        <f t="shared" si="142"/>
        <v>0</v>
      </c>
      <c r="CE64" s="82">
        <f t="shared" si="143"/>
        <v>0</v>
      </c>
      <c r="CF64" s="82">
        <f t="shared" si="144"/>
        <v>0</v>
      </c>
      <c r="CG64" s="82">
        <f t="shared" si="145"/>
        <v>0</v>
      </c>
      <c r="CH64" s="82">
        <f t="shared" si="146"/>
        <v>0</v>
      </c>
      <c r="CI64" s="82">
        <f t="shared" si="147"/>
        <v>0</v>
      </c>
      <c r="CJ64" s="82">
        <f t="shared" si="148"/>
        <v>0</v>
      </c>
      <c r="CK64" s="82">
        <f t="shared" si="149"/>
        <v>0</v>
      </c>
      <c r="CL64" s="82">
        <f t="shared" si="150"/>
        <v>0</v>
      </c>
      <c r="CM64" s="82">
        <f t="shared" si="151"/>
        <v>0</v>
      </c>
      <c r="CN64" s="82">
        <f t="shared" si="152"/>
        <v>0</v>
      </c>
      <c r="CO64" s="82">
        <f t="shared" si="153"/>
        <v>0</v>
      </c>
      <c r="CP64" s="82">
        <f t="shared" si="154"/>
        <v>0</v>
      </c>
      <c r="CQ64" s="82">
        <f t="shared" si="155"/>
        <v>0</v>
      </c>
      <c r="CR64" s="82">
        <f t="shared" si="156"/>
        <v>0</v>
      </c>
      <c r="CS64" s="82">
        <f t="shared" si="157"/>
        <v>0</v>
      </c>
      <c r="CT64" s="82">
        <f t="shared" si="158"/>
        <v>0</v>
      </c>
      <c r="CU64" s="82">
        <f t="shared" si="159"/>
        <v>0</v>
      </c>
      <c r="CV64" s="82">
        <f t="shared" si="160"/>
        <v>0</v>
      </c>
      <c r="CW64" s="82">
        <f t="shared" si="161"/>
        <v>0</v>
      </c>
      <c r="CX64" s="82">
        <f t="shared" si="162"/>
        <v>0</v>
      </c>
      <c r="CY64" s="82">
        <f t="shared" si="163"/>
        <v>0</v>
      </c>
      <c r="CZ64" s="82">
        <f t="shared" si="164"/>
        <v>0</v>
      </c>
      <c r="DA64" s="82">
        <f t="shared" si="165"/>
        <v>0</v>
      </c>
      <c r="DB64" s="82">
        <f t="shared" si="166"/>
        <v>0</v>
      </c>
      <c r="DC64" s="82">
        <f t="shared" si="167"/>
        <v>0</v>
      </c>
      <c r="DD64" s="82">
        <f t="shared" si="168"/>
        <v>0</v>
      </c>
      <c r="DE64" s="82">
        <f t="shared" si="169"/>
        <v>0</v>
      </c>
      <c r="DF64" s="82">
        <f t="shared" si="170"/>
        <v>0</v>
      </c>
      <c r="DG64" s="82">
        <f t="shared" si="171"/>
        <v>0</v>
      </c>
      <c r="DH64" s="82">
        <f t="shared" si="172"/>
        <v>0</v>
      </c>
      <c r="DI64" s="82">
        <f t="shared" si="173"/>
        <v>0</v>
      </c>
      <c r="DJ64" s="82">
        <f t="shared" si="174"/>
        <v>0</v>
      </c>
      <c r="DK64" s="82">
        <f t="shared" si="175"/>
        <v>0</v>
      </c>
      <c r="DL64" s="82">
        <f t="shared" si="176"/>
        <v>0</v>
      </c>
      <c r="DM64" s="82">
        <f t="shared" si="177"/>
        <v>0</v>
      </c>
      <c r="DN64" s="82">
        <f t="shared" si="178"/>
        <v>0</v>
      </c>
      <c r="DO64" s="82">
        <f t="shared" si="179"/>
        <v>0</v>
      </c>
      <c r="DP64" s="82">
        <f t="shared" si="180"/>
        <v>0</v>
      </c>
      <c r="DQ64" s="82">
        <f t="shared" si="181"/>
        <v>0</v>
      </c>
      <c r="DR64" s="82">
        <f t="shared" si="182"/>
        <v>0</v>
      </c>
      <c r="DS64" s="82">
        <f t="shared" si="183"/>
        <v>0</v>
      </c>
      <c r="DT64" s="82">
        <f t="shared" si="184"/>
        <v>0</v>
      </c>
      <c r="DU64" s="82">
        <f t="shared" si="185"/>
        <v>0</v>
      </c>
      <c r="DV64" s="82">
        <f t="shared" si="186"/>
        <v>0</v>
      </c>
      <c r="DW64" s="82">
        <f t="shared" si="187"/>
        <v>0</v>
      </c>
      <c r="DX64" s="82">
        <f t="shared" si="188"/>
        <v>0</v>
      </c>
      <c r="DY64" s="82">
        <f t="shared" si="189"/>
        <v>0</v>
      </c>
      <c r="DZ64" s="82">
        <f t="shared" si="190"/>
        <v>0</v>
      </c>
      <c r="EA64" s="82">
        <f t="shared" si="191"/>
        <v>0</v>
      </c>
      <c r="EB64" s="82">
        <f t="shared" si="192"/>
        <v>0</v>
      </c>
      <c r="EC64" s="82">
        <f t="shared" si="193"/>
        <v>0</v>
      </c>
      <c r="ED64" s="82">
        <f t="shared" si="194"/>
        <v>0</v>
      </c>
      <c r="EE64" s="82">
        <f t="shared" si="195"/>
        <v>0</v>
      </c>
      <c r="EF64" s="82">
        <f t="shared" si="196"/>
        <v>0</v>
      </c>
      <c r="EG64" s="82">
        <f t="shared" si="197"/>
        <v>0</v>
      </c>
      <c r="EH64" s="82">
        <f t="shared" si="198"/>
        <v>0</v>
      </c>
      <c r="EI64" s="82">
        <f t="shared" si="199"/>
        <v>0</v>
      </c>
      <c r="EJ64" s="82">
        <f t="shared" si="200"/>
        <v>0</v>
      </c>
      <c r="EK64" s="82">
        <f t="shared" si="201"/>
        <v>0</v>
      </c>
      <c r="EL64" s="82">
        <f t="shared" si="202"/>
        <v>0</v>
      </c>
      <c r="EM64" s="82">
        <f t="shared" si="203"/>
        <v>0</v>
      </c>
      <c r="EN64" s="82">
        <f t="shared" si="204"/>
        <v>0</v>
      </c>
      <c r="EO64" s="82">
        <f t="shared" si="205"/>
        <v>0</v>
      </c>
      <c r="EP64" s="82">
        <f t="shared" si="206"/>
        <v>0</v>
      </c>
      <c r="EQ64" s="82">
        <f t="shared" si="207"/>
        <v>0</v>
      </c>
      <c r="ER64" s="82">
        <f t="shared" si="208"/>
        <v>0</v>
      </c>
      <c r="ES64" s="82">
        <f t="shared" si="209"/>
        <v>0</v>
      </c>
      <c r="ET64" s="82">
        <f t="shared" si="210"/>
        <v>0</v>
      </c>
      <c r="EU64" s="82">
        <f t="shared" si="211"/>
        <v>0</v>
      </c>
      <c r="EV64" s="82">
        <f t="shared" si="212"/>
        <v>0</v>
      </c>
      <c r="EW64" s="82">
        <f t="shared" si="213"/>
        <v>0</v>
      </c>
      <c r="EX64" s="82">
        <f t="shared" si="214"/>
        <v>0</v>
      </c>
      <c r="EY64" s="111">
        <f t="shared" si="215"/>
        <v>0</v>
      </c>
      <c r="EZ64" s="143">
        <f t="shared" ca="1" si="216"/>
        <v>0</v>
      </c>
      <c r="FA64" s="112">
        <f t="shared" ca="1" si="217"/>
        <v>0</v>
      </c>
      <c r="FB64" s="113">
        <f t="shared" ca="1" si="218"/>
        <v>0</v>
      </c>
      <c r="FC64" s="114">
        <f t="shared" ca="1" si="219"/>
        <v>0</v>
      </c>
      <c r="FD64" s="115">
        <f t="shared" ca="1" si="220"/>
        <v>0</v>
      </c>
      <c r="FE64" s="116">
        <f t="shared" ca="1" si="221"/>
        <v>0</v>
      </c>
      <c r="FF64" s="117">
        <f t="shared" ca="1" si="222"/>
        <v>0</v>
      </c>
      <c r="FG64" s="71">
        <f t="shared" si="223"/>
        <v>0</v>
      </c>
      <c r="FH64" s="530">
        <f t="shared" ca="1" si="224"/>
        <v>0</v>
      </c>
      <c r="FI64" s="72"/>
      <c r="FJ64" s="72"/>
      <c r="FK64" s="72"/>
      <c r="FM64" s="421" t="str">
        <f t="shared" si="122"/>
        <v>L03-316_StrsRaccIncd</v>
      </c>
      <c r="FN64" s="422" t="str">
        <f t="shared" ca="1" si="123"/>
        <v>Stairwell</v>
      </c>
      <c r="FO64" s="423">
        <f t="shared" ca="1" si="232"/>
        <v>0</v>
      </c>
      <c r="FP64" s="423">
        <f t="shared" ca="1" si="232"/>
        <v>0</v>
      </c>
      <c r="FQ64" s="423">
        <f t="shared" ca="1" si="232"/>
        <v>0</v>
      </c>
      <c r="FR64" s="423">
        <f t="shared" ca="1" si="232"/>
        <v>0</v>
      </c>
      <c r="FS64" s="423">
        <f t="shared" ca="1" si="232"/>
        <v>0</v>
      </c>
      <c r="FT64" s="423">
        <f t="shared" ca="1" si="232"/>
        <v>0</v>
      </c>
      <c r="FU64" s="423">
        <f t="shared" ca="1" si="232"/>
        <v>0</v>
      </c>
      <c r="FV64" s="423">
        <f t="shared" ca="1" si="232"/>
        <v>0</v>
      </c>
      <c r="FW64" s="423">
        <f t="shared" ca="1" si="232"/>
        <v>0</v>
      </c>
      <c r="FX64" s="423">
        <f t="shared" ca="1" si="232"/>
        <v>0</v>
      </c>
      <c r="FY64" s="423">
        <f t="shared" ca="1" si="232"/>
        <v>0</v>
      </c>
      <c r="FZ64" s="423">
        <f t="shared" ca="1" si="232"/>
        <v>0</v>
      </c>
      <c r="GA64" s="423">
        <f t="shared" ca="1" si="232"/>
        <v>0</v>
      </c>
      <c r="GB64" s="423">
        <f t="shared" ca="1" si="232"/>
        <v>0</v>
      </c>
      <c r="GC64" s="423">
        <f t="shared" ca="1" si="232"/>
        <v>0</v>
      </c>
      <c r="GD64" s="423">
        <f t="shared" ca="1" si="232"/>
        <v>0</v>
      </c>
      <c r="GE64" s="423">
        <f t="shared" ca="1" si="231"/>
        <v>0</v>
      </c>
      <c r="GF64" s="423">
        <f t="shared" ca="1" si="231"/>
        <v>0</v>
      </c>
      <c r="GG64" s="423">
        <f t="shared" ca="1" si="231"/>
        <v>0</v>
      </c>
      <c r="GH64" s="423">
        <f t="shared" ca="1" si="231"/>
        <v>0</v>
      </c>
      <c r="GI64" s="423">
        <f t="shared" ca="1" si="231"/>
        <v>0</v>
      </c>
      <c r="GJ64" s="423">
        <f t="shared" ca="1" si="231"/>
        <v>0</v>
      </c>
      <c r="GK64" s="423">
        <f t="shared" ca="1" si="231"/>
        <v>0</v>
      </c>
      <c r="GL64" s="423">
        <f t="shared" ca="1" si="231"/>
        <v>0</v>
      </c>
      <c r="GM64" s="423">
        <f t="shared" ca="1" si="231"/>
        <v>0</v>
      </c>
      <c r="GN64" s="423">
        <f t="shared" ca="1" si="231"/>
        <v>0</v>
      </c>
      <c r="GO64" s="423">
        <f t="shared" ca="1" si="231"/>
        <v>0</v>
      </c>
      <c r="GP64" s="423">
        <f t="shared" ca="1" si="231"/>
        <v>0</v>
      </c>
      <c r="GQ64" s="423">
        <f t="shared" ca="1" si="231"/>
        <v>0</v>
      </c>
      <c r="GR64" s="423">
        <f t="shared" ca="1" si="231"/>
        <v>0</v>
      </c>
      <c r="GS64" s="423">
        <f t="shared" ca="1" si="231"/>
        <v>0</v>
      </c>
      <c r="GT64" s="423">
        <f t="shared" ca="1" si="229"/>
        <v>0</v>
      </c>
      <c r="GU64" s="423">
        <f t="shared" ca="1" si="229"/>
        <v>0</v>
      </c>
      <c r="GV64" s="423">
        <f t="shared" ca="1" si="229"/>
        <v>0</v>
      </c>
      <c r="GW64" s="423">
        <f t="shared" ca="1" si="229"/>
        <v>0</v>
      </c>
      <c r="GX64" s="423">
        <f t="shared" ca="1" si="229"/>
        <v>0</v>
      </c>
      <c r="GY64" s="423">
        <f t="shared" ca="1" si="229"/>
        <v>0</v>
      </c>
      <c r="GZ64" s="423">
        <f t="shared" ca="1" si="229"/>
        <v>0</v>
      </c>
      <c r="HA64" s="423">
        <f t="shared" ca="1" si="229"/>
        <v>0</v>
      </c>
      <c r="HB64" s="423">
        <f t="shared" ca="1" si="229"/>
        <v>0</v>
      </c>
      <c r="HC64" s="423">
        <f t="shared" ca="1" si="229"/>
        <v>0</v>
      </c>
      <c r="HD64" s="423">
        <f t="shared" ca="1" si="229"/>
        <v>0</v>
      </c>
      <c r="HE64" s="423">
        <f t="shared" ca="1" si="229"/>
        <v>0</v>
      </c>
      <c r="HF64" s="423">
        <f t="shared" ca="1" si="229"/>
        <v>0</v>
      </c>
      <c r="HG64" s="423">
        <f t="shared" ca="1" si="229"/>
        <v>0</v>
      </c>
      <c r="HH64" s="423">
        <f t="shared" ca="1" si="229"/>
        <v>0</v>
      </c>
      <c r="HI64" s="423">
        <f t="shared" ca="1" si="229"/>
        <v>0</v>
      </c>
      <c r="HJ64" s="423">
        <f t="shared" ca="1" si="230"/>
        <v>0</v>
      </c>
      <c r="HK64" s="423">
        <f t="shared" ca="1" si="230"/>
        <v>0</v>
      </c>
      <c r="HL64" s="423">
        <f t="shared" ca="1" si="230"/>
        <v>0</v>
      </c>
      <c r="HM64" s="423">
        <f t="shared" ca="1" si="230"/>
        <v>0</v>
      </c>
      <c r="HN64" s="423">
        <f t="shared" ca="1" si="230"/>
        <v>0</v>
      </c>
      <c r="HO64" s="423">
        <f t="shared" ca="1" si="230"/>
        <v>0</v>
      </c>
      <c r="HP64" s="423">
        <f t="shared" ca="1" si="230"/>
        <v>0</v>
      </c>
      <c r="HQ64" s="423">
        <f t="shared" ca="1" si="230"/>
        <v>0</v>
      </c>
      <c r="HR64" s="423">
        <f t="shared" ca="1" si="230"/>
        <v>0</v>
      </c>
      <c r="HS64" s="423">
        <f t="shared" ca="1" si="230"/>
        <v>0</v>
      </c>
      <c r="HT64" s="423">
        <f t="shared" ca="1" si="230"/>
        <v>0</v>
      </c>
    </row>
    <row r="65" spans="1:230" ht="11.25" customHeight="1" x14ac:dyDescent="0.2">
      <c r="A65" s="62">
        <f t="shared" si="128"/>
        <v>54</v>
      </c>
      <c r="B65" s="60" t="str">
        <f>Spaces_Sum!C110</f>
        <v>L03-317_MfamResiPthp</v>
      </c>
      <c r="C65" s="62" t="str">
        <f>Spaces_Sum!D110</f>
        <v>L03</v>
      </c>
      <c r="D65" s="62" t="str">
        <f ca="1">Spaces_Sum!I110</f>
        <v>DirectlyConditioned</v>
      </c>
      <c r="F65" s="110">
        <f ca="1">Spaces_Sum!M110</f>
        <v>688.28060000000005</v>
      </c>
      <c r="G65" s="110" t="str">
        <f ca="1">Spaces_Sum!J110</f>
        <v>Dwelling Unit</v>
      </c>
      <c r="H65" s="532"/>
      <c r="I65" s="185"/>
      <c r="J65" s="185"/>
      <c r="K65" s="186"/>
      <c r="L65" s="187"/>
      <c r="M65" s="188"/>
      <c r="N65" s="189"/>
      <c r="O65" s="186"/>
      <c r="P65" s="187"/>
      <c r="Q65" s="188"/>
      <c r="R65" s="189"/>
      <c r="S65" s="186"/>
      <c r="T65" s="187"/>
      <c r="U65" s="188"/>
      <c r="V65" s="189"/>
      <c r="W65" s="186"/>
      <c r="X65" s="187"/>
      <c r="Y65" s="188"/>
      <c r="Z65" s="189"/>
      <c r="AA65" s="186"/>
      <c r="AB65" s="187"/>
      <c r="AC65" s="188"/>
      <c r="AD65" s="189"/>
      <c r="AE65" s="186"/>
      <c r="AF65" s="187"/>
      <c r="AG65" s="188"/>
      <c r="AH65" s="189"/>
      <c r="AI65" s="186"/>
      <c r="AJ65" s="187"/>
      <c r="AK65" s="188"/>
      <c r="AL65" s="189"/>
      <c r="AM65" s="186"/>
      <c r="AN65" s="187"/>
      <c r="AO65" s="188"/>
      <c r="AP65" s="189"/>
      <c r="AQ65" s="186"/>
      <c r="AR65" s="187"/>
      <c r="AS65" s="188"/>
      <c r="AT65" s="189"/>
      <c r="AU65" s="186"/>
      <c r="AV65" s="187"/>
      <c r="AW65" s="188"/>
      <c r="AX65" s="189"/>
      <c r="AY65" s="186"/>
      <c r="AZ65" s="187"/>
      <c r="BA65" s="188"/>
      <c r="BB65" s="189"/>
      <c r="BC65" s="186"/>
      <c r="BD65" s="187"/>
      <c r="BE65" s="188"/>
      <c r="BF65" s="189"/>
      <c r="BG65" s="186"/>
      <c r="BH65" s="187"/>
      <c r="BI65" s="188"/>
      <c r="BJ65" s="189"/>
      <c r="BK65" s="186"/>
      <c r="BL65" s="187"/>
      <c r="BM65" s="188"/>
      <c r="BN65" s="189"/>
      <c r="BO65" s="186"/>
      <c r="BP65" s="187"/>
      <c r="BQ65" s="188"/>
      <c r="BR65" s="189"/>
      <c r="BS65" s="186"/>
      <c r="BT65" s="187"/>
      <c r="BU65" s="188"/>
      <c r="BV65" s="189"/>
      <c r="BW65" s="186"/>
      <c r="BX65" s="187"/>
      <c r="BY65" s="188"/>
      <c r="BZ65" s="189"/>
      <c r="CA65" s="186"/>
      <c r="CB65" s="190"/>
      <c r="CC65" s="190"/>
      <c r="CD65" s="82">
        <f t="shared" si="142"/>
        <v>0</v>
      </c>
      <c r="CE65" s="82">
        <f t="shared" si="143"/>
        <v>0</v>
      </c>
      <c r="CF65" s="82">
        <f t="shared" si="144"/>
        <v>0</v>
      </c>
      <c r="CG65" s="82">
        <f t="shared" si="145"/>
        <v>0</v>
      </c>
      <c r="CH65" s="82">
        <f t="shared" si="146"/>
        <v>0</v>
      </c>
      <c r="CI65" s="82">
        <f t="shared" si="147"/>
        <v>0</v>
      </c>
      <c r="CJ65" s="82">
        <f t="shared" si="148"/>
        <v>0</v>
      </c>
      <c r="CK65" s="82">
        <f t="shared" si="149"/>
        <v>0</v>
      </c>
      <c r="CL65" s="82">
        <f t="shared" si="150"/>
        <v>0</v>
      </c>
      <c r="CM65" s="82">
        <f t="shared" si="151"/>
        <v>0</v>
      </c>
      <c r="CN65" s="82">
        <f t="shared" si="152"/>
        <v>0</v>
      </c>
      <c r="CO65" s="82">
        <f t="shared" si="153"/>
        <v>0</v>
      </c>
      <c r="CP65" s="82">
        <f t="shared" si="154"/>
        <v>0</v>
      </c>
      <c r="CQ65" s="82">
        <f t="shared" si="155"/>
        <v>0</v>
      </c>
      <c r="CR65" s="82">
        <f t="shared" si="156"/>
        <v>0</v>
      </c>
      <c r="CS65" s="82">
        <f t="shared" si="157"/>
        <v>0</v>
      </c>
      <c r="CT65" s="82">
        <f t="shared" si="158"/>
        <v>0</v>
      </c>
      <c r="CU65" s="82">
        <f t="shared" si="159"/>
        <v>0</v>
      </c>
      <c r="CV65" s="82">
        <f t="shared" si="160"/>
        <v>0</v>
      </c>
      <c r="CW65" s="82">
        <f t="shared" si="161"/>
        <v>0</v>
      </c>
      <c r="CX65" s="82">
        <f t="shared" si="162"/>
        <v>0</v>
      </c>
      <c r="CY65" s="82">
        <f t="shared" si="163"/>
        <v>0</v>
      </c>
      <c r="CZ65" s="82">
        <f t="shared" si="164"/>
        <v>0</v>
      </c>
      <c r="DA65" s="82">
        <f t="shared" si="165"/>
        <v>0</v>
      </c>
      <c r="DB65" s="82">
        <f t="shared" si="166"/>
        <v>0</v>
      </c>
      <c r="DC65" s="82">
        <f t="shared" si="167"/>
        <v>0</v>
      </c>
      <c r="DD65" s="82">
        <f t="shared" si="168"/>
        <v>0</v>
      </c>
      <c r="DE65" s="82">
        <f t="shared" si="169"/>
        <v>0</v>
      </c>
      <c r="DF65" s="82">
        <f t="shared" si="170"/>
        <v>0</v>
      </c>
      <c r="DG65" s="82">
        <f t="shared" si="171"/>
        <v>0</v>
      </c>
      <c r="DH65" s="82">
        <f t="shared" si="172"/>
        <v>0</v>
      </c>
      <c r="DI65" s="82">
        <f t="shared" si="173"/>
        <v>0</v>
      </c>
      <c r="DJ65" s="82">
        <f t="shared" si="174"/>
        <v>0</v>
      </c>
      <c r="DK65" s="82">
        <f t="shared" si="175"/>
        <v>0</v>
      </c>
      <c r="DL65" s="82">
        <f t="shared" si="176"/>
        <v>0</v>
      </c>
      <c r="DM65" s="82">
        <f t="shared" si="177"/>
        <v>0</v>
      </c>
      <c r="DN65" s="82">
        <f t="shared" si="178"/>
        <v>0</v>
      </c>
      <c r="DO65" s="82">
        <f t="shared" si="179"/>
        <v>0</v>
      </c>
      <c r="DP65" s="82">
        <f t="shared" si="180"/>
        <v>0</v>
      </c>
      <c r="DQ65" s="82">
        <f t="shared" si="181"/>
        <v>0</v>
      </c>
      <c r="DR65" s="82">
        <f t="shared" si="182"/>
        <v>0</v>
      </c>
      <c r="DS65" s="82">
        <f t="shared" si="183"/>
        <v>0</v>
      </c>
      <c r="DT65" s="82">
        <f t="shared" si="184"/>
        <v>0</v>
      </c>
      <c r="DU65" s="82">
        <f t="shared" si="185"/>
        <v>0</v>
      </c>
      <c r="DV65" s="82">
        <f t="shared" si="186"/>
        <v>0</v>
      </c>
      <c r="DW65" s="82">
        <f t="shared" si="187"/>
        <v>0</v>
      </c>
      <c r="DX65" s="82">
        <f t="shared" si="188"/>
        <v>0</v>
      </c>
      <c r="DY65" s="82">
        <f t="shared" si="189"/>
        <v>0</v>
      </c>
      <c r="DZ65" s="82">
        <f t="shared" si="190"/>
        <v>0</v>
      </c>
      <c r="EA65" s="82">
        <f t="shared" si="191"/>
        <v>0</v>
      </c>
      <c r="EB65" s="82">
        <f t="shared" si="192"/>
        <v>0</v>
      </c>
      <c r="EC65" s="82">
        <f t="shared" si="193"/>
        <v>0</v>
      </c>
      <c r="ED65" s="82">
        <f t="shared" si="194"/>
        <v>0</v>
      </c>
      <c r="EE65" s="82">
        <f t="shared" si="195"/>
        <v>0</v>
      </c>
      <c r="EF65" s="82">
        <f t="shared" si="196"/>
        <v>0</v>
      </c>
      <c r="EG65" s="82">
        <f t="shared" si="197"/>
        <v>0</v>
      </c>
      <c r="EH65" s="82">
        <f t="shared" si="198"/>
        <v>0</v>
      </c>
      <c r="EI65" s="82">
        <f t="shared" si="199"/>
        <v>0</v>
      </c>
      <c r="EJ65" s="82">
        <f t="shared" si="200"/>
        <v>0</v>
      </c>
      <c r="EK65" s="82">
        <f t="shared" si="201"/>
        <v>0</v>
      </c>
      <c r="EL65" s="82">
        <f t="shared" si="202"/>
        <v>0</v>
      </c>
      <c r="EM65" s="82">
        <f t="shared" si="203"/>
        <v>0</v>
      </c>
      <c r="EN65" s="82">
        <f t="shared" si="204"/>
        <v>0</v>
      </c>
      <c r="EO65" s="82">
        <f t="shared" si="205"/>
        <v>0</v>
      </c>
      <c r="EP65" s="82">
        <f t="shared" si="206"/>
        <v>0</v>
      </c>
      <c r="EQ65" s="82">
        <f t="shared" si="207"/>
        <v>0</v>
      </c>
      <c r="ER65" s="82">
        <f t="shared" si="208"/>
        <v>0</v>
      </c>
      <c r="ES65" s="82">
        <f t="shared" si="209"/>
        <v>0</v>
      </c>
      <c r="ET65" s="82">
        <f t="shared" si="210"/>
        <v>0</v>
      </c>
      <c r="EU65" s="82">
        <f t="shared" si="211"/>
        <v>0</v>
      </c>
      <c r="EV65" s="82">
        <f t="shared" si="212"/>
        <v>0</v>
      </c>
      <c r="EW65" s="82">
        <f t="shared" si="213"/>
        <v>0</v>
      </c>
      <c r="EX65" s="82">
        <f t="shared" si="214"/>
        <v>0</v>
      </c>
      <c r="EY65" s="111">
        <f t="shared" si="215"/>
        <v>0</v>
      </c>
      <c r="EZ65" s="143">
        <f t="shared" ca="1" si="216"/>
        <v>0</v>
      </c>
      <c r="FA65" s="112">
        <f t="shared" ca="1" si="217"/>
        <v>0</v>
      </c>
      <c r="FB65" s="113">
        <f t="shared" ca="1" si="218"/>
        <v>0</v>
      </c>
      <c r="FC65" s="114">
        <f t="shared" ca="1" si="219"/>
        <v>0</v>
      </c>
      <c r="FD65" s="115">
        <f t="shared" ca="1" si="220"/>
        <v>0</v>
      </c>
      <c r="FE65" s="116">
        <f t="shared" ca="1" si="221"/>
        <v>0</v>
      </c>
      <c r="FF65" s="117">
        <f t="shared" ca="1" si="222"/>
        <v>0</v>
      </c>
      <c r="FG65" s="71">
        <f t="shared" si="223"/>
        <v>0</v>
      </c>
      <c r="FH65" s="530">
        <f t="shared" ca="1" si="224"/>
        <v>0</v>
      </c>
      <c r="FI65" s="72"/>
      <c r="FJ65" s="72"/>
      <c r="FK65" s="72"/>
      <c r="FM65" s="421" t="str">
        <f t="shared" si="122"/>
        <v>L03-317_MfamResiPthp</v>
      </c>
      <c r="FN65" s="422" t="str">
        <f t="shared" ca="1" si="123"/>
        <v>Dwelling Unit</v>
      </c>
      <c r="FO65" s="423">
        <f t="shared" ca="1" si="232"/>
        <v>0</v>
      </c>
      <c r="FP65" s="423">
        <f t="shared" ca="1" si="232"/>
        <v>0</v>
      </c>
      <c r="FQ65" s="423">
        <f t="shared" ca="1" si="232"/>
        <v>0</v>
      </c>
      <c r="FR65" s="423">
        <f t="shared" ca="1" si="232"/>
        <v>0</v>
      </c>
      <c r="FS65" s="423">
        <f t="shared" ca="1" si="232"/>
        <v>0</v>
      </c>
      <c r="FT65" s="423">
        <f t="shared" ca="1" si="232"/>
        <v>0</v>
      </c>
      <c r="FU65" s="423">
        <f t="shared" ca="1" si="232"/>
        <v>0</v>
      </c>
      <c r="FV65" s="423">
        <f t="shared" ca="1" si="232"/>
        <v>0</v>
      </c>
      <c r="FW65" s="423">
        <f t="shared" ca="1" si="232"/>
        <v>0</v>
      </c>
      <c r="FX65" s="423">
        <f t="shared" ca="1" si="232"/>
        <v>0</v>
      </c>
      <c r="FY65" s="423">
        <f t="shared" ca="1" si="232"/>
        <v>0</v>
      </c>
      <c r="FZ65" s="423">
        <f t="shared" ca="1" si="232"/>
        <v>0</v>
      </c>
      <c r="GA65" s="423">
        <f t="shared" ca="1" si="232"/>
        <v>0</v>
      </c>
      <c r="GB65" s="423">
        <f t="shared" ca="1" si="232"/>
        <v>0</v>
      </c>
      <c r="GC65" s="423">
        <f t="shared" ca="1" si="232"/>
        <v>0</v>
      </c>
      <c r="GD65" s="423">
        <f t="shared" ca="1" si="232"/>
        <v>0</v>
      </c>
      <c r="GE65" s="423">
        <f t="shared" ca="1" si="231"/>
        <v>0</v>
      </c>
      <c r="GF65" s="423">
        <f t="shared" ca="1" si="231"/>
        <v>0</v>
      </c>
      <c r="GG65" s="423">
        <f t="shared" ca="1" si="231"/>
        <v>0</v>
      </c>
      <c r="GH65" s="423">
        <f t="shared" ca="1" si="231"/>
        <v>0</v>
      </c>
      <c r="GI65" s="423">
        <f t="shared" ca="1" si="231"/>
        <v>0</v>
      </c>
      <c r="GJ65" s="423">
        <f t="shared" ca="1" si="231"/>
        <v>0</v>
      </c>
      <c r="GK65" s="423">
        <f t="shared" ca="1" si="231"/>
        <v>0</v>
      </c>
      <c r="GL65" s="423">
        <f t="shared" ca="1" si="231"/>
        <v>0</v>
      </c>
      <c r="GM65" s="423">
        <f t="shared" ca="1" si="231"/>
        <v>0</v>
      </c>
      <c r="GN65" s="423">
        <f t="shared" ca="1" si="231"/>
        <v>0</v>
      </c>
      <c r="GO65" s="423">
        <f t="shared" ca="1" si="231"/>
        <v>0</v>
      </c>
      <c r="GP65" s="423">
        <f t="shared" ca="1" si="231"/>
        <v>0</v>
      </c>
      <c r="GQ65" s="423">
        <f t="shared" ca="1" si="231"/>
        <v>0</v>
      </c>
      <c r="GR65" s="423">
        <f t="shared" ca="1" si="231"/>
        <v>0</v>
      </c>
      <c r="GS65" s="423">
        <f t="shared" ca="1" si="231"/>
        <v>0</v>
      </c>
      <c r="GT65" s="423">
        <f t="shared" ca="1" si="229"/>
        <v>0</v>
      </c>
      <c r="GU65" s="423">
        <f t="shared" ca="1" si="229"/>
        <v>0</v>
      </c>
      <c r="GV65" s="423">
        <f t="shared" ca="1" si="229"/>
        <v>0</v>
      </c>
      <c r="GW65" s="423">
        <f t="shared" ca="1" si="229"/>
        <v>0</v>
      </c>
      <c r="GX65" s="423">
        <f t="shared" ca="1" si="229"/>
        <v>0</v>
      </c>
      <c r="GY65" s="423">
        <f t="shared" ca="1" si="229"/>
        <v>0</v>
      </c>
      <c r="GZ65" s="423">
        <f t="shared" ca="1" si="229"/>
        <v>0</v>
      </c>
      <c r="HA65" s="423">
        <f t="shared" ca="1" si="229"/>
        <v>0</v>
      </c>
      <c r="HB65" s="423">
        <f t="shared" ca="1" si="229"/>
        <v>0</v>
      </c>
      <c r="HC65" s="423">
        <f t="shared" ca="1" si="229"/>
        <v>0</v>
      </c>
      <c r="HD65" s="423">
        <f t="shared" ca="1" si="229"/>
        <v>0</v>
      </c>
      <c r="HE65" s="423">
        <f t="shared" ca="1" si="229"/>
        <v>0</v>
      </c>
      <c r="HF65" s="423">
        <f t="shared" ca="1" si="229"/>
        <v>0</v>
      </c>
      <c r="HG65" s="423">
        <f t="shared" ca="1" si="229"/>
        <v>0</v>
      </c>
      <c r="HH65" s="423">
        <f t="shared" ca="1" si="229"/>
        <v>0</v>
      </c>
      <c r="HI65" s="423">
        <f t="shared" ca="1" si="229"/>
        <v>0</v>
      </c>
      <c r="HJ65" s="423">
        <f t="shared" ca="1" si="230"/>
        <v>0</v>
      </c>
      <c r="HK65" s="423">
        <f t="shared" ca="1" si="230"/>
        <v>0</v>
      </c>
      <c r="HL65" s="423">
        <f t="shared" ca="1" si="230"/>
        <v>0</v>
      </c>
      <c r="HM65" s="423">
        <f t="shared" ca="1" si="230"/>
        <v>0</v>
      </c>
      <c r="HN65" s="423">
        <f t="shared" ca="1" si="230"/>
        <v>0</v>
      </c>
      <c r="HO65" s="423">
        <f t="shared" ca="1" si="230"/>
        <v>0</v>
      </c>
      <c r="HP65" s="423">
        <f t="shared" ca="1" si="230"/>
        <v>0</v>
      </c>
      <c r="HQ65" s="423">
        <f t="shared" ca="1" si="230"/>
        <v>0</v>
      </c>
      <c r="HR65" s="423">
        <f t="shared" ca="1" si="230"/>
        <v>0</v>
      </c>
      <c r="HS65" s="423">
        <f t="shared" ca="1" si="230"/>
        <v>0</v>
      </c>
      <c r="HT65" s="423">
        <f t="shared" ca="1" si="230"/>
        <v>0</v>
      </c>
    </row>
    <row r="66" spans="1:230" ht="11.25" customHeight="1" x14ac:dyDescent="0.2">
      <c r="A66" s="62">
        <f t="shared" si="128"/>
        <v>55</v>
      </c>
      <c r="B66" s="60" t="str">
        <f>Spaces_Sum!C111</f>
        <v>L03-318_TrshRaccIncd</v>
      </c>
      <c r="C66" s="62" t="str">
        <f>Spaces_Sum!D111</f>
        <v>L03</v>
      </c>
      <c r="D66" s="62" t="str">
        <f ca="1">Spaces_Sum!I111</f>
        <v>IndirectlyConditioned</v>
      </c>
      <c r="F66" s="110">
        <f ca="1">Spaces_Sum!M111</f>
        <v>187.88740000000001</v>
      </c>
      <c r="G66" s="110" t="str">
        <f ca="1">Spaces_Sum!J111</f>
        <v>Storage Room - &lt;50 ft2</v>
      </c>
      <c r="H66" s="532"/>
      <c r="I66" s="185"/>
      <c r="J66" s="185"/>
      <c r="K66" s="186"/>
      <c r="L66" s="187"/>
      <c r="M66" s="188"/>
      <c r="N66" s="189"/>
      <c r="O66" s="186"/>
      <c r="P66" s="187"/>
      <c r="Q66" s="188"/>
      <c r="R66" s="189"/>
      <c r="S66" s="186"/>
      <c r="T66" s="187"/>
      <c r="U66" s="188"/>
      <c r="V66" s="189"/>
      <c r="W66" s="186"/>
      <c r="X66" s="187"/>
      <c r="Y66" s="188"/>
      <c r="Z66" s="189"/>
      <c r="AA66" s="186"/>
      <c r="AB66" s="187"/>
      <c r="AC66" s="188"/>
      <c r="AD66" s="189"/>
      <c r="AE66" s="186"/>
      <c r="AF66" s="187"/>
      <c r="AG66" s="188"/>
      <c r="AH66" s="189"/>
      <c r="AI66" s="186"/>
      <c r="AJ66" s="187"/>
      <c r="AK66" s="188"/>
      <c r="AL66" s="189"/>
      <c r="AM66" s="186"/>
      <c r="AN66" s="187"/>
      <c r="AO66" s="188"/>
      <c r="AP66" s="189"/>
      <c r="AQ66" s="186"/>
      <c r="AR66" s="187"/>
      <c r="AS66" s="188"/>
      <c r="AT66" s="189"/>
      <c r="AU66" s="186"/>
      <c r="AV66" s="187"/>
      <c r="AW66" s="188"/>
      <c r="AX66" s="189"/>
      <c r="AY66" s="186"/>
      <c r="AZ66" s="187"/>
      <c r="BA66" s="188"/>
      <c r="BB66" s="189"/>
      <c r="BC66" s="186"/>
      <c r="BD66" s="187"/>
      <c r="BE66" s="188"/>
      <c r="BF66" s="189"/>
      <c r="BG66" s="186"/>
      <c r="BH66" s="187"/>
      <c r="BI66" s="188"/>
      <c r="BJ66" s="189"/>
      <c r="BK66" s="186"/>
      <c r="BL66" s="187"/>
      <c r="BM66" s="188"/>
      <c r="BN66" s="189"/>
      <c r="BO66" s="186"/>
      <c r="BP66" s="187"/>
      <c r="BQ66" s="188"/>
      <c r="BR66" s="189"/>
      <c r="BS66" s="186"/>
      <c r="BT66" s="187"/>
      <c r="BU66" s="188"/>
      <c r="BV66" s="189"/>
      <c r="BW66" s="186"/>
      <c r="BX66" s="187"/>
      <c r="BY66" s="188"/>
      <c r="BZ66" s="189"/>
      <c r="CA66" s="186"/>
      <c r="CB66" s="190"/>
      <c r="CC66" s="190"/>
      <c r="CD66" s="82">
        <f t="shared" si="142"/>
        <v>0</v>
      </c>
      <c r="CE66" s="82">
        <f t="shared" si="143"/>
        <v>0</v>
      </c>
      <c r="CF66" s="82">
        <f t="shared" si="144"/>
        <v>0</v>
      </c>
      <c r="CG66" s="82">
        <f t="shared" si="145"/>
        <v>0</v>
      </c>
      <c r="CH66" s="82">
        <f t="shared" si="146"/>
        <v>0</v>
      </c>
      <c r="CI66" s="82">
        <f t="shared" si="147"/>
        <v>0</v>
      </c>
      <c r="CJ66" s="82">
        <f t="shared" si="148"/>
        <v>0</v>
      </c>
      <c r="CK66" s="82">
        <f t="shared" si="149"/>
        <v>0</v>
      </c>
      <c r="CL66" s="82">
        <f t="shared" si="150"/>
        <v>0</v>
      </c>
      <c r="CM66" s="82">
        <f t="shared" si="151"/>
        <v>0</v>
      </c>
      <c r="CN66" s="82">
        <f t="shared" si="152"/>
        <v>0</v>
      </c>
      <c r="CO66" s="82">
        <f t="shared" si="153"/>
        <v>0</v>
      </c>
      <c r="CP66" s="82">
        <f t="shared" si="154"/>
        <v>0</v>
      </c>
      <c r="CQ66" s="82">
        <f t="shared" si="155"/>
        <v>0</v>
      </c>
      <c r="CR66" s="82">
        <f t="shared" si="156"/>
        <v>0</v>
      </c>
      <c r="CS66" s="82">
        <f t="shared" si="157"/>
        <v>0</v>
      </c>
      <c r="CT66" s="82">
        <f t="shared" si="158"/>
        <v>0</v>
      </c>
      <c r="CU66" s="82">
        <f t="shared" si="159"/>
        <v>0</v>
      </c>
      <c r="CV66" s="82">
        <f t="shared" si="160"/>
        <v>0</v>
      </c>
      <c r="CW66" s="82">
        <f t="shared" si="161"/>
        <v>0</v>
      </c>
      <c r="CX66" s="82">
        <f t="shared" si="162"/>
        <v>0</v>
      </c>
      <c r="CY66" s="82">
        <f t="shared" si="163"/>
        <v>0</v>
      </c>
      <c r="CZ66" s="82">
        <f t="shared" si="164"/>
        <v>0</v>
      </c>
      <c r="DA66" s="82">
        <f t="shared" si="165"/>
        <v>0</v>
      </c>
      <c r="DB66" s="82">
        <f t="shared" si="166"/>
        <v>0</v>
      </c>
      <c r="DC66" s="82">
        <f t="shared" si="167"/>
        <v>0</v>
      </c>
      <c r="DD66" s="82">
        <f t="shared" si="168"/>
        <v>0</v>
      </c>
      <c r="DE66" s="82">
        <f t="shared" si="169"/>
        <v>0</v>
      </c>
      <c r="DF66" s="82">
        <f t="shared" si="170"/>
        <v>0</v>
      </c>
      <c r="DG66" s="82">
        <f t="shared" si="171"/>
        <v>0</v>
      </c>
      <c r="DH66" s="82">
        <f t="shared" si="172"/>
        <v>0</v>
      </c>
      <c r="DI66" s="82">
        <f t="shared" si="173"/>
        <v>0</v>
      </c>
      <c r="DJ66" s="82">
        <f t="shared" si="174"/>
        <v>0</v>
      </c>
      <c r="DK66" s="82">
        <f t="shared" si="175"/>
        <v>0</v>
      </c>
      <c r="DL66" s="82">
        <f t="shared" si="176"/>
        <v>0</v>
      </c>
      <c r="DM66" s="82">
        <f t="shared" si="177"/>
        <v>0</v>
      </c>
      <c r="DN66" s="82">
        <f t="shared" si="178"/>
        <v>0</v>
      </c>
      <c r="DO66" s="82">
        <f t="shared" si="179"/>
        <v>0</v>
      </c>
      <c r="DP66" s="82">
        <f t="shared" si="180"/>
        <v>0</v>
      </c>
      <c r="DQ66" s="82">
        <f t="shared" si="181"/>
        <v>0</v>
      </c>
      <c r="DR66" s="82">
        <f t="shared" si="182"/>
        <v>0</v>
      </c>
      <c r="DS66" s="82">
        <f t="shared" si="183"/>
        <v>0</v>
      </c>
      <c r="DT66" s="82">
        <f t="shared" si="184"/>
        <v>0</v>
      </c>
      <c r="DU66" s="82">
        <f t="shared" si="185"/>
        <v>0</v>
      </c>
      <c r="DV66" s="82">
        <f t="shared" si="186"/>
        <v>0</v>
      </c>
      <c r="DW66" s="82">
        <f t="shared" si="187"/>
        <v>0</v>
      </c>
      <c r="DX66" s="82">
        <f t="shared" si="188"/>
        <v>0</v>
      </c>
      <c r="DY66" s="82">
        <f t="shared" si="189"/>
        <v>0</v>
      </c>
      <c r="DZ66" s="82">
        <f t="shared" si="190"/>
        <v>0</v>
      </c>
      <c r="EA66" s="82">
        <f t="shared" si="191"/>
        <v>0</v>
      </c>
      <c r="EB66" s="82">
        <f t="shared" si="192"/>
        <v>0</v>
      </c>
      <c r="EC66" s="82">
        <f t="shared" si="193"/>
        <v>0</v>
      </c>
      <c r="ED66" s="82">
        <f t="shared" si="194"/>
        <v>0</v>
      </c>
      <c r="EE66" s="82">
        <f t="shared" si="195"/>
        <v>0</v>
      </c>
      <c r="EF66" s="82">
        <f t="shared" si="196"/>
        <v>0</v>
      </c>
      <c r="EG66" s="82">
        <f t="shared" si="197"/>
        <v>0</v>
      </c>
      <c r="EH66" s="82">
        <f t="shared" si="198"/>
        <v>0</v>
      </c>
      <c r="EI66" s="82">
        <f t="shared" si="199"/>
        <v>0</v>
      </c>
      <c r="EJ66" s="82">
        <f t="shared" si="200"/>
        <v>0</v>
      </c>
      <c r="EK66" s="82">
        <f t="shared" si="201"/>
        <v>0</v>
      </c>
      <c r="EL66" s="82">
        <f t="shared" si="202"/>
        <v>0</v>
      </c>
      <c r="EM66" s="82">
        <f t="shared" si="203"/>
        <v>0</v>
      </c>
      <c r="EN66" s="82">
        <f t="shared" si="204"/>
        <v>0</v>
      </c>
      <c r="EO66" s="82">
        <f t="shared" si="205"/>
        <v>0</v>
      </c>
      <c r="EP66" s="82">
        <f t="shared" si="206"/>
        <v>0</v>
      </c>
      <c r="EQ66" s="82">
        <f t="shared" si="207"/>
        <v>0</v>
      </c>
      <c r="ER66" s="82">
        <f t="shared" si="208"/>
        <v>0</v>
      </c>
      <c r="ES66" s="82">
        <f t="shared" si="209"/>
        <v>0</v>
      </c>
      <c r="ET66" s="82">
        <f t="shared" si="210"/>
        <v>0</v>
      </c>
      <c r="EU66" s="82">
        <f t="shared" si="211"/>
        <v>0</v>
      </c>
      <c r="EV66" s="82">
        <f t="shared" si="212"/>
        <v>0</v>
      </c>
      <c r="EW66" s="82">
        <f t="shared" si="213"/>
        <v>0</v>
      </c>
      <c r="EX66" s="82">
        <f t="shared" si="214"/>
        <v>0</v>
      </c>
      <c r="EY66" s="111">
        <f t="shared" si="215"/>
        <v>0</v>
      </c>
      <c r="EZ66" s="143">
        <f t="shared" ca="1" si="216"/>
        <v>0</v>
      </c>
      <c r="FA66" s="112">
        <f t="shared" ca="1" si="217"/>
        <v>0</v>
      </c>
      <c r="FB66" s="113">
        <f t="shared" ca="1" si="218"/>
        <v>0</v>
      </c>
      <c r="FC66" s="114">
        <f t="shared" ca="1" si="219"/>
        <v>0</v>
      </c>
      <c r="FD66" s="115">
        <f t="shared" ca="1" si="220"/>
        <v>0</v>
      </c>
      <c r="FE66" s="116">
        <f t="shared" ca="1" si="221"/>
        <v>0</v>
      </c>
      <c r="FF66" s="117">
        <f t="shared" ca="1" si="222"/>
        <v>0</v>
      </c>
      <c r="FG66" s="71">
        <f t="shared" si="223"/>
        <v>0</v>
      </c>
      <c r="FH66" s="530">
        <f t="shared" ca="1" si="224"/>
        <v>0</v>
      </c>
      <c r="FI66" s="72"/>
      <c r="FJ66" s="72"/>
      <c r="FK66" s="72"/>
      <c r="FM66" s="421" t="str">
        <f t="shared" si="122"/>
        <v>L03-318_TrshRaccIncd</v>
      </c>
      <c r="FN66" s="422" t="str">
        <f t="shared" ca="1" si="123"/>
        <v>Storage Room - &lt;50 ft2</v>
      </c>
      <c r="FO66" s="423">
        <f t="shared" ca="1" si="232"/>
        <v>0</v>
      </c>
      <c r="FP66" s="423">
        <f t="shared" ca="1" si="232"/>
        <v>0</v>
      </c>
      <c r="FQ66" s="423">
        <f t="shared" ca="1" si="232"/>
        <v>0</v>
      </c>
      <c r="FR66" s="423">
        <f t="shared" ca="1" si="232"/>
        <v>0</v>
      </c>
      <c r="FS66" s="423">
        <f t="shared" ca="1" si="232"/>
        <v>0</v>
      </c>
      <c r="FT66" s="423">
        <f t="shared" ca="1" si="232"/>
        <v>0</v>
      </c>
      <c r="FU66" s="423">
        <f t="shared" ca="1" si="232"/>
        <v>0</v>
      </c>
      <c r="FV66" s="423">
        <f t="shared" ca="1" si="232"/>
        <v>0</v>
      </c>
      <c r="FW66" s="423">
        <f t="shared" ca="1" si="232"/>
        <v>0</v>
      </c>
      <c r="FX66" s="423">
        <f t="shared" ca="1" si="232"/>
        <v>0</v>
      </c>
      <c r="FY66" s="423">
        <f t="shared" ca="1" si="232"/>
        <v>0</v>
      </c>
      <c r="FZ66" s="423">
        <f t="shared" ca="1" si="232"/>
        <v>0</v>
      </c>
      <c r="GA66" s="423">
        <f t="shared" ca="1" si="232"/>
        <v>0</v>
      </c>
      <c r="GB66" s="423">
        <f t="shared" ca="1" si="232"/>
        <v>0</v>
      </c>
      <c r="GC66" s="423">
        <f t="shared" ca="1" si="232"/>
        <v>0</v>
      </c>
      <c r="GD66" s="423">
        <f t="shared" ca="1" si="232"/>
        <v>0</v>
      </c>
      <c r="GE66" s="423">
        <f t="shared" ca="1" si="231"/>
        <v>0</v>
      </c>
      <c r="GF66" s="423">
        <f t="shared" ca="1" si="231"/>
        <v>0</v>
      </c>
      <c r="GG66" s="423">
        <f t="shared" ca="1" si="231"/>
        <v>0</v>
      </c>
      <c r="GH66" s="423">
        <f t="shared" ca="1" si="231"/>
        <v>0</v>
      </c>
      <c r="GI66" s="423">
        <f t="shared" ca="1" si="231"/>
        <v>0</v>
      </c>
      <c r="GJ66" s="423">
        <f t="shared" ca="1" si="231"/>
        <v>0</v>
      </c>
      <c r="GK66" s="423">
        <f t="shared" ca="1" si="231"/>
        <v>0</v>
      </c>
      <c r="GL66" s="423">
        <f t="shared" ca="1" si="231"/>
        <v>0</v>
      </c>
      <c r="GM66" s="423">
        <f t="shared" ca="1" si="231"/>
        <v>0</v>
      </c>
      <c r="GN66" s="423">
        <f t="shared" ca="1" si="231"/>
        <v>0</v>
      </c>
      <c r="GO66" s="423">
        <f t="shared" ca="1" si="231"/>
        <v>0</v>
      </c>
      <c r="GP66" s="423">
        <f t="shared" ca="1" si="231"/>
        <v>0</v>
      </c>
      <c r="GQ66" s="423">
        <f t="shared" ca="1" si="231"/>
        <v>0</v>
      </c>
      <c r="GR66" s="423">
        <f t="shared" ca="1" si="231"/>
        <v>0</v>
      </c>
      <c r="GS66" s="423">
        <f t="shared" ca="1" si="231"/>
        <v>0</v>
      </c>
      <c r="GT66" s="423">
        <f t="shared" ca="1" si="229"/>
        <v>0</v>
      </c>
      <c r="GU66" s="423">
        <f t="shared" ca="1" si="229"/>
        <v>0</v>
      </c>
      <c r="GV66" s="423">
        <f t="shared" ca="1" si="229"/>
        <v>0</v>
      </c>
      <c r="GW66" s="423">
        <f t="shared" ca="1" si="229"/>
        <v>0</v>
      </c>
      <c r="GX66" s="423">
        <f t="shared" ca="1" si="229"/>
        <v>0</v>
      </c>
      <c r="GY66" s="423">
        <f t="shared" ca="1" si="229"/>
        <v>0</v>
      </c>
      <c r="GZ66" s="423">
        <f t="shared" ca="1" si="229"/>
        <v>0</v>
      </c>
      <c r="HA66" s="423">
        <f t="shared" ca="1" si="229"/>
        <v>0</v>
      </c>
      <c r="HB66" s="423">
        <f t="shared" ca="1" si="229"/>
        <v>0</v>
      </c>
      <c r="HC66" s="423">
        <f t="shared" ca="1" si="229"/>
        <v>0</v>
      </c>
      <c r="HD66" s="423">
        <f t="shared" ca="1" si="229"/>
        <v>0</v>
      </c>
      <c r="HE66" s="423">
        <f t="shared" ca="1" si="229"/>
        <v>0</v>
      </c>
      <c r="HF66" s="423">
        <f t="shared" ca="1" si="229"/>
        <v>0</v>
      </c>
      <c r="HG66" s="423">
        <f t="shared" ca="1" si="229"/>
        <v>0</v>
      </c>
      <c r="HH66" s="423">
        <f t="shared" ca="1" si="229"/>
        <v>0</v>
      </c>
      <c r="HI66" s="423">
        <f t="shared" ca="1" si="229"/>
        <v>0</v>
      </c>
      <c r="HJ66" s="423">
        <f t="shared" ca="1" si="230"/>
        <v>0</v>
      </c>
      <c r="HK66" s="423">
        <f t="shared" ca="1" si="230"/>
        <v>0</v>
      </c>
      <c r="HL66" s="423">
        <f t="shared" ca="1" si="230"/>
        <v>0</v>
      </c>
      <c r="HM66" s="423">
        <f t="shared" ca="1" si="230"/>
        <v>0</v>
      </c>
      <c r="HN66" s="423">
        <f t="shared" ca="1" si="230"/>
        <v>0</v>
      </c>
      <c r="HO66" s="423">
        <f t="shared" ca="1" si="230"/>
        <v>0</v>
      </c>
      <c r="HP66" s="423">
        <f t="shared" ca="1" si="230"/>
        <v>0</v>
      </c>
      <c r="HQ66" s="423">
        <f t="shared" ca="1" si="230"/>
        <v>0</v>
      </c>
      <c r="HR66" s="423">
        <f t="shared" ca="1" si="230"/>
        <v>0</v>
      </c>
      <c r="HS66" s="423">
        <f t="shared" ca="1" si="230"/>
        <v>0</v>
      </c>
      <c r="HT66" s="423">
        <f t="shared" ca="1" si="230"/>
        <v>0</v>
      </c>
    </row>
    <row r="67" spans="1:230" ht="11.25" customHeight="1" x14ac:dyDescent="0.2">
      <c r="A67" s="62">
        <f t="shared" si="128"/>
        <v>56</v>
      </c>
      <c r="B67" s="60" t="str">
        <f>Spaces_Sum!C112</f>
        <v>L03-319_MfamResiPthp</v>
      </c>
      <c r="C67" s="62" t="str">
        <f>Spaces_Sum!D112</f>
        <v>L03</v>
      </c>
      <c r="D67" s="62" t="str">
        <f ca="1">Spaces_Sum!I112</f>
        <v>DirectlyConditioned</v>
      </c>
      <c r="F67" s="110">
        <f ca="1">Spaces_Sum!M112</f>
        <v>662.92970000000003</v>
      </c>
      <c r="G67" s="110" t="str">
        <f ca="1">Spaces_Sum!J112</f>
        <v>Dwelling Unit</v>
      </c>
      <c r="H67" s="532"/>
      <c r="I67" s="185"/>
      <c r="J67" s="618"/>
      <c r="K67" s="186"/>
      <c r="L67" s="187"/>
      <c r="M67" s="188"/>
      <c r="N67" s="189"/>
      <c r="O67" s="186"/>
      <c r="P67" s="187"/>
      <c r="Q67" s="188"/>
      <c r="R67" s="189"/>
      <c r="S67" s="186"/>
      <c r="T67" s="187"/>
      <c r="U67" s="188"/>
      <c r="V67" s="189"/>
      <c r="W67" s="186"/>
      <c r="X67" s="187"/>
      <c r="Y67" s="188"/>
      <c r="Z67" s="189"/>
      <c r="AA67" s="186"/>
      <c r="AB67" s="187"/>
      <c r="AC67" s="188"/>
      <c r="AD67" s="189"/>
      <c r="AE67" s="186"/>
      <c r="AF67" s="187"/>
      <c r="AG67" s="188"/>
      <c r="AH67" s="189"/>
      <c r="AI67" s="186"/>
      <c r="AJ67" s="187"/>
      <c r="AK67" s="188"/>
      <c r="AL67" s="189"/>
      <c r="AM67" s="186"/>
      <c r="AN67" s="187"/>
      <c r="AO67" s="188"/>
      <c r="AP67" s="189"/>
      <c r="AQ67" s="186"/>
      <c r="AR67" s="187"/>
      <c r="AS67" s="188"/>
      <c r="AT67" s="189"/>
      <c r="AU67" s="186"/>
      <c r="AV67" s="187"/>
      <c r="AW67" s="188"/>
      <c r="AX67" s="189"/>
      <c r="AY67" s="186"/>
      <c r="AZ67" s="187"/>
      <c r="BA67" s="188"/>
      <c r="BB67" s="189"/>
      <c r="BC67" s="186"/>
      <c r="BD67" s="187"/>
      <c r="BE67" s="188"/>
      <c r="BF67" s="189"/>
      <c r="BG67" s="186"/>
      <c r="BH67" s="187"/>
      <c r="BI67" s="188"/>
      <c r="BJ67" s="189"/>
      <c r="BK67" s="186"/>
      <c r="BL67" s="187"/>
      <c r="BM67" s="188"/>
      <c r="BN67" s="189"/>
      <c r="BO67" s="186"/>
      <c r="BP67" s="187"/>
      <c r="BQ67" s="188"/>
      <c r="BR67" s="189"/>
      <c r="BS67" s="186"/>
      <c r="BT67" s="187"/>
      <c r="BU67" s="188"/>
      <c r="BV67" s="189"/>
      <c r="BW67" s="186"/>
      <c r="BX67" s="187"/>
      <c r="BY67" s="188"/>
      <c r="BZ67" s="189"/>
      <c r="CA67" s="186"/>
      <c r="CB67" s="190"/>
      <c r="CC67" s="190"/>
      <c r="CD67" s="82">
        <f t="shared" si="142"/>
        <v>0</v>
      </c>
      <c r="CE67" s="82">
        <f t="shared" si="143"/>
        <v>0</v>
      </c>
      <c r="CF67" s="82">
        <f t="shared" si="144"/>
        <v>0</v>
      </c>
      <c r="CG67" s="82">
        <f t="shared" si="145"/>
        <v>0</v>
      </c>
      <c r="CH67" s="82">
        <f t="shared" si="146"/>
        <v>0</v>
      </c>
      <c r="CI67" s="82">
        <f t="shared" si="147"/>
        <v>0</v>
      </c>
      <c r="CJ67" s="82">
        <f t="shared" si="148"/>
        <v>0</v>
      </c>
      <c r="CK67" s="82">
        <f t="shared" si="149"/>
        <v>0</v>
      </c>
      <c r="CL67" s="82">
        <f t="shared" si="150"/>
        <v>0</v>
      </c>
      <c r="CM67" s="82">
        <f t="shared" si="151"/>
        <v>0</v>
      </c>
      <c r="CN67" s="82">
        <f t="shared" si="152"/>
        <v>0</v>
      </c>
      <c r="CO67" s="82">
        <f t="shared" si="153"/>
        <v>0</v>
      </c>
      <c r="CP67" s="82">
        <f t="shared" si="154"/>
        <v>0</v>
      </c>
      <c r="CQ67" s="82">
        <f t="shared" si="155"/>
        <v>0</v>
      </c>
      <c r="CR67" s="82">
        <f t="shared" si="156"/>
        <v>0</v>
      </c>
      <c r="CS67" s="82">
        <f t="shared" si="157"/>
        <v>0</v>
      </c>
      <c r="CT67" s="82">
        <f t="shared" si="158"/>
        <v>0</v>
      </c>
      <c r="CU67" s="82">
        <f t="shared" si="159"/>
        <v>0</v>
      </c>
      <c r="CV67" s="82">
        <f t="shared" si="160"/>
        <v>0</v>
      </c>
      <c r="CW67" s="82">
        <f t="shared" si="161"/>
        <v>0</v>
      </c>
      <c r="CX67" s="82">
        <f t="shared" si="162"/>
        <v>0</v>
      </c>
      <c r="CY67" s="82">
        <f t="shared" si="163"/>
        <v>0</v>
      </c>
      <c r="CZ67" s="82">
        <f t="shared" si="164"/>
        <v>0</v>
      </c>
      <c r="DA67" s="82">
        <f t="shared" si="165"/>
        <v>0</v>
      </c>
      <c r="DB67" s="82">
        <f t="shared" si="166"/>
        <v>0</v>
      </c>
      <c r="DC67" s="82">
        <f t="shared" si="167"/>
        <v>0</v>
      </c>
      <c r="DD67" s="82">
        <f t="shared" si="168"/>
        <v>0</v>
      </c>
      <c r="DE67" s="82">
        <f t="shared" si="169"/>
        <v>0</v>
      </c>
      <c r="DF67" s="82">
        <f t="shared" si="170"/>
        <v>0</v>
      </c>
      <c r="DG67" s="82">
        <f t="shared" si="171"/>
        <v>0</v>
      </c>
      <c r="DH67" s="82">
        <f t="shared" si="172"/>
        <v>0</v>
      </c>
      <c r="DI67" s="82">
        <f t="shared" si="173"/>
        <v>0</v>
      </c>
      <c r="DJ67" s="82">
        <f t="shared" si="174"/>
        <v>0</v>
      </c>
      <c r="DK67" s="82">
        <f t="shared" si="175"/>
        <v>0</v>
      </c>
      <c r="DL67" s="82">
        <f t="shared" si="176"/>
        <v>0</v>
      </c>
      <c r="DM67" s="82">
        <f t="shared" si="177"/>
        <v>0</v>
      </c>
      <c r="DN67" s="82">
        <f t="shared" si="178"/>
        <v>0</v>
      </c>
      <c r="DO67" s="82">
        <f t="shared" si="179"/>
        <v>0</v>
      </c>
      <c r="DP67" s="82">
        <f t="shared" si="180"/>
        <v>0</v>
      </c>
      <c r="DQ67" s="82">
        <f t="shared" si="181"/>
        <v>0</v>
      </c>
      <c r="DR67" s="82">
        <f t="shared" si="182"/>
        <v>0</v>
      </c>
      <c r="DS67" s="82">
        <f t="shared" si="183"/>
        <v>0</v>
      </c>
      <c r="DT67" s="82">
        <f t="shared" si="184"/>
        <v>0</v>
      </c>
      <c r="DU67" s="82">
        <f t="shared" si="185"/>
        <v>0</v>
      </c>
      <c r="DV67" s="82">
        <f t="shared" si="186"/>
        <v>0</v>
      </c>
      <c r="DW67" s="82">
        <f t="shared" si="187"/>
        <v>0</v>
      </c>
      <c r="DX67" s="82">
        <f t="shared" si="188"/>
        <v>0</v>
      </c>
      <c r="DY67" s="82">
        <f t="shared" si="189"/>
        <v>0</v>
      </c>
      <c r="DZ67" s="82">
        <f t="shared" si="190"/>
        <v>0</v>
      </c>
      <c r="EA67" s="82">
        <f t="shared" si="191"/>
        <v>0</v>
      </c>
      <c r="EB67" s="82">
        <f t="shared" si="192"/>
        <v>0</v>
      </c>
      <c r="EC67" s="82">
        <f t="shared" si="193"/>
        <v>0</v>
      </c>
      <c r="ED67" s="82">
        <f t="shared" si="194"/>
        <v>0</v>
      </c>
      <c r="EE67" s="82">
        <f t="shared" si="195"/>
        <v>0</v>
      </c>
      <c r="EF67" s="82">
        <f t="shared" si="196"/>
        <v>0</v>
      </c>
      <c r="EG67" s="82">
        <f t="shared" si="197"/>
        <v>0</v>
      </c>
      <c r="EH67" s="82">
        <f t="shared" si="198"/>
        <v>0</v>
      </c>
      <c r="EI67" s="82">
        <f t="shared" si="199"/>
        <v>0</v>
      </c>
      <c r="EJ67" s="82">
        <f t="shared" si="200"/>
        <v>0</v>
      </c>
      <c r="EK67" s="82">
        <f t="shared" si="201"/>
        <v>0</v>
      </c>
      <c r="EL67" s="82">
        <f t="shared" si="202"/>
        <v>0</v>
      </c>
      <c r="EM67" s="82">
        <f t="shared" si="203"/>
        <v>0</v>
      </c>
      <c r="EN67" s="82">
        <f t="shared" si="204"/>
        <v>0</v>
      </c>
      <c r="EO67" s="82">
        <f t="shared" si="205"/>
        <v>0</v>
      </c>
      <c r="EP67" s="82">
        <f t="shared" si="206"/>
        <v>0</v>
      </c>
      <c r="EQ67" s="82">
        <f t="shared" si="207"/>
        <v>0</v>
      </c>
      <c r="ER67" s="82">
        <f t="shared" si="208"/>
        <v>0</v>
      </c>
      <c r="ES67" s="82">
        <f t="shared" si="209"/>
        <v>0</v>
      </c>
      <c r="ET67" s="82">
        <f t="shared" si="210"/>
        <v>0</v>
      </c>
      <c r="EU67" s="82">
        <f t="shared" si="211"/>
        <v>0</v>
      </c>
      <c r="EV67" s="82">
        <f t="shared" si="212"/>
        <v>0</v>
      </c>
      <c r="EW67" s="82">
        <f t="shared" si="213"/>
        <v>0</v>
      </c>
      <c r="EX67" s="82">
        <f t="shared" si="214"/>
        <v>0</v>
      </c>
      <c r="EY67" s="111">
        <f t="shared" si="215"/>
        <v>0</v>
      </c>
      <c r="EZ67" s="143">
        <f t="shared" ca="1" si="216"/>
        <v>0</v>
      </c>
      <c r="FA67" s="112">
        <f t="shared" ca="1" si="217"/>
        <v>0</v>
      </c>
      <c r="FB67" s="113">
        <f t="shared" ca="1" si="218"/>
        <v>0</v>
      </c>
      <c r="FC67" s="114">
        <f t="shared" ca="1" si="219"/>
        <v>0</v>
      </c>
      <c r="FD67" s="115">
        <f t="shared" ca="1" si="220"/>
        <v>0</v>
      </c>
      <c r="FE67" s="116">
        <f t="shared" ca="1" si="221"/>
        <v>0</v>
      </c>
      <c r="FF67" s="117">
        <f t="shared" ca="1" si="222"/>
        <v>0</v>
      </c>
      <c r="FG67" s="71">
        <f t="shared" si="223"/>
        <v>0</v>
      </c>
      <c r="FH67" s="530">
        <f t="shared" ca="1" si="224"/>
        <v>0</v>
      </c>
      <c r="FI67" s="72"/>
      <c r="FJ67" s="72"/>
      <c r="FK67" s="72"/>
      <c r="FM67" s="421" t="str">
        <f t="shared" si="122"/>
        <v>L03-319_MfamResiPthp</v>
      </c>
      <c r="FN67" s="422" t="str">
        <f t="shared" ca="1" si="123"/>
        <v>Dwelling Unit</v>
      </c>
      <c r="FO67" s="423">
        <f t="shared" ca="1" si="232"/>
        <v>0</v>
      </c>
      <c r="FP67" s="423">
        <f t="shared" ca="1" si="232"/>
        <v>0</v>
      </c>
      <c r="FQ67" s="423">
        <f t="shared" ca="1" si="232"/>
        <v>0</v>
      </c>
      <c r="FR67" s="423">
        <f t="shared" ca="1" si="232"/>
        <v>0</v>
      </c>
      <c r="FS67" s="423">
        <f t="shared" ca="1" si="232"/>
        <v>0</v>
      </c>
      <c r="FT67" s="423">
        <f t="shared" ca="1" si="232"/>
        <v>0</v>
      </c>
      <c r="FU67" s="423">
        <f t="shared" ca="1" si="232"/>
        <v>0</v>
      </c>
      <c r="FV67" s="423">
        <f t="shared" ca="1" si="232"/>
        <v>0</v>
      </c>
      <c r="FW67" s="423">
        <f t="shared" ca="1" si="232"/>
        <v>0</v>
      </c>
      <c r="FX67" s="423">
        <f t="shared" ca="1" si="232"/>
        <v>0</v>
      </c>
      <c r="FY67" s="423">
        <f t="shared" ca="1" si="232"/>
        <v>0</v>
      </c>
      <c r="FZ67" s="423">
        <f t="shared" ca="1" si="232"/>
        <v>0</v>
      </c>
      <c r="GA67" s="423">
        <f t="shared" ca="1" si="232"/>
        <v>0</v>
      </c>
      <c r="GB67" s="423">
        <f t="shared" ca="1" si="232"/>
        <v>0</v>
      </c>
      <c r="GC67" s="423">
        <f t="shared" ca="1" si="232"/>
        <v>0</v>
      </c>
      <c r="GD67" s="423">
        <f t="shared" ca="1" si="232"/>
        <v>0</v>
      </c>
      <c r="GE67" s="423">
        <f t="shared" ca="1" si="231"/>
        <v>0</v>
      </c>
      <c r="GF67" s="423">
        <f t="shared" ca="1" si="231"/>
        <v>0</v>
      </c>
      <c r="GG67" s="423">
        <f t="shared" ca="1" si="231"/>
        <v>0</v>
      </c>
      <c r="GH67" s="423">
        <f t="shared" ca="1" si="231"/>
        <v>0</v>
      </c>
      <c r="GI67" s="423">
        <f t="shared" ca="1" si="231"/>
        <v>0</v>
      </c>
      <c r="GJ67" s="423">
        <f t="shared" ca="1" si="231"/>
        <v>0</v>
      </c>
      <c r="GK67" s="423">
        <f t="shared" ca="1" si="231"/>
        <v>0</v>
      </c>
      <c r="GL67" s="423">
        <f t="shared" ca="1" si="231"/>
        <v>0</v>
      </c>
      <c r="GM67" s="423">
        <f t="shared" ca="1" si="231"/>
        <v>0</v>
      </c>
      <c r="GN67" s="423">
        <f t="shared" ca="1" si="231"/>
        <v>0</v>
      </c>
      <c r="GO67" s="423">
        <f t="shared" ca="1" si="231"/>
        <v>0</v>
      </c>
      <c r="GP67" s="423">
        <f t="shared" ca="1" si="231"/>
        <v>0</v>
      </c>
      <c r="GQ67" s="423">
        <f t="shared" ca="1" si="231"/>
        <v>0</v>
      </c>
      <c r="GR67" s="423">
        <f t="shared" ca="1" si="231"/>
        <v>0</v>
      </c>
      <c r="GS67" s="423">
        <f t="shared" ca="1" si="231"/>
        <v>0</v>
      </c>
      <c r="GT67" s="423">
        <f t="shared" ca="1" si="229"/>
        <v>0</v>
      </c>
      <c r="GU67" s="423">
        <f t="shared" ca="1" si="229"/>
        <v>0</v>
      </c>
      <c r="GV67" s="423">
        <f t="shared" ca="1" si="229"/>
        <v>0</v>
      </c>
      <c r="GW67" s="423">
        <f t="shared" ca="1" si="229"/>
        <v>0</v>
      </c>
      <c r="GX67" s="423">
        <f t="shared" ca="1" si="229"/>
        <v>0</v>
      </c>
      <c r="GY67" s="423">
        <f t="shared" ca="1" si="229"/>
        <v>0</v>
      </c>
      <c r="GZ67" s="423">
        <f t="shared" ca="1" si="229"/>
        <v>0</v>
      </c>
      <c r="HA67" s="423">
        <f t="shared" ca="1" si="229"/>
        <v>0</v>
      </c>
      <c r="HB67" s="423">
        <f t="shared" ca="1" si="229"/>
        <v>0</v>
      </c>
      <c r="HC67" s="423">
        <f t="shared" ca="1" si="229"/>
        <v>0</v>
      </c>
      <c r="HD67" s="423">
        <f t="shared" ca="1" si="229"/>
        <v>0</v>
      </c>
      <c r="HE67" s="423">
        <f t="shared" ca="1" si="229"/>
        <v>0</v>
      </c>
      <c r="HF67" s="423">
        <f t="shared" ca="1" si="229"/>
        <v>0</v>
      </c>
      <c r="HG67" s="423">
        <f t="shared" ca="1" si="229"/>
        <v>0</v>
      </c>
      <c r="HH67" s="423">
        <f t="shared" ca="1" si="229"/>
        <v>0</v>
      </c>
      <c r="HI67" s="423">
        <f t="shared" ca="1" si="229"/>
        <v>0</v>
      </c>
      <c r="HJ67" s="423">
        <f t="shared" ca="1" si="230"/>
        <v>0</v>
      </c>
      <c r="HK67" s="423">
        <f t="shared" ca="1" si="230"/>
        <v>0</v>
      </c>
      <c r="HL67" s="423">
        <f t="shared" ca="1" si="230"/>
        <v>0</v>
      </c>
      <c r="HM67" s="423">
        <f t="shared" ca="1" si="230"/>
        <v>0</v>
      </c>
      <c r="HN67" s="423">
        <f t="shared" ca="1" si="230"/>
        <v>0</v>
      </c>
      <c r="HO67" s="423">
        <f t="shared" ca="1" si="230"/>
        <v>0</v>
      </c>
      <c r="HP67" s="423">
        <f t="shared" ca="1" si="230"/>
        <v>0</v>
      </c>
      <c r="HQ67" s="423">
        <f t="shared" ca="1" si="230"/>
        <v>0</v>
      </c>
      <c r="HR67" s="423">
        <f t="shared" ca="1" si="230"/>
        <v>0</v>
      </c>
      <c r="HS67" s="423">
        <f t="shared" ca="1" si="230"/>
        <v>0</v>
      </c>
      <c r="HT67" s="423">
        <f t="shared" ca="1" si="230"/>
        <v>0</v>
      </c>
    </row>
    <row r="68" spans="1:230" ht="11.25" customHeight="1" x14ac:dyDescent="0.2">
      <c r="A68" s="62">
        <f t="shared" si="128"/>
        <v>57</v>
      </c>
      <c r="B68" s="60" t="str">
        <f>Spaces_Sum!C113</f>
        <v>L06-600_CorrRaccSphp</v>
      </c>
      <c r="C68" s="62" t="str">
        <f>Spaces_Sum!D113</f>
        <v>L06</v>
      </c>
      <c r="D68" s="62" t="str">
        <f ca="1">Spaces_Sum!I113</f>
        <v>DirectlyConditioned</v>
      </c>
      <c r="F68" s="110">
        <f ca="1">Spaces_Sum!M113</f>
        <v>1916.0455999999999</v>
      </c>
      <c r="G68" s="110" t="str">
        <f ca="1">Spaces_Sum!J113</f>
        <v>Corridor - All other</v>
      </c>
      <c r="H68" s="532"/>
      <c r="I68" s="185"/>
      <c r="J68" s="185"/>
      <c r="K68" s="186"/>
      <c r="L68" s="187"/>
      <c r="M68" s="188"/>
      <c r="N68" s="189"/>
      <c r="O68" s="186"/>
      <c r="P68" s="187"/>
      <c r="Q68" s="188"/>
      <c r="R68" s="189"/>
      <c r="S68" s="186"/>
      <c r="T68" s="187"/>
      <c r="U68" s="188"/>
      <c r="V68" s="189"/>
      <c r="W68" s="186"/>
      <c r="X68" s="187"/>
      <c r="Y68" s="188"/>
      <c r="Z68" s="189"/>
      <c r="AA68" s="186"/>
      <c r="AB68" s="187"/>
      <c r="AC68" s="188"/>
      <c r="AD68" s="189"/>
      <c r="AE68" s="186"/>
      <c r="AF68" s="187"/>
      <c r="AG68" s="188"/>
      <c r="AH68" s="189"/>
      <c r="AI68" s="186"/>
      <c r="AJ68" s="187"/>
      <c r="AK68" s="188"/>
      <c r="AL68" s="189"/>
      <c r="AM68" s="186"/>
      <c r="AN68" s="187"/>
      <c r="AO68" s="188"/>
      <c r="AP68" s="189"/>
      <c r="AQ68" s="186"/>
      <c r="AR68" s="187"/>
      <c r="AS68" s="188"/>
      <c r="AT68" s="189"/>
      <c r="AU68" s="186"/>
      <c r="AV68" s="187"/>
      <c r="AW68" s="188"/>
      <c r="AX68" s="189"/>
      <c r="AY68" s="186"/>
      <c r="AZ68" s="187"/>
      <c r="BA68" s="188"/>
      <c r="BB68" s="189"/>
      <c r="BC68" s="186"/>
      <c r="BD68" s="187"/>
      <c r="BE68" s="188"/>
      <c r="BF68" s="189"/>
      <c r="BG68" s="186"/>
      <c r="BH68" s="187"/>
      <c r="BI68" s="188"/>
      <c r="BJ68" s="189"/>
      <c r="BK68" s="186"/>
      <c r="BL68" s="187"/>
      <c r="BM68" s="188"/>
      <c r="BN68" s="189"/>
      <c r="BO68" s="186"/>
      <c r="BP68" s="187"/>
      <c r="BQ68" s="188"/>
      <c r="BR68" s="189"/>
      <c r="BS68" s="186"/>
      <c r="BT68" s="187"/>
      <c r="BU68" s="188"/>
      <c r="BV68" s="189"/>
      <c r="BW68" s="186"/>
      <c r="BX68" s="187"/>
      <c r="BY68" s="188"/>
      <c r="BZ68" s="189"/>
      <c r="CA68" s="186"/>
      <c r="CB68" s="190"/>
      <c r="CC68" s="190"/>
      <c r="CD68" s="82">
        <f t="shared" si="142"/>
        <v>0</v>
      </c>
      <c r="CE68" s="82">
        <f t="shared" si="143"/>
        <v>0</v>
      </c>
      <c r="CF68" s="82">
        <f t="shared" si="144"/>
        <v>0</v>
      </c>
      <c r="CG68" s="82">
        <f t="shared" si="145"/>
        <v>0</v>
      </c>
      <c r="CH68" s="82">
        <f t="shared" si="146"/>
        <v>0</v>
      </c>
      <c r="CI68" s="82">
        <f t="shared" si="147"/>
        <v>0</v>
      </c>
      <c r="CJ68" s="82">
        <f t="shared" si="148"/>
        <v>0</v>
      </c>
      <c r="CK68" s="82">
        <f t="shared" si="149"/>
        <v>0</v>
      </c>
      <c r="CL68" s="82">
        <f t="shared" si="150"/>
        <v>0</v>
      </c>
      <c r="CM68" s="82">
        <f t="shared" si="151"/>
        <v>0</v>
      </c>
      <c r="CN68" s="82">
        <f t="shared" si="152"/>
        <v>0</v>
      </c>
      <c r="CO68" s="82">
        <f t="shared" si="153"/>
        <v>0</v>
      </c>
      <c r="CP68" s="82">
        <f t="shared" si="154"/>
        <v>0</v>
      </c>
      <c r="CQ68" s="82">
        <f t="shared" si="155"/>
        <v>0</v>
      </c>
      <c r="CR68" s="82">
        <f t="shared" si="156"/>
        <v>0</v>
      </c>
      <c r="CS68" s="82">
        <f t="shared" si="157"/>
        <v>0</v>
      </c>
      <c r="CT68" s="82">
        <f t="shared" si="158"/>
        <v>0</v>
      </c>
      <c r="CU68" s="82">
        <f t="shared" si="159"/>
        <v>0</v>
      </c>
      <c r="CV68" s="82">
        <f t="shared" si="160"/>
        <v>0</v>
      </c>
      <c r="CW68" s="82">
        <f t="shared" si="161"/>
        <v>0</v>
      </c>
      <c r="CX68" s="82">
        <f t="shared" si="162"/>
        <v>0</v>
      </c>
      <c r="CY68" s="82">
        <f t="shared" si="163"/>
        <v>0</v>
      </c>
      <c r="CZ68" s="82">
        <f t="shared" si="164"/>
        <v>0</v>
      </c>
      <c r="DA68" s="82">
        <f t="shared" si="165"/>
        <v>0</v>
      </c>
      <c r="DB68" s="82">
        <f t="shared" si="166"/>
        <v>0</v>
      </c>
      <c r="DC68" s="82">
        <f t="shared" si="167"/>
        <v>0</v>
      </c>
      <c r="DD68" s="82">
        <f t="shared" si="168"/>
        <v>0</v>
      </c>
      <c r="DE68" s="82">
        <f t="shared" si="169"/>
        <v>0</v>
      </c>
      <c r="DF68" s="82">
        <f t="shared" si="170"/>
        <v>0</v>
      </c>
      <c r="DG68" s="82">
        <f t="shared" si="171"/>
        <v>0</v>
      </c>
      <c r="DH68" s="82">
        <f t="shared" si="172"/>
        <v>0</v>
      </c>
      <c r="DI68" s="82">
        <f t="shared" si="173"/>
        <v>0</v>
      </c>
      <c r="DJ68" s="82">
        <f t="shared" si="174"/>
        <v>0</v>
      </c>
      <c r="DK68" s="82">
        <f t="shared" si="175"/>
        <v>0</v>
      </c>
      <c r="DL68" s="82">
        <f t="shared" si="176"/>
        <v>0</v>
      </c>
      <c r="DM68" s="82">
        <f t="shared" si="177"/>
        <v>0</v>
      </c>
      <c r="DN68" s="82">
        <f t="shared" si="178"/>
        <v>0</v>
      </c>
      <c r="DO68" s="82">
        <f t="shared" si="179"/>
        <v>0</v>
      </c>
      <c r="DP68" s="82">
        <f t="shared" si="180"/>
        <v>0</v>
      </c>
      <c r="DQ68" s="82">
        <f t="shared" si="181"/>
        <v>0</v>
      </c>
      <c r="DR68" s="82">
        <f t="shared" si="182"/>
        <v>0</v>
      </c>
      <c r="DS68" s="82">
        <f t="shared" si="183"/>
        <v>0</v>
      </c>
      <c r="DT68" s="82">
        <f t="shared" si="184"/>
        <v>0</v>
      </c>
      <c r="DU68" s="82">
        <f t="shared" si="185"/>
        <v>0</v>
      </c>
      <c r="DV68" s="82">
        <f t="shared" si="186"/>
        <v>0</v>
      </c>
      <c r="DW68" s="82">
        <f t="shared" si="187"/>
        <v>0</v>
      </c>
      <c r="DX68" s="82">
        <f t="shared" si="188"/>
        <v>0</v>
      </c>
      <c r="DY68" s="82">
        <f t="shared" si="189"/>
        <v>0</v>
      </c>
      <c r="DZ68" s="82">
        <f t="shared" si="190"/>
        <v>0</v>
      </c>
      <c r="EA68" s="82">
        <f t="shared" si="191"/>
        <v>0</v>
      </c>
      <c r="EB68" s="82">
        <f t="shared" si="192"/>
        <v>0</v>
      </c>
      <c r="EC68" s="82">
        <f t="shared" si="193"/>
        <v>0</v>
      </c>
      <c r="ED68" s="82">
        <f t="shared" si="194"/>
        <v>0</v>
      </c>
      <c r="EE68" s="82">
        <f t="shared" si="195"/>
        <v>0</v>
      </c>
      <c r="EF68" s="82">
        <f t="shared" si="196"/>
        <v>0</v>
      </c>
      <c r="EG68" s="82">
        <f t="shared" si="197"/>
        <v>0</v>
      </c>
      <c r="EH68" s="82">
        <f t="shared" si="198"/>
        <v>0</v>
      </c>
      <c r="EI68" s="82">
        <f t="shared" si="199"/>
        <v>0</v>
      </c>
      <c r="EJ68" s="82">
        <f t="shared" si="200"/>
        <v>0</v>
      </c>
      <c r="EK68" s="82">
        <f t="shared" si="201"/>
        <v>0</v>
      </c>
      <c r="EL68" s="82">
        <f t="shared" si="202"/>
        <v>0</v>
      </c>
      <c r="EM68" s="82">
        <f t="shared" si="203"/>
        <v>0</v>
      </c>
      <c r="EN68" s="82">
        <f t="shared" si="204"/>
        <v>0</v>
      </c>
      <c r="EO68" s="82">
        <f t="shared" si="205"/>
        <v>0</v>
      </c>
      <c r="EP68" s="82">
        <f t="shared" si="206"/>
        <v>0</v>
      </c>
      <c r="EQ68" s="82">
        <f t="shared" si="207"/>
        <v>0</v>
      </c>
      <c r="ER68" s="82">
        <f t="shared" si="208"/>
        <v>0</v>
      </c>
      <c r="ES68" s="82">
        <f t="shared" si="209"/>
        <v>0</v>
      </c>
      <c r="ET68" s="82">
        <f t="shared" si="210"/>
        <v>0</v>
      </c>
      <c r="EU68" s="82">
        <f t="shared" si="211"/>
        <v>0</v>
      </c>
      <c r="EV68" s="82">
        <f t="shared" si="212"/>
        <v>0</v>
      </c>
      <c r="EW68" s="82">
        <f t="shared" si="213"/>
        <v>0</v>
      </c>
      <c r="EX68" s="82">
        <f t="shared" si="214"/>
        <v>0</v>
      </c>
      <c r="EY68" s="111">
        <f t="shared" si="215"/>
        <v>0</v>
      </c>
      <c r="EZ68" s="143">
        <f t="shared" ca="1" si="216"/>
        <v>0</v>
      </c>
      <c r="FA68" s="112">
        <f t="shared" ca="1" si="217"/>
        <v>0</v>
      </c>
      <c r="FB68" s="113">
        <f t="shared" ca="1" si="218"/>
        <v>0</v>
      </c>
      <c r="FC68" s="114">
        <f t="shared" ca="1" si="219"/>
        <v>0</v>
      </c>
      <c r="FD68" s="115">
        <f t="shared" ca="1" si="220"/>
        <v>0</v>
      </c>
      <c r="FE68" s="116">
        <f t="shared" ca="1" si="221"/>
        <v>0</v>
      </c>
      <c r="FF68" s="117">
        <f t="shared" ca="1" si="222"/>
        <v>0</v>
      </c>
      <c r="FG68" s="71">
        <f t="shared" si="223"/>
        <v>0</v>
      </c>
      <c r="FH68" s="530">
        <f t="shared" ca="1" si="224"/>
        <v>0</v>
      </c>
      <c r="FI68" s="72"/>
      <c r="FJ68" s="72"/>
      <c r="FK68" s="72"/>
      <c r="FM68" s="421" t="str">
        <f t="shared" si="122"/>
        <v>L06-600_CorrRaccSphp</v>
      </c>
      <c r="FN68" s="422" t="str">
        <f t="shared" ca="1" si="123"/>
        <v>Corridor - All other</v>
      </c>
      <c r="FO68" s="423">
        <f t="shared" ca="1" si="232"/>
        <v>0</v>
      </c>
      <c r="FP68" s="423">
        <f t="shared" ca="1" si="232"/>
        <v>0</v>
      </c>
      <c r="FQ68" s="423">
        <f t="shared" ca="1" si="232"/>
        <v>0</v>
      </c>
      <c r="FR68" s="423">
        <f t="shared" ca="1" si="232"/>
        <v>0</v>
      </c>
      <c r="FS68" s="423">
        <f t="shared" ca="1" si="232"/>
        <v>0</v>
      </c>
      <c r="FT68" s="423">
        <f t="shared" ca="1" si="232"/>
        <v>0</v>
      </c>
      <c r="FU68" s="423">
        <f t="shared" ca="1" si="232"/>
        <v>0</v>
      </c>
      <c r="FV68" s="423">
        <f t="shared" ca="1" si="232"/>
        <v>0</v>
      </c>
      <c r="FW68" s="423">
        <f t="shared" ca="1" si="232"/>
        <v>0</v>
      </c>
      <c r="FX68" s="423">
        <f t="shared" ca="1" si="232"/>
        <v>0</v>
      </c>
      <c r="FY68" s="423">
        <f t="shared" ca="1" si="232"/>
        <v>0</v>
      </c>
      <c r="FZ68" s="423">
        <f t="shared" ca="1" si="232"/>
        <v>0</v>
      </c>
      <c r="GA68" s="423">
        <f t="shared" ca="1" si="232"/>
        <v>0</v>
      </c>
      <c r="GB68" s="423">
        <f t="shared" ca="1" si="232"/>
        <v>0</v>
      </c>
      <c r="GC68" s="423">
        <f t="shared" ca="1" si="232"/>
        <v>0</v>
      </c>
      <c r="GD68" s="423">
        <f t="shared" ca="1" si="232"/>
        <v>0</v>
      </c>
      <c r="GE68" s="423">
        <f t="shared" ca="1" si="231"/>
        <v>0</v>
      </c>
      <c r="GF68" s="423">
        <f t="shared" ca="1" si="231"/>
        <v>0</v>
      </c>
      <c r="GG68" s="423">
        <f t="shared" ca="1" si="231"/>
        <v>0</v>
      </c>
      <c r="GH68" s="423">
        <f t="shared" ca="1" si="231"/>
        <v>0</v>
      </c>
      <c r="GI68" s="423">
        <f t="shared" ca="1" si="231"/>
        <v>0</v>
      </c>
      <c r="GJ68" s="423">
        <f t="shared" ca="1" si="231"/>
        <v>0</v>
      </c>
      <c r="GK68" s="423">
        <f t="shared" ca="1" si="231"/>
        <v>0</v>
      </c>
      <c r="GL68" s="423">
        <f t="shared" ca="1" si="231"/>
        <v>0</v>
      </c>
      <c r="GM68" s="423">
        <f t="shared" ca="1" si="231"/>
        <v>0</v>
      </c>
      <c r="GN68" s="423">
        <f t="shared" ca="1" si="231"/>
        <v>0</v>
      </c>
      <c r="GO68" s="423">
        <f t="shared" ca="1" si="231"/>
        <v>0</v>
      </c>
      <c r="GP68" s="423">
        <f t="shared" ca="1" si="231"/>
        <v>0</v>
      </c>
      <c r="GQ68" s="423">
        <f t="shared" ca="1" si="231"/>
        <v>0</v>
      </c>
      <c r="GR68" s="423">
        <f t="shared" ca="1" si="231"/>
        <v>0</v>
      </c>
      <c r="GS68" s="423">
        <f t="shared" ca="1" si="231"/>
        <v>0</v>
      </c>
      <c r="GT68" s="423">
        <f t="shared" ca="1" si="229"/>
        <v>0</v>
      </c>
      <c r="GU68" s="423">
        <f t="shared" ca="1" si="229"/>
        <v>0</v>
      </c>
      <c r="GV68" s="423">
        <f t="shared" ca="1" si="229"/>
        <v>0</v>
      </c>
      <c r="GW68" s="423">
        <f t="shared" ca="1" si="229"/>
        <v>0</v>
      </c>
      <c r="GX68" s="423">
        <f t="shared" ca="1" si="229"/>
        <v>0</v>
      </c>
      <c r="GY68" s="423">
        <f t="shared" ca="1" si="229"/>
        <v>0</v>
      </c>
      <c r="GZ68" s="423">
        <f t="shared" ca="1" si="229"/>
        <v>0</v>
      </c>
      <c r="HA68" s="423">
        <f t="shared" ca="1" si="229"/>
        <v>0</v>
      </c>
      <c r="HB68" s="423">
        <f t="shared" ca="1" si="229"/>
        <v>0</v>
      </c>
      <c r="HC68" s="423">
        <f t="shared" ca="1" si="229"/>
        <v>0</v>
      </c>
      <c r="HD68" s="423">
        <f t="shared" ca="1" si="229"/>
        <v>0</v>
      </c>
      <c r="HE68" s="423">
        <f t="shared" ca="1" si="229"/>
        <v>0</v>
      </c>
      <c r="HF68" s="423">
        <f t="shared" ca="1" si="229"/>
        <v>0</v>
      </c>
      <c r="HG68" s="423">
        <f t="shared" ca="1" si="229"/>
        <v>0</v>
      </c>
      <c r="HH68" s="423">
        <f t="shared" ca="1" si="229"/>
        <v>0</v>
      </c>
      <c r="HI68" s="423">
        <f t="shared" ca="1" si="229"/>
        <v>0</v>
      </c>
      <c r="HJ68" s="423">
        <f t="shared" ca="1" si="230"/>
        <v>0</v>
      </c>
      <c r="HK68" s="423">
        <f t="shared" ca="1" si="230"/>
        <v>0</v>
      </c>
      <c r="HL68" s="423">
        <f t="shared" ca="1" si="230"/>
        <v>0</v>
      </c>
      <c r="HM68" s="423">
        <f t="shared" ca="1" si="230"/>
        <v>0</v>
      </c>
      <c r="HN68" s="423">
        <f t="shared" ca="1" si="230"/>
        <v>0</v>
      </c>
      <c r="HO68" s="423">
        <f t="shared" ca="1" si="230"/>
        <v>0</v>
      </c>
      <c r="HP68" s="423">
        <f t="shared" ca="1" si="230"/>
        <v>0</v>
      </c>
      <c r="HQ68" s="423">
        <f t="shared" ca="1" si="230"/>
        <v>0</v>
      </c>
      <c r="HR68" s="423">
        <f t="shared" ca="1" si="230"/>
        <v>0</v>
      </c>
      <c r="HS68" s="423">
        <f t="shared" ca="1" si="230"/>
        <v>0</v>
      </c>
      <c r="HT68" s="423">
        <f t="shared" ca="1" si="230"/>
        <v>0</v>
      </c>
    </row>
    <row r="69" spans="1:230" ht="11.25" customHeight="1" x14ac:dyDescent="0.2">
      <c r="A69" s="62">
        <f t="shared" si="128"/>
        <v>58</v>
      </c>
      <c r="B69" s="60" t="str">
        <f>Spaces_Sum!C114</f>
        <v>L06-601_MfamResiPthp</v>
      </c>
      <c r="C69" s="62" t="str">
        <f>Spaces_Sum!D114</f>
        <v>L06</v>
      </c>
      <c r="D69" s="62" t="str">
        <f ca="1">Spaces_Sum!I114</f>
        <v>DirectlyConditioned</v>
      </c>
      <c r="F69" s="110">
        <f ca="1">Spaces_Sum!M114</f>
        <v>872.36159999999995</v>
      </c>
      <c r="G69" s="110" t="str">
        <f ca="1">Spaces_Sum!J114</f>
        <v>Dwelling Unit</v>
      </c>
      <c r="H69" s="532"/>
      <c r="I69" s="185"/>
      <c r="J69" s="185"/>
      <c r="K69" s="186"/>
      <c r="L69" s="187"/>
      <c r="M69" s="188"/>
      <c r="N69" s="189"/>
      <c r="O69" s="186"/>
      <c r="P69" s="187"/>
      <c r="Q69" s="188"/>
      <c r="R69" s="189"/>
      <c r="S69" s="186"/>
      <c r="T69" s="187"/>
      <c r="U69" s="188"/>
      <c r="V69" s="189"/>
      <c r="W69" s="186"/>
      <c r="X69" s="187"/>
      <c r="Y69" s="188"/>
      <c r="Z69" s="189"/>
      <c r="AA69" s="186"/>
      <c r="AB69" s="187"/>
      <c r="AC69" s="188"/>
      <c r="AD69" s="189"/>
      <c r="AE69" s="186"/>
      <c r="AF69" s="187"/>
      <c r="AG69" s="188"/>
      <c r="AH69" s="189"/>
      <c r="AI69" s="186"/>
      <c r="AJ69" s="187"/>
      <c r="AK69" s="188"/>
      <c r="AL69" s="189"/>
      <c r="AM69" s="186"/>
      <c r="AN69" s="187"/>
      <c r="AO69" s="188"/>
      <c r="AP69" s="189"/>
      <c r="AQ69" s="186"/>
      <c r="AR69" s="187"/>
      <c r="AS69" s="188"/>
      <c r="AT69" s="189"/>
      <c r="AU69" s="186"/>
      <c r="AV69" s="187"/>
      <c r="AW69" s="188"/>
      <c r="AX69" s="189"/>
      <c r="AY69" s="186"/>
      <c r="AZ69" s="187"/>
      <c r="BA69" s="188"/>
      <c r="BB69" s="189"/>
      <c r="BC69" s="186"/>
      <c r="BD69" s="187"/>
      <c r="BE69" s="188"/>
      <c r="BF69" s="189"/>
      <c r="BG69" s="186"/>
      <c r="BH69" s="187"/>
      <c r="BI69" s="188"/>
      <c r="BJ69" s="189"/>
      <c r="BK69" s="186"/>
      <c r="BL69" s="187"/>
      <c r="BM69" s="188"/>
      <c r="BN69" s="189"/>
      <c r="BO69" s="186"/>
      <c r="BP69" s="187"/>
      <c r="BQ69" s="188"/>
      <c r="BR69" s="189"/>
      <c r="BS69" s="186"/>
      <c r="BT69" s="187"/>
      <c r="BU69" s="188"/>
      <c r="BV69" s="189"/>
      <c r="BW69" s="186"/>
      <c r="BX69" s="187"/>
      <c r="BY69" s="188"/>
      <c r="BZ69" s="189"/>
      <c r="CA69" s="186"/>
      <c r="CB69" s="190"/>
      <c r="CC69" s="190"/>
      <c r="CD69" s="82">
        <f t="shared" si="142"/>
        <v>0</v>
      </c>
      <c r="CE69" s="82">
        <f t="shared" si="143"/>
        <v>0</v>
      </c>
      <c r="CF69" s="82">
        <f t="shared" si="144"/>
        <v>0</v>
      </c>
      <c r="CG69" s="82">
        <f t="shared" si="145"/>
        <v>0</v>
      </c>
      <c r="CH69" s="82">
        <f t="shared" si="146"/>
        <v>0</v>
      </c>
      <c r="CI69" s="82">
        <f t="shared" si="147"/>
        <v>0</v>
      </c>
      <c r="CJ69" s="82">
        <f t="shared" si="148"/>
        <v>0</v>
      </c>
      <c r="CK69" s="82">
        <f t="shared" si="149"/>
        <v>0</v>
      </c>
      <c r="CL69" s="82">
        <f t="shared" si="150"/>
        <v>0</v>
      </c>
      <c r="CM69" s="82">
        <f t="shared" si="151"/>
        <v>0</v>
      </c>
      <c r="CN69" s="82">
        <f t="shared" si="152"/>
        <v>0</v>
      </c>
      <c r="CO69" s="82">
        <f t="shared" si="153"/>
        <v>0</v>
      </c>
      <c r="CP69" s="82">
        <f t="shared" si="154"/>
        <v>0</v>
      </c>
      <c r="CQ69" s="82">
        <f t="shared" si="155"/>
        <v>0</v>
      </c>
      <c r="CR69" s="82">
        <f t="shared" si="156"/>
        <v>0</v>
      </c>
      <c r="CS69" s="82">
        <f t="shared" si="157"/>
        <v>0</v>
      </c>
      <c r="CT69" s="82">
        <f t="shared" si="158"/>
        <v>0</v>
      </c>
      <c r="CU69" s="82">
        <f t="shared" si="159"/>
        <v>0</v>
      </c>
      <c r="CV69" s="82">
        <f t="shared" si="160"/>
        <v>0</v>
      </c>
      <c r="CW69" s="82">
        <f t="shared" si="161"/>
        <v>0</v>
      </c>
      <c r="CX69" s="82">
        <f t="shared" si="162"/>
        <v>0</v>
      </c>
      <c r="CY69" s="82">
        <f t="shared" si="163"/>
        <v>0</v>
      </c>
      <c r="CZ69" s="82">
        <f t="shared" si="164"/>
        <v>0</v>
      </c>
      <c r="DA69" s="82">
        <f t="shared" si="165"/>
        <v>0</v>
      </c>
      <c r="DB69" s="82">
        <f t="shared" si="166"/>
        <v>0</v>
      </c>
      <c r="DC69" s="82">
        <f t="shared" si="167"/>
        <v>0</v>
      </c>
      <c r="DD69" s="82">
        <f t="shared" si="168"/>
        <v>0</v>
      </c>
      <c r="DE69" s="82">
        <f t="shared" si="169"/>
        <v>0</v>
      </c>
      <c r="DF69" s="82">
        <f t="shared" si="170"/>
        <v>0</v>
      </c>
      <c r="DG69" s="82">
        <f t="shared" si="171"/>
        <v>0</v>
      </c>
      <c r="DH69" s="82">
        <f t="shared" si="172"/>
        <v>0</v>
      </c>
      <c r="DI69" s="82">
        <f t="shared" si="173"/>
        <v>0</v>
      </c>
      <c r="DJ69" s="82">
        <f t="shared" si="174"/>
        <v>0</v>
      </c>
      <c r="DK69" s="82">
        <f t="shared" si="175"/>
        <v>0</v>
      </c>
      <c r="DL69" s="82">
        <f t="shared" si="176"/>
        <v>0</v>
      </c>
      <c r="DM69" s="82">
        <f t="shared" si="177"/>
        <v>0</v>
      </c>
      <c r="DN69" s="82">
        <f t="shared" si="178"/>
        <v>0</v>
      </c>
      <c r="DO69" s="82">
        <f t="shared" si="179"/>
        <v>0</v>
      </c>
      <c r="DP69" s="82">
        <f t="shared" si="180"/>
        <v>0</v>
      </c>
      <c r="DQ69" s="82">
        <f t="shared" si="181"/>
        <v>0</v>
      </c>
      <c r="DR69" s="82">
        <f t="shared" si="182"/>
        <v>0</v>
      </c>
      <c r="DS69" s="82">
        <f t="shared" si="183"/>
        <v>0</v>
      </c>
      <c r="DT69" s="82">
        <f t="shared" si="184"/>
        <v>0</v>
      </c>
      <c r="DU69" s="82">
        <f t="shared" si="185"/>
        <v>0</v>
      </c>
      <c r="DV69" s="82">
        <f t="shared" si="186"/>
        <v>0</v>
      </c>
      <c r="DW69" s="82">
        <f t="shared" si="187"/>
        <v>0</v>
      </c>
      <c r="DX69" s="82">
        <f t="shared" si="188"/>
        <v>0</v>
      </c>
      <c r="DY69" s="82">
        <f t="shared" si="189"/>
        <v>0</v>
      </c>
      <c r="DZ69" s="82">
        <f t="shared" si="190"/>
        <v>0</v>
      </c>
      <c r="EA69" s="82">
        <f t="shared" si="191"/>
        <v>0</v>
      </c>
      <c r="EB69" s="82">
        <f t="shared" si="192"/>
        <v>0</v>
      </c>
      <c r="EC69" s="82">
        <f t="shared" si="193"/>
        <v>0</v>
      </c>
      <c r="ED69" s="82">
        <f t="shared" si="194"/>
        <v>0</v>
      </c>
      <c r="EE69" s="82">
        <f t="shared" si="195"/>
        <v>0</v>
      </c>
      <c r="EF69" s="82">
        <f t="shared" si="196"/>
        <v>0</v>
      </c>
      <c r="EG69" s="82">
        <f t="shared" si="197"/>
        <v>0</v>
      </c>
      <c r="EH69" s="82">
        <f t="shared" si="198"/>
        <v>0</v>
      </c>
      <c r="EI69" s="82">
        <f t="shared" si="199"/>
        <v>0</v>
      </c>
      <c r="EJ69" s="82">
        <f t="shared" si="200"/>
        <v>0</v>
      </c>
      <c r="EK69" s="82">
        <f t="shared" si="201"/>
        <v>0</v>
      </c>
      <c r="EL69" s="82">
        <f t="shared" si="202"/>
        <v>0</v>
      </c>
      <c r="EM69" s="82">
        <f t="shared" si="203"/>
        <v>0</v>
      </c>
      <c r="EN69" s="82">
        <f t="shared" si="204"/>
        <v>0</v>
      </c>
      <c r="EO69" s="82">
        <f t="shared" si="205"/>
        <v>0</v>
      </c>
      <c r="EP69" s="82">
        <f t="shared" si="206"/>
        <v>0</v>
      </c>
      <c r="EQ69" s="82">
        <f t="shared" si="207"/>
        <v>0</v>
      </c>
      <c r="ER69" s="82">
        <f t="shared" si="208"/>
        <v>0</v>
      </c>
      <c r="ES69" s="82">
        <f t="shared" si="209"/>
        <v>0</v>
      </c>
      <c r="ET69" s="82">
        <f t="shared" si="210"/>
        <v>0</v>
      </c>
      <c r="EU69" s="82">
        <f t="shared" si="211"/>
        <v>0</v>
      </c>
      <c r="EV69" s="82">
        <f t="shared" si="212"/>
        <v>0</v>
      </c>
      <c r="EW69" s="82">
        <f t="shared" si="213"/>
        <v>0</v>
      </c>
      <c r="EX69" s="82">
        <f t="shared" si="214"/>
        <v>0</v>
      </c>
      <c r="EY69" s="111">
        <f t="shared" si="215"/>
        <v>0</v>
      </c>
      <c r="EZ69" s="143">
        <f t="shared" ca="1" si="216"/>
        <v>0</v>
      </c>
      <c r="FA69" s="112">
        <f t="shared" ca="1" si="217"/>
        <v>0</v>
      </c>
      <c r="FB69" s="113">
        <f t="shared" ca="1" si="218"/>
        <v>0</v>
      </c>
      <c r="FC69" s="114">
        <f t="shared" ca="1" si="219"/>
        <v>0</v>
      </c>
      <c r="FD69" s="115">
        <f t="shared" ca="1" si="220"/>
        <v>0</v>
      </c>
      <c r="FE69" s="116">
        <f t="shared" ca="1" si="221"/>
        <v>0</v>
      </c>
      <c r="FF69" s="117">
        <f t="shared" ca="1" si="222"/>
        <v>0</v>
      </c>
      <c r="FG69" s="71">
        <f t="shared" si="223"/>
        <v>0</v>
      </c>
      <c r="FH69" s="530">
        <f t="shared" ca="1" si="224"/>
        <v>0</v>
      </c>
      <c r="FI69" s="72">
        <f ca="1">0.75*FB69</f>
        <v>0</v>
      </c>
      <c r="FJ69" s="72">
        <f ca="1">FA69</f>
        <v>0</v>
      </c>
      <c r="FK69" s="72">
        <f ca="1">SUM(FI69:FJ69)</f>
        <v>0</v>
      </c>
      <c r="FM69" s="421" t="str">
        <f t="shared" si="122"/>
        <v>L06-601_MfamResiPthp</v>
      </c>
      <c r="FN69" s="422" t="str">
        <f t="shared" ca="1" si="123"/>
        <v>Dwelling Unit</v>
      </c>
      <c r="FO69" s="423">
        <f t="shared" ca="1" si="232"/>
        <v>0</v>
      </c>
      <c r="FP69" s="423">
        <f t="shared" ca="1" si="232"/>
        <v>0</v>
      </c>
      <c r="FQ69" s="423">
        <f t="shared" ca="1" si="232"/>
        <v>0</v>
      </c>
      <c r="FR69" s="423">
        <f t="shared" ca="1" si="232"/>
        <v>0</v>
      </c>
      <c r="FS69" s="423">
        <f t="shared" ca="1" si="232"/>
        <v>0</v>
      </c>
      <c r="FT69" s="423">
        <f t="shared" ca="1" si="232"/>
        <v>0</v>
      </c>
      <c r="FU69" s="423">
        <f t="shared" ca="1" si="232"/>
        <v>0</v>
      </c>
      <c r="FV69" s="423">
        <f t="shared" ca="1" si="232"/>
        <v>0</v>
      </c>
      <c r="FW69" s="423">
        <f t="shared" ca="1" si="232"/>
        <v>0</v>
      </c>
      <c r="FX69" s="423">
        <f t="shared" ca="1" si="232"/>
        <v>0</v>
      </c>
      <c r="FY69" s="423">
        <f t="shared" ca="1" si="232"/>
        <v>0</v>
      </c>
      <c r="FZ69" s="423">
        <f t="shared" ca="1" si="232"/>
        <v>0</v>
      </c>
      <c r="GA69" s="423">
        <f t="shared" ca="1" si="232"/>
        <v>0</v>
      </c>
      <c r="GB69" s="423">
        <f t="shared" ca="1" si="232"/>
        <v>0</v>
      </c>
      <c r="GC69" s="423">
        <f t="shared" ca="1" si="232"/>
        <v>0</v>
      </c>
      <c r="GD69" s="423">
        <f t="shared" ca="1" si="232"/>
        <v>0</v>
      </c>
      <c r="GE69" s="423">
        <f t="shared" ca="1" si="231"/>
        <v>0</v>
      </c>
      <c r="GF69" s="423">
        <f t="shared" ca="1" si="231"/>
        <v>0</v>
      </c>
      <c r="GG69" s="423">
        <f t="shared" ca="1" si="231"/>
        <v>0</v>
      </c>
      <c r="GH69" s="423">
        <f t="shared" ca="1" si="231"/>
        <v>0</v>
      </c>
      <c r="GI69" s="423">
        <f t="shared" ca="1" si="231"/>
        <v>0</v>
      </c>
      <c r="GJ69" s="423">
        <f t="shared" ca="1" si="231"/>
        <v>0</v>
      </c>
      <c r="GK69" s="423">
        <f t="shared" ca="1" si="231"/>
        <v>0</v>
      </c>
      <c r="GL69" s="423">
        <f t="shared" ca="1" si="231"/>
        <v>0</v>
      </c>
      <c r="GM69" s="423">
        <f t="shared" ca="1" si="231"/>
        <v>0</v>
      </c>
      <c r="GN69" s="423">
        <f t="shared" ca="1" si="231"/>
        <v>0</v>
      </c>
      <c r="GO69" s="423">
        <f t="shared" ca="1" si="231"/>
        <v>0</v>
      </c>
      <c r="GP69" s="423">
        <f t="shared" ca="1" si="231"/>
        <v>0</v>
      </c>
      <c r="GQ69" s="423">
        <f t="shared" ca="1" si="231"/>
        <v>0</v>
      </c>
      <c r="GR69" s="423">
        <f t="shared" ca="1" si="231"/>
        <v>0</v>
      </c>
      <c r="GS69" s="423">
        <f t="shared" ca="1" si="231"/>
        <v>0</v>
      </c>
      <c r="GT69" s="423">
        <f t="shared" ca="1" si="229"/>
        <v>0</v>
      </c>
      <c r="GU69" s="423">
        <f t="shared" ca="1" si="229"/>
        <v>0</v>
      </c>
      <c r="GV69" s="423">
        <f t="shared" ca="1" si="229"/>
        <v>0</v>
      </c>
      <c r="GW69" s="423">
        <f t="shared" ca="1" si="229"/>
        <v>0</v>
      </c>
      <c r="GX69" s="423">
        <f t="shared" ca="1" si="229"/>
        <v>0</v>
      </c>
      <c r="GY69" s="423">
        <f t="shared" ca="1" si="229"/>
        <v>0</v>
      </c>
      <c r="GZ69" s="423">
        <f t="shared" ca="1" si="229"/>
        <v>0</v>
      </c>
      <c r="HA69" s="423">
        <f t="shared" ca="1" si="229"/>
        <v>0</v>
      </c>
      <c r="HB69" s="423">
        <f t="shared" ca="1" si="229"/>
        <v>0</v>
      </c>
      <c r="HC69" s="423">
        <f t="shared" ca="1" si="229"/>
        <v>0</v>
      </c>
      <c r="HD69" s="423">
        <f t="shared" ca="1" si="229"/>
        <v>0</v>
      </c>
      <c r="HE69" s="423">
        <f t="shared" ca="1" si="229"/>
        <v>0</v>
      </c>
      <c r="HF69" s="423">
        <f t="shared" ca="1" si="229"/>
        <v>0</v>
      </c>
      <c r="HG69" s="423">
        <f t="shared" ca="1" si="229"/>
        <v>0</v>
      </c>
      <c r="HH69" s="423">
        <f t="shared" ca="1" si="229"/>
        <v>0</v>
      </c>
      <c r="HI69" s="423">
        <f t="shared" ca="1" si="229"/>
        <v>0</v>
      </c>
      <c r="HJ69" s="423">
        <f t="shared" ca="1" si="230"/>
        <v>0</v>
      </c>
      <c r="HK69" s="423">
        <f t="shared" ca="1" si="230"/>
        <v>0</v>
      </c>
      <c r="HL69" s="423">
        <f t="shared" ca="1" si="230"/>
        <v>0</v>
      </c>
      <c r="HM69" s="423">
        <f t="shared" ca="1" si="230"/>
        <v>0</v>
      </c>
      <c r="HN69" s="423">
        <f t="shared" ca="1" si="230"/>
        <v>0</v>
      </c>
      <c r="HO69" s="423">
        <f t="shared" ca="1" si="230"/>
        <v>0</v>
      </c>
      <c r="HP69" s="423">
        <f t="shared" ca="1" si="230"/>
        <v>0</v>
      </c>
      <c r="HQ69" s="423">
        <f t="shared" ca="1" si="230"/>
        <v>0</v>
      </c>
      <c r="HR69" s="423">
        <f t="shared" ca="1" si="230"/>
        <v>0</v>
      </c>
      <c r="HS69" s="423">
        <f t="shared" ca="1" si="230"/>
        <v>0</v>
      </c>
      <c r="HT69" s="423">
        <f t="shared" ca="1" si="230"/>
        <v>0</v>
      </c>
    </row>
    <row r="70" spans="1:230" ht="11.25" customHeight="1" x14ac:dyDescent="0.2">
      <c r="A70" s="62">
        <f t="shared" si="128"/>
        <v>59</v>
      </c>
      <c r="B70" s="60" t="str">
        <f>Spaces_Sum!C115</f>
        <v>L06-602_MfamResiPthp</v>
      </c>
      <c r="C70" s="62" t="str">
        <f>Spaces_Sum!D115</f>
        <v>L06</v>
      </c>
      <c r="D70" s="62" t="str">
        <f ca="1">Spaces_Sum!I115</f>
        <v>DirectlyConditioned</v>
      </c>
      <c r="F70" s="110">
        <f ca="1">Spaces_Sum!M115</f>
        <v>1660.6944000000001</v>
      </c>
      <c r="G70" s="110" t="str">
        <f ca="1">Spaces_Sum!J115</f>
        <v>Dwelling Unit</v>
      </c>
      <c r="H70" s="532"/>
      <c r="I70" s="185"/>
      <c r="J70" s="185"/>
      <c r="K70" s="186"/>
      <c r="L70" s="187"/>
      <c r="M70" s="188"/>
      <c r="N70" s="189"/>
      <c r="O70" s="186"/>
      <c r="P70" s="187"/>
      <c r="Q70" s="188"/>
      <c r="R70" s="189"/>
      <c r="S70" s="186"/>
      <c r="T70" s="187"/>
      <c r="U70" s="188"/>
      <c r="V70" s="189"/>
      <c r="W70" s="186"/>
      <c r="X70" s="187"/>
      <c r="Y70" s="188"/>
      <c r="Z70" s="189"/>
      <c r="AA70" s="186"/>
      <c r="AB70" s="187"/>
      <c r="AC70" s="188"/>
      <c r="AD70" s="189"/>
      <c r="AE70" s="186"/>
      <c r="AF70" s="187"/>
      <c r="AG70" s="188"/>
      <c r="AH70" s="189"/>
      <c r="AI70" s="186"/>
      <c r="AJ70" s="187"/>
      <c r="AK70" s="188"/>
      <c r="AL70" s="189"/>
      <c r="AM70" s="186"/>
      <c r="AN70" s="187"/>
      <c r="AO70" s="188"/>
      <c r="AP70" s="189"/>
      <c r="AQ70" s="186"/>
      <c r="AR70" s="187"/>
      <c r="AS70" s="188"/>
      <c r="AT70" s="189"/>
      <c r="AU70" s="186"/>
      <c r="AV70" s="187"/>
      <c r="AW70" s="188"/>
      <c r="AX70" s="189"/>
      <c r="AY70" s="186"/>
      <c r="AZ70" s="187"/>
      <c r="BA70" s="188"/>
      <c r="BB70" s="189"/>
      <c r="BC70" s="186"/>
      <c r="BD70" s="187"/>
      <c r="BE70" s="188"/>
      <c r="BF70" s="189"/>
      <c r="BG70" s="186"/>
      <c r="BH70" s="187"/>
      <c r="BI70" s="188"/>
      <c r="BJ70" s="189"/>
      <c r="BK70" s="186"/>
      <c r="BL70" s="187"/>
      <c r="BM70" s="188"/>
      <c r="BN70" s="189"/>
      <c r="BO70" s="186"/>
      <c r="BP70" s="187"/>
      <c r="BQ70" s="188"/>
      <c r="BR70" s="189"/>
      <c r="BS70" s="186"/>
      <c r="BT70" s="187"/>
      <c r="BU70" s="188"/>
      <c r="BV70" s="189"/>
      <c r="BW70" s="186"/>
      <c r="BX70" s="187"/>
      <c r="BY70" s="188"/>
      <c r="BZ70" s="189"/>
      <c r="CA70" s="186"/>
      <c r="CB70" s="190"/>
      <c r="CC70" s="190"/>
      <c r="CD70" s="82">
        <f t="shared" si="142"/>
        <v>0</v>
      </c>
      <c r="CE70" s="82">
        <f t="shared" si="143"/>
        <v>0</v>
      </c>
      <c r="CF70" s="82">
        <f t="shared" si="144"/>
        <v>0</v>
      </c>
      <c r="CG70" s="82">
        <f t="shared" si="145"/>
        <v>0</v>
      </c>
      <c r="CH70" s="82">
        <f t="shared" si="146"/>
        <v>0</v>
      </c>
      <c r="CI70" s="82">
        <f t="shared" si="147"/>
        <v>0</v>
      </c>
      <c r="CJ70" s="82">
        <f t="shared" si="148"/>
        <v>0</v>
      </c>
      <c r="CK70" s="82">
        <f t="shared" si="149"/>
        <v>0</v>
      </c>
      <c r="CL70" s="82">
        <f t="shared" si="150"/>
        <v>0</v>
      </c>
      <c r="CM70" s="82">
        <f t="shared" si="151"/>
        <v>0</v>
      </c>
      <c r="CN70" s="82">
        <f t="shared" si="152"/>
        <v>0</v>
      </c>
      <c r="CO70" s="82">
        <f t="shared" si="153"/>
        <v>0</v>
      </c>
      <c r="CP70" s="82">
        <f t="shared" si="154"/>
        <v>0</v>
      </c>
      <c r="CQ70" s="82">
        <f t="shared" si="155"/>
        <v>0</v>
      </c>
      <c r="CR70" s="82">
        <f t="shared" si="156"/>
        <v>0</v>
      </c>
      <c r="CS70" s="82">
        <f t="shared" si="157"/>
        <v>0</v>
      </c>
      <c r="CT70" s="82">
        <f t="shared" si="158"/>
        <v>0</v>
      </c>
      <c r="CU70" s="82">
        <f t="shared" si="159"/>
        <v>0</v>
      </c>
      <c r="CV70" s="82">
        <f t="shared" si="160"/>
        <v>0</v>
      </c>
      <c r="CW70" s="82">
        <f t="shared" si="161"/>
        <v>0</v>
      </c>
      <c r="CX70" s="82">
        <f t="shared" si="162"/>
        <v>0</v>
      </c>
      <c r="CY70" s="82">
        <f t="shared" si="163"/>
        <v>0</v>
      </c>
      <c r="CZ70" s="82">
        <f t="shared" si="164"/>
        <v>0</v>
      </c>
      <c r="DA70" s="82">
        <f t="shared" si="165"/>
        <v>0</v>
      </c>
      <c r="DB70" s="82">
        <f t="shared" si="166"/>
        <v>0</v>
      </c>
      <c r="DC70" s="82">
        <f t="shared" si="167"/>
        <v>0</v>
      </c>
      <c r="DD70" s="82">
        <f t="shared" si="168"/>
        <v>0</v>
      </c>
      <c r="DE70" s="82">
        <f t="shared" si="169"/>
        <v>0</v>
      </c>
      <c r="DF70" s="82">
        <f t="shared" si="170"/>
        <v>0</v>
      </c>
      <c r="DG70" s="82">
        <f t="shared" si="171"/>
        <v>0</v>
      </c>
      <c r="DH70" s="82">
        <f t="shared" si="172"/>
        <v>0</v>
      </c>
      <c r="DI70" s="82">
        <f t="shared" si="173"/>
        <v>0</v>
      </c>
      <c r="DJ70" s="82">
        <f t="shared" si="174"/>
        <v>0</v>
      </c>
      <c r="DK70" s="82">
        <f t="shared" si="175"/>
        <v>0</v>
      </c>
      <c r="DL70" s="82">
        <f t="shared" si="176"/>
        <v>0</v>
      </c>
      <c r="DM70" s="82">
        <f t="shared" si="177"/>
        <v>0</v>
      </c>
      <c r="DN70" s="82">
        <f t="shared" si="178"/>
        <v>0</v>
      </c>
      <c r="DO70" s="82">
        <f t="shared" si="179"/>
        <v>0</v>
      </c>
      <c r="DP70" s="82">
        <f t="shared" si="180"/>
        <v>0</v>
      </c>
      <c r="DQ70" s="82">
        <f t="shared" si="181"/>
        <v>0</v>
      </c>
      <c r="DR70" s="82">
        <f t="shared" si="182"/>
        <v>0</v>
      </c>
      <c r="DS70" s="82">
        <f t="shared" si="183"/>
        <v>0</v>
      </c>
      <c r="DT70" s="82">
        <f t="shared" si="184"/>
        <v>0</v>
      </c>
      <c r="DU70" s="82">
        <f t="shared" si="185"/>
        <v>0</v>
      </c>
      <c r="DV70" s="82">
        <f t="shared" si="186"/>
        <v>0</v>
      </c>
      <c r="DW70" s="82">
        <f t="shared" si="187"/>
        <v>0</v>
      </c>
      <c r="DX70" s="82">
        <f t="shared" si="188"/>
        <v>0</v>
      </c>
      <c r="DY70" s="82">
        <f t="shared" si="189"/>
        <v>0</v>
      </c>
      <c r="DZ70" s="82">
        <f t="shared" si="190"/>
        <v>0</v>
      </c>
      <c r="EA70" s="82">
        <f t="shared" si="191"/>
        <v>0</v>
      </c>
      <c r="EB70" s="82">
        <f t="shared" si="192"/>
        <v>0</v>
      </c>
      <c r="EC70" s="82">
        <f t="shared" si="193"/>
        <v>0</v>
      </c>
      <c r="ED70" s="82">
        <f t="shared" si="194"/>
        <v>0</v>
      </c>
      <c r="EE70" s="82">
        <f t="shared" si="195"/>
        <v>0</v>
      </c>
      <c r="EF70" s="82">
        <f t="shared" si="196"/>
        <v>0</v>
      </c>
      <c r="EG70" s="82">
        <f t="shared" si="197"/>
        <v>0</v>
      </c>
      <c r="EH70" s="82">
        <f t="shared" si="198"/>
        <v>0</v>
      </c>
      <c r="EI70" s="82">
        <f t="shared" si="199"/>
        <v>0</v>
      </c>
      <c r="EJ70" s="82">
        <f t="shared" si="200"/>
        <v>0</v>
      </c>
      <c r="EK70" s="82">
        <f t="shared" si="201"/>
        <v>0</v>
      </c>
      <c r="EL70" s="82">
        <f t="shared" si="202"/>
        <v>0</v>
      </c>
      <c r="EM70" s="82">
        <f t="shared" si="203"/>
        <v>0</v>
      </c>
      <c r="EN70" s="82">
        <f t="shared" si="204"/>
        <v>0</v>
      </c>
      <c r="EO70" s="82">
        <f t="shared" si="205"/>
        <v>0</v>
      </c>
      <c r="EP70" s="82">
        <f t="shared" si="206"/>
        <v>0</v>
      </c>
      <c r="EQ70" s="82">
        <f t="shared" si="207"/>
        <v>0</v>
      </c>
      <c r="ER70" s="82">
        <f t="shared" si="208"/>
        <v>0</v>
      </c>
      <c r="ES70" s="82">
        <f t="shared" si="209"/>
        <v>0</v>
      </c>
      <c r="ET70" s="82">
        <f t="shared" si="210"/>
        <v>0</v>
      </c>
      <c r="EU70" s="82">
        <f t="shared" si="211"/>
        <v>0</v>
      </c>
      <c r="EV70" s="82">
        <f t="shared" si="212"/>
        <v>0</v>
      </c>
      <c r="EW70" s="82">
        <f t="shared" si="213"/>
        <v>0</v>
      </c>
      <c r="EX70" s="82">
        <f t="shared" si="214"/>
        <v>0</v>
      </c>
      <c r="EY70" s="111">
        <f t="shared" si="215"/>
        <v>0</v>
      </c>
      <c r="EZ70" s="143">
        <f t="shared" ca="1" si="216"/>
        <v>0</v>
      </c>
      <c r="FA70" s="112">
        <f t="shared" ca="1" si="217"/>
        <v>0</v>
      </c>
      <c r="FB70" s="113">
        <f t="shared" ca="1" si="218"/>
        <v>0</v>
      </c>
      <c r="FC70" s="114">
        <f t="shared" ca="1" si="219"/>
        <v>0</v>
      </c>
      <c r="FD70" s="115">
        <f t="shared" ca="1" si="220"/>
        <v>0</v>
      </c>
      <c r="FE70" s="116">
        <f t="shared" ca="1" si="221"/>
        <v>0</v>
      </c>
      <c r="FF70" s="117">
        <f t="shared" ca="1" si="222"/>
        <v>0</v>
      </c>
      <c r="FG70" s="71">
        <f t="shared" si="223"/>
        <v>0</v>
      </c>
      <c r="FH70" s="530">
        <f t="shared" ca="1" si="224"/>
        <v>0</v>
      </c>
      <c r="FI70" s="72"/>
      <c r="FJ70" s="72"/>
      <c r="FK70" s="72"/>
      <c r="FM70" s="421" t="str">
        <f t="shared" si="122"/>
        <v>L06-602_MfamResiPthp</v>
      </c>
      <c r="FN70" s="422" t="str">
        <f t="shared" ca="1" si="123"/>
        <v>Dwelling Unit</v>
      </c>
      <c r="FO70" s="423">
        <f t="shared" ca="1" si="232"/>
        <v>0</v>
      </c>
      <c r="FP70" s="423">
        <f t="shared" ca="1" si="232"/>
        <v>0</v>
      </c>
      <c r="FQ70" s="423">
        <f t="shared" ca="1" si="232"/>
        <v>0</v>
      </c>
      <c r="FR70" s="423">
        <f t="shared" ca="1" si="232"/>
        <v>0</v>
      </c>
      <c r="FS70" s="423">
        <f t="shared" ca="1" si="232"/>
        <v>0</v>
      </c>
      <c r="FT70" s="423">
        <f t="shared" ca="1" si="232"/>
        <v>0</v>
      </c>
      <c r="FU70" s="423">
        <f t="shared" ca="1" si="232"/>
        <v>0</v>
      </c>
      <c r="FV70" s="423">
        <f t="shared" ca="1" si="232"/>
        <v>0</v>
      </c>
      <c r="FW70" s="423">
        <f t="shared" ca="1" si="232"/>
        <v>0</v>
      </c>
      <c r="FX70" s="423">
        <f t="shared" ca="1" si="232"/>
        <v>0</v>
      </c>
      <c r="FY70" s="423">
        <f t="shared" ca="1" si="232"/>
        <v>0</v>
      </c>
      <c r="FZ70" s="423">
        <f t="shared" ca="1" si="232"/>
        <v>0</v>
      </c>
      <c r="GA70" s="423">
        <f t="shared" ca="1" si="232"/>
        <v>0</v>
      </c>
      <c r="GB70" s="423">
        <f t="shared" ca="1" si="232"/>
        <v>0</v>
      </c>
      <c r="GC70" s="423">
        <f t="shared" ca="1" si="232"/>
        <v>0</v>
      </c>
      <c r="GD70" s="423">
        <f t="shared" ca="1" si="232"/>
        <v>0</v>
      </c>
      <c r="GE70" s="423">
        <f t="shared" ca="1" si="231"/>
        <v>0</v>
      </c>
      <c r="GF70" s="423">
        <f t="shared" ca="1" si="231"/>
        <v>0</v>
      </c>
      <c r="GG70" s="423">
        <f t="shared" ca="1" si="231"/>
        <v>0</v>
      </c>
      <c r="GH70" s="423">
        <f t="shared" ca="1" si="231"/>
        <v>0</v>
      </c>
      <c r="GI70" s="423">
        <f t="shared" ca="1" si="231"/>
        <v>0</v>
      </c>
      <c r="GJ70" s="423">
        <f t="shared" ca="1" si="231"/>
        <v>0</v>
      </c>
      <c r="GK70" s="423">
        <f t="shared" ca="1" si="231"/>
        <v>0</v>
      </c>
      <c r="GL70" s="423">
        <f t="shared" ca="1" si="231"/>
        <v>0</v>
      </c>
      <c r="GM70" s="423">
        <f t="shared" ca="1" si="231"/>
        <v>0</v>
      </c>
      <c r="GN70" s="423">
        <f t="shared" ca="1" si="231"/>
        <v>0</v>
      </c>
      <c r="GO70" s="423">
        <f t="shared" ca="1" si="231"/>
        <v>0</v>
      </c>
      <c r="GP70" s="423">
        <f t="shared" ca="1" si="231"/>
        <v>0</v>
      </c>
      <c r="GQ70" s="423">
        <f t="shared" ca="1" si="231"/>
        <v>0</v>
      </c>
      <c r="GR70" s="423">
        <f t="shared" ca="1" si="231"/>
        <v>0</v>
      </c>
      <c r="GS70" s="423">
        <f t="shared" ca="1" si="231"/>
        <v>0</v>
      </c>
      <c r="GT70" s="423">
        <f t="shared" ca="1" si="229"/>
        <v>0</v>
      </c>
      <c r="GU70" s="423">
        <f t="shared" ca="1" si="229"/>
        <v>0</v>
      </c>
      <c r="GV70" s="423">
        <f t="shared" ca="1" si="229"/>
        <v>0</v>
      </c>
      <c r="GW70" s="423">
        <f t="shared" ca="1" si="229"/>
        <v>0</v>
      </c>
      <c r="GX70" s="423">
        <f t="shared" ca="1" si="229"/>
        <v>0</v>
      </c>
      <c r="GY70" s="423">
        <f t="shared" ca="1" si="229"/>
        <v>0</v>
      </c>
      <c r="GZ70" s="423">
        <f t="shared" ca="1" si="229"/>
        <v>0</v>
      </c>
      <c r="HA70" s="423">
        <f t="shared" ca="1" si="229"/>
        <v>0</v>
      </c>
      <c r="HB70" s="423">
        <f t="shared" ca="1" si="229"/>
        <v>0</v>
      </c>
      <c r="HC70" s="423">
        <f t="shared" ca="1" si="229"/>
        <v>0</v>
      </c>
      <c r="HD70" s="423">
        <f t="shared" ca="1" si="229"/>
        <v>0</v>
      </c>
      <c r="HE70" s="423">
        <f t="shared" ca="1" si="229"/>
        <v>0</v>
      </c>
      <c r="HF70" s="423">
        <f t="shared" ca="1" si="229"/>
        <v>0</v>
      </c>
      <c r="HG70" s="423">
        <f t="shared" ca="1" si="229"/>
        <v>0</v>
      </c>
      <c r="HH70" s="423">
        <f t="shared" ca="1" si="229"/>
        <v>0</v>
      </c>
      <c r="HI70" s="423">
        <f t="shared" ca="1" si="229"/>
        <v>0</v>
      </c>
      <c r="HJ70" s="423">
        <f t="shared" ca="1" si="230"/>
        <v>0</v>
      </c>
      <c r="HK70" s="423">
        <f t="shared" ca="1" si="230"/>
        <v>0</v>
      </c>
      <c r="HL70" s="423">
        <f t="shared" ca="1" si="230"/>
        <v>0</v>
      </c>
      <c r="HM70" s="423">
        <f t="shared" ca="1" si="230"/>
        <v>0</v>
      </c>
      <c r="HN70" s="423">
        <f t="shared" ca="1" si="230"/>
        <v>0</v>
      </c>
      <c r="HO70" s="423">
        <f t="shared" ca="1" si="230"/>
        <v>0</v>
      </c>
      <c r="HP70" s="423">
        <f t="shared" ca="1" si="230"/>
        <v>0</v>
      </c>
      <c r="HQ70" s="423">
        <f t="shared" ca="1" si="230"/>
        <v>0</v>
      </c>
      <c r="HR70" s="423">
        <f t="shared" ca="1" si="230"/>
        <v>0</v>
      </c>
      <c r="HS70" s="423">
        <f t="shared" ca="1" si="230"/>
        <v>0</v>
      </c>
      <c r="HT70" s="423">
        <f t="shared" ca="1" si="230"/>
        <v>0</v>
      </c>
    </row>
    <row r="71" spans="1:230" ht="11.25" customHeight="1" x14ac:dyDescent="0.2">
      <c r="A71" s="62">
        <f t="shared" si="128"/>
        <v>60</v>
      </c>
      <c r="B71" s="60" t="str">
        <f>Spaces_Sum!C116</f>
        <v>L06-603_MfamResiPthp</v>
      </c>
      <c r="C71" s="62" t="str">
        <f>Spaces_Sum!D116</f>
        <v>L06</v>
      </c>
      <c r="D71" s="62" t="str">
        <f ca="1">Spaces_Sum!I116</f>
        <v>DirectlyConditioned</v>
      </c>
      <c r="F71" s="110">
        <f ca="1">Spaces_Sum!M116</f>
        <v>1116.5980999999999</v>
      </c>
      <c r="G71" s="110" t="str">
        <f ca="1">Spaces_Sum!J116</f>
        <v>Dwelling Unit</v>
      </c>
      <c r="H71" s="532"/>
      <c r="I71" s="185"/>
      <c r="J71" s="185"/>
      <c r="K71" s="186"/>
      <c r="L71" s="187"/>
      <c r="M71" s="188"/>
      <c r="N71" s="189"/>
      <c r="O71" s="186"/>
      <c r="P71" s="187"/>
      <c r="Q71" s="188"/>
      <c r="R71" s="189"/>
      <c r="S71" s="186"/>
      <c r="T71" s="187"/>
      <c r="U71" s="188"/>
      <c r="V71" s="189"/>
      <c r="W71" s="186"/>
      <c r="X71" s="187"/>
      <c r="Y71" s="188"/>
      <c r="Z71" s="189"/>
      <c r="AA71" s="186"/>
      <c r="AB71" s="187"/>
      <c r="AC71" s="188"/>
      <c r="AD71" s="189"/>
      <c r="AE71" s="186"/>
      <c r="AF71" s="187"/>
      <c r="AG71" s="188"/>
      <c r="AH71" s="189"/>
      <c r="AI71" s="186"/>
      <c r="AJ71" s="187"/>
      <c r="AK71" s="188"/>
      <c r="AL71" s="189"/>
      <c r="AM71" s="186"/>
      <c r="AN71" s="187"/>
      <c r="AO71" s="188"/>
      <c r="AP71" s="189"/>
      <c r="AQ71" s="186"/>
      <c r="AR71" s="187"/>
      <c r="AS71" s="188"/>
      <c r="AT71" s="189"/>
      <c r="AU71" s="186"/>
      <c r="AV71" s="187"/>
      <c r="AW71" s="188"/>
      <c r="AX71" s="189"/>
      <c r="AY71" s="186"/>
      <c r="AZ71" s="187"/>
      <c r="BA71" s="188"/>
      <c r="BB71" s="189"/>
      <c r="BC71" s="186"/>
      <c r="BD71" s="187"/>
      <c r="BE71" s="188"/>
      <c r="BF71" s="189"/>
      <c r="BG71" s="186"/>
      <c r="BH71" s="187"/>
      <c r="BI71" s="188"/>
      <c r="BJ71" s="189"/>
      <c r="BK71" s="186"/>
      <c r="BL71" s="187"/>
      <c r="BM71" s="188"/>
      <c r="BN71" s="189"/>
      <c r="BO71" s="186"/>
      <c r="BP71" s="187"/>
      <c r="BQ71" s="188"/>
      <c r="BR71" s="189"/>
      <c r="BS71" s="186"/>
      <c r="BT71" s="187"/>
      <c r="BU71" s="188"/>
      <c r="BV71" s="189"/>
      <c r="BW71" s="186"/>
      <c r="BX71" s="187"/>
      <c r="BY71" s="188"/>
      <c r="BZ71" s="189"/>
      <c r="CA71" s="186"/>
      <c r="CB71" s="190"/>
      <c r="CC71" s="190"/>
      <c r="CD71" s="82">
        <f t="shared" si="142"/>
        <v>0</v>
      </c>
      <c r="CE71" s="82">
        <f t="shared" si="143"/>
        <v>0</v>
      </c>
      <c r="CF71" s="82">
        <f t="shared" si="144"/>
        <v>0</v>
      </c>
      <c r="CG71" s="82">
        <f t="shared" si="145"/>
        <v>0</v>
      </c>
      <c r="CH71" s="82">
        <f t="shared" si="146"/>
        <v>0</v>
      </c>
      <c r="CI71" s="82">
        <f t="shared" si="147"/>
        <v>0</v>
      </c>
      <c r="CJ71" s="82">
        <f t="shared" si="148"/>
        <v>0</v>
      </c>
      <c r="CK71" s="82">
        <f t="shared" si="149"/>
        <v>0</v>
      </c>
      <c r="CL71" s="82">
        <f t="shared" si="150"/>
        <v>0</v>
      </c>
      <c r="CM71" s="82">
        <f t="shared" si="151"/>
        <v>0</v>
      </c>
      <c r="CN71" s="82">
        <f t="shared" si="152"/>
        <v>0</v>
      </c>
      <c r="CO71" s="82">
        <f t="shared" si="153"/>
        <v>0</v>
      </c>
      <c r="CP71" s="82">
        <f t="shared" si="154"/>
        <v>0</v>
      </c>
      <c r="CQ71" s="82">
        <f t="shared" si="155"/>
        <v>0</v>
      </c>
      <c r="CR71" s="82">
        <f t="shared" si="156"/>
        <v>0</v>
      </c>
      <c r="CS71" s="82">
        <f t="shared" si="157"/>
        <v>0</v>
      </c>
      <c r="CT71" s="82">
        <f t="shared" si="158"/>
        <v>0</v>
      </c>
      <c r="CU71" s="82">
        <f t="shared" si="159"/>
        <v>0</v>
      </c>
      <c r="CV71" s="82">
        <f t="shared" si="160"/>
        <v>0</v>
      </c>
      <c r="CW71" s="82">
        <f t="shared" si="161"/>
        <v>0</v>
      </c>
      <c r="CX71" s="82">
        <f t="shared" si="162"/>
        <v>0</v>
      </c>
      <c r="CY71" s="82">
        <f t="shared" si="163"/>
        <v>0</v>
      </c>
      <c r="CZ71" s="82">
        <f t="shared" si="164"/>
        <v>0</v>
      </c>
      <c r="DA71" s="82">
        <f t="shared" si="165"/>
        <v>0</v>
      </c>
      <c r="DB71" s="82">
        <f t="shared" si="166"/>
        <v>0</v>
      </c>
      <c r="DC71" s="82">
        <f t="shared" si="167"/>
        <v>0</v>
      </c>
      <c r="DD71" s="82">
        <f t="shared" si="168"/>
        <v>0</v>
      </c>
      <c r="DE71" s="82">
        <f t="shared" si="169"/>
        <v>0</v>
      </c>
      <c r="DF71" s="82">
        <f t="shared" si="170"/>
        <v>0</v>
      </c>
      <c r="DG71" s="82">
        <f t="shared" si="171"/>
        <v>0</v>
      </c>
      <c r="DH71" s="82">
        <f t="shared" si="172"/>
        <v>0</v>
      </c>
      <c r="DI71" s="82">
        <f t="shared" si="173"/>
        <v>0</v>
      </c>
      <c r="DJ71" s="82">
        <f t="shared" si="174"/>
        <v>0</v>
      </c>
      <c r="DK71" s="82">
        <f t="shared" si="175"/>
        <v>0</v>
      </c>
      <c r="DL71" s="82">
        <f t="shared" si="176"/>
        <v>0</v>
      </c>
      <c r="DM71" s="82">
        <f t="shared" si="177"/>
        <v>0</v>
      </c>
      <c r="DN71" s="82">
        <f t="shared" si="178"/>
        <v>0</v>
      </c>
      <c r="DO71" s="82">
        <f t="shared" si="179"/>
        <v>0</v>
      </c>
      <c r="DP71" s="82">
        <f t="shared" si="180"/>
        <v>0</v>
      </c>
      <c r="DQ71" s="82">
        <f t="shared" si="181"/>
        <v>0</v>
      </c>
      <c r="DR71" s="82">
        <f t="shared" si="182"/>
        <v>0</v>
      </c>
      <c r="DS71" s="82">
        <f t="shared" si="183"/>
        <v>0</v>
      </c>
      <c r="DT71" s="82">
        <f t="shared" si="184"/>
        <v>0</v>
      </c>
      <c r="DU71" s="82">
        <f t="shared" si="185"/>
        <v>0</v>
      </c>
      <c r="DV71" s="82">
        <f t="shared" si="186"/>
        <v>0</v>
      </c>
      <c r="DW71" s="82">
        <f t="shared" si="187"/>
        <v>0</v>
      </c>
      <c r="DX71" s="82">
        <f t="shared" si="188"/>
        <v>0</v>
      </c>
      <c r="DY71" s="82">
        <f t="shared" si="189"/>
        <v>0</v>
      </c>
      <c r="DZ71" s="82">
        <f t="shared" si="190"/>
        <v>0</v>
      </c>
      <c r="EA71" s="82">
        <f t="shared" si="191"/>
        <v>0</v>
      </c>
      <c r="EB71" s="82">
        <f t="shared" si="192"/>
        <v>0</v>
      </c>
      <c r="EC71" s="82">
        <f t="shared" si="193"/>
        <v>0</v>
      </c>
      <c r="ED71" s="82">
        <f t="shared" si="194"/>
        <v>0</v>
      </c>
      <c r="EE71" s="82">
        <f t="shared" si="195"/>
        <v>0</v>
      </c>
      <c r="EF71" s="82">
        <f t="shared" si="196"/>
        <v>0</v>
      </c>
      <c r="EG71" s="82">
        <f t="shared" si="197"/>
        <v>0</v>
      </c>
      <c r="EH71" s="82">
        <f t="shared" si="198"/>
        <v>0</v>
      </c>
      <c r="EI71" s="82">
        <f t="shared" si="199"/>
        <v>0</v>
      </c>
      <c r="EJ71" s="82">
        <f t="shared" si="200"/>
        <v>0</v>
      </c>
      <c r="EK71" s="82">
        <f t="shared" si="201"/>
        <v>0</v>
      </c>
      <c r="EL71" s="82">
        <f t="shared" si="202"/>
        <v>0</v>
      </c>
      <c r="EM71" s="82">
        <f t="shared" si="203"/>
        <v>0</v>
      </c>
      <c r="EN71" s="82">
        <f t="shared" si="204"/>
        <v>0</v>
      </c>
      <c r="EO71" s="82">
        <f t="shared" si="205"/>
        <v>0</v>
      </c>
      <c r="EP71" s="82">
        <f t="shared" si="206"/>
        <v>0</v>
      </c>
      <c r="EQ71" s="82">
        <f t="shared" si="207"/>
        <v>0</v>
      </c>
      <c r="ER71" s="82">
        <f t="shared" si="208"/>
        <v>0</v>
      </c>
      <c r="ES71" s="82">
        <f t="shared" si="209"/>
        <v>0</v>
      </c>
      <c r="ET71" s="82">
        <f t="shared" si="210"/>
        <v>0</v>
      </c>
      <c r="EU71" s="82">
        <f t="shared" si="211"/>
        <v>0</v>
      </c>
      <c r="EV71" s="82">
        <f t="shared" si="212"/>
        <v>0</v>
      </c>
      <c r="EW71" s="82">
        <f t="shared" si="213"/>
        <v>0</v>
      </c>
      <c r="EX71" s="82">
        <f t="shared" si="214"/>
        <v>0</v>
      </c>
      <c r="EY71" s="111">
        <f t="shared" si="215"/>
        <v>0</v>
      </c>
      <c r="EZ71" s="143">
        <f t="shared" ca="1" si="216"/>
        <v>0</v>
      </c>
      <c r="FA71" s="112">
        <f t="shared" ca="1" si="217"/>
        <v>0</v>
      </c>
      <c r="FB71" s="113">
        <f t="shared" ca="1" si="218"/>
        <v>0</v>
      </c>
      <c r="FC71" s="114">
        <f t="shared" ca="1" si="219"/>
        <v>0</v>
      </c>
      <c r="FD71" s="115">
        <f t="shared" ca="1" si="220"/>
        <v>0</v>
      </c>
      <c r="FE71" s="116">
        <f t="shared" ca="1" si="221"/>
        <v>0</v>
      </c>
      <c r="FF71" s="117">
        <f t="shared" ca="1" si="222"/>
        <v>0</v>
      </c>
      <c r="FG71" s="71">
        <f t="shared" si="223"/>
        <v>0</v>
      </c>
      <c r="FH71" s="530">
        <f t="shared" ca="1" si="224"/>
        <v>0</v>
      </c>
      <c r="FI71" s="72"/>
      <c r="FJ71" s="72"/>
      <c r="FK71" s="72"/>
      <c r="FM71" s="421" t="str">
        <f t="shared" si="122"/>
        <v>L06-603_MfamResiPthp</v>
      </c>
      <c r="FN71" s="422" t="str">
        <f t="shared" ca="1" si="123"/>
        <v>Dwelling Unit</v>
      </c>
      <c r="FO71" s="423">
        <f t="shared" ca="1" si="232"/>
        <v>0</v>
      </c>
      <c r="FP71" s="423">
        <f t="shared" ca="1" si="232"/>
        <v>0</v>
      </c>
      <c r="FQ71" s="423">
        <f t="shared" ca="1" si="232"/>
        <v>0</v>
      </c>
      <c r="FR71" s="423">
        <f t="shared" ca="1" si="232"/>
        <v>0</v>
      </c>
      <c r="FS71" s="423">
        <f t="shared" ca="1" si="232"/>
        <v>0</v>
      </c>
      <c r="FT71" s="423">
        <f t="shared" ca="1" si="232"/>
        <v>0</v>
      </c>
      <c r="FU71" s="423">
        <f t="shared" ca="1" si="232"/>
        <v>0</v>
      </c>
      <c r="FV71" s="423">
        <f t="shared" ca="1" si="232"/>
        <v>0</v>
      </c>
      <c r="FW71" s="423">
        <f t="shared" ca="1" si="232"/>
        <v>0</v>
      </c>
      <c r="FX71" s="423">
        <f t="shared" ca="1" si="232"/>
        <v>0</v>
      </c>
      <c r="FY71" s="423">
        <f t="shared" ca="1" si="232"/>
        <v>0</v>
      </c>
      <c r="FZ71" s="423">
        <f t="shared" ca="1" si="232"/>
        <v>0</v>
      </c>
      <c r="GA71" s="423">
        <f t="shared" ca="1" si="232"/>
        <v>0</v>
      </c>
      <c r="GB71" s="423">
        <f t="shared" ca="1" si="232"/>
        <v>0</v>
      </c>
      <c r="GC71" s="423">
        <f t="shared" ca="1" si="232"/>
        <v>0</v>
      </c>
      <c r="GD71" s="423">
        <f t="shared" ca="1" si="232"/>
        <v>0</v>
      </c>
      <c r="GE71" s="423">
        <f t="shared" ca="1" si="231"/>
        <v>0</v>
      </c>
      <c r="GF71" s="423">
        <f t="shared" ca="1" si="231"/>
        <v>0</v>
      </c>
      <c r="GG71" s="423">
        <f t="shared" ca="1" si="231"/>
        <v>0</v>
      </c>
      <c r="GH71" s="423">
        <f t="shared" ca="1" si="231"/>
        <v>0</v>
      </c>
      <c r="GI71" s="423">
        <f t="shared" ca="1" si="231"/>
        <v>0</v>
      </c>
      <c r="GJ71" s="423">
        <f t="shared" ca="1" si="231"/>
        <v>0</v>
      </c>
      <c r="GK71" s="423">
        <f t="shared" ca="1" si="231"/>
        <v>0</v>
      </c>
      <c r="GL71" s="423">
        <f t="shared" ca="1" si="231"/>
        <v>0</v>
      </c>
      <c r="GM71" s="423">
        <f t="shared" ca="1" si="231"/>
        <v>0</v>
      </c>
      <c r="GN71" s="423">
        <f t="shared" ca="1" si="231"/>
        <v>0</v>
      </c>
      <c r="GO71" s="423">
        <f t="shared" ca="1" si="231"/>
        <v>0</v>
      </c>
      <c r="GP71" s="423">
        <f t="shared" ca="1" si="231"/>
        <v>0</v>
      </c>
      <c r="GQ71" s="423">
        <f t="shared" ca="1" si="231"/>
        <v>0</v>
      </c>
      <c r="GR71" s="423">
        <f t="shared" ca="1" si="231"/>
        <v>0</v>
      </c>
      <c r="GS71" s="423">
        <f t="shared" ca="1" si="231"/>
        <v>0</v>
      </c>
      <c r="GT71" s="423">
        <f t="shared" ca="1" si="229"/>
        <v>0</v>
      </c>
      <c r="GU71" s="423">
        <f t="shared" ca="1" si="229"/>
        <v>0</v>
      </c>
      <c r="GV71" s="423">
        <f t="shared" ca="1" si="229"/>
        <v>0</v>
      </c>
      <c r="GW71" s="423">
        <f t="shared" ca="1" si="229"/>
        <v>0</v>
      </c>
      <c r="GX71" s="423">
        <f t="shared" ca="1" si="229"/>
        <v>0</v>
      </c>
      <c r="GY71" s="423">
        <f t="shared" ca="1" si="229"/>
        <v>0</v>
      </c>
      <c r="GZ71" s="423">
        <f t="shared" ca="1" si="229"/>
        <v>0</v>
      </c>
      <c r="HA71" s="423">
        <f t="shared" ca="1" si="229"/>
        <v>0</v>
      </c>
      <c r="HB71" s="423">
        <f t="shared" ca="1" si="229"/>
        <v>0</v>
      </c>
      <c r="HC71" s="423">
        <f t="shared" ca="1" si="229"/>
        <v>0</v>
      </c>
      <c r="HD71" s="423">
        <f t="shared" ca="1" si="229"/>
        <v>0</v>
      </c>
      <c r="HE71" s="423">
        <f t="shared" ca="1" si="229"/>
        <v>0</v>
      </c>
      <c r="HF71" s="423">
        <f t="shared" ca="1" si="229"/>
        <v>0</v>
      </c>
      <c r="HG71" s="423">
        <f t="shared" ca="1" si="229"/>
        <v>0</v>
      </c>
      <c r="HH71" s="423">
        <f t="shared" ca="1" si="229"/>
        <v>0</v>
      </c>
      <c r="HI71" s="423">
        <f t="shared" ca="1" si="229"/>
        <v>0</v>
      </c>
      <c r="HJ71" s="423">
        <f t="shared" ca="1" si="230"/>
        <v>0</v>
      </c>
      <c r="HK71" s="423">
        <f t="shared" ca="1" si="230"/>
        <v>0</v>
      </c>
      <c r="HL71" s="423">
        <f t="shared" ca="1" si="230"/>
        <v>0</v>
      </c>
      <c r="HM71" s="423">
        <f t="shared" ca="1" si="230"/>
        <v>0</v>
      </c>
      <c r="HN71" s="423">
        <f t="shared" ca="1" si="230"/>
        <v>0</v>
      </c>
      <c r="HO71" s="423">
        <f t="shared" ca="1" si="230"/>
        <v>0</v>
      </c>
      <c r="HP71" s="423">
        <f t="shared" ca="1" si="230"/>
        <v>0</v>
      </c>
      <c r="HQ71" s="423">
        <f t="shared" ca="1" si="230"/>
        <v>0</v>
      </c>
      <c r="HR71" s="423">
        <f t="shared" ca="1" si="230"/>
        <v>0</v>
      </c>
      <c r="HS71" s="423">
        <f t="shared" ca="1" si="230"/>
        <v>0</v>
      </c>
      <c r="HT71" s="423">
        <f t="shared" ca="1" si="230"/>
        <v>0</v>
      </c>
    </row>
    <row r="72" spans="1:230" ht="11.25" customHeight="1" x14ac:dyDescent="0.2">
      <c r="A72" s="62">
        <f t="shared" si="128"/>
        <v>61</v>
      </c>
      <c r="B72" s="60" t="str">
        <f>Spaces_Sum!C117</f>
        <v>L06-604_AstoRaccIncd</v>
      </c>
      <c r="C72" s="62" t="str">
        <f>Spaces_Sum!D117</f>
        <v>L06</v>
      </c>
      <c r="D72" s="62" t="str">
        <f ca="1">Spaces_Sum!I117</f>
        <v>IndirectlyConditioned</v>
      </c>
      <c r="F72" s="110">
        <f ca="1">Spaces_Sum!M117</f>
        <v>135.05760000000001</v>
      </c>
      <c r="G72" s="110" t="str">
        <f ca="1">Spaces_Sum!J117</f>
        <v>Storage Room - &lt;50 ft2</v>
      </c>
      <c r="H72" s="532"/>
      <c r="I72" s="185"/>
      <c r="J72" s="185"/>
      <c r="K72" s="186"/>
      <c r="L72" s="187"/>
      <c r="M72" s="188"/>
      <c r="N72" s="189"/>
      <c r="O72" s="186"/>
      <c r="P72" s="187"/>
      <c r="Q72" s="188"/>
      <c r="R72" s="189"/>
      <c r="S72" s="186"/>
      <c r="T72" s="187"/>
      <c r="U72" s="188"/>
      <c r="V72" s="189"/>
      <c r="W72" s="186"/>
      <c r="X72" s="187"/>
      <c r="Y72" s="188"/>
      <c r="Z72" s="189"/>
      <c r="AA72" s="186"/>
      <c r="AB72" s="187"/>
      <c r="AC72" s="188"/>
      <c r="AD72" s="189"/>
      <c r="AE72" s="186"/>
      <c r="AF72" s="187"/>
      <c r="AG72" s="188"/>
      <c r="AH72" s="189"/>
      <c r="AI72" s="186"/>
      <c r="AJ72" s="187"/>
      <c r="AK72" s="188"/>
      <c r="AL72" s="189"/>
      <c r="AM72" s="186"/>
      <c r="AN72" s="187"/>
      <c r="AO72" s="188"/>
      <c r="AP72" s="189"/>
      <c r="AQ72" s="186"/>
      <c r="AR72" s="187"/>
      <c r="AS72" s="188"/>
      <c r="AT72" s="189"/>
      <c r="AU72" s="186"/>
      <c r="AV72" s="187"/>
      <c r="AW72" s="188"/>
      <c r="AX72" s="189"/>
      <c r="AY72" s="186"/>
      <c r="AZ72" s="187"/>
      <c r="BA72" s="188"/>
      <c r="BB72" s="189"/>
      <c r="BC72" s="186"/>
      <c r="BD72" s="187"/>
      <c r="BE72" s="188"/>
      <c r="BF72" s="189"/>
      <c r="BG72" s="186"/>
      <c r="BH72" s="187"/>
      <c r="BI72" s="188"/>
      <c r="BJ72" s="189"/>
      <c r="BK72" s="186"/>
      <c r="BL72" s="187"/>
      <c r="BM72" s="188"/>
      <c r="BN72" s="189"/>
      <c r="BO72" s="186"/>
      <c r="BP72" s="187"/>
      <c r="BQ72" s="188"/>
      <c r="BR72" s="189"/>
      <c r="BS72" s="186"/>
      <c r="BT72" s="187"/>
      <c r="BU72" s="188"/>
      <c r="BV72" s="189"/>
      <c r="BW72" s="186"/>
      <c r="BX72" s="187"/>
      <c r="BY72" s="188"/>
      <c r="BZ72" s="189"/>
      <c r="CA72" s="186"/>
      <c r="CB72" s="190"/>
      <c r="CC72" s="190"/>
      <c r="CD72" s="82">
        <f t="shared" si="142"/>
        <v>0</v>
      </c>
      <c r="CE72" s="82">
        <f t="shared" si="143"/>
        <v>0</v>
      </c>
      <c r="CF72" s="82">
        <f t="shared" si="144"/>
        <v>0</v>
      </c>
      <c r="CG72" s="82">
        <f t="shared" si="145"/>
        <v>0</v>
      </c>
      <c r="CH72" s="82">
        <f t="shared" si="146"/>
        <v>0</v>
      </c>
      <c r="CI72" s="82">
        <f t="shared" si="147"/>
        <v>0</v>
      </c>
      <c r="CJ72" s="82">
        <f t="shared" si="148"/>
        <v>0</v>
      </c>
      <c r="CK72" s="82">
        <f t="shared" si="149"/>
        <v>0</v>
      </c>
      <c r="CL72" s="82">
        <f t="shared" si="150"/>
        <v>0</v>
      </c>
      <c r="CM72" s="82">
        <f t="shared" si="151"/>
        <v>0</v>
      </c>
      <c r="CN72" s="82">
        <f t="shared" si="152"/>
        <v>0</v>
      </c>
      <c r="CO72" s="82">
        <f t="shared" si="153"/>
        <v>0</v>
      </c>
      <c r="CP72" s="82">
        <f t="shared" si="154"/>
        <v>0</v>
      </c>
      <c r="CQ72" s="82">
        <f t="shared" si="155"/>
        <v>0</v>
      </c>
      <c r="CR72" s="82">
        <f t="shared" si="156"/>
        <v>0</v>
      </c>
      <c r="CS72" s="82">
        <f t="shared" si="157"/>
        <v>0</v>
      </c>
      <c r="CT72" s="82">
        <f t="shared" si="158"/>
        <v>0</v>
      </c>
      <c r="CU72" s="82">
        <f t="shared" si="159"/>
        <v>0</v>
      </c>
      <c r="CV72" s="82">
        <f t="shared" si="160"/>
        <v>0</v>
      </c>
      <c r="CW72" s="82">
        <f t="shared" si="161"/>
        <v>0</v>
      </c>
      <c r="CX72" s="82">
        <f t="shared" si="162"/>
        <v>0</v>
      </c>
      <c r="CY72" s="82">
        <f t="shared" si="163"/>
        <v>0</v>
      </c>
      <c r="CZ72" s="82">
        <f t="shared" si="164"/>
        <v>0</v>
      </c>
      <c r="DA72" s="82">
        <f t="shared" si="165"/>
        <v>0</v>
      </c>
      <c r="DB72" s="82">
        <f t="shared" si="166"/>
        <v>0</v>
      </c>
      <c r="DC72" s="82">
        <f t="shared" si="167"/>
        <v>0</v>
      </c>
      <c r="DD72" s="82">
        <f t="shared" si="168"/>
        <v>0</v>
      </c>
      <c r="DE72" s="82">
        <f t="shared" si="169"/>
        <v>0</v>
      </c>
      <c r="DF72" s="82">
        <f t="shared" si="170"/>
        <v>0</v>
      </c>
      <c r="DG72" s="82">
        <f t="shared" si="171"/>
        <v>0</v>
      </c>
      <c r="DH72" s="82">
        <f t="shared" si="172"/>
        <v>0</v>
      </c>
      <c r="DI72" s="82">
        <f t="shared" si="173"/>
        <v>0</v>
      </c>
      <c r="DJ72" s="82">
        <f t="shared" si="174"/>
        <v>0</v>
      </c>
      <c r="DK72" s="82">
        <f t="shared" si="175"/>
        <v>0</v>
      </c>
      <c r="DL72" s="82">
        <f t="shared" si="176"/>
        <v>0</v>
      </c>
      <c r="DM72" s="82">
        <f t="shared" si="177"/>
        <v>0</v>
      </c>
      <c r="DN72" s="82">
        <f t="shared" si="178"/>
        <v>0</v>
      </c>
      <c r="DO72" s="82">
        <f t="shared" si="179"/>
        <v>0</v>
      </c>
      <c r="DP72" s="82">
        <f t="shared" si="180"/>
        <v>0</v>
      </c>
      <c r="DQ72" s="82">
        <f t="shared" si="181"/>
        <v>0</v>
      </c>
      <c r="DR72" s="82">
        <f t="shared" si="182"/>
        <v>0</v>
      </c>
      <c r="DS72" s="82">
        <f t="shared" si="183"/>
        <v>0</v>
      </c>
      <c r="DT72" s="82">
        <f t="shared" si="184"/>
        <v>0</v>
      </c>
      <c r="DU72" s="82">
        <f t="shared" si="185"/>
        <v>0</v>
      </c>
      <c r="DV72" s="82">
        <f t="shared" si="186"/>
        <v>0</v>
      </c>
      <c r="DW72" s="82">
        <f t="shared" si="187"/>
        <v>0</v>
      </c>
      <c r="DX72" s="82">
        <f t="shared" si="188"/>
        <v>0</v>
      </c>
      <c r="DY72" s="82">
        <f t="shared" si="189"/>
        <v>0</v>
      </c>
      <c r="DZ72" s="82">
        <f t="shared" si="190"/>
        <v>0</v>
      </c>
      <c r="EA72" s="82">
        <f t="shared" si="191"/>
        <v>0</v>
      </c>
      <c r="EB72" s="82">
        <f t="shared" si="192"/>
        <v>0</v>
      </c>
      <c r="EC72" s="82">
        <f t="shared" si="193"/>
        <v>0</v>
      </c>
      <c r="ED72" s="82">
        <f t="shared" si="194"/>
        <v>0</v>
      </c>
      <c r="EE72" s="82">
        <f t="shared" si="195"/>
        <v>0</v>
      </c>
      <c r="EF72" s="82">
        <f t="shared" si="196"/>
        <v>0</v>
      </c>
      <c r="EG72" s="82">
        <f t="shared" si="197"/>
        <v>0</v>
      </c>
      <c r="EH72" s="82">
        <f t="shared" si="198"/>
        <v>0</v>
      </c>
      <c r="EI72" s="82">
        <f t="shared" si="199"/>
        <v>0</v>
      </c>
      <c r="EJ72" s="82">
        <f t="shared" si="200"/>
        <v>0</v>
      </c>
      <c r="EK72" s="82">
        <f t="shared" si="201"/>
        <v>0</v>
      </c>
      <c r="EL72" s="82">
        <f t="shared" si="202"/>
        <v>0</v>
      </c>
      <c r="EM72" s="82">
        <f t="shared" si="203"/>
        <v>0</v>
      </c>
      <c r="EN72" s="82">
        <f t="shared" si="204"/>
        <v>0</v>
      </c>
      <c r="EO72" s="82">
        <f t="shared" si="205"/>
        <v>0</v>
      </c>
      <c r="EP72" s="82">
        <f t="shared" si="206"/>
        <v>0</v>
      </c>
      <c r="EQ72" s="82">
        <f t="shared" si="207"/>
        <v>0</v>
      </c>
      <c r="ER72" s="82">
        <f t="shared" si="208"/>
        <v>0</v>
      </c>
      <c r="ES72" s="82">
        <f t="shared" si="209"/>
        <v>0</v>
      </c>
      <c r="ET72" s="82">
        <f t="shared" si="210"/>
        <v>0</v>
      </c>
      <c r="EU72" s="82">
        <f t="shared" si="211"/>
        <v>0</v>
      </c>
      <c r="EV72" s="82">
        <f t="shared" si="212"/>
        <v>0</v>
      </c>
      <c r="EW72" s="82">
        <f t="shared" si="213"/>
        <v>0</v>
      </c>
      <c r="EX72" s="82">
        <f t="shared" si="214"/>
        <v>0</v>
      </c>
      <c r="EY72" s="111">
        <f t="shared" si="215"/>
        <v>0</v>
      </c>
      <c r="EZ72" s="143">
        <f t="shared" ca="1" si="216"/>
        <v>0</v>
      </c>
      <c r="FA72" s="112">
        <f t="shared" ca="1" si="217"/>
        <v>0</v>
      </c>
      <c r="FB72" s="113">
        <f t="shared" ca="1" si="218"/>
        <v>0</v>
      </c>
      <c r="FC72" s="114">
        <f t="shared" ca="1" si="219"/>
        <v>0</v>
      </c>
      <c r="FD72" s="115">
        <f t="shared" ca="1" si="220"/>
        <v>0</v>
      </c>
      <c r="FE72" s="116">
        <f t="shared" ca="1" si="221"/>
        <v>0</v>
      </c>
      <c r="FF72" s="117">
        <f t="shared" ca="1" si="222"/>
        <v>0</v>
      </c>
      <c r="FG72" s="71">
        <f t="shared" si="223"/>
        <v>0</v>
      </c>
      <c r="FH72" s="530">
        <f t="shared" ca="1" si="224"/>
        <v>0</v>
      </c>
      <c r="FI72" s="72"/>
      <c r="FJ72" s="72"/>
      <c r="FK72" s="72"/>
      <c r="FM72" s="421" t="str">
        <f t="shared" si="122"/>
        <v>L06-604_AstoRaccIncd</v>
      </c>
      <c r="FN72" s="422" t="str">
        <f t="shared" ca="1" si="123"/>
        <v>Storage Room - &lt;50 ft2</v>
      </c>
      <c r="FO72" s="423">
        <f t="shared" ca="1" si="232"/>
        <v>0</v>
      </c>
      <c r="FP72" s="423">
        <f t="shared" ca="1" si="232"/>
        <v>0</v>
      </c>
      <c r="FQ72" s="423">
        <f t="shared" ca="1" si="232"/>
        <v>0</v>
      </c>
      <c r="FR72" s="423">
        <f t="shared" ca="1" si="232"/>
        <v>0</v>
      </c>
      <c r="FS72" s="423">
        <f t="shared" ca="1" si="232"/>
        <v>0</v>
      </c>
      <c r="FT72" s="423">
        <f t="shared" ca="1" si="232"/>
        <v>0</v>
      </c>
      <c r="FU72" s="423">
        <f t="shared" ca="1" si="232"/>
        <v>0</v>
      </c>
      <c r="FV72" s="423">
        <f t="shared" ca="1" si="232"/>
        <v>0</v>
      </c>
      <c r="FW72" s="423">
        <f t="shared" ca="1" si="232"/>
        <v>0</v>
      </c>
      <c r="FX72" s="423">
        <f t="shared" ca="1" si="232"/>
        <v>0</v>
      </c>
      <c r="FY72" s="423">
        <f t="shared" ca="1" si="232"/>
        <v>0</v>
      </c>
      <c r="FZ72" s="423">
        <f t="shared" ca="1" si="232"/>
        <v>0</v>
      </c>
      <c r="GA72" s="423">
        <f t="shared" ca="1" si="232"/>
        <v>0</v>
      </c>
      <c r="GB72" s="423">
        <f t="shared" ca="1" si="232"/>
        <v>0</v>
      </c>
      <c r="GC72" s="423">
        <f t="shared" ca="1" si="232"/>
        <v>0</v>
      </c>
      <c r="GD72" s="423">
        <f t="shared" ca="1" si="232"/>
        <v>0</v>
      </c>
      <c r="GE72" s="423">
        <f t="shared" ca="1" si="231"/>
        <v>0</v>
      </c>
      <c r="GF72" s="423">
        <f t="shared" ca="1" si="231"/>
        <v>0</v>
      </c>
      <c r="GG72" s="423">
        <f t="shared" ca="1" si="231"/>
        <v>0</v>
      </c>
      <c r="GH72" s="423">
        <f t="shared" ca="1" si="231"/>
        <v>0</v>
      </c>
      <c r="GI72" s="423">
        <f t="shared" ca="1" si="231"/>
        <v>0</v>
      </c>
      <c r="GJ72" s="423">
        <f t="shared" ca="1" si="231"/>
        <v>0</v>
      </c>
      <c r="GK72" s="423">
        <f t="shared" ca="1" si="231"/>
        <v>0</v>
      </c>
      <c r="GL72" s="423">
        <f t="shared" ca="1" si="231"/>
        <v>0</v>
      </c>
      <c r="GM72" s="423">
        <f t="shared" ca="1" si="231"/>
        <v>0</v>
      </c>
      <c r="GN72" s="423">
        <f t="shared" ca="1" si="231"/>
        <v>0</v>
      </c>
      <c r="GO72" s="423">
        <f t="shared" ca="1" si="231"/>
        <v>0</v>
      </c>
      <c r="GP72" s="423">
        <f t="shared" ca="1" si="231"/>
        <v>0</v>
      </c>
      <c r="GQ72" s="423">
        <f t="shared" ca="1" si="231"/>
        <v>0</v>
      </c>
      <c r="GR72" s="423">
        <f t="shared" ca="1" si="231"/>
        <v>0</v>
      </c>
      <c r="GS72" s="423">
        <f t="shared" ca="1" si="231"/>
        <v>0</v>
      </c>
      <c r="GT72" s="423">
        <f t="shared" ca="1" si="229"/>
        <v>0</v>
      </c>
      <c r="GU72" s="423">
        <f t="shared" ca="1" si="229"/>
        <v>0</v>
      </c>
      <c r="GV72" s="423">
        <f t="shared" ca="1" si="229"/>
        <v>0</v>
      </c>
      <c r="GW72" s="423">
        <f t="shared" ca="1" si="229"/>
        <v>0</v>
      </c>
      <c r="GX72" s="423">
        <f t="shared" ca="1" si="229"/>
        <v>0</v>
      </c>
      <c r="GY72" s="423">
        <f t="shared" ca="1" si="229"/>
        <v>0</v>
      </c>
      <c r="GZ72" s="423">
        <f t="shared" ca="1" si="229"/>
        <v>0</v>
      </c>
      <c r="HA72" s="423">
        <f t="shared" ca="1" si="229"/>
        <v>0</v>
      </c>
      <c r="HB72" s="423">
        <f t="shared" ca="1" si="229"/>
        <v>0</v>
      </c>
      <c r="HC72" s="423">
        <f t="shared" ca="1" si="229"/>
        <v>0</v>
      </c>
      <c r="HD72" s="423">
        <f t="shared" ca="1" si="229"/>
        <v>0</v>
      </c>
      <c r="HE72" s="423">
        <f t="shared" ca="1" si="229"/>
        <v>0</v>
      </c>
      <c r="HF72" s="423">
        <f t="shared" ca="1" si="229"/>
        <v>0</v>
      </c>
      <c r="HG72" s="423">
        <f t="shared" ca="1" si="229"/>
        <v>0</v>
      </c>
      <c r="HH72" s="423">
        <f t="shared" ca="1" si="229"/>
        <v>0</v>
      </c>
      <c r="HI72" s="423">
        <f t="shared" ca="1" si="229"/>
        <v>0</v>
      </c>
      <c r="HJ72" s="423">
        <f t="shared" ca="1" si="230"/>
        <v>0</v>
      </c>
      <c r="HK72" s="423">
        <f t="shared" ca="1" si="230"/>
        <v>0</v>
      </c>
      <c r="HL72" s="423">
        <f t="shared" ca="1" si="230"/>
        <v>0</v>
      </c>
      <c r="HM72" s="423">
        <f t="shared" ca="1" si="230"/>
        <v>0</v>
      </c>
      <c r="HN72" s="423">
        <f t="shared" ca="1" si="230"/>
        <v>0</v>
      </c>
      <c r="HO72" s="423">
        <f t="shared" ca="1" si="230"/>
        <v>0</v>
      </c>
      <c r="HP72" s="423">
        <f t="shared" ca="1" si="230"/>
        <v>0</v>
      </c>
      <c r="HQ72" s="423">
        <f t="shared" ca="1" si="230"/>
        <v>0</v>
      </c>
      <c r="HR72" s="423">
        <f t="shared" ca="1" si="230"/>
        <v>0</v>
      </c>
      <c r="HS72" s="423">
        <f t="shared" ca="1" si="230"/>
        <v>0</v>
      </c>
      <c r="HT72" s="423">
        <f t="shared" ca="1" si="230"/>
        <v>0</v>
      </c>
    </row>
    <row r="73" spans="1:230" ht="11.25" customHeight="1" x14ac:dyDescent="0.2">
      <c r="A73" s="62">
        <f t="shared" si="128"/>
        <v>62</v>
      </c>
      <c r="B73" s="60" t="str">
        <f>Spaces_Sum!C118</f>
        <v>L06-605_MfamResiPthp</v>
      </c>
      <c r="C73" s="62" t="str">
        <f>Spaces_Sum!D118</f>
        <v>L06</v>
      </c>
      <c r="D73" s="62" t="str">
        <f ca="1">Spaces_Sum!I118</f>
        <v>DirectlyConditioned</v>
      </c>
      <c r="F73" s="110">
        <f ca="1">Spaces_Sum!M118</f>
        <v>3678.0304999999998</v>
      </c>
      <c r="G73" s="110" t="str">
        <f ca="1">Spaces_Sum!J118</f>
        <v>Dwelling Unit</v>
      </c>
      <c r="H73" s="639"/>
      <c r="I73" s="640"/>
      <c r="J73" s="618"/>
      <c r="K73" s="635"/>
      <c r="L73" s="642"/>
      <c r="M73" s="643"/>
      <c r="N73" s="644"/>
      <c r="O73" s="641"/>
      <c r="P73" s="642"/>
      <c r="Q73" s="643"/>
      <c r="R73" s="644"/>
      <c r="S73" s="641"/>
      <c r="T73" s="642"/>
      <c r="U73" s="643"/>
      <c r="V73" s="636"/>
      <c r="W73" s="635"/>
      <c r="X73" s="642"/>
      <c r="Y73" s="643"/>
      <c r="Z73" s="636"/>
      <c r="AA73" s="635"/>
      <c r="AB73" s="633"/>
      <c r="AC73" s="634"/>
      <c r="AD73" s="636"/>
      <c r="AE73" s="635"/>
      <c r="AF73" s="633"/>
      <c r="AG73" s="634"/>
      <c r="AH73" s="636"/>
      <c r="AI73" s="635"/>
      <c r="AJ73" s="633"/>
      <c r="AK73" s="634"/>
      <c r="AL73" s="636"/>
      <c r="AM73" s="635"/>
      <c r="AN73" s="633"/>
      <c r="AO73" s="634"/>
      <c r="AP73" s="636"/>
      <c r="AQ73" s="635"/>
      <c r="AR73" s="633"/>
      <c r="AS73" s="634"/>
      <c r="AT73" s="636"/>
      <c r="AU73" s="635"/>
      <c r="AV73" s="633"/>
      <c r="AW73" s="634"/>
      <c r="AX73" s="636"/>
      <c r="AY73" s="635"/>
      <c r="AZ73" s="633"/>
      <c r="BA73" s="634"/>
      <c r="BB73" s="636"/>
      <c r="BC73" s="635"/>
      <c r="BD73" s="633"/>
      <c r="BE73" s="634"/>
      <c r="BF73" s="636"/>
      <c r="BG73" s="635"/>
      <c r="BH73" s="633"/>
      <c r="BI73" s="634"/>
      <c r="BJ73" s="636"/>
      <c r="BK73" s="635"/>
      <c r="BL73" s="633"/>
      <c r="BM73" s="634"/>
      <c r="BN73" s="636"/>
      <c r="BO73" s="635"/>
      <c r="BP73" s="633"/>
      <c r="BQ73" s="634"/>
      <c r="BR73" s="636"/>
      <c r="BS73" s="635"/>
      <c r="BT73" s="633"/>
      <c r="BU73" s="634"/>
      <c r="BV73" s="636"/>
      <c r="BW73" s="635"/>
      <c r="BX73" s="633"/>
      <c r="BY73" s="634"/>
      <c r="BZ73" s="636"/>
      <c r="CA73" s="635"/>
      <c r="CB73" s="645"/>
      <c r="CC73" s="645"/>
      <c r="CD73" s="82">
        <f t="shared" si="142"/>
        <v>0</v>
      </c>
      <c r="CE73" s="82">
        <f t="shared" si="143"/>
        <v>0</v>
      </c>
      <c r="CF73" s="82">
        <f t="shared" si="144"/>
        <v>0</v>
      </c>
      <c r="CG73" s="82">
        <f t="shared" si="145"/>
        <v>0</v>
      </c>
      <c r="CH73" s="82">
        <f t="shared" si="146"/>
        <v>0</v>
      </c>
      <c r="CI73" s="82">
        <f t="shared" si="147"/>
        <v>0</v>
      </c>
      <c r="CJ73" s="82">
        <f t="shared" si="148"/>
        <v>0</v>
      </c>
      <c r="CK73" s="82">
        <f t="shared" si="149"/>
        <v>0</v>
      </c>
      <c r="CL73" s="82">
        <f t="shared" si="150"/>
        <v>0</v>
      </c>
      <c r="CM73" s="82">
        <f t="shared" si="151"/>
        <v>0</v>
      </c>
      <c r="CN73" s="82">
        <f t="shared" si="152"/>
        <v>0</v>
      </c>
      <c r="CO73" s="82">
        <f t="shared" si="153"/>
        <v>0</v>
      </c>
      <c r="CP73" s="82">
        <f t="shared" si="154"/>
        <v>0</v>
      </c>
      <c r="CQ73" s="82">
        <f t="shared" si="155"/>
        <v>0</v>
      </c>
      <c r="CR73" s="82">
        <f t="shared" si="156"/>
        <v>0</v>
      </c>
      <c r="CS73" s="82">
        <f t="shared" si="157"/>
        <v>0</v>
      </c>
      <c r="CT73" s="82">
        <f t="shared" si="158"/>
        <v>0</v>
      </c>
      <c r="CU73" s="82">
        <f t="shared" si="159"/>
        <v>0</v>
      </c>
      <c r="CV73" s="82">
        <f t="shared" si="160"/>
        <v>0</v>
      </c>
      <c r="CW73" s="82">
        <f t="shared" si="161"/>
        <v>0</v>
      </c>
      <c r="CX73" s="82">
        <f t="shared" si="162"/>
        <v>0</v>
      </c>
      <c r="CY73" s="82">
        <f t="shared" si="163"/>
        <v>0</v>
      </c>
      <c r="CZ73" s="82">
        <f t="shared" si="164"/>
        <v>0</v>
      </c>
      <c r="DA73" s="82">
        <f t="shared" si="165"/>
        <v>0</v>
      </c>
      <c r="DB73" s="82">
        <f t="shared" si="166"/>
        <v>0</v>
      </c>
      <c r="DC73" s="82">
        <f t="shared" si="167"/>
        <v>0</v>
      </c>
      <c r="DD73" s="82">
        <f t="shared" si="168"/>
        <v>0</v>
      </c>
      <c r="DE73" s="82">
        <f t="shared" si="169"/>
        <v>0</v>
      </c>
      <c r="DF73" s="82">
        <f t="shared" si="170"/>
        <v>0</v>
      </c>
      <c r="DG73" s="82">
        <f t="shared" si="171"/>
        <v>0</v>
      </c>
      <c r="DH73" s="82">
        <f t="shared" si="172"/>
        <v>0</v>
      </c>
      <c r="DI73" s="82">
        <f t="shared" si="173"/>
        <v>0</v>
      </c>
      <c r="DJ73" s="82">
        <f t="shared" si="174"/>
        <v>0</v>
      </c>
      <c r="DK73" s="82">
        <f t="shared" si="175"/>
        <v>0</v>
      </c>
      <c r="DL73" s="82">
        <f t="shared" si="176"/>
        <v>0</v>
      </c>
      <c r="DM73" s="82">
        <f t="shared" si="177"/>
        <v>0</v>
      </c>
      <c r="DN73" s="82">
        <f t="shared" si="178"/>
        <v>0</v>
      </c>
      <c r="DO73" s="82">
        <f t="shared" si="179"/>
        <v>0</v>
      </c>
      <c r="DP73" s="82">
        <f t="shared" si="180"/>
        <v>0</v>
      </c>
      <c r="DQ73" s="82">
        <f t="shared" si="181"/>
        <v>0</v>
      </c>
      <c r="DR73" s="82">
        <f t="shared" si="182"/>
        <v>0</v>
      </c>
      <c r="DS73" s="82">
        <f t="shared" si="183"/>
        <v>0</v>
      </c>
      <c r="DT73" s="82">
        <f t="shared" si="184"/>
        <v>0</v>
      </c>
      <c r="DU73" s="82">
        <f t="shared" si="185"/>
        <v>0</v>
      </c>
      <c r="DV73" s="82">
        <f t="shared" si="186"/>
        <v>0</v>
      </c>
      <c r="DW73" s="82">
        <f t="shared" si="187"/>
        <v>0</v>
      </c>
      <c r="DX73" s="82">
        <f t="shared" si="188"/>
        <v>0</v>
      </c>
      <c r="DY73" s="82">
        <f t="shared" si="189"/>
        <v>0</v>
      </c>
      <c r="DZ73" s="82">
        <f t="shared" si="190"/>
        <v>0</v>
      </c>
      <c r="EA73" s="82">
        <f t="shared" si="191"/>
        <v>0</v>
      </c>
      <c r="EB73" s="82">
        <f t="shared" si="192"/>
        <v>0</v>
      </c>
      <c r="EC73" s="82">
        <f t="shared" si="193"/>
        <v>0</v>
      </c>
      <c r="ED73" s="82">
        <f t="shared" si="194"/>
        <v>0</v>
      </c>
      <c r="EE73" s="82">
        <f t="shared" si="195"/>
        <v>0</v>
      </c>
      <c r="EF73" s="82">
        <f t="shared" si="196"/>
        <v>0</v>
      </c>
      <c r="EG73" s="82">
        <f t="shared" si="197"/>
        <v>0</v>
      </c>
      <c r="EH73" s="82">
        <f t="shared" si="198"/>
        <v>0</v>
      </c>
      <c r="EI73" s="82">
        <f t="shared" si="199"/>
        <v>0</v>
      </c>
      <c r="EJ73" s="82">
        <f t="shared" si="200"/>
        <v>0</v>
      </c>
      <c r="EK73" s="82">
        <f t="shared" si="201"/>
        <v>0</v>
      </c>
      <c r="EL73" s="82">
        <f t="shared" si="202"/>
        <v>0</v>
      </c>
      <c r="EM73" s="82">
        <f t="shared" si="203"/>
        <v>0</v>
      </c>
      <c r="EN73" s="82">
        <f t="shared" si="204"/>
        <v>0</v>
      </c>
      <c r="EO73" s="82">
        <f t="shared" si="205"/>
        <v>0</v>
      </c>
      <c r="EP73" s="82">
        <f t="shared" si="206"/>
        <v>0</v>
      </c>
      <c r="EQ73" s="82">
        <f t="shared" si="207"/>
        <v>0</v>
      </c>
      <c r="ER73" s="82">
        <f t="shared" si="208"/>
        <v>0</v>
      </c>
      <c r="ES73" s="82">
        <f t="shared" si="209"/>
        <v>0</v>
      </c>
      <c r="ET73" s="82">
        <f t="shared" si="210"/>
        <v>0</v>
      </c>
      <c r="EU73" s="82">
        <f t="shared" si="211"/>
        <v>0</v>
      </c>
      <c r="EV73" s="82">
        <f t="shared" si="212"/>
        <v>0</v>
      </c>
      <c r="EW73" s="82">
        <f t="shared" si="213"/>
        <v>0</v>
      </c>
      <c r="EX73" s="82">
        <f t="shared" si="214"/>
        <v>0</v>
      </c>
      <c r="EY73" s="111">
        <f t="shared" si="215"/>
        <v>0</v>
      </c>
      <c r="EZ73" s="143">
        <f t="shared" ca="1" si="216"/>
        <v>0</v>
      </c>
      <c r="FA73" s="112">
        <f t="shared" ca="1" si="217"/>
        <v>0</v>
      </c>
      <c r="FB73" s="113">
        <f t="shared" ca="1" si="218"/>
        <v>0</v>
      </c>
      <c r="FC73" s="114">
        <f t="shared" ca="1" si="219"/>
        <v>0</v>
      </c>
      <c r="FD73" s="115">
        <f t="shared" ca="1" si="220"/>
        <v>0</v>
      </c>
      <c r="FE73" s="116">
        <f t="shared" ca="1" si="221"/>
        <v>0</v>
      </c>
      <c r="FF73" s="117">
        <f t="shared" ca="1" si="222"/>
        <v>0</v>
      </c>
      <c r="FG73" s="71">
        <f t="shared" si="223"/>
        <v>0</v>
      </c>
      <c r="FH73" s="530">
        <f t="shared" ca="1" si="224"/>
        <v>0</v>
      </c>
      <c r="FI73" s="72"/>
      <c r="FJ73" s="72"/>
      <c r="FK73" s="72"/>
      <c r="FM73" s="421" t="str">
        <f t="shared" si="122"/>
        <v>L06-605_MfamResiPthp</v>
      </c>
      <c r="FN73" s="422" t="str">
        <f t="shared" ca="1" si="123"/>
        <v>Dwelling Unit</v>
      </c>
      <c r="FO73" s="423">
        <f t="shared" ca="1" si="232"/>
        <v>0</v>
      </c>
      <c r="FP73" s="423">
        <f t="shared" ca="1" si="232"/>
        <v>0</v>
      </c>
      <c r="FQ73" s="423">
        <f t="shared" ca="1" si="232"/>
        <v>0</v>
      </c>
      <c r="FR73" s="423">
        <f t="shared" ca="1" si="232"/>
        <v>0</v>
      </c>
      <c r="FS73" s="423">
        <f t="shared" ca="1" si="232"/>
        <v>0</v>
      </c>
      <c r="FT73" s="423">
        <f t="shared" ca="1" si="232"/>
        <v>0</v>
      </c>
      <c r="FU73" s="423">
        <f t="shared" ca="1" si="232"/>
        <v>0</v>
      </c>
      <c r="FV73" s="423">
        <f t="shared" ca="1" si="232"/>
        <v>0</v>
      </c>
      <c r="FW73" s="423">
        <f t="shared" ca="1" si="232"/>
        <v>0</v>
      </c>
      <c r="FX73" s="423">
        <f t="shared" ca="1" si="232"/>
        <v>0</v>
      </c>
      <c r="FY73" s="423">
        <f t="shared" ca="1" si="232"/>
        <v>0</v>
      </c>
      <c r="FZ73" s="423">
        <f t="shared" ca="1" si="232"/>
        <v>0</v>
      </c>
      <c r="GA73" s="423">
        <f t="shared" ca="1" si="232"/>
        <v>0</v>
      </c>
      <c r="GB73" s="423">
        <f t="shared" ca="1" si="232"/>
        <v>0</v>
      </c>
      <c r="GC73" s="423">
        <f t="shared" ca="1" si="232"/>
        <v>0</v>
      </c>
      <c r="GD73" s="423">
        <f t="shared" ca="1" si="232"/>
        <v>0</v>
      </c>
      <c r="GE73" s="423">
        <f t="shared" ca="1" si="231"/>
        <v>0</v>
      </c>
      <c r="GF73" s="423">
        <f t="shared" ca="1" si="231"/>
        <v>0</v>
      </c>
      <c r="GG73" s="423">
        <f t="shared" ca="1" si="231"/>
        <v>0</v>
      </c>
      <c r="GH73" s="423">
        <f t="shared" ca="1" si="231"/>
        <v>0</v>
      </c>
      <c r="GI73" s="423">
        <f t="shared" ca="1" si="231"/>
        <v>0</v>
      </c>
      <c r="GJ73" s="423">
        <f t="shared" ca="1" si="231"/>
        <v>0</v>
      </c>
      <c r="GK73" s="423">
        <f t="shared" ca="1" si="231"/>
        <v>0</v>
      </c>
      <c r="GL73" s="423">
        <f t="shared" ca="1" si="231"/>
        <v>0</v>
      </c>
      <c r="GM73" s="423">
        <f t="shared" ca="1" si="231"/>
        <v>0</v>
      </c>
      <c r="GN73" s="423">
        <f t="shared" ca="1" si="231"/>
        <v>0</v>
      </c>
      <c r="GO73" s="423">
        <f t="shared" ca="1" si="231"/>
        <v>0</v>
      </c>
      <c r="GP73" s="423">
        <f t="shared" ca="1" si="231"/>
        <v>0</v>
      </c>
      <c r="GQ73" s="423">
        <f t="shared" ca="1" si="231"/>
        <v>0</v>
      </c>
      <c r="GR73" s="423">
        <f t="shared" ca="1" si="231"/>
        <v>0</v>
      </c>
      <c r="GS73" s="423">
        <f t="shared" ca="1" si="231"/>
        <v>0</v>
      </c>
      <c r="GT73" s="423">
        <f t="shared" ca="1" si="229"/>
        <v>0</v>
      </c>
      <c r="GU73" s="423">
        <f t="shared" ca="1" si="229"/>
        <v>0</v>
      </c>
      <c r="GV73" s="423">
        <f t="shared" ca="1" si="229"/>
        <v>0</v>
      </c>
      <c r="GW73" s="423">
        <f t="shared" ca="1" si="229"/>
        <v>0</v>
      </c>
      <c r="GX73" s="423">
        <f t="shared" ca="1" si="229"/>
        <v>0</v>
      </c>
      <c r="GY73" s="423">
        <f t="shared" ca="1" si="229"/>
        <v>0</v>
      </c>
      <c r="GZ73" s="423">
        <f t="shared" ca="1" si="229"/>
        <v>0</v>
      </c>
      <c r="HA73" s="423">
        <f t="shared" ca="1" si="229"/>
        <v>0</v>
      </c>
      <c r="HB73" s="423">
        <f t="shared" ca="1" si="229"/>
        <v>0</v>
      </c>
      <c r="HC73" s="423">
        <f t="shared" ca="1" si="229"/>
        <v>0</v>
      </c>
      <c r="HD73" s="423">
        <f t="shared" ca="1" si="229"/>
        <v>0</v>
      </c>
      <c r="HE73" s="423">
        <f t="shared" ca="1" si="229"/>
        <v>0</v>
      </c>
      <c r="HF73" s="423">
        <f t="shared" ca="1" si="229"/>
        <v>0</v>
      </c>
      <c r="HG73" s="423">
        <f t="shared" ca="1" si="229"/>
        <v>0</v>
      </c>
      <c r="HH73" s="423">
        <f t="shared" ca="1" si="229"/>
        <v>0</v>
      </c>
      <c r="HI73" s="423">
        <f t="shared" ca="1" si="229"/>
        <v>0</v>
      </c>
      <c r="HJ73" s="423">
        <f t="shared" ca="1" si="230"/>
        <v>0</v>
      </c>
      <c r="HK73" s="423">
        <f t="shared" ca="1" si="230"/>
        <v>0</v>
      </c>
      <c r="HL73" s="423">
        <f t="shared" ca="1" si="230"/>
        <v>0</v>
      </c>
      <c r="HM73" s="423">
        <f t="shared" ca="1" si="230"/>
        <v>0</v>
      </c>
      <c r="HN73" s="423">
        <f t="shared" ca="1" si="230"/>
        <v>0</v>
      </c>
      <c r="HO73" s="423">
        <f t="shared" ca="1" si="230"/>
        <v>0</v>
      </c>
      <c r="HP73" s="423">
        <f t="shared" ca="1" si="230"/>
        <v>0</v>
      </c>
      <c r="HQ73" s="423">
        <f t="shared" ca="1" si="230"/>
        <v>0</v>
      </c>
      <c r="HR73" s="423">
        <f t="shared" ca="1" si="230"/>
        <v>0</v>
      </c>
      <c r="HS73" s="423">
        <f t="shared" ca="1" si="230"/>
        <v>0</v>
      </c>
      <c r="HT73" s="423">
        <f t="shared" ca="1" si="230"/>
        <v>0</v>
      </c>
      <c r="HU73" s="423"/>
      <c r="HV73" s="423"/>
    </row>
    <row r="74" spans="1:230" ht="11.25" customHeight="1" x14ac:dyDescent="0.2">
      <c r="A74" s="62">
        <f t="shared" si="128"/>
        <v>63</v>
      </c>
      <c r="B74" s="60" t="str">
        <f>Spaces_Sum!C119</f>
        <v>L06-606_MfamResiPthp</v>
      </c>
      <c r="C74" s="62" t="str">
        <f>Spaces_Sum!D119</f>
        <v>L06</v>
      </c>
      <c r="D74" s="62" t="str">
        <f ca="1">Spaces_Sum!I119</f>
        <v>DirectlyConditioned</v>
      </c>
      <c r="F74" s="110">
        <f ca="1">Spaces_Sum!M119</f>
        <v>1160.8827000000001</v>
      </c>
      <c r="G74" s="110" t="str">
        <f ca="1">Spaces_Sum!J119</f>
        <v>Dwelling Unit</v>
      </c>
      <c r="H74" s="532"/>
      <c r="I74" s="185"/>
      <c r="J74" s="185"/>
      <c r="K74" s="186"/>
      <c r="L74" s="187"/>
      <c r="M74" s="188"/>
      <c r="N74" s="189"/>
      <c r="O74" s="186"/>
      <c r="P74" s="187"/>
      <c r="Q74" s="188"/>
      <c r="R74" s="189"/>
      <c r="S74" s="186"/>
      <c r="T74" s="187"/>
      <c r="U74" s="188"/>
      <c r="V74" s="189"/>
      <c r="W74" s="186"/>
      <c r="X74" s="187"/>
      <c r="Y74" s="188"/>
      <c r="Z74" s="189"/>
      <c r="AA74" s="186"/>
      <c r="AB74" s="187"/>
      <c r="AC74" s="188"/>
      <c r="AD74" s="189"/>
      <c r="AE74" s="186"/>
      <c r="AF74" s="187"/>
      <c r="AG74" s="188"/>
      <c r="AH74" s="189"/>
      <c r="AI74" s="186"/>
      <c r="AJ74" s="187"/>
      <c r="AK74" s="188"/>
      <c r="AL74" s="189"/>
      <c r="AM74" s="186"/>
      <c r="AN74" s="187"/>
      <c r="AO74" s="188"/>
      <c r="AP74" s="189"/>
      <c r="AQ74" s="186"/>
      <c r="AR74" s="187"/>
      <c r="AS74" s="188"/>
      <c r="AT74" s="189"/>
      <c r="AU74" s="186"/>
      <c r="AV74" s="187"/>
      <c r="AW74" s="188"/>
      <c r="AX74" s="189"/>
      <c r="AY74" s="186"/>
      <c r="AZ74" s="187"/>
      <c r="BA74" s="188"/>
      <c r="BB74" s="189"/>
      <c r="BC74" s="186"/>
      <c r="BD74" s="187"/>
      <c r="BE74" s="188"/>
      <c r="BF74" s="189"/>
      <c r="BG74" s="186"/>
      <c r="BH74" s="187"/>
      <c r="BI74" s="188"/>
      <c r="BJ74" s="189"/>
      <c r="BK74" s="186"/>
      <c r="BL74" s="187"/>
      <c r="BM74" s="188"/>
      <c r="BN74" s="189"/>
      <c r="BO74" s="186"/>
      <c r="BP74" s="187"/>
      <c r="BQ74" s="188"/>
      <c r="BR74" s="189"/>
      <c r="BS74" s="186"/>
      <c r="BT74" s="187"/>
      <c r="BU74" s="188"/>
      <c r="BV74" s="189"/>
      <c r="BW74" s="186"/>
      <c r="BX74" s="187"/>
      <c r="BY74" s="188"/>
      <c r="BZ74" s="189"/>
      <c r="CA74" s="186"/>
      <c r="CB74" s="190"/>
      <c r="CC74" s="190"/>
      <c r="CD74" s="82">
        <f t="shared" si="142"/>
        <v>0</v>
      </c>
      <c r="CE74" s="82">
        <f t="shared" si="143"/>
        <v>0</v>
      </c>
      <c r="CF74" s="82">
        <f t="shared" si="144"/>
        <v>0</v>
      </c>
      <c r="CG74" s="82">
        <f t="shared" si="145"/>
        <v>0</v>
      </c>
      <c r="CH74" s="82">
        <f t="shared" si="146"/>
        <v>0</v>
      </c>
      <c r="CI74" s="82">
        <f t="shared" si="147"/>
        <v>0</v>
      </c>
      <c r="CJ74" s="82">
        <f t="shared" si="148"/>
        <v>0</v>
      </c>
      <c r="CK74" s="82">
        <f t="shared" si="149"/>
        <v>0</v>
      </c>
      <c r="CL74" s="82">
        <f t="shared" si="150"/>
        <v>0</v>
      </c>
      <c r="CM74" s="82">
        <f t="shared" si="151"/>
        <v>0</v>
      </c>
      <c r="CN74" s="82">
        <f t="shared" si="152"/>
        <v>0</v>
      </c>
      <c r="CO74" s="82">
        <f t="shared" si="153"/>
        <v>0</v>
      </c>
      <c r="CP74" s="82">
        <f t="shared" si="154"/>
        <v>0</v>
      </c>
      <c r="CQ74" s="82">
        <f t="shared" si="155"/>
        <v>0</v>
      </c>
      <c r="CR74" s="82">
        <f t="shared" si="156"/>
        <v>0</v>
      </c>
      <c r="CS74" s="82">
        <f t="shared" si="157"/>
        <v>0</v>
      </c>
      <c r="CT74" s="82">
        <f t="shared" si="158"/>
        <v>0</v>
      </c>
      <c r="CU74" s="82">
        <f t="shared" si="159"/>
        <v>0</v>
      </c>
      <c r="CV74" s="82">
        <f t="shared" si="160"/>
        <v>0</v>
      </c>
      <c r="CW74" s="82">
        <f t="shared" si="161"/>
        <v>0</v>
      </c>
      <c r="CX74" s="82">
        <f t="shared" si="162"/>
        <v>0</v>
      </c>
      <c r="CY74" s="82">
        <f t="shared" si="163"/>
        <v>0</v>
      </c>
      <c r="CZ74" s="82">
        <f t="shared" si="164"/>
        <v>0</v>
      </c>
      <c r="DA74" s="82">
        <f t="shared" si="165"/>
        <v>0</v>
      </c>
      <c r="DB74" s="82">
        <f t="shared" si="166"/>
        <v>0</v>
      </c>
      <c r="DC74" s="82">
        <f t="shared" si="167"/>
        <v>0</v>
      </c>
      <c r="DD74" s="82">
        <f t="shared" si="168"/>
        <v>0</v>
      </c>
      <c r="DE74" s="82">
        <f t="shared" si="169"/>
        <v>0</v>
      </c>
      <c r="DF74" s="82">
        <f t="shared" si="170"/>
        <v>0</v>
      </c>
      <c r="DG74" s="82">
        <f t="shared" si="171"/>
        <v>0</v>
      </c>
      <c r="DH74" s="82">
        <f t="shared" si="172"/>
        <v>0</v>
      </c>
      <c r="DI74" s="82">
        <f t="shared" si="173"/>
        <v>0</v>
      </c>
      <c r="DJ74" s="82">
        <f t="shared" si="174"/>
        <v>0</v>
      </c>
      <c r="DK74" s="82">
        <f t="shared" si="175"/>
        <v>0</v>
      </c>
      <c r="DL74" s="82">
        <f t="shared" si="176"/>
        <v>0</v>
      </c>
      <c r="DM74" s="82">
        <f t="shared" si="177"/>
        <v>0</v>
      </c>
      <c r="DN74" s="82">
        <f t="shared" si="178"/>
        <v>0</v>
      </c>
      <c r="DO74" s="82">
        <f t="shared" si="179"/>
        <v>0</v>
      </c>
      <c r="DP74" s="82">
        <f t="shared" si="180"/>
        <v>0</v>
      </c>
      <c r="DQ74" s="82">
        <f t="shared" si="181"/>
        <v>0</v>
      </c>
      <c r="DR74" s="82">
        <f t="shared" si="182"/>
        <v>0</v>
      </c>
      <c r="DS74" s="82">
        <f t="shared" si="183"/>
        <v>0</v>
      </c>
      <c r="DT74" s="82">
        <f t="shared" si="184"/>
        <v>0</v>
      </c>
      <c r="DU74" s="82">
        <f t="shared" si="185"/>
        <v>0</v>
      </c>
      <c r="DV74" s="82">
        <f t="shared" si="186"/>
        <v>0</v>
      </c>
      <c r="DW74" s="82">
        <f t="shared" si="187"/>
        <v>0</v>
      </c>
      <c r="DX74" s="82">
        <f t="shared" si="188"/>
        <v>0</v>
      </c>
      <c r="DY74" s="82">
        <f t="shared" si="189"/>
        <v>0</v>
      </c>
      <c r="DZ74" s="82">
        <f t="shared" si="190"/>
        <v>0</v>
      </c>
      <c r="EA74" s="82">
        <f t="shared" si="191"/>
        <v>0</v>
      </c>
      <c r="EB74" s="82">
        <f t="shared" si="192"/>
        <v>0</v>
      </c>
      <c r="EC74" s="82">
        <f t="shared" si="193"/>
        <v>0</v>
      </c>
      <c r="ED74" s="82">
        <f t="shared" si="194"/>
        <v>0</v>
      </c>
      <c r="EE74" s="82">
        <f t="shared" si="195"/>
        <v>0</v>
      </c>
      <c r="EF74" s="82">
        <f t="shared" si="196"/>
        <v>0</v>
      </c>
      <c r="EG74" s="82">
        <f t="shared" si="197"/>
        <v>0</v>
      </c>
      <c r="EH74" s="82">
        <f t="shared" si="198"/>
        <v>0</v>
      </c>
      <c r="EI74" s="82">
        <f t="shared" si="199"/>
        <v>0</v>
      </c>
      <c r="EJ74" s="82">
        <f t="shared" si="200"/>
        <v>0</v>
      </c>
      <c r="EK74" s="82">
        <f t="shared" si="201"/>
        <v>0</v>
      </c>
      <c r="EL74" s="82">
        <f t="shared" si="202"/>
        <v>0</v>
      </c>
      <c r="EM74" s="82">
        <f t="shared" si="203"/>
        <v>0</v>
      </c>
      <c r="EN74" s="82">
        <f t="shared" si="204"/>
        <v>0</v>
      </c>
      <c r="EO74" s="82">
        <f t="shared" si="205"/>
        <v>0</v>
      </c>
      <c r="EP74" s="82">
        <f t="shared" si="206"/>
        <v>0</v>
      </c>
      <c r="EQ74" s="82">
        <f t="shared" si="207"/>
        <v>0</v>
      </c>
      <c r="ER74" s="82">
        <f t="shared" si="208"/>
        <v>0</v>
      </c>
      <c r="ES74" s="82">
        <f t="shared" si="209"/>
        <v>0</v>
      </c>
      <c r="ET74" s="82">
        <f t="shared" si="210"/>
        <v>0</v>
      </c>
      <c r="EU74" s="82">
        <f t="shared" si="211"/>
        <v>0</v>
      </c>
      <c r="EV74" s="82">
        <f t="shared" si="212"/>
        <v>0</v>
      </c>
      <c r="EW74" s="82">
        <f t="shared" si="213"/>
        <v>0</v>
      </c>
      <c r="EX74" s="82">
        <f t="shared" si="214"/>
        <v>0</v>
      </c>
      <c r="EY74" s="111">
        <f t="shared" si="215"/>
        <v>0</v>
      </c>
      <c r="EZ74" s="143">
        <f t="shared" ca="1" si="216"/>
        <v>0</v>
      </c>
      <c r="FA74" s="112">
        <f t="shared" ca="1" si="217"/>
        <v>0</v>
      </c>
      <c r="FB74" s="113">
        <f t="shared" ca="1" si="218"/>
        <v>0</v>
      </c>
      <c r="FC74" s="114">
        <f t="shared" ca="1" si="219"/>
        <v>0</v>
      </c>
      <c r="FD74" s="115">
        <f t="shared" ca="1" si="220"/>
        <v>0</v>
      </c>
      <c r="FE74" s="116">
        <f t="shared" ca="1" si="221"/>
        <v>0</v>
      </c>
      <c r="FF74" s="117">
        <f t="shared" ca="1" si="222"/>
        <v>0</v>
      </c>
      <c r="FG74" s="71">
        <f t="shared" si="223"/>
        <v>0</v>
      </c>
      <c r="FH74" s="530">
        <f t="shared" ca="1" si="224"/>
        <v>0</v>
      </c>
      <c r="FI74" s="72"/>
      <c r="FJ74" s="72"/>
      <c r="FK74" s="72"/>
      <c r="FM74" s="421" t="str">
        <f t="shared" si="122"/>
        <v>L06-606_MfamResiPthp</v>
      </c>
      <c r="FN74" s="422" t="str">
        <f t="shared" ca="1" si="123"/>
        <v>Dwelling Unit</v>
      </c>
      <c r="FO74" s="423">
        <f t="shared" ca="1" si="232"/>
        <v>0</v>
      </c>
      <c r="FP74" s="423">
        <f t="shared" ca="1" si="232"/>
        <v>0</v>
      </c>
      <c r="FQ74" s="423">
        <f t="shared" ca="1" si="232"/>
        <v>0</v>
      </c>
      <c r="FR74" s="423">
        <f t="shared" ca="1" si="232"/>
        <v>0</v>
      </c>
      <c r="FS74" s="423">
        <f t="shared" ca="1" si="232"/>
        <v>0</v>
      </c>
      <c r="FT74" s="423">
        <f t="shared" ca="1" si="232"/>
        <v>0</v>
      </c>
      <c r="FU74" s="423">
        <f t="shared" ca="1" si="232"/>
        <v>0</v>
      </c>
      <c r="FV74" s="423">
        <f t="shared" ca="1" si="232"/>
        <v>0</v>
      </c>
      <c r="FW74" s="423">
        <f t="shared" ca="1" si="232"/>
        <v>0</v>
      </c>
      <c r="FX74" s="423">
        <f t="shared" ca="1" si="232"/>
        <v>0</v>
      </c>
      <c r="FY74" s="423">
        <f t="shared" ca="1" si="232"/>
        <v>0</v>
      </c>
      <c r="FZ74" s="423">
        <f t="shared" ca="1" si="232"/>
        <v>0</v>
      </c>
      <c r="GA74" s="423">
        <f t="shared" ca="1" si="232"/>
        <v>0</v>
      </c>
      <c r="GB74" s="423">
        <f t="shared" ca="1" si="232"/>
        <v>0</v>
      </c>
      <c r="GC74" s="423">
        <f t="shared" ca="1" si="232"/>
        <v>0</v>
      </c>
      <c r="GD74" s="423">
        <f t="shared" ca="1" si="232"/>
        <v>0</v>
      </c>
      <c r="GE74" s="423">
        <f t="shared" ca="1" si="231"/>
        <v>0</v>
      </c>
      <c r="GF74" s="423">
        <f t="shared" ca="1" si="231"/>
        <v>0</v>
      </c>
      <c r="GG74" s="423">
        <f t="shared" ca="1" si="231"/>
        <v>0</v>
      </c>
      <c r="GH74" s="423">
        <f t="shared" ca="1" si="231"/>
        <v>0</v>
      </c>
      <c r="GI74" s="423">
        <f t="shared" ca="1" si="231"/>
        <v>0</v>
      </c>
      <c r="GJ74" s="423">
        <f t="shared" ca="1" si="231"/>
        <v>0</v>
      </c>
      <c r="GK74" s="423">
        <f t="shared" ca="1" si="231"/>
        <v>0</v>
      </c>
      <c r="GL74" s="423">
        <f t="shared" ca="1" si="231"/>
        <v>0</v>
      </c>
      <c r="GM74" s="423">
        <f t="shared" ca="1" si="231"/>
        <v>0</v>
      </c>
      <c r="GN74" s="423">
        <f t="shared" ca="1" si="231"/>
        <v>0</v>
      </c>
      <c r="GO74" s="423">
        <f t="shared" ca="1" si="231"/>
        <v>0</v>
      </c>
      <c r="GP74" s="423">
        <f t="shared" ca="1" si="231"/>
        <v>0</v>
      </c>
      <c r="GQ74" s="423">
        <f t="shared" ca="1" si="231"/>
        <v>0</v>
      </c>
      <c r="GR74" s="423">
        <f t="shared" ca="1" si="231"/>
        <v>0</v>
      </c>
      <c r="GS74" s="423">
        <f t="shared" ca="1" si="231"/>
        <v>0</v>
      </c>
      <c r="GT74" s="423">
        <f t="shared" ca="1" si="231"/>
        <v>0</v>
      </c>
      <c r="GU74" s="423">
        <f t="shared" ref="GU74:HJ89" ca="1" si="233">IFERROR(ROUNDDOWN(SUMIF($H74:$CC74,GU$11,$CD74:$EX74)/GU$10,0),0)</f>
        <v>0</v>
      </c>
      <c r="GV74" s="423">
        <f t="shared" ca="1" si="233"/>
        <v>0</v>
      </c>
      <c r="GW74" s="423">
        <f t="shared" ca="1" si="233"/>
        <v>0</v>
      </c>
      <c r="GX74" s="423">
        <f t="shared" ca="1" si="233"/>
        <v>0</v>
      </c>
      <c r="GY74" s="423">
        <f t="shared" ca="1" si="233"/>
        <v>0</v>
      </c>
      <c r="GZ74" s="423">
        <f t="shared" ca="1" si="233"/>
        <v>0</v>
      </c>
      <c r="HA74" s="423">
        <f t="shared" ca="1" si="233"/>
        <v>0</v>
      </c>
      <c r="HB74" s="423">
        <f t="shared" ca="1" si="233"/>
        <v>0</v>
      </c>
      <c r="HC74" s="423">
        <f t="shared" ca="1" si="233"/>
        <v>0</v>
      </c>
      <c r="HD74" s="423">
        <f t="shared" ca="1" si="233"/>
        <v>0</v>
      </c>
      <c r="HE74" s="423">
        <f t="shared" ca="1" si="233"/>
        <v>0</v>
      </c>
      <c r="HF74" s="423">
        <f t="shared" ca="1" si="233"/>
        <v>0</v>
      </c>
      <c r="HG74" s="423">
        <f t="shared" ca="1" si="233"/>
        <v>0</v>
      </c>
      <c r="HH74" s="423">
        <f t="shared" ca="1" si="233"/>
        <v>0</v>
      </c>
      <c r="HI74" s="423">
        <f t="shared" ca="1" si="233"/>
        <v>0</v>
      </c>
      <c r="HJ74" s="423">
        <f t="shared" ca="1" si="233"/>
        <v>0</v>
      </c>
      <c r="HK74" s="423">
        <f t="shared" ref="HK74:HT89" ca="1" si="234">IFERROR(ROUNDDOWN(SUMIF($H74:$CC74,HK$11,$CD74:$EX74)/HK$10,0),0)</f>
        <v>0</v>
      </c>
      <c r="HL74" s="423">
        <f t="shared" ca="1" si="234"/>
        <v>0</v>
      </c>
      <c r="HM74" s="423">
        <f t="shared" ca="1" si="234"/>
        <v>0</v>
      </c>
      <c r="HN74" s="423">
        <f t="shared" ca="1" si="234"/>
        <v>0</v>
      </c>
      <c r="HO74" s="423">
        <f t="shared" ca="1" si="234"/>
        <v>0</v>
      </c>
      <c r="HP74" s="423">
        <f t="shared" ca="1" si="234"/>
        <v>0</v>
      </c>
      <c r="HQ74" s="423">
        <f t="shared" ca="1" si="234"/>
        <v>0</v>
      </c>
      <c r="HR74" s="423">
        <f t="shared" ca="1" si="234"/>
        <v>0</v>
      </c>
      <c r="HS74" s="423">
        <f t="shared" ca="1" si="234"/>
        <v>0</v>
      </c>
      <c r="HT74" s="423">
        <f t="shared" ca="1" si="234"/>
        <v>0</v>
      </c>
    </row>
    <row r="75" spans="1:230" ht="11.25" customHeight="1" x14ac:dyDescent="0.2">
      <c r="A75" s="62">
        <f t="shared" si="128"/>
        <v>64</v>
      </c>
      <c r="B75" s="60" t="str">
        <f>Spaces_Sum!C120</f>
        <v>L06-607_MfamResiPthp</v>
      </c>
      <c r="C75" s="62" t="str">
        <f>Spaces_Sum!D120</f>
        <v>L06</v>
      </c>
      <c r="D75" s="62" t="str">
        <f ca="1">Spaces_Sum!I120</f>
        <v>DirectlyConditioned</v>
      </c>
      <c r="F75" s="110">
        <f ca="1">Spaces_Sum!M120</f>
        <v>1858.692</v>
      </c>
      <c r="G75" s="110" t="str">
        <f ca="1">Spaces_Sum!J120</f>
        <v>Dwelling Unit</v>
      </c>
      <c r="H75" s="532"/>
      <c r="I75" s="185"/>
      <c r="J75" s="185"/>
      <c r="K75" s="186"/>
      <c r="L75" s="187"/>
      <c r="M75" s="188"/>
      <c r="N75" s="189"/>
      <c r="O75" s="186"/>
      <c r="P75" s="187"/>
      <c r="Q75" s="188"/>
      <c r="R75" s="189"/>
      <c r="S75" s="186"/>
      <c r="T75" s="187"/>
      <c r="U75" s="188"/>
      <c r="V75" s="189"/>
      <c r="W75" s="186"/>
      <c r="X75" s="187"/>
      <c r="Y75" s="188"/>
      <c r="Z75" s="189"/>
      <c r="AA75" s="186"/>
      <c r="AB75" s="187"/>
      <c r="AC75" s="188"/>
      <c r="AD75" s="189"/>
      <c r="AE75" s="186"/>
      <c r="AF75" s="187"/>
      <c r="AG75" s="188"/>
      <c r="AH75" s="189"/>
      <c r="AI75" s="186"/>
      <c r="AJ75" s="187"/>
      <c r="AK75" s="188"/>
      <c r="AL75" s="189"/>
      <c r="AM75" s="186"/>
      <c r="AN75" s="187"/>
      <c r="AO75" s="188"/>
      <c r="AP75" s="189"/>
      <c r="AQ75" s="186"/>
      <c r="AR75" s="187"/>
      <c r="AS75" s="188"/>
      <c r="AT75" s="189"/>
      <c r="AU75" s="186"/>
      <c r="AV75" s="187"/>
      <c r="AW75" s="188"/>
      <c r="AX75" s="189"/>
      <c r="AY75" s="186"/>
      <c r="AZ75" s="187"/>
      <c r="BA75" s="188"/>
      <c r="BB75" s="189"/>
      <c r="BC75" s="186"/>
      <c r="BD75" s="187"/>
      <c r="BE75" s="188"/>
      <c r="BF75" s="189"/>
      <c r="BG75" s="186"/>
      <c r="BH75" s="187"/>
      <c r="BI75" s="188"/>
      <c r="BJ75" s="189"/>
      <c r="BK75" s="186"/>
      <c r="BL75" s="187"/>
      <c r="BM75" s="188"/>
      <c r="BN75" s="189"/>
      <c r="BO75" s="186"/>
      <c r="BP75" s="187"/>
      <c r="BQ75" s="188"/>
      <c r="BR75" s="189"/>
      <c r="BS75" s="186"/>
      <c r="BT75" s="187"/>
      <c r="BU75" s="188"/>
      <c r="BV75" s="189"/>
      <c r="BW75" s="186"/>
      <c r="BX75" s="187"/>
      <c r="BY75" s="188"/>
      <c r="BZ75" s="189"/>
      <c r="CA75" s="186"/>
      <c r="CB75" s="190"/>
      <c r="CC75" s="190"/>
      <c r="CD75" s="82">
        <f t="shared" si="142"/>
        <v>0</v>
      </c>
      <c r="CE75" s="82">
        <f t="shared" si="143"/>
        <v>0</v>
      </c>
      <c r="CF75" s="82">
        <f t="shared" si="144"/>
        <v>0</v>
      </c>
      <c r="CG75" s="82">
        <f t="shared" si="145"/>
        <v>0</v>
      </c>
      <c r="CH75" s="82">
        <f t="shared" si="146"/>
        <v>0</v>
      </c>
      <c r="CI75" s="82">
        <f t="shared" si="147"/>
        <v>0</v>
      </c>
      <c r="CJ75" s="82">
        <f t="shared" si="148"/>
        <v>0</v>
      </c>
      <c r="CK75" s="82">
        <f t="shared" si="149"/>
        <v>0</v>
      </c>
      <c r="CL75" s="82">
        <f t="shared" si="150"/>
        <v>0</v>
      </c>
      <c r="CM75" s="82">
        <f t="shared" si="151"/>
        <v>0</v>
      </c>
      <c r="CN75" s="82">
        <f t="shared" si="152"/>
        <v>0</v>
      </c>
      <c r="CO75" s="82">
        <f t="shared" si="153"/>
        <v>0</v>
      </c>
      <c r="CP75" s="82">
        <f t="shared" si="154"/>
        <v>0</v>
      </c>
      <c r="CQ75" s="82">
        <f t="shared" si="155"/>
        <v>0</v>
      </c>
      <c r="CR75" s="82">
        <f t="shared" si="156"/>
        <v>0</v>
      </c>
      <c r="CS75" s="82">
        <f t="shared" si="157"/>
        <v>0</v>
      </c>
      <c r="CT75" s="82">
        <f t="shared" si="158"/>
        <v>0</v>
      </c>
      <c r="CU75" s="82">
        <f t="shared" si="159"/>
        <v>0</v>
      </c>
      <c r="CV75" s="82">
        <f t="shared" si="160"/>
        <v>0</v>
      </c>
      <c r="CW75" s="82">
        <f t="shared" si="161"/>
        <v>0</v>
      </c>
      <c r="CX75" s="82">
        <f t="shared" si="162"/>
        <v>0</v>
      </c>
      <c r="CY75" s="82">
        <f t="shared" si="163"/>
        <v>0</v>
      </c>
      <c r="CZ75" s="82">
        <f t="shared" si="164"/>
        <v>0</v>
      </c>
      <c r="DA75" s="82">
        <f t="shared" si="165"/>
        <v>0</v>
      </c>
      <c r="DB75" s="82">
        <f t="shared" si="166"/>
        <v>0</v>
      </c>
      <c r="DC75" s="82">
        <f t="shared" si="167"/>
        <v>0</v>
      </c>
      <c r="DD75" s="82">
        <f t="shared" si="168"/>
        <v>0</v>
      </c>
      <c r="DE75" s="82">
        <f t="shared" si="169"/>
        <v>0</v>
      </c>
      <c r="DF75" s="82">
        <f t="shared" si="170"/>
        <v>0</v>
      </c>
      <c r="DG75" s="82">
        <f t="shared" si="171"/>
        <v>0</v>
      </c>
      <c r="DH75" s="82">
        <f t="shared" si="172"/>
        <v>0</v>
      </c>
      <c r="DI75" s="82">
        <f t="shared" si="173"/>
        <v>0</v>
      </c>
      <c r="DJ75" s="82">
        <f t="shared" si="174"/>
        <v>0</v>
      </c>
      <c r="DK75" s="82">
        <f t="shared" si="175"/>
        <v>0</v>
      </c>
      <c r="DL75" s="82">
        <f t="shared" si="176"/>
        <v>0</v>
      </c>
      <c r="DM75" s="82">
        <f t="shared" si="177"/>
        <v>0</v>
      </c>
      <c r="DN75" s="82">
        <f t="shared" si="178"/>
        <v>0</v>
      </c>
      <c r="DO75" s="82">
        <f t="shared" si="179"/>
        <v>0</v>
      </c>
      <c r="DP75" s="82">
        <f t="shared" si="180"/>
        <v>0</v>
      </c>
      <c r="DQ75" s="82">
        <f t="shared" si="181"/>
        <v>0</v>
      </c>
      <c r="DR75" s="82">
        <f t="shared" si="182"/>
        <v>0</v>
      </c>
      <c r="DS75" s="82">
        <f t="shared" si="183"/>
        <v>0</v>
      </c>
      <c r="DT75" s="82">
        <f t="shared" si="184"/>
        <v>0</v>
      </c>
      <c r="DU75" s="82">
        <f t="shared" si="185"/>
        <v>0</v>
      </c>
      <c r="DV75" s="82">
        <f t="shared" si="186"/>
        <v>0</v>
      </c>
      <c r="DW75" s="82">
        <f t="shared" si="187"/>
        <v>0</v>
      </c>
      <c r="DX75" s="82">
        <f t="shared" si="188"/>
        <v>0</v>
      </c>
      <c r="DY75" s="82">
        <f t="shared" si="189"/>
        <v>0</v>
      </c>
      <c r="DZ75" s="82">
        <f t="shared" si="190"/>
        <v>0</v>
      </c>
      <c r="EA75" s="82">
        <f t="shared" si="191"/>
        <v>0</v>
      </c>
      <c r="EB75" s="82">
        <f t="shared" si="192"/>
        <v>0</v>
      </c>
      <c r="EC75" s="82">
        <f t="shared" si="193"/>
        <v>0</v>
      </c>
      <c r="ED75" s="82">
        <f t="shared" si="194"/>
        <v>0</v>
      </c>
      <c r="EE75" s="82">
        <f t="shared" si="195"/>
        <v>0</v>
      </c>
      <c r="EF75" s="82">
        <f t="shared" si="196"/>
        <v>0</v>
      </c>
      <c r="EG75" s="82">
        <f t="shared" si="197"/>
        <v>0</v>
      </c>
      <c r="EH75" s="82">
        <f t="shared" si="198"/>
        <v>0</v>
      </c>
      <c r="EI75" s="82">
        <f t="shared" si="199"/>
        <v>0</v>
      </c>
      <c r="EJ75" s="82">
        <f t="shared" si="200"/>
        <v>0</v>
      </c>
      <c r="EK75" s="82">
        <f t="shared" si="201"/>
        <v>0</v>
      </c>
      <c r="EL75" s="82">
        <f t="shared" si="202"/>
        <v>0</v>
      </c>
      <c r="EM75" s="82">
        <f t="shared" si="203"/>
        <v>0</v>
      </c>
      <c r="EN75" s="82">
        <f t="shared" si="204"/>
        <v>0</v>
      </c>
      <c r="EO75" s="82">
        <f t="shared" si="205"/>
        <v>0</v>
      </c>
      <c r="EP75" s="82">
        <f t="shared" si="206"/>
        <v>0</v>
      </c>
      <c r="EQ75" s="82">
        <f t="shared" si="207"/>
        <v>0</v>
      </c>
      <c r="ER75" s="82">
        <f t="shared" si="208"/>
        <v>0</v>
      </c>
      <c r="ES75" s="82">
        <f t="shared" si="209"/>
        <v>0</v>
      </c>
      <c r="ET75" s="82">
        <f t="shared" si="210"/>
        <v>0</v>
      </c>
      <c r="EU75" s="82">
        <f t="shared" si="211"/>
        <v>0</v>
      </c>
      <c r="EV75" s="82">
        <f t="shared" si="212"/>
        <v>0</v>
      </c>
      <c r="EW75" s="82">
        <f t="shared" si="213"/>
        <v>0</v>
      </c>
      <c r="EX75" s="82">
        <f t="shared" si="214"/>
        <v>0</v>
      </c>
      <c r="EY75" s="111">
        <f t="shared" si="215"/>
        <v>0</v>
      </c>
      <c r="EZ75" s="143">
        <f t="shared" ca="1" si="216"/>
        <v>0</v>
      </c>
      <c r="FA75" s="112">
        <f t="shared" ca="1" si="217"/>
        <v>0</v>
      </c>
      <c r="FB75" s="113">
        <f t="shared" ca="1" si="218"/>
        <v>0</v>
      </c>
      <c r="FC75" s="114">
        <f t="shared" ca="1" si="219"/>
        <v>0</v>
      </c>
      <c r="FD75" s="115">
        <f t="shared" ca="1" si="220"/>
        <v>0</v>
      </c>
      <c r="FE75" s="116">
        <f t="shared" ca="1" si="221"/>
        <v>0</v>
      </c>
      <c r="FF75" s="117">
        <f t="shared" ca="1" si="222"/>
        <v>0</v>
      </c>
      <c r="FG75" s="71">
        <f t="shared" si="223"/>
        <v>0</v>
      </c>
      <c r="FH75" s="530">
        <f t="shared" ca="1" si="224"/>
        <v>0</v>
      </c>
      <c r="FI75" s="72"/>
      <c r="FJ75" s="72"/>
      <c r="FK75" s="72"/>
      <c r="FM75" s="421" t="str">
        <f t="shared" si="122"/>
        <v>L06-607_MfamResiPthp</v>
      </c>
      <c r="FN75" s="422" t="str">
        <f t="shared" ca="1" si="123"/>
        <v>Dwelling Unit</v>
      </c>
      <c r="FO75" s="423">
        <f t="shared" ca="1" si="232"/>
        <v>0</v>
      </c>
      <c r="FP75" s="423">
        <f t="shared" ca="1" si="232"/>
        <v>0</v>
      </c>
      <c r="FQ75" s="423">
        <f t="shared" ca="1" si="232"/>
        <v>0</v>
      </c>
      <c r="FR75" s="423">
        <f t="shared" ca="1" si="232"/>
        <v>0</v>
      </c>
      <c r="FS75" s="423">
        <f t="shared" ca="1" si="232"/>
        <v>0</v>
      </c>
      <c r="FT75" s="423">
        <f t="shared" ca="1" si="232"/>
        <v>0</v>
      </c>
      <c r="FU75" s="423">
        <f t="shared" ca="1" si="232"/>
        <v>0</v>
      </c>
      <c r="FV75" s="423">
        <f t="shared" ca="1" si="232"/>
        <v>0</v>
      </c>
      <c r="FW75" s="423">
        <f t="shared" ca="1" si="232"/>
        <v>0</v>
      </c>
      <c r="FX75" s="423">
        <f t="shared" ca="1" si="232"/>
        <v>0</v>
      </c>
      <c r="FY75" s="423">
        <f t="shared" ca="1" si="232"/>
        <v>0</v>
      </c>
      <c r="FZ75" s="423">
        <f t="shared" ca="1" si="232"/>
        <v>0</v>
      </c>
      <c r="GA75" s="423">
        <f t="shared" ca="1" si="232"/>
        <v>0</v>
      </c>
      <c r="GB75" s="423">
        <f t="shared" ca="1" si="232"/>
        <v>0</v>
      </c>
      <c r="GC75" s="423">
        <f t="shared" ca="1" si="232"/>
        <v>0</v>
      </c>
      <c r="GD75" s="423">
        <f t="shared" ca="1" si="232"/>
        <v>0</v>
      </c>
      <c r="GE75" s="423">
        <f t="shared" ca="1" si="231"/>
        <v>0</v>
      </c>
      <c r="GF75" s="423">
        <f t="shared" ca="1" si="231"/>
        <v>0</v>
      </c>
      <c r="GG75" s="423">
        <f t="shared" ca="1" si="231"/>
        <v>0</v>
      </c>
      <c r="GH75" s="423">
        <f t="shared" ca="1" si="231"/>
        <v>0</v>
      </c>
      <c r="GI75" s="423">
        <f t="shared" ca="1" si="231"/>
        <v>0</v>
      </c>
      <c r="GJ75" s="423">
        <f t="shared" ca="1" si="231"/>
        <v>0</v>
      </c>
      <c r="GK75" s="423">
        <f t="shared" ca="1" si="231"/>
        <v>0</v>
      </c>
      <c r="GL75" s="423">
        <f t="shared" ca="1" si="231"/>
        <v>0</v>
      </c>
      <c r="GM75" s="423">
        <f t="shared" ca="1" si="231"/>
        <v>0</v>
      </c>
      <c r="GN75" s="423">
        <f t="shared" ca="1" si="231"/>
        <v>0</v>
      </c>
      <c r="GO75" s="423">
        <f t="shared" ca="1" si="231"/>
        <v>0</v>
      </c>
      <c r="GP75" s="423">
        <f t="shared" ca="1" si="231"/>
        <v>0</v>
      </c>
      <c r="GQ75" s="423">
        <f t="shared" ca="1" si="231"/>
        <v>0</v>
      </c>
      <c r="GR75" s="423">
        <f t="shared" ca="1" si="231"/>
        <v>0</v>
      </c>
      <c r="GS75" s="423">
        <f t="shared" ca="1" si="231"/>
        <v>0</v>
      </c>
      <c r="GT75" s="423">
        <f t="shared" ca="1" si="231"/>
        <v>0</v>
      </c>
      <c r="GU75" s="423">
        <f t="shared" ca="1" si="233"/>
        <v>0</v>
      </c>
      <c r="GV75" s="423">
        <f t="shared" ca="1" si="233"/>
        <v>0</v>
      </c>
      <c r="GW75" s="423">
        <f t="shared" ca="1" si="233"/>
        <v>0</v>
      </c>
      <c r="GX75" s="423">
        <f t="shared" ca="1" si="233"/>
        <v>0</v>
      </c>
      <c r="GY75" s="423">
        <f t="shared" ca="1" si="233"/>
        <v>0</v>
      </c>
      <c r="GZ75" s="423">
        <f t="shared" ca="1" si="233"/>
        <v>0</v>
      </c>
      <c r="HA75" s="423">
        <f t="shared" ca="1" si="233"/>
        <v>0</v>
      </c>
      <c r="HB75" s="423">
        <f t="shared" ca="1" si="233"/>
        <v>0</v>
      </c>
      <c r="HC75" s="423">
        <f t="shared" ca="1" si="233"/>
        <v>0</v>
      </c>
      <c r="HD75" s="423">
        <f t="shared" ca="1" si="233"/>
        <v>0</v>
      </c>
      <c r="HE75" s="423">
        <f t="shared" ca="1" si="233"/>
        <v>0</v>
      </c>
      <c r="HF75" s="423">
        <f t="shared" ca="1" si="233"/>
        <v>0</v>
      </c>
      <c r="HG75" s="423">
        <f t="shared" ca="1" si="233"/>
        <v>0</v>
      </c>
      <c r="HH75" s="423">
        <f t="shared" ca="1" si="233"/>
        <v>0</v>
      </c>
      <c r="HI75" s="423">
        <f t="shared" ca="1" si="233"/>
        <v>0</v>
      </c>
      <c r="HJ75" s="423">
        <f t="shared" ca="1" si="233"/>
        <v>0</v>
      </c>
      <c r="HK75" s="423">
        <f t="shared" ca="1" si="234"/>
        <v>0</v>
      </c>
      <c r="HL75" s="423">
        <f t="shared" ca="1" si="234"/>
        <v>0</v>
      </c>
      <c r="HM75" s="423">
        <f t="shared" ca="1" si="234"/>
        <v>0</v>
      </c>
      <c r="HN75" s="423">
        <f t="shared" ca="1" si="234"/>
        <v>0</v>
      </c>
      <c r="HO75" s="423">
        <f t="shared" ca="1" si="234"/>
        <v>0</v>
      </c>
      <c r="HP75" s="423">
        <f t="shared" ca="1" si="234"/>
        <v>0</v>
      </c>
      <c r="HQ75" s="423">
        <f t="shared" ca="1" si="234"/>
        <v>0</v>
      </c>
      <c r="HR75" s="423">
        <f t="shared" ca="1" si="234"/>
        <v>0</v>
      </c>
      <c r="HS75" s="423">
        <f t="shared" ca="1" si="234"/>
        <v>0</v>
      </c>
      <c r="HT75" s="423">
        <f t="shared" ca="1" si="234"/>
        <v>0</v>
      </c>
    </row>
    <row r="76" spans="1:230" ht="11.25" customHeight="1" x14ac:dyDescent="0.2">
      <c r="A76" s="62">
        <f t="shared" si="128"/>
        <v>65</v>
      </c>
      <c r="B76" s="60" t="str">
        <f>Spaces_Sum!C121</f>
        <v>L06-608_MfamResiPthp</v>
      </c>
      <c r="C76" s="62" t="str">
        <f>Spaces_Sum!D121</f>
        <v>L06</v>
      </c>
      <c r="D76" s="62" t="str">
        <f ca="1">Spaces_Sum!I121</f>
        <v>DirectlyConditioned</v>
      </c>
      <c r="F76" s="110">
        <f ca="1">Spaces_Sum!M121</f>
        <v>872.66200000000003</v>
      </c>
      <c r="G76" s="110" t="str">
        <f ca="1">Spaces_Sum!J121</f>
        <v>Dwelling Unit</v>
      </c>
      <c r="H76" s="532"/>
      <c r="I76" s="185"/>
      <c r="J76" s="185"/>
      <c r="K76" s="186"/>
      <c r="L76" s="187"/>
      <c r="M76" s="188"/>
      <c r="N76" s="189"/>
      <c r="O76" s="186"/>
      <c r="P76" s="187"/>
      <c r="Q76" s="188"/>
      <c r="R76" s="189"/>
      <c r="S76" s="186"/>
      <c r="T76" s="187"/>
      <c r="U76" s="188"/>
      <c r="V76" s="189"/>
      <c r="W76" s="186"/>
      <c r="X76" s="187"/>
      <c r="Y76" s="188"/>
      <c r="Z76" s="189"/>
      <c r="AA76" s="186"/>
      <c r="AB76" s="187"/>
      <c r="AC76" s="188"/>
      <c r="AD76" s="189"/>
      <c r="AE76" s="186"/>
      <c r="AF76" s="187"/>
      <c r="AG76" s="188"/>
      <c r="AH76" s="189"/>
      <c r="AI76" s="186"/>
      <c r="AJ76" s="187"/>
      <c r="AK76" s="188"/>
      <c r="AL76" s="189"/>
      <c r="AM76" s="186"/>
      <c r="AN76" s="187"/>
      <c r="AO76" s="188"/>
      <c r="AP76" s="189"/>
      <c r="AQ76" s="186"/>
      <c r="AR76" s="187"/>
      <c r="AS76" s="188"/>
      <c r="AT76" s="189"/>
      <c r="AU76" s="186"/>
      <c r="AV76" s="187"/>
      <c r="AW76" s="188"/>
      <c r="AX76" s="189"/>
      <c r="AY76" s="186"/>
      <c r="AZ76" s="187"/>
      <c r="BA76" s="188"/>
      <c r="BB76" s="189"/>
      <c r="BC76" s="186"/>
      <c r="BD76" s="187"/>
      <c r="BE76" s="188"/>
      <c r="BF76" s="189"/>
      <c r="BG76" s="186"/>
      <c r="BH76" s="187"/>
      <c r="BI76" s="188"/>
      <c r="BJ76" s="189"/>
      <c r="BK76" s="186"/>
      <c r="BL76" s="187"/>
      <c r="BM76" s="188"/>
      <c r="BN76" s="189"/>
      <c r="BO76" s="186"/>
      <c r="BP76" s="187"/>
      <c r="BQ76" s="188"/>
      <c r="BR76" s="189"/>
      <c r="BS76" s="186"/>
      <c r="BT76" s="187"/>
      <c r="BU76" s="188"/>
      <c r="BV76" s="189"/>
      <c r="BW76" s="186"/>
      <c r="BX76" s="187"/>
      <c r="BY76" s="188"/>
      <c r="BZ76" s="189"/>
      <c r="CA76" s="186"/>
      <c r="CB76" s="190"/>
      <c r="CC76" s="190"/>
      <c r="CD76" s="82">
        <f t="shared" ref="CD76:CD107" si="235">IF(ISTEXT(H76),(IF(ISERROR(VLOOKUP(H76,Ltg_IFixtureSch_PROP,2,FALSE)),0.000001,VLOOKUP(H76,Ltg_IFixtureSch_PROP,2,FALSE)*I76)),0)</f>
        <v>0</v>
      </c>
      <c r="CE76" s="82">
        <f t="shared" ref="CE76:CE107" si="236">CD76-CF76</f>
        <v>0</v>
      </c>
      <c r="CF76" s="82">
        <f t="shared" ref="CF76:CF107" si="237">IF(ISTEXT(H76),(IF(ISERROR(VLOOKUP(H76,Ltg_IFixtureSch_PROP,2,FALSE)),0.000001,VLOOKUP(H76,Ltg_IFixtureSch_PROP,2,FALSE)*J76)),0)</f>
        <v>0</v>
      </c>
      <c r="CG76" s="82">
        <f t="shared" ref="CG76:CG107" si="238">IF(ISTEXT(H76),(IF(ISERROR(VLOOKUP(H76,Ltg_IFixtureSch_PROP,2,FALSE)),0.000001,VLOOKUP(H76,Ltg_IFixtureSch_PROP,2,FALSE)*K76)),0)</f>
        <v>0</v>
      </c>
      <c r="CH76" s="82">
        <f t="shared" ref="CH76:CH107" si="239">IF(ISTEXT(L76),(IF(ISERROR(VLOOKUP(L76,Ltg_IFixtureSch_PROP,2,FALSE)),0.000001,VLOOKUP(L76,Ltg_IFixtureSch_PROP,2,FALSE)*M76)),0)</f>
        <v>0</v>
      </c>
      <c r="CI76" s="82">
        <f t="shared" ref="CI76:CI107" si="240">CH76-CJ76</f>
        <v>0</v>
      </c>
      <c r="CJ76" s="82">
        <f t="shared" ref="CJ76:CJ107" si="241">IF(ISTEXT(L76),(IF(ISERROR(VLOOKUP(L76,Ltg_IFixtureSch_PROP,2,FALSE)),0.000001,VLOOKUP(L76,Ltg_IFixtureSch_PROP,2,FALSE)*N76)),0)</f>
        <v>0</v>
      </c>
      <c r="CK76" s="82">
        <f t="shared" ref="CK76:CK107" si="242">IF(ISTEXT(L76),(IF(ISERROR(VLOOKUP(L76,Ltg_IFixtureSch_PROP,2,FALSE)),0.000001,VLOOKUP(L76,Ltg_IFixtureSch_PROP,2,FALSE)*O76)),0)</f>
        <v>0</v>
      </c>
      <c r="CL76" s="82">
        <f t="shared" ref="CL76:CL107" si="243">IF(ISTEXT(P76),(IF(ISERROR(VLOOKUP(P76,Ltg_IFixtureSch_PROP,2,FALSE)),0.000001,VLOOKUP(P76,Ltg_IFixtureSch_PROP,2,FALSE)*Q76)),0)</f>
        <v>0</v>
      </c>
      <c r="CM76" s="82">
        <f t="shared" ref="CM76:CM107" si="244">CL76-CN76</f>
        <v>0</v>
      </c>
      <c r="CN76" s="82">
        <f t="shared" ref="CN76:CN107" si="245">IF(ISTEXT(P76),(IF(ISERROR(VLOOKUP(P76,Ltg_IFixtureSch_PROP,2,FALSE)),0.000001,VLOOKUP(P76,Ltg_IFixtureSch_PROP,2,FALSE)*R76)),0)</f>
        <v>0</v>
      </c>
      <c r="CO76" s="82">
        <f t="shared" ref="CO76:CO107" si="246">IF(ISTEXT(P76),(IF(ISERROR(VLOOKUP(P76,Ltg_IFixtureSch_PROP,2,FALSE)),0.000001,VLOOKUP(P76,Ltg_IFixtureSch_PROP,2,FALSE)*S76)),0)</f>
        <v>0</v>
      </c>
      <c r="CP76" s="82">
        <f t="shared" ref="CP76:CP107" si="247">IF(ISTEXT(T76),(IF(ISERROR(VLOOKUP(T76,Ltg_IFixtureSch_PROP,2,FALSE)),0.000001,VLOOKUP(T76,Ltg_IFixtureSch_PROP,2,FALSE)*U76)),0)</f>
        <v>0</v>
      </c>
      <c r="CQ76" s="82">
        <f t="shared" ref="CQ76:CQ107" si="248">CP76-CR76</f>
        <v>0</v>
      </c>
      <c r="CR76" s="82">
        <f t="shared" ref="CR76:CR107" si="249">IF(ISTEXT(T76),(IF(ISERROR(VLOOKUP(T76,Ltg_IFixtureSch_PROP,2,FALSE)),0.000001,VLOOKUP(T76,Ltg_IFixtureSch_PROP,2,FALSE)*V76)),0)</f>
        <v>0</v>
      </c>
      <c r="CS76" s="82">
        <f t="shared" ref="CS76:CS107" si="250">IF(ISTEXT(T76),(IF(ISERROR(VLOOKUP(T76,Ltg_IFixtureSch_PROP,2,FALSE)),0.000001,VLOOKUP(T76,Ltg_IFixtureSch_PROP,2,FALSE)*W76)),0)</f>
        <v>0</v>
      </c>
      <c r="CT76" s="82">
        <f t="shared" ref="CT76:CT107" si="251">IF(ISTEXT(X76),(IF(ISERROR(VLOOKUP(X76,Ltg_IFixtureSch_PROP,2,FALSE)),0.000001,VLOOKUP(X76,Ltg_IFixtureSch_PROP,2,FALSE)*Y76)),0)</f>
        <v>0</v>
      </c>
      <c r="CU76" s="82">
        <f t="shared" ref="CU76:CU107" si="252">CT76-CV76</f>
        <v>0</v>
      </c>
      <c r="CV76" s="82">
        <f t="shared" ref="CV76:CV107" si="253">IF(ISTEXT(X76),(IF(ISERROR(VLOOKUP(X76,Ltg_IFixtureSch_PROP,2,FALSE)),0.000001,VLOOKUP(X76,Ltg_IFixtureSch_PROP,2,FALSE)*Z76)),0)</f>
        <v>0</v>
      </c>
      <c r="CW76" s="82">
        <f t="shared" ref="CW76:CW107" si="254">IF(ISTEXT(X76),(IF(ISERROR(VLOOKUP(X76,Ltg_IFixtureSch_PROP,2,FALSE)),0.000001,VLOOKUP(X76,Ltg_IFixtureSch_PROP,2,FALSE)*AA76)),0)</f>
        <v>0</v>
      </c>
      <c r="CX76" s="82">
        <f t="shared" ref="CX76:CX107" si="255">IF(ISTEXT(AB76),(IF(ISERROR(VLOOKUP(AB76,Ltg_IFixtureSch_PROP,2,FALSE)),0.000001,VLOOKUP(AB76,Ltg_IFixtureSch_PROP,2,FALSE)*AC76)),0)</f>
        <v>0</v>
      </c>
      <c r="CY76" s="82">
        <f t="shared" ref="CY76:CY107" si="256">CX76-CZ76</f>
        <v>0</v>
      </c>
      <c r="CZ76" s="82">
        <f t="shared" ref="CZ76:CZ107" si="257">IF(ISTEXT(AB76),(IF(ISERROR(VLOOKUP(AB76,Ltg_IFixtureSch_PROP,2,FALSE)),0.000001,VLOOKUP(AB76,Ltg_IFixtureSch_PROP,2,FALSE)*AD76)),0)</f>
        <v>0</v>
      </c>
      <c r="DA76" s="82">
        <f t="shared" ref="DA76:DA107" si="258">IF(ISTEXT(AB76),(IF(ISERROR(VLOOKUP(AB76,Ltg_IFixtureSch_PROP,2,FALSE)),0.000001,VLOOKUP(AB76,Ltg_IFixtureSch_PROP,2,FALSE)*AE76)),0)</f>
        <v>0</v>
      </c>
      <c r="DB76" s="82">
        <f t="shared" ref="DB76:DB107" si="259">IF(ISTEXT(AF76),(IF(ISERROR(VLOOKUP(AF76,Ltg_IFixtureSch_PROP,2,FALSE)),0.000001,VLOOKUP(AF76,Ltg_IFixtureSch_PROP,2,FALSE)*AG76)),0)</f>
        <v>0</v>
      </c>
      <c r="DC76" s="82">
        <f t="shared" ref="DC76:DC107" si="260">DB76-DD76</f>
        <v>0</v>
      </c>
      <c r="DD76" s="82">
        <f t="shared" ref="DD76:DD107" si="261">IF(ISTEXT(AF76),(IF(ISERROR(VLOOKUP(AF76,Ltg_IFixtureSch_PROP,2,FALSE)),0.000001,VLOOKUP(AF76,Ltg_IFixtureSch_PROP,2,FALSE)*AH76)),0)</f>
        <v>0</v>
      </c>
      <c r="DE76" s="82">
        <f t="shared" ref="DE76:DE107" si="262">IF(ISTEXT(AF76),(IF(ISERROR(VLOOKUP(AF76,Ltg_IFixtureSch_PROP,2,FALSE)),0.000001,VLOOKUP(AF76,Ltg_IFixtureSch_PROP,2,FALSE)*AI76)),0)</f>
        <v>0</v>
      </c>
      <c r="DF76" s="82">
        <f t="shared" ref="DF76:DF107" si="263">IF(ISTEXT(AJ76),(IF(ISERROR(VLOOKUP(AJ76,Ltg_IFixtureSch_PROP,2,FALSE)),0.000001,VLOOKUP(AJ76,Ltg_IFixtureSch_PROP,2,FALSE)*AK76)),0)</f>
        <v>0</v>
      </c>
      <c r="DG76" s="82">
        <f t="shared" ref="DG76:DG107" si="264">DF76-DH76</f>
        <v>0</v>
      </c>
      <c r="DH76" s="82">
        <f t="shared" ref="DH76:DH107" si="265">IF(ISTEXT(AJ76),(IF(ISERROR(VLOOKUP(AJ76,Ltg_IFixtureSch_PROP,2,FALSE)),0.000001,VLOOKUP(AJ76,Ltg_IFixtureSch_PROP,2,FALSE)*AL76)),0)</f>
        <v>0</v>
      </c>
      <c r="DI76" s="82">
        <f t="shared" ref="DI76:DI107" si="266">IF(ISTEXT(AJ76),(IF(ISERROR(VLOOKUP(AJ76,Ltg_IFixtureSch_PROP,2,FALSE)),0.000001,VLOOKUP(AJ76,Ltg_IFixtureSch_PROP,2,FALSE)*AM76)),0)</f>
        <v>0</v>
      </c>
      <c r="DJ76" s="82">
        <f t="shared" ref="DJ76:DJ107" si="267">IF(ISTEXT(AN76),(IF(ISERROR(VLOOKUP(AN76,Ltg_IFixtureSch_PROP,2,FALSE)),0.000001,VLOOKUP(AN76,Ltg_IFixtureSch_PROP,2,FALSE)*AO76)),0)</f>
        <v>0</v>
      </c>
      <c r="DK76" s="82">
        <f t="shared" ref="DK76:DK107" si="268">DJ76-DL76</f>
        <v>0</v>
      </c>
      <c r="DL76" s="82">
        <f t="shared" ref="DL76:DL107" si="269">IF(ISTEXT(AN76),(IF(ISERROR(VLOOKUP(AN76,Ltg_IFixtureSch_PROP,2,FALSE)),0.000001,VLOOKUP(AN76,Ltg_IFixtureSch_PROP,2,FALSE)*AP76)),0)</f>
        <v>0</v>
      </c>
      <c r="DM76" s="82">
        <f t="shared" ref="DM76:DM107" si="270">IF(ISTEXT(AN76),(IF(ISERROR(VLOOKUP(AN76,Ltg_IFixtureSch_PROP,2,FALSE)),0.000001,VLOOKUP(AN76,Ltg_IFixtureSch_PROP,2,FALSE)*AQ76)),0)</f>
        <v>0</v>
      </c>
      <c r="DN76" s="82">
        <f t="shared" ref="DN76:DN107" si="271">IF(ISTEXT(AR76),(IF(ISERROR(VLOOKUP(AR76,Ltg_IFixtureSch_PROP,2,FALSE)),0.000001,VLOOKUP(AR76,Ltg_IFixtureSch_PROP,2,FALSE)*AS76)),0)</f>
        <v>0</v>
      </c>
      <c r="DO76" s="82">
        <f t="shared" ref="DO76:DO107" si="272">DN76-DP76</f>
        <v>0</v>
      </c>
      <c r="DP76" s="82">
        <f t="shared" ref="DP76:DP107" si="273">IF(ISTEXT(AR76),(IF(ISERROR(VLOOKUP(AR76,Ltg_IFixtureSch_PROP,2,FALSE)),0.000001,VLOOKUP(AR76,Ltg_IFixtureSch_PROP,2,FALSE)*AT76)),0)</f>
        <v>0</v>
      </c>
      <c r="DQ76" s="82">
        <f t="shared" ref="DQ76:DQ107" si="274">IF(ISTEXT(AR76),(IF(ISERROR(VLOOKUP(AR76,Ltg_IFixtureSch_PROP,2,FALSE)),0.000001,VLOOKUP(AR76,Ltg_IFixtureSch_PROP,2,FALSE)*AU76)),0)</f>
        <v>0</v>
      </c>
      <c r="DR76" s="82">
        <f t="shared" ref="DR76:DR107" si="275">IF(ISTEXT(AV76),(IF(ISERROR(VLOOKUP(AV76,Ltg_IFixtureSch_PROP,2,FALSE)),0.000001,VLOOKUP(AV76,Ltg_IFixtureSch_PROP,2,FALSE)*AW76)),0)</f>
        <v>0</v>
      </c>
      <c r="DS76" s="82">
        <f t="shared" ref="DS76:DS107" si="276">DR76-DT76</f>
        <v>0</v>
      </c>
      <c r="DT76" s="82">
        <f t="shared" ref="DT76:DT107" si="277">IF(ISTEXT(AV76),(IF(ISERROR(VLOOKUP(AV76,Ltg_IFixtureSch_PROP,2,FALSE)),0.000001,VLOOKUP(AV76,Ltg_IFixtureSch_PROP,2,FALSE)*AX76)),0)</f>
        <v>0</v>
      </c>
      <c r="DU76" s="82">
        <f t="shared" ref="DU76:DU107" si="278">IF(ISTEXT(AV76),(IF(ISERROR(VLOOKUP(AV76,Ltg_IFixtureSch_PROP,2,FALSE)),0.000001,VLOOKUP(AV76,Ltg_IFixtureSch_PROP,2,FALSE)*AY76)),0)</f>
        <v>0</v>
      </c>
      <c r="DV76" s="82">
        <f t="shared" ref="DV76:DV107" si="279">IF(ISTEXT(AZ76),(IF(ISERROR(VLOOKUP(AZ76,Ltg_IFixtureSch_PROP,2,FALSE)),0.000001,VLOOKUP(AZ76,Ltg_IFixtureSch_PROP,2,FALSE)*BA76)),0)</f>
        <v>0</v>
      </c>
      <c r="DW76" s="82">
        <f t="shared" ref="DW76:DW107" si="280">DV76-DX76</f>
        <v>0</v>
      </c>
      <c r="DX76" s="82">
        <f t="shared" ref="DX76:DX107" si="281">IF(ISTEXT(AZ76),(IF(ISERROR(VLOOKUP(AZ76,Ltg_IFixtureSch_PROP,2,FALSE)),0.000001,VLOOKUP(AZ76,Ltg_IFixtureSch_PROP,2,FALSE)*BB76)),0)</f>
        <v>0</v>
      </c>
      <c r="DY76" s="82">
        <f t="shared" ref="DY76:DY107" si="282">IF(ISTEXT(AZ76),(IF(ISERROR(VLOOKUP(AZ76,Ltg_IFixtureSch_PROP,2,FALSE)),0.000001,VLOOKUP(AZ76,Ltg_IFixtureSch_PROP,2,FALSE)*BC76)),0)</f>
        <v>0</v>
      </c>
      <c r="DZ76" s="82">
        <f t="shared" ref="DZ76:DZ107" si="283">IF(ISTEXT(BD76),(IF(ISERROR(VLOOKUP(BD76,Ltg_IFixtureSch_PROP,2,FALSE)),0.000001,VLOOKUP(BD76,Ltg_IFixtureSch_PROP,2,FALSE)*BE76)),0)</f>
        <v>0</v>
      </c>
      <c r="EA76" s="82">
        <f t="shared" ref="EA76:EA107" si="284">DZ76-EB76</f>
        <v>0</v>
      </c>
      <c r="EB76" s="82">
        <f t="shared" ref="EB76:EB107" si="285">IF(ISTEXT(BD76),(IF(ISERROR(VLOOKUP(BD76,Ltg_IFixtureSch_PROP,2,FALSE)),0.000001,VLOOKUP(BD76,Ltg_IFixtureSch_PROP,2,FALSE)*BF76)),0)</f>
        <v>0</v>
      </c>
      <c r="EC76" s="82">
        <f t="shared" ref="EC76:EC107" si="286">IF(ISTEXT(BD76),(IF(ISERROR(VLOOKUP(BD76,Ltg_IFixtureSch_PROP,2,FALSE)),0.000001,VLOOKUP(BD76,Ltg_IFixtureSch_PROP,2,FALSE)*BG76)),0)</f>
        <v>0</v>
      </c>
      <c r="ED76" s="82">
        <f t="shared" ref="ED76:ED107" si="287">IF(ISTEXT(BH76),(IF(ISERROR(VLOOKUP(BH76,Ltg_IFixtureSch_PROP,2,FALSE)),0.000001,VLOOKUP(BH76,Ltg_IFixtureSch_PROP,2,FALSE)*BI76)),0)</f>
        <v>0</v>
      </c>
      <c r="EE76" s="82">
        <f t="shared" ref="EE76:EE107" si="288">ED76-EF76</f>
        <v>0</v>
      </c>
      <c r="EF76" s="82">
        <f t="shared" ref="EF76:EF107" si="289">IF(ISTEXT(BH76),(IF(ISERROR(VLOOKUP(BH76,Ltg_IFixtureSch_PROP,2,FALSE)),0.000001,VLOOKUP(BH76,Ltg_IFixtureSch_PROP,2,FALSE)*BJ76)),0)</f>
        <v>0</v>
      </c>
      <c r="EG76" s="82">
        <f t="shared" ref="EG76:EG107" si="290">IF(ISTEXT(BH76),(IF(ISERROR(VLOOKUP(BH76,Ltg_IFixtureSch_PROP,2,FALSE)),0.000001,VLOOKUP(BH76,Ltg_IFixtureSch_PROP,2,FALSE)*BK76)),0)</f>
        <v>0</v>
      </c>
      <c r="EH76" s="82">
        <f t="shared" ref="EH76:EH107" si="291">IF(ISTEXT(BL76),(IF(ISERROR(VLOOKUP(BL76,Ltg_IFixtureSch_PROP,2,FALSE)),0.000001,VLOOKUP(BL76,Ltg_IFixtureSch_PROP,2,FALSE)*BM76)),0)</f>
        <v>0</v>
      </c>
      <c r="EI76" s="82">
        <f t="shared" ref="EI76:EI107" si="292">EH76-EJ76</f>
        <v>0</v>
      </c>
      <c r="EJ76" s="82">
        <f t="shared" ref="EJ76:EJ107" si="293">IF(ISTEXT(BL76),(IF(ISERROR(VLOOKUP(BL76,Ltg_IFixtureSch_PROP,2,FALSE)),0.000001,VLOOKUP(BL76,Ltg_IFixtureSch_PROP,2,FALSE)*BN76)),0)</f>
        <v>0</v>
      </c>
      <c r="EK76" s="82">
        <f t="shared" ref="EK76:EK107" si="294">IF(ISTEXT(BL76),(IF(ISERROR(VLOOKUP(BL76,Ltg_IFixtureSch_PROP,2,FALSE)),0.000001,VLOOKUP(BL76,Ltg_IFixtureSch_PROP,2,FALSE)*BO76)),0)</f>
        <v>0</v>
      </c>
      <c r="EL76" s="82">
        <f t="shared" ref="EL76:EL107" si="295">IF(ISTEXT(BP76),(IF(ISERROR(VLOOKUP(BP76,Ltg_IFixtureSch_PROP,2,FALSE)),0.000001,VLOOKUP(BP76,Ltg_IFixtureSch_PROP,2,FALSE)*BQ76)),0)</f>
        <v>0</v>
      </c>
      <c r="EM76" s="82">
        <f t="shared" ref="EM76:EM107" si="296">EL76-EN76</f>
        <v>0</v>
      </c>
      <c r="EN76" s="82">
        <f t="shared" ref="EN76:EN107" si="297">IF(ISTEXT(BP76),(IF(ISERROR(VLOOKUP(BP76,Ltg_IFixtureSch_PROP,2,FALSE)),0.000001,VLOOKUP(BP76,Ltg_IFixtureSch_PROP,2,FALSE)*BR76)),0)</f>
        <v>0</v>
      </c>
      <c r="EO76" s="82">
        <f t="shared" ref="EO76:EO107" si="298">IF(ISTEXT(BP76),(IF(ISERROR(VLOOKUP(BP76,Ltg_IFixtureSch_PROP,2,FALSE)),0.000001,VLOOKUP(BP76,Ltg_IFixtureSch_PROP,2,FALSE)*BS76)),0)</f>
        <v>0</v>
      </c>
      <c r="EP76" s="82">
        <f t="shared" ref="EP76:EP107" si="299">IF(ISTEXT(BT76),(IF(ISERROR(VLOOKUP(BT76,Ltg_IFixtureSch_PROP,2,FALSE)),0.000001,VLOOKUP(BT76,Ltg_IFixtureSch_PROP,2,FALSE)*BU76)),0)</f>
        <v>0</v>
      </c>
      <c r="EQ76" s="82">
        <f t="shared" ref="EQ76:EQ107" si="300">EP76-ER76</f>
        <v>0</v>
      </c>
      <c r="ER76" s="82">
        <f t="shared" ref="ER76:ER107" si="301">IF(ISTEXT(BT76),(IF(ISERROR(VLOOKUP(BT76,Ltg_IFixtureSch_PROP,2,FALSE)),0.000001,VLOOKUP(BT76,Ltg_IFixtureSch_PROP,2,FALSE)*BV76)),0)</f>
        <v>0</v>
      </c>
      <c r="ES76" s="82">
        <f t="shared" ref="ES76:ES107" si="302">IF(ISTEXT(BT76),(IF(ISERROR(VLOOKUP(BT76,Ltg_IFixtureSch_PROP,2,FALSE)),0.000001,VLOOKUP(BT76,Ltg_IFixtureSch_PROP,2,FALSE)*BW76)),0)</f>
        <v>0</v>
      </c>
      <c r="ET76" s="82">
        <f t="shared" ref="ET76:ET107" si="303">IF(ISTEXT(BX76),(IF(ISERROR(VLOOKUP(BX76,Ltg_IFixtureSch_PROP,2,FALSE)),0.000001,VLOOKUP(BX76,Ltg_IFixtureSch_PROP,2,FALSE)*BY76)),0)</f>
        <v>0</v>
      </c>
      <c r="EU76" s="82">
        <f t="shared" ref="EU76:EU107" si="304">ET76-EV76</f>
        <v>0</v>
      </c>
      <c r="EV76" s="82">
        <f t="shared" ref="EV76:EV107" si="305">IF(ISTEXT(BX76),(IF(ISERROR(VLOOKUP(BX76,Ltg_IFixtureSch_PROP,2,FALSE)),0.000001,VLOOKUP(BX76,Ltg_IFixtureSch_PROP,2,FALSE)*BZ76)),0)</f>
        <v>0</v>
      </c>
      <c r="EW76" s="82">
        <f t="shared" ref="EW76:EW107" si="306">IF(ISTEXT(BX76),(IF(ISERROR(VLOOKUP(BX76,Ltg_IFixtureSch_PROP,2,FALSE)),0.000001,VLOOKUP(BX76,Ltg_IFixtureSch_PROP,2,FALSE)*CA76)),0)</f>
        <v>0</v>
      </c>
      <c r="EX76" s="82">
        <f t="shared" ref="EX76:EX107" si="307">IF(ISTEXT(CB76),(IF(ISERROR(VLOOKUP(CB76,Ltg_IFixtureSch_PROP,2,FALSE)),0.000001,VLOOKUP(CB76,Ltg_IFixtureSch_PROP,2,FALSE)*CC76)),0)</f>
        <v>0</v>
      </c>
      <c r="EY76" s="111">
        <f t="shared" ref="EY76:EY107" si="308">SUM(CD76,CH76,CL76,CP76,CT76,CX76,DB76,DF76,DJ76,DN76,DR76,DV76,DZ76,ED76,EH76,EL76,EP76,ET76)</f>
        <v>0</v>
      </c>
      <c r="EZ76" s="143">
        <f t="shared" ref="EZ76:EZ107" ca="1" si="309">ROUND(EY76/F76,3)</f>
        <v>0</v>
      </c>
      <c r="FA76" s="112">
        <f t="shared" ref="FA76:FA107" ca="1" si="310">EZ76-FB76</f>
        <v>0</v>
      </c>
      <c r="FB76" s="113">
        <f t="shared" ref="FB76:FB107" ca="1" si="311">ROUND(SUM(CF76,CJ76,CN76,CR76,CV76,CZ76,DD76,DH76,DL76,DP76,DT76,DX76,EB76,EF76,EJ76,EN76,ER76,EV76)/F76,3)</f>
        <v>0</v>
      </c>
      <c r="FC76" s="114">
        <f t="shared" ref="FC76:FC107" ca="1" si="312">ROUND(SUM(CG76,CK76,CO76,CS76,CW76,DA76,DE76,DI76,DM76,DQ76,DU76,DY76,EC76,EG76,EK76,EO76,ES76,EW76)/F76,3)</f>
        <v>0</v>
      </c>
      <c r="FD76" s="115">
        <f t="shared" ref="FD76:FD107" ca="1" si="313">IF(ISERROR(FC76/EZ76),0,FC76/EZ76)</f>
        <v>0</v>
      </c>
      <c r="FE76" s="116">
        <f t="shared" ref="FE76:FE107" ca="1" si="314">FB76*F76</f>
        <v>0</v>
      </c>
      <c r="FF76" s="117">
        <f t="shared" ref="FF76:FF107" ca="1" si="315">FC76*F76</f>
        <v>0</v>
      </c>
      <c r="FG76" s="71">
        <f t="shared" ref="FG76:FG107" si="316">EX76</f>
        <v>0</v>
      </c>
      <c r="FH76" s="530">
        <f t="shared" ref="FH76:FH107" ca="1" si="317">(EY76+FG76)/F76</f>
        <v>0</v>
      </c>
      <c r="FI76" s="72"/>
      <c r="FJ76" s="72"/>
      <c r="FK76" s="72"/>
      <c r="FM76" s="421" t="str">
        <f t="shared" ref="FM76:FM139" si="318">B76</f>
        <v>L06-608_MfamResiPthp</v>
      </c>
      <c r="FN76" s="422" t="str">
        <f t="shared" ref="FN76:FN139" ca="1" si="319">G76</f>
        <v>Dwelling Unit</v>
      </c>
      <c r="FO76" s="423">
        <f t="shared" ca="1" si="232"/>
        <v>0</v>
      </c>
      <c r="FP76" s="423">
        <f t="shared" ca="1" si="232"/>
        <v>0</v>
      </c>
      <c r="FQ76" s="423">
        <f t="shared" ca="1" si="232"/>
        <v>0</v>
      </c>
      <c r="FR76" s="423">
        <f t="shared" ca="1" si="232"/>
        <v>0</v>
      </c>
      <c r="FS76" s="423">
        <f t="shared" ca="1" si="232"/>
        <v>0</v>
      </c>
      <c r="FT76" s="423">
        <f t="shared" ca="1" si="232"/>
        <v>0</v>
      </c>
      <c r="FU76" s="423">
        <f t="shared" ca="1" si="232"/>
        <v>0</v>
      </c>
      <c r="FV76" s="423">
        <f t="shared" ca="1" si="232"/>
        <v>0</v>
      </c>
      <c r="FW76" s="423">
        <f t="shared" ca="1" si="232"/>
        <v>0</v>
      </c>
      <c r="FX76" s="423">
        <f t="shared" ca="1" si="232"/>
        <v>0</v>
      </c>
      <c r="FY76" s="423">
        <f t="shared" ca="1" si="232"/>
        <v>0</v>
      </c>
      <c r="FZ76" s="423">
        <f t="shared" ca="1" si="232"/>
        <v>0</v>
      </c>
      <c r="GA76" s="423">
        <f t="shared" ca="1" si="232"/>
        <v>0</v>
      </c>
      <c r="GB76" s="423">
        <f t="shared" ca="1" si="232"/>
        <v>0</v>
      </c>
      <c r="GC76" s="423">
        <f t="shared" ca="1" si="232"/>
        <v>0</v>
      </c>
      <c r="GD76" s="423">
        <f t="shared" ref="GD76:GS91" ca="1" si="320">IFERROR(ROUNDDOWN(SUMIF($H76:$CC76,GD$11,$CD76:$EX76)/GD$10,0),0)</f>
        <v>0</v>
      </c>
      <c r="GE76" s="423">
        <f t="shared" ca="1" si="320"/>
        <v>0</v>
      </c>
      <c r="GF76" s="423">
        <f t="shared" ca="1" si="320"/>
        <v>0</v>
      </c>
      <c r="GG76" s="423">
        <f t="shared" ca="1" si="320"/>
        <v>0</v>
      </c>
      <c r="GH76" s="423">
        <f t="shared" ca="1" si="320"/>
        <v>0</v>
      </c>
      <c r="GI76" s="423">
        <f t="shared" ca="1" si="320"/>
        <v>0</v>
      </c>
      <c r="GJ76" s="423">
        <f t="shared" ca="1" si="320"/>
        <v>0</v>
      </c>
      <c r="GK76" s="423">
        <f t="shared" ca="1" si="320"/>
        <v>0</v>
      </c>
      <c r="GL76" s="423">
        <f t="shared" ca="1" si="320"/>
        <v>0</v>
      </c>
      <c r="GM76" s="423">
        <f t="shared" ca="1" si="320"/>
        <v>0</v>
      </c>
      <c r="GN76" s="423">
        <f t="shared" ca="1" si="320"/>
        <v>0</v>
      </c>
      <c r="GO76" s="423">
        <f t="shared" ca="1" si="320"/>
        <v>0</v>
      </c>
      <c r="GP76" s="423">
        <f t="shared" ca="1" si="320"/>
        <v>0</v>
      </c>
      <c r="GQ76" s="423">
        <f t="shared" ca="1" si="320"/>
        <v>0</v>
      </c>
      <c r="GR76" s="423">
        <f t="shared" ca="1" si="320"/>
        <v>0</v>
      </c>
      <c r="GS76" s="423">
        <f t="shared" ca="1" si="320"/>
        <v>0</v>
      </c>
      <c r="GT76" s="423">
        <f t="shared" ref="GT76:HI91" ca="1" si="321">IFERROR(ROUNDDOWN(SUMIF($H76:$CC76,GT$11,$CD76:$EX76)/GT$10,0),0)</f>
        <v>0</v>
      </c>
      <c r="GU76" s="423">
        <f t="shared" ca="1" si="233"/>
        <v>0</v>
      </c>
      <c r="GV76" s="423">
        <f t="shared" ca="1" si="233"/>
        <v>0</v>
      </c>
      <c r="GW76" s="423">
        <f t="shared" ca="1" si="233"/>
        <v>0</v>
      </c>
      <c r="GX76" s="423">
        <f t="shared" ca="1" si="233"/>
        <v>0</v>
      </c>
      <c r="GY76" s="423">
        <f t="shared" ca="1" si="233"/>
        <v>0</v>
      </c>
      <c r="GZ76" s="423">
        <f t="shared" ca="1" si="233"/>
        <v>0</v>
      </c>
      <c r="HA76" s="423">
        <f t="shared" ca="1" si="233"/>
        <v>0</v>
      </c>
      <c r="HB76" s="423">
        <f t="shared" ca="1" si="233"/>
        <v>0</v>
      </c>
      <c r="HC76" s="423">
        <f t="shared" ca="1" si="233"/>
        <v>0</v>
      </c>
      <c r="HD76" s="423">
        <f t="shared" ca="1" si="233"/>
        <v>0</v>
      </c>
      <c r="HE76" s="423">
        <f t="shared" ca="1" si="233"/>
        <v>0</v>
      </c>
      <c r="HF76" s="423">
        <f t="shared" ca="1" si="233"/>
        <v>0</v>
      </c>
      <c r="HG76" s="423">
        <f t="shared" ca="1" si="233"/>
        <v>0</v>
      </c>
      <c r="HH76" s="423">
        <f t="shared" ca="1" si="233"/>
        <v>0</v>
      </c>
      <c r="HI76" s="423">
        <f t="shared" ca="1" si="233"/>
        <v>0</v>
      </c>
      <c r="HJ76" s="423">
        <f t="shared" ca="1" si="233"/>
        <v>0</v>
      </c>
      <c r="HK76" s="423">
        <f t="shared" ca="1" si="234"/>
        <v>0</v>
      </c>
      <c r="HL76" s="423">
        <f t="shared" ca="1" si="234"/>
        <v>0</v>
      </c>
      <c r="HM76" s="423">
        <f t="shared" ca="1" si="234"/>
        <v>0</v>
      </c>
      <c r="HN76" s="423">
        <f t="shared" ca="1" si="234"/>
        <v>0</v>
      </c>
      <c r="HO76" s="423">
        <f t="shared" ca="1" si="234"/>
        <v>0</v>
      </c>
      <c r="HP76" s="423">
        <f t="shared" ca="1" si="234"/>
        <v>0</v>
      </c>
      <c r="HQ76" s="423">
        <f t="shared" ca="1" si="234"/>
        <v>0</v>
      </c>
      <c r="HR76" s="423">
        <f t="shared" ca="1" si="234"/>
        <v>0</v>
      </c>
      <c r="HS76" s="423">
        <f t="shared" ca="1" si="234"/>
        <v>0</v>
      </c>
      <c r="HT76" s="423">
        <f t="shared" ca="1" si="234"/>
        <v>0</v>
      </c>
    </row>
    <row r="77" spans="1:230" ht="11.25" customHeight="1" x14ac:dyDescent="0.2">
      <c r="A77" s="62">
        <f t="shared" ref="A77:A140" si="322">A76+1</f>
        <v>66</v>
      </c>
      <c r="B77" s="60" t="str">
        <f>Spaces_Sum!C122</f>
        <v>L06-609_MfamResiPthp</v>
      </c>
      <c r="C77" s="62" t="str">
        <f>Spaces_Sum!D122</f>
        <v>L06</v>
      </c>
      <c r="D77" s="62" t="str">
        <f ca="1">Spaces_Sum!I122</f>
        <v>DirectlyConditioned</v>
      </c>
      <c r="F77" s="110">
        <f ca="1">Spaces_Sum!M122</f>
        <v>1347.52</v>
      </c>
      <c r="G77" s="110" t="str">
        <f ca="1">Spaces_Sum!J122</f>
        <v>Dwelling Unit</v>
      </c>
      <c r="H77" s="532"/>
      <c r="I77" s="185"/>
      <c r="J77" s="185"/>
      <c r="K77" s="186"/>
      <c r="L77" s="187"/>
      <c r="M77" s="188"/>
      <c r="N77" s="189"/>
      <c r="O77" s="186"/>
      <c r="P77" s="187"/>
      <c r="Q77" s="188"/>
      <c r="R77" s="189"/>
      <c r="S77" s="186"/>
      <c r="T77" s="187"/>
      <c r="U77" s="188"/>
      <c r="V77" s="189"/>
      <c r="W77" s="186"/>
      <c r="X77" s="187"/>
      <c r="Y77" s="188"/>
      <c r="Z77" s="189"/>
      <c r="AA77" s="186"/>
      <c r="AB77" s="187"/>
      <c r="AC77" s="188"/>
      <c r="AD77" s="189"/>
      <c r="AE77" s="186"/>
      <c r="AF77" s="187"/>
      <c r="AG77" s="188"/>
      <c r="AH77" s="189"/>
      <c r="AI77" s="186"/>
      <c r="AJ77" s="187"/>
      <c r="AK77" s="188"/>
      <c r="AL77" s="189"/>
      <c r="AM77" s="186"/>
      <c r="AN77" s="187"/>
      <c r="AO77" s="188"/>
      <c r="AP77" s="189"/>
      <c r="AQ77" s="186"/>
      <c r="AR77" s="187"/>
      <c r="AS77" s="188"/>
      <c r="AT77" s="189"/>
      <c r="AU77" s="186"/>
      <c r="AV77" s="187"/>
      <c r="AW77" s="188"/>
      <c r="AX77" s="189"/>
      <c r="AY77" s="186"/>
      <c r="AZ77" s="187"/>
      <c r="BA77" s="188"/>
      <c r="BB77" s="189"/>
      <c r="BC77" s="186"/>
      <c r="BD77" s="187"/>
      <c r="BE77" s="188"/>
      <c r="BF77" s="189"/>
      <c r="BG77" s="186"/>
      <c r="BH77" s="187"/>
      <c r="BI77" s="188"/>
      <c r="BJ77" s="189"/>
      <c r="BK77" s="186"/>
      <c r="BL77" s="187"/>
      <c r="BM77" s="188"/>
      <c r="BN77" s="189"/>
      <c r="BO77" s="186"/>
      <c r="BP77" s="187"/>
      <c r="BQ77" s="188"/>
      <c r="BR77" s="189"/>
      <c r="BS77" s="186"/>
      <c r="BT77" s="187"/>
      <c r="BU77" s="188"/>
      <c r="BV77" s="189"/>
      <c r="BW77" s="186"/>
      <c r="BX77" s="187"/>
      <c r="BY77" s="188"/>
      <c r="BZ77" s="189"/>
      <c r="CA77" s="186"/>
      <c r="CB77" s="190"/>
      <c r="CC77" s="190"/>
      <c r="CD77" s="82">
        <f t="shared" si="235"/>
        <v>0</v>
      </c>
      <c r="CE77" s="82">
        <f t="shared" si="236"/>
        <v>0</v>
      </c>
      <c r="CF77" s="82">
        <f t="shared" si="237"/>
        <v>0</v>
      </c>
      <c r="CG77" s="82">
        <f t="shared" si="238"/>
        <v>0</v>
      </c>
      <c r="CH77" s="82">
        <f t="shared" si="239"/>
        <v>0</v>
      </c>
      <c r="CI77" s="82">
        <f t="shared" si="240"/>
        <v>0</v>
      </c>
      <c r="CJ77" s="82">
        <f t="shared" si="241"/>
        <v>0</v>
      </c>
      <c r="CK77" s="82">
        <f t="shared" si="242"/>
        <v>0</v>
      </c>
      <c r="CL77" s="82">
        <f t="shared" si="243"/>
        <v>0</v>
      </c>
      <c r="CM77" s="82">
        <f t="shared" si="244"/>
        <v>0</v>
      </c>
      <c r="CN77" s="82">
        <f t="shared" si="245"/>
        <v>0</v>
      </c>
      <c r="CO77" s="82">
        <f t="shared" si="246"/>
        <v>0</v>
      </c>
      <c r="CP77" s="82">
        <f t="shared" si="247"/>
        <v>0</v>
      </c>
      <c r="CQ77" s="82">
        <f t="shared" si="248"/>
        <v>0</v>
      </c>
      <c r="CR77" s="82">
        <f t="shared" si="249"/>
        <v>0</v>
      </c>
      <c r="CS77" s="82">
        <f t="shared" si="250"/>
        <v>0</v>
      </c>
      <c r="CT77" s="82">
        <f t="shared" si="251"/>
        <v>0</v>
      </c>
      <c r="CU77" s="82">
        <f t="shared" si="252"/>
        <v>0</v>
      </c>
      <c r="CV77" s="82">
        <f t="shared" si="253"/>
        <v>0</v>
      </c>
      <c r="CW77" s="82">
        <f t="shared" si="254"/>
        <v>0</v>
      </c>
      <c r="CX77" s="82">
        <f t="shared" si="255"/>
        <v>0</v>
      </c>
      <c r="CY77" s="82">
        <f t="shared" si="256"/>
        <v>0</v>
      </c>
      <c r="CZ77" s="82">
        <f t="shared" si="257"/>
        <v>0</v>
      </c>
      <c r="DA77" s="82">
        <f t="shared" si="258"/>
        <v>0</v>
      </c>
      <c r="DB77" s="82">
        <f t="shared" si="259"/>
        <v>0</v>
      </c>
      <c r="DC77" s="82">
        <f t="shared" si="260"/>
        <v>0</v>
      </c>
      <c r="DD77" s="82">
        <f t="shared" si="261"/>
        <v>0</v>
      </c>
      <c r="DE77" s="82">
        <f t="shared" si="262"/>
        <v>0</v>
      </c>
      <c r="DF77" s="82">
        <f t="shared" si="263"/>
        <v>0</v>
      </c>
      <c r="DG77" s="82">
        <f t="shared" si="264"/>
        <v>0</v>
      </c>
      <c r="DH77" s="82">
        <f t="shared" si="265"/>
        <v>0</v>
      </c>
      <c r="DI77" s="82">
        <f t="shared" si="266"/>
        <v>0</v>
      </c>
      <c r="DJ77" s="82">
        <f t="shared" si="267"/>
        <v>0</v>
      </c>
      <c r="DK77" s="82">
        <f t="shared" si="268"/>
        <v>0</v>
      </c>
      <c r="DL77" s="82">
        <f t="shared" si="269"/>
        <v>0</v>
      </c>
      <c r="DM77" s="82">
        <f t="shared" si="270"/>
        <v>0</v>
      </c>
      <c r="DN77" s="82">
        <f t="shared" si="271"/>
        <v>0</v>
      </c>
      <c r="DO77" s="82">
        <f t="shared" si="272"/>
        <v>0</v>
      </c>
      <c r="DP77" s="82">
        <f t="shared" si="273"/>
        <v>0</v>
      </c>
      <c r="DQ77" s="82">
        <f t="shared" si="274"/>
        <v>0</v>
      </c>
      <c r="DR77" s="82">
        <f t="shared" si="275"/>
        <v>0</v>
      </c>
      <c r="DS77" s="82">
        <f t="shared" si="276"/>
        <v>0</v>
      </c>
      <c r="DT77" s="82">
        <f t="shared" si="277"/>
        <v>0</v>
      </c>
      <c r="DU77" s="82">
        <f t="shared" si="278"/>
        <v>0</v>
      </c>
      <c r="DV77" s="82">
        <f t="shared" si="279"/>
        <v>0</v>
      </c>
      <c r="DW77" s="82">
        <f t="shared" si="280"/>
        <v>0</v>
      </c>
      <c r="DX77" s="82">
        <f t="shared" si="281"/>
        <v>0</v>
      </c>
      <c r="DY77" s="82">
        <f t="shared" si="282"/>
        <v>0</v>
      </c>
      <c r="DZ77" s="82">
        <f t="shared" si="283"/>
        <v>0</v>
      </c>
      <c r="EA77" s="82">
        <f t="shared" si="284"/>
        <v>0</v>
      </c>
      <c r="EB77" s="82">
        <f t="shared" si="285"/>
        <v>0</v>
      </c>
      <c r="EC77" s="82">
        <f t="shared" si="286"/>
        <v>0</v>
      </c>
      <c r="ED77" s="82">
        <f t="shared" si="287"/>
        <v>0</v>
      </c>
      <c r="EE77" s="82">
        <f t="shared" si="288"/>
        <v>0</v>
      </c>
      <c r="EF77" s="82">
        <f t="shared" si="289"/>
        <v>0</v>
      </c>
      <c r="EG77" s="82">
        <f t="shared" si="290"/>
        <v>0</v>
      </c>
      <c r="EH77" s="82">
        <f t="shared" si="291"/>
        <v>0</v>
      </c>
      <c r="EI77" s="82">
        <f t="shared" si="292"/>
        <v>0</v>
      </c>
      <c r="EJ77" s="82">
        <f t="shared" si="293"/>
        <v>0</v>
      </c>
      <c r="EK77" s="82">
        <f t="shared" si="294"/>
        <v>0</v>
      </c>
      <c r="EL77" s="82">
        <f t="shared" si="295"/>
        <v>0</v>
      </c>
      <c r="EM77" s="82">
        <f t="shared" si="296"/>
        <v>0</v>
      </c>
      <c r="EN77" s="82">
        <f t="shared" si="297"/>
        <v>0</v>
      </c>
      <c r="EO77" s="82">
        <f t="shared" si="298"/>
        <v>0</v>
      </c>
      <c r="EP77" s="82">
        <f t="shared" si="299"/>
        <v>0</v>
      </c>
      <c r="EQ77" s="82">
        <f t="shared" si="300"/>
        <v>0</v>
      </c>
      <c r="ER77" s="82">
        <f t="shared" si="301"/>
        <v>0</v>
      </c>
      <c r="ES77" s="82">
        <f t="shared" si="302"/>
        <v>0</v>
      </c>
      <c r="ET77" s="82">
        <f t="shared" si="303"/>
        <v>0</v>
      </c>
      <c r="EU77" s="82">
        <f t="shared" si="304"/>
        <v>0</v>
      </c>
      <c r="EV77" s="82">
        <f t="shared" si="305"/>
        <v>0</v>
      </c>
      <c r="EW77" s="82">
        <f t="shared" si="306"/>
        <v>0</v>
      </c>
      <c r="EX77" s="82">
        <f t="shared" si="307"/>
        <v>0</v>
      </c>
      <c r="EY77" s="111">
        <f t="shared" si="308"/>
        <v>0</v>
      </c>
      <c r="EZ77" s="143">
        <f t="shared" ca="1" si="309"/>
        <v>0</v>
      </c>
      <c r="FA77" s="112">
        <f t="shared" ca="1" si="310"/>
        <v>0</v>
      </c>
      <c r="FB77" s="113">
        <f t="shared" ca="1" si="311"/>
        <v>0</v>
      </c>
      <c r="FC77" s="114">
        <f t="shared" ca="1" si="312"/>
        <v>0</v>
      </c>
      <c r="FD77" s="115">
        <f t="shared" ca="1" si="313"/>
        <v>0</v>
      </c>
      <c r="FE77" s="116">
        <f t="shared" ca="1" si="314"/>
        <v>0</v>
      </c>
      <c r="FF77" s="117">
        <f t="shared" ca="1" si="315"/>
        <v>0</v>
      </c>
      <c r="FG77" s="71">
        <f t="shared" si="316"/>
        <v>0</v>
      </c>
      <c r="FH77" s="530">
        <f t="shared" ca="1" si="317"/>
        <v>0</v>
      </c>
      <c r="FI77" s="72"/>
      <c r="FJ77" s="72"/>
      <c r="FK77" s="72"/>
      <c r="FM77" s="421" t="str">
        <f t="shared" si="318"/>
        <v>L06-609_MfamResiPthp</v>
      </c>
      <c r="FN77" s="422" t="str">
        <f t="shared" ca="1" si="319"/>
        <v>Dwelling Unit</v>
      </c>
      <c r="FO77" s="423">
        <f t="shared" ref="FO77:GD92" ca="1" si="323">IFERROR(ROUNDDOWN(SUMIF($H77:$CC77,FO$11,$CD77:$EX77)/FO$10,0),0)</f>
        <v>0</v>
      </c>
      <c r="FP77" s="423">
        <f t="shared" ca="1" si="323"/>
        <v>0</v>
      </c>
      <c r="FQ77" s="423">
        <f t="shared" ca="1" si="323"/>
        <v>0</v>
      </c>
      <c r="FR77" s="423">
        <f t="shared" ca="1" si="323"/>
        <v>0</v>
      </c>
      <c r="FS77" s="423">
        <f t="shared" ca="1" si="323"/>
        <v>0</v>
      </c>
      <c r="FT77" s="423">
        <f t="shared" ca="1" si="323"/>
        <v>0</v>
      </c>
      <c r="FU77" s="423">
        <f t="shared" ca="1" si="323"/>
        <v>0</v>
      </c>
      <c r="FV77" s="423">
        <f t="shared" ca="1" si="323"/>
        <v>0</v>
      </c>
      <c r="FW77" s="423">
        <f t="shared" ca="1" si="323"/>
        <v>0</v>
      </c>
      <c r="FX77" s="423">
        <f t="shared" ca="1" si="323"/>
        <v>0</v>
      </c>
      <c r="FY77" s="423">
        <f t="shared" ca="1" si="323"/>
        <v>0</v>
      </c>
      <c r="FZ77" s="423">
        <f t="shared" ca="1" si="323"/>
        <v>0</v>
      </c>
      <c r="GA77" s="423">
        <f t="shared" ca="1" si="323"/>
        <v>0</v>
      </c>
      <c r="GB77" s="423">
        <f t="shared" ca="1" si="323"/>
        <v>0</v>
      </c>
      <c r="GC77" s="423">
        <f t="shared" ca="1" si="323"/>
        <v>0</v>
      </c>
      <c r="GD77" s="423">
        <f t="shared" ca="1" si="320"/>
        <v>0</v>
      </c>
      <c r="GE77" s="423">
        <f t="shared" ca="1" si="320"/>
        <v>0</v>
      </c>
      <c r="GF77" s="423">
        <f t="shared" ca="1" si="320"/>
        <v>0</v>
      </c>
      <c r="GG77" s="423">
        <f t="shared" ca="1" si="320"/>
        <v>0</v>
      </c>
      <c r="GH77" s="423">
        <f t="shared" ca="1" si="320"/>
        <v>0</v>
      </c>
      <c r="GI77" s="423">
        <f t="shared" ca="1" si="320"/>
        <v>0</v>
      </c>
      <c r="GJ77" s="423">
        <f t="shared" ca="1" si="320"/>
        <v>0</v>
      </c>
      <c r="GK77" s="423">
        <f t="shared" ca="1" si="320"/>
        <v>0</v>
      </c>
      <c r="GL77" s="423">
        <f t="shared" ca="1" si="320"/>
        <v>0</v>
      </c>
      <c r="GM77" s="423">
        <f t="shared" ca="1" si="320"/>
        <v>0</v>
      </c>
      <c r="GN77" s="423">
        <f t="shared" ca="1" si="320"/>
        <v>0</v>
      </c>
      <c r="GO77" s="423">
        <f t="shared" ca="1" si="320"/>
        <v>0</v>
      </c>
      <c r="GP77" s="423">
        <f t="shared" ca="1" si="320"/>
        <v>0</v>
      </c>
      <c r="GQ77" s="423">
        <f t="shared" ca="1" si="320"/>
        <v>0</v>
      </c>
      <c r="GR77" s="423">
        <f t="shared" ca="1" si="320"/>
        <v>0</v>
      </c>
      <c r="GS77" s="423">
        <f t="shared" ca="1" si="320"/>
        <v>0</v>
      </c>
      <c r="GT77" s="423">
        <f t="shared" ca="1" si="321"/>
        <v>0</v>
      </c>
      <c r="GU77" s="423">
        <f t="shared" ca="1" si="233"/>
        <v>0</v>
      </c>
      <c r="GV77" s="423">
        <f t="shared" ca="1" si="233"/>
        <v>0</v>
      </c>
      <c r="GW77" s="423">
        <f t="shared" ca="1" si="233"/>
        <v>0</v>
      </c>
      <c r="GX77" s="423">
        <f t="shared" ca="1" si="233"/>
        <v>0</v>
      </c>
      <c r="GY77" s="423">
        <f t="shared" ca="1" si="233"/>
        <v>0</v>
      </c>
      <c r="GZ77" s="423">
        <f t="shared" ca="1" si="233"/>
        <v>0</v>
      </c>
      <c r="HA77" s="423">
        <f t="shared" ca="1" si="233"/>
        <v>0</v>
      </c>
      <c r="HB77" s="423">
        <f t="shared" ca="1" si="233"/>
        <v>0</v>
      </c>
      <c r="HC77" s="423">
        <f t="shared" ca="1" si="233"/>
        <v>0</v>
      </c>
      <c r="HD77" s="423">
        <f t="shared" ca="1" si="233"/>
        <v>0</v>
      </c>
      <c r="HE77" s="423">
        <f t="shared" ca="1" si="233"/>
        <v>0</v>
      </c>
      <c r="HF77" s="423">
        <f t="shared" ca="1" si="233"/>
        <v>0</v>
      </c>
      <c r="HG77" s="423">
        <f t="shared" ca="1" si="233"/>
        <v>0</v>
      </c>
      <c r="HH77" s="423">
        <f t="shared" ca="1" si="233"/>
        <v>0</v>
      </c>
      <c r="HI77" s="423">
        <f t="shared" ca="1" si="233"/>
        <v>0</v>
      </c>
      <c r="HJ77" s="423">
        <f t="shared" ca="1" si="233"/>
        <v>0</v>
      </c>
      <c r="HK77" s="423">
        <f t="shared" ca="1" si="234"/>
        <v>0</v>
      </c>
      <c r="HL77" s="423">
        <f t="shared" ca="1" si="234"/>
        <v>0</v>
      </c>
      <c r="HM77" s="423">
        <f t="shared" ca="1" si="234"/>
        <v>0</v>
      </c>
      <c r="HN77" s="423">
        <f t="shared" ca="1" si="234"/>
        <v>0</v>
      </c>
      <c r="HO77" s="423">
        <f t="shared" ca="1" si="234"/>
        <v>0</v>
      </c>
      <c r="HP77" s="423">
        <f t="shared" ca="1" si="234"/>
        <v>0</v>
      </c>
      <c r="HQ77" s="423">
        <f t="shared" ca="1" si="234"/>
        <v>0</v>
      </c>
      <c r="HR77" s="423">
        <f t="shared" ca="1" si="234"/>
        <v>0</v>
      </c>
      <c r="HS77" s="423">
        <f t="shared" ca="1" si="234"/>
        <v>0</v>
      </c>
      <c r="HT77" s="423">
        <f t="shared" ca="1" si="234"/>
        <v>0</v>
      </c>
    </row>
    <row r="78" spans="1:230" ht="11.25" customHeight="1" x14ac:dyDescent="0.2">
      <c r="A78" s="62">
        <f t="shared" si="322"/>
        <v>67</v>
      </c>
      <c r="B78" s="60" t="str">
        <f>Spaces_Sum!C123</f>
        <v>L06-610_LndyRaccBbrd</v>
      </c>
      <c r="C78" s="62" t="str">
        <f>Spaces_Sum!D123</f>
        <v>L06</v>
      </c>
      <c r="D78" s="62" t="str">
        <f ca="1">Spaces_Sum!I123</f>
        <v>DirectlyConditioned</v>
      </c>
      <c r="F78" s="110">
        <f ca="1">Spaces_Sum!M123</f>
        <v>272.42880000000002</v>
      </c>
      <c r="G78" s="110" t="str">
        <f ca="1">Spaces_Sum!J123</f>
        <v>Laundry/Washing Area</v>
      </c>
      <c r="H78" s="532"/>
      <c r="I78" s="185"/>
      <c r="J78" s="185"/>
      <c r="K78" s="186"/>
      <c r="L78" s="187"/>
      <c r="M78" s="188"/>
      <c r="N78" s="189"/>
      <c r="O78" s="186"/>
      <c r="P78" s="187"/>
      <c r="Q78" s="188"/>
      <c r="R78" s="189"/>
      <c r="S78" s="186"/>
      <c r="T78" s="187"/>
      <c r="U78" s="188"/>
      <c r="V78" s="189"/>
      <c r="W78" s="186"/>
      <c r="X78" s="187"/>
      <c r="Y78" s="188"/>
      <c r="Z78" s="189"/>
      <c r="AA78" s="186"/>
      <c r="AB78" s="187"/>
      <c r="AC78" s="188"/>
      <c r="AD78" s="189"/>
      <c r="AE78" s="186"/>
      <c r="AF78" s="187"/>
      <c r="AG78" s="188"/>
      <c r="AH78" s="189"/>
      <c r="AI78" s="186"/>
      <c r="AJ78" s="187"/>
      <c r="AK78" s="188"/>
      <c r="AL78" s="189"/>
      <c r="AM78" s="186"/>
      <c r="AN78" s="187"/>
      <c r="AO78" s="188"/>
      <c r="AP78" s="189"/>
      <c r="AQ78" s="186"/>
      <c r="AR78" s="187"/>
      <c r="AS78" s="188"/>
      <c r="AT78" s="189"/>
      <c r="AU78" s="186"/>
      <c r="AV78" s="187"/>
      <c r="AW78" s="188"/>
      <c r="AX78" s="189"/>
      <c r="AY78" s="186"/>
      <c r="AZ78" s="187"/>
      <c r="BA78" s="188"/>
      <c r="BB78" s="189"/>
      <c r="BC78" s="186"/>
      <c r="BD78" s="187"/>
      <c r="BE78" s="188"/>
      <c r="BF78" s="189"/>
      <c r="BG78" s="186"/>
      <c r="BH78" s="187"/>
      <c r="BI78" s="188"/>
      <c r="BJ78" s="189"/>
      <c r="BK78" s="186"/>
      <c r="BL78" s="187"/>
      <c r="BM78" s="188"/>
      <c r="BN78" s="189"/>
      <c r="BO78" s="186"/>
      <c r="BP78" s="187"/>
      <c r="BQ78" s="188"/>
      <c r="BR78" s="189"/>
      <c r="BS78" s="186"/>
      <c r="BT78" s="187"/>
      <c r="BU78" s="188"/>
      <c r="BV78" s="189"/>
      <c r="BW78" s="186"/>
      <c r="BX78" s="187"/>
      <c r="BY78" s="188"/>
      <c r="BZ78" s="189"/>
      <c r="CA78" s="186"/>
      <c r="CB78" s="190"/>
      <c r="CC78" s="190"/>
      <c r="CD78" s="82">
        <f t="shared" si="235"/>
        <v>0</v>
      </c>
      <c r="CE78" s="82">
        <f t="shared" si="236"/>
        <v>0</v>
      </c>
      <c r="CF78" s="82">
        <f t="shared" si="237"/>
        <v>0</v>
      </c>
      <c r="CG78" s="82">
        <f t="shared" si="238"/>
        <v>0</v>
      </c>
      <c r="CH78" s="82">
        <f t="shared" si="239"/>
        <v>0</v>
      </c>
      <c r="CI78" s="82">
        <f t="shared" si="240"/>
        <v>0</v>
      </c>
      <c r="CJ78" s="82">
        <f t="shared" si="241"/>
        <v>0</v>
      </c>
      <c r="CK78" s="82">
        <f t="shared" si="242"/>
        <v>0</v>
      </c>
      <c r="CL78" s="82">
        <f t="shared" si="243"/>
        <v>0</v>
      </c>
      <c r="CM78" s="82">
        <f t="shared" si="244"/>
        <v>0</v>
      </c>
      <c r="CN78" s="82">
        <f t="shared" si="245"/>
        <v>0</v>
      </c>
      <c r="CO78" s="82">
        <f t="shared" si="246"/>
        <v>0</v>
      </c>
      <c r="CP78" s="82">
        <f t="shared" si="247"/>
        <v>0</v>
      </c>
      <c r="CQ78" s="82">
        <f t="shared" si="248"/>
        <v>0</v>
      </c>
      <c r="CR78" s="82">
        <f t="shared" si="249"/>
        <v>0</v>
      </c>
      <c r="CS78" s="82">
        <f t="shared" si="250"/>
        <v>0</v>
      </c>
      <c r="CT78" s="82">
        <f t="shared" si="251"/>
        <v>0</v>
      </c>
      <c r="CU78" s="82">
        <f t="shared" si="252"/>
        <v>0</v>
      </c>
      <c r="CV78" s="82">
        <f t="shared" si="253"/>
        <v>0</v>
      </c>
      <c r="CW78" s="82">
        <f t="shared" si="254"/>
        <v>0</v>
      </c>
      <c r="CX78" s="82">
        <f t="shared" si="255"/>
        <v>0</v>
      </c>
      <c r="CY78" s="82">
        <f t="shared" si="256"/>
        <v>0</v>
      </c>
      <c r="CZ78" s="82">
        <f t="shared" si="257"/>
        <v>0</v>
      </c>
      <c r="DA78" s="82">
        <f t="shared" si="258"/>
        <v>0</v>
      </c>
      <c r="DB78" s="82">
        <f t="shared" si="259"/>
        <v>0</v>
      </c>
      <c r="DC78" s="82">
        <f t="shared" si="260"/>
        <v>0</v>
      </c>
      <c r="DD78" s="82">
        <f t="shared" si="261"/>
        <v>0</v>
      </c>
      <c r="DE78" s="82">
        <f t="shared" si="262"/>
        <v>0</v>
      </c>
      <c r="DF78" s="82">
        <f t="shared" si="263"/>
        <v>0</v>
      </c>
      <c r="DG78" s="82">
        <f t="shared" si="264"/>
        <v>0</v>
      </c>
      <c r="DH78" s="82">
        <f t="shared" si="265"/>
        <v>0</v>
      </c>
      <c r="DI78" s="82">
        <f t="shared" si="266"/>
        <v>0</v>
      </c>
      <c r="DJ78" s="82">
        <f t="shared" si="267"/>
        <v>0</v>
      </c>
      <c r="DK78" s="82">
        <f t="shared" si="268"/>
        <v>0</v>
      </c>
      <c r="DL78" s="82">
        <f t="shared" si="269"/>
        <v>0</v>
      </c>
      <c r="DM78" s="82">
        <f t="shared" si="270"/>
        <v>0</v>
      </c>
      <c r="DN78" s="82">
        <f t="shared" si="271"/>
        <v>0</v>
      </c>
      <c r="DO78" s="82">
        <f t="shared" si="272"/>
        <v>0</v>
      </c>
      <c r="DP78" s="82">
        <f t="shared" si="273"/>
        <v>0</v>
      </c>
      <c r="DQ78" s="82">
        <f t="shared" si="274"/>
        <v>0</v>
      </c>
      <c r="DR78" s="82">
        <f t="shared" si="275"/>
        <v>0</v>
      </c>
      <c r="DS78" s="82">
        <f t="shared" si="276"/>
        <v>0</v>
      </c>
      <c r="DT78" s="82">
        <f t="shared" si="277"/>
        <v>0</v>
      </c>
      <c r="DU78" s="82">
        <f t="shared" si="278"/>
        <v>0</v>
      </c>
      <c r="DV78" s="82">
        <f t="shared" si="279"/>
        <v>0</v>
      </c>
      <c r="DW78" s="82">
        <f t="shared" si="280"/>
        <v>0</v>
      </c>
      <c r="DX78" s="82">
        <f t="shared" si="281"/>
        <v>0</v>
      </c>
      <c r="DY78" s="82">
        <f t="shared" si="282"/>
        <v>0</v>
      </c>
      <c r="DZ78" s="82">
        <f t="shared" si="283"/>
        <v>0</v>
      </c>
      <c r="EA78" s="82">
        <f t="shared" si="284"/>
        <v>0</v>
      </c>
      <c r="EB78" s="82">
        <f t="shared" si="285"/>
        <v>0</v>
      </c>
      <c r="EC78" s="82">
        <f t="shared" si="286"/>
        <v>0</v>
      </c>
      <c r="ED78" s="82">
        <f t="shared" si="287"/>
        <v>0</v>
      </c>
      <c r="EE78" s="82">
        <f t="shared" si="288"/>
        <v>0</v>
      </c>
      <c r="EF78" s="82">
        <f t="shared" si="289"/>
        <v>0</v>
      </c>
      <c r="EG78" s="82">
        <f t="shared" si="290"/>
        <v>0</v>
      </c>
      <c r="EH78" s="82">
        <f t="shared" si="291"/>
        <v>0</v>
      </c>
      <c r="EI78" s="82">
        <f t="shared" si="292"/>
        <v>0</v>
      </c>
      <c r="EJ78" s="82">
        <f t="shared" si="293"/>
        <v>0</v>
      </c>
      <c r="EK78" s="82">
        <f t="shared" si="294"/>
        <v>0</v>
      </c>
      <c r="EL78" s="82">
        <f t="shared" si="295"/>
        <v>0</v>
      </c>
      <c r="EM78" s="82">
        <f t="shared" si="296"/>
        <v>0</v>
      </c>
      <c r="EN78" s="82">
        <f t="shared" si="297"/>
        <v>0</v>
      </c>
      <c r="EO78" s="82">
        <f t="shared" si="298"/>
        <v>0</v>
      </c>
      <c r="EP78" s="82">
        <f t="shared" si="299"/>
        <v>0</v>
      </c>
      <c r="EQ78" s="82">
        <f t="shared" si="300"/>
        <v>0</v>
      </c>
      <c r="ER78" s="82">
        <f t="shared" si="301"/>
        <v>0</v>
      </c>
      <c r="ES78" s="82">
        <f t="shared" si="302"/>
        <v>0</v>
      </c>
      <c r="ET78" s="82">
        <f t="shared" si="303"/>
        <v>0</v>
      </c>
      <c r="EU78" s="82">
        <f t="shared" si="304"/>
        <v>0</v>
      </c>
      <c r="EV78" s="82">
        <f t="shared" si="305"/>
        <v>0</v>
      </c>
      <c r="EW78" s="82">
        <f t="shared" si="306"/>
        <v>0</v>
      </c>
      <c r="EX78" s="82">
        <f t="shared" si="307"/>
        <v>0</v>
      </c>
      <c r="EY78" s="111">
        <f t="shared" si="308"/>
        <v>0</v>
      </c>
      <c r="EZ78" s="143">
        <f t="shared" ca="1" si="309"/>
        <v>0</v>
      </c>
      <c r="FA78" s="112">
        <f t="shared" ca="1" si="310"/>
        <v>0</v>
      </c>
      <c r="FB78" s="113">
        <f t="shared" ca="1" si="311"/>
        <v>0</v>
      </c>
      <c r="FC78" s="114">
        <f t="shared" ca="1" si="312"/>
        <v>0</v>
      </c>
      <c r="FD78" s="115">
        <f t="shared" ca="1" si="313"/>
        <v>0</v>
      </c>
      <c r="FE78" s="116">
        <f t="shared" ca="1" si="314"/>
        <v>0</v>
      </c>
      <c r="FF78" s="117">
        <f t="shared" ca="1" si="315"/>
        <v>0</v>
      </c>
      <c r="FG78" s="71">
        <f t="shared" si="316"/>
        <v>0</v>
      </c>
      <c r="FH78" s="530">
        <f t="shared" ca="1" si="317"/>
        <v>0</v>
      </c>
      <c r="FI78" s="72"/>
      <c r="FJ78" s="72"/>
      <c r="FK78" s="72"/>
      <c r="FM78" s="421" t="str">
        <f t="shared" si="318"/>
        <v>L06-610_LndyRaccBbrd</v>
      </c>
      <c r="FN78" s="422" t="str">
        <f t="shared" ca="1" si="319"/>
        <v>Laundry/Washing Area</v>
      </c>
      <c r="FO78" s="423">
        <f t="shared" ca="1" si="323"/>
        <v>0</v>
      </c>
      <c r="FP78" s="423">
        <f t="shared" ca="1" si="323"/>
        <v>0</v>
      </c>
      <c r="FQ78" s="423">
        <f t="shared" ca="1" si="323"/>
        <v>0</v>
      </c>
      <c r="FR78" s="423">
        <f t="shared" ca="1" si="323"/>
        <v>0</v>
      </c>
      <c r="FS78" s="423">
        <f t="shared" ca="1" si="323"/>
        <v>0</v>
      </c>
      <c r="FT78" s="423">
        <f t="shared" ca="1" si="323"/>
        <v>0</v>
      </c>
      <c r="FU78" s="423">
        <f t="shared" ca="1" si="323"/>
        <v>0</v>
      </c>
      <c r="FV78" s="423">
        <f t="shared" ca="1" si="323"/>
        <v>0</v>
      </c>
      <c r="FW78" s="423">
        <f t="shared" ca="1" si="323"/>
        <v>0</v>
      </c>
      <c r="FX78" s="423">
        <f t="shared" ca="1" si="323"/>
        <v>0</v>
      </c>
      <c r="FY78" s="423">
        <f t="shared" ca="1" si="323"/>
        <v>0</v>
      </c>
      <c r="FZ78" s="423">
        <f t="shared" ca="1" si="323"/>
        <v>0</v>
      </c>
      <c r="GA78" s="423">
        <f t="shared" ca="1" si="323"/>
        <v>0</v>
      </c>
      <c r="GB78" s="423">
        <f t="shared" ca="1" si="323"/>
        <v>0</v>
      </c>
      <c r="GC78" s="423">
        <f t="shared" ca="1" si="323"/>
        <v>0</v>
      </c>
      <c r="GD78" s="423">
        <f t="shared" ca="1" si="320"/>
        <v>0</v>
      </c>
      <c r="GE78" s="423">
        <f t="shared" ca="1" si="320"/>
        <v>0</v>
      </c>
      <c r="GF78" s="423">
        <f t="shared" ca="1" si="320"/>
        <v>0</v>
      </c>
      <c r="GG78" s="423">
        <f t="shared" ca="1" si="320"/>
        <v>0</v>
      </c>
      <c r="GH78" s="423">
        <f t="shared" ca="1" si="320"/>
        <v>0</v>
      </c>
      <c r="GI78" s="423">
        <f t="shared" ca="1" si="320"/>
        <v>0</v>
      </c>
      <c r="GJ78" s="423">
        <f t="shared" ca="1" si="320"/>
        <v>0</v>
      </c>
      <c r="GK78" s="423">
        <f t="shared" ca="1" si="320"/>
        <v>0</v>
      </c>
      <c r="GL78" s="423">
        <f t="shared" ca="1" si="320"/>
        <v>0</v>
      </c>
      <c r="GM78" s="423">
        <f t="shared" ca="1" si="320"/>
        <v>0</v>
      </c>
      <c r="GN78" s="423">
        <f t="shared" ca="1" si="320"/>
        <v>0</v>
      </c>
      <c r="GO78" s="423">
        <f t="shared" ca="1" si="320"/>
        <v>0</v>
      </c>
      <c r="GP78" s="423">
        <f t="shared" ca="1" si="320"/>
        <v>0</v>
      </c>
      <c r="GQ78" s="423">
        <f t="shared" ca="1" si="320"/>
        <v>0</v>
      </c>
      <c r="GR78" s="423">
        <f t="shared" ca="1" si="320"/>
        <v>0</v>
      </c>
      <c r="GS78" s="423">
        <f t="shared" ca="1" si="320"/>
        <v>0</v>
      </c>
      <c r="GT78" s="423">
        <f t="shared" ca="1" si="321"/>
        <v>0</v>
      </c>
      <c r="GU78" s="423">
        <f t="shared" ca="1" si="233"/>
        <v>0</v>
      </c>
      <c r="GV78" s="423">
        <f t="shared" ca="1" si="233"/>
        <v>0</v>
      </c>
      <c r="GW78" s="423">
        <f t="shared" ca="1" si="233"/>
        <v>0</v>
      </c>
      <c r="GX78" s="423">
        <f t="shared" ca="1" si="233"/>
        <v>0</v>
      </c>
      <c r="GY78" s="423">
        <f t="shared" ca="1" si="233"/>
        <v>0</v>
      </c>
      <c r="GZ78" s="423">
        <f t="shared" ca="1" si="233"/>
        <v>0</v>
      </c>
      <c r="HA78" s="423">
        <f t="shared" ca="1" si="233"/>
        <v>0</v>
      </c>
      <c r="HB78" s="423">
        <f t="shared" ca="1" si="233"/>
        <v>0</v>
      </c>
      <c r="HC78" s="423">
        <f t="shared" ca="1" si="233"/>
        <v>0</v>
      </c>
      <c r="HD78" s="423">
        <f t="shared" ca="1" si="233"/>
        <v>0</v>
      </c>
      <c r="HE78" s="423">
        <f t="shared" ca="1" si="233"/>
        <v>0</v>
      </c>
      <c r="HF78" s="423">
        <f t="shared" ca="1" si="233"/>
        <v>0</v>
      </c>
      <c r="HG78" s="423">
        <f t="shared" ca="1" si="233"/>
        <v>0</v>
      </c>
      <c r="HH78" s="423">
        <f t="shared" ca="1" si="233"/>
        <v>0</v>
      </c>
      <c r="HI78" s="423">
        <f t="shared" ca="1" si="233"/>
        <v>0</v>
      </c>
      <c r="HJ78" s="423">
        <f t="shared" ca="1" si="233"/>
        <v>0</v>
      </c>
      <c r="HK78" s="423">
        <f t="shared" ca="1" si="234"/>
        <v>0</v>
      </c>
      <c r="HL78" s="423">
        <f t="shared" ca="1" si="234"/>
        <v>0</v>
      </c>
      <c r="HM78" s="423">
        <f t="shared" ca="1" si="234"/>
        <v>0</v>
      </c>
      <c r="HN78" s="423">
        <f t="shared" ca="1" si="234"/>
        <v>0</v>
      </c>
      <c r="HO78" s="423">
        <f t="shared" ca="1" si="234"/>
        <v>0</v>
      </c>
      <c r="HP78" s="423">
        <f t="shared" ca="1" si="234"/>
        <v>0</v>
      </c>
      <c r="HQ78" s="423">
        <f t="shared" ca="1" si="234"/>
        <v>0</v>
      </c>
      <c r="HR78" s="423">
        <f t="shared" ca="1" si="234"/>
        <v>0</v>
      </c>
      <c r="HS78" s="423">
        <f t="shared" ca="1" si="234"/>
        <v>0</v>
      </c>
      <c r="HT78" s="423">
        <f t="shared" ca="1" si="234"/>
        <v>0</v>
      </c>
    </row>
    <row r="79" spans="1:230" ht="11.25" customHeight="1" x14ac:dyDescent="0.2">
      <c r="A79" s="62">
        <f t="shared" si="322"/>
        <v>68</v>
      </c>
      <c r="B79" s="60" t="str">
        <f>Spaces_Sum!C124</f>
        <v>L06-611_ElevRaccIncd</v>
      </c>
      <c r="C79" s="62" t="str">
        <f>Spaces_Sum!D124</f>
        <v>L06</v>
      </c>
      <c r="D79" s="62" t="str">
        <f ca="1">Spaces_Sum!I124</f>
        <v>IndirectlyConditioned</v>
      </c>
      <c r="F79" s="110">
        <f ca="1">Spaces_Sum!M124</f>
        <v>211.21340000000001</v>
      </c>
      <c r="G79" s="110" t="str">
        <f ca="1">Spaces_Sum!J124</f>
        <v>Unoccupied-Include in Gross Floor Area</v>
      </c>
      <c r="H79" s="532"/>
      <c r="I79" s="185"/>
      <c r="J79" s="185"/>
      <c r="K79" s="186"/>
      <c r="L79" s="187"/>
      <c r="M79" s="188"/>
      <c r="N79" s="189"/>
      <c r="O79" s="186"/>
      <c r="P79" s="187"/>
      <c r="Q79" s="188"/>
      <c r="R79" s="189"/>
      <c r="S79" s="186"/>
      <c r="T79" s="187"/>
      <c r="U79" s="188"/>
      <c r="V79" s="189"/>
      <c r="W79" s="186"/>
      <c r="X79" s="187"/>
      <c r="Y79" s="188"/>
      <c r="Z79" s="189"/>
      <c r="AA79" s="186"/>
      <c r="AB79" s="187"/>
      <c r="AC79" s="188"/>
      <c r="AD79" s="189"/>
      <c r="AE79" s="186"/>
      <c r="AF79" s="187"/>
      <c r="AG79" s="188"/>
      <c r="AH79" s="189"/>
      <c r="AI79" s="186"/>
      <c r="AJ79" s="187"/>
      <c r="AK79" s="188"/>
      <c r="AL79" s="189"/>
      <c r="AM79" s="186"/>
      <c r="AN79" s="187"/>
      <c r="AO79" s="188"/>
      <c r="AP79" s="189"/>
      <c r="AQ79" s="186"/>
      <c r="AR79" s="187"/>
      <c r="AS79" s="188"/>
      <c r="AT79" s="189"/>
      <c r="AU79" s="186"/>
      <c r="AV79" s="187"/>
      <c r="AW79" s="188"/>
      <c r="AX79" s="189"/>
      <c r="AY79" s="186"/>
      <c r="AZ79" s="187"/>
      <c r="BA79" s="188"/>
      <c r="BB79" s="189"/>
      <c r="BC79" s="186"/>
      <c r="BD79" s="187"/>
      <c r="BE79" s="188"/>
      <c r="BF79" s="189"/>
      <c r="BG79" s="186"/>
      <c r="BH79" s="187"/>
      <c r="BI79" s="188"/>
      <c r="BJ79" s="189"/>
      <c r="BK79" s="186"/>
      <c r="BL79" s="187"/>
      <c r="BM79" s="188"/>
      <c r="BN79" s="189"/>
      <c r="BO79" s="186"/>
      <c r="BP79" s="187"/>
      <c r="BQ79" s="188"/>
      <c r="BR79" s="189"/>
      <c r="BS79" s="186"/>
      <c r="BT79" s="187"/>
      <c r="BU79" s="188"/>
      <c r="BV79" s="189"/>
      <c r="BW79" s="186"/>
      <c r="BX79" s="187"/>
      <c r="BY79" s="188"/>
      <c r="BZ79" s="189"/>
      <c r="CA79" s="186"/>
      <c r="CB79" s="190"/>
      <c r="CC79" s="190"/>
      <c r="CD79" s="82">
        <f t="shared" si="235"/>
        <v>0</v>
      </c>
      <c r="CE79" s="82">
        <f t="shared" si="236"/>
        <v>0</v>
      </c>
      <c r="CF79" s="82">
        <f t="shared" si="237"/>
        <v>0</v>
      </c>
      <c r="CG79" s="82">
        <f t="shared" si="238"/>
        <v>0</v>
      </c>
      <c r="CH79" s="82">
        <f t="shared" si="239"/>
        <v>0</v>
      </c>
      <c r="CI79" s="82">
        <f t="shared" si="240"/>
        <v>0</v>
      </c>
      <c r="CJ79" s="82">
        <f t="shared" si="241"/>
        <v>0</v>
      </c>
      <c r="CK79" s="82">
        <f t="shared" si="242"/>
        <v>0</v>
      </c>
      <c r="CL79" s="82">
        <f t="shared" si="243"/>
        <v>0</v>
      </c>
      <c r="CM79" s="82">
        <f t="shared" si="244"/>
        <v>0</v>
      </c>
      <c r="CN79" s="82">
        <f t="shared" si="245"/>
        <v>0</v>
      </c>
      <c r="CO79" s="82">
        <f t="shared" si="246"/>
        <v>0</v>
      </c>
      <c r="CP79" s="82">
        <f t="shared" si="247"/>
        <v>0</v>
      </c>
      <c r="CQ79" s="82">
        <f t="shared" si="248"/>
        <v>0</v>
      </c>
      <c r="CR79" s="82">
        <f t="shared" si="249"/>
        <v>0</v>
      </c>
      <c r="CS79" s="82">
        <f t="shared" si="250"/>
        <v>0</v>
      </c>
      <c r="CT79" s="82">
        <f t="shared" si="251"/>
        <v>0</v>
      </c>
      <c r="CU79" s="82">
        <f t="shared" si="252"/>
        <v>0</v>
      </c>
      <c r="CV79" s="82">
        <f t="shared" si="253"/>
        <v>0</v>
      </c>
      <c r="CW79" s="82">
        <f t="shared" si="254"/>
        <v>0</v>
      </c>
      <c r="CX79" s="82">
        <f t="shared" si="255"/>
        <v>0</v>
      </c>
      <c r="CY79" s="82">
        <f t="shared" si="256"/>
        <v>0</v>
      </c>
      <c r="CZ79" s="82">
        <f t="shared" si="257"/>
        <v>0</v>
      </c>
      <c r="DA79" s="82">
        <f t="shared" si="258"/>
        <v>0</v>
      </c>
      <c r="DB79" s="82">
        <f t="shared" si="259"/>
        <v>0</v>
      </c>
      <c r="DC79" s="82">
        <f t="shared" si="260"/>
        <v>0</v>
      </c>
      <c r="DD79" s="82">
        <f t="shared" si="261"/>
        <v>0</v>
      </c>
      <c r="DE79" s="82">
        <f t="shared" si="262"/>
        <v>0</v>
      </c>
      <c r="DF79" s="82">
        <f t="shared" si="263"/>
        <v>0</v>
      </c>
      <c r="DG79" s="82">
        <f t="shared" si="264"/>
        <v>0</v>
      </c>
      <c r="DH79" s="82">
        <f t="shared" si="265"/>
        <v>0</v>
      </c>
      <c r="DI79" s="82">
        <f t="shared" si="266"/>
        <v>0</v>
      </c>
      <c r="DJ79" s="82">
        <f t="shared" si="267"/>
        <v>0</v>
      </c>
      <c r="DK79" s="82">
        <f t="shared" si="268"/>
        <v>0</v>
      </c>
      <c r="DL79" s="82">
        <f t="shared" si="269"/>
        <v>0</v>
      </c>
      <c r="DM79" s="82">
        <f t="shared" si="270"/>
        <v>0</v>
      </c>
      <c r="DN79" s="82">
        <f t="shared" si="271"/>
        <v>0</v>
      </c>
      <c r="DO79" s="82">
        <f t="shared" si="272"/>
        <v>0</v>
      </c>
      <c r="DP79" s="82">
        <f t="shared" si="273"/>
        <v>0</v>
      </c>
      <c r="DQ79" s="82">
        <f t="shared" si="274"/>
        <v>0</v>
      </c>
      <c r="DR79" s="82">
        <f t="shared" si="275"/>
        <v>0</v>
      </c>
      <c r="DS79" s="82">
        <f t="shared" si="276"/>
        <v>0</v>
      </c>
      <c r="DT79" s="82">
        <f t="shared" si="277"/>
        <v>0</v>
      </c>
      <c r="DU79" s="82">
        <f t="shared" si="278"/>
        <v>0</v>
      </c>
      <c r="DV79" s="82">
        <f t="shared" si="279"/>
        <v>0</v>
      </c>
      <c r="DW79" s="82">
        <f t="shared" si="280"/>
        <v>0</v>
      </c>
      <c r="DX79" s="82">
        <f t="shared" si="281"/>
        <v>0</v>
      </c>
      <c r="DY79" s="82">
        <f t="shared" si="282"/>
        <v>0</v>
      </c>
      <c r="DZ79" s="82">
        <f t="shared" si="283"/>
        <v>0</v>
      </c>
      <c r="EA79" s="82">
        <f t="shared" si="284"/>
        <v>0</v>
      </c>
      <c r="EB79" s="82">
        <f t="shared" si="285"/>
        <v>0</v>
      </c>
      <c r="EC79" s="82">
        <f t="shared" si="286"/>
        <v>0</v>
      </c>
      <c r="ED79" s="82">
        <f t="shared" si="287"/>
        <v>0</v>
      </c>
      <c r="EE79" s="82">
        <f t="shared" si="288"/>
        <v>0</v>
      </c>
      <c r="EF79" s="82">
        <f t="shared" si="289"/>
        <v>0</v>
      </c>
      <c r="EG79" s="82">
        <f t="shared" si="290"/>
        <v>0</v>
      </c>
      <c r="EH79" s="82">
        <f t="shared" si="291"/>
        <v>0</v>
      </c>
      <c r="EI79" s="82">
        <f t="shared" si="292"/>
        <v>0</v>
      </c>
      <c r="EJ79" s="82">
        <f t="shared" si="293"/>
        <v>0</v>
      </c>
      <c r="EK79" s="82">
        <f t="shared" si="294"/>
        <v>0</v>
      </c>
      <c r="EL79" s="82">
        <f t="shared" si="295"/>
        <v>0</v>
      </c>
      <c r="EM79" s="82">
        <f t="shared" si="296"/>
        <v>0</v>
      </c>
      <c r="EN79" s="82">
        <f t="shared" si="297"/>
        <v>0</v>
      </c>
      <c r="EO79" s="82">
        <f t="shared" si="298"/>
        <v>0</v>
      </c>
      <c r="EP79" s="82">
        <f t="shared" si="299"/>
        <v>0</v>
      </c>
      <c r="EQ79" s="82">
        <f t="shared" si="300"/>
        <v>0</v>
      </c>
      <c r="ER79" s="82">
        <f t="shared" si="301"/>
        <v>0</v>
      </c>
      <c r="ES79" s="82">
        <f t="shared" si="302"/>
        <v>0</v>
      </c>
      <c r="ET79" s="82">
        <f t="shared" si="303"/>
        <v>0</v>
      </c>
      <c r="EU79" s="82">
        <f t="shared" si="304"/>
        <v>0</v>
      </c>
      <c r="EV79" s="82">
        <f t="shared" si="305"/>
        <v>0</v>
      </c>
      <c r="EW79" s="82">
        <f t="shared" si="306"/>
        <v>0</v>
      </c>
      <c r="EX79" s="82">
        <f t="shared" si="307"/>
        <v>0</v>
      </c>
      <c r="EY79" s="111">
        <f t="shared" si="308"/>
        <v>0</v>
      </c>
      <c r="EZ79" s="143">
        <f t="shared" ca="1" si="309"/>
        <v>0</v>
      </c>
      <c r="FA79" s="112">
        <f t="shared" ca="1" si="310"/>
        <v>0</v>
      </c>
      <c r="FB79" s="113">
        <f t="shared" ca="1" si="311"/>
        <v>0</v>
      </c>
      <c r="FC79" s="114">
        <f t="shared" ca="1" si="312"/>
        <v>0</v>
      </c>
      <c r="FD79" s="115">
        <f t="shared" ca="1" si="313"/>
        <v>0</v>
      </c>
      <c r="FE79" s="116">
        <f t="shared" ca="1" si="314"/>
        <v>0</v>
      </c>
      <c r="FF79" s="117">
        <f t="shared" ca="1" si="315"/>
        <v>0</v>
      </c>
      <c r="FG79" s="71">
        <f t="shared" si="316"/>
        <v>0</v>
      </c>
      <c r="FH79" s="530">
        <f t="shared" ca="1" si="317"/>
        <v>0</v>
      </c>
      <c r="FI79" s="72"/>
      <c r="FJ79" s="72"/>
      <c r="FK79" s="72"/>
      <c r="FM79" s="421" t="str">
        <f t="shared" si="318"/>
        <v>L06-611_ElevRaccIncd</v>
      </c>
      <c r="FN79" s="422" t="str">
        <f t="shared" ca="1" si="319"/>
        <v>Unoccupied-Include in Gross Floor Area</v>
      </c>
      <c r="FO79" s="423">
        <f t="shared" ca="1" si="323"/>
        <v>0</v>
      </c>
      <c r="FP79" s="423">
        <f t="shared" ca="1" si="323"/>
        <v>0</v>
      </c>
      <c r="FQ79" s="423">
        <f t="shared" ca="1" si="323"/>
        <v>0</v>
      </c>
      <c r="FR79" s="423">
        <f t="shared" ca="1" si="323"/>
        <v>0</v>
      </c>
      <c r="FS79" s="423">
        <f t="shared" ca="1" si="323"/>
        <v>0</v>
      </c>
      <c r="FT79" s="423">
        <f t="shared" ca="1" si="323"/>
        <v>0</v>
      </c>
      <c r="FU79" s="423">
        <f t="shared" ca="1" si="323"/>
        <v>0</v>
      </c>
      <c r="FV79" s="423">
        <f t="shared" ca="1" si="323"/>
        <v>0</v>
      </c>
      <c r="FW79" s="423">
        <f t="shared" ca="1" si="323"/>
        <v>0</v>
      </c>
      <c r="FX79" s="423">
        <f t="shared" ca="1" si="323"/>
        <v>0</v>
      </c>
      <c r="FY79" s="423">
        <f t="shared" ca="1" si="323"/>
        <v>0</v>
      </c>
      <c r="FZ79" s="423">
        <f t="shared" ca="1" si="323"/>
        <v>0</v>
      </c>
      <c r="GA79" s="423">
        <f t="shared" ca="1" si="323"/>
        <v>0</v>
      </c>
      <c r="GB79" s="423">
        <f t="shared" ca="1" si="323"/>
        <v>0</v>
      </c>
      <c r="GC79" s="423">
        <f t="shared" ca="1" si="323"/>
        <v>0</v>
      </c>
      <c r="GD79" s="423">
        <f t="shared" ca="1" si="320"/>
        <v>0</v>
      </c>
      <c r="GE79" s="423">
        <f t="shared" ca="1" si="320"/>
        <v>0</v>
      </c>
      <c r="GF79" s="423">
        <f t="shared" ca="1" si="320"/>
        <v>0</v>
      </c>
      <c r="GG79" s="423">
        <f t="shared" ca="1" si="320"/>
        <v>0</v>
      </c>
      <c r="GH79" s="423">
        <f t="shared" ca="1" si="320"/>
        <v>0</v>
      </c>
      <c r="GI79" s="423">
        <f t="shared" ca="1" si="320"/>
        <v>0</v>
      </c>
      <c r="GJ79" s="423">
        <f t="shared" ca="1" si="320"/>
        <v>0</v>
      </c>
      <c r="GK79" s="423">
        <f t="shared" ca="1" si="320"/>
        <v>0</v>
      </c>
      <c r="GL79" s="423">
        <f t="shared" ca="1" si="320"/>
        <v>0</v>
      </c>
      <c r="GM79" s="423">
        <f t="shared" ca="1" si="320"/>
        <v>0</v>
      </c>
      <c r="GN79" s="423">
        <f t="shared" ca="1" si="320"/>
        <v>0</v>
      </c>
      <c r="GO79" s="423">
        <f t="shared" ca="1" si="320"/>
        <v>0</v>
      </c>
      <c r="GP79" s="423">
        <f t="shared" ca="1" si="320"/>
        <v>0</v>
      </c>
      <c r="GQ79" s="423">
        <f t="shared" ca="1" si="320"/>
        <v>0</v>
      </c>
      <c r="GR79" s="423">
        <f t="shared" ca="1" si="320"/>
        <v>0</v>
      </c>
      <c r="GS79" s="423">
        <f t="shared" ca="1" si="320"/>
        <v>0</v>
      </c>
      <c r="GT79" s="423">
        <f t="shared" ca="1" si="321"/>
        <v>0</v>
      </c>
      <c r="GU79" s="423">
        <f t="shared" ca="1" si="233"/>
        <v>0</v>
      </c>
      <c r="GV79" s="423">
        <f t="shared" ca="1" si="233"/>
        <v>0</v>
      </c>
      <c r="GW79" s="423">
        <f t="shared" ca="1" si="233"/>
        <v>0</v>
      </c>
      <c r="GX79" s="423">
        <f t="shared" ca="1" si="233"/>
        <v>0</v>
      </c>
      <c r="GY79" s="423">
        <f t="shared" ca="1" si="233"/>
        <v>0</v>
      </c>
      <c r="GZ79" s="423">
        <f t="shared" ca="1" si="233"/>
        <v>0</v>
      </c>
      <c r="HA79" s="423">
        <f t="shared" ca="1" si="233"/>
        <v>0</v>
      </c>
      <c r="HB79" s="423">
        <f t="shared" ca="1" si="233"/>
        <v>0</v>
      </c>
      <c r="HC79" s="423">
        <f t="shared" ca="1" si="233"/>
        <v>0</v>
      </c>
      <c r="HD79" s="423">
        <f t="shared" ca="1" si="233"/>
        <v>0</v>
      </c>
      <c r="HE79" s="423">
        <f t="shared" ca="1" si="233"/>
        <v>0</v>
      </c>
      <c r="HF79" s="423">
        <f t="shared" ca="1" si="233"/>
        <v>0</v>
      </c>
      <c r="HG79" s="423">
        <f t="shared" ca="1" si="233"/>
        <v>0</v>
      </c>
      <c r="HH79" s="423">
        <f t="shared" ca="1" si="233"/>
        <v>0</v>
      </c>
      <c r="HI79" s="423">
        <f t="shared" ca="1" si="233"/>
        <v>0</v>
      </c>
      <c r="HJ79" s="423">
        <f t="shared" ca="1" si="233"/>
        <v>0</v>
      </c>
      <c r="HK79" s="423">
        <f t="shared" ca="1" si="234"/>
        <v>0</v>
      </c>
      <c r="HL79" s="423">
        <f t="shared" ca="1" si="234"/>
        <v>0</v>
      </c>
      <c r="HM79" s="423">
        <f t="shared" ca="1" si="234"/>
        <v>0</v>
      </c>
      <c r="HN79" s="423">
        <f t="shared" ca="1" si="234"/>
        <v>0</v>
      </c>
      <c r="HO79" s="423">
        <f t="shared" ca="1" si="234"/>
        <v>0</v>
      </c>
      <c r="HP79" s="423">
        <f t="shared" ca="1" si="234"/>
        <v>0</v>
      </c>
      <c r="HQ79" s="423">
        <f t="shared" ca="1" si="234"/>
        <v>0</v>
      </c>
      <c r="HR79" s="423">
        <f t="shared" ca="1" si="234"/>
        <v>0</v>
      </c>
      <c r="HS79" s="423">
        <f t="shared" ca="1" si="234"/>
        <v>0</v>
      </c>
      <c r="HT79" s="423">
        <f t="shared" ca="1" si="234"/>
        <v>0</v>
      </c>
    </row>
    <row r="80" spans="1:230" ht="11.25" customHeight="1" x14ac:dyDescent="0.2">
      <c r="A80" s="62">
        <f t="shared" si="322"/>
        <v>69</v>
      </c>
      <c r="B80" s="60" t="str">
        <f>Spaces_Sum!C125</f>
        <v>L06-612_StrsRaccIncd</v>
      </c>
      <c r="C80" s="62" t="str">
        <f>Spaces_Sum!D125</f>
        <v>L06</v>
      </c>
      <c r="D80" s="62" t="str">
        <f ca="1">Spaces_Sum!I125</f>
        <v>IndirectlyConditioned</v>
      </c>
      <c r="F80" s="110">
        <f ca="1">Spaces_Sum!M125</f>
        <v>236.34819999999999</v>
      </c>
      <c r="G80" s="110" t="str">
        <f ca="1">Spaces_Sum!J125</f>
        <v>Stairwell</v>
      </c>
      <c r="H80" s="532"/>
      <c r="I80" s="185"/>
      <c r="J80" s="185"/>
      <c r="K80" s="186"/>
      <c r="L80" s="187"/>
      <c r="M80" s="188"/>
      <c r="N80" s="189"/>
      <c r="O80" s="186"/>
      <c r="P80" s="187"/>
      <c r="Q80" s="188"/>
      <c r="R80" s="189"/>
      <c r="S80" s="186"/>
      <c r="T80" s="187"/>
      <c r="U80" s="188"/>
      <c r="V80" s="189"/>
      <c r="W80" s="186"/>
      <c r="X80" s="187"/>
      <c r="Y80" s="188"/>
      <c r="Z80" s="189"/>
      <c r="AA80" s="186"/>
      <c r="AB80" s="187"/>
      <c r="AC80" s="188"/>
      <c r="AD80" s="189"/>
      <c r="AE80" s="186"/>
      <c r="AF80" s="187"/>
      <c r="AG80" s="188"/>
      <c r="AH80" s="189"/>
      <c r="AI80" s="186"/>
      <c r="AJ80" s="187"/>
      <c r="AK80" s="188"/>
      <c r="AL80" s="189"/>
      <c r="AM80" s="186"/>
      <c r="AN80" s="187"/>
      <c r="AO80" s="188"/>
      <c r="AP80" s="189"/>
      <c r="AQ80" s="186"/>
      <c r="AR80" s="187"/>
      <c r="AS80" s="188"/>
      <c r="AT80" s="189"/>
      <c r="AU80" s="186"/>
      <c r="AV80" s="187"/>
      <c r="AW80" s="188"/>
      <c r="AX80" s="189"/>
      <c r="AY80" s="186"/>
      <c r="AZ80" s="187"/>
      <c r="BA80" s="188"/>
      <c r="BB80" s="189"/>
      <c r="BC80" s="186"/>
      <c r="BD80" s="187"/>
      <c r="BE80" s="188"/>
      <c r="BF80" s="189"/>
      <c r="BG80" s="186"/>
      <c r="BH80" s="187"/>
      <c r="BI80" s="188"/>
      <c r="BJ80" s="189"/>
      <c r="BK80" s="186"/>
      <c r="BL80" s="187"/>
      <c r="BM80" s="188"/>
      <c r="BN80" s="189"/>
      <c r="BO80" s="186"/>
      <c r="BP80" s="187"/>
      <c r="BQ80" s="188"/>
      <c r="BR80" s="189"/>
      <c r="BS80" s="186"/>
      <c r="BT80" s="187"/>
      <c r="BU80" s="188"/>
      <c r="BV80" s="189"/>
      <c r="BW80" s="186"/>
      <c r="BX80" s="187"/>
      <c r="BY80" s="188"/>
      <c r="BZ80" s="189"/>
      <c r="CA80" s="186"/>
      <c r="CB80" s="190"/>
      <c r="CC80" s="190"/>
      <c r="CD80" s="82">
        <f t="shared" si="235"/>
        <v>0</v>
      </c>
      <c r="CE80" s="82">
        <f t="shared" si="236"/>
        <v>0</v>
      </c>
      <c r="CF80" s="82">
        <f t="shared" si="237"/>
        <v>0</v>
      </c>
      <c r="CG80" s="82">
        <f t="shared" si="238"/>
        <v>0</v>
      </c>
      <c r="CH80" s="82">
        <f t="shared" si="239"/>
        <v>0</v>
      </c>
      <c r="CI80" s="82">
        <f t="shared" si="240"/>
        <v>0</v>
      </c>
      <c r="CJ80" s="82">
        <f t="shared" si="241"/>
        <v>0</v>
      </c>
      <c r="CK80" s="82">
        <f t="shared" si="242"/>
        <v>0</v>
      </c>
      <c r="CL80" s="82">
        <f t="shared" si="243"/>
        <v>0</v>
      </c>
      <c r="CM80" s="82">
        <f t="shared" si="244"/>
        <v>0</v>
      </c>
      <c r="CN80" s="82">
        <f t="shared" si="245"/>
        <v>0</v>
      </c>
      <c r="CO80" s="82">
        <f t="shared" si="246"/>
        <v>0</v>
      </c>
      <c r="CP80" s="82">
        <f t="shared" si="247"/>
        <v>0</v>
      </c>
      <c r="CQ80" s="82">
        <f t="shared" si="248"/>
        <v>0</v>
      </c>
      <c r="CR80" s="82">
        <f t="shared" si="249"/>
        <v>0</v>
      </c>
      <c r="CS80" s="82">
        <f t="shared" si="250"/>
        <v>0</v>
      </c>
      <c r="CT80" s="82">
        <f t="shared" si="251"/>
        <v>0</v>
      </c>
      <c r="CU80" s="82">
        <f t="shared" si="252"/>
        <v>0</v>
      </c>
      <c r="CV80" s="82">
        <f t="shared" si="253"/>
        <v>0</v>
      </c>
      <c r="CW80" s="82">
        <f t="shared" si="254"/>
        <v>0</v>
      </c>
      <c r="CX80" s="82">
        <f t="shared" si="255"/>
        <v>0</v>
      </c>
      <c r="CY80" s="82">
        <f t="shared" si="256"/>
        <v>0</v>
      </c>
      <c r="CZ80" s="82">
        <f t="shared" si="257"/>
        <v>0</v>
      </c>
      <c r="DA80" s="82">
        <f t="shared" si="258"/>
        <v>0</v>
      </c>
      <c r="DB80" s="82">
        <f t="shared" si="259"/>
        <v>0</v>
      </c>
      <c r="DC80" s="82">
        <f t="shared" si="260"/>
        <v>0</v>
      </c>
      <c r="DD80" s="82">
        <f t="shared" si="261"/>
        <v>0</v>
      </c>
      <c r="DE80" s="82">
        <f t="shared" si="262"/>
        <v>0</v>
      </c>
      <c r="DF80" s="82">
        <f t="shared" si="263"/>
        <v>0</v>
      </c>
      <c r="DG80" s="82">
        <f t="shared" si="264"/>
        <v>0</v>
      </c>
      <c r="DH80" s="82">
        <f t="shared" si="265"/>
        <v>0</v>
      </c>
      <c r="DI80" s="82">
        <f t="shared" si="266"/>
        <v>0</v>
      </c>
      <c r="DJ80" s="82">
        <f t="shared" si="267"/>
        <v>0</v>
      </c>
      <c r="DK80" s="82">
        <f t="shared" si="268"/>
        <v>0</v>
      </c>
      <c r="DL80" s="82">
        <f t="shared" si="269"/>
        <v>0</v>
      </c>
      <c r="DM80" s="82">
        <f t="shared" si="270"/>
        <v>0</v>
      </c>
      <c r="DN80" s="82">
        <f t="shared" si="271"/>
        <v>0</v>
      </c>
      <c r="DO80" s="82">
        <f t="shared" si="272"/>
        <v>0</v>
      </c>
      <c r="DP80" s="82">
        <f t="shared" si="273"/>
        <v>0</v>
      </c>
      <c r="DQ80" s="82">
        <f t="shared" si="274"/>
        <v>0</v>
      </c>
      <c r="DR80" s="82">
        <f t="shared" si="275"/>
        <v>0</v>
      </c>
      <c r="DS80" s="82">
        <f t="shared" si="276"/>
        <v>0</v>
      </c>
      <c r="DT80" s="82">
        <f t="shared" si="277"/>
        <v>0</v>
      </c>
      <c r="DU80" s="82">
        <f t="shared" si="278"/>
        <v>0</v>
      </c>
      <c r="DV80" s="82">
        <f t="shared" si="279"/>
        <v>0</v>
      </c>
      <c r="DW80" s="82">
        <f t="shared" si="280"/>
        <v>0</v>
      </c>
      <c r="DX80" s="82">
        <f t="shared" si="281"/>
        <v>0</v>
      </c>
      <c r="DY80" s="82">
        <f t="shared" si="282"/>
        <v>0</v>
      </c>
      <c r="DZ80" s="82">
        <f t="shared" si="283"/>
        <v>0</v>
      </c>
      <c r="EA80" s="82">
        <f t="shared" si="284"/>
        <v>0</v>
      </c>
      <c r="EB80" s="82">
        <f t="shared" si="285"/>
        <v>0</v>
      </c>
      <c r="EC80" s="82">
        <f t="shared" si="286"/>
        <v>0</v>
      </c>
      <c r="ED80" s="82">
        <f t="shared" si="287"/>
        <v>0</v>
      </c>
      <c r="EE80" s="82">
        <f t="shared" si="288"/>
        <v>0</v>
      </c>
      <c r="EF80" s="82">
        <f t="shared" si="289"/>
        <v>0</v>
      </c>
      <c r="EG80" s="82">
        <f t="shared" si="290"/>
        <v>0</v>
      </c>
      <c r="EH80" s="82">
        <f t="shared" si="291"/>
        <v>0</v>
      </c>
      <c r="EI80" s="82">
        <f t="shared" si="292"/>
        <v>0</v>
      </c>
      <c r="EJ80" s="82">
        <f t="shared" si="293"/>
        <v>0</v>
      </c>
      <c r="EK80" s="82">
        <f t="shared" si="294"/>
        <v>0</v>
      </c>
      <c r="EL80" s="82">
        <f t="shared" si="295"/>
        <v>0</v>
      </c>
      <c r="EM80" s="82">
        <f t="shared" si="296"/>
        <v>0</v>
      </c>
      <c r="EN80" s="82">
        <f t="shared" si="297"/>
        <v>0</v>
      </c>
      <c r="EO80" s="82">
        <f t="shared" si="298"/>
        <v>0</v>
      </c>
      <c r="EP80" s="82">
        <f t="shared" si="299"/>
        <v>0</v>
      </c>
      <c r="EQ80" s="82">
        <f t="shared" si="300"/>
        <v>0</v>
      </c>
      <c r="ER80" s="82">
        <f t="shared" si="301"/>
        <v>0</v>
      </c>
      <c r="ES80" s="82">
        <f t="shared" si="302"/>
        <v>0</v>
      </c>
      <c r="ET80" s="82">
        <f t="shared" si="303"/>
        <v>0</v>
      </c>
      <c r="EU80" s="82">
        <f t="shared" si="304"/>
        <v>0</v>
      </c>
      <c r="EV80" s="82">
        <f t="shared" si="305"/>
        <v>0</v>
      </c>
      <c r="EW80" s="82">
        <f t="shared" si="306"/>
        <v>0</v>
      </c>
      <c r="EX80" s="82">
        <f t="shared" si="307"/>
        <v>0</v>
      </c>
      <c r="EY80" s="111">
        <f t="shared" si="308"/>
        <v>0</v>
      </c>
      <c r="EZ80" s="143">
        <f t="shared" ca="1" si="309"/>
        <v>0</v>
      </c>
      <c r="FA80" s="112">
        <f t="shared" ca="1" si="310"/>
        <v>0</v>
      </c>
      <c r="FB80" s="113">
        <f t="shared" ca="1" si="311"/>
        <v>0</v>
      </c>
      <c r="FC80" s="114">
        <f t="shared" ca="1" si="312"/>
        <v>0</v>
      </c>
      <c r="FD80" s="115">
        <f t="shared" ca="1" si="313"/>
        <v>0</v>
      </c>
      <c r="FE80" s="116">
        <f t="shared" ca="1" si="314"/>
        <v>0</v>
      </c>
      <c r="FF80" s="117">
        <f t="shared" ca="1" si="315"/>
        <v>0</v>
      </c>
      <c r="FG80" s="71">
        <f t="shared" si="316"/>
        <v>0</v>
      </c>
      <c r="FH80" s="530">
        <f t="shared" ca="1" si="317"/>
        <v>0</v>
      </c>
      <c r="FI80" s="72"/>
      <c r="FJ80" s="72"/>
      <c r="FK80" s="72"/>
      <c r="FM80" s="421" t="str">
        <f t="shared" si="318"/>
        <v>L06-612_StrsRaccIncd</v>
      </c>
      <c r="FN80" s="422" t="str">
        <f t="shared" ca="1" si="319"/>
        <v>Stairwell</v>
      </c>
      <c r="FO80" s="423">
        <f t="shared" ca="1" si="323"/>
        <v>0</v>
      </c>
      <c r="FP80" s="423">
        <f t="shared" ca="1" si="323"/>
        <v>0</v>
      </c>
      <c r="FQ80" s="423">
        <f t="shared" ca="1" si="323"/>
        <v>0</v>
      </c>
      <c r="FR80" s="423">
        <f t="shared" ca="1" si="323"/>
        <v>0</v>
      </c>
      <c r="FS80" s="423">
        <f t="shared" ca="1" si="323"/>
        <v>0</v>
      </c>
      <c r="FT80" s="423">
        <f t="shared" ca="1" si="323"/>
        <v>0</v>
      </c>
      <c r="FU80" s="423">
        <f t="shared" ca="1" si="323"/>
        <v>0</v>
      </c>
      <c r="FV80" s="423">
        <f t="shared" ca="1" si="323"/>
        <v>0</v>
      </c>
      <c r="FW80" s="423">
        <f t="shared" ca="1" si="323"/>
        <v>0</v>
      </c>
      <c r="FX80" s="423">
        <f t="shared" ca="1" si="323"/>
        <v>0</v>
      </c>
      <c r="FY80" s="423">
        <f t="shared" ca="1" si="323"/>
        <v>0</v>
      </c>
      <c r="FZ80" s="423">
        <f t="shared" ca="1" si="323"/>
        <v>0</v>
      </c>
      <c r="GA80" s="423">
        <f t="shared" ca="1" si="323"/>
        <v>0</v>
      </c>
      <c r="GB80" s="423">
        <f t="shared" ca="1" si="323"/>
        <v>0</v>
      </c>
      <c r="GC80" s="423">
        <f t="shared" ca="1" si="323"/>
        <v>0</v>
      </c>
      <c r="GD80" s="423">
        <f t="shared" ca="1" si="320"/>
        <v>0</v>
      </c>
      <c r="GE80" s="423">
        <f t="shared" ca="1" si="320"/>
        <v>0</v>
      </c>
      <c r="GF80" s="423">
        <f t="shared" ca="1" si="320"/>
        <v>0</v>
      </c>
      <c r="GG80" s="423">
        <f t="shared" ca="1" si="320"/>
        <v>0</v>
      </c>
      <c r="GH80" s="423">
        <f t="shared" ca="1" si="320"/>
        <v>0</v>
      </c>
      <c r="GI80" s="423">
        <f t="shared" ca="1" si="320"/>
        <v>0</v>
      </c>
      <c r="GJ80" s="423">
        <f t="shared" ca="1" si="320"/>
        <v>0</v>
      </c>
      <c r="GK80" s="423">
        <f t="shared" ca="1" si="320"/>
        <v>0</v>
      </c>
      <c r="GL80" s="423">
        <f t="shared" ca="1" si="320"/>
        <v>0</v>
      </c>
      <c r="GM80" s="423">
        <f t="shared" ca="1" si="320"/>
        <v>0</v>
      </c>
      <c r="GN80" s="423">
        <f t="shared" ca="1" si="320"/>
        <v>0</v>
      </c>
      <c r="GO80" s="423">
        <f t="shared" ca="1" si="320"/>
        <v>0</v>
      </c>
      <c r="GP80" s="423">
        <f t="shared" ca="1" si="320"/>
        <v>0</v>
      </c>
      <c r="GQ80" s="423">
        <f t="shared" ca="1" si="320"/>
        <v>0</v>
      </c>
      <c r="GR80" s="423">
        <f t="shared" ca="1" si="320"/>
        <v>0</v>
      </c>
      <c r="GS80" s="423">
        <f t="shared" ca="1" si="320"/>
        <v>0</v>
      </c>
      <c r="GT80" s="423">
        <f t="shared" ca="1" si="321"/>
        <v>0</v>
      </c>
      <c r="GU80" s="423">
        <f t="shared" ca="1" si="233"/>
        <v>0</v>
      </c>
      <c r="GV80" s="423">
        <f t="shared" ca="1" si="233"/>
        <v>0</v>
      </c>
      <c r="GW80" s="423">
        <f t="shared" ca="1" si="233"/>
        <v>0</v>
      </c>
      <c r="GX80" s="423">
        <f t="shared" ca="1" si="233"/>
        <v>0</v>
      </c>
      <c r="GY80" s="423">
        <f t="shared" ca="1" si="233"/>
        <v>0</v>
      </c>
      <c r="GZ80" s="423">
        <f t="shared" ca="1" si="233"/>
        <v>0</v>
      </c>
      <c r="HA80" s="423">
        <f t="shared" ca="1" si="233"/>
        <v>0</v>
      </c>
      <c r="HB80" s="423">
        <f t="shared" ca="1" si="233"/>
        <v>0</v>
      </c>
      <c r="HC80" s="423">
        <f t="shared" ca="1" si="233"/>
        <v>0</v>
      </c>
      <c r="HD80" s="423">
        <f t="shared" ca="1" si="233"/>
        <v>0</v>
      </c>
      <c r="HE80" s="423">
        <f t="shared" ca="1" si="233"/>
        <v>0</v>
      </c>
      <c r="HF80" s="423">
        <f t="shared" ca="1" si="233"/>
        <v>0</v>
      </c>
      <c r="HG80" s="423">
        <f t="shared" ca="1" si="233"/>
        <v>0</v>
      </c>
      <c r="HH80" s="423">
        <f t="shared" ca="1" si="233"/>
        <v>0</v>
      </c>
      <c r="HI80" s="423">
        <f t="shared" ca="1" si="233"/>
        <v>0</v>
      </c>
      <c r="HJ80" s="423">
        <f t="shared" ca="1" si="233"/>
        <v>0</v>
      </c>
      <c r="HK80" s="423">
        <f t="shared" ca="1" si="234"/>
        <v>0</v>
      </c>
      <c r="HL80" s="423">
        <f t="shared" ca="1" si="234"/>
        <v>0</v>
      </c>
      <c r="HM80" s="423">
        <f t="shared" ca="1" si="234"/>
        <v>0</v>
      </c>
      <c r="HN80" s="423">
        <f t="shared" ca="1" si="234"/>
        <v>0</v>
      </c>
      <c r="HO80" s="423">
        <f t="shared" ca="1" si="234"/>
        <v>0</v>
      </c>
      <c r="HP80" s="423">
        <f t="shared" ca="1" si="234"/>
        <v>0</v>
      </c>
      <c r="HQ80" s="423">
        <f t="shared" ca="1" si="234"/>
        <v>0</v>
      </c>
      <c r="HR80" s="423">
        <f t="shared" ca="1" si="234"/>
        <v>0</v>
      </c>
      <c r="HS80" s="423">
        <f t="shared" ca="1" si="234"/>
        <v>0</v>
      </c>
      <c r="HT80" s="423">
        <f t="shared" ca="1" si="234"/>
        <v>0</v>
      </c>
    </row>
    <row r="81" spans="1:230" ht="11.25" customHeight="1" x14ac:dyDescent="0.2">
      <c r="A81" s="62">
        <f t="shared" si="322"/>
        <v>70</v>
      </c>
      <c r="B81" s="60" t="str">
        <f>Spaces_Sum!C126</f>
        <v>L06-613_MfamResiPthp</v>
      </c>
      <c r="C81" s="62" t="str">
        <f>Spaces_Sum!D126</f>
        <v>L06</v>
      </c>
      <c r="D81" s="62" t="str">
        <f ca="1">Spaces_Sum!I126</f>
        <v>DirectlyConditioned</v>
      </c>
      <c r="F81" s="110">
        <f ca="1">Spaces_Sum!M126</f>
        <v>3034.0410000000002</v>
      </c>
      <c r="G81" s="110" t="str">
        <f ca="1">Spaces_Sum!J126</f>
        <v>Dwelling Unit</v>
      </c>
      <c r="H81" s="532"/>
      <c r="I81" s="185"/>
      <c r="J81" s="185"/>
      <c r="K81" s="186"/>
      <c r="L81" s="187"/>
      <c r="M81" s="188"/>
      <c r="N81" s="189"/>
      <c r="O81" s="186"/>
      <c r="P81" s="187"/>
      <c r="Q81" s="188"/>
      <c r="R81" s="189"/>
      <c r="S81" s="186"/>
      <c r="T81" s="187"/>
      <c r="U81" s="188"/>
      <c r="V81" s="189"/>
      <c r="W81" s="186"/>
      <c r="X81" s="187"/>
      <c r="Y81" s="188"/>
      <c r="Z81" s="189"/>
      <c r="AA81" s="186"/>
      <c r="AB81" s="187"/>
      <c r="AC81" s="188"/>
      <c r="AD81" s="189"/>
      <c r="AE81" s="186"/>
      <c r="AF81" s="187"/>
      <c r="AG81" s="188"/>
      <c r="AH81" s="189"/>
      <c r="AI81" s="186"/>
      <c r="AJ81" s="187"/>
      <c r="AK81" s="188"/>
      <c r="AL81" s="189"/>
      <c r="AM81" s="186"/>
      <c r="AN81" s="187"/>
      <c r="AO81" s="188"/>
      <c r="AP81" s="189"/>
      <c r="AQ81" s="186"/>
      <c r="AR81" s="187"/>
      <c r="AS81" s="188"/>
      <c r="AT81" s="189"/>
      <c r="AU81" s="186"/>
      <c r="AV81" s="187"/>
      <c r="AW81" s="188"/>
      <c r="AX81" s="189"/>
      <c r="AY81" s="186"/>
      <c r="AZ81" s="187"/>
      <c r="BA81" s="188"/>
      <c r="BB81" s="189"/>
      <c r="BC81" s="186"/>
      <c r="BD81" s="187"/>
      <c r="BE81" s="188"/>
      <c r="BF81" s="189"/>
      <c r="BG81" s="186"/>
      <c r="BH81" s="187"/>
      <c r="BI81" s="188"/>
      <c r="BJ81" s="189"/>
      <c r="BK81" s="186"/>
      <c r="BL81" s="187"/>
      <c r="BM81" s="188"/>
      <c r="BN81" s="189"/>
      <c r="BO81" s="186"/>
      <c r="BP81" s="187"/>
      <c r="BQ81" s="188"/>
      <c r="BR81" s="189"/>
      <c r="BS81" s="186"/>
      <c r="BT81" s="187"/>
      <c r="BU81" s="188"/>
      <c r="BV81" s="189"/>
      <c r="BW81" s="186"/>
      <c r="BX81" s="187"/>
      <c r="BY81" s="188"/>
      <c r="BZ81" s="189"/>
      <c r="CA81" s="186"/>
      <c r="CB81" s="190"/>
      <c r="CC81" s="190"/>
      <c r="CD81" s="82">
        <f t="shared" si="235"/>
        <v>0</v>
      </c>
      <c r="CE81" s="82">
        <f t="shared" si="236"/>
        <v>0</v>
      </c>
      <c r="CF81" s="82">
        <f t="shared" si="237"/>
        <v>0</v>
      </c>
      <c r="CG81" s="82">
        <f t="shared" si="238"/>
        <v>0</v>
      </c>
      <c r="CH81" s="82">
        <f t="shared" si="239"/>
        <v>0</v>
      </c>
      <c r="CI81" s="82">
        <f t="shared" si="240"/>
        <v>0</v>
      </c>
      <c r="CJ81" s="82">
        <f t="shared" si="241"/>
        <v>0</v>
      </c>
      <c r="CK81" s="82">
        <f t="shared" si="242"/>
        <v>0</v>
      </c>
      <c r="CL81" s="82">
        <f t="shared" si="243"/>
        <v>0</v>
      </c>
      <c r="CM81" s="82">
        <f t="shared" si="244"/>
        <v>0</v>
      </c>
      <c r="CN81" s="82">
        <f t="shared" si="245"/>
        <v>0</v>
      </c>
      <c r="CO81" s="82">
        <f t="shared" si="246"/>
        <v>0</v>
      </c>
      <c r="CP81" s="82">
        <f t="shared" si="247"/>
        <v>0</v>
      </c>
      <c r="CQ81" s="82">
        <f t="shared" si="248"/>
        <v>0</v>
      </c>
      <c r="CR81" s="82">
        <f t="shared" si="249"/>
        <v>0</v>
      </c>
      <c r="CS81" s="82">
        <f t="shared" si="250"/>
        <v>0</v>
      </c>
      <c r="CT81" s="82">
        <f t="shared" si="251"/>
        <v>0</v>
      </c>
      <c r="CU81" s="82">
        <f t="shared" si="252"/>
        <v>0</v>
      </c>
      <c r="CV81" s="82">
        <f t="shared" si="253"/>
        <v>0</v>
      </c>
      <c r="CW81" s="82">
        <f t="shared" si="254"/>
        <v>0</v>
      </c>
      <c r="CX81" s="82">
        <f t="shared" si="255"/>
        <v>0</v>
      </c>
      <c r="CY81" s="82">
        <f t="shared" si="256"/>
        <v>0</v>
      </c>
      <c r="CZ81" s="82">
        <f t="shared" si="257"/>
        <v>0</v>
      </c>
      <c r="DA81" s="82">
        <f t="shared" si="258"/>
        <v>0</v>
      </c>
      <c r="DB81" s="82">
        <f t="shared" si="259"/>
        <v>0</v>
      </c>
      <c r="DC81" s="82">
        <f t="shared" si="260"/>
        <v>0</v>
      </c>
      <c r="DD81" s="82">
        <f t="shared" si="261"/>
        <v>0</v>
      </c>
      <c r="DE81" s="82">
        <f t="shared" si="262"/>
        <v>0</v>
      </c>
      <c r="DF81" s="82">
        <f t="shared" si="263"/>
        <v>0</v>
      </c>
      <c r="DG81" s="82">
        <f t="shared" si="264"/>
        <v>0</v>
      </c>
      <c r="DH81" s="82">
        <f t="shared" si="265"/>
        <v>0</v>
      </c>
      <c r="DI81" s="82">
        <f t="shared" si="266"/>
        <v>0</v>
      </c>
      <c r="DJ81" s="82">
        <f t="shared" si="267"/>
        <v>0</v>
      </c>
      <c r="DK81" s="82">
        <f t="shared" si="268"/>
        <v>0</v>
      </c>
      <c r="DL81" s="82">
        <f t="shared" si="269"/>
        <v>0</v>
      </c>
      <c r="DM81" s="82">
        <f t="shared" si="270"/>
        <v>0</v>
      </c>
      <c r="DN81" s="82">
        <f t="shared" si="271"/>
        <v>0</v>
      </c>
      <c r="DO81" s="82">
        <f t="shared" si="272"/>
        <v>0</v>
      </c>
      <c r="DP81" s="82">
        <f t="shared" si="273"/>
        <v>0</v>
      </c>
      <c r="DQ81" s="82">
        <f t="shared" si="274"/>
        <v>0</v>
      </c>
      <c r="DR81" s="82">
        <f t="shared" si="275"/>
        <v>0</v>
      </c>
      <c r="DS81" s="82">
        <f t="shared" si="276"/>
        <v>0</v>
      </c>
      <c r="DT81" s="82">
        <f t="shared" si="277"/>
        <v>0</v>
      </c>
      <c r="DU81" s="82">
        <f t="shared" si="278"/>
        <v>0</v>
      </c>
      <c r="DV81" s="82">
        <f t="shared" si="279"/>
        <v>0</v>
      </c>
      <c r="DW81" s="82">
        <f t="shared" si="280"/>
        <v>0</v>
      </c>
      <c r="DX81" s="82">
        <f t="shared" si="281"/>
        <v>0</v>
      </c>
      <c r="DY81" s="82">
        <f t="shared" si="282"/>
        <v>0</v>
      </c>
      <c r="DZ81" s="82">
        <f t="shared" si="283"/>
        <v>0</v>
      </c>
      <c r="EA81" s="82">
        <f t="shared" si="284"/>
        <v>0</v>
      </c>
      <c r="EB81" s="82">
        <f t="shared" si="285"/>
        <v>0</v>
      </c>
      <c r="EC81" s="82">
        <f t="shared" si="286"/>
        <v>0</v>
      </c>
      <c r="ED81" s="82">
        <f t="shared" si="287"/>
        <v>0</v>
      </c>
      <c r="EE81" s="82">
        <f t="shared" si="288"/>
        <v>0</v>
      </c>
      <c r="EF81" s="82">
        <f t="shared" si="289"/>
        <v>0</v>
      </c>
      <c r="EG81" s="82">
        <f t="shared" si="290"/>
        <v>0</v>
      </c>
      <c r="EH81" s="82">
        <f t="shared" si="291"/>
        <v>0</v>
      </c>
      <c r="EI81" s="82">
        <f t="shared" si="292"/>
        <v>0</v>
      </c>
      <c r="EJ81" s="82">
        <f t="shared" si="293"/>
        <v>0</v>
      </c>
      <c r="EK81" s="82">
        <f t="shared" si="294"/>
        <v>0</v>
      </c>
      <c r="EL81" s="82">
        <f t="shared" si="295"/>
        <v>0</v>
      </c>
      <c r="EM81" s="82">
        <f t="shared" si="296"/>
        <v>0</v>
      </c>
      <c r="EN81" s="82">
        <f t="shared" si="297"/>
        <v>0</v>
      </c>
      <c r="EO81" s="82">
        <f t="shared" si="298"/>
        <v>0</v>
      </c>
      <c r="EP81" s="82">
        <f t="shared" si="299"/>
        <v>0</v>
      </c>
      <c r="EQ81" s="82">
        <f t="shared" si="300"/>
        <v>0</v>
      </c>
      <c r="ER81" s="82">
        <f t="shared" si="301"/>
        <v>0</v>
      </c>
      <c r="ES81" s="82">
        <f t="shared" si="302"/>
        <v>0</v>
      </c>
      <c r="ET81" s="82">
        <f t="shared" si="303"/>
        <v>0</v>
      </c>
      <c r="EU81" s="82">
        <f t="shared" si="304"/>
        <v>0</v>
      </c>
      <c r="EV81" s="82">
        <f t="shared" si="305"/>
        <v>0</v>
      </c>
      <c r="EW81" s="82">
        <f t="shared" si="306"/>
        <v>0</v>
      </c>
      <c r="EX81" s="82">
        <f t="shared" si="307"/>
        <v>0</v>
      </c>
      <c r="EY81" s="111">
        <f t="shared" si="308"/>
        <v>0</v>
      </c>
      <c r="EZ81" s="143">
        <f t="shared" ca="1" si="309"/>
        <v>0</v>
      </c>
      <c r="FA81" s="112">
        <f t="shared" ca="1" si="310"/>
        <v>0</v>
      </c>
      <c r="FB81" s="113">
        <f t="shared" ca="1" si="311"/>
        <v>0</v>
      </c>
      <c r="FC81" s="114">
        <f t="shared" ca="1" si="312"/>
        <v>0</v>
      </c>
      <c r="FD81" s="115">
        <f t="shared" ca="1" si="313"/>
        <v>0</v>
      </c>
      <c r="FE81" s="116">
        <f t="shared" ca="1" si="314"/>
        <v>0</v>
      </c>
      <c r="FF81" s="117">
        <f t="shared" ca="1" si="315"/>
        <v>0</v>
      </c>
      <c r="FG81" s="71">
        <f t="shared" si="316"/>
        <v>0</v>
      </c>
      <c r="FH81" s="530">
        <f t="shared" ca="1" si="317"/>
        <v>0</v>
      </c>
      <c r="FI81" s="72">
        <f ca="1">0.75*FB81</f>
        <v>0</v>
      </c>
      <c r="FJ81" s="72">
        <f ca="1">FA81</f>
        <v>0</v>
      </c>
      <c r="FK81" s="72">
        <f ca="1">SUM(FI81:FJ81)</f>
        <v>0</v>
      </c>
      <c r="FM81" s="421" t="str">
        <f t="shared" si="318"/>
        <v>L06-613_MfamResiPthp</v>
      </c>
      <c r="FN81" s="422" t="str">
        <f t="shared" ca="1" si="319"/>
        <v>Dwelling Unit</v>
      </c>
      <c r="FO81" s="423">
        <f t="shared" ca="1" si="323"/>
        <v>0</v>
      </c>
      <c r="FP81" s="423">
        <f t="shared" ca="1" si="323"/>
        <v>0</v>
      </c>
      <c r="FQ81" s="423">
        <f t="shared" ca="1" si="323"/>
        <v>0</v>
      </c>
      <c r="FR81" s="423">
        <f t="shared" ca="1" si="323"/>
        <v>0</v>
      </c>
      <c r="FS81" s="423">
        <f t="shared" ca="1" si="323"/>
        <v>0</v>
      </c>
      <c r="FT81" s="423">
        <f t="shared" ca="1" si="323"/>
        <v>0</v>
      </c>
      <c r="FU81" s="423">
        <f t="shared" ca="1" si="323"/>
        <v>0</v>
      </c>
      <c r="FV81" s="423">
        <f t="shared" ca="1" si="323"/>
        <v>0</v>
      </c>
      <c r="FW81" s="423">
        <f t="shared" ca="1" si="323"/>
        <v>0</v>
      </c>
      <c r="FX81" s="423">
        <f t="shared" ca="1" si="323"/>
        <v>0</v>
      </c>
      <c r="FY81" s="423">
        <f t="shared" ca="1" si="323"/>
        <v>0</v>
      </c>
      <c r="FZ81" s="423">
        <f t="shared" ca="1" si="323"/>
        <v>0</v>
      </c>
      <c r="GA81" s="423">
        <f t="shared" ca="1" si="323"/>
        <v>0</v>
      </c>
      <c r="GB81" s="423">
        <f t="shared" ca="1" si="323"/>
        <v>0</v>
      </c>
      <c r="GC81" s="423">
        <f t="shared" ca="1" si="323"/>
        <v>0</v>
      </c>
      <c r="GD81" s="423">
        <f t="shared" ca="1" si="320"/>
        <v>0</v>
      </c>
      <c r="GE81" s="423">
        <f t="shared" ca="1" si="320"/>
        <v>0</v>
      </c>
      <c r="GF81" s="423">
        <f t="shared" ca="1" si="320"/>
        <v>0</v>
      </c>
      <c r="GG81" s="423">
        <f t="shared" ca="1" si="320"/>
        <v>0</v>
      </c>
      <c r="GH81" s="423">
        <f t="shared" ca="1" si="320"/>
        <v>0</v>
      </c>
      <c r="GI81" s="423">
        <f t="shared" ca="1" si="320"/>
        <v>0</v>
      </c>
      <c r="GJ81" s="423">
        <f t="shared" ca="1" si="320"/>
        <v>0</v>
      </c>
      <c r="GK81" s="423">
        <f t="shared" ca="1" si="320"/>
        <v>0</v>
      </c>
      <c r="GL81" s="423">
        <f t="shared" ca="1" si="320"/>
        <v>0</v>
      </c>
      <c r="GM81" s="423">
        <f t="shared" ca="1" si="320"/>
        <v>0</v>
      </c>
      <c r="GN81" s="423">
        <f t="shared" ca="1" si="320"/>
        <v>0</v>
      </c>
      <c r="GO81" s="423">
        <f t="shared" ca="1" si="320"/>
        <v>0</v>
      </c>
      <c r="GP81" s="423">
        <f t="shared" ca="1" si="320"/>
        <v>0</v>
      </c>
      <c r="GQ81" s="423">
        <f t="shared" ca="1" si="320"/>
        <v>0</v>
      </c>
      <c r="GR81" s="423">
        <f t="shared" ca="1" si="320"/>
        <v>0</v>
      </c>
      <c r="GS81" s="423">
        <f t="shared" ca="1" si="320"/>
        <v>0</v>
      </c>
      <c r="GT81" s="423">
        <f t="shared" ca="1" si="321"/>
        <v>0</v>
      </c>
      <c r="GU81" s="423">
        <f t="shared" ca="1" si="233"/>
        <v>0</v>
      </c>
      <c r="GV81" s="423">
        <f t="shared" ca="1" si="233"/>
        <v>0</v>
      </c>
      <c r="GW81" s="423">
        <f t="shared" ca="1" si="233"/>
        <v>0</v>
      </c>
      <c r="GX81" s="423">
        <f t="shared" ca="1" si="233"/>
        <v>0</v>
      </c>
      <c r="GY81" s="423">
        <f t="shared" ca="1" si="233"/>
        <v>0</v>
      </c>
      <c r="GZ81" s="423">
        <f t="shared" ca="1" si="233"/>
        <v>0</v>
      </c>
      <c r="HA81" s="423">
        <f t="shared" ca="1" si="233"/>
        <v>0</v>
      </c>
      <c r="HB81" s="423">
        <f t="shared" ca="1" si="233"/>
        <v>0</v>
      </c>
      <c r="HC81" s="423">
        <f t="shared" ca="1" si="233"/>
        <v>0</v>
      </c>
      <c r="HD81" s="423">
        <f t="shared" ca="1" si="233"/>
        <v>0</v>
      </c>
      <c r="HE81" s="423">
        <f t="shared" ca="1" si="233"/>
        <v>0</v>
      </c>
      <c r="HF81" s="423">
        <f t="shared" ca="1" si="233"/>
        <v>0</v>
      </c>
      <c r="HG81" s="423">
        <f t="shared" ca="1" si="233"/>
        <v>0</v>
      </c>
      <c r="HH81" s="423">
        <f t="shared" ca="1" si="233"/>
        <v>0</v>
      </c>
      <c r="HI81" s="423">
        <f t="shared" ca="1" si="233"/>
        <v>0</v>
      </c>
      <c r="HJ81" s="423">
        <f t="shared" ca="1" si="233"/>
        <v>0</v>
      </c>
      <c r="HK81" s="423">
        <f t="shared" ca="1" si="234"/>
        <v>0</v>
      </c>
      <c r="HL81" s="423">
        <f t="shared" ca="1" si="234"/>
        <v>0</v>
      </c>
      <c r="HM81" s="423">
        <f t="shared" ca="1" si="234"/>
        <v>0</v>
      </c>
      <c r="HN81" s="423">
        <f t="shared" ca="1" si="234"/>
        <v>0</v>
      </c>
      <c r="HO81" s="423">
        <f t="shared" ca="1" si="234"/>
        <v>0</v>
      </c>
      <c r="HP81" s="423">
        <f t="shared" ca="1" si="234"/>
        <v>0</v>
      </c>
      <c r="HQ81" s="423">
        <f t="shared" ca="1" si="234"/>
        <v>0</v>
      </c>
      <c r="HR81" s="423">
        <f t="shared" ca="1" si="234"/>
        <v>0</v>
      </c>
      <c r="HS81" s="423">
        <f t="shared" ca="1" si="234"/>
        <v>0</v>
      </c>
      <c r="HT81" s="423">
        <f t="shared" ca="1" si="234"/>
        <v>0</v>
      </c>
    </row>
    <row r="82" spans="1:230" ht="11.25" customHeight="1" x14ac:dyDescent="0.2">
      <c r="A82" s="62">
        <f t="shared" si="322"/>
        <v>71</v>
      </c>
      <c r="B82" s="60" t="str">
        <f>Spaces_Sum!C127</f>
        <v>L06-614_MechRaccIncd</v>
      </c>
      <c r="C82" s="62" t="str">
        <f>Spaces_Sum!D127</f>
        <v>L06</v>
      </c>
      <c r="D82" s="62" t="str">
        <f ca="1">Spaces_Sum!I127</f>
        <v>IndirectlyConditioned</v>
      </c>
      <c r="F82" s="110">
        <f ca="1">Spaces_Sum!M127</f>
        <v>347.74279999999999</v>
      </c>
      <c r="G82" s="110" t="str">
        <f ca="1">Spaces_Sum!J127</f>
        <v>Electrical/MechanicaI Room</v>
      </c>
      <c r="H82" s="532"/>
      <c r="I82" s="185"/>
      <c r="J82" s="185"/>
      <c r="K82" s="186"/>
      <c r="L82" s="187"/>
      <c r="M82" s="188"/>
      <c r="N82" s="189"/>
      <c r="O82" s="186"/>
      <c r="P82" s="187"/>
      <c r="Q82" s="188"/>
      <c r="R82" s="189"/>
      <c r="S82" s="186"/>
      <c r="T82" s="187"/>
      <c r="U82" s="188"/>
      <c r="V82" s="189"/>
      <c r="W82" s="186"/>
      <c r="X82" s="187"/>
      <c r="Y82" s="188"/>
      <c r="Z82" s="189"/>
      <c r="AA82" s="186"/>
      <c r="AB82" s="187"/>
      <c r="AC82" s="188"/>
      <c r="AD82" s="189"/>
      <c r="AE82" s="186"/>
      <c r="AF82" s="187"/>
      <c r="AG82" s="188"/>
      <c r="AH82" s="189"/>
      <c r="AI82" s="186"/>
      <c r="AJ82" s="187"/>
      <c r="AK82" s="188"/>
      <c r="AL82" s="189"/>
      <c r="AM82" s="186"/>
      <c r="AN82" s="187"/>
      <c r="AO82" s="188"/>
      <c r="AP82" s="189"/>
      <c r="AQ82" s="186"/>
      <c r="AR82" s="187"/>
      <c r="AS82" s="188"/>
      <c r="AT82" s="189"/>
      <c r="AU82" s="186"/>
      <c r="AV82" s="187"/>
      <c r="AW82" s="188"/>
      <c r="AX82" s="189"/>
      <c r="AY82" s="186"/>
      <c r="AZ82" s="187"/>
      <c r="BA82" s="188"/>
      <c r="BB82" s="189"/>
      <c r="BC82" s="186"/>
      <c r="BD82" s="187"/>
      <c r="BE82" s="188"/>
      <c r="BF82" s="189"/>
      <c r="BG82" s="186"/>
      <c r="BH82" s="187"/>
      <c r="BI82" s="188"/>
      <c r="BJ82" s="189"/>
      <c r="BK82" s="186"/>
      <c r="BL82" s="187"/>
      <c r="BM82" s="188"/>
      <c r="BN82" s="189"/>
      <c r="BO82" s="186"/>
      <c r="BP82" s="187"/>
      <c r="BQ82" s="188"/>
      <c r="BR82" s="189"/>
      <c r="BS82" s="186"/>
      <c r="BT82" s="187"/>
      <c r="BU82" s="188"/>
      <c r="BV82" s="189"/>
      <c r="BW82" s="186"/>
      <c r="BX82" s="187"/>
      <c r="BY82" s="188"/>
      <c r="BZ82" s="189"/>
      <c r="CA82" s="186"/>
      <c r="CB82" s="190"/>
      <c r="CC82" s="190"/>
      <c r="CD82" s="82">
        <f t="shared" si="235"/>
        <v>0</v>
      </c>
      <c r="CE82" s="82">
        <f t="shared" si="236"/>
        <v>0</v>
      </c>
      <c r="CF82" s="82">
        <f t="shared" si="237"/>
        <v>0</v>
      </c>
      <c r="CG82" s="82">
        <f t="shared" si="238"/>
        <v>0</v>
      </c>
      <c r="CH82" s="82">
        <f t="shared" si="239"/>
        <v>0</v>
      </c>
      <c r="CI82" s="82">
        <f t="shared" si="240"/>
        <v>0</v>
      </c>
      <c r="CJ82" s="82">
        <f t="shared" si="241"/>
        <v>0</v>
      </c>
      <c r="CK82" s="82">
        <f t="shared" si="242"/>
        <v>0</v>
      </c>
      <c r="CL82" s="82">
        <f t="shared" si="243"/>
        <v>0</v>
      </c>
      <c r="CM82" s="82">
        <f t="shared" si="244"/>
        <v>0</v>
      </c>
      <c r="CN82" s="82">
        <f t="shared" si="245"/>
        <v>0</v>
      </c>
      <c r="CO82" s="82">
        <f t="shared" si="246"/>
        <v>0</v>
      </c>
      <c r="CP82" s="82">
        <f t="shared" si="247"/>
        <v>0</v>
      </c>
      <c r="CQ82" s="82">
        <f t="shared" si="248"/>
        <v>0</v>
      </c>
      <c r="CR82" s="82">
        <f t="shared" si="249"/>
        <v>0</v>
      </c>
      <c r="CS82" s="82">
        <f t="shared" si="250"/>
        <v>0</v>
      </c>
      <c r="CT82" s="82">
        <f t="shared" si="251"/>
        <v>0</v>
      </c>
      <c r="CU82" s="82">
        <f t="shared" si="252"/>
        <v>0</v>
      </c>
      <c r="CV82" s="82">
        <f t="shared" si="253"/>
        <v>0</v>
      </c>
      <c r="CW82" s="82">
        <f t="shared" si="254"/>
        <v>0</v>
      </c>
      <c r="CX82" s="82">
        <f t="shared" si="255"/>
        <v>0</v>
      </c>
      <c r="CY82" s="82">
        <f t="shared" si="256"/>
        <v>0</v>
      </c>
      <c r="CZ82" s="82">
        <f t="shared" si="257"/>
        <v>0</v>
      </c>
      <c r="DA82" s="82">
        <f t="shared" si="258"/>
        <v>0</v>
      </c>
      <c r="DB82" s="82">
        <f t="shared" si="259"/>
        <v>0</v>
      </c>
      <c r="DC82" s="82">
        <f t="shared" si="260"/>
        <v>0</v>
      </c>
      <c r="DD82" s="82">
        <f t="shared" si="261"/>
        <v>0</v>
      </c>
      <c r="DE82" s="82">
        <f t="shared" si="262"/>
        <v>0</v>
      </c>
      <c r="DF82" s="82">
        <f t="shared" si="263"/>
        <v>0</v>
      </c>
      <c r="DG82" s="82">
        <f t="shared" si="264"/>
        <v>0</v>
      </c>
      <c r="DH82" s="82">
        <f t="shared" si="265"/>
        <v>0</v>
      </c>
      <c r="DI82" s="82">
        <f t="shared" si="266"/>
        <v>0</v>
      </c>
      <c r="DJ82" s="82">
        <f t="shared" si="267"/>
        <v>0</v>
      </c>
      <c r="DK82" s="82">
        <f t="shared" si="268"/>
        <v>0</v>
      </c>
      <c r="DL82" s="82">
        <f t="shared" si="269"/>
        <v>0</v>
      </c>
      <c r="DM82" s="82">
        <f t="shared" si="270"/>
        <v>0</v>
      </c>
      <c r="DN82" s="82">
        <f t="shared" si="271"/>
        <v>0</v>
      </c>
      <c r="DO82" s="82">
        <f t="shared" si="272"/>
        <v>0</v>
      </c>
      <c r="DP82" s="82">
        <f t="shared" si="273"/>
        <v>0</v>
      </c>
      <c r="DQ82" s="82">
        <f t="shared" si="274"/>
        <v>0</v>
      </c>
      <c r="DR82" s="82">
        <f t="shared" si="275"/>
        <v>0</v>
      </c>
      <c r="DS82" s="82">
        <f t="shared" si="276"/>
        <v>0</v>
      </c>
      <c r="DT82" s="82">
        <f t="shared" si="277"/>
        <v>0</v>
      </c>
      <c r="DU82" s="82">
        <f t="shared" si="278"/>
        <v>0</v>
      </c>
      <c r="DV82" s="82">
        <f t="shared" si="279"/>
        <v>0</v>
      </c>
      <c r="DW82" s="82">
        <f t="shared" si="280"/>
        <v>0</v>
      </c>
      <c r="DX82" s="82">
        <f t="shared" si="281"/>
        <v>0</v>
      </c>
      <c r="DY82" s="82">
        <f t="shared" si="282"/>
        <v>0</v>
      </c>
      <c r="DZ82" s="82">
        <f t="shared" si="283"/>
        <v>0</v>
      </c>
      <c r="EA82" s="82">
        <f t="shared" si="284"/>
        <v>0</v>
      </c>
      <c r="EB82" s="82">
        <f t="shared" si="285"/>
        <v>0</v>
      </c>
      <c r="EC82" s="82">
        <f t="shared" si="286"/>
        <v>0</v>
      </c>
      <c r="ED82" s="82">
        <f t="shared" si="287"/>
        <v>0</v>
      </c>
      <c r="EE82" s="82">
        <f t="shared" si="288"/>
        <v>0</v>
      </c>
      <c r="EF82" s="82">
        <f t="shared" si="289"/>
        <v>0</v>
      </c>
      <c r="EG82" s="82">
        <f t="shared" si="290"/>
        <v>0</v>
      </c>
      <c r="EH82" s="82">
        <f t="shared" si="291"/>
        <v>0</v>
      </c>
      <c r="EI82" s="82">
        <f t="shared" si="292"/>
        <v>0</v>
      </c>
      <c r="EJ82" s="82">
        <f t="shared" si="293"/>
        <v>0</v>
      </c>
      <c r="EK82" s="82">
        <f t="shared" si="294"/>
        <v>0</v>
      </c>
      <c r="EL82" s="82">
        <f t="shared" si="295"/>
        <v>0</v>
      </c>
      <c r="EM82" s="82">
        <f t="shared" si="296"/>
        <v>0</v>
      </c>
      <c r="EN82" s="82">
        <f t="shared" si="297"/>
        <v>0</v>
      </c>
      <c r="EO82" s="82">
        <f t="shared" si="298"/>
        <v>0</v>
      </c>
      <c r="EP82" s="82">
        <f t="shared" si="299"/>
        <v>0</v>
      </c>
      <c r="EQ82" s="82">
        <f t="shared" si="300"/>
        <v>0</v>
      </c>
      <c r="ER82" s="82">
        <f t="shared" si="301"/>
        <v>0</v>
      </c>
      <c r="ES82" s="82">
        <f t="shared" si="302"/>
        <v>0</v>
      </c>
      <c r="ET82" s="82">
        <f t="shared" si="303"/>
        <v>0</v>
      </c>
      <c r="EU82" s="82">
        <f t="shared" si="304"/>
        <v>0</v>
      </c>
      <c r="EV82" s="82">
        <f t="shared" si="305"/>
        <v>0</v>
      </c>
      <c r="EW82" s="82">
        <f t="shared" si="306"/>
        <v>0</v>
      </c>
      <c r="EX82" s="82">
        <f t="shared" si="307"/>
        <v>0</v>
      </c>
      <c r="EY82" s="111">
        <f t="shared" si="308"/>
        <v>0</v>
      </c>
      <c r="EZ82" s="143">
        <f t="shared" ca="1" si="309"/>
        <v>0</v>
      </c>
      <c r="FA82" s="112">
        <f t="shared" ca="1" si="310"/>
        <v>0</v>
      </c>
      <c r="FB82" s="113">
        <f t="shared" ca="1" si="311"/>
        <v>0</v>
      </c>
      <c r="FC82" s="114">
        <f t="shared" ca="1" si="312"/>
        <v>0</v>
      </c>
      <c r="FD82" s="115">
        <f t="shared" ca="1" si="313"/>
        <v>0</v>
      </c>
      <c r="FE82" s="116">
        <f t="shared" ca="1" si="314"/>
        <v>0</v>
      </c>
      <c r="FF82" s="117">
        <f t="shared" ca="1" si="315"/>
        <v>0</v>
      </c>
      <c r="FG82" s="71">
        <f t="shared" si="316"/>
        <v>0</v>
      </c>
      <c r="FH82" s="530">
        <f t="shared" ca="1" si="317"/>
        <v>0</v>
      </c>
      <c r="FI82" s="72"/>
      <c r="FJ82" s="72"/>
      <c r="FK82" s="72"/>
      <c r="FM82" s="421" t="str">
        <f t="shared" si="318"/>
        <v>L06-614_MechRaccIncd</v>
      </c>
      <c r="FN82" s="422" t="str">
        <f t="shared" ca="1" si="319"/>
        <v>Electrical/MechanicaI Room</v>
      </c>
      <c r="FO82" s="423">
        <f t="shared" ca="1" si="323"/>
        <v>0</v>
      </c>
      <c r="FP82" s="423">
        <f t="shared" ca="1" si="323"/>
        <v>0</v>
      </c>
      <c r="FQ82" s="423">
        <f t="shared" ca="1" si="323"/>
        <v>0</v>
      </c>
      <c r="FR82" s="423">
        <f t="shared" ca="1" si="323"/>
        <v>0</v>
      </c>
      <c r="FS82" s="423">
        <f t="shared" ca="1" si="323"/>
        <v>0</v>
      </c>
      <c r="FT82" s="423">
        <f t="shared" ca="1" si="323"/>
        <v>0</v>
      </c>
      <c r="FU82" s="423">
        <f t="shared" ca="1" si="323"/>
        <v>0</v>
      </c>
      <c r="FV82" s="423">
        <f t="shared" ca="1" si="323"/>
        <v>0</v>
      </c>
      <c r="FW82" s="423">
        <f t="shared" ca="1" si="323"/>
        <v>0</v>
      </c>
      <c r="FX82" s="423">
        <f t="shared" ca="1" si="323"/>
        <v>0</v>
      </c>
      <c r="FY82" s="423">
        <f t="shared" ca="1" si="323"/>
        <v>0</v>
      </c>
      <c r="FZ82" s="423">
        <f t="shared" ca="1" si="323"/>
        <v>0</v>
      </c>
      <c r="GA82" s="423">
        <f t="shared" ca="1" si="323"/>
        <v>0</v>
      </c>
      <c r="GB82" s="423">
        <f t="shared" ca="1" si="323"/>
        <v>0</v>
      </c>
      <c r="GC82" s="423">
        <f t="shared" ca="1" si="323"/>
        <v>0</v>
      </c>
      <c r="GD82" s="423">
        <f t="shared" ca="1" si="320"/>
        <v>0</v>
      </c>
      <c r="GE82" s="423">
        <f t="shared" ca="1" si="320"/>
        <v>0</v>
      </c>
      <c r="GF82" s="423">
        <f t="shared" ca="1" si="320"/>
        <v>0</v>
      </c>
      <c r="GG82" s="423">
        <f t="shared" ca="1" si="320"/>
        <v>0</v>
      </c>
      <c r="GH82" s="423">
        <f t="shared" ca="1" si="320"/>
        <v>0</v>
      </c>
      <c r="GI82" s="423">
        <f t="shared" ca="1" si="320"/>
        <v>0</v>
      </c>
      <c r="GJ82" s="423">
        <f t="shared" ca="1" si="320"/>
        <v>0</v>
      </c>
      <c r="GK82" s="423">
        <f t="shared" ca="1" si="320"/>
        <v>0</v>
      </c>
      <c r="GL82" s="423">
        <f t="shared" ca="1" si="320"/>
        <v>0</v>
      </c>
      <c r="GM82" s="423">
        <f t="shared" ca="1" si="320"/>
        <v>0</v>
      </c>
      <c r="GN82" s="423">
        <f t="shared" ca="1" si="320"/>
        <v>0</v>
      </c>
      <c r="GO82" s="423">
        <f t="shared" ca="1" si="320"/>
        <v>0</v>
      </c>
      <c r="GP82" s="423">
        <f t="shared" ca="1" si="320"/>
        <v>0</v>
      </c>
      <c r="GQ82" s="423">
        <f t="shared" ca="1" si="320"/>
        <v>0</v>
      </c>
      <c r="GR82" s="423">
        <f t="shared" ca="1" si="320"/>
        <v>0</v>
      </c>
      <c r="GS82" s="423">
        <f t="shared" ca="1" si="320"/>
        <v>0</v>
      </c>
      <c r="GT82" s="423">
        <f t="shared" ca="1" si="321"/>
        <v>0</v>
      </c>
      <c r="GU82" s="423">
        <f t="shared" ca="1" si="233"/>
        <v>0</v>
      </c>
      <c r="GV82" s="423">
        <f t="shared" ca="1" si="233"/>
        <v>0</v>
      </c>
      <c r="GW82" s="423">
        <f t="shared" ca="1" si="233"/>
        <v>0</v>
      </c>
      <c r="GX82" s="423">
        <f t="shared" ca="1" si="233"/>
        <v>0</v>
      </c>
      <c r="GY82" s="423">
        <f t="shared" ca="1" si="233"/>
        <v>0</v>
      </c>
      <c r="GZ82" s="423">
        <f t="shared" ca="1" si="233"/>
        <v>0</v>
      </c>
      <c r="HA82" s="423">
        <f t="shared" ca="1" si="233"/>
        <v>0</v>
      </c>
      <c r="HB82" s="423">
        <f t="shared" ca="1" si="233"/>
        <v>0</v>
      </c>
      <c r="HC82" s="423">
        <f t="shared" ca="1" si="233"/>
        <v>0</v>
      </c>
      <c r="HD82" s="423">
        <f t="shared" ca="1" si="233"/>
        <v>0</v>
      </c>
      <c r="HE82" s="423">
        <f t="shared" ca="1" si="233"/>
        <v>0</v>
      </c>
      <c r="HF82" s="423">
        <f t="shared" ca="1" si="233"/>
        <v>0</v>
      </c>
      <c r="HG82" s="423">
        <f t="shared" ca="1" si="233"/>
        <v>0</v>
      </c>
      <c r="HH82" s="423">
        <f t="shared" ca="1" si="233"/>
        <v>0</v>
      </c>
      <c r="HI82" s="423">
        <f t="shared" ca="1" si="233"/>
        <v>0</v>
      </c>
      <c r="HJ82" s="423">
        <f t="shared" ca="1" si="233"/>
        <v>0</v>
      </c>
      <c r="HK82" s="423">
        <f t="shared" ca="1" si="234"/>
        <v>0</v>
      </c>
      <c r="HL82" s="423">
        <f t="shared" ca="1" si="234"/>
        <v>0</v>
      </c>
      <c r="HM82" s="423">
        <f t="shared" ca="1" si="234"/>
        <v>0</v>
      </c>
      <c r="HN82" s="423">
        <f t="shared" ca="1" si="234"/>
        <v>0</v>
      </c>
      <c r="HO82" s="423">
        <f t="shared" ca="1" si="234"/>
        <v>0</v>
      </c>
      <c r="HP82" s="423">
        <f t="shared" ca="1" si="234"/>
        <v>0</v>
      </c>
      <c r="HQ82" s="423">
        <f t="shared" ca="1" si="234"/>
        <v>0</v>
      </c>
      <c r="HR82" s="423">
        <f t="shared" ca="1" si="234"/>
        <v>0</v>
      </c>
      <c r="HS82" s="423">
        <f t="shared" ca="1" si="234"/>
        <v>0</v>
      </c>
      <c r="HT82" s="423">
        <f t="shared" ca="1" si="234"/>
        <v>0</v>
      </c>
    </row>
    <row r="83" spans="1:230" ht="11.25" customHeight="1" x14ac:dyDescent="0.2">
      <c r="A83" s="62">
        <f t="shared" si="322"/>
        <v>72</v>
      </c>
      <c r="B83" s="60" t="str">
        <f>Spaces_Sum!C128</f>
        <v>L06-615_ElevRaccIncd</v>
      </c>
      <c r="C83" s="62" t="str">
        <f>Spaces_Sum!D128</f>
        <v>L06</v>
      </c>
      <c r="D83" s="62" t="str">
        <f ca="1">Spaces_Sum!I128</f>
        <v>IndirectlyConditioned</v>
      </c>
      <c r="F83" s="110">
        <f ca="1">Spaces_Sum!M128</f>
        <v>178.88640000000001</v>
      </c>
      <c r="G83" s="110" t="str">
        <f ca="1">Spaces_Sum!J128</f>
        <v>Unoccupied-Include in Gross Floor Area</v>
      </c>
      <c r="H83" s="532"/>
      <c r="I83" s="185"/>
      <c r="J83" s="185"/>
      <c r="K83" s="186"/>
      <c r="L83" s="187"/>
      <c r="M83" s="188"/>
      <c r="N83" s="189"/>
      <c r="O83" s="186"/>
      <c r="P83" s="187"/>
      <c r="Q83" s="188"/>
      <c r="R83" s="189"/>
      <c r="S83" s="186"/>
      <c r="T83" s="187"/>
      <c r="U83" s="188"/>
      <c r="V83" s="189"/>
      <c r="W83" s="186"/>
      <c r="X83" s="187"/>
      <c r="Y83" s="188"/>
      <c r="Z83" s="189"/>
      <c r="AA83" s="186"/>
      <c r="AB83" s="187"/>
      <c r="AC83" s="188"/>
      <c r="AD83" s="189"/>
      <c r="AE83" s="186"/>
      <c r="AF83" s="187"/>
      <c r="AG83" s="188"/>
      <c r="AH83" s="189"/>
      <c r="AI83" s="186"/>
      <c r="AJ83" s="187"/>
      <c r="AK83" s="188"/>
      <c r="AL83" s="189"/>
      <c r="AM83" s="186"/>
      <c r="AN83" s="187"/>
      <c r="AO83" s="188"/>
      <c r="AP83" s="189"/>
      <c r="AQ83" s="186"/>
      <c r="AR83" s="187"/>
      <c r="AS83" s="188"/>
      <c r="AT83" s="189"/>
      <c r="AU83" s="186"/>
      <c r="AV83" s="187"/>
      <c r="AW83" s="188"/>
      <c r="AX83" s="189"/>
      <c r="AY83" s="186"/>
      <c r="AZ83" s="187"/>
      <c r="BA83" s="188"/>
      <c r="BB83" s="189"/>
      <c r="BC83" s="186"/>
      <c r="BD83" s="187"/>
      <c r="BE83" s="188"/>
      <c r="BF83" s="189"/>
      <c r="BG83" s="186"/>
      <c r="BH83" s="187"/>
      <c r="BI83" s="188"/>
      <c r="BJ83" s="189"/>
      <c r="BK83" s="186"/>
      <c r="BL83" s="187"/>
      <c r="BM83" s="188"/>
      <c r="BN83" s="189"/>
      <c r="BO83" s="186"/>
      <c r="BP83" s="187"/>
      <c r="BQ83" s="188"/>
      <c r="BR83" s="189"/>
      <c r="BS83" s="186"/>
      <c r="BT83" s="187"/>
      <c r="BU83" s="188"/>
      <c r="BV83" s="189"/>
      <c r="BW83" s="186"/>
      <c r="BX83" s="187"/>
      <c r="BY83" s="188"/>
      <c r="BZ83" s="189"/>
      <c r="CA83" s="186"/>
      <c r="CB83" s="190"/>
      <c r="CC83" s="190"/>
      <c r="CD83" s="82">
        <f t="shared" si="235"/>
        <v>0</v>
      </c>
      <c r="CE83" s="82">
        <f t="shared" si="236"/>
        <v>0</v>
      </c>
      <c r="CF83" s="82">
        <f t="shared" si="237"/>
        <v>0</v>
      </c>
      <c r="CG83" s="82">
        <f t="shared" si="238"/>
        <v>0</v>
      </c>
      <c r="CH83" s="82">
        <f t="shared" si="239"/>
        <v>0</v>
      </c>
      <c r="CI83" s="82">
        <f t="shared" si="240"/>
        <v>0</v>
      </c>
      <c r="CJ83" s="82">
        <f t="shared" si="241"/>
        <v>0</v>
      </c>
      <c r="CK83" s="82">
        <f t="shared" si="242"/>
        <v>0</v>
      </c>
      <c r="CL83" s="82">
        <f t="shared" si="243"/>
        <v>0</v>
      </c>
      <c r="CM83" s="82">
        <f t="shared" si="244"/>
        <v>0</v>
      </c>
      <c r="CN83" s="82">
        <f t="shared" si="245"/>
        <v>0</v>
      </c>
      <c r="CO83" s="82">
        <f t="shared" si="246"/>
        <v>0</v>
      </c>
      <c r="CP83" s="82">
        <f t="shared" si="247"/>
        <v>0</v>
      </c>
      <c r="CQ83" s="82">
        <f t="shared" si="248"/>
        <v>0</v>
      </c>
      <c r="CR83" s="82">
        <f t="shared" si="249"/>
        <v>0</v>
      </c>
      <c r="CS83" s="82">
        <f t="shared" si="250"/>
        <v>0</v>
      </c>
      <c r="CT83" s="82">
        <f t="shared" si="251"/>
        <v>0</v>
      </c>
      <c r="CU83" s="82">
        <f t="shared" si="252"/>
        <v>0</v>
      </c>
      <c r="CV83" s="82">
        <f t="shared" si="253"/>
        <v>0</v>
      </c>
      <c r="CW83" s="82">
        <f t="shared" si="254"/>
        <v>0</v>
      </c>
      <c r="CX83" s="82">
        <f t="shared" si="255"/>
        <v>0</v>
      </c>
      <c r="CY83" s="82">
        <f t="shared" si="256"/>
        <v>0</v>
      </c>
      <c r="CZ83" s="82">
        <f t="shared" si="257"/>
        <v>0</v>
      </c>
      <c r="DA83" s="82">
        <f t="shared" si="258"/>
        <v>0</v>
      </c>
      <c r="DB83" s="82">
        <f t="shared" si="259"/>
        <v>0</v>
      </c>
      <c r="DC83" s="82">
        <f t="shared" si="260"/>
        <v>0</v>
      </c>
      <c r="DD83" s="82">
        <f t="shared" si="261"/>
        <v>0</v>
      </c>
      <c r="DE83" s="82">
        <f t="shared" si="262"/>
        <v>0</v>
      </c>
      <c r="DF83" s="82">
        <f t="shared" si="263"/>
        <v>0</v>
      </c>
      <c r="DG83" s="82">
        <f t="shared" si="264"/>
        <v>0</v>
      </c>
      <c r="DH83" s="82">
        <f t="shared" si="265"/>
        <v>0</v>
      </c>
      <c r="DI83" s="82">
        <f t="shared" si="266"/>
        <v>0</v>
      </c>
      <c r="DJ83" s="82">
        <f t="shared" si="267"/>
        <v>0</v>
      </c>
      <c r="DK83" s="82">
        <f t="shared" si="268"/>
        <v>0</v>
      </c>
      <c r="DL83" s="82">
        <f t="shared" si="269"/>
        <v>0</v>
      </c>
      <c r="DM83" s="82">
        <f t="shared" si="270"/>
        <v>0</v>
      </c>
      <c r="DN83" s="82">
        <f t="shared" si="271"/>
        <v>0</v>
      </c>
      <c r="DO83" s="82">
        <f t="shared" si="272"/>
        <v>0</v>
      </c>
      <c r="DP83" s="82">
        <f t="shared" si="273"/>
        <v>0</v>
      </c>
      <c r="DQ83" s="82">
        <f t="shared" si="274"/>
        <v>0</v>
      </c>
      <c r="DR83" s="82">
        <f t="shared" si="275"/>
        <v>0</v>
      </c>
      <c r="DS83" s="82">
        <f t="shared" si="276"/>
        <v>0</v>
      </c>
      <c r="DT83" s="82">
        <f t="shared" si="277"/>
        <v>0</v>
      </c>
      <c r="DU83" s="82">
        <f t="shared" si="278"/>
        <v>0</v>
      </c>
      <c r="DV83" s="82">
        <f t="shared" si="279"/>
        <v>0</v>
      </c>
      <c r="DW83" s="82">
        <f t="shared" si="280"/>
        <v>0</v>
      </c>
      <c r="DX83" s="82">
        <f t="shared" si="281"/>
        <v>0</v>
      </c>
      <c r="DY83" s="82">
        <f t="shared" si="282"/>
        <v>0</v>
      </c>
      <c r="DZ83" s="82">
        <f t="shared" si="283"/>
        <v>0</v>
      </c>
      <c r="EA83" s="82">
        <f t="shared" si="284"/>
        <v>0</v>
      </c>
      <c r="EB83" s="82">
        <f t="shared" si="285"/>
        <v>0</v>
      </c>
      <c r="EC83" s="82">
        <f t="shared" si="286"/>
        <v>0</v>
      </c>
      <c r="ED83" s="82">
        <f t="shared" si="287"/>
        <v>0</v>
      </c>
      <c r="EE83" s="82">
        <f t="shared" si="288"/>
        <v>0</v>
      </c>
      <c r="EF83" s="82">
        <f t="shared" si="289"/>
        <v>0</v>
      </c>
      <c r="EG83" s="82">
        <f t="shared" si="290"/>
        <v>0</v>
      </c>
      <c r="EH83" s="82">
        <f t="shared" si="291"/>
        <v>0</v>
      </c>
      <c r="EI83" s="82">
        <f t="shared" si="292"/>
        <v>0</v>
      </c>
      <c r="EJ83" s="82">
        <f t="shared" si="293"/>
        <v>0</v>
      </c>
      <c r="EK83" s="82">
        <f t="shared" si="294"/>
        <v>0</v>
      </c>
      <c r="EL83" s="82">
        <f t="shared" si="295"/>
        <v>0</v>
      </c>
      <c r="EM83" s="82">
        <f t="shared" si="296"/>
        <v>0</v>
      </c>
      <c r="EN83" s="82">
        <f t="shared" si="297"/>
        <v>0</v>
      </c>
      <c r="EO83" s="82">
        <f t="shared" si="298"/>
        <v>0</v>
      </c>
      <c r="EP83" s="82">
        <f t="shared" si="299"/>
        <v>0</v>
      </c>
      <c r="EQ83" s="82">
        <f t="shared" si="300"/>
        <v>0</v>
      </c>
      <c r="ER83" s="82">
        <f t="shared" si="301"/>
        <v>0</v>
      </c>
      <c r="ES83" s="82">
        <f t="shared" si="302"/>
        <v>0</v>
      </c>
      <c r="ET83" s="82">
        <f t="shared" si="303"/>
        <v>0</v>
      </c>
      <c r="EU83" s="82">
        <f t="shared" si="304"/>
        <v>0</v>
      </c>
      <c r="EV83" s="82">
        <f t="shared" si="305"/>
        <v>0</v>
      </c>
      <c r="EW83" s="82">
        <f t="shared" si="306"/>
        <v>0</v>
      </c>
      <c r="EX83" s="82">
        <f t="shared" si="307"/>
        <v>0</v>
      </c>
      <c r="EY83" s="111">
        <f t="shared" si="308"/>
        <v>0</v>
      </c>
      <c r="EZ83" s="143">
        <f t="shared" ca="1" si="309"/>
        <v>0</v>
      </c>
      <c r="FA83" s="112">
        <f t="shared" ca="1" si="310"/>
        <v>0</v>
      </c>
      <c r="FB83" s="113">
        <f t="shared" ca="1" si="311"/>
        <v>0</v>
      </c>
      <c r="FC83" s="114">
        <f t="shared" ca="1" si="312"/>
        <v>0</v>
      </c>
      <c r="FD83" s="115">
        <f t="shared" ca="1" si="313"/>
        <v>0</v>
      </c>
      <c r="FE83" s="116">
        <f t="shared" ca="1" si="314"/>
        <v>0</v>
      </c>
      <c r="FF83" s="117">
        <f t="shared" ca="1" si="315"/>
        <v>0</v>
      </c>
      <c r="FG83" s="71">
        <f t="shared" si="316"/>
        <v>0</v>
      </c>
      <c r="FH83" s="530">
        <f t="shared" ca="1" si="317"/>
        <v>0</v>
      </c>
      <c r="FI83" s="72"/>
      <c r="FJ83" s="72"/>
      <c r="FK83" s="72"/>
      <c r="FM83" s="421" t="str">
        <f t="shared" si="318"/>
        <v>L06-615_ElevRaccIncd</v>
      </c>
      <c r="FN83" s="422" t="str">
        <f t="shared" ca="1" si="319"/>
        <v>Unoccupied-Include in Gross Floor Area</v>
      </c>
      <c r="FO83" s="423">
        <f t="shared" ca="1" si="323"/>
        <v>0</v>
      </c>
      <c r="FP83" s="423">
        <f t="shared" ca="1" si="323"/>
        <v>0</v>
      </c>
      <c r="FQ83" s="423">
        <f t="shared" ca="1" si="323"/>
        <v>0</v>
      </c>
      <c r="FR83" s="423">
        <f t="shared" ca="1" si="323"/>
        <v>0</v>
      </c>
      <c r="FS83" s="423">
        <f t="shared" ca="1" si="323"/>
        <v>0</v>
      </c>
      <c r="FT83" s="423">
        <f t="shared" ca="1" si="323"/>
        <v>0</v>
      </c>
      <c r="FU83" s="423">
        <f t="shared" ca="1" si="323"/>
        <v>0</v>
      </c>
      <c r="FV83" s="423">
        <f t="shared" ca="1" si="323"/>
        <v>0</v>
      </c>
      <c r="FW83" s="423">
        <f t="shared" ca="1" si="323"/>
        <v>0</v>
      </c>
      <c r="FX83" s="423">
        <f t="shared" ca="1" si="323"/>
        <v>0</v>
      </c>
      <c r="FY83" s="423">
        <f t="shared" ca="1" si="323"/>
        <v>0</v>
      </c>
      <c r="FZ83" s="423">
        <f t="shared" ca="1" si="323"/>
        <v>0</v>
      </c>
      <c r="GA83" s="423">
        <f t="shared" ca="1" si="323"/>
        <v>0</v>
      </c>
      <c r="GB83" s="423">
        <f t="shared" ca="1" si="323"/>
        <v>0</v>
      </c>
      <c r="GC83" s="423">
        <f t="shared" ca="1" si="323"/>
        <v>0</v>
      </c>
      <c r="GD83" s="423">
        <f t="shared" ca="1" si="320"/>
        <v>0</v>
      </c>
      <c r="GE83" s="423">
        <f t="shared" ca="1" si="320"/>
        <v>0</v>
      </c>
      <c r="GF83" s="423">
        <f t="shared" ca="1" si="320"/>
        <v>0</v>
      </c>
      <c r="GG83" s="423">
        <f t="shared" ca="1" si="320"/>
        <v>0</v>
      </c>
      <c r="GH83" s="423">
        <f t="shared" ca="1" si="320"/>
        <v>0</v>
      </c>
      <c r="GI83" s="423">
        <f t="shared" ca="1" si="320"/>
        <v>0</v>
      </c>
      <c r="GJ83" s="423">
        <f t="shared" ca="1" si="320"/>
        <v>0</v>
      </c>
      <c r="GK83" s="423">
        <f t="shared" ca="1" si="320"/>
        <v>0</v>
      </c>
      <c r="GL83" s="423">
        <f t="shared" ca="1" si="320"/>
        <v>0</v>
      </c>
      <c r="GM83" s="423">
        <f t="shared" ca="1" si="320"/>
        <v>0</v>
      </c>
      <c r="GN83" s="423">
        <f t="shared" ca="1" si="320"/>
        <v>0</v>
      </c>
      <c r="GO83" s="423">
        <f t="shared" ca="1" si="320"/>
        <v>0</v>
      </c>
      <c r="GP83" s="423">
        <f t="shared" ca="1" si="320"/>
        <v>0</v>
      </c>
      <c r="GQ83" s="423">
        <f t="shared" ca="1" si="320"/>
        <v>0</v>
      </c>
      <c r="GR83" s="423">
        <f t="shared" ca="1" si="320"/>
        <v>0</v>
      </c>
      <c r="GS83" s="423">
        <f t="shared" ca="1" si="320"/>
        <v>0</v>
      </c>
      <c r="GT83" s="423">
        <f t="shared" ca="1" si="321"/>
        <v>0</v>
      </c>
      <c r="GU83" s="423">
        <f t="shared" ca="1" si="233"/>
        <v>0</v>
      </c>
      <c r="GV83" s="423">
        <f t="shared" ca="1" si="233"/>
        <v>0</v>
      </c>
      <c r="GW83" s="423">
        <f t="shared" ca="1" si="233"/>
        <v>0</v>
      </c>
      <c r="GX83" s="423">
        <f t="shared" ca="1" si="233"/>
        <v>0</v>
      </c>
      <c r="GY83" s="423">
        <f t="shared" ca="1" si="233"/>
        <v>0</v>
      </c>
      <c r="GZ83" s="423">
        <f t="shared" ca="1" si="233"/>
        <v>0</v>
      </c>
      <c r="HA83" s="423">
        <f t="shared" ca="1" si="233"/>
        <v>0</v>
      </c>
      <c r="HB83" s="423">
        <f t="shared" ca="1" si="233"/>
        <v>0</v>
      </c>
      <c r="HC83" s="423">
        <f t="shared" ca="1" si="233"/>
        <v>0</v>
      </c>
      <c r="HD83" s="423">
        <f t="shared" ca="1" si="233"/>
        <v>0</v>
      </c>
      <c r="HE83" s="423">
        <f t="shared" ca="1" si="233"/>
        <v>0</v>
      </c>
      <c r="HF83" s="423">
        <f t="shared" ca="1" si="233"/>
        <v>0</v>
      </c>
      <c r="HG83" s="423">
        <f t="shared" ca="1" si="233"/>
        <v>0</v>
      </c>
      <c r="HH83" s="423">
        <f t="shared" ca="1" si="233"/>
        <v>0</v>
      </c>
      <c r="HI83" s="423">
        <f t="shared" ca="1" si="233"/>
        <v>0</v>
      </c>
      <c r="HJ83" s="423">
        <f t="shared" ca="1" si="233"/>
        <v>0</v>
      </c>
      <c r="HK83" s="423">
        <f t="shared" ca="1" si="234"/>
        <v>0</v>
      </c>
      <c r="HL83" s="423">
        <f t="shared" ca="1" si="234"/>
        <v>0</v>
      </c>
      <c r="HM83" s="423">
        <f t="shared" ca="1" si="234"/>
        <v>0</v>
      </c>
      <c r="HN83" s="423">
        <f t="shared" ca="1" si="234"/>
        <v>0</v>
      </c>
      <c r="HO83" s="423">
        <f t="shared" ca="1" si="234"/>
        <v>0</v>
      </c>
      <c r="HP83" s="423">
        <f t="shared" ca="1" si="234"/>
        <v>0</v>
      </c>
      <c r="HQ83" s="423">
        <f t="shared" ca="1" si="234"/>
        <v>0</v>
      </c>
      <c r="HR83" s="423">
        <f t="shared" ca="1" si="234"/>
        <v>0</v>
      </c>
      <c r="HS83" s="423">
        <f t="shared" ca="1" si="234"/>
        <v>0</v>
      </c>
      <c r="HT83" s="423">
        <f t="shared" ca="1" si="234"/>
        <v>0</v>
      </c>
    </row>
    <row r="84" spans="1:230" ht="11.25" customHeight="1" x14ac:dyDescent="0.2">
      <c r="A84" s="62">
        <f t="shared" si="322"/>
        <v>73</v>
      </c>
      <c r="B84" s="60" t="str">
        <f>Spaces_Sum!C129</f>
        <v>L06-616_StrsRaccIncd</v>
      </c>
      <c r="C84" s="62" t="str">
        <f>Spaces_Sum!D129</f>
        <v>L06</v>
      </c>
      <c r="D84" s="62" t="str">
        <f ca="1">Spaces_Sum!I129</f>
        <v>IndirectlyConditioned</v>
      </c>
      <c r="F84" s="110">
        <f ca="1">Spaces_Sum!M129</f>
        <v>232.53399999999999</v>
      </c>
      <c r="G84" s="110" t="str">
        <f ca="1">Spaces_Sum!J129</f>
        <v>Stairwell</v>
      </c>
      <c r="H84" s="532"/>
      <c r="I84" s="185"/>
      <c r="J84" s="185"/>
      <c r="K84" s="186"/>
      <c r="L84" s="187"/>
      <c r="M84" s="188"/>
      <c r="N84" s="189"/>
      <c r="O84" s="186"/>
      <c r="P84" s="187"/>
      <c r="Q84" s="188"/>
      <c r="R84" s="189"/>
      <c r="S84" s="186"/>
      <c r="T84" s="187"/>
      <c r="U84" s="188"/>
      <c r="V84" s="189"/>
      <c r="W84" s="186"/>
      <c r="X84" s="187"/>
      <c r="Y84" s="188"/>
      <c r="Z84" s="189"/>
      <c r="AA84" s="186"/>
      <c r="AB84" s="187"/>
      <c r="AC84" s="188"/>
      <c r="AD84" s="189"/>
      <c r="AE84" s="186"/>
      <c r="AF84" s="187"/>
      <c r="AG84" s="188"/>
      <c r="AH84" s="189"/>
      <c r="AI84" s="186"/>
      <c r="AJ84" s="187"/>
      <c r="AK84" s="188"/>
      <c r="AL84" s="189"/>
      <c r="AM84" s="186"/>
      <c r="AN84" s="187"/>
      <c r="AO84" s="188"/>
      <c r="AP84" s="189"/>
      <c r="AQ84" s="186"/>
      <c r="AR84" s="187"/>
      <c r="AS84" s="188"/>
      <c r="AT84" s="189"/>
      <c r="AU84" s="186"/>
      <c r="AV84" s="187"/>
      <c r="AW84" s="188"/>
      <c r="AX84" s="189"/>
      <c r="AY84" s="186"/>
      <c r="AZ84" s="187"/>
      <c r="BA84" s="188"/>
      <c r="BB84" s="189"/>
      <c r="BC84" s="186"/>
      <c r="BD84" s="187"/>
      <c r="BE84" s="188"/>
      <c r="BF84" s="189"/>
      <c r="BG84" s="186"/>
      <c r="BH84" s="187"/>
      <c r="BI84" s="188"/>
      <c r="BJ84" s="189"/>
      <c r="BK84" s="186"/>
      <c r="BL84" s="187"/>
      <c r="BM84" s="188"/>
      <c r="BN84" s="189"/>
      <c r="BO84" s="186"/>
      <c r="BP84" s="187"/>
      <c r="BQ84" s="188"/>
      <c r="BR84" s="189"/>
      <c r="BS84" s="186"/>
      <c r="BT84" s="187"/>
      <c r="BU84" s="188"/>
      <c r="BV84" s="189"/>
      <c r="BW84" s="186"/>
      <c r="BX84" s="187"/>
      <c r="BY84" s="188"/>
      <c r="BZ84" s="189"/>
      <c r="CA84" s="186"/>
      <c r="CB84" s="190"/>
      <c r="CC84" s="190"/>
      <c r="CD84" s="82">
        <f t="shared" si="235"/>
        <v>0</v>
      </c>
      <c r="CE84" s="82">
        <f t="shared" si="236"/>
        <v>0</v>
      </c>
      <c r="CF84" s="82">
        <f t="shared" si="237"/>
        <v>0</v>
      </c>
      <c r="CG84" s="82">
        <f t="shared" si="238"/>
        <v>0</v>
      </c>
      <c r="CH84" s="82">
        <f t="shared" si="239"/>
        <v>0</v>
      </c>
      <c r="CI84" s="82">
        <f t="shared" si="240"/>
        <v>0</v>
      </c>
      <c r="CJ84" s="82">
        <f t="shared" si="241"/>
        <v>0</v>
      </c>
      <c r="CK84" s="82">
        <f t="shared" si="242"/>
        <v>0</v>
      </c>
      <c r="CL84" s="82">
        <f t="shared" si="243"/>
        <v>0</v>
      </c>
      <c r="CM84" s="82">
        <f t="shared" si="244"/>
        <v>0</v>
      </c>
      <c r="CN84" s="82">
        <f t="shared" si="245"/>
        <v>0</v>
      </c>
      <c r="CO84" s="82">
        <f t="shared" si="246"/>
        <v>0</v>
      </c>
      <c r="CP84" s="82">
        <f t="shared" si="247"/>
        <v>0</v>
      </c>
      <c r="CQ84" s="82">
        <f t="shared" si="248"/>
        <v>0</v>
      </c>
      <c r="CR84" s="82">
        <f t="shared" si="249"/>
        <v>0</v>
      </c>
      <c r="CS84" s="82">
        <f t="shared" si="250"/>
        <v>0</v>
      </c>
      <c r="CT84" s="82">
        <f t="shared" si="251"/>
        <v>0</v>
      </c>
      <c r="CU84" s="82">
        <f t="shared" si="252"/>
        <v>0</v>
      </c>
      <c r="CV84" s="82">
        <f t="shared" si="253"/>
        <v>0</v>
      </c>
      <c r="CW84" s="82">
        <f t="shared" si="254"/>
        <v>0</v>
      </c>
      <c r="CX84" s="82">
        <f t="shared" si="255"/>
        <v>0</v>
      </c>
      <c r="CY84" s="82">
        <f t="shared" si="256"/>
        <v>0</v>
      </c>
      <c r="CZ84" s="82">
        <f t="shared" si="257"/>
        <v>0</v>
      </c>
      <c r="DA84" s="82">
        <f t="shared" si="258"/>
        <v>0</v>
      </c>
      <c r="DB84" s="82">
        <f t="shared" si="259"/>
        <v>0</v>
      </c>
      <c r="DC84" s="82">
        <f t="shared" si="260"/>
        <v>0</v>
      </c>
      <c r="DD84" s="82">
        <f t="shared" si="261"/>
        <v>0</v>
      </c>
      <c r="DE84" s="82">
        <f t="shared" si="262"/>
        <v>0</v>
      </c>
      <c r="DF84" s="82">
        <f t="shared" si="263"/>
        <v>0</v>
      </c>
      <c r="DG84" s="82">
        <f t="shared" si="264"/>
        <v>0</v>
      </c>
      <c r="DH84" s="82">
        <f t="shared" si="265"/>
        <v>0</v>
      </c>
      <c r="DI84" s="82">
        <f t="shared" si="266"/>
        <v>0</v>
      </c>
      <c r="DJ84" s="82">
        <f t="shared" si="267"/>
        <v>0</v>
      </c>
      <c r="DK84" s="82">
        <f t="shared" si="268"/>
        <v>0</v>
      </c>
      <c r="DL84" s="82">
        <f t="shared" si="269"/>
        <v>0</v>
      </c>
      <c r="DM84" s="82">
        <f t="shared" si="270"/>
        <v>0</v>
      </c>
      <c r="DN84" s="82">
        <f t="shared" si="271"/>
        <v>0</v>
      </c>
      <c r="DO84" s="82">
        <f t="shared" si="272"/>
        <v>0</v>
      </c>
      <c r="DP84" s="82">
        <f t="shared" si="273"/>
        <v>0</v>
      </c>
      <c r="DQ84" s="82">
        <f t="shared" si="274"/>
        <v>0</v>
      </c>
      <c r="DR84" s="82">
        <f t="shared" si="275"/>
        <v>0</v>
      </c>
      <c r="DS84" s="82">
        <f t="shared" si="276"/>
        <v>0</v>
      </c>
      <c r="DT84" s="82">
        <f t="shared" si="277"/>
        <v>0</v>
      </c>
      <c r="DU84" s="82">
        <f t="shared" si="278"/>
        <v>0</v>
      </c>
      <c r="DV84" s="82">
        <f t="shared" si="279"/>
        <v>0</v>
      </c>
      <c r="DW84" s="82">
        <f t="shared" si="280"/>
        <v>0</v>
      </c>
      <c r="DX84" s="82">
        <f t="shared" si="281"/>
        <v>0</v>
      </c>
      <c r="DY84" s="82">
        <f t="shared" si="282"/>
        <v>0</v>
      </c>
      <c r="DZ84" s="82">
        <f t="shared" si="283"/>
        <v>0</v>
      </c>
      <c r="EA84" s="82">
        <f t="shared" si="284"/>
        <v>0</v>
      </c>
      <c r="EB84" s="82">
        <f t="shared" si="285"/>
        <v>0</v>
      </c>
      <c r="EC84" s="82">
        <f t="shared" si="286"/>
        <v>0</v>
      </c>
      <c r="ED84" s="82">
        <f t="shared" si="287"/>
        <v>0</v>
      </c>
      <c r="EE84" s="82">
        <f t="shared" si="288"/>
        <v>0</v>
      </c>
      <c r="EF84" s="82">
        <f t="shared" si="289"/>
        <v>0</v>
      </c>
      <c r="EG84" s="82">
        <f t="shared" si="290"/>
        <v>0</v>
      </c>
      <c r="EH84" s="82">
        <f t="shared" si="291"/>
        <v>0</v>
      </c>
      <c r="EI84" s="82">
        <f t="shared" si="292"/>
        <v>0</v>
      </c>
      <c r="EJ84" s="82">
        <f t="shared" si="293"/>
        <v>0</v>
      </c>
      <c r="EK84" s="82">
        <f t="shared" si="294"/>
        <v>0</v>
      </c>
      <c r="EL84" s="82">
        <f t="shared" si="295"/>
        <v>0</v>
      </c>
      <c r="EM84" s="82">
        <f t="shared" si="296"/>
        <v>0</v>
      </c>
      <c r="EN84" s="82">
        <f t="shared" si="297"/>
        <v>0</v>
      </c>
      <c r="EO84" s="82">
        <f t="shared" si="298"/>
        <v>0</v>
      </c>
      <c r="EP84" s="82">
        <f t="shared" si="299"/>
        <v>0</v>
      </c>
      <c r="EQ84" s="82">
        <f t="shared" si="300"/>
        <v>0</v>
      </c>
      <c r="ER84" s="82">
        <f t="shared" si="301"/>
        <v>0</v>
      </c>
      <c r="ES84" s="82">
        <f t="shared" si="302"/>
        <v>0</v>
      </c>
      <c r="ET84" s="82">
        <f t="shared" si="303"/>
        <v>0</v>
      </c>
      <c r="EU84" s="82">
        <f t="shared" si="304"/>
        <v>0</v>
      </c>
      <c r="EV84" s="82">
        <f t="shared" si="305"/>
        <v>0</v>
      </c>
      <c r="EW84" s="82">
        <f t="shared" si="306"/>
        <v>0</v>
      </c>
      <c r="EX84" s="82">
        <f t="shared" si="307"/>
        <v>0</v>
      </c>
      <c r="EY84" s="111">
        <f t="shared" si="308"/>
        <v>0</v>
      </c>
      <c r="EZ84" s="143">
        <f t="shared" ca="1" si="309"/>
        <v>0</v>
      </c>
      <c r="FA84" s="112">
        <f t="shared" ca="1" si="310"/>
        <v>0</v>
      </c>
      <c r="FB84" s="113">
        <f t="shared" ca="1" si="311"/>
        <v>0</v>
      </c>
      <c r="FC84" s="114">
        <f t="shared" ca="1" si="312"/>
        <v>0</v>
      </c>
      <c r="FD84" s="115">
        <f t="shared" ca="1" si="313"/>
        <v>0</v>
      </c>
      <c r="FE84" s="116">
        <f t="shared" ca="1" si="314"/>
        <v>0</v>
      </c>
      <c r="FF84" s="117">
        <f t="shared" ca="1" si="315"/>
        <v>0</v>
      </c>
      <c r="FG84" s="71">
        <f t="shared" si="316"/>
        <v>0</v>
      </c>
      <c r="FH84" s="530">
        <f t="shared" ca="1" si="317"/>
        <v>0</v>
      </c>
      <c r="FI84" s="72"/>
      <c r="FJ84" s="72"/>
      <c r="FK84" s="72"/>
      <c r="FM84" s="421" t="str">
        <f t="shared" si="318"/>
        <v>L06-616_StrsRaccIncd</v>
      </c>
      <c r="FN84" s="422" t="str">
        <f t="shared" ca="1" si="319"/>
        <v>Stairwell</v>
      </c>
      <c r="FO84" s="423">
        <f t="shared" ca="1" si="323"/>
        <v>0</v>
      </c>
      <c r="FP84" s="423">
        <f t="shared" ca="1" si="323"/>
        <v>0</v>
      </c>
      <c r="FQ84" s="423">
        <f t="shared" ca="1" si="323"/>
        <v>0</v>
      </c>
      <c r="FR84" s="423">
        <f t="shared" ca="1" si="323"/>
        <v>0</v>
      </c>
      <c r="FS84" s="423">
        <f t="shared" ca="1" si="323"/>
        <v>0</v>
      </c>
      <c r="FT84" s="423">
        <f t="shared" ca="1" si="323"/>
        <v>0</v>
      </c>
      <c r="FU84" s="423">
        <f t="shared" ca="1" si="323"/>
        <v>0</v>
      </c>
      <c r="FV84" s="423">
        <f t="shared" ca="1" si="323"/>
        <v>0</v>
      </c>
      <c r="FW84" s="423">
        <f t="shared" ca="1" si="323"/>
        <v>0</v>
      </c>
      <c r="FX84" s="423">
        <f t="shared" ca="1" si="323"/>
        <v>0</v>
      </c>
      <c r="FY84" s="423">
        <f t="shared" ca="1" si="323"/>
        <v>0</v>
      </c>
      <c r="FZ84" s="423">
        <f t="shared" ca="1" si="323"/>
        <v>0</v>
      </c>
      <c r="GA84" s="423">
        <f t="shared" ca="1" si="323"/>
        <v>0</v>
      </c>
      <c r="GB84" s="423">
        <f t="shared" ca="1" si="323"/>
        <v>0</v>
      </c>
      <c r="GC84" s="423">
        <f t="shared" ca="1" si="323"/>
        <v>0</v>
      </c>
      <c r="GD84" s="423">
        <f t="shared" ca="1" si="320"/>
        <v>0</v>
      </c>
      <c r="GE84" s="423">
        <f t="shared" ca="1" si="320"/>
        <v>0</v>
      </c>
      <c r="GF84" s="423">
        <f t="shared" ca="1" si="320"/>
        <v>0</v>
      </c>
      <c r="GG84" s="423">
        <f t="shared" ca="1" si="320"/>
        <v>0</v>
      </c>
      <c r="GH84" s="423">
        <f t="shared" ca="1" si="320"/>
        <v>0</v>
      </c>
      <c r="GI84" s="423">
        <f t="shared" ca="1" si="320"/>
        <v>0</v>
      </c>
      <c r="GJ84" s="423">
        <f t="shared" ca="1" si="320"/>
        <v>0</v>
      </c>
      <c r="GK84" s="423">
        <f t="shared" ca="1" si="320"/>
        <v>0</v>
      </c>
      <c r="GL84" s="423">
        <f t="shared" ca="1" si="320"/>
        <v>0</v>
      </c>
      <c r="GM84" s="423">
        <f t="shared" ca="1" si="320"/>
        <v>0</v>
      </c>
      <c r="GN84" s="423">
        <f t="shared" ca="1" si="320"/>
        <v>0</v>
      </c>
      <c r="GO84" s="423">
        <f t="shared" ca="1" si="320"/>
        <v>0</v>
      </c>
      <c r="GP84" s="423">
        <f t="shared" ca="1" si="320"/>
        <v>0</v>
      </c>
      <c r="GQ84" s="423">
        <f t="shared" ca="1" si="320"/>
        <v>0</v>
      </c>
      <c r="GR84" s="423">
        <f t="shared" ca="1" si="320"/>
        <v>0</v>
      </c>
      <c r="GS84" s="423">
        <f t="shared" ca="1" si="320"/>
        <v>0</v>
      </c>
      <c r="GT84" s="423">
        <f t="shared" ca="1" si="321"/>
        <v>0</v>
      </c>
      <c r="GU84" s="423">
        <f t="shared" ca="1" si="233"/>
        <v>0</v>
      </c>
      <c r="GV84" s="423">
        <f t="shared" ca="1" si="233"/>
        <v>0</v>
      </c>
      <c r="GW84" s="423">
        <f t="shared" ca="1" si="233"/>
        <v>0</v>
      </c>
      <c r="GX84" s="423">
        <f t="shared" ca="1" si="233"/>
        <v>0</v>
      </c>
      <c r="GY84" s="423">
        <f t="shared" ca="1" si="233"/>
        <v>0</v>
      </c>
      <c r="GZ84" s="423">
        <f t="shared" ca="1" si="233"/>
        <v>0</v>
      </c>
      <c r="HA84" s="423">
        <f t="shared" ca="1" si="233"/>
        <v>0</v>
      </c>
      <c r="HB84" s="423">
        <f t="shared" ca="1" si="233"/>
        <v>0</v>
      </c>
      <c r="HC84" s="423">
        <f t="shared" ca="1" si="233"/>
        <v>0</v>
      </c>
      <c r="HD84" s="423">
        <f t="shared" ca="1" si="233"/>
        <v>0</v>
      </c>
      <c r="HE84" s="423">
        <f t="shared" ca="1" si="233"/>
        <v>0</v>
      </c>
      <c r="HF84" s="423">
        <f t="shared" ca="1" si="233"/>
        <v>0</v>
      </c>
      <c r="HG84" s="423">
        <f t="shared" ca="1" si="233"/>
        <v>0</v>
      </c>
      <c r="HH84" s="423">
        <f t="shared" ca="1" si="233"/>
        <v>0</v>
      </c>
      <c r="HI84" s="423">
        <f t="shared" ca="1" si="233"/>
        <v>0</v>
      </c>
      <c r="HJ84" s="423">
        <f t="shared" ca="1" si="233"/>
        <v>0</v>
      </c>
      <c r="HK84" s="423">
        <f t="shared" ca="1" si="234"/>
        <v>0</v>
      </c>
      <c r="HL84" s="423">
        <f t="shared" ca="1" si="234"/>
        <v>0</v>
      </c>
      <c r="HM84" s="423">
        <f t="shared" ca="1" si="234"/>
        <v>0</v>
      </c>
      <c r="HN84" s="423">
        <f t="shared" ca="1" si="234"/>
        <v>0</v>
      </c>
      <c r="HO84" s="423">
        <f t="shared" ca="1" si="234"/>
        <v>0</v>
      </c>
      <c r="HP84" s="423">
        <f t="shared" ca="1" si="234"/>
        <v>0</v>
      </c>
      <c r="HQ84" s="423">
        <f t="shared" ca="1" si="234"/>
        <v>0</v>
      </c>
      <c r="HR84" s="423">
        <f t="shared" ca="1" si="234"/>
        <v>0</v>
      </c>
      <c r="HS84" s="423">
        <f t="shared" ca="1" si="234"/>
        <v>0</v>
      </c>
      <c r="HT84" s="423">
        <f t="shared" ca="1" si="234"/>
        <v>0</v>
      </c>
    </row>
    <row r="85" spans="1:230" ht="11.25" customHeight="1" x14ac:dyDescent="0.2">
      <c r="A85" s="62">
        <f t="shared" si="322"/>
        <v>74</v>
      </c>
      <c r="B85" s="60" t="str">
        <f>Spaces_Sum!C130</f>
        <v>L06-617_MfamResiPthp</v>
      </c>
      <c r="C85" s="62" t="str">
        <f>Spaces_Sum!D130</f>
        <v>L06</v>
      </c>
      <c r="D85" s="62" t="str">
        <f ca="1">Spaces_Sum!I130</f>
        <v>DirectlyConditioned</v>
      </c>
      <c r="F85" s="110">
        <f ca="1">Spaces_Sum!M130</f>
        <v>688.28060000000005</v>
      </c>
      <c r="G85" s="110" t="str">
        <f ca="1">Spaces_Sum!J130</f>
        <v>Dwelling Unit</v>
      </c>
      <c r="H85" s="532"/>
      <c r="I85" s="185"/>
      <c r="J85" s="185"/>
      <c r="K85" s="186"/>
      <c r="L85" s="187"/>
      <c r="M85" s="188"/>
      <c r="N85" s="189"/>
      <c r="O85" s="186"/>
      <c r="P85" s="187"/>
      <c r="Q85" s="188"/>
      <c r="R85" s="189"/>
      <c r="S85" s="186"/>
      <c r="T85" s="187"/>
      <c r="U85" s="188"/>
      <c r="V85" s="189"/>
      <c r="W85" s="186"/>
      <c r="X85" s="187"/>
      <c r="Y85" s="188"/>
      <c r="Z85" s="189"/>
      <c r="AA85" s="186"/>
      <c r="AB85" s="187"/>
      <c r="AC85" s="188"/>
      <c r="AD85" s="189"/>
      <c r="AE85" s="186"/>
      <c r="AF85" s="187"/>
      <c r="AG85" s="188"/>
      <c r="AH85" s="189"/>
      <c r="AI85" s="186"/>
      <c r="AJ85" s="187"/>
      <c r="AK85" s="188"/>
      <c r="AL85" s="189"/>
      <c r="AM85" s="186"/>
      <c r="AN85" s="187"/>
      <c r="AO85" s="188"/>
      <c r="AP85" s="189"/>
      <c r="AQ85" s="186"/>
      <c r="AR85" s="187"/>
      <c r="AS85" s="188"/>
      <c r="AT85" s="189"/>
      <c r="AU85" s="186"/>
      <c r="AV85" s="187"/>
      <c r="AW85" s="188"/>
      <c r="AX85" s="189"/>
      <c r="AY85" s="186"/>
      <c r="AZ85" s="187"/>
      <c r="BA85" s="188"/>
      <c r="BB85" s="189"/>
      <c r="BC85" s="186"/>
      <c r="BD85" s="187"/>
      <c r="BE85" s="188"/>
      <c r="BF85" s="189"/>
      <c r="BG85" s="186"/>
      <c r="BH85" s="187"/>
      <c r="BI85" s="188"/>
      <c r="BJ85" s="189"/>
      <c r="BK85" s="186"/>
      <c r="BL85" s="187"/>
      <c r="BM85" s="188"/>
      <c r="BN85" s="189"/>
      <c r="BO85" s="186"/>
      <c r="BP85" s="187"/>
      <c r="BQ85" s="188"/>
      <c r="BR85" s="189"/>
      <c r="BS85" s="186"/>
      <c r="BT85" s="187"/>
      <c r="BU85" s="188"/>
      <c r="BV85" s="189"/>
      <c r="BW85" s="186"/>
      <c r="BX85" s="187"/>
      <c r="BY85" s="188"/>
      <c r="BZ85" s="189"/>
      <c r="CA85" s="186"/>
      <c r="CB85" s="190"/>
      <c r="CC85" s="190"/>
      <c r="CD85" s="82">
        <f t="shared" si="235"/>
        <v>0</v>
      </c>
      <c r="CE85" s="82">
        <f t="shared" si="236"/>
        <v>0</v>
      </c>
      <c r="CF85" s="82">
        <f t="shared" si="237"/>
        <v>0</v>
      </c>
      <c r="CG85" s="82">
        <f t="shared" si="238"/>
        <v>0</v>
      </c>
      <c r="CH85" s="82">
        <f t="shared" si="239"/>
        <v>0</v>
      </c>
      <c r="CI85" s="82">
        <f t="shared" si="240"/>
        <v>0</v>
      </c>
      <c r="CJ85" s="82">
        <f t="shared" si="241"/>
        <v>0</v>
      </c>
      <c r="CK85" s="82">
        <f t="shared" si="242"/>
        <v>0</v>
      </c>
      <c r="CL85" s="82">
        <f t="shared" si="243"/>
        <v>0</v>
      </c>
      <c r="CM85" s="82">
        <f t="shared" si="244"/>
        <v>0</v>
      </c>
      <c r="CN85" s="82">
        <f t="shared" si="245"/>
        <v>0</v>
      </c>
      <c r="CO85" s="82">
        <f t="shared" si="246"/>
        <v>0</v>
      </c>
      <c r="CP85" s="82">
        <f t="shared" si="247"/>
        <v>0</v>
      </c>
      <c r="CQ85" s="82">
        <f t="shared" si="248"/>
        <v>0</v>
      </c>
      <c r="CR85" s="82">
        <f t="shared" si="249"/>
        <v>0</v>
      </c>
      <c r="CS85" s="82">
        <f t="shared" si="250"/>
        <v>0</v>
      </c>
      <c r="CT85" s="82">
        <f t="shared" si="251"/>
        <v>0</v>
      </c>
      <c r="CU85" s="82">
        <f t="shared" si="252"/>
        <v>0</v>
      </c>
      <c r="CV85" s="82">
        <f t="shared" si="253"/>
        <v>0</v>
      </c>
      <c r="CW85" s="82">
        <f t="shared" si="254"/>
        <v>0</v>
      </c>
      <c r="CX85" s="82">
        <f t="shared" si="255"/>
        <v>0</v>
      </c>
      <c r="CY85" s="82">
        <f t="shared" si="256"/>
        <v>0</v>
      </c>
      <c r="CZ85" s="82">
        <f t="shared" si="257"/>
        <v>0</v>
      </c>
      <c r="DA85" s="82">
        <f t="shared" si="258"/>
        <v>0</v>
      </c>
      <c r="DB85" s="82">
        <f t="shared" si="259"/>
        <v>0</v>
      </c>
      <c r="DC85" s="82">
        <f t="shared" si="260"/>
        <v>0</v>
      </c>
      <c r="DD85" s="82">
        <f t="shared" si="261"/>
        <v>0</v>
      </c>
      <c r="DE85" s="82">
        <f t="shared" si="262"/>
        <v>0</v>
      </c>
      <c r="DF85" s="82">
        <f t="shared" si="263"/>
        <v>0</v>
      </c>
      <c r="DG85" s="82">
        <f t="shared" si="264"/>
        <v>0</v>
      </c>
      <c r="DH85" s="82">
        <f t="shared" si="265"/>
        <v>0</v>
      </c>
      <c r="DI85" s="82">
        <f t="shared" si="266"/>
        <v>0</v>
      </c>
      <c r="DJ85" s="82">
        <f t="shared" si="267"/>
        <v>0</v>
      </c>
      <c r="DK85" s="82">
        <f t="shared" si="268"/>
        <v>0</v>
      </c>
      <c r="DL85" s="82">
        <f t="shared" si="269"/>
        <v>0</v>
      </c>
      <c r="DM85" s="82">
        <f t="shared" si="270"/>
        <v>0</v>
      </c>
      <c r="DN85" s="82">
        <f t="shared" si="271"/>
        <v>0</v>
      </c>
      <c r="DO85" s="82">
        <f t="shared" si="272"/>
        <v>0</v>
      </c>
      <c r="DP85" s="82">
        <f t="shared" si="273"/>
        <v>0</v>
      </c>
      <c r="DQ85" s="82">
        <f t="shared" si="274"/>
        <v>0</v>
      </c>
      <c r="DR85" s="82">
        <f t="shared" si="275"/>
        <v>0</v>
      </c>
      <c r="DS85" s="82">
        <f t="shared" si="276"/>
        <v>0</v>
      </c>
      <c r="DT85" s="82">
        <f t="shared" si="277"/>
        <v>0</v>
      </c>
      <c r="DU85" s="82">
        <f t="shared" si="278"/>
        <v>0</v>
      </c>
      <c r="DV85" s="82">
        <f t="shared" si="279"/>
        <v>0</v>
      </c>
      <c r="DW85" s="82">
        <f t="shared" si="280"/>
        <v>0</v>
      </c>
      <c r="DX85" s="82">
        <f t="shared" si="281"/>
        <v>0</v>
      </c>
      <c r="DY85" s="82">
        <f t="shared" si="282"/>
        <v>0</v>
      </c>
      <c r="DZ85" s="82">
        <f t="shared" si="283"/>
        <v>0</v>
      </c>
      <c r="EA85" s="82">
        <f t="shared" si="284"/>
        <v>0</v>
      </c>
      <c r="EB85" s="82">
        <f t="shared" si="285"/>
        <v>0</v>
      </c>
      <c r="EC85" s="82">
        <f t="shared" si="286"/>
        <v>0</v>
      </c>
      <c r="ED85" s="82">
        <f t="shared" si="287"/>
        <v>0</v>
      </c>
      <c r="EE85" s="82">
        <f t="shared" si="288"/>
        <v>0</v>
      </c>
      <c r="EF85" s="82">
        <f t="shared" si="289"/>
        <v>0</v>
      </c>
      <c r="EG85" s="82">
        <f t="shared" si="290"/>
        <v>0</v>
      </c>
      <c r="EH85" s="82">
        <f t="shared" si="291"/>
        <v>0</v>
      </c>
      <c r="EI85" s="82">
        <f t="shared" si="292"/>
        <v>0</v>
      </c>
      <c r="EJ85" s="82">
        <f t="shared" si="293"/>
        <v>0</v>
      </c>
      <c r="EK85" s="82">
        <f t="shared" si="294"/>
        <v>0</v>
      </c>
      <c r="EL85" s="82">
        <f t="shared" si="295"/>
        <v>0</v>
      </c>
      <c r="EM85" s="82">
        <f t="shared" si="296"/>
        <v>0</v>
      </c>
      <c r="EN85" s="82">
        <f t="shared" si="297"/>
        <v>0</v>
      </c>
      <c r="EO85" s="82">
        <f t="shared" si="298"/>
        <v>0</v>
      </c>
      <c r="EP85" s="82">
        <f t="shared" si="299"/>
        <v>0</v>
      </c>
      <c r="EQ85" s="82">
        <f t="shared" si="300"/>
        <v>0</v>
      </c>
      <c r="ER85" s="82">
        <f t="shared" si="301"/>
        <v>0</v>
      </c>
      <c r="ES85" s="82">
        <f t="shared" si="302"/>
        <v>0</v>
      </c>
      <c r="ET85" s="82">
        <f t="shared" si="303"/>
        <v>0</v>
      </c>
      <c r="EU85" s="82">
        <f t="shared" si="304"/>
        <v>0</v>
      </c>
      <c r="EV85" s="82">
        <f t="shared" si="305"/>
        <v>0</v>
      </c>
      <c r="EW85" s="82">
        <f t="shared" si="306"/>
        <v>0</v>
      </c>
      <c r="EX85" s="82">
        <f t="shared" si="307"/>
        <v>0</v>
      </c>
      <c r="EY85" s="111">
        <f t="shared" si="308"/>
        <v>0</v>
      </c>
      <c r="EZ85" s="143">
        <f t="shared" ca="1" si="309"/>
        <v>0</v>
      </c>
      <c r="FA85" s="112">
        <f t="shared" ca="1" si="310"/>
        <v>0</v>
      </c>
      <c r="FB85" s="113">
        <f t="shared" ca="1" si="311"/>
        <v>0</v>
      </c>
      <c r="FC85" s="114">
        <f t="shared" ca="1" si="312"/>
        <v>0</v>
      </c>
      <c r="FD85" s="115">
        <f t="shared" ca="1" si="313"/>
        <v>0</v>
      </c>
      <c r="FE85" s="116">
        <f t="shared" ca="1" si="314"/>
        <v>0</v>
      </c>
      <c r="FF85" s="117">
        <f t="shared" ca="1" si="315"/>
        <v>0</v>
      </c>
      <c r="FG85" s="71">
        <f t="shared" si="316"/>
        <v>0</v>
      </c>
      <c r="FH85" s="530">
        <f t="shared" ca="1" si="317"/>
        <v>0</v>
      </c>
      <c r="FI85" s="72"/>
      <c r="FJ85" s="72"/>
      <c r="FK85" s="72"/>
      <c r="FM85" s="421" t="str">
        <f t="shared" si="318"/>
        <v>L06-617_MfamResiPthp</v>
      </c>
      <c r="FN85" s="422" t="str">
        <f t="shared" ca="1" si="319"/>
        <v>Dwelling Unit</v>
      </c>
      <c r="FO85" s="423">
        <f t="shared" ca="1" si="323"/>
        <v>0</v>
      </c>
      <c r="FP85" s="423">
        <f t="shared" ca="1" si="323"/>
        <v>0</v>
      </c>
      <c r="FQ85" s="423">
        <f t="shared" ca="1" si="323"/>
        <v>0</v>
      </c>
      <c r="FR85" s="423">
        <f t="shared" ca="1" si="323"/>
        <v>0</v>
      </c>
      <c r="FS85" s="423">
        <f t="shared" ca="1" si="323"/>
        <v>0</v>
      </c>
      <c r="FT85" s="423">
        <f t="shared" ca="1" si="323"/>
        <v>0</v>
      </c>
      <c r="FU85" s="423">
        <f t="shared" ca="1" si="323"/>
        <v>0</v>
      </c>
      <c r="FV85" s="423">
        <f t="shared" ca="1" si="323"/>
        <v>0</v>
      </c>
      <c r="FW85" s="423">
        <f t="shared" ca="1" si="323"/>
        <v>0</v>
      </c>
      <c r="FX85" s="423">
        <f t="shared" ca="1" si="323"/>
        <v>0</v>
      </c>
      <c r="FY85" s="423">
        <f t="shared" ca="1" si="323"/>
        <v>0</v>
      </c>
      <c r="FZ85" s="423">
        <f t="shared" ca="1" si="323"/>
        <v>0</v>
      </c>
      <c r="GA85" s="423">
        <f t="shared" ca="1" si="323"/>
        <v>0</v>
      </c>
      <c r="GB85" s="423">
        <f t="shared" ca="1" si="323"/>
        <v>0</v>
      </c>
      <c r="GC85" s="423">
        <f t="shared" ca="1" si="323"/>
        <v>0</v>
      </c>
      <c r="GD85" s="423">
        <f t="shared" ca="1" si="320"/>
        <v>0</v>
      </c>
      <c r="GE85" s="423">
        <f t="shared" ca="1" si="320"/>
        <v>0</v>
      </c>
      <c r="GF85" s="423">
        <f t="shared" ca="1" si="320"/>
        <v>0</v>
      </c>
      <c r="GG85" s="423">
        <f t="shared" ca="1" si="320"/>
        <v>0</v>
      </c>
      <c r="GH85" s="423">
        <f t="shared" ca="1" si="320"/>
        <v>0</v>
      </c>
      <c r="GI85" s="423">
        <f t="shared" ca="1" si="320"/>
        <v>0</v>
      </c>
      <c r="GJ85" s="423">
        <f t="shared" ca="1" si="320"/>
        <v>0</v>
      </c>
      <c r="GK85" s="423">
        <f t="shared" ca="1" si="320"/>
        <v>0</v>
      </c>
      <c r="GL85" s="423">
        <f t="shared" ca="1" si="320"/>
        <v>0</v>
      </c>
      <c r="GM85" s="423">
        <f t="shared" ca="1" si="320"/>
        <v>0</v>
      </c>
      <c r="GN85" s="423">
        <f t="shared" ca="1" si="320"/>
        <v>0</v>
      </c>
      <c r="GO85" s="423">
        <f t="shared" ca="1" si="320"/>
        <v>0</v>
      </c>
      <c r="GP85" s="423">
        <f t="shared" ca="1" si="320"/>
        <v>0</v>
      </c>
      <c r="GQ85" s="423">
        <f t="shared" ca="1" si="320"/>
        <v>0</v>
      </c>
      <c r="GR85" s="423">
        <f t="shared" ca="1" si="320"/>
        <v>0</v>
      </c>
      <c r="GS85" s="423">
        <f t="shared" ca="1" si="320"/>
        <v>0</v>
      </c>
      <c r="GT85" s="423">
        <f t="shared" ca="1" si="321"/>
        <v>0</v>
      </c>
      <c r="GU85" s="423">
        <f t="shared" ca="1" si="233"/>
        <v>0</v>
      </c>
      <c r="GV85" s="423">
        <f t="shared" ca="1" si="233"/>
        <v>0</v>
      </c>
      <c r="GW85" s="423">
        <f t="shared" ca="1" si="233"/>
        <v>0</v>
      </c>
      <c r="GX85" s="423">
        <f t="shared" ca="1" si="233"/>
        <v>0</v>
      </c>
      <c r="GY85" s="423">
        <f t="shared" ca="1" si="233"/>
        <v>0</v>
      </c>
      <c r="GZ85" s="423">
        <f t="shared" ca="1" si="233"/>
        <v>0</v>
      </c>
      <c r="HA85" s="423">
        <f t="shared" ca="1" si="233"/>
        <v>0</v>
      </c>
      <c r="HB85" s="423">
        <f t="shared" ca="1" si="233"/>
        <v>0</v>
      </c>
      <c r="HC85" s="423">
        <f t="shared" ca="1" si="233"/>
        <v>0</v>
      </c>
      <c r="HD85" s="423">
        <f t="shared" ca="1" si="233"/>
        <v>0</v>
      </c>
      <c r="HE85" s="423">
        <f t="shared" ca="1" si="233"/>
        <v>0</v>
      </c>
      <c r="HF85" s="423">
        <f t="shared" ca="1" si="233"/>
        <v>0</v>
      </c>
      <c r="HG85" s="423">
        <f t="shared" ca="1" si="233"/>
        <v>0</v>
      </c>
      <c r="HH85" s="423">
        <f t="shared" ca="1" si="233"/>
        <v>0</v>
      </c>
      <c r="HI85" s="423">
        <f t="shared" ca="1" si="233"/>
        <v>0</v>
      </c>
      <c r="HJ85" s="423">
        <f t="shared" ca="1" si="233"/>
        <v>0</v>
      </c>
      <c r="HK85" s="423">
        <f t="shared" ca="1" si="234"/>
        <v>0</v>
      </c>
      <c r="HL85" s="423">
        <f t="shared" ca="1" si="234"/>
        <v>0</v>
      </c>
      <c r="HM85" s="423">
        <f t="shared" ca="1" si="234"/>
        <v>0</v>
      </c>
      <c r="HN85" s="423">
        <f t="shared" ca="1" si="234"/>
        <v>0</v>
      </c>
      <c r="HO85" s="423">
        <f t="shared" ca="1" si="234"/>
        <v>0</v>
      </c>
      <c r="HP85" s="423">
        <f t="shared" ca="1" si="234"/>
        <v>0</v>
      </c>
      <c r="HQ85" s="423">
        <f t="shared" ca="1" si="234"/>
        <v>0</v>
      </c>
      <c r="HR85" s="423">
        <f t="shared" ca="1" si="234"/>
        <v>0</v>
      </c>
      <c r="HS85" s="423">
        <f t="shared" ca="1" si="234"/>
        <v>0</v>
      </c>
      <c r="HT85" s="423">
        <f t="shared" ca="1" si="234"/>
        <v>0</v>
      </c>
    </row>
    <row r="86" spans="1:230" ht="11.25" customHeight="1" x14ac:dyDescent="0.2">
      <c r="A86" s="62">
        <f t="shared" si="322"/>
        <v>75</v>
      </c>
      <c r="B86" s="60" t="str">
        <f>Spaces_Sum!C131</f>
        <v>L06-618_TrshRaccIncd</v>
      </c>
      <c r="C86" s="62" t="str">
        <f>Spaces_Sum!D131</f>
        <v>L06</v>
      </c>
      <c r="D86" s="62" t="str">
        <f ca="1">Spaces_Sum!I131</f>
        <v>IndirectlyConditioned</v>
      </c>
      <c r="F86" s="110">
        <f ca="1">Spaces_Sum!M131</f>
        <v>187.88740000000001</v>
      </c>
      <c r="G86" s="110" t="str">
        <f ca="1">Spaces_Sum!J131</f>
        <v>Storage Room - &lt;50 ft2</v>
      </c>
      <c r="H86" s="532"/>
      <c r="I86" s="185"/>
      <c r="J86" s="185"/>
      <c r="K86" s="186"/>
      <c r="L86" s="187"/>
      <c r="M86" s="188"/>
      <c r="N86" s="189"/>
      <c r="O86" s="186"/>
      <c r="P86" s="187"/>
      <c r="Q86" s="188"/>
      <c r="R86" s="189"/>
      <c r="S86" s="186"/>
      <c r="T86" s="187"/>
      <c r="U86" s="188"/>
      <c r="V86" s="189"/>
      <c r="W86" s="186"/>
      <c r="X86" s="187"/>
      <c r="Y86" s="188"/>
      <c r="Z86" s="189"/>
      <c r="AA86" s="186"/>
      <c r="AB86" s="187"/>
      <c r="AC86" s="188"/>
      <c r="AD86" s="189"/>
      <c r="AE86" s="186"/>
      <c r="AF86" s="187"/>
      <c r="AG86" s="188"/>
      <c r="AH86" s="189"/>
      <c r="AI86" s="186"/>
      <c r="AJ86" s="187"/>
      <c r="AK86" s="188"/>
      <c r="AL86" s="189"/>
      <c r="AM86" s="186"/>
      <c r="AN86" s="187"/>
      <c r="AO86" s="188"/>
      <c r="AP86" s="189"/>
      <c r="AQ86" s="186"/>
      <c r="AR86" s="187"/>
      <c r="AS86" s="188"/>
      <c r="AT86" s="189"/>
      <c r="AU86" s="186"/>
      <c r="AV86" s="187"/>
      <c r="AW86" s="188"/>
      <c r="AX86" s="189"/>
      <c r="AY86" s="186"/>
      <c r="AZ86" s="187"/>
      <c r="BA86" s="188"/>
      <c r="BB86" s="189"/>
      <c r="BC86" s="186"/>
      <c r="BD86" s="187"/>
      <c r="BE86" s="188"/>
      <c r="BF86" s="189"/>
      <c r="BG86" s="186"/>
      <c r="BH86" s="187"/>
      <c r="BI86" s="188"/>
      <c r="BJ86" s="189"/>
      <c r="BK86" s="186"/>
      <c r="BL86" s="187"/>
      <c r="BM86" s="188"/>
      <c r="BN86" s="189"/>
      <c r="BO86" s="186"/>
      <c r="BP86" s="187"/>
      <c r="BQ86" s="188"/>
      <c r="BR86" s="189"/>
      <c r="BS86" s="186"/>
      <c r="BT86" s="187"/>
      <c r="BU86" s="188"/>
      <c r="BV86" s="189"/>
      <c r="BW86" s="186"/>
      <c r="BX86" s="187"/>
      <c r="BY86" s="188"/>
      <c r="BZ86" s="189"/>
      <c r="CA86" s="186"/>
      <c r="CB86" s="190"/>
      <c r="CC86" s="190"/>
      <c r="CD86" s="82">
        <f t="shared" si="235"/>
        <v>0</v>
      </c>
      <c r="CE86" s="82">
        <f t="shared" si="236"/>
        <v>0</v>
      </c>
      <c r="CF86" s="82">
        <f t="shared" si="237"/>
        <v>0</v>
      </c>
      <c r="CG86" s="82">
        <f t="shared" si="238"/>
        <v>0</v>
      </c>
      <c r="CH86" s="82">
        <f t="shared" si="239"/>
        <v>0</v>
      </c>
      <c r="CI86" s="82">
        <f t="shared" si="240"/>
        <v>0</v>
      </c>
      <c r="CJ86" s="82">
        <f t="shared" si="241"/>
        <v>0</v>
      </c>
      <c r="CK86" s="82">
        <f t="shared" si="242"/>
        <v>0</v>
      </c>
      <c r="CL86" s="82">
        <f t="shared" si="243"/>
        <v>0</v>
      </c>
      <c r="CM86" s="82">
        <f t="shared" si="244"/>
        <v>0</v>
      </c>
      <c r="CN86" s="82">
        <f t="shared" si="245"/>
        <v>0</v>
      </c>
      <c r="CO86" s="82">
        <f t="shared" si="246"/>
        <v>0</v>
      </c>
      <c r="CP86" s="82">
        <f t="shared" si="247"/>
        <v>0</v>
      </c>
      <c r="CQ86" s="82">
        <f t="shared" si="248"/>
        <v>0</v>
      </c>
      <c r="CR86" s="82">
        <f t="shared" si="249"/>
        <v>0</v>
      </c>
      <c r="CS86" s="82">
        <f t="shared" si="250"/>
        <v>0</v>
      </c>
      <c r="CT86" s="82">
        <f t="shared" si="251"/>
        <v>0</v>
      </c>
      <c r="CU86" s="82">
        <f t="shared" si="252"/>
        <v>0</v>
      </c>
      <c r="CV86" s="82">
        <f t="shared" si="253"/>
        <v>0</v>
      </c>
      <c r="CW86" s="82">
        <f t="shared" si="254"/>
        <v>0</v>
      </c>
      <c r="CX86" s="82">
        <f t="shared" si="255"/>
        <v>0</v>
      </c>
      <c r="CY86" s="82">
        <f t="shared" si="256"/>
        <v>0</v>
      </c>
      <c r="CZ86" s="82">
        <f t="shared" si="257"/>
        <v>0</v>
      </c>
      <c r="DA86" s="82">
        <f t="shared" si="258"/>
        <v>0</v>
      </c>
      <c r="DB86" s="82">
        <f t="shared" si="259"/>
        <v>0</v>
      </c>
      <c r="DC86" s="82">
        <f t="shared" si="260"/>
        <v>0</v>
      </c>
      <c r="DD86" s="82">
        <f t="shared" si="261"/>
        <v>0</v>
      </c>
      <c r="DE86" s="82">
        <f t="shared" si="262"/>
        <v>0</v>
      </c>
      <c r="DF86" s="82">
        <f t="shared" si="263"/>
        <v>0</v>
      </c>
      <c r="DG86" s="82">
        <f t="shared" si="264"/>
        <v>0</v>
      </c>
      <c r="DH86" s="82">
        <f t="shared" si="265"/>
        <v>0</v>
      </c>
      <c r="DI86" s="82">
        <f t="shared" si="266"/>
        <v>0</v>
      </c>
      <c r="DJ86" s="82">
        <f t="shared" si="267"/>
        <v>0</v>
      </c>
      <c r="DK86" s="82">
        <f t="shared" si="268"/>
        <v>0</v>
      </c>
      <c r="DL86" s="82">
        <f t="shared" si="269"/>
        <v>0</v>
      </c>
      <c r="DM86" s="82">
        <f t="shared" si="270"/>
        <v>0</v>
      </c>
      <c r="DN86" s="82">
        <f t="shared" si="271"/>
        <v>0</v>
      </c>
      <c r="DO86" s="82">
        <f t="shared" si="272"/>
        <v>0</v>
      </c>
      <c r="DP86" s="82">
        <f t="shared" si="273"/>
        <v>0</v>
      </c>
      <c r="DQ86" s="82">
        <f t="shared" si="274"/>
        <v>0</v>
      </c>
      <c r="DR86" s="82">
        <f t="shared" si="275"/>
        <v>0</v>
      </c>
      <c r="DS86" s="82">
        <f t="shared" si="276"/>
        <v>0</v>
      </c>
      <c r="DT86" s="82">
        <f t="shared" si="277"/>
        <v>0</v>
      </c>
      <c r="DU86" s="82">
        <f t="shared" si="278"/>
        <v>0</v>
      </c>
      <c r="DV86" s="82">
        <f t="shared" si="279"/>
        <v>0</v>
      </c>
      <c r="DW86" s="82">
        <f t="shared" si="280"/>
        <v>0</v>
      </c>
      <c r="DX86" s="82">
        <f t="shared" si="281"/>
        <v>0</v>
      </c>
      <c r="DY86" s="82">
        <f t="shared" si="282"/>
        <v>0</v>
      </c>
      <c r="DZ86" s="82">
        <f t="shared" si="283"/>
        <v>0</v>
      </c>
      <c r="EA86" s="82">
        <f t="shared" si="284"/>
        <v>0</v>
      </c>
      <c r="EB86" s="82">
        <f t="shared" si="285"/>
        <v>0</v>
      </c>
      <c r="EC86" s="82">
        <f t="shared" si="286"/>
        <v>0</v>
      </c>
      <c r="ED86" s="82">
        <f t="shared" si="287"/>
        <v>0</v>
      </c>
      <c r="EE86" s="82">
        <f t="shared" si="288"/>
        <v>0</v>
      </c>
      <c r="EF86" s="82">
        <f t="shared" si="289"/>
        <v>0</v>
      </c>
      <c r="EG86" s="82">
        <f t="shared" si="290"/>
        <v>0</v>
      </c>
      <c r="EH86" s="82">
        <f t="shared" si="291"/>
        <v>0</v>
      </c>
      <c r="EI86" s="82">
        <f t="shared" si="292"/>
        <v>0</v>
      </c>
      <c r="EJ86" s="82">
        <f t="shared" si="293"/>
        <v>0</v>
      </c>
      <c r="EK86" s="82">
        <f t="shared" si="294"/>
        <v>0</v>
      </c>
      <c r="EL86" s="82">
        <f t="shared" si="295"/>
        <v>0</v>
      </c>
      <c r="EM86" s="82">
        <f t="shared" si="296"/>
        <v>0</v>
      </c>
      <c r="EN86" s="82">
        <f t="shared" si="297"/>
        <v>0</v>
      </c>
      <c r="EO86" s="82">
        <f t="shared" si="298"/>
        <v>0</v>
      </c>
      <c r="EP86" s="82">
        <f t="shared" si="299"/>
        <v>0</v>
      </c>
      <c r="EQ86" s="82">
        <f t="shared" si="300"/>
        <v>0</v>
      </c>
      <c r="ER86" s="82">
        <f t="shared" si="301"/>
        <v>0</v>
      </c>
      <c r="ES86" s="82">
        <f t="shared" si="302"/>
        <v>0</v>
      </c>
      <c r="ET86" s="82">
        <f t="shared" si="303"/>
        <v>0</v>
      </c>
      <c r="EU86" s="82">
        <f t="shared" si="304"/>
        <v>0</v>
      </c>
      <c r="EV86" s="82">
        <f t="shared" si="305"/>
        <v>0</v>
      </c>
      <c r="EW86" s="82">
        <f t="shared" si="306"/>
        <v>0</v>
      </c>
      <c r="EX86" s="82">
        <f t="shared" si="307"/>
        <v>0</v>
      </c>
      <c r="EY86" s="111">
        <f t="shared" si="308"/>
        <v>0</v>
      </c>
      <c r="EZ86" s="143">
        <f t="shared" ca="1" si="309"/>
        <v>0</v>
      </c>
      <c r="FA86" s="112">
        <f t="shared" ca="1" si="310"/>
        <v>0</v>
      </c>
      <c r="FB86" s="113">
        <f t="shared" ca="1" si="311"/>
        <v>0</v>
      </c>
      <c r="FC86" s="114">
        <f t="shared" ca="1" si="312"/>
        <v>0</v>
      </c>
      <c r="FD86" s="115">
        <f t="shared" ca="1" si="313"/>
        <v>0</v>
      </c>
      <c r="FE86" s="116">
        <f t="shared" ca="1" si="314"/>
        <v>0</v>
      </c>
      <c r="FF86" s="117">
        <f t="shared" ca="1" si="315"/>
        <v>0</v>
      </c>
      <c r="FG86" s="71">
        <f t="shared" si="316"/>
        <v>0</v>
      </c>
      <c r="FH86" s="530">
        <f t="shared" ca="1" si="317"/>
        <v>0</v>
      </c>
      <c r="FI86" s="72"/>
      <c r="FJ86" s="72"/>
      <c r="FK86" s="72"/>
      <c r="FM86" s="421" t="str">
        <f t="shared" si="318"/>
        <v>L06-618_TrshRaccIncd</v>
      </c>
      <c r="FN86" s="422" t="str">
        <f t="shared" ca="1" si="319"/>
        <v>Storage Room - &lt;50 ft2</v>
      </c>
      <c r="FO86" s="423">
        <f t="shared" ca="1" si="323"/>
        <v>0</v>
      </c>
      <c r="FP86" s="423">
        <f t="shared" ca="1" si="323"/>
        <v>0</v>
      </c>
      <c r="FQ86" s="423">
        <f t="shared" ca="1" si="323"/>
        <v>0</v>
      </c>
      <c r="FR86" s="423">
        <f t="shared" ca="1" si="323"/>
        <v>0</v>
      </c>
      <c r="FS86" s="423">
        <f t="shared" ca="1" si="323"/>
        <v>0</v>
      </c>
      <c r="FT86" s="423">
        <f t="shared" ca="1" si="323"/>
        <v>0</v>
      </c>
      <c r="FU86" s="423">
        <f t="shared" ca="1" si="323"/>
        <v>0</v>
      </c>
      <c r="FV86" s="423">
        <f t="shared" ca="1" si="323"/>
        <v>0</v>
      </c>
      <c r="FW86" s="423">
        <f t="shared" ca="1" si="323"/>
        <v>0</v>
      </c>
      <c r="FX86" s="423">
        <f t="shared" ca="1" si="323"/>
        <v>0</v>
      </c>
      <c r="FY86" s="423">
        <f t="shared" ca="1" si="323"/>
        <v>0</v>
      </c>
      <c r="FZ86" s="423">
        <f t="shared" ca="1" si="323"/>
        <v>0</v>
      </c>
      <c r="GA86" s="423">
        <f t="shared" ca="1" si="323"/>
        <v>0</v>
      </c>
      <c r="GB86" s="423">
        <f t="shared" ca="1" si="323"/>
        <v>0</v>
      </c>
      <c r="GC86" s="423">
        <f t="shared" ca="1" si="323"/>
        <v>0</v>
      </c>
      <c r="GD86" s="423">
        <f t="shared" ca="1" si="320"/>
        <v>0</v>
      </c>
      <c r="GE86" s="423">
        <f t="shared" ca="1" si="320"/>
        <v>0</v>
      </c>
      <c r="GF86" s="423">
        <f t="shared" ca="1" si="320"/>
        <v>0</v>
      </c>
      <c r="GG86" s="423">
        <f t="shared" ca="1" si="320"/>
        <v>0</v>
      </c>
      <c r="GH86" s="423">
        <f t="shared" ca="1" si="320"/>
        <v>0</v>
      </c>
      <c r="GI86" s="423">
        <f t="shared" ca="1" si="320"/>
        <v>0</v>
      </c>
      <c r="GJ86" s="423">
        <f t="shared" ca="1" si="320"/>
        <v>0</v>
      </c>
      <c r="GK86" s="423">
        <f t="shared" ca="1" si="320"/>
        <v>0</v>
      </c>
      <c r="GL86" s="423">
        <f t="shared" ca="1" si="320"/>
        <v>0</v>
      </c>
      <c r="GM86" s="423">
        <f t="shared" ca="1" si="320"/>
        <v>0</v>
      </c>
      <c r="GN86" s="423">
        <f t="shared" ca="1" si="320"/>
        <v>0</v>
      </c>
      <c r="GO86" s="423">
        <f t="shared" ca="1" si="320"/>
        <v>0</v>
      </c>
      <c r="GP86" s="423">
        <f t="shared" ca="1" si="320"/>
        <v>0</v>
      </c>
      <c r="GQ86" s="423">
        <f t="shared" ca="1" si="320"/>
        <v>0</v>
      </c>
      <c r="GR86" s="423">
        <f t="shared" ca="1" si="320"/>
        <v>0</v>
      </c>
      <c r="GS86" s="423">
        <f t="shared" ca="1" si="320"/>
        <v>0</v>
      </c>
      <c r="GT86" s="423">
        <f t="shared" ca="1" si="321"/>
        <v>0</v>
      </c>
      <c r="GU86" s="423">
        <f t="shared" ca="1" si="233"/>
        <v>0</v>
      </c>
      <c r="GV86" s="423">
        <f t="shared" ca="1" si="233"/>
        <v>0</v>
      </c>
      <c r="GW86" s="423">
        <f t="shared" ca="1" si="233"/>
        <v>0</v>
      </c>
      <c r="GX86" s="423">
        <f t="shared" ca="1" si="233"/>
        <v>0</v>
      </c>
      <c r="GY86" s="423">
        <f t="shared" ca="1" si="233"/>
        <v>0</v>
      </c>
      <c r="GZ86" s="423">
        <f t="shared" ca="1" si="233"/>
        <v>0</v>
      </c>
      <c r="HA86" s="423">
        <f t="shared" ca="1" si="233"/>
        <v>0</v>
      </c>
      <c r="HB86" s="423">
        <f t="shared" ca="1" si="233"/>
        <v>0</v>
      </c>
      <c r="HC86" s="423">
        <f t="shared" ca="1" si="233"/>
        <v>0</v>
      </c>
      <c r="HD86" s="423">
        <f t="shared" ca="1" si="233"/>
        <v>0</v>
      </c>
      <c r="HE86" s="423">
        <f t="shared" ca="1" si="233"/>
        <v>0</v>
      </c>
      <c r="HF86" s="423">
        <f t="shared" ca="1" si="233"/>
        <v>0</v>
      </c>
      <c r="HG86" s="423">
        <f t="shared" ca="1" si="233"/>
        <v>0</v>
      </c>
      <c r="HH86" s="423">
        <f t="shared" ca="1" si="233"/>
        <v>0</v>
      </c>
      <c r="HI86" s="423">
        <f t="shared" ca="1" si="233"/>
        <v>0</v>
      </c>
      <c r="HJ86" s="423">
        <f t="shared" ca="1" si="233"/>
        <v>0</v>
      </c>
      <c r="HK86" s="423">
        <f t="shared" ca="1" si="234"/>
        <v>0</v>
      </c>
      <c r="HL86" s="423">
        <f t="shared" ca="1" si="234"/>
        <v>0</v>
      </c>
      <c r="HM86" s="423">
        <f t="shared" ca="1" si="234"/>
        <v>0</v>
      </c>
      <c r="HN86" s="423">
        <f t="shared" ca="1" si="234"/>
        <v>0</v>
      </c>
      <c r="HO86" s="423">
        <f t="shared" ca="1" si="234"/>
        <v>0</v>
      </c>
      <c r="HP86" s="423">
        <f t="shared" ca="1" si="234"/>
        <v>0</v>
      </c>
      <c r="HQ86" s="423">
        <f t="shared" ca="1" si="234"/>
        <v>0</v>
      </c>
      <c r="HR86" s="423">
        <f t="shared" ca="1" si="234"/>
        <v>0</v>
      </c>
      <c r="HS86" s="423">
        <f t="shared" ca="1" si="234"/>
        <v>0</v>
      </c>
      <c r="HT86" s="423">
        <f t="shared" ca="1" si="234"/>
        <v>0</v>
      </c>
    </row>
    <row r="87" spans="1:230" ht="11.25" customHeight="1" x14ac:dyDescent="0.2">
      <c r="A87" s="62">
        <f t="shared" si="322"/>
        <v>76</v>
      </c>
      <c r="B87" s="60" t="str">
        <f>Spaces_Sum!C132</f>
        <v>L06-619_MfamResiPthp</v>
      </c>
      <c r="C87" s="62" t="str">
        <f>Spaces_Sum!D132</f>
        <v>L06</v>
      </c>
      <c r="D87" s="62" t="str">
        <f ca="1">Spaces_Sum!I132</f>
        <v>DirectlyConditioned</v>
      </c>
      <c r="F87" s="110">
        <f ca="1">Spaces_Sum!M132</f>
        <v>662.92970000000003</v>
      </c>
      <c r="G87" s="110" t="str">
        <f ca="1">Spaces_Sum!J132</f>
        <v>Dwelling Unit</v>
      </c>
      <c r="H87" s="532"/>
      <c r="I87" s="185"/>
      <c r="J87" s="185"/>
      <c r="K87" s="186"/>
      <c r="L87" s="187"/>
      <c r="M87" s="188"/>
      <c r="N87" s="189"/>
      <c r="O87" s="186"/>
      <c r="P87" s="187"/>
      <c r="Q87" s="188"/>
      <c r="R87" s="189"/>
      <c r="S87" s="186"/>
      <c r="T87" s="187"/>
      <c r="U87" s="188"/>
      <c r="V87" s="189"/>
      <c r="W87" s="186"/>
      <c r="X87" s="187"/>
      <c r="Y87" s="188"/>
      <c r="Z87" s="189"/>
      <c r="AA87" s="186"/>
      <c r="AB87" s="187"/>
      <c r="AC87" s="188"/>
      <c r="AD87" s="189"/>
      <c r="AE87" s="186"/>
      <c r="AF87" s="187"/>
      <c r="AG87" s="188"/>
      <c r="AH87" s="189"/>
      <c r="AI87" s="186"/>
      <c r="AJ87" s="187"/>
      <c r="AK87" s="188"/>
      <c r="AL87" s="189"/>
      <c r="AM87" s="186"/>
      <c r="AN87" s="187"/>
      <c r="AO87" s="188"/>
      <c r="AP87" s="189"/>
      <c r="AQ87" s="186"/>
      <c r="AR87" s="187"/>
      <c r="AS87" s="188"/>
      <c r="AT87" s="189"/>
      <c r="AU87" s="186"/>
      <c r="AV87" s="187"/>
      <c r="AW87" s="188"/>
      <c r="AX87" s="189"/>
      <c r="AY87" s="186"/>
      <c r="AZ87" s="187"/>
      <c r="BA87" s="188"/>
      <c r="BB87" s="189"/>
      <c r="BC87" s="186"/>
      <c r="BD87" s="187"/>
      <c r="BE87" s="188"/>
      <c r="BF87" s="189"/>
      <c r="BG87" s="186"/>
      <c r="BH87" s="187"/>
      <c r="BI87" s="188"/>
      <c r="BJ87" s="189"/>
      <c r="BK87" s="186"/>
      <c r="BL87" s="187"/>
      <c r="BM87" s="188"/>
      <c r="BN87" s="189"/>
      <c r="BO87" s="186"/>
      <c r="BP87" s="187"/>
      <c r="BQ87" s="188"/>
      <c r="BR87" s="189"/>
      <c r="BS87" s="186"/>
      <c r="BT87" s="187"/>
      <c r="BU87" s="188"/>
      <c r="BV87" s="189"/>
      <c r="BW87" s="186"/>
      <c r="BX87" s="187"/>
      <c r="BY87" s="188"/>
      <c r="BZ87" s="189"/>
      <c r="CA87" s="186"/>
      <c r="CB87" s="190"/>
      <c r="CC87" s="190"/>
      <c r="CD87" s="82">
        <f t="shared" si="235"/>
        <v>0</v>
      </c>
      <c r="CE87" s="82">
        <f t="shared" si="236"/>
        <v>0</v>
      </c>
      <c r="CF87" s="82">
        <f t="shared" si="237"/>
        <v>0</v>
      </c>
      <c r="CG87" s="82">
        <f t="shared" si="238"/>
        <v>0</v>
      </c>
      <c r="CH87" s="82">
        <f t="shared" si="239"/>
        <v>0</v>
      </c>
      <c r="CI87" s="82">
        <f t="shared" si="240"/>
        <v>0</v>
      </c>
      <c r="CJ87" s="82">
        <f t="shared" si="241"/>
        <v>0</v>
      </c>
      <c r="CK87" s="82">
        <f t="shared" si="242"/>
        <v>0</v>
      </c>
      <c r="CL87" s="82">
        <f t="shared" si="243"/>
        <v>0</v>
      </c>
      <c r="CM87" s="82">
        <f t="shared" si="244"/>
        <v>0</v>
      </c>
      <c r="CN87" s="82">
        <f t="shared" si="245"/>
        <v>0</v>
      </c>
      <c r="CO87" s="82">
        <f t="shared" si="246"/>
        <v>0</v>
      </c>
      <c r="CP87" s="82">
        <f t="shared" si="247"/>
        <v>0</v>
      </c>
      <c r="CQ87" s="82">
        <f t="shared" si="248"/>
        <v>0</v>
      </c>
      <c r="CR87" s="82">
        <f t="shared" si="249"/>
        <v>0</v>
      </c>
      <c r="CS87" s="82">
        <f t="shared" si="250"/>
        <v>0</v>
      </c>
      <c r="CT87" s="82">
        <f t="shared" si="251"/>
        <v>0</v>
      </c>
      <c r="CU87" s="82">
        <f t="shared" si="252"/>
        <v>0</v>
      </c>
      <c r="CV87" s="82">
        <f t="shared" si="253"/>
        <v>0</v>
      </c>
      <c r="CW87" s="82">
        <f t="shared" si="254"/>
        <v>0</v>
      </c>
      <c r="CX87" s="82">
        <f t="shared" si="255"/>
        <v>0</v>
      </c>
      <c r="CY87" s="82">
        <f t="shared" si="256"/>
        <v>0</v>
      </c>
      <c r="CZ87" s="82">
        <f t="shared" si="257"/>
        <v>0</v>
      </c>
      <c r="DA87" s="82">
        <f t="shared" si="258"/>
        <v>0</v>
      </c>
      <c r="DB87" s="82">
        <f t="shared" si="259"/>
        <v>0</v>
      </c>
      <c r="DC87" s="82">
        <f t="shared" si="260"/>
        <v>0</v>
      </c>
      <c r="DD87" s="82">
        <f t="shared" si="261"/>
        <v>0</v>
      </c>
      <c r="DE87" s="82">
        <f t="shared" si="262"/>
        <v>0</v>
      </c>
      <c r="DF87" s="82">
        <f t="shared" si="263"/>
        <v>0</v>
      </c>
      <c r="DG87" s="82">
        <f t="shared" si="264"/>
        <v>0</v>
      </c>
      <c r="DH87" s="82">
        <f t="shared" si="265"/>
        <v>0</v>
      </c>
      <c r="DI87" s="82">
        <f t="shared" si="266"/>
        <v>0</v>
      </c>
      <c r="DJ87" s="82">
        <f t="shared" si="267"/>
        <v>0</v>
      </c>
      <c r="DK87" s="82">
        <f t="shared" si="268"/>
        <v>0</v>
      </c>
      <c r="DL87" s="82">
        <f t="shared" si="269"/>
        <v>0</v>
      </c>
      <c r="DM87" s="82">
        <f t="shared" si="270"/>
        <v>0</v>
      </c>
      <c r="DN87" s="82">
        <f t="shared" si="271"/>
        <v>0</v>
      </c>
      <c r="DO87" s="82">
        <f t="shared" si="272"/>
        <v>0</v>
      </c>
      <c r="DP87" s="82">
        <f t="shared" si="273"/>
        <v>0</v>
      </c>
      <c r="DQ87" s="82">
        <f t="shared" si="274"/>
        <v>0</v>
      </c>
      <c r="DR87" s="82">
        <f t="shared" si="275"/>
        <v>0</v>
      </c>
      <c r="DS87" s="82">
        <f t="shared" si="276"/>
        <v>0</v>
      </c>
      <c r="DT87" s="82">
        <f t="shared" si="277"/>
        <v>0</v>
      </c>
      <c r="DU87" s="82">
        <f t="shared" si="278"/>
        <v>0</v>
      </c>
      <c r="DV87" s="82">
        <f t="shared" si="279"/>
        <v>0</v>
      </c>
      <c r="DW87" s="82">
        <f t="shared" si="280"/>
        <v>0</v>
      </c>
      <c r="DX87" s="82">
        <f t="shared" si="281"/>
        <v>0</v>
      </c>
      <c r="DY87" s="82">
        <f t="shared" si="282"/>
        <v>0</v>
      </c>
      <c r="DZ87" s="82">
        <f t="shared" si="283"/>
        <v>0</v>
      </c>
      <c r="EA87" s="82">
        <f t="shared" si="284"/>
        <v>0</v>
      </c>
      <c r="EB87" s="82">
        <f t="shared" si="285"/>
        <v>0</v>
      </c>
      <c r="EC87" s="82">
        <f t="shared" si="286"/>
        <v>0</v>
      </c>
      <c r="ED87" s="82">
        <f t="shared" si="287"/>
        <v>0</v>
      </c>
      <c r="EE87" s="82">
        <f t="shared" si="288"/>
        <v>0</v>
      </c>
      <c r="EF87" s="82">
        <f t="shared" si="289"/>
        <v>0</v>
      </c>
      <c r="EG87" s="82">
        <f t="shared" si="290"/>
        <v>0</v>
      </c>
      <c r="EH87" s="82">
        <f t="shared" si="291"/>
        <v>0</v>
      </c>
      <c r="EI87" s="82">
        <f t="shared" si="292"/>
        <v>0</v>
      </c>
      <c r="EJ87" s="82">
        <f t="shared" si="293"/>
        <v>0</v>
      </c>
      <c r="EK87" s="82">
        <f t="shared" si="294"/>
        <v>0</v>
      </c>
      <c r="EL87" s="82">
        <f t="shared" si="295"/>
        <v>0</v>
      </c>
      <c r="EM87" s="82">
        <f t="shared" si="296"/>
        <v>0</v>
      </c>
      <c r="EN87" s="82">
        <f t="shared" si="297"/>
        <v>0</v>
      </c>
      <c r="EO87" s="82">
        <f t="shared" si="298"/>
        <v>0</v>
      </c>
      <c r="EP87" s="82">
        <f t="shared" si="299"/>
        <v>0</v>
      </c>
      <c r="EQ87" s="82">
        <f t="shared" si="300"/>
        <v>0</v>
      </c>
      <c r="ER87" s="82">
        <f t="shared" si="301"/>
        <v>0</v>
      </c>
      <c r="ES87" s="82">
        <f t="shared" si="302"/>
        <v>0</v>
      </c>
      <c r="ET87" s="82">
        <f t="shared" si="303"/>
        <v>0</v>
      </c>
      <c r="EU87" s="82">
        <f t="shared" si="304"/>
        <v>0</v>
      </c>
      <c r="EV87" s="82">
        <f t="shared" si="305"/>
        <v>0</v>
      </c>
      <c r="EW87" s="82">
        <f t="shared" si="306"/>
        <v>0</v>
      </c>
      <c r="EX87" s="82">
        <f t="shared" si="307"/>
        <v>0</v>
      </c>
      <c r="EY87" s="111">
        <f t="shared" si="308"/>
        <v>0</v>
      </c>
      <c r="EZ87" s="143">
        <f t="shared" ca="1" si="309"/>
        <v>0</v>
      </c>
      <c r="FA87" s="112">
        <f t="shared" ca="1" si="310"/>
        <v>0</v>
      </c>
      <c r="FB87" s="113">
        <f t="shared" ca="1" si="311"/>
        <v>0</v>
      </c>
      <c r="FC87" s="114">
        <f t="shared" ca="1" si="312"/>
        <v>0</v>
      </c>
      <c r="FD87" s="115">
        <f t="shared" ca="1" si="313"/>
        <v>0</v>
      </c>
      <c r="FE87" s="116">
        <f t="shared" ca="1" si="314"/>
        <v>0</v>
      </c>
      <c r="FF87" s="117">
        <f t="shared" ca="1" si="315"/>
        <v>0</v>
      </c>
      <c r="FG87" s="71">
        <f t="shared" si="316"/>
        <v>0</v>
      </c>
      <c r="FH87" s="530">
        <f t="shared" ca="1" si="317"/>
        <v>0</v>
      </c>
      <c r="FI87" s="72"/>
      <c r="FJ87" s="72"/>
      <c r="FK87" s="72"/>
      <c r="FM87" s="421" t="str">
        <f t="shared" si="318"/>
        <v>L06-619_MfamResiPthp</v>
      </c>
      <c r="FN87" s="422" t="str">
        <f t="shared" ca="1" si="319"/>
        <v>Dwelling Unit</v>
      </c>
      <c r="FO87" s="423">
        <f t="shared" ca="1" si="323"/>
        <v>0</v>
      </c>
      <c r="FP87" s="423">
        <f t="shared" ca="1" si="323"/>
        <v>0</v>
      </c>
      <c r="FQ87" s="423">
        <f t="shared" ca="1" si="323"/>
        <v>0</v>
      </c>
      <c r="FR87" s="423">
        <f t="shared" ca="1" si="323"/>
        <v>0</v>
      </c>
      <c r="FS87" s="423">
        <f t="shared" ca="1" si="323"/>
        <v>0</v>
      </c>
      <c r="FT87" s="423">
        <f t="shared" ca="1" si="323"/>
        <v>0</v>
      </c>
      <c r="FU87" s="423">
        <f t="shared" ca="1" si="323"/>
        <v>0</v>
      </c>
      <c r="FV87" s="423">
        <f t="shared" ca="1" si="323"/>
        <v>0</v>
      </c>
      <c r="FW87" s="423">
        <f t="shared" ca="1" si="323"/>
        <v>0</v>
      </c>
      <c r="FX87" s="423">
        <f t="shared" ca="1" si="323"/>
        <v>0</v>
      </c>
      <c r="FY87" s="423">
        <f t="shared" ca="1" si="323"/>
        <v>0</v>
      </c>
      <c r="FZ87" s="423">
        <f t="shared" ca="1" si="323"/>
        <v>0</v>
      </c>
      <c r="GA87" s="423">
        <f t="shared" ca="1" si="323"/>
        <v>0</v>
      </c>
      <c r="GB87" s="423">
        <f t="shared" ca="1" si="323"/>
        <v>0</v>
      </c>
      <c r="GC87" s="423">
        <f t="shared" ca="1" si="323"/>
        <v>0</v>
      </c>
      <c r="GD87" s="423">
        <f t="shared" ca="1" si="320"/>
        <v>0</v>
      </c>
      <c r="GE87" s="423">
        <f t="shared" ca="1" si="320"/>
        <v>0</v>
      </c>
      <c r="GF87" s="423">
        <f t="shared" ca="1" si="320"/>
        <v>0</v>
      </c>
      <c r="GG87" s="423">
        <f t="shared" ca="1" si="320"/>
        <v>0</v>
      </c>
      <c r="GH87" s="423">
        <f t="shared" ca="1" si="320"/>
        <v>0</v>
      </c>
      <c r="GI87" s="423">
        <f t="shared" ca="1" si="320"/>
        <v>0</v>
      </c>
      <c r="GJ87" s="423">
        <f t="shared" ca="1" si="320"/>
        <v>0</v>
      </c>
      <c r="GK87" s="423">
        <f t="shared" ca="1" si="320"/>
        <v>0</v>
      </c>
      <c r="GL87" s="423">
        <f t="shared" ca="1" si="320"/>
        <v>0</v>
      </c>
      <c r="GM87" s="423">
        <f t="shared" ca="1" si="320"/>
        <v>0</v>
      </c>
      <c r="GN87" s="423">
        <f t="shared" ca="1" si="320"/>
        <v>0</v>
      </c>
      <c r="GO87" s="423">
        <f t="shared" ca="1" si="320"/>
        <v>0</v>
      </c>
      <c r="GP87" s="423">
        <f t="shared" ca="1" si="320"/>
        <v>0</v>
      </c>
      <c r="GQ87" s="423">
        <f t="shared" ca="1" si="320"/>
        <v>0</v>
      </c>
      <c r="GR87" s="423">
        <f t="shared" ca="1" si="320"/>
        <v>0</v>
      </c>
      <c r="GS87" s="423">
        <f t="shared" ca="1" si="320"/>
        <v>0</v>
      </c>
      <c r="GT87" s="423">
        <f t="shared" ca="1" si="321"/>
        <v>0</v>
      </c>
      <c r="GU87" s="423">
        <f t="shared" ca="1" si="233"/>
        <v>0</v>
      </c>
      <c r="GV87" s="423">
        <f t="shared" ca="1" si="233"/>
        <v>0</v>
      </c>
      <c r="GW87" s="423">
        <f t="shared" ca="1" si="233"/>
        <v>0</v>
      </c>
      <c r="GX87" s="423">
        <f t="shared" ca="1" si="233"/>
        <v>0</v>
      </c>
      <c r="GY87" s="423">
        <f t="shared" ca="1" si="233"/>
        <v>0</v>
      </c>
      <c r="GZ87" s="423">
        <f t="shared" ca="1" si="233"/>
        <v>0</v>
      </c>
      <c r="HA87" s="423">
        <f t="shared" ca="1" si="233"/>
        <v>0</v>
      </c>
      <c r="HB87" s="423">
        <f t="shared" ca="1" si="233"/>
        <v>0</v>
      </c>
      <c r="HC87" s="423">
        <f t="shared" ca="1" si="233"/>
        <v>0</v>
      </c>
      <c r="HD87" s="423">
        <f t="shared" ca="1" si="233"/>
        <v>0</v>
      </c>
      <c r="HE87" s="423">
        <f t="shared" ca="1" si="233"/>
        <v>0</v>
      </c>
      <c r="HF87" s="423">
        <f t="shared" ca="1" si="233"/>
        <v>0</v>
      </c>
      <c r="HG87" s="423">
        <f t="shared" ca="1" si="233"/>
        <v>0</v>
      </c>
      <c r="HH87" s="423">
        <f t="shared" ca="1" si="233"/>
        <v>0</v>
      </c>
      <c r="HI87" s="423">
        <f t="shared" ca="1" si="233"/>
        <v>0</v>
      </c>
      <c r="HJ87" s="423">
        <f t="shared" ca="1" si="233"/>
        <v>0</v>
      </c>
      <c r="HK87" s="423">
        <f t="shared" ca="1" si="234"/>
        <v>0</v>
      </c>
      <c r="HL87" s="423">
        <f t="shared" ca="1" si="234"/>
        <v>0</v>
      </c>
      <c r="HM87" s="423">
        <f t="shared" ca="1" si="234"/>
        <v>0</v>
      </c>
      <c r="HN87" s="423">
        <f t="shared" ca="1" si="234"/>
        <v>0</v>
      </c>
      <c r="HO87" s="423">
        <f t="shared" ca="1" si="234"/>
        <v>0</v>
      </c>
      <c r="HP87" s="423">
        <f t="shared" ca="1" si="234"/>
        <v>0</v>
      </c>
      <c r="HQ87" s="423">
        <f t="shared" ca="1" si="234"/>
        <v>0</v>
      </c>
      <c r="HR87" s="423">
        <f t="shared" ca="1" si="234"/>
        <v>0</v>
      </c>
      <c r="HS87" s="423">
        <f t="shared" ca="1" si="234"/>
        <v>0</v>
      </c>
      <c r="HT87" s="423">
        <f t="shared" ca="1" si="234"/>
        <v>0</v>
      </c>
    </row>
    <row r="88" spans="1:230" ht="11.25" customHeight="1" x14ac:dyDescent="0.2">
      <c r="A88" s="62">
        <f t="shared" si="322"/>
        <v>77</v>
      </c>
      <c r="B88" s="60" t="str">
        <f>Spaces_Sum!C133</f>
        <v>R01-701_StrsRaccBbrd</v>
      </c>
      <c r="C88" s="62" t="str">
        <f>Spaces_Sum!D133</f>
        <v>R01</v>
      </c>
      <c r="D88" s="62" t="str">
        <f ca="1">Spaces_Sum!I133</f>
        <v>DirectlyConditioned</v>
      </c>
      <c r="F88" s="110">
        <f ca="1">Spaces_Sum!M133</f>
        <v>197.10499999999999</v>
      </c>
      <c r="G88" s="110" t="str">
        <f ca="1">Spaces_Sum!J133</f>
        <v>Stairwell</v>
      </c>
      <c r="H88" s="532"/>
      <c r="I88" s="185"/>
      <c r="J88" s="185"/>
      <c r="K88" s="186"/>
      <c r="L88" s="187"/>
      <c r="M88" s="188"/>
      <c r="N88" s="189"/>
      <c r="O88" s="186"/>
      <c r="P88" s="187"/>
      <c r="Q88" s="188"/>
      <c r="R88" s="189"/>
      <c r="S88" s="186"/>
      <c r="T88" s="187"/>
      <c r="U88" s="188"/>
      <c r="V88" s="189"/>
      <c r="W88" s="186"/>
      <c r="X88" s="187"/>
      <c r="Y88" s="188"/>
      <c r="Z88" s="189"/>
      <c r="AA88" s="186"/>
      <c r="AB88" s="187"/>
      <c r="AC88" s="188"/>
      <c r="AD88" s="189"/>
      <c r="AE88" s="186"/>
      <c r="AF88" s="187"/>
      <c r="AG88" s="188"/>
      <c r="AH88" s="189"/>
      <c r="AI88" s="186"/>
      <c r="AJ88" s="187"/>
      <c r="AK88" s="188"/>
      <c r="AL88" s="189"/>
      <c r="AM88" s="186"/>
      <c r="AN88" s="187"/>
      <c r="AO88" s="188"/>
      <c r="AP88" s="189"/>
      <c r="AQ88" s="186"/>
      <c r="AR88" s="187"/>
      <c r="AS88" s="188"/>
      <c r="AT88" s="189"/>
      <c r="AU88" s="186"/>
      <c r="AV88" s="187"/>
      <c r="AW88" s="188"/>
      <c r="AX88" s="189"/>
      <c r="AY88" s="186"/>
      <c r="AZ88" s="187"/>
      <c r="BA88" s="188"/>
      <c r="BB88" s="189"/>
      <c r="BC88" s="186"/>
      <c r="BD88" s="187"/>
      <c r="BE88" s="188"/>
      <c r="BF88" s="189"/>
      <c r="BG88" s="186"/>
      <c r="BH88" s="187"/>
      <c r="BI88" s="188"/>
      <c r="BJ88" s="189"/>
      <c r="BK88" s="186"/>
      <c r="BL88" s="187"/>
      <c r="BM88" s="188"/>
      <c r="BN88" s="189"/>
      <c r="BO88" s="186"/>
      <c r="BP88" s="187"/>
      <c r="BQ88" s="188"/>
      <c r="BR88" s="189"/>
      <c r="BS88" s="186"/>
      <c r="BT88" s="187"/>
      <c r="BU88" s="188"/>
      <c r="BV88" s="189"/>
      <c r="BW88" s="186"/>
      <c r="BX88" s="187"/>
      <c r="BY88" s="188"/>
      <c r="BZ88" s="189"/>
      <c r="CA88" s="186"/>
      <c r="CB88" s="190"/>
      <c r="CC88" s="190"/>
      <c r="CD88" s="82">
        <f t="shared" si="235"/>
        <v>0</v>
      </c>
      <c r="CE88" s="82">
        <f t="shared" si="236"/>
        <v>0</v>
      </c>
      <c r="CF88" s="82">
        <f t="shared" si="237"/>
        <v>0</v>
      </c>
      <c r="CG88" s="82">
        <f t="shared" si="238"/>
        <v>0</v>
      </c>
      <c r="CH88" s="82">
        <f t="shared" si="239"/>
        <v>0</v>
      </c>
      <c r="CI88" s="82">
        <f t="shared" si="240"/>
        <v>0</v>
      </c>
      <c r="CJ88" s="82">
        <f t="shared" si="241"/>
        <v>0</v>
      </c>
      <c r="CK88" s="82">
        <f t="shared" si="242"/>
        <v>0</v>
      </c>
      <c r="CL88" s="82">
        <f t="shared" si="243"/>
        <v>0</v>
      </c>
      <c r="CM88" s="82">
        <f t="shared" si="244"/>
        <v>0</v>
      </c>
      <c r="CN88" s="82">
        <f t="shared" si="245"/>
        <v>0</v>
      </c>
      <c r="CO88" s="82">
        <f t="shared" si="246"/>
        <v>0</v>
      </c>
      <c r="CP88" s="82">
        <f t="shared" si="247"/>
        <v>0</v>
      </c>
      <c r="CQ88" s="82">
        <f t="shared" si="248"/>
        <v>0</v>
      </c>
      <c r="CR88" s="82">
        <f t="shared" si="249"/>
        <v>0</v>
      </c>
      <c r="CS88" s="82">
        <f t="shared" si="250"/>
        <v>0</v>
      </c>
      <c r="CT88" s="82">
        <f t="shared" si="251"/>
        <v>0</v>
      </c>
      <c r="CU88" s="82">
        <f t="shared" si="252"/>
        <v>0</v>
      </c>
      <c r="CV88" s="82">
        <f t="shared" si="253"/>
        <v>0</v>
      </c>
      <c r="CW88" s="82">
        <f t="shared" si="254"/>
        <v>0</v>
      </c>
      <c r="CX88" s="82">
        <f t="shared" si="255"/>
        <v>0</v>
      </c>
      <c r="CY88" s="82">
        <f t="shared" si="256"/>
        <v>0</v>
      </c>
      <c r="CZ88" s="82">
        <f t="shared" si="257"/>
        <v>0</v>
      </c>
      <c r="DA88" s="82">
        <f t="shared" si="258"/>
        <v>0</v>
      </c>
      <c r="DB88" s="82">
        <f t="shared" si="259"/>
        <v>0</v>
      </c>
      <c r="DC88" s="82">
        <f t="shared" si="260"/>
        <v>0</v>
      </c>
      <c r="DD88" s="82">
        <f t="shared" si="261"/>
        <v>0</v>
      </c>
      <c r="DE88" s="82">
        <f t="shared" si="262"/>
        <v>0</v>
      </c>
      <c r="DF88" s="82">
        <f t="shared" si="263"/>
        <v>0</v>
      </c>
      <c r="DG88" s="82">
        <f t="shared" si="264"/>
        <v>0</v>
      </c>
      <c r="DH88" s="82">
        <f t="shared" si="265"/>
        <v>0</v>
      </c>
      <c r="DI88" s="82">
        <f t="shared" si="266"/>
        <v>0</v>
      </c>
      <c r="DJ88" s="82">
        <f t="shared" si="267"/>
        <v>0</v>
      </c>
      <c r="DK88" s="82">
        <f t="shared" si="268"/>
        <v>0</v>
      </c>
      <c r="DL88" s="82">
        <f t="shared" si="269"/>
        <v>0</v>
      </c>
      <c r="DM88" s="82">
        <f t="shared" si="270"/>
        <v>0</v>
      </c>
      <c r="DN88" s="82">
        <f t="shared" si="271"/>
        <v>0</v>
      </c>
      <c r="DO88" s="82">
        <f t="shared" si="272"/>
        <v>0</v>
      </c>
      <c r="DP88" s="82">
        <f t="shared" si="273"/>
        <v>0</v>
      </c>
      <c r="DQ88" s="82">
        <f t="shared" si="274"/>
        <v>0</v>
      </c>
      <c r="DR88" s="82">
        <f t="shared" si="275"/>
        <v>0</v>
      </c>
      <c r="DS88" s="82">
        <f t="shared" si="276"/>
        <v>0</v>
      </c>
      <c r="DT88" s="82">
        <f t="shared" si="277"/>
        <v>0</v>
      </c>
      <c r="DU88" s="82">
        <f t="shared" si="278"/>
        <v>0</v>
      </c>
      <c r="DV88" s="82">
        <f t="shared" si="279"/>
        <v>0</v>
      </c>
      <c r="DW88" s="82">
        <f t="shared" si="280"/>
        <v>0</v>
      </c>
      <c r="DX88" s="82">
        <f t="shared" si="281"/>
        <v>0</v>
      </c>
      <c r="DY88" s="82">
        <f t="shared" si="282"/>
        <v>0</v>
      </c>
      <c r="DZ88" s="82">
        <f t="shared" si="283"/>
        <v>0</v>
      </c>
      <c r="EA88" s="82">
        <f t="shared" si="284"/>
        <v>0</v>
      </c>
      <c r="EB88" s="82">
        <f t="shared" si="285"/>
        <v>0</v>
      </c>
      <c r="EC88" s="82">
        <f t="shared" si="286"/>
        <v>0</v>
      </c>
      <c r="ED88" s="82">
        <f t="shared" si="287"/>
        <v>0</v>
      </c>
      <c r="EE88" s="82">
        <f t="shared" si="288"/>
        <v>0</v>
      </c>
      <c r="EF88" s="82">
        <f t="shared" si="289"/>
        <v>0</v>
      </c>
      <c r="EG88" s="82">
        <f t="shared" si="290"/>
        <v>0</v>
      </c>
      <c r="EH88" s="82">
        <f t="shared" si="291"/>
        <v>0</v>
      </c>
      <c r="EI88" s="82">
        <f t="shared" si="292"/>
        <v>0</v>
      </c>
      <c r="EJ88" s="82">
        <f t="shared" si="293"/>
        <v>0</v>
      </c>
      <c r="EK88" s="82">
        <f t="shared" si="294"/>
        <v>0</v>
      </c>
      <c r="EL88" s="82">
        <f t="shared" si="295"/>
        <v>0</v>
      </c>
      <c r="EM88" s="82">
        <f t="shared" si="296"/>
        <v>0</v>
      </c>
      <c r="EN88" s="82">
        <f t="shared" si="297"/>
        <v>0</v>
      </c>
      <c r="EO88" s="82">
        <f t="shared" si="298"/>
        <v>0</v>
      </c>
      <c r="EP88" s="82">
        <f t="shared" si="299"/>
        <v>0</v>
      </c>
      <c r="EQ88" s="82">
        <f t="shared" si="300"/>
        <v>0</v>
      </c>
      <c r="ER88" s="82">
        <f t="shared" si="301"/>
        <v>0</v>
      </c>
      <c r="ES88" s="82">
        <f t="shared" si="302"/>
        <v>0</v>
      </c>
      <c r="ET88" s="82">
        <f t="shared" si="303"/>
        <v>0</v>
      </c>
      <c r="EU88" s="82">
        <f t="shared" si="304"/>
        <v>0</v>
      </c>
      <c r="EV88" s="82">
        <f t="shared" si="305"/>
        <v>0</v>
      </c>
      <c r="EW88" s="82">
        <f t="shared" si="306"/>
        <v>0</v>
      </c>
      <c r="EX88" s="82">
        <f t="shared" si="307"/>
        <v>0</v>
      </c>
      <c r="EY88" s="111">
        <f t="shared" si="308"/>
        <v>0</v>
      </c>
      <c r="EZ88" s="143">
        <f t="shared" ca="1" si="309"/>
        <v>0</v>
      </c>
      <c r="FA88" s="112">
        <f t="shared" ca="1" si="310"/>
        <v>0</v>
      </c>
      <c r="FB88" s="113">
        <f t="shared" ca="1" si="311"/>
        <v>0</v>
      </c>
      <c r="FC88" s="114">
        <f t="shared" ca="1" si="312"/>
        <v>0</v>
      </c>
      <c r="FD88" s="115">
        <f t="shared" ca="1" si="313"/>
        <v>0</v>
      </c>
      <c r="FE88" s="116">
        <f t="shared" ca="1" si="314"/>
        <v>0</v>
      </c>
      <c r="FF88" s="117">
        <f t="shared" ca="1" si="315"/>
        <v>0</v>
      </c>
      <c r="FG88" s="71">
        <f t="shared" si="316"/>
        <v>0</v>
      </c>
      <c r="FH88" s="530">
        <f t="shared" ca="1" si="317"/>
        <v>0</v>
      </c>
      <c r="FI88" s="72"/>
      <c r="FJ88" s="72"/>
      <c r="FK88" s="72"/>
      <c r="FM88" s="421" t="str">
        <f t="shared" si="318"/>
        <v>R01-701_StrsRaccBbrd</v>
      </c>
      <c r="FN88" s="422" t="str">
        <f t="shared" ca="1" si="319"/>
        <v>Stairwell</v>
      </c>
      <c r="FO88" s="423">
        <f t="shared" ca="1" si="323"/>
        <v>0</v>
      </c>
      <c r="FP88" s="423">
        <f t="shared" ca="1" si="323"/>
        <v>0</v>
      </c>
      <c r="FQ88" s="423">
        <f t="shared" ca="1" si="323"/>
        <v>0</v>
      </c>
      <c r="FR88" s="423">
        <f t="shared" ca="1" si="323"/>
        <v>0</v>
      </c>
      <c r="FS88" s="423">
        <f t="shared" ca="1" si="323"/>
        <v>0</v>
      </c>
      <c r="FT88" s="423">
        <f t="shared" ca="1" si="323"/>
        <v>0</v>
      </c>
      <c r="FU88" s="423">
        <f t="shared" ca="1" si="323"/>
        <v>0</v>
      </c>
      <c r="FV88" s="423">
        <f t="shared" ca="1" si="323"/>
        <v>0</v>
      </c>
      <c r="FW88" s="423">
        <f t="shared" ca="1" si="323"/>
        <v>0</v>
      </c>
      <c r="FX88" s="423">
        <f t="shared" ca="1" si="323"/>
        <v>0</v>
      </c>
      <c r="FY88" s="423">
        <f t="shared" ca="1" si="323"/>
        <v>0</v>
      </c>
      <c r="FZ88" s="423">
        <f t="shared" ca="1" si="323"/>
        <v>0</v>
      </c>
      <c r="GA88" s="423">
        <f t="shared" ca="1" si="323"/>
        <v>0</v>
      </c>
      <c r="GB88" s="423">
        <f t="shared" ca="1" si="323"/>
        <v>0</v>
      </c>
      <c r="GC88" s="423">
        <f t="shared" ca="1" si="323"/>
        <v>0</v>
      </c>
      <c r="GD88" s="423">
        <f t="shared" ca="1" si="320"/>
        <v>0</v>
      </c>
      <c r="GE88" s="423">
        <f t="shared" ca="1" si="320"/>
        <v>0</v>
      </c>
      <c r="GF88" s="423">
        <f t="shared" ca="1" si="320"/>
        <v>0</v>
      </c>
      <c r="GG88" s="423">
        <f t="shared" ca="1" si="320"/>
        <v>0</v>
      </c>
      <c r="GH88" s="423">
        <f t="shared" ca="1" si="320"/>
        <v>0</v>
      </c>
      <c r="GI88" s="423">
        <f t="shared" ca="1" si="320"/>
        <v>0</v>
      </c>
      <c r="GJ88" s="423">
        <f t="shared" ca="1" si="320"/>
        <v>0</v>
      </c>
      <c r="GK88" s="423">
        <f t="shared" ca="1" si="320"/>
        <v>0</v>
      </c>
      <c r="GL88" s="423">
        <f t="shared" ca="1" si="320"/>
        <v>0</v>
      </c>
      <c r="GM88" s="423">
        <f t="shared" ca="1" si="320"/>
        <v>0</v>
      </c>
      <c r="GN88" s="423">
        <f t="shared" ca="1" si="320"/>
        <v>0</v>
      </c>
      <c r="GO88" s="423">
        <f t="shared" ca="1" si="320"/>
        <v>0</v>
      </c>
      <c r="GP88" s="423">
        <f t="shared" ca="1" si="320"/>
        <v>0</v>
      </c>
      <c r="GQ88" s="423">
        <f t="shared" ca="1" si="320"/>
        <v>0</v>
      </c>
      <c r="GR88" s="423">
        <f t="shared" ca="1" si="320"/>
        <v>0</v>
      </c>
      <c r="GS88" s="423">
        <f t="shared" ca="1" si="320"/>
        <v>0</v>
      </c>
      <c r="GT88" s="423">
        <f t="shared" ca="1" si="321"/>
        <v>0</v>
      </c>
      <c r="GU88" s="423">
        <f t="shared" ca="1" si="233"/>
        <v>0</v>
      </c>
      <c r="GV88" s="423">
        <f t="shared" ca="1" si="233"/>
        <v>0</v>
      </c>
      <c r="GW88" s="423">
        <f t="shared" ca="1" si="233"/>
        <v>0</v>
      </c>
      <c r="GX88" s="423">
        <f t="shared" ca="1" si="233"/>
        <v>0</v>
      </c>
      <c r="GY88" s="423">
        <f t="shared" ca="1" si="233"/>
        <v>0</v>
      </c>
      <c r="GZ88" s="423">
        <f t="shared" ca="1" si="233"/>
        <v>0</v>
      </c>
      <c r="HA88" s="423">
        <f t="shared" ca="1" si="233"/>
        <v>0</v>
      </c>
      <c r="HB88" s="423">
        <f t="shared" ca="1" si="233"/>
        <v>0</v>
      </c>
      <c r="HC88" s="423">
        <f t="shared" ca="1" si="233"/>
        <v>0</v>
      </c>
      <c r="HD88" s="423">
        <f t="shared" ca="1" si="233"/>
        <v>0</v>
      </c>
      <c r="HE88" s="423">
        <f t="shared" ca="1" si="233"/>
        <v>0</v>
      </c>
      <c r="HF88" s="423">
        <f t="shared" ca="1" si="233"/>
        <v>0</v>
      </c>
      <c r="HG88" s="423">
        <f t="shared" ca="1" si="233"/>
        <v>0</v>
      </c>
      <c r="HH88" s="423">
        <f t="shared" ca="1" si="233"/>
        <v>0</v>
      </c>
      <c r="HI88" s="423">
        <f t="shared" ca="1" si="233"/>
        <v>0</v>
      </c>
      <c r="HJ88" s="423">
        <f t="shared" ca="1" si="233"/>
        <v>0</v>
      </c>
      <c r="HK88" s="423">
        <f t="shared" ca="1" si="234"/>
        <v>0</v>
      </c>
      <c r="HL88" s="423">
        <f t="shared" ca="1" si="234"/>
        <v>0</v>
      </c>
      <c r="HM88" s="423">
        <f t="shared" ca="1" si="234"/>
        <v>0</v>
      </c>
      <c r="HN88" s="423">
        <f t="shared" ca="1" si="234"/>
        <v>0</v>
      </c>
      <c r="HO88" s="423">
        <f t="shared" ca="1" si="234"/>
        <v>0</v>
      </c>
      <c r="HP88" s="423">
        <f t="shared" ca="1" si="234"/>
        <v>0</v>
      </c>
      <c r="HQ88" s="423">
        <f t="shared" ca="1" si="234"/>
        <v>0</v>
      </c>
      <c r="HR88" s="423">
        <f t="shared" ca="1" si="234"/>
        <v>0</v>
      </c>
      <c r="HS88" s="423">
        <f t="shared" ca="1" si="234"/>
        <v>0</v>
      </c>
      <c r="HT88" s="423">
        <f t="shared" ca="1" si="234"/>
        <v>0</v>
      </c>
    </row>
    <row r="89" spans="1:230" ht="11.25" customHeight="1" x14ac:dyDescent="0.2">
      <c r="A89" s="62">
        <f t="shared" si="322"/>
        <v>78</v>
      </c>
      <c r="B89" s="60" t="str">
        <f>Spaces_Sum!C134</f>
        <v>R01-702_ElevRaccIncd</v>
      </c>
      <c r="C89" s="62" t="str">
        <f>Spaces_Sum!D134</f>
        <v>R01</v>
      </c>
      <c r="D89" s="62" t="str">
        <f ca="1">Spaces_Sum!I134</f>
        <v>IndirectlyConditioned</v>
      </c>
      <c r="F89" s="110">
        <f ca="1">Spaces_Sum!M134</f>
        <v>127.9872</v>
      </c>
      <c r="G89" s="110" t="str">
        <f ca="1">Spaces_Sum!J134</f>
        <v>Unoccupied-Include in Gross Floor Area</v>
      </c>
      <c r="H89" s="532"/>
      <c r="I89" s="185"/>
      <c r="J89" s="185"/>
      <c r="K89" s="186"/>
      <c r="L89" s="187"/>
      <c r="M89" s="188"/>
      <c r="N89" s="189"/>
      <c r="O89" s="186"/>
      <c r="P89" s="187"/>
      <c r="Q89" s="188"/>
      <c r="R89" s="189"/>
      <c r="S89" s="186"/>
      <c r="T89" s="187"/>
      <c r="U89" s="188"/>
      <c r="V89" s="189"/>
      <c r="W89" s="186"/>
      <c r="X89" s="187"/>
      <c r="Y89" s="188"/>
      <c r="Z89" s="189"/>
      <c r="AA89" s="186"/>
      <c r="AB89" s="187"/>
      <c r="AC89" s="188"/>
      <c r="AD89" s="189"/>
      <c r="AE89" s="186"/>
      <c r="AF89" s="187"/>
      <c r="AG89" s="188"/>
      <c r="AH89" s="189"/>
      <c r="AI89" s="186"/>
      <c r="AJ89" s="187"/>
      <c r="AK89" s="188"/>
      <c r="AL89" s="189"/>
      <c r="AM89" s="186"/>
      <c r="AN89" s="187"/>
      <c r="AO89" s="188"/>
      <c r="AP89" s="189"/>
      <c r="AQ89" s="186"/>
      <c r="AR89" s="187"/>
      <c r="AS89" s="188"/>
      <c r="AT89" s="189"/>
      <c r="AU89" s="186"/>
      <c r="AV89" s="187"/>
      <c r="AW89" s="188"/>
      <c r="AX89" s="189"/>
      <c r="AY89" s="186"/>
      <c r="AZ89" s="187"/>
      <c r="BA89" s="188"/>
      <c r="BB89" s="189"/>
      <c r="BC89" s="186"/>
      <c r="BD89" s="187"/>
      <c r="BE89" s="188"/>
      <c r="BF89" s="189"/>
      <c r="BG89" s="186"/>
      <c r="BH89" s="187"/>
      <c r="BI89" s="188"/>
      <c r="BJ89" s="189"/>
      <c r="BK89" s="186"/>
      <c r="BL89" s="187"/>
      <c r="BM89" s="188"/>
      <c r="BN89" s="189"/>
      <c r="BO89" s="186"/>
      <c r="BP89" s="187"/>
      <c r="BQ89" s="188"/>
      <c r="BR89" s="189"/>
      <c r="BS89" s="186"/>
      <c r="BT89" s="187"/>
      <c r="BU89" s="188"/>
      <c r="BV89" s="189"/>
      <c r="BW89" s="186"/>
      <c r="BX89" s="187"/>
      <c r="BY89" s="188"/>
      <c r="BZ89" s="189"/>
      <c r="CA89" s="186"/>
      <c r="CB89" s="190"/>
      <c r="CC89" s="190"/>
      <c r="CD89" s="82">
        <f t="shared" si="235"/>
        <v>0</v>
      </c>
      <c r="CE89" s="82">
        <f t="shared" si="236"/>
        <v>0</v>
      </c>
      <c r="CF89" s="82">
        <f t="shared" si="237"/>
        <v>0</v>
      </c>
      <c r="CG89" s="82">
        <f t="shared" si="238"/>
        <v>0</v>
      </c>
      <c r="CH89" s="82">
        <f t="shared" si="239"/>
        <v>0</v>
      </c>
      <c r="CI89" s="82">
        <f t="shared" si="240"/>
        <v>0</v>
      </c>
      <c r="CJ89" s="82">
        <f t="shared" si="241"/>
        <v>0</v>
      </c>
      <c r="CK89" s="82">
        <f t="shared" si="242"/>
        <v>0</v>
      </c>
      <c r="CL89" s="82">
        <f t="shared" si="243"/>
        <v>0</v>
      </c>
      <c r="CM89" s="82">
        <f t="shared" si="244"/>
        <v>0</v>
      </c>
      <c r="CN89" s="82">
        <f t="shared" si="245"/>
        <v>0</v>
      </c>
      <c r="CO89" s="82">
        <f t="shared" si="246"/>
        <v>0</v>
      </c>
      <c r="CP89" s="82">
        <f t="shared" si="247"/>
        <v>0</v>
      </c>
      <c r="CQ89" s="82">
        <f t="shared" si="248"/>
        <v>0</v>
      </c>
      <c r="CR89" s="82">
        <f t="shared" si="249"/>
        <v>0</v>
      </c>
      <c r="CS89" s="82">
        <f t="shared" si="250"/>
        <v>0</v>
      </c>
      <c r="CT89" s="82">
        <f t="shared" si="251"/>
        <v>0</v>
      </c>
      <c r="CU89" s="82">
        <f t="shared" si="252"/>
        <v>0</v>
      </c>
      <c r="CV89" s="82">
        <f t="shared" si="253"/>
        <v>0</v>
      </c>
      <c r="CW89" s="82">
        <f t="shared" si="254"/>
        <v>0</v>
      </c>
      <c r="CX89" s="82">
        <f t="shared" si="255"/>
        <v>0</v>
      </c>
      <c r="CY89" s="82">
        <f t="shared" si="256"/>
        <v>0</v>
      </c>
      <c r="CZ89" s="82">
        <f t="shared" si="257"/>
        <v>0</v>
      </c>
      <c r="DA89" s="82">
        <f t="shared" si="258"/>
        <v>0</v>
      </c>
      <c r="DB89" s="82">
        <f t="shared" si="259"/>
        <v>0</v>
      </c>
      <c r="DC89" s="82">
        <f t="shared" si="260"/>
        <v>0</v>
      </c>
      <c r="DD89" s="82">
        <f t="shared" si="261"/>
        <v>0</v>
      </c>
      <c r="DE89" s="82">
        <f t="shared" si="262"/>
        <v>0</v>
      </c>
      <c r="DF89" s="82">
        <f t="shared" si="263"/>
        <v>0</v>
      </c>
      <c r="DG89" s="82">
        <f t="shared" si="264"/>
        <v>0</v>
      </c>
      <c r="DH89" s="82">
        <f t="shared" si="265"/>
        <v>0</v>
      </c>
      <c r="DI89" s="82">
        <f t="shared" si="266"/>
        <v>0</v>
      </c>
      <c r="DJ89" s="82">
        <f t="shared" si="267"/>
        <v>0</v>
      </c>
      <c r="DK89" s="82">
        <f t="shared" si="268"/>
        <v>0</v>
      </c>
      <c r="DL89" s="82">
        <f t="shared" si="269"/>
        <v>0</v>
      </c>
      <c r="DM89" s="82">
        <f t="shared" si="270"/>
        <v>0</v>
      </c>
      <c r="DN89" s="82">
        <f t="shared" si="271"/>
        <v>0</v>
      </c>
      <c r="DO89" s="82">
        <f t="shared" si="272"/>
        <v>0</v>
      </c>
      <c r="DP89" s="82">
        <f t="shared" si="273"/>
        <v>0</v>
      </c>
      <c r="DQ89" s="82">
        <f t="shared" si="274"/>
        <v>0</v>
      </c>
      <c r="DR89" s="82">
        <f t="shared" si="275"/>
        <v>0</v>
      </c>
      <c r="DS89" s="82">
        <f t="shared" si="276"/>
        <v>0</v>
      </c>
      <c r="DT89" s="82">
        <f t="shared" si="277"/>
        <v>0</v>
      </c>
      <c r="DU89" s="82">
        <f t="shared" si="278"/>
        <v>0</v>
      </c>
      <c r="DV89" s="82">
        <f t="shared" si="279"/>
        <v>0</v>
      </c>
      <c r="DW89" s="82">
        <f t="shared" si="280"/>
        <v>0</v>
      </c>
      <c r="DX89" s="82">
        <f t="shared" si="281"/>
        <v>0</v>
      </c>
      <c r="DY89" s="82">
        <f t="shared" si="282"/>
        <v>0</v>
      </c>
      <c r="DZ89" s="82">
        <f t="shared" si="283"/>
        <v>0</v>
      </c>
      <c r="EA89" s="82">
        <f t="shared" si="284"/>
        <v>0</v>
      </c>
      <c r="EB89" s="82">
        <f t="shared" si="285"/>
        <v>0</v>
      </c>
      <c r="EC89" s="82">
        <f t="shared" si="286"/>
        <v>0</v>
      </c>
      <c r="ED89" s="82">
        <f t="shared" si="287"/>
        <v>0</v>
      </c>
      <c r="EE89" s="82">
        <f t="shared" si="288"/>
        <v>0</v>
      </c>
      <c r="EF89" s="82">
        <f t="shared" si="289"/>
        <v>0</v>
      </c>
      <c r="EG89" s="82">
        <f t="shared" si="290"/>
        <v>0</v>
      </c>
      <c r="EH89" s="82">
        <f t="shared" si="291"/>
        <v>0</v>
      </c>
      <c r="EI89" s="82">
        <f t="shared" si="292"/>
        <v>0</v>
      </c>
      <c r="EJ89" s="82">
        <f t="shared" si="293"/>
        <v>0</v>
      </c>
      <c r="EK89" s="82">
        <f t="shared" si="294"/>
        <v>0</v>
      </c>
      <c r="EL89" s="82">
        <f t="shared" si="295"/>
        <v>0</v>
      </c>
      <c r="EM89" s="82">
        <f t="shared" si="296"/>
        <v>0</v>
      </c>
      <c r="EN89" s="82">
        <f t="shared" si="297"/>
        <v>0</v>
      </c>
      <c r="EO89" s="82">
        <f t="shared" si="298"/>
        <v>0</v>
      </c>
      <c r="EP89" s="82">
        <f t="shared" si="299"/>
        <v>0</v>
      </c>
      <c r="EQ89" s="82">
        <f t="shared" si="300"/>
        <v>0</v>
      </c>
      <c r="ER89" s="82">
        <f t="shared" si="301"/>
        <v>0</v>
      </c>
      <c r="ES89" s="82">
        <f t="shared" si="302"/>
        <v>0</v>
      </c>
      <c r="ET89" s="82">
        <f t="shared" si="303"/>
        <v>0</v>
      </c>
      <c r="EU89" s="82">
        <f t="shared" si="304"/>
        <v>0</v>
      </c>
      <c r="EV89" s="82">
        <f t="shared" si="305"/>
        <v>0</v>
      </c>
      <c r="EW89" s="82">
        <f t="shared" si="306"/>
        <v>0</v>
      </c>
      <c r="EX89" s="82">
        <f t="shared" si="307"/>
        <v>0</v>
      </c>
      <c r="EY89" s="111">
        <f t="shared" si="308"/>
        <v>0</v>
      </c>
      <c r="EZ89" s="143">
        <f t="shared" ca="1" si="309"/>
        <v>0</v>
      </c>
      <c r="FA89" s="112">
        <f t="shared" ca="1" si="310"/>
        <v>0</v>
      </c>
      <c r="FB89" s="113">
        <f t="shared" ca="1" si="311"/>
        <v>0</v>
      </c>
      <c r="FC89" s="114">
        <f t="shared" ca="1" si="312"/>
        <v>0</v>
      </c>
      <c r="FD89" s="115">
        <f t="shared" ca="1" si="313"/>
        <v>0</v>
      </c>
      <c r="FE89" s="116">
        <f t="shared" ca="1" si="314"/>
        <v>0</v>
      </c>
      <c r="FF89" s="117">
        <f t="shared" ca="1" si="315"/>
        <v>0</v>
      </c>
      <c r="FG89" s="71">
        <f t="shared" si="316"/>
        <v>0</v>
      </c>
      <c r="FH89" s="530">
        <f t="shared" ca="1" si="317"/>
        <v>0</v>
      </c>
      <c r="FI89" s="72"/>
      <c r="FJ89" s="72"/>
      <c r="FK89" s="72"/>
      <c r="FM89" s="421" t="str">
        <f t="shared" si="318"/>
        <v>R01-702_ElevRaccIncd</v>
      </c>
      <c r="FN89" s="422" t="str">
        <f t="shared" ca="1" si="319"/>
        <v>Unoccupied-Include in Gross Floor Area</v>
      </c>
      <c r="FO89" s="423">
        <f t="shared" ca="1" si="323"/>
        <v>0</v>
      </c>
      <c r="FP89" s="423">
        <f t="shared" ca="1" si="323"/>
        <v>0</v>
      </c>
      <c r="FQ89" s="423">
        <f t="shared" ca="1" si="323"/>
        <v>0</v>
      </c>
      <c r="FR89" s="423">
        <f t="shared" ca="1" si="323"/>
        <v>0</v>
      </c>
      <c r="FS89" s="423">
        <f t="shared" ca="1" si="323"/>
        <v>0</v>
      </c>
      <c r="FT89" s="423">
        <f t="shared" ca="1" si="323"/>
        <v>0</v>
      </c>
      <c r="FU89" s="423">
        <f t="shared" ca="1" si="323"/>
        <v>0</v>
      </c>
      <c r="FV89" s="423">
        <f t="shared" ca="1" si="323"/>
        <v>0</v>
      </c>
      <c r="FW89" s="423">
        <f t="shared" ca="1" si="323"/>
        <v>0</v>
      </c>
      <c r="FX89" s="423">
        <f t="shared" ca="1" si="323"/>
        <v>0</v>
      </c>
      <c r="FY89" s="423">
        <f t="shared" ca="1" si="323"/>
        <v>0</v>
      </c>
      <c r="FZ89" s="423">
        <f t="shared" ca="1" si="323"/>
        <v>0</v>
      </c>
      <c r="GA89" s="423">
        <f t="shared" ca="1" si="323"/>
        <v>0</v>
      </c>
      <c r="GB89" s="423">
        <f t="shared" ca="1" si="323"/>
        <v>0</v>
      </c>
      <c r="GC89" s="423">
        <f t="shared" ca="1" si="323"/>
        <v>0</v>
      </c>
      <c r="GD89" s="423">
        <f t="shared" ca="1" si="320"/>
        <v>0</v>
      </c>
      <c r="GE89" s="423">
        <f t="shared" ca="1" si="320"/>
        <v>0</v>
      </c>
      <c r="GF89" s="423">
        <f t="shared" ca="1" si="320"/>
        <v>0</v>
      </c>
      <c r="GG89" s="423">
        <f t="shared" ca="1" si="320"/>
        <v>0</v>
      </c>
      <c r="GH89" s="423">
        <f t="shared" ca="1" si="320"/>
        <v>0</v>
      </c>
      <c r="GI89" s="423">
        <f t="shared" ca="1" si="320"/>
        <v>0</v>
      </c>
      <c r="GJ89" s="423">
        <f t="shared" ca="1" si="320"/>
        <v>0</v>
      </c>
      <c r="GK89" s="423">
        <f t="shared" ca="1" si="320"/>
        <v>0</v>
      </c>
      <c r="GL89" s="423">
        <f t="shared" ca="1" si="320"/>
        <v>0</v>
      </c>
      <c r="GM89" s="423">
        <f t="shared" ca="1" si="320"/>
        <v>0</v>
      </c>
      <c r="GN89" s="423">
        <f t="shared" ca="1" si="320"/>
        <v>0</v>
      </c>
      <c r="GO89" s="423">
        <f t="shared" ca="1" si="320"/>
        <v>0</v>
      </c>
      <c r="GP89" s="423">
        <f t="shared" ca="1" si="320"/>
        <v>0</v>
      </c>
      <c r="GQ89" s="423">
        <f t="shared" ca="1" si="320"/>
        <v>0</v>
      </c>
      <c r="GR89" s="423">
        <f t="shared" ca="1" si="320"/>
        <v>0</v>
      </c>
      <c r="GS89" s="423">
        <f t="shared" ca="1" si="320"/>
        <v>0</v>
      </c>
      <c r="GT89" s="423">
        <f t="shared" ca="1" si="321"/>
        <v>0</v>
      </c>
      <c r="GU89" s="423">
        <f t="shared" ca="1" si="233"/>
        <v>0</v>
      </c>
      <c r="GV89" s="423">
        <f t="shared" ca="1" si="233"/>
        <v>0</v>
      </c>
      <c r="GW89" s="423">
        <f t="shared" ca="1" si="233"/>
        <v>0</v>
      </c>
      <c r="GX89" s="423">
        <f t="shared" ca="1" si="233"/>
        <v>0</v>
      </c>
      <c r="GY89" s="423">
        <f t="shared" ca="1" si="233"/>
        <v>0</v>
      </c>
      <c r="GZ89" s="423">
        <f t="shared" ca="1" si="233"/>
        <v>0</v>
      </c>
      <c r="HA89" s="423">
        <f t="shared" ca="1" si="233"/>
        <v>0</v>
      </c>
      <c r="HB89" s="423">
        <f t="shared" ca="1" si="233"/>
        <v>0</v>
      </c>
      <c r="HC89" s="423">
        <f t="shared" ca="1" si="233"/>
        <v>0</v>
      </c>
      <c r="HD89" s="423">
        <f t="shared" ca="1" si="233"/>
        <v>0</v>
      </c>
      <c r="HE89" s="423">
        <f t="shared" ca="1" si="233"/>
        <v>0</v>
      </c>
      <c r="HF89" s="423">
        <f t="shared" ca="1" si="233"/>
        <v>0</v>
      </c>
      <c r="HG89" s="423">
        <f t="shared" ca="1" si="233"/>
        <v>0</v>
      </c>
      <c r="HH89" s="423">
        <f t="shared" ca="1" si="233"/>
        <v>0</v>
      </c>
      <c r="HI89" s="423">
        <f t="shared" ca="1" si="233"/>
        <v>0</v>
      </c>
      <c r="HJ89" s="423">
        <f t="shared" ref="HJ89:HT104" ca="1" si="324">IFERROR(ROUNDDOWN(SUMIF($H89:$CC89,HJ$11,$CD89:$EX89)/HJ$10,0),0)</f>
        <v>0</v>
      </c>
      <c r="HK89" s="423">
        <f t="shared" ca="1" si="234"/>
        <v>0</v>
      </c>
      <c r="HL89" s="423">
        <f t="shared" ca="1" si="234"/>
        <v>0</v>
      </c>
      <c r="HM89" s="423">
        <f t="shared" ca="1" si="234"/>
        <v>0</v>
      </c>
      <c r="HN89" s="423">
        <f t="shared" ca="1" si="234"/>
        <v>0</v>
      </c>
      <c r="HO89" s="423">
        <f t="shared" ca="1" si="234"/>
        <v>0</v>
      </c>
      <c r="HP89" s="423">
        <f t="shared" ca="1" si="234"/>
        <v>0</v>
      </c>
      <c r="HQ89" s="423">
        <f t="shared" ca="1" si="234"/>
        <v>0</v>
      </c>
      <c r="HR89" s="423">
        <f t="shared" ca="1" si="234"/>
        <v>0</v>
      </c>
      <c r="HS89" s="423">
        <f t="shared" ca="1" si="234"/>
        <v>0</v>
      </c>
      <c r="HT89" s="423">
        <f t="shared" ca="1" si="234"/>
        <v>0</v>
      </c>
    </row>
    <row r="90" spans="1:230" ht="11.25" customHeight="1" x14ac:dyDescent="0.2">
      <c r="A90" s="62">
        <f t="shared" si="322"/>
        <v>79</v>
      </c>
      <c r="B90" s="60" t="str">
        <f>Spaces_Sum!C135</f>
        <v>R01-703_MechRaccPtac</v>
      </c>
      <c r="C90" s="62" t="str">
        <f>Spaces_Sum!D135</f>
        <v>R01</v>
      </c>
      <c r="D90" s="62" t="str">
        <f ca="1">Spaces_Sum!I135</f>
        <v>DirectlyConditioned</v>
      </c>
      <c r="F90" s="110">
        <f ca="1">Spaces_Sum!M135</f>
        <v>102.77760000000001</v>
      </c>
      <c r="G90" s="110" t="str">
        <f ca="1">Spaces_Sum!J135</f>
        <v>Electrical/MechanicaI Room</v>
      </c>
      <c r="H90" s="532"/>
      <c r="I90" s="185"/>
      <c r="J90" s="185"/>
      <c r="K90" s="186"/>
      <c r="L90" s="187"/>
      <c r="M90" s="188"/>
      <c r="N90" s="189"/>
      <c r="O90" s="186"/>
      <c r="P90" s="187"/>
      <c r="Q90" s="188"/>
      <c r="R90" s="189"/>
      <c r="S90" s="186"/>
      <c r="T90" s="187"/>
      <c r="U90" s="188"/>
      <c r="V90" s="189"/>
      <c r="W90" s="186"/>
      <c r="X90" s="187"/>
      <c r="Y90" s="188"/>
      <c r="Z90" s="189"/>
      <c r="AA90" s="186"/>
      <c r="AB90" s="187"/>
      <c r="AC90" s="188"/>
      <c r="AD90" s="189"/>
      <c r="AE90" s="186"/>
      <c r="AF90" s="187"/>
      <c r="AG90" s="188"/>
      <c r="AH90" s="189"/>
      <c r="AI90" s="186"/>
      <c r="AJ90" s="187"/>
      <c r="AK90" s="188"/>
      <c r="AL90" s="189"/>
      <c r="AM90" s="186"/>
      <c r="AN90" s="187"/>
      <c r="AO90" s="188"/>
      <c r="AP90" s="189"/>
      <c r="AQ90" s="186"/>
      <c r="AR90" s="187"/>
      <c r="AS90" s="188"/>
      <c r="AT90" s="189"/>
      <c r="AU90" s="186"/>
      <c r="AV90" s="187"/>
      <c r="AW90" s="188"/>
      <c r="AX90" s="189"/>
      <c r="AY90" s="186"/>
      <c r="AZ90" s="187"/>
      <c r="BA90" s="188"/>
      <c r="BB90" s="189"/>
      <c r="BC90" s="186"/>
      <c r="BD90" s="187"/>
      <c r="BE90" s="188"/>
      <c r="BF90" s="189"/>
      <c r="BG90" s="186"/>
      <c r="BH90" s="187"/>
      <c r="BI90" s="188"/>
      <c r="BJ90" s="189"/>
      <c r="BK90" s="186"/>
      <c r="BL90" s="187"/>
      <c r="BM90" s="188"/>
      <c r="BN90" s="189"/>
      <c r="BO90" s="186"/>
      <c r="BP90" s="187"/>
      <c r="BQ90" s="188"/>
      <c r="BR90" s="189"/>
      <c r="BS90" s="186"/>
      <c r="BT90" s="187"/>
      <c r="BU90" s="188"/>
      <c r="BV90" s="189"/>
      <c r="BW90" s="186"/>
      <c r="BX90" s="187"/>
      <c r="BY90" s="188"/>
      <c r="BZ90" s="189"/>
      <c r="CA90" s="186"/>
      <c r="CB90" s="190"/>
      <c r="CC90" s="190"/>
      <c r="CD90" s="82">
        <f t="shared" si="235"/>
        <v>0</v>
      </c>
      <c r="CE90" s="82">
        <f t="shared" si="236"/>
        <v>0</v>
      </c>
      <c r="CF90" s="82">
        <f t="shared" si="237"/>
        <v>0</v>
      </c>
      <c r="CG90" s="82">
        <f t="shared" si="238"/>
        <v>0</v>
      </c>
      <c r="CH90" s="82">
        <f t="shared" si="239"/>
        <v>0</v>
      </c>
      <c r="CI90" s="82">
        <f t="shared" si="240"/>
        <v>0</v>
      </c>
      <c r="CJ90" s="82">
        <f t="shared" si="241"/>
        <v>0</v>
      </c>
      <c r="CK90" s="82">
        <f t="shared" si="242"/>
        <v>0</v>
      </c>
      <c r="CL90" s="82">
        <f t="shared" si="243"/>
        <v>0</v>
      </c>
      <c r="CM90" s="82">
        <f t="shared" si="244"/>
        <v>0</v>
      </c>
      <c r="CN90" s="82">
        <f t="shared" si="245"/>
        <v>0</v>
      </c>
      <c r="CO90" s="82">
        <f t="shared" si="246"/>
        <v>0</v>
      </c>
      <c r="CP90" s="82">
        <f t="shared" si="247"/>
        <v>0</v>
      </c>
      <c r="CQ90" s="82">
        <f t="shared" si="248"/>
        <v>0</v>
      </c>
      <c r="CR90" s="82">
        <f t="shared" si="249"/>
        <v>0</v>
      </c>
      <c r="CS90" s="82">
        <f t="shared" si="250"/>
        <v>0</v>
      </c>
      <c r="CT90" s="82">
        <f t="shared" si="251"/>
        <v>0</v>
      </c>
      <c r="CU90" s="82">
        <f t="shared" si="252"/>
        <v>0</v>
      </c>
      <c r="CV90" s="82">
        <f t="shared" si="253"/>
        <v>0</v>
      </c>
      <c r="CW90" s="82">
        <f t="shared" si="254"/>
        <v>0</v>
      </c>
      <c r="CX90" s="82">
        <f t="shared" si="255"/>
        <v>0</v>
      </c>
      <c r="CY90" s="82">
        <f t="shared" si="256"/>
        <v>0</v>
      </c>
      <c r="CZ90" s="82">
        <f t="shared" si="257"/>
        <v>0</v>
      </c>
      <c r="DA90" s="82">
        <f t="shared" si="258"/>
        <v>0</v>
      </c>
      <c r="DB90" s="82">
        <f t="shared" si="259"/>
        <v>0</v>
      </c>
      <c r="DC90" s="82">
        <f t="shared" si="260"/>
        <v>0</v>
      </c>
      <c r="DD90" s="82">
        <f t="shared" si="261"/>
        <v>0</v>
      </c>
      <c r="DE90" s="82">
        <f t="shared" si="262"/>
        <v>0</v>
      </c>
      <c r="DF90" s="82">
        <f t="shared" si="263"/>
        <v>0</v>
      </c>
      <c r="DG90" s="82">
        <f t="shared" si="264"/>
        <v>0</v>
      </c>
      <c r="DH90" s="82">
        <f t="shared" si="265"/>
        <v>0</v>
      </c>
      <c r="DI90" s="82">
        <f t="shared" si="266"/>
        <v>0</v>
      </c>
      <c r="DJ90" s="82">
        <f t="shared" si="267"/>
        <v>0</v>
      </c>
      <c r="DK90" s="82">
        <f t="shared" si="268"/>
        <v>0</v>
      </c>
      <c r="DL90" s="82">
        <f t="shared" si="269"/>
        <v>0</v>
      </c>
      <c r="DM90" s="82">
        <f t="shared" si="270"/>
        <v>0</v>
      </c>
      <c r="DN90" s="82">
        <f t="shared" si="271"/>
        <v>0</v>
      </c>
      <c r="DO90" s="82">
        <f t="shared" si="272"/>
        <v>0</v>
      </c>
      <c r="DP90" s="82">
        <f t="shared" si="273"/>
        <v>0</v>
      </c>
      <c r="DQ90" s="82">
        <f t="shared" si="274"/>
        <v>0</v>
      </c>
      <c r="DR90" s="82">
        <f t="shared" si="275"/>
        <v>0</v>
      </c>
      <c r="DS90" s="82">
        <f t="shared" si="276"/>
        <v>0</v>
      </c>
      <c r="DT90" s="82">
        <f t="shared" si="277"/>
        <v>0</v>
      </c>
      <c r="DU90" s="82">
        <f t="shared" si="278"/>
        <v>0</v>
      </c>
      <c r="DV90" s="82">
        <f t="shared" si="279"/>
        <v>0</v>
      </c>
      <c r="DW90" s="82">
        <f t="shared" si="280"/>
        <v>0</v>
      </c>
      <c r="DX90" s="82">
        <f t="shared" si="281"/>
        <v>0</v>
      </c>
      <c r="DY90" s="82">
        <f t="shared" si="282"/>
        <v>0</v>
      </c>
      <c r="DZ90" s="82">
        <f t="shared" si="283"/>
        <v>0</v>
      </c>
      <c r="EA90" s="82">
        <f t="shared" si="284"/>
        <v>0</v>
      </c>
      <c r="EB90" s="82">
        <f t="shared" si="285"/>
        <v>0</v>
      </c>
      <c r="EC90" s="82">
        <f t="shared" si="286"/>
        <v>0</v>
      </c>
      <c r="ED90" s="82">
        <f t="shared" si="287"/>
        <v>0</v>
      </c>
      <c r="EE90" s="82">
        <f t="shared" si="288"/>
        <v>0</v>
      </c>
      <c r="EF90" s="82">
        <f t="shared" si="289"/>
        <v>0</v>
      </c>
      <c r="EG90" s="82">
        <f t="shared" si="290"/>
        <v>0</v>
      </c>
      <c r="EH90" s="82">
        <f t="shared" si="291"/>
        <v>0</v>
      </c>
      <c r="EI90" s="82">
        <f t="shared" si="292"/>
        <v>0</v>
      </c>
      <c r="EJ90" s="82">
        <f t="shared" si="293"/>
        <v>0</v>
      </c>
      <c r="EK90" s="82">
        <f t="shared" si="294"/>
        <v>0</v>
      </c>
      <c r="EL90" s="82">
        <f t="shared" si="295"/>
        <v>0</v>
      </c>
      <c r="EM90" s="82">
        <f t="shared" si="296"/>
        <v>0</v>
      </c>
      <c r="EN90" s="82">
        <f t="shared" si="297"/>
        <v>0</v>
      </c>
      <c r="EO90" s="82">
        <f t="shared" si="298"/>
        <v>0</v>
      </c>
      <c r="EP90" s="82">
        <f t="shared" si="299"/>
        <v>0</v>
      </c>
      <c r="EQ90" s="82">
        <f t="shared" si="300"/>
        <v>0</v>
      </c>
      <c r="ER90" s="82">
        <f t="shared" si="301"/>
        <v>0</v>
      </c>
      <c r="ES90" s="82">
        <f t="shared" si="302"/>
        <v>0</v>
      </c>
      <c r="ET90" s="82">
        <f t="shared" si="303"/>
        <v>0</v>
      </c>
      <c r="EU90" s="82">
        <f t="shared" si="304"/>
        <v>0</v>
      </c>
      <c r="EV90" s="82">
        <f t="shared" si="305"/>
        <v>0</v>
      </c>
      <c r="EW90" s="82">
        <f t="shared" si="306"/>
        <v>0</v>
      </c>
      <c r="EX90" s="82">
        <f t="shared" si="307"/>
        <v>0</v>
      </c>
      <c r="EY90" s="111">
        <f t="shared" si="308"/>
        <v>0</v>
      </c>
      <c r="EZ90" s="143">
        <f t="shared" ca="1" si="309"/>
        <v>0</v>
      </c>
      <c r="FA90" s="112">
        <f t="shared" ca="1" si="310"/>
        <v>0</v>
      </c>
      <c r="FB90" s="113">
        <f t="shared" ca="1" si="311"/>
        <v>0</v>
      </c>
      <c r="FC90" s="114">
        <f t="shared" ca="1" si="312"/>
        <v>0</v>
      </c>
      <c r="FD90" s="115">
        <f t="shared" ca="1" si="313"/>
        <v>0</v>
      </c>
      <c r="FE90" s="116">
        <f t="shared" ca="1" si="314"/>
        <v>0</v>
      </c>
      <c r="FF90" s="117">
        <f t="shared" ca="1" si="315"/>
        <v>0</v>
      </c>
      <c r="FG90" s="71">
        <f t="shared" si="316"/>
        <v>0</v>
      </c>
      <c r="FH90" s="530">
        <f t="shared" ca="1" si="317"/>
        <v>0</v>
      </c>
      <c r="FI90" s="72"/>
      <c r="FJ90" s="72"/>
      <c r="FK90" s="72"/>
      <c r="FM90" s="421" t="str">
        <f t="shared" si="318"/>
        <v>R01-703_MechRaccPtac</v>
      </c>
      <c r="FN90" s="422" t="str">
        <f t="shared" ca="1" si="319"/>
        <v>Electrical/MechanicaI Room</v>
      </c>
      <c r="FO90" s="423">
        <f t="shared" ca="1" si="323"/>
        <v>0</v>
      </c>
      <c r="FP90" s="423">
        <f t="shared" ca="1" si="323"/>
        <v>0</v>
      </c>
      <c r="FQ90" s="423">
        <f t="shared" ca="1" si="323"/>
        <v>0</v>
      </c>
      <c r="FR90" s="423">
        <f t="shared" ca="1" si="323"/>
        <v>0</v>
      </c>
      <c r="FS90" s="423">
        <f t="shared" ca="1" si="323"/>
        <v>0</v>
      </c>
      <c r="FT90" s="423">
        <f t="shared" ca="1" si="323"/>
        <v>0</v>
      </c>
      <c r="FU90" s="423">
        <f t="shared" ca="1" si="323"/>
        <v>0</v>
      </c>
      <c r="FV90" s="423">
        <f t="shared" ca="1" si="323"/>
        <v>0</v>
      </c>
      <c r="FW90" s="423">
        <f t="shared" ca="1" si="323"/>
        <v>0</v>
      </c>
      <c r="FX90" s="423">
        <f t="shared" ca="1" si="323"/>
        <v>0</v>
      </c>
      <c r="FY90" s="423">
        <f t="shared" ca="1" si="323"/>
        <v>0</v>
      </c>
      <c r="FZ90" s="423">
        <f t="shared" ca="1" si="323"/>
        <v>0</v>
      </c>
      <c r="GA90" s="423">
        <f t="shared" ca="1" si="323"/>
        <v>0</v>
      </c>
      <c r="GB90" s="423">
        <f t="shared" ca="1" si="323"/>
        <v>0</v>
      </c>
      <c r="GC90" s="423">
        <f t="shared" ca="1" si="323"/>
        <v>0</v>
      </c>
      <c r="GD90" s="423">
        <f t="shared" ca="1" si="320"/>
        <v>0</v>
      </c>
      <c r="GE90" s="423">
        <f t="shared" ca="1" si="320"/>
        <v>0</v>
      </c>
      <c r="GF90" s="423">
        <f t="shared" ca="1" si="320"/>
        <v>0</v>
      </c>
      <c r="GG90" s="423">
        <f t="shared" ca="1" si="320"/>
        <v>0</v>
      </c>
      <c r="GH90" s="423">
        <f t="shared" ca="1" si="320"/>
        <v>0</v>
      </c>
      <c r="GI90" s="423">
        <f t="shared" ca="1" si="320"/>
        <v>0</v>
      </c>
      <c r="GJ90" s="423">
        <f t="shared" ca="1" si="320"/>
        <v>0</v>
      </c>
      <c r="GK90" s="423">
        <f t="shared" ca="1" si="320"/>
        <v>0</v>
      </c>
      <c r="GL90" s="423">
        <f t="shared" ca="1" si="320"/>
        <v>0</v>
      </c>
      <c r="GM90" s="423">
        <f t="shared" ca="1" si="320"/>
        <v>0</v>
      </c>
      <c r="GN90" s="423">
        <f t="shared" ca="1" si="320"/>
        <v>0</v>
      </c>
      <c r="GO90" s="423">
        <f t="shared" ca="1" si="320"/>
        <v>0</v>
      </c>
      <c r="GP90" s="423">
        <f t="shared" ca="1" si="320"/>
        <v>0</v>
      </c>
      <c r="GQ90" s="423">
        <f t="shared" ca="1" si="320"/>
        <v>0</v>
      </c>
      <c r="GR90" s="423">
        <f t="shared" ca="1" si="320"/>
        <v>0</v>
      </c>
      <c r="GS90" s="423">
        <f t="shared" ca="1" si="320"/>
        <v>0</v>
      </c>
      <c r="GT90" s="423">
        <f t="shared" ca="1" si="321"/>
        <v>0</v>
      </c>
      <c r="GU90" s="423">
        <f t="shared" ca="1" si="321"/>
        <v>0</v>
      </c>
      <c r="GV90" s="423">
        <f t="shared" ca="1" si="321"/>
        <v>0</v>
      </c>
      <c r="GW90" s="423">
        <f t="shared" ca="1" si="321"/>
        <v>0</v>
      </c>
      <c r="GX90" s="423">
        <f t="shared" ca="1" si="321"/>
        <v>0</v>
      </c>
      <c r="GY90" s="423">
        <f t="shared" ca="1" si="321"/>
        <v>0</v>
      </c>
      <c r="GZ90" s="423">
        <f t="shared" ca="1" si="321"/>
        <v>0</v>
      </c>
      <c r="HA90" s="423">
        <f t="shared" ca="1" si="321"/>
        <v>0</v>
      </c>
      <c r="HB90" s="423">
        <f t="shared" ca="1" si="321"/>
        <v>0</v>
      </c>
      <c r="HC90" s="423">
        <f t="shared" ca="1" si="321"/>
        <v>0</v>
      </c>
      <c r="HD90" s="423">
        <f t="shared" ca="1" si="321"/>
        <v>0</v>
      </c>
      <c r="HE90" s="423">
        <f t="shared" ca="1" si="321"/>
        <v>0</v>
      </c>
      <c r="HF90" s="423">
        <f t="shared" ca="1" si="321"/>
        <v>0</v>
      </c>
      <c r="HG90" s="423">
        <f t="shared" ca="1" si="321"/>
        <v>0</v>
      </c>
      <c r="HH90" s="423">
        <f t="shared" ca="1" si="321"/>
        <v>0</v>
      </c>
      <c r="HI90" s="423">
        <f t="shared" ca="1" si="321"/>
        <v>0</v>
      </c>
      <c r="HJ90" s="423">
        <f t="shared" ca="1" si="324"/>
        <v>0</v>
      </c>
      <c r="HK90" s="423">
        <f t="shared" ca="1" si="324"/>
        <v>0</v>
      </c>
      <c r="HL90" s="423">
        <f t="shared" ca="1" si="324"/>
        <v>0</v>
      </c>
      <c r="HM90" s="423">
        <f t="shared" ca="1" si="324"/>
        <v>0</v>
      </c>
      <c r="HN90" s="423">
        <f t="shared" ca="1" si="324"/>
        <v>0</v>
      </c>
      <c r="HO90" s="423">
        <f t="shared" ca="1" si="324"/>
        <v>0</v>
      </c>
      <c r="HP90" s="423">
        <f t="shared" ca="1" si="324"/>
        <v>0</v>
      </c>
      <c r="HQ90" s="423">
        <f t="shared" ca="1" si="324"/>
        <v>0</v>
      </c>
      <c r="HR90" s="423">
        <f t="shared" ca="1" si="324"/>
        <v>0</v>
      </c>
      <c r="HS90" s="423">
        <f t="shared" ca="1" si="324"/>
        <v>0</v>
      </c>
      <c r="HT90" s="423">
        <f t="shared" ca="1" si="324"/>
        <v>0</v>
      </c>
    </row>
    <row r="91" spans="1:230" ht="11.25" customHeight="1" x14ac:dyDescent="0.2">
      <c r="A91" s="62">
        <f t="shared" si="322"/>
        <v>80</v>
      </c>
      <c r="B91" s="60" t="str">
        <f>Spaces_Sum!C136</f>
        <v>R01-704_StrsRaccBbrd</v>
      </c>
      <c r="C91" s="62" t="str">
        <f>Spaces_Sum!D136</f>
        <v>R01</v>
      </c>
      <c r="D91" s="62" t="str">
        <f ca="1">Spaces_Sum!I136</f>
        <v>DirectlyConditioned</v>
      </c>
      <c r="F91" s="110">
        <f ca="1">Spaces_Sum!M136</f>
        <v>236.34819999999999</v>
      </c>
      <c r="G91" s="110" t="str">
        <f ca="1">Spaces_Sum!J136</f>
        <v>Stairwell</v>
      </c>
      <c r="H91" s="532"/>
      <c r="I91" s="185"/>
      <c r="J91" s="185"/>
      <c r="K91" s="186"/>
      <c r="L91" s="187"/>
      <c r="M91" s="188"/>
      <c r="N91" s="189"/>
      <c r="O91" s="186"/>
      <c r="P91" s="187"/>
      <c r="Q91" s="188"/>
      <c r="R91" s="189"/>
      <c r="S91" s="186"/>
      <c r="T91" s="187"/>
      <c r="U91" s="188"/>
      <c r="V91" s="189"/>
      <c r="W91" s="186"/>
      <c r="X91" s="187"/>
      <c r="Y91" s="188"/>
      <c r="Z91" s="189"/>
      <c r="AA91" s="186"/>
      <c r="AB91" s="187"/>
      <c r="AC91" s="188"/>
      <c r="AD91" s="189"/>
      <c r="AE91" s="186"/>
      <c r="AF91" s="187"/>
      <c r="AG91" s="188"/>
      <c r="AH91" s="189"/>
      <c r="AI91" s="186"/>
      <c r="AJ91" s="187"/>
      <c r="AK91" s="188"/>
      <c r="AL91" s="189"/>
      <c r="AM91" s="186"/>
      <c r="AN91" s="187"/>
      <c r="AO91" s="188"/>
      <c r="AP91" s="189"/>
      <c r="AQ91" s="186"/>
      <c r="AR91" s="187"/>
      <c r="AS91" s="188"/>
      <c r="AT91" s="189"/>
      <c r="AU91" s="186"/>
      <c r="AV91" s="187"/>
      <c r="AW91" s="188"/>
      <c r="AX91" s="189"/>
      <c r="AY91" s="186"/>
      <c r="AZ91" s="187"/>
      <c r="BA91" s="188"/>
      <c r="BB91" s="189"/>
      <c r="BC91" s="186"/>
      <c r="BD91" s="187"/>
      <c r="BE91" s="188"/>
      <c r="BF91" s="189"/>
      <c r="BG91" s="186"/>
      <c r="BH91" s="187"/>
      <c r="BI91" s="188"/>
      <c r="BJ91" s="189"/>
      <c r="BK91" s="186"/>
      <c r="BL91" s="187"/>
      <c r="BM91" s="188"/>
      <c r="BN91" s="189"/>
      <c r="BO91" s="186"/>
      <c r="BP91" s="187"/>
      <c r="BQ91" s="188"/>
      <c r="BR91" s="189"/>
      <c r="BS91" s="186"/>
      <c r="BT91" s="187"/>
      <c r="BU91" s="188"/>
      <c r="BV91" s="189"/>
      <c r="BW91" s="186"/>
      <c r="BX91" s="187"/>
      <c r="BY91" s="188"/>
      <c r="BZ91" s="189"/>
      <c r="CA91" s="186"/>
      <c r="CB91" s="190"/>
      <c r="CC91" s="190"/>
      <c r="CD91" s="82">
        <f t="shared" si="235"/>
        <v>0</v>
      </c>
      <c r="CE91" s="82">
        <f t="shared" si="236"/>
        <v>0</v>
      </c>
      <c r="CF91" s="82">
        <f t="shared" si="237"/>
        <v>0</v>
      </c>
      <c r="CG91" s="82">
        <f t="shared" si="238"/>
        <v>0</v>
      </c>
      <c r="CH91" s="82">
        <f t="shared" si="239"/>
        <v>0</v>
      </c>
      <c r="CI91" s="82">
        <f t="shared" si="240"/>
        <v>0</v>
      </c>
      <c r="CJ91" s="82">
        <f t="shared" si="241"/>
        <v>0</v>
      </c>
      <c r="CK91" s="82">
        <f t="shared" si="242"/>
        <v>0</v>
      </c>
      <c r="CL91" s="82">
        <f t="shared" si="243"/>
        <v>0</v>
      </c>
      <c r="CM91" s="82">
        <f t="shared" si="244"/>
        <v>0</v>
      </c>
      <c r="CN91" s="82">
        <f t="shared" si="245"/>
        <v>0</v>
      </c>
      <c r="CO91" s="82">
        <f t="shared" si="246"/>
        <v>0</v>
      </c>
      <c r="CP91" s="82">
        <f t="shared" si="247"/>
        <v>0</v>
      </c>
      <c r="CQ91" s="82">
        <f t="shared" si="248"/>
        <v>0</v>
      </c>
      <c r="CR91" s="82">
        <f t="shared" si="249"/>
        <v>0</v>
      </c>
      <c r="CS91" s="82">
        <f t="shared" si="250"/>
        <v>0</v>
      </c>
      <c r="CT91" s="82">
        <f t="shared" si="251"/>
        <v>0</v>
      </c>
      <c r="CU91" s="82">
        <f t="shared" si="252"/>
        <v>0</v>
      </c>
      <c r="CV91" s="82">
        <f t="shared" si="253"/>
        <v>0</v>
      </c>
      <c r="CW91" s="82">
        <f t="shared" si="254"/>
        <v>0</v>
      </c>
      <c r="CX91" s="82">
        <f t="shared" si="255"/>
        <v>0</v>
      </c>
      <c r="CY91" s="82">
        <f t="shared" si="256"/>
        <v>0</v>
      </c>
      <c r="CZ91" s="82">
        <f t="shared" si="257"/>
        <v>0</v>
      </c>
      <c r="DA91" s="82">
        <f t="shared" si="258"/>
        <v>0</v>
      </c>
      <c r="DB91" s="82">
        <f t="shared" si="259"/>
        <v>0</v>
      </c>
      <c r="DC91" s="82">
        <f t="shared" si="260"/>
        <v>0</v>
      </c>
      <c r="DD91" s="82">
        <f t="shared" si="261"/>
        <v>0</v>
      </c>
      <c r="DE91" s="82">
        <f t="shared" si="262"/>
        <v>0</v>
      </c>
      <c r="DF91" s="82">
        <f t="shared" si="263"/>
        <v>0</v>
      </c>
      <c r="DG91" s="82">
        <f t="shared" si="264"/>
        <v>0</v>
      </c>
      <c r="DH91" s="82">
        <f t="shared" si="265"/>
        <v>0</v>
      </c>
      <c r="DI91" s="82">
        <f t="shared" si="266"/>
        <v>0</v>
      </c>
      <c r="DJ91" s="82">
        <f t="shared" si="267"/>
        <v>0</v>
      </c>
      <c r="DK91" s="82">
        <f t="shared" si="268"/>
        <v>0</v>
      </c>
      <c r="DL91" s="82">
        <f t="shared" si="269"/>
        <v>0</v>
      </c>
      <c r="DM91" s="82">
        <f t="shared" si="270"/>
        <v>0</v>
      </c>
      <c r="DN91" s="82">
        <f t="shared" si="271"/>
        <v>0</v>
      </c>
      <c r="DO91" s="82">
        <f t="shared" si="272"/>
        <v>0</v>
      </c>
      <c r="DP91" s="82">
        <f t="shared" si="273"/>
        <v>0</v>
      </c>
      <c r="DQ91" s="82">
        <f t="shared" si="274"/>
        <v>0</v>
      </c>
      <c r="DR91" s="82">
        <f t="shared" si="275"/>
        <v>0</v>
      </c>
      <c r="DS91" s="82">
        <f t="shared" si="276"/>
        <v>0</v>
      </c>
      <c r="DT91" s="82">
        <f t="shared" si="277"/>
        <v>0</v>
      </c>
      <c r="DU91" s="82">
        <f t="shared" si="278"/>
        <v>0</v>
      </c>
      <c r="DV91" s="82">
        <f t="shared" si="279"/>
        <v>0</v>
      </c>
      <c r="DW91" s="82">
        <f t="shared" si="280"/>
        <v>0</v>
      </c>
      <c r="DX91" s="82">
        <f t="shared" si="281"/>
        <v>0</v>
      </c>
      <c r="DY91" s="82">
        <f t="shared" si="282"/>
        <v>0</v>
      </c>
      <c r="DZ91" s="82">
        <f t="shared" si="283"/>
        <v>0</v>
      </c>
      <c r="EA91" s="82">
        <f t="shared" si="284"/>
        <v>0</v>
      </c>
      <c r="EB91" s="82">
        <f t="shared" si="285"/>
        <v>0</v>
      </c>
      <c r="EC91" s="82">
        <f t="shared" si="286"/>
        <v>0</v>
      </c>
      <c r="ED91" s="82">
        <f t="shared" si="287"/>
        <v>0</v>
      </c>
      <c r="EE91" s="82">
        <f t="shared" si="288"/>
        <v>0</v>
      </c>
      <c r="EF91" s="82">
        <f t="shared" si="289"/>
        <v>0</v>
      </c>
      <c r="EG91" s="82">
        <f t="shared" si="290"/>
        <v>0</v>
      </c>
      <c r="EH91" s="82">
        <f t="shared" si="291"/>
        <v>0</v>
      </c>
      <c r="EI91" s="82">
        <f t="shared" si="292"/>
        <v>0</v>
      </c>
      <c r="EJ91" s="82">
        <f t="shared" si="293"/>
        <v>0</v>
      </c>
      <c r="EK91" s="82">
        <f t="shared" si="294"/>
        <v>0</v>
      </c>
      <c r="EL91" s="82">
        <f t="shared" si="295"/>
        <v>0</v>
      </c>
      <c r="EM91" s="82">
        <f t="shared" si="296"/>
        <v>0</v>
      </c>
      <c r="EN91" s="82">
        <f t="shared" si="297"/>
        <v>0</v>
      </c>
      <c r="EO91" s="82">
        <f t="shared" si="298"/>
        <v>0</v>
      </c>
      <c r="EP91" s="82">
        <f t="shared" si="299"/>
        <v>0</v>
      </c>
      <c r="EQ91" s="82">
        <f t="shared" si="300"/>
        <v>0</v>
      </c>
      <c r="ER91" s="82">
        <f t="shared" si="301"/>
        <v>0</v>
      </c>
      <c r="ES91" s="82">
        <f t="shared" si="302"/>
        <v>0</v>
      </c>
      <c r="ET91" s="82">
        <f t="shared" si="303"/>
        <v>0</v>
      </c>
      <c r="EU91" s="82">
        <f t="shared" si="304"/>
        <v>0</v>
      </c>
      <c r="EV91" s="82">
        <f t="shared" si="305"/>
        <v>0</v>
      </c>
      <c r="EW91" s="82">
        <f t="shared" si="306"/>
        <v>0</v>
      </c>
      <c r="EX91" s="82">
        <f t="shared" si="307"/>
        <v>0</v>
      </c>
      <c r="EY91" s="111">
        <f t="shared" si="308"/>
        <v>0</v>
      </c>
      <c r="EZ91" s="143">
        <f t="shared" ca="1" si="309"/>
        <v>0</v>
      </c>
      <c r="FA91" s="112">
        <f t="shared" ca="1" si="310"/>
        <v>0</v>
      </c>
      <c r="FB91" s="113">
        <f t="shared" ca="1" si="311"/>
        <v>0</v>
      </c>
      <c r="FC91" s="114">
        <f t="shared" ca="1" si="312"/>
        <v>0</v>
      </c>
      <c r="FD91" s="115">
        <f t="shared" ca="1" si="313"/>
        <v>0</v>
      </c>
      <c r="FE91" s="116">
        <f t="shared" ca="1" si="314"/>
        <v>0</v>
      </c>
      <c r="FF91" s="117">
        <f t="shared" ca="1" si="315"/>
        <v>0</v>
      </c>
      <c r="FG91" s="71">
        <f t="shared" si="316"/>
        <v>0</v>
      </c>
      <c r="FH91" s="530">
        <f t="shared" ca="1" si="317"/>
        <v>0</v>
      </c>
      <c r="FI91" s="72"/>
      <c r="FJ91" s="72"/>
      <c r="FK91" s="72"/>
      <c r="FM91" s="421" t="str">
        <f t="shared" si="318"/>
        <v>R01-704_StrsRaccBbrd</v>
      </c>
      <c r="FN91" s="422" t="str">
        <f t="shared" ca="1" si="319"/>
        <v>Stairwell</v>
      </c>
      <c r="FO91" s="423">
        <f t="shared" ca="1" si="323"/>
        <v>0</v>
      </c>
      <c r="FP91" s="423">
        <f t="shared" ca="1" si="323"/>
        <v>0</v>
      </c>
      <c r="FQ91" s="423">
        <f t="shared" ca="1" si="323"/>
        <v>0</v>
      </c>
      <c r="FR91" s="423">
        <f t="shared" ca="1" si="323"/>
        <v>0</v>
      </c>
      <c r="FS91" s="423">
        <f t="shared" ca="1" si="323"/>
        <v>0</v>
      </c>
      <c r="FT91" s="423">
        <f t="shared" ca="1" si="323"/>
        <v>0</v>
      </c>
      <c r="FU91" s="423">
        <f t="shared" ca="1" si="323"/>
        <v>0</v>
      </c>
      <c r="FV91" s="423">
        <f t="shared" ca="1" si="323"/>
        <v>0</v>
      </c>
      <c r="FW91" s="423">
        <f t="shared" ca="1" si="323"/>
        <v>0</v>
      </c>
      <c r="FX91" s="423">
        <f t="shared" ca="1" si="323"/>
        <v>0</v>
      </c>
      <c r="FY91" s="423">
        <f t="shared" ca="1" si="323"/>
        <v>0</v>
      </c>
      <c r="FZ91" s="423">
        <f t="shared" ca="1" si="323"/>
        <v>0</v>
      </c>
      <c r="GA91" s="423">
        <f t="shared" ca="1" si="323"/>
        <v>0</v>
      </c>
      <c r="GB91" s="423">
        <f t="shared" ca="1" si="323"/>
        <v>0</v>
      </c>
      <c r="GC91" s="423">
        <f t="shared" ca="1" si="323"/>
        <v>0</v>
      </c>
      <c r="GD91" s="423">
        <f t="shared" ca="1" si="320"/>
        <v>0</v>
      </c>
      <c r="GE91" s="423">
        <f t="shared" ca="1" si="320"/>
        <v>0</v>
      </c>
      <c r="GF91" s="423">
        <f t="shared" ca="1" si="320"/>
        <v>0</v>
      </c>
      <c r="GG91" s="423">
        <f t="shared" ca="1" si="320"/>
        <v>0</v>
      </c>
      <c r="GH91" s="423">
        <f t="shared" ca="1" si="320"/>
        <v>0</v>
      </c>
      <c r="GI91" s="423">
        <f t="shared" ca="1" si="320"/>
        <v>0</v>
      </c>
      <c r="GJ91" s="423">
        <f t="shared" ca="1" si="320"/>
        <v>0</v>
      </c>
      <c r="GK91" s="423">
        <f t="shared" ca="1" si="320"/>
        <v>0</v>
      </c>
      <c r="GL91" s="423">
        <f t="shared" ca="1" si="320"/>
        <v>0</v>
      </c>
      <c r="GM91" s="423">
        <f t="shared" ca="1" si="320"/>
        <v>0</v>
      </c>
      <c r="GN91" s="423">
        <f t="shared" ca="1" si="320"/>
        <v>0</v>
      </c>
      <c r="GO91" s="423">
        <f t="shared" ca="1" si="320"/>
        <v>0</v>
      </c>
      <c r="GP91" s="423">
        <f t="shared" ca="1" si="320"/>
        <v>0</v>
      </c>
      <c r="GQ91" s="423">
        <f t="shared" ca="1" si="320"/>
        <v>0</v>
      </c>
      <c r="GR91" s="423">
        <f t="shared" ca="1" si="320"/>
        <v>0</v>
      </c>
      <c r="GS91" s="423">
        <f t="shared" ref="GS91:HH106" ca="1" si="325">IFERROR(ROUNDDOWN(SUMIF($H91:$CC91,GS$11,$CD91:$EX91)/GS$10,0),0)</f>
        <v>0</v>
      </c>
      <c r="GT91" s="423">
        <f t="shared" ca="1" si="321"/>
        <v>0</v>
      </c>
      <c r="GU91" s="423">
        <f t="shared" ca="1" si="321"/>
        <v>0</v>
      </c>
      <c r="GV91" s="423">
        <f t="shared" ca="1" si="321"/>
        <v>0</v>
      </c>
      <c r="GW91" s="423">
        <f t="shared" ca="1" si="321"/>
        <v>0</v>
      </c>
      <c r="GX91" s="423">
        <f t="shared" ca="1" si="321"/>
        <v>0</v>
      </c>
      <c r="GY91" s="423">
        <f t="shared" ca="1" si="321"/>
        <v>0</v>
      </c>
      <c r="GZ91" s="423">
        <f t="shared" ca="1" si="321"/>
        <v>0</v>
      </c>
      <c r="HA91" s="423">
        <f t="shared" ca="1" si="321"/>
        <v>0</v>
      </c>
      <c r="HB91" s="423">
        <f t="shared" ca="1" si="321"/>
        <v>0</v>
      </c>
      <c r="HC91" s="423">
        <f t="shared" ca="1" si="321"/>
        <v>0</v>
      </c>
      <c r="HD91" s="423">
        <f t="shared" ca="1" si="321"/>
        <v>0</v>
      </c>
      <c r="HE91" s="423">
        <f t="shared" ca="1" si="321"/>
        <v>0</v>
      </c>
      <c r="HF91" s="423">
        <f t="shared" ca="1" si="321"/>
        <v>0</v>
      </c>
      <c r="HG91" s="423">
        <f t="shared" ca="1" si="321"/>
        <v>0</v>
      </c>
      <c r="HH91" s="423">
        <f t="shared" ca="1" si="321"/>
        <v>0</v>
      </c>
      <c r="HI91" s="423">
        <f t="shared" ca="1" si="321"/>
        <v>0</v>
      </c>
      <c r="HJ91" s="423">
        <f t="shared" ca="1" si="324"/>
        <v>0</v>
      </c>
      <c r="HK91" s="423">
        <f t="shared" ca="1" si="324"/>
        <v>0</v>
      </c>
      <c r="HL91" s="423">
        <f t="shared" ca="1" si="324"/>
        <v>0</v>
      </c>
      <c r="HM91" s="423">
        <f t="shared" ca="1" si="324"/>
        <v>0</v>
      </c>
      <c r="HN91" s="423">
        <f t="shared" ca="1" si="324"/>
        <v>0</v>
      </c>
      <c r="HO91" s="423">
        <f t="shared" ca="1" si="324"/>
        <v>0</v>
      </c>
      <c r="HP91" s="423">
        <f t="shared" ca="1" si="324"/>
        <v>0</v>
      </c>
      <c r="HQ91" s="423">
        <f t="shared" ca="1" si="324"/>
        <v>0</v>
      </c>
      <c r="HR91" s="423">
        <f t="shared" ca="1" si="324"/>
        <v>0</v>
      </c>
      <c r="HS91" s="423">
        <f t="shared" ca="1" si="324"/>
        <v>0</v>
      </c>
      <c r="HT91" s="423">
        <f t="shared" ca="1" si="324"/>
        <v>0</v>
      </c>
    </row>
    <row r="92" spans="1:230" ht="11.25" customHeight="1" x14ac:dyDescent="0.2">
      <c r="A92" s="62">
        <f t="shared" si="322"/>
        <v>81</v>
      </c>
      <c r="B92" s="60" t="str">
        <f>Spaces_Sum!C137</f>
        <v>R01-705_ElevRaccIncd</v>
      </c>
      <c r="C92" s="62" t="str">
        <f>Spaces_Sum!D137</f>
        <v>R01</v>
      </c>
      <c r="D92" s="62" t="str">
        <f ca="1">Spaces_Sum!I137</f>
        <v>IndirectlyConditioned</v>
      </c>
      <c r="F92" s="110">
        <f ca="1">Spaces_Sum!M137</f>
        <v>211.21340000000001</v>
      </c>
      <c r="G92" s="110" t="str">
        <f ca="1">Spaces_Sum!J137</f>
        <v>Unoccupied-Include in Gross Floor Area</v>
      </c>
      <c r="H92" s="532"/>
      <c r="I92" s="185"/>
      <c r="J92" s="185"/>
      <c r="K92" s="186"/>
      <c r="L92" s="187"/>
      <c r="M92" s="188"/>
      <c r="N92" s="189"/>
      <c r="O92" s="186"/>
      <c r="P92" s="187"/>
      <c r="Q92" s="188"/>
      <c r="R92" s="189"/>
      <c r="S92" s="186"/>
      <c r="T92" s="187"/>
      <c r="U92" s="188"/>
      <c r="V92" s="189"/>
      <c r="W92" s="186"/>
      <c r="X92" s="187"/>
      <c r="Y92" s="188"/>
      <c r="Z92" s="189"/>
      <c r="AA92" s="186"/>
      <c r="AB92" s="187"/>
      <c r="AC92" s="188"/>
      <c r="AD92" s="189"/>
      <c r="AE92" s="186"/>
      <c r="AF92" s="187"/>
      <c r="AG92" s="188"/>
      <c r="AH92" s="189"/>
      <c r="AI92" s="186"/>
      <c r="AJ92" s="187"/>
      <c r="AK92" s="188"/>
      <c r="AL92" s="189"/>
      <c r="AM92" s="186"/>
      <c r="AN92" s="187"/>
      <c r="AO92" s="188"/>
      <c r="AP92" s="189"/>
      <c r="AQ92" s="186"/>
      <c r="AR92" s="187"/>
      <c r="AS92" s="188"/>
      <c r="AT92" s="189"/>
      <c r="AU92" s="186"/>
      <c r="AV92" s="187"/>
      <c r="AW92" s="188"/>
      <c r="AX92" s="189"/>
      <c r="AY92" s="186"/>
      <c r="AZ92" s="187"/>
      <c r="BA92" s="188"/>
      <c r="BB92" s="189"/>
      <c r="BC92" s="186"/>
      <c r="BD92" s="187"/>
      <c r="BE92" s="188"/>
      <c r="BF92" s="189"/>
      <c r="BG92" s="186"/>
      <c r="BH92" s="187"/>
      <c r="BI92" s="188"/>
      <c r="BJ92" s="189"/>
      <c r="BK92" s="186"/>
      <c r="BL92" s="187"/>
      <c r="BM92" s="188"/>
      <c r="BN92" s="189"/>
      <c r="BO92" s="186"/>
      <c r="BP92" s="187"/>
      <c r="BQ92" s="188"/>
      <c r="BR92" s="189"/>
      <c r="BS92" s="186"/>
      <c r="BT92" s="187"/>
      <c r="BU92" s="188"/>
      <c r="BV92" s="189"/>
      <c r="BW92" s="186"/>
      <c r="BX92" s="187"/>
      <c r="BY92" s="188"/>
      <c r="BZ92" s="189"/>
      <c r="CA92" s="186"/>
      <c r="CB92" s="190"/>
      <c r="CC92" s="190"/>
      <c r="CD92" s="82">
        <f t="shared" si="235"/>
        <v>0</v>
      </c>
      <c r="CE92" s="82">
        <f t="shared" si="236"/>
        <v>0</v>
      </c>
      <c r="CF92" s="82">
        <f t="shared" si="237"/>
        <v>0</v>
      </c>
      <c r="CG92" s="82">
        <f t="shared" si="238"/>
        <v>0</v>
      </c>
      <c r="CH92" s="82">
        <f t="shared" si="239"/>
        <v>0</v>
      </c>
      <c r="CI92" s="82">
        <f t="shared" si="240"/>
        <v>0</v>
      </c>
      <c r="CJ92" s="82">
        <f t="shared" si="241"/>
        <v>0</v>
      </c>
      <c r="CK92" s="82">
        <f t="shared" si="242"/>
        <v>0</v>
      </c>
      <c r="CL92" s="82">
        <f t="shared" si="243"/>
        <v>0</v>
      </c>
      <c r="CM92" s="82">
        <f t="shared" si="244"/>
        <v>0</v>
      </c>
      <c r="CN92" s="82">
        <f t="shared" si="245"/>
        <v>0</v>
      </c>
      <c r="CO92" s="82">
        <f t="shared" si="246"/>
        <v>0</v>
      </c>
      <c r="CP92" s="82">
        <f t="shared" si="247"/>
        <v>0</v>
      </c>
      <c r="CQ92" s="82">
        <f t="shared" si="248"/>
        <v>0</v>
      </c>
      <c r="CR92" s="82">
        <f t="shared" si="249"/>
        <v>0</v>
      </c>
      <c r="CS92" s="82">
        <f t="shared" si="250"/>
        <v>0</v>
      </c>
      <c r="CT92" s="82">
        <f t="shared" si="251"/>
        <v>0</v>
      </c>
      <c r="CU92" s="82">
        <f t="shared" si="252"/>
        <v>0</v>
      </c>
      <c r="CV92" s="82">
        <f t="shared" si="253"/>
        <v>0</v>
      </c>
      <c r="CW92" s="82">
        <f t="shared" si="254"/>
        <v>0</v>
      </c>
      <c r="CX92" s="82">
        <f t="shared" si="255"/>
        <v>0</v>
      </c>
      <c r="CY92" s="82">
        <f t="shared" si="256"/>
        <v>0</v>
      </c>
      <c r="CZ92" s="82">
        <f t="shared" si="257"/>
        <v>0</v>
      </c>
      <c r="DA92" s="82">
        <f t="shared" si="258"/>
        <v>0</v>
      </c>
      <c r="DB92" s="82">
        <f t="shared" si="259"/>
        <v>0</v>
      </c>
      <c r="DC92" s="82">
        <f t="shared" si="260"/>
        <v>0</v>
      </c>
      <c r="DD92" s="82">
        <f t="shared" si="261"/>
        <v>0</v>
      </c>
      <c r="DE92" s="82">
        <f t="shared" si="262"/>
        <v>0</v>
      </c>
      <c r="DF92" s="82">
        <f t="shared" si="263"/>
        <v>0</v>
      </c>
      <c r="DG92" s="82">
        <f t="shared" si="264"/>
        <v>0</v>
      </c>
      <c r="DH92" s="82">
        <f t="shared" si="265"/>
        <v>0</v>
      </c>
      <c r="DI92" s="82">
        <f t="shared" si="266"/>
        <v>0</v>
      </c>
      <c r="DJ92" s="82">
        <f t="shared" si="267"/>
        <v>0</v>
      </c>
      <c r="DK92" s="82">
        <f t="shared" si="268"/>
        <v>0</v>
      </c>
      <c r="DL92" s="82">
        <f t="shared" si="269"/>
        <v>0</v>
      </c>
      <c r="DM92" s="82">
        <f t="shared" si="270"/>
        <v>0</v>
      </c>
      <c r="DN92" s="82">
        <f t="shared" si="271"/>
        <v>0</v>
      </c>
      <c r="DO92" s="82">
        <f t="shared" si="272"/>
        <v>0</v>
      </c>
      <c r="DP92" s="82">
        <f t="shared" si="273"/>
        <v>0</v>
      </c>
      <c r="DQ92" s="82">
        <f t="shared" si="274"/>
        <v>0</v>
      </c>
      <c r="DR92" s="82">
        <f t="shared" si="275"/>
        <v>0</v>
      </c>
      <c r="DS92" s="82">
        <f t="shared" si="276"/>
        <v>0</v>
      </c>
      <c r="DT92" s="82">
        <f t="shared" si="277"/>
        <v>0</v>
      </c>
      <c r="DU92" s="82">
        <f t="shared" si="278"/>
        <v>0</v>
      </c>
      <c r="DV92" s="82">
        <f t="shared" si="279"/>
        <v>0</v>
      </c>
      <c r="DW92" s="82">
        <f t="shared" si="280"/>
        <v>0</v>
      </c>
      <c r="DX92" s="82">
        <f t="shared" si="281"/>
        <v>0</v>
      </c>
      <c r="DY92" s="82">
        <f t="shared" si="282"/>
        <v>0</v>
      </c>
      <c r="DZ92" s="82">
        <f t="shared" si="283"/>
        <v>0</v>
      </c>
      <c r="EA92" s="82">
        <f t="shared" si="284"/>
        <v>0</v>
      </c>
      <c r="EB92" s="82">
        <f t="shared" si="285"/>
        <v>0</v>
      </c>
      <c r="EC92" s="82">
        <f t="shared" si="286"/>
        <v>0</v>
      </c>
      <c r="ED92" s="82">
        <f t="shared" si="287"/>
        <v>0</v>
      </c>
      <c r="EE92" s="82">
        <f t="shared" si="288"/>
        <v>0</v>
      </c>
      <c r="EF92" s="82">
        <f t="shared" si="289"/>
        <v>0</v>
      </c>
      <c r="EG92" s="82">
        <f t="shared" si="290"/>
        <v>0</v>
      </c>
      <c r="EH92" s="82">
        <f t="shared" si="291"/>
        <v>0</v>
      </c>
      <c r="EI92" s="82">
        <f t="shared" si="292"/>
        <v>0</v>
      </c>
      <c r="EJ92" s="82">
        <f t="shared" si="293"/>
        <v>0</v>
      </c>
      <c r="EK92" s="82">
        <f t="shared" si="294"/>
        <v>0</v>
      </c>
      <c r="EL92" s="82">
        <f t="shared" si="295"/>
        <v>0</v>
      </c>
      <c r="EM92" s="82">
        <f t="shared" si="296"/>
        <v>0</v>
      </c>
      <c r="EN92" s="82">
        <f t="shared" si="297"/>
        <v>0</v>
      </c>
      <c r="EO92" s="82">
        <f t="shared" si="298"/>
        <v>0</v>
      </c>
      <c r="EP92" s="82">
        <f t="shared" si="299"/>
        <v>0</v>
      </c>
      <c r="EQ92" s="82">
        <f t="shared" si="300"/>
        <v>0</v>
      </c>
      <c r="ER92" s="82">
        <f t="shared" si="301"/>
        <v>0</v>
      </c>
      <c r="ES92" s="82">
        <f t="shared" si="302"/>
        <v>0</v>
      </c>
      <c r="ET92" s="82">
        <f t="shared" si="303"/>
        <v>0</v>
      </c>
      <c r="EU92" s="82">
        <f t="shared" si="304"/>
        <v>0</v>
      </c>
      <c r="EV92" s="82">
        <f t="shared" si="305"/>
        <v>0</v>
      </c>
      <c r="EW92" s="82">
        <f t="shared" si="306"/>
        <v>0</v>
      </c>
      <c r="EX92" s="82">
        <f t="shared" si="307"/>
        <v>0</v>
      </c>
      <c r="EY92" s="111">
        <f t="shared" si="308"/>
        <v>0</v>
      </c>
      <c r="EZ92" s="143">
        <f t="shared" ca="1" si="309"/>
        <v>0</v>
      </c>
      <c r="FA92" s="112">
        <f t="shared" ca="1" si="310"/>
        <v>0</v>
      </c>
      <c r="FB92" s="113">
        <f t="shared" ca="1" si="311"/>
        <v>0</v>
      </c>
      <c r="FC92" s="114">
        <f t="shared" ca="1" si="312"/>
        <v>0</v>
      </c>
      <c r="FD92" s="115">
        <f t="shared" ca="1" si="313"/>
        <v>0</v>
      </c>
      <c r="FE92" s="116">
        <f t="shared" ca="1" si="314"/>
        <v>0</v>
      </c>
      <c r="FF92" s="117">
        <f t="shared" ca="1" si="315"/>
        <v>0</v>
      </c>
      <c r="FG92" s="71">
        <f t="shared" si="316"/>
        <v>0</v>
      </c>
      <c r="FH92" s="530">
        <f t="shared" ca="1" si="317"/>
        <v>0</v>
      </c>
      <c r="FI92" s="72">
        <f ca="1">0.75*FB92</f>
        <v>0</v>
      </c>
      <c r="FJ92" s="72">
        <f ca="1">FA92</f>
        <v>0</v>
      </c>
      <c r="FK92" s="72">
        <f ca="1">SUM(FI92:FJ92)</f>
        <v>0</v>
      </c>
      <c r="FM92" s="421" t="str">
        <f t="shared" si="318"/>
        <v>R01-705_ElevRaccIncd</v>
      </c>
      <c r="FN92" s="422" t="str">
        <f t="shared" ca="1" si="319"/>
        <v>Unoccupied-Include in Gross Floor Area</v>
      </c>
      <c r="FO92" s="423">
        <f t="shared" ca="1" si="323"/>
        <v>0</v>
      </c>
      <c r="FP92" s="423">
        <f t="shared" ca="1" si="323"/>
        <v>0</v>
      </c>
      <c r="FQ92" s="423">
        <f t="shared" ca="1" si="323"/>
        <v>0</v>
      </c>
      <c r="FR92" s="423">
        <f t="shared" ca="1" si="323"/>
        <v>0</v>
      </c>
      <c r="FS92" s="423">
        <f t="shared" ca="1" si="323"/>
        <v>0</v>
      </c>
      <c r="FT92" s="423">
        <f t="shared" ca="1" si="323"/>
        <v>0</v>
      </c>
      <c r="FU92" s="423">
        <f t="shared" ca="1" si="323"/>
        <v>0</v>
      </c>
      <c r="FV92" s="423">
        <f t="shared" ca="1" si="323"/>
        <v>0</v>
      </c>
      <c r="FW92" s="423">
        <f t="shared" ca="1" si="323"/>
        <v>0</v>
      </c>
      <c r="FX92" s="423">
        <f t="shared" ca="1" si="323"/>
        <v>0</v>
      </c>
      <c r="FY92" s="423">
        <f t="shared" ca="1" si="323"/>
        <v>0</v>
      </c>
      <c r="FZ92" s="423">
        <f t="shared" ca="1" si="323"/>
        <v>0</v>
      </c>
      <c r="GA92" s="423">
        <f t="shared" ca="1" si="323"/>
        <v>0</v>
      </c>
      <c r="GB92" s="423">
        <f t="shared" ca="1" si="323"/>
        <v>0</v>
      </c>
      <c r="GC92" s="423">
        <f t="shared" ca="1" si="323"/>
        <v>0</v>
      </c>
      <c r="GD92" s="423">
        <f t="shared" ca="1" si="323"/>
        <v>0</v>
      </c>
      <c r="GE92" s="423">
        <f t="shared" ref="GE92:GT107" ca="1" si="326">IFERROR(ROUNDDOWN(SUMIF($H92:$CC92,GE$11,$CD92:$EX92)/GE$10,0),0)</f>
        <v>0</v>
      </c>
      <c r="GF92" s="423">
        <f t="shared" ca="1" si="326"/>
        <v>0</v>
      </c>
      <c r="GG92" s="423">
        <f t="shared" ca="1" si="326"/>
        <v>0</v>
      </c>
      <c r="GH92" s="423">
        <f t="shared" ca="1" si="326"/>
        <v>0</v>
      </c>
      <c r="GI92" s="423">
        <f t="shared" ca="1" si="326"/>
        <v>0</v>
      </c>
      <c r="GJ92" s="423">
        <f t="shared" ca="1" si="326"/>
        <v>0</v>
      </c>
      <c r="GK92" s="423">
        <f t="shared" ca="1" si="326"/>
        <v>0</v>
      </c>
      <c r="GL92" s="423">
        <f t="shared" ca="1" si="326"/>
        <v>0</v>
      </c>
      <c r="GM92" s="423">
        <f t="shared" ca="1" si="326"/>
        <v>0</v>
      </c>
      <c r="GN92" s="423">
        <f t="shared" ca="1" si="326"/>
        <v>0</v>
      </c>
      <c r="GO92" s="423">
        <f t="shared" ca="1" si="326"/>
        <v>0</v>
      </c>
      <c r="GP92" s="423">
        <f t="shared" ca="1" si="326"/>
        <v>0</v>
      </c>
      <c r="GQ92" s="423">
        <f t="shared" ca="1" si="326"/>
        <v>0</v>
      </c>
      <c r="GR92" s="423">
        <f t="shared" ca="1" si="326"/>
        <v>0</v>
      </c>
      <c r="GS92" s="423">
        <f t="shared" ca="1" si="325"/>
        <v>0</v>
      </c>
      <c r="GT92" s="423">
        <f t="shared" ca="1" si="325"/>
        <v>0</v>
      </c>
      <c r="GU92" s="423">
        <f t="shared" ca="1" si="325"/>
        <v>0</v>
      </c>
      <c r="GV92" s="423">
        <f t="shared" ca="1" si="325"/>
        <v>0</v>
      </c>
      <c r="GW92" s="423">
        <f t="shared" ca="1" si="325"/>
        <v>0</v>
      </c>
      <c r="GX92" s="423">
        <f t="shared" ca="1" si="325"/>
        <v>0</v>
      </c>
      <c r="GY92" s="423">
        <f t="shared" ca="1" si="325"/>
        <v>0</v>
      </c>
      <c r="GZ92" s="423">
        <f t="shared" ca="1" si="325"/>
        <v>0</v>
      </c>
      <c r="HA92" s="423">
        <f t="shared" ca="1" si="325"/>
        <v>0</v>
      </c>
      <c r="HB92" s="423">
        <f t="shared" ca="1" si="325"/>
        <v>0</v>
      </c>
      <c r="HC92" s="423">
        <f t="shared" ca="1" si="325"/>
        <v>0</v>
      </c>
      <c r="HD92" s="423">
        <f t="shared" ca="1" si="325"/>
        <v>0</v>
      </c>
      <c r="HE92" s="423">
        <f t="shared" ca="1" si="325"/>
        <v>0</v>
      </c>
      <c r="HF92" s="423">
        <f t="shared" ca="1" si="325"/>
        <v>0</v>
      </c>
      <c r="HG92" s="423">
        <f t="shared" ca="1" si="325"/>
        <v>0</v>
      </c>
      <c r="HH92" s="423">
        <f t="shared" ca="1" si="325"/>
        <v>0</v>
      </c>
      <c r="HI92" s="423">
        <f t="shared" ref="HI92:HT107" ca="1" si="327">IFERROR(ROUNDDOWN(SUMIF($H92:$CC92,HI$11,$CD92:$EX92)/HI$10,0),0)</f>
        <v>0</v>
      </c>
      <c r="HJ92" s="423">
        <f t="shared" ca="1" si="324"/>
        <v>0</v>
      </c>
      <c r="HK92" s="423">
        <f t="shared" ca="1" si="324"/>
        <v>0</v>
      </c>
      <c r="HL92" s="423">
        <f t="shared" ca="1" si="324"/>
        <v>0</v>
      </c>
      <c r="HM92" s="423">
        <f t="shared" ca="1" si="324"/>
        <v>0</v>
      </c>
      <c r="HN92" s="423">
        <f t="shared" ca="1" si="324"/>
        <v>0</v>
      </c>
      <c r="HO92" s="423">
        <f t="shared" ca="1" si="324"/>
        <v>0</v>
      </c>
      <c r="HP92" s="423">
        <f t="shared" ca="1" si="324"/>
        <v>0</v>
      </c>
      <c r="HQ92" s="423">
        <f t="shared" ca="1" si="324"/>
        <v>0</v>
      </c>
      <c r="HR92" s="423">
        <f t="shared" ca="1" si="324"/>
        <v>0</v>
      </c>
      <c r="HS92" s="423">
        <f t="shared" ca="1" si="324"/>
        <v>0</v>
      </c>
      <c r="HT92" s="423">
        <f t="shared" ca="1" si="324"/>
        <v>0</v>
      </c>
    </row>
    <row r="93" spans="1:230" ht="11.25" customHeight="1" x14ac:dyDescent="0.2">
      <c r="A93" s="62">
        <f t="shared" si="322"/>
        <v>82</v>
      </c>
      <c r="B93" s="60" t="str">
        <f>Spaces_Sum!C138</f>
        <v>R01-706_MechRaccPtac</v>
      </c>
      <c r="C93" s="62" t="str">
        <f>Spaces_Sum!D138</f>
        <v>R01</v>
      </c>
      <c r="D93" s="62" t="str">
        <f ca="1">Spaces_Sum!I138</f>
        <v>DirectlyConditioned</v>
      </c>
      <c r="F93" s="110">
        <f ca="1">Spaces_Sum!M138</f>
        <v>272.42880000000002</v>
      </c>
      <c r="G93" s="110" t="str">
        <f ca="1">Spaces_Sum!J138</f>
        <v>Electrical/MechanicaI Room</v>
      </c>
      <c r="H93" s="639"/>
      <c r="I93" s="640"/>
      <c r="J93" s="640"/>
      <c r="K93" s="641"/>
      <c r="L93" s="642"/>
      <c r="M93" s="643"/>
      <c r="N93" s="644"/>
      <c r="O93" s="641"/>
      <c r="P93" s="642"/>
      <c r="Q93" s="643"/>
      <c r="R93" s="644"/>
      <c r="S93" s="641"/>
      <c r="T93" s="642"/>
      <c r="U93" s="643"/>
      <c r="V93" s="636"/>
      <c r="W93" s="635"/>
      <c r="X93" s="642"/>
      <c r="Y93" s="643"/>
      <c r="Z93" s="636"/>
      <c r="AA93" s="635"/>
      <c r="AB93" s="633"/>
      <c r="AC93" s="634"/>
      <c r="AD93" s="636"/>
      <c r="AE93" s="635"/>
      <c r="AF93" s="633"/>
      <c r="AG93" s="634"/>
      <c r="AH93" s="636"/>
      <c r="AI93" s="635"/>
      <c r="AJ93" s="633"/>
      <c r="AK93" s="634"/>
      <c r="AL93" s="636"/>
      <c r="AM93" s="635"/>
      <c r="AN93" s="633"/>
      <c r="AO93" s="634"/>
      <c r="AP93" s="636"/>
      <c r="AQ93" s="635"/>
      <c r="AR93" s="633"/>
      <c r="AS93" s="634"/>
      <c r="AT93" s="636"/>
      <c r="AU93" s="635"/>
      <c r="AV93" s="633"/>
      <c r="AW93" s="634"/>
      <c r="AX93" s="636"/>
      <c r="AY93" s="635"/>
      <c r="AZ93" s="633"/>
      <c r="BA93" s="634"/>
      <c r="BB93" s="636"/>
      <c r="BC93" s="635"/>
      <c r="BD93" s="633"/>
      <c r="BE93" s="634"/>
      <c r="BF93" s="636"/>
      <c r="BG93" s="635"/>
      <c r="BH93" s="633"/>
      <c r="BI93" s="634"/>
      <c r="BJ93" s="636"/>
      <c r="BK93" s="635"/>
      <c r="BL93" s="633"/>
      <c r="BM93" s="634"/>
      <c r="BN93" s="636"/>
      <c r="BO93" s="635"/>
      <c r="BP93" s="633"/>
      <c r="BQ93" s="634"/>
      <c r="BR93" s="636"/>
      <c r="BS93" s="635"/>
      <c r="BT93" s="633"/>
      <c r="BU93" s="634"/>
      <c r="BV93" s="636"/>
      <c r="BW93" s="635"/>
      <c r="BX93" s="633"/>
      <c r="BY93" s="634"/>
      <c r="BZ93" s="636"/>
      <c r="CA93" s="635"/>
      <c r="CB93" s="637"/>
      <c r="CC93" s="637"/>
      <c r="CD93" s="82">
        <f t="shared" si="235"/>
        <v>0</v>
      </c>
      <c r="CE93" s="82">
        <f t="shared" si="236"/>
        <v>0</v>
      </c>
      <c r="CF93" s="82">
        <f t="shared" si="237"/>
        <v>0</v>
      </c>
      <c r="CG93" s="82">
        <f t="shared" si="238"/>
        <v>0</v>
      </c>
      <c r="CH93" s="82">
        <f t="shared" si="239"/>
        <v>0</v>
      </c>
      <c r="CI93" s="82">
        <f t="shared" si="240"/>
        <v>0</v>
      </c>
      <c r="CJ93" s="82">
        <f t="shared" si="241"/>
        <v>0</v>
      </c>
      <c r="CK93" s="82">
        <f t="shared" si="242"/>
        <v>0</v>
      </c>
      <c r="CL93" s="82">
        <f t="shared" si="243"/>
        <v>0</v>
      </c>
      <c r="CM93" s="82">
        <f t="shared" si="244"/>
        <v>0</v>
      </c>
      <c r="CN93" s="82">
        <f t="shared" si="245"/>
        <v>0</v>
      </c>
      <c r="CO93" s="82">
        <f t="shared" si="246"/>
        <v>0</v>
      </c>
      <c r="CP93" s="82">
        <f t="shared" si="247"/>
        <v>0</v>
      </c>
      <c r="CQ93" s="82">
        <f t="shared" si="248"/>
        <v>0</v>
      </c>
      <c r="CR93" s="82">
        <f t="shared" si="249"/>
        <v>0</v>
      </c>
      <c r="CS93" s="82">
        <f t="shared" si="250"/>
        <v>0</v>
      </c>
      <c r="CT93" s="82">
        <f t="shared" si="251"/>
        <v>0</v>
      </c>
      <c r="CU93" s="82">
        <f t="shared" si="252"/>
        <v>0</v>
      </c>
      <c r="CV93" s="82">
        <f t="shared" si="253"/>
        <v>0</v>
      </c>
      <c r="CW93" s="82">
        <f t="shared" si="254"/>
        <v>0</v>
      </c>
      <c r="CX93" s="82">
        <f t="shared" si="255"/>
        <v>0</v>
      </c>
      <c r="CY93" s="82">
        <f t="shared" si="256"/>
        <v>0</v>
      </c>
      <c r="CZ93" s="82">
        <f t="shared" si="257"/>
        <v>0</v>
      </c>
      <c r="DA93" s="82">
        <f t="shared" si="258"/>
        <v>0</v>
      </c>
      <c r="DB93" s="82">
        <f t="shared" si="259"/>
        <v>0</v>
      </c>
      <c r="DC93" s="82">
        <f t="shared" si="260"/>
        <v>0</v>
      </c>
      <c r="DD93" s="82">
        <f t="shared" si="261"/>
        <v>0</v>
      </c>
      <c r="DE93" s="82">
        <f t="shared" si="262"/>
        <v>0</v>
      </c>
      <c r="DF93" s="82">
        <f t="shared" si="263"/>
        <v>0</v>
      </c>
      <c r="DG93" s="82">
        <f t="shared" si="264"/>
        <v>0</v>
      </c>
      <c r="DH93" s="82">
        <f t="shared" si="265"/>
        <v>0</v>
      </c>
      <c r="DI93" s="82">
        <f t="shared" si="266"/>
        <v>0</v>
      </c>
      <c r="DJ93" s="82">
        <f t="shared" si="267"/>
        <v>0</v>
      </c>
      <c r="DK93" s="82">
        <f t="shared" si="268"/>
        <v>0</v>
      </c>
      <c r="DL93" s="82">
        <f t="shared" si="269"/>
        <v>0</v>
      </c>
      <c r="DM93" s="82">
        <f t="shared" si="270"/>
        <v>0</v>
      </c>
      <c r="DN93" s="82">
        <f t="shared" si="271"/>
        <v>0</v>
      </c>
      <c r="DO93" s="82">
        <f t="shared" si="272"/>
        <v>0</v>
      </c>
      <c r="DP93" s="82">
        <f t="shared" si="273"/>
        <v>0</v>
      </c>
      <c r="DQ93" s="82">
        <f t="shared" si="274"/>
        <v>0</v>
      </c>
      <c r="DR93" s="82">
        <f t="shared" si="275"/>
        <v>0</v>
      </c>
      <c r="DS93" s="82">
        <f t="shared" si="276"/>
        <v>0</v>
      </c>
      <c r="DT93" s="82">
        <f t="shared" si="277"/>
        <v>0</v>
      </c>
      <c r="DU93" s="82">
        <f t="shared" si="278"/>
        <v>0</v>
      </c>
      <c r="DV93" s="82">
        <f t="shared" si="279"/>
        <v>0</v>
      </c>
      <c r="DW93" s="82">
        <f t="shared" si="280"/>
        <v>0</v>
      </c>
      <c r="DX93" s="82">
        <f t="shared" si="281"/>
        <v>0</v>
      </c>
      <c r="DY93" s="82">
        <f t="shared" si="282"/>
        <v>0</v>
      </c>
      <c r="DZ93" s="82">
        <f t="shared" si="283"/>
        <v>0</v>
      </c>
      <c r="EA93" s="82">
        <f t="shared" si="284"/>
        <v>0</v>
      </c>
      <c r="EB93" s="82">
        <f t="shared" si="285"/>
        <v>0</v>
      </c>
      <c r="EC93" s="82">
        <f t="shared" si="286"/>
        <v>0</v>
      </c>
      <c r="ED93" s="82">
        <f t="shared" si="287"/>
        <v>0</v>
      </c>
      <c r="EE93" s="82">
        <f t="shared" si="288"/>
        <v>0</v>
      </c>
      <c r="EF93" s="82">
        <f t="shared" si="289"/>
        <v>0</v>
      </c>
      <c r="EG93" s="82">
        <f t="shared" si="290"/>
        <v>0</v>
      </c>
      <c r="EH93" s="82">
        <f t="shared" si="291"/>
        <v>0</v>
      </c>
      <c r="EI93" s="82">
        <f t="shared" si="292"/>
        <v>0</v>
      </c>
      <c r="EJ93" s="82">
        <f t="shared" si="293"/>
        <v>0</v>
      </c>
      <c r="EK93" s="82">
        <f t="shared" si="294"/>
        <v>0</v>
      </c>
      <c r="EL93" s="82">
        <f t="shared" si="295"/>
        <v>0</v>
      </c>
      <c r="EM93" s="82">
        <f t="shared" si="296"/>
        <v>0</v>
      </c>
      <c r="EN93" s="82">
        <f t="shared" si="297"/>
        <v>0</v>
      </c>
      <c r="EO93" s="82">
        <f t="shared" si="298"/>
        <v>0</v>
      </c>
      <c r="EP93" s="82">
        <f t="shared" si="299"/>
        <v>0</v>
      </c>
      <c r="EQ93" s="82">
        <f t="shared" si="300"/>
        <v>0</v>
      </c>
      <c r="ER93" s="82">
        <f t="shared" si="301"/>
        <v>0</v>
      </c>
      <c r="ES93" s="82">
        <f t="shared" si="302"/>
        <v>0</v>
      </c>
      <c r="ET93" s="82">
        <f t="shared" si="303"/>
        <v>0</v>
      </c>
      <c r="EU93" s="82">
        <f t="shared" si="304"/>
        <v>0</v>
      </c>
      <c r="EV93" s="82">
        <f t="shared" si="305"/>
        <v>0</v>
      </c>
      <c r="EW93" s="82">
        <f t="shared" si="306"/>
        <v>0</v>
      </c>
      <c r="EX93" s="82">
        <f t="shared" si="307"/>
        <v>0</v>
      </c>
      <c r="EY93" s="111">
        <f t="shared" si="308"/>
        <v>0</v>
      </c>
      <c r="EZ93" s="143">
        <f t="shared" ca="1" si="309"/>
        <v>0</v>
      </c>
      <c r="FA93" s="112">
        <f t="shared" ca="1" si="310"/>
        <v>0</v>
      </c>
      <c r="FB93" s="113">
        <f t="shared" ca="1" si="311"/>
        <v>0</v>
      </c>
      <c r="FC93" s="114">
        <f t="shared" ca="1" si="312"/>
        <v>0</v>
      </c>
      <c r="FD93" s="115">
        <f t="shared" ca="1" si="313"/>
        <v>0</v>
      </c>
      <c r="FE93" s="116">
        <f t="shared" ca="1" si="314"/>
        <v>0</v>
      </c>
      <c r="FF93" s="117">
        <f t="shared" ca="1" si="315"/>
        <v>0</v>
      </c>
      <c r="FG93" s="71">
        <f t="shared" si="316"/>
        <v>0</v>
      </c>
      <c r="FH93" s="530">
        <f t="shared" ca="1" si="317"/>
        <v>0</v>
      </c>
      <c r="FI93" s="72"/>
      <c r="FJ93" s="72"/>
      <c r="FK93" s="72"/>
      <c r="FM93" s="421" t="str">
        <f t="shared" si="318"/>
        <v>R01-706_MechRaccPtac</v>
      </c>
      <c r="FN93" s="422" t="str">
        <f t="shared" ca="1" si="319"/>
        <v>Electrical/MechanicaI Room</v>
      </c>
      <c r="FO93" s="423">
        <f t="shared" ref="FO93:GD108" ca="1" si="328">IFERROR(ROUNDDOWN(SUMIF($H93:$CC93,FO$11,$CD93:$EX93)/FO$10,0),0)</f>
        <v>0</v>
      </c>
      <c r="FP93" s="423">
        <f t="shared" ca="1" si="328"/>
        <v>0</v>
      </c>
      <c r="FQ93" s="423">
        <f t="shared" ca="1" si="328"/>
        <v>0</v>
      </c>
      <c r="FR93" s="423">
        <f t="shared" ca="1" si="328"/>
        <v>0</v>
      </c>
      <c r="FS93" s="423">
        <f t="shared" ca="1" si="328"/>
        <v>0</v>
      </c>
      <c r="FT93" s="423">
        <f t="shared" ca="1" si="328"/>
        <v>0</v>
      </c>
      <c r="FU93" s="423">
        <f t="shared" ca="1" si="328"/>
        <v>0</v>
      </c>
      <c r="FV93" s="423">
        <f t="shared" ca="1" si="328"/>
        <v>0</v>
      </c>
      <c r="FW93" s="423">
        <f t="shared" ca="1" si="328"/>
        <v>0</v>
      </c>
      <c r="FX93" s="423">
        <f t="shared" ca="1" si="328"/>
        <v>0</v>
      </c>
      <c r="FY93" s="423">
        <f t="shared" ca="1" si="328"/>
        <v>0</v>
      </c>
      <c r="FZ93" s="423">
        <f t="shared" ca="1" si="328"/>
        <v>0</v>
      </c>
      <c r="GA93" s="423">
        <f t="shared" ca="1" si="328"/>
        <v>0</v>
      </c>
      <c r="GB93" s="423">
        <f t="shared" ca="1" si="328"/>
        <v>0</v>
      </c>
      <c r="GC93" s="423">
        <f t="shared" ca="1" si="328"/>
        <v>0</v>
      </c>
      <c r="GD93" s="423">
        <f t="shared" ca="1" si="328"/>
        <v>0</v>
      </c>
      <c r="GE93" s="423">
        <f t="shared" ca="1" si="326"/>
        <v>0</v>
      </c>
      <c r="GF93" s="423">
        <f t="shared" ca="1" si="326"/>
        <v>0</v>
      </c>
      <c r="GG93" s="423">
        <f t="shared" ca="1" si="326"/>
        <v>0</v>
      </c>
      <c r="GH93" s="423">
        <f t="shared" ca="1" si="326"/>
        <v>0</v>
      </c>
      <c r="GI93" s="423">
        <f t="shared" ca="1" si="326"/>
        <v>0</v>
      </c>
      <c r="GJ93" s="423">
        <f t="shared" ca="1" si="326"/>
        <v>0</v>
      </c>
      <c r="GK93" s="423">
        <f t="shared" ca="1" si="326"/>
        <v>0</v>
      </c>
      <c r="GL93" s="423">
        <f t="shared" ca="1" si="326"/>
        <v>0</v>
      </c>
      <c r="GM93" s="423">
        <f t="shared" ca="1" si="326"/>
        <v>0</v>
      </c>
      <c r="GN93" s="423">
        <f t="shared" ca="1" si="326"/>
        <v>0</v>
      </c>
      <c r="GO93" s="423">
        <f t="shared" ca="1" si="326"/>
        <v>0</v>
      </c>
      <c r="GP93" s="423">
        <f t="shared" ca="1" si="326"/>
        <v>0</v>
      </c>
      <c r="GQ93" s="423">
        <f t="shared" ca="1" si="326"/>
        <v>0</v>
      </c>
      <c r="GR93" s="423">
        <f t="shared" ca="1" si="326"/>
        <v>0</v>
      </c>
      <c r="GS93" s="423">
        <f t="shared" ca="1" si="325"/>
        <v>0</v>
      </c>
      <c r="GT93" s="423">
        <f t="shared" ca="1" si="325"/>
        <v>0</v>
      </c>
      <c r="GU93" s="423">
        <f t="shared" ca="1" si="325"/>
        <v>0</v>
      </c>
      <c r="GV93" s="423">
        <f t="shared" ca="1" si="325"/>
        <v>0</v>
      </c>
      <c r="GW93" s="423">
        <f t="shared" ca="1" si="325"/>
        <v>0</v>
      </c>
      <c r="GX93" s="423">
        <f t="shared" ca="1" si="325"/>
        <v>0</v>
      </c>
      <c r="GY93" s="423">
        <f t="shared" ca="1" si="325"/>
        <v>0</v>
      </c>
      <c r="GZ93" s="423">
        <f t="shared" ca="1" si="325"/>
        <v>0</v>
      </c>
      <c r="HA93" s="423">
        <f t="shared" ca="1" si="325"/>
        <v>0</v>
      </c>
      <c r="HB93" s="423">
        <f t="shared" ca="1" si="325"/>
        <v>0</v>
      </c>
      <c r="HC93" s="423">
        <f t="shared" ca="1" si="325"/>
        <v>0</v>
      </c>
      <c r="HD93" s="423">
        <f t="shared" ca="1" si="325"/>
        <v>0</v>
      </c>
      <c r="HE93" s="423">
        <f t="shared" ca="1" si="325"/>
        <v>0</v>
      </c>
      <c r="HF93" s="423">
        <f t="shared" ca="1" si="325"/>
        <v>0</v>
      </c>
      <c r="HG93" s="423">
        <f t="shared" ca="1" si="325"/>
        <v>0</v>
      </c>
      <c r="HH93" s="423">
        <f t="shared" ca="1" si="325"/>
        <v>0</v>
      </c>
      <c r="HI93" s="423">
        <f t="shared" ca="1" si="327"/>
        <v>0</v>
      </c>
      <c r="HJ93" s="423">
        <f t="shared" ca="1" si="324"/>
        <v>0</v>
      </c>
      <c r="HK93" s="423">
        <f t="shared" ca="1" si="324"/>
        <v>0</v>
      </c>
      <c r="HL93" s="423">
        <f t="shared" ca="1" si="324"/>
        <v>0</v>
      </c>
      <c r="HM93" s="423">
        <f t="shared" ca="1" si="324"/>
        <v>0</v>
      </c>
      <c r="HN93" s="423">
        <f t="shared" ca="1" si="324"/>
        <v>0</v>
      </c>
      <c r="HO93" s="423">
        <f t="shared" ca="1" si="324"/>
        <v>0</v>
      </c>
      <c r="HP93" s="423">
        <f t="shared" ca="1" si="324"/>
        <v>0</v>
      </c>
      <c r="HQ93" s="423">
        <f t="shared" ca="1" si="324"/>
        <v>0</v>
      </c>
      <c r="HR93" s="423">
        <f t="shared" ca="1" si="324"/>
        <v>0</v>
      </c>
      <c r="HS93" s="423">
        <f t="shared" ca="1" si="324"/>
        <v>0</v>
      </c>
      <c r="HT93" s="423">
        <f t="shared" ca="1" si="324"/>
        <v>0</v>
      </c>
      <c r="HU93" s="423"/>
      <c r="HV93" s="423"/>
    </row>
    <row r="94" spans="1:230" ht="11.25" customHeight="1" x14ac:dyDescent="0.2">
      <c r="A94" s="62">
        <f t="shared" si="322"/>
        <v>83</v>
      </c>
      <c r="B94" s="60">
        <f>Spaces_Sum!C139</f>
        <v>0</v>
      </c>
      <c r="C94" s="62" t="str">
        <f>Spaces_Sum!D139</f>
        <v>0</v>
      </c>
      <c r="D94" s="62" t="e">
        <f ca="1">Spaces_Sum!I139</f>
        <v>#N/A</v>
      </c>
      <c r="F94" s="110" t="e">
        <f ca="1">Spaces_Sum!M139</f>
        <v>#N/A</v>
      </c>
      <c r="G94" s="110" t="e">
        <f ca="1">Spaces_Sum!J139</f>
        <v>#N/A</v>
      </c>
      <c r="H94" s="532"/>
      <c r="I94" s="185"/>
      <c r="J94" s="185"/>
      <c r="K94" s="186"/>
      <c r="L94" s="187"/>
      <c r="M94" s="188"/>
      <c r="N94" s="189"/>
      <c r="O94" s="186"/>
      <c r="P94" s="187"/>
      <c r="Q94" s="188"/>
      <c r="R94" s="189"/>
      <c r="S94" s="186"/>
      <c r="T94" s="187"/>
      <c r="U94" s="188"/>
      <c r="V94" s="189"/>
      <c r="W94" s="186"/>
      <c r="X94" s="187"/>
      <c r="Y94" s="188"/>
      <c r="Z94" s="189"/>
      <c r="AA94" s="186"/>
      <c r="AB94" s="187"/>
      <c r="AC94" s="188"/>
      <c r="AD94" s="189"/>
      <c r="AE94" s="186"/>
      <c r="AF94" s="187"/>
      <c r="AG94" s="188"/>
      <c r="AH94" s="189"/>
      <c r="AI94" s="186"/>
      <c r="AJ94" s="187"/>
      <c r="AK94" s="188"/>
      <c r="AL94" s="189"/>
      <c r="AM94" s="186"/>
      <c r="AN94" s="187"/>
      <c r="AO94" s="188"/>
      <c r="AP94" s="189"/>
      <c r="AQ94" s="186"/>
      <c r="AR94" s="187"/>
      <c r="AS94" s="188"/>
      <c r="AT94" s="189"/>
      <c r="AU94" s="186"/>
      <c r="AV94" s="187"/>
      <c r="AW94" s="188"/>
      <c r="AX94" s="189"/>
      <c r="AY94" s="186"/>
      <c r="AZ94" s="187"/>
      <c r="BA94" s="188"/>
      <c r="BB94" s="189"/>
      <c r="BC94" s="186"/>
      <c r="BD94" s="187"/>
      <c r="BE94" s="188"/>
      <c r="BF94" s="189"/>
      <c r="BG94" s="186"/>
      <c r="BH94" s="187"/>
      <c r="BI94" s="188"/>
      <c r="BJ94" s="189"/>
      <c r="BK94" s="186"/>
      <c r="BL94" s="187"/>
      <c r="BM94" s="188"/>
      <c r="BN94" s="189"/>
      <c r="BO94" s="186"/>
      <c r="BP94" s="187"/>
      <c r="BQ94" s="188"/>
      <c r="BR94" s="189"/>
      <c r="BS94" s="186"/>
      <c r="BT94" s="187"/>
      <c r="BU94" s="188"/>
      <c r="BV94" s="189"/>
      <c r="BW94" s="186"/>
      <c r="BX94" s="187"/>
      <c r="BY94" s="188"/>
      <c r="BZ94" s="189"/>
      <c r="CA94" s="186"/>
      <c r="CB94" s="190"/>
      <c r="CC94" s="190"/>
      <c r="CD94" s="82">
        <f t="shared" si="235"/>
        <v>0</v>
      </c>
      <c r="CE94" s="82">
        <f t="shared" si="236"/>
        <v>0</v>
      </c>
      <c r="CF94" s="82">
        <f t="shared" si="237"/>
        <v>0</v>
      </c>
      <c r="CG94" s="82">
        <f t="shared" si="238"/>
        <v>0</v>
      </c>
      <c r="CH94" s="82">
        <f t="shared" si="239"/>
        <v>0</v>
      </c>
      <c r="CI94" s="82">
        <f t="shared" si="240"/>
        <v>0</v>
      </c>
      <c r="CJ94" s="82">
        <f t="shared" si="241"/>
        <v>0</v>
      </c>
      <c r="CK94" s="82">
        <f t="shared" si="242"/>
        <v>0</v>
      </c>
      <c r="CL94" s="82">
        <f t="shared" si="243"/>
        <v>0</v>
      </c>
      <c r="CM94" s="82">
        <f t="shared" si="244"/>
        <v>0</v>
      </c>
      <c r="CN94" s="82">
        <f t="shared" si="245"/>
        <v>0</v>
      </c>
      <c r="CO94" s="82">
        <f t="shared" si="246"/>
        <v>0</v>
      </c>
      <c r="CP94" s="82">
        <f t="shared" si="247"/>
        <v>0</v>
      </c>
      <c r="CQ94" s="82">
        <f t="shared" si="248"/>
        <v>0</v>
      </c>
      <c r="CR94" s="82">
        <f t="shared" si="249"/>
        <v>0</v>
      </c>
      <c r="CS94" s="82">
        <f t="shared" si="250"/>
        <v>0</v>
      </c>
      <c r="CT94" s="82">
        <f t="shared" si="251"/>
        <v>0</v>
      </c>
      <c r="CU94" s="82">
        <f t="shared" si="252"/>
        <v>0</v>
      </c>
      <c r="CV94" s="82">
        <f t="shared" si="253"/>
        <v>0</v>
      </c>
      <c r="CW94" s="82">
        <f t="shared" si="254"/>
        <v>0</v>
      </c>
      <c r="CX94" s="82">
        <f t="shared" si="255"/>
        <v>0</v>
      </c>
      <c r="CY94" s="82">
        <f t="shared" si="256"/>
        <v>0</v>
      </c>
      <c r="CZ94" s="82">
        <f t="shared" si="257"/>
        <v>0</v>
      </c>
      <c r="DA94" s="82">
        <f t="shared" si="258"/>
        <v>0</v>
      </c>
      <c r="DB94" s="82">
        <f t="shared" si="259"/>
        <v>0</v>
      </c>
      <c r="DC94" s="82">
        <f t="shared" si="260"/>
        <v>0</v>
      </c>
      <c r="DD94" s="82">
        <f t="shared" si="261"/>
        <v>0</v>
      </c>
      <c r="DE94" s="82">
        <f t="shared" si="262"/>
        <v>0</v>
      </c>
      <c r="DF94" s="82">
        <f t="shared" si="263"/>
        <v>0</v>
      </c>
      <c r="DG94" s="82">
        <f t="shared" si="264"/>
        <v>0</v>
      </c>
      <c r="DH94" s="82">
        <f t="shared" si="265"/>
        <v>0</v>
      </c>
      <c r="DI94" s="82">
        <f t="shared" si="266"/>
        <v>0</v>
      </c>
      <c r="DJ94" s="82">
        <f t="shared" si="267"/>
        <v>0</v>
      </c>
      <c r="DK94" s="82">
        <f t="shared" si="268"/>
        <v>0</v>
      </c>
      <c r="DL94" s="82">
        <f t="shared" si="269"/>
        <v>0</v>
      </c>
      <c r="DM94" s="82">
        <f t="shared" si="270"/>
        <v>0</v>
      </c>
      <c r="DN94" s="82">
        <f t="shared" si="271"/>
        <v>0</v>
      </c>
      <c r="DO94" s="82">
        <f t="shared" si="272"/>
        <v>0</v>
      </c>
      <c r="DP94" s="82">
        <f t="shared" si="273"/>
        <v>0</v>
      </c>
      <c r="DQ94" s="82">
        <f t="shared" si="274"/>
        <v>0</v>
      </c>
      <c r="DR94" s="82">
        <f t="shared" si="275"/>
        <v>0</v>
      </c>
      <c r="DS94" s="82">
        <f t="shared" si="276"/>
        <v>0</v>
      </c>
      <c r="DT94" s="82">
        <f t="shared" si="277"/>
        <v>0</v>
      </c>
      <c r="DU94" s="82">
        <f t="shared" si="278"/>
        <v>0</v>
      </c>
      <c r="DV94" s="82">
        <f t="shared" si="279"/>
        <v>0</v>
      </c>
      <c r="DW94" s="82">
        <f t="shared" si="280"/>
        <v>0</v>
      </c>
      <c r="DX94" s="82">
        <f t="shared" si="281"/>
        <v>0</v>
      </c>
      <c r="DY94" s="82">
        <f t="shared" si="282"/>
        <v>0</v>
      </c>
      <c r="DZ94" s="82">
        <f t="shared" si="283"/>
        <v>0</v>
      </c>
      <c r="EA94" s="82">
        <f t="shared" si="284"/>
        <v>0</v>
      </c>
      <c r="EB94" s="82">
        <f t="shared" si="285"/>
        <v>0</v>
      </c>
      <c r="EC94" s="82">
        <f t="shared" si="286"/>
        <v>0</v>
      </c>
      <c r="ED94" s="82">
        <f t="shared" si="287"/>
        <v>0</v>
      </c>
      <c r="EE94" s="82">
        <f t="shared" si="288"/>
        <v>0</v>
      </c>
      <c r="EF94" s="82">
        <f t="shared" si="289"/>
        <v>0</v>
      </c>
      <c r="EG94" s="82">
        <f t="shared" si="290"/>
        <v>0</v>
      </c>
      <c r="EH94" s="82">
        <f t="shared" si="291"/>
        <v>0</v>
      </c>
      <c r="EI94" s="82">
        <f t="shared" si="292"/>
        <v>0</v>
      </c>
      <c r="EJ94" s="82">
        <f t="shared" si="293"/>
        <v>0</v>
      </c>
      <c r="EK94" s="82">
        <f t="shared" si="294"/>
        <v>0</v>
      </c>
      <c r="EL94" s="82">
        <f t="shared" si="295"/>
        <v>0</v>
      </c>
      <c r="EM94" s="82">
        <f t="shared" si="296"/>
        <v>0</v>
      </c>
      <c r="EN94" s="82">
        <f t="shared" si="297"/>
        <v>0</v>
      </c>
      <c r="EO94" s="82">
        <f t="shared" si="298"/>
        <v>0</v>
      </c>
      <c r="EP94" s="82">
        <f t="shared" si="299"/>
        <v>0</v>
      </c>
      <c r="EQ94" s="82">
        <f t="shared" si="300"/>
        <v>0</v>
      </c>
      <c r="ER94" s="82">
        <f t="shared" si="301"/>
        <v>0</v>
      </c>
      <c r="ES94" s="82">
        <f t="shared" si="302"/>
        <v>0</v>
      </c>
      <c r="ET94" s="82">
        <f t="shared" si="303"/>
        <v>0</v>
      </c>
      <c r="EU94" s="82">
        <f t="shared" si="304"/>
        <v>0</v>
      </c>
      <c r="EV94" s="82">
        <f t="shared" si="305"/>
        <v>0</v>
      </c>
      <c r="EW94" s="82">
        <f t="shared" si="306"/>
        <v>0</v>
      </c>
      <c r="EX94" s="82">
        <f t="shared" si="307"/>
        <v>0</v>
      </c>
      <c r="EY94" s="111">
        <f t="shared" si="308"/>
        <v>0</v>
      </c>
      <c r="EZ94" s="143" t="e">
        <f t="shared" ca="1" si="309"/>
        <v>#N/A</v>
      </c>
      <c r="FA94" s="112" t="e">
        <f t="shared" ca="1" si="310"/>
        <v>#N/A</v>
      </c>
      <c r="FB94" s="113" t="e">
        <f t="shared" ca="1" si="311"/>
        <v>#N/A</v>
      </c>
      <c r="FC94" s="114" t="e">
        <f t="shared" ca="1" si="312"/>
        <v>#N/A</v>
      </c>
      <c r="FD94" s="115">
        <f t="shared" ca="1" si="313"/>
        <v>0</v>
      </c>
      <c r="FE94" s="116" t="e">
        <f t="shared" ca="1" si="314"/>
        <v>#N/A</v>
      </c>
      <c r="FF94" s="117" t="e">
        <f t="shared" ca="1" si="315"/>
        <v>#N/A</v>
      </c>
      <c r="FG94" s="71">
        <f t="shared" si="316"/>
        <v>0</v>
      </c>
      <c r="FH94" s="530" t="e">
        <f t="shared" ca="1" si="317"/>
        <v>#N/A</v>
      </c>
      <c r="FI94" s="72"/>
      <c r="FJ94" s="72"/>
      <c r="FK94" s="72"/>
      <c r="FM94" s="421">
        <f t="shared" si="318"/>
        <v>0</v>
      </c>
      <c r="FN94" s="422" t="e">
        <f t="shared" ca="1" si="319"/>
        <v>#N/A</v>
      </c>
      <c r="FO94" s="423">
        <f t="shared" ca="1" si="328"/>
        <v>0</v>
      </c>
      <c r="FP94" s="423">
        <f t="shared" ca="1" si="328"/>
        <v>0</v>
      </c>
      <c r="FQ94" s="423">
        <f t="shared" ca="1" si="328"/>
        <v>0</v>
      </c>
      <c r="FR94" s="423">
        <f t="shared" ca="1" si="328"/>
        <v>0</v>
      </c>
      <c r="FS94" s="423">
        <f t="shared" ca="1" si="328"/>
        <v>0</v>
      </c>
      <c r="FT94" s="423">
        <f t="shared" ca="1" si="328"/>
        <v>0</v>
      </c>
      <c r="FU94" s="423">
        <f t="shared" ca="1" si="328"/>
        <v>0</v>
      </c>
      <c r="FV94" s="423">
        <f t="shared" ca="1" si="328"/>
        <v>0</v>
      </c>
      <c r="FW94" s="423">
        <f t="shared" ca="1" si="328"/>
        <v>0</v>
      </c>
      <c r="FX94" s="423">
        <f t="shared" ca="1" si="328"/>
        <v>0</v>
      </c>
      <c r="FY94" s="423">
        <f t="shared" ca="1" si="328"/>
        <v>0</v>
      </c>
      <c r="FZ94" s="423">
        <f t="shared" ca="1" si="328"/>
        <v>0</v>
      </c>
      <c r="GA94" s="423">
        <f t="shared" ca="1" si="328"/>
        <v>0</v>
      </c>
      <c r="GB94" s="423">
        <f t="shared" ca="1" si="328"/>
        <v>0</v>
      </c>
      <c r="GC94" s="423">
        <f t="shared" ca="1" si="328"/>
        <v>0</v>
      </c>
      <c r="GD94" s="423">
        <f t="shared" ca="1" si="328"/>
        <v>0</v>
      </c>
      <c r="GE94" s="423">
        <f t="shared" ca="1" si="326"/>
        <v>0</v>
      </c>
      <c r="GF94" s="423">
        <f t="shared" ca="1" si="326"/>
        <v>0</v>
      </c>
      <c r="GG94" s="423">
        <f t="shared" ca="1" si="326"/>
        <v>0</v>
      </c>
      <c r="GH94" s="423">
        <f t="shared" ca="1" si="326"/>
        <v>0</v>
      </c>
      <c r="GI94" s="423">
        <f t="shared" ca="1" si="326"/>
        <v>0</v>
      </c>
      <c r="GJ94" s="423">
        <f t="shared" ca="1" si="326"/>
        <v>0</v>
      </c>
      <c r="GK94" s="423">
        <f t="shared" ca="1" si="326"/>
        <v>0</v>
      </c>
      <c r="GL94" s="423">
        <f t="shared" ca="1" si="326"/>
        <v>0</v>
      </c>
      <c r="GM94" s="423">
        <f t="shared" ca="1" si="326"/>
        <v>0</v>
      </c>
      <c r="GN94" s="423">
        <f t="shared" ca="1" si="326"/>
        <v>0</v>
      </c>
      <c r="GO94" s="423">
        <f t="shared" ca="1" si="326"/>
        <v>0</v>
      </c>
      <c r="GP94" s="423">
        <f t="shared" ca="1" si="326"/>
        <v>0</v>
      </c>
      <c r="GQ94" s="423">
        <f t="shared" ca="1" si="326"/>
        <v>0</v>
      </c>
      <c r="GR94" s="423">
        <f t="shared" ca="1" si="326"/>
        <v>0</v>
      </c>
      <c r="GS94" s="423">
        <f t="shared" ca="1" si="325"/>
        <v>0</v>
      </c>
      <c r="GT94" s="423">
        <f t="shared" ca="1" si="325"/>
        <v>0</v>
      </c>
      <c r="GU94" s="423">
        <f t="shared" ca="1" si="325"/>
        <v>0</v>
      </c>
      <c r="GV94" s="423">
        <f t="shared" ca="1" si="325"/>
        <v>0</v>
      </c>
      <c r="GW94" s="423">
        <f t="shared" ca="1" si="325"/>
        <v>0</v>
      </c>
      <c r="GX94" s="423">
        <f t="shared" ca="1" si="325"/>
        <v>0</v>
      </c>
      <c r="GY94" s="423">
        <f t="shared" ca="1" si="325"/>
        <v>0</v>
      </c>
      <c r="GZ94" s="423">
        <f t="shared" ca="1" si="325"/>
        <v>0</v>
      </c>
      <c r="HA94" s="423">
        <f t="shared" ca="1" si="325"/>
        <v>0</v>
      </c>
      <c r="HB94" s="423">
        <f t="shared" ca="1" si="325"/>
        <v>0</v>
      </c>
      <c r="HC94" s="423">
        <f t="shared" ca="1" si="325"/>
        <v>0</v>
      </c>
      <c r="HD94" s="423">
        <f t="shared" ca="1" si="325"/>
        <v>0</v>
      </c>
      <c r="HE94" s="423">
        <f t="shared" ca="1" si="325"/>
        <v>0</v>
      </c>
      <c r="HF94" s="423">
        <f t="shared" ca="1" si="325"/>
        <v>0</v>
      </c>
      <c r="HG94" s="423">
        <f t="shared" ca="1" si="325"/>
        <v>0</v>
      </c>
      <c r="HH94" s="423">
        <f t="shared" ca="1" si="325"/>
        <v>0</v>
      </c>
      <c r="HI94" s="423">
        <f t="shared" ca="1" si="327"/>
        <v>0</v>
      </c>
      <c r="HJ94" s="423">
        <f t="shared" ca="1" si="324"/>
        <v>0</v>
      </c>
      <c r="HK94" s="423">
        <f t="shared" ca="1" si="324"/>
        <v>0</v>
      </c>
      <c r="HL94" s="423">
        <f t="shared" ca="1" si="324"/>
        <v>0</v>
      </c>
      <c r="HM94" s="423">
        <f t="shared" ca="1" si="324"/>
        <v>0</v>
      </c>
      <c r="HN94" s="423">
        <f t="shared" ca="1" si="324"/>
        <v>0</v>
      </c>
      <c r="HO94" s="423">
        <f t="shared" ca="1" si="324"/>
        <v>0</v>
      </c>
      <c r="HP94" s="423">
        <f t="shared" ca="1" si="324"/>
        <v>0</v>
      </c>
      <c r="HQ94" s="423">
        <f t="shared" ca="1" si="324"/>
        <v>0</v>
      </c>
      <c r="HR94" s="423">
        <f t="shared" ca="1" si="324"/>
        <v>0</v>
      </c>
      <c r="HS94" s="423">
        <f t="shared" ca="1" si="324"/>
        <v>0</v>
      </c>
      <c r="HT94" s="423">
        <f t="shared" ca="1" si="324"/>
        <v>0</v>
      </c>
    </row>
    <row r="95" spans="1:230" ht="11.25" customHeight="1" x14ac:dyDescent="0.2">
      <c r="A95" s="62">
        <f t="shared" si="322"/>
        <v>84</v>
      </c>
      <c r="B95" s="60">
        <f>Spaces_Sum!C140</f>
        <v>0</v>
      </c>
      <c r="C95" s="62" t="str">
        <f>Spaces_Sum!D140</f>
        <v>0</v>
      </c>
      <c r="D95" s="62" t="e">
        <f ca="1">Spaces_Sum!I140</f>
        <v>#N/A</v>
      </c>
      <c r="F95" s="110" t="e">
        <f ca="1">Spaces_Sum!M140</f>
        <v>#N/A</v>
      </c>
      <c r="G95" s="110" t="e">
        <f ca="1">Spaces_Sum!J140</f>
        <v>#N/A</v>
      </c>
      <c r="H95" s="532"/>
      <c r="I95" s="185"/>
      <c r="J95" s="185"/>
      <c r="K95" s="186"/>
      <c r="L95" s="187"/>
      <c r="M95" s="188"/>
      <c r="N95" s="189"/>
      <c r="O95" s="186"/>
      <c r="P95" s="187"/>
      <c r="Q95" s="188"/>
      <c r="R95" s="189"/>
      <c r="S95" s="186"/>
      <c r="T95" s="187"/>
      <c r="U95" s="188"/>
      <c r="V95" s="189"/>
      <c r="W95" s="186"/>
      <c r="X95" s="187"/>
      <c r="Y95" s="188"/>
      <c r="Z95" s="189"/>
      <c r="AA95" s="186"/>
      <c r="AB95" s="187"/>
      <c r="AC95" s="188"/>
      <c r="AD95" s="189"/>
      <c r="AE95" s="186"/>
      <c r="AF95" s="187"/>
      <c r="AG95" s="188"/>
      <c r="AH95" s="189"/>
      <c r="AI95" s="186"/>
      <c r="AJ95" s="187"/>
      <c r="AK95" s="188"/>
      <c r="AL95" s="189"/>
      <c r="AM95" s="186"/>
      <c r="AN95" s="187"/>
      <c r="AO95" s="188"/>
      <c r="AP95" s="189"/>
      <c r="AQ95" s="186"/>
      <c r="AR95" s="187"/>
      <c r="AS95" s="188"/>
      <c r="AT95" s="189"/>
      <c r="AU95" s="186"/>
      <c r="AV95" s="187"/>
      <c r="AW95" s="188"/>
      <c r="AX95" s="189"/>
      <c r="AY95" s="186"/>
      <c r="AZ95" s="187"/>
      <c r="BA95" s="188"/>
      <c r="BB95" s="189"/>
      <c r="BC95" s="186"/>
      <c r="BD95" s="187"/>
      <c r="BE95" s="188"/>
      <c r="BF95" s="189"/>
      <c r="BG95" s="186"/>
      <c r="BH95" s="187"/>
      <c r="BI95" s="188"/>
      <c r="BJ95" s="189"/>
      <c r="BK95" s="186"/>
      <c r="BL95" s="187"/>
      <c r="BM95" s="188"/>
      <c r="BN95" s="189"/>
      <c r="BO95" s="186"/>
      <c r="BP95" s="187"/>
      <c r="BQ95" s="188"/>
      <c r="BR95" s="189"/>
      <c r="BS95" s="186"/>
      <c r="BT95" s="187"/>
      <c r="BU95" s="188"/>
      <c r="BV95" s="189"/>
      <c r="BW95" s="186"/>
      <c r="BX95" s="187"/>
      <c r="BY95" s="188"/>
      <c r="BZ95" s="189"/>
      <c r="CA95" s="186"/>
      <c r="CB95" s="190"/>
      <c r="CC95" s="190"/>
      <c r="CD95" s="82">
        <f t="shared" si="235"/>
        <v>0</v>
      </c>
      <c r="CE95" s="82">
        <f t="shared" si="236"/>
        <v>0</v>
      </c>
      <c r="CF95" s="82">
        <f t="shared" si="237"/>
        <v>0</v>
      </c>
      <c r="CG95" s="82">
        <f t="shared" si="238"/>
        <v>0</v>
      </c>
      <c r="CH95" s="82">
        <f t="shared" si="239"/>
        <v>0</v>
      </c>
      <c r="CI95" s="82">
        <f t="shared" si="240"/>
        <v>0</v>
      </c>
      <c r="CJ95" s="82">
        <f t="shared" si="241"/>
        <v>0</v>
      </c>
      <c r="CK95" s="82">
        <f t="shared" si="242"/>
        <v>0</v>
      </c>
      <c r="CL95" s="82">
        <f t="shared" si="243"/>
        <v>0</v>
      </c>
      <c r="CM95" s="82">
        <f t="shared" si="244"/>
        <v>0</v>
      </c>
      <c r="CN95" s="82">
        <f t="shared" si="245"/>
        <v>0</v>
      </c>
      <c r="CO95" s="82">
        <f t="shared" si="246"/>
        <v>0</v>
      </c>
      <c r="CP95" s="82">
        <f t="shared" si="247"/>
        <v>0</v>
      </c>
      <c r="CQ95" s="82">
        <f t="shared" si="248"/>
        <v>0</v>
      </c>
      <c r="CR95" s="82">
        <f t="shared" si="249"/>
        <v>0</v>
      </c>
      <c r="CS95" s="82">
        <f t="shared" si="250"/>
        <v>0</v>
      </c>
      <c r="CT95" s="82">
        <f t="shared" si="251"/>
        <v>0</v>
      </c>
      <c r="CU95" s="82">
        <f t="shared" si="252"/>
        <v>0</v>
      </c>
      <c r="CV95" s="82">
        <f t="shared" si="253"/>
        <v>0</v>
      </c>
      <c r="CW95" s="82">
        <f t="shared" si="254"/>
        <v>0</v>
      </c>
      <c r="CX95" s="82">
        <f t="shared" si="255"/>
        <v>0</v>
      </c>
      <c r="CY95" s="82">
        <f t="shared" si="256"/>
        <v>0</v>
      </c>
      <c r="CZ95" s="82">
        <f t="shared" si="257"/>
        <v>0</v>
      </c>
      <c r="DA95" s="82">
        <f t="shared" si="258"/>
        <v>0</v>
      </c>
      <c r="DB95" s="82">
        <f t="shared" si="259"/>
        <v>0</v>
      </c>
      <c r="DC95" s="82">
        <f t="shared" si="260"/>
        <v>0</v>
      </c>
      <c r="DD95" s="82">
        <f t="shared" si="261"/>
        <v>0</v>
      </c>
      <c r="DE95" s="82">
        <f t="shared" si="262"/>
        <v>0</v>
      </c>
      <c r="DF95" s="82">
        <f t="shared" si="263"/>
        <v>0</v>
      </c>
      <c r="DG95" s="82">
        <f t="shared" si="264"/>
        <v>0</v>
      </c>
      <c r="DH95" s="82">
        <f t="shared" si="265"/>
        <v>0</v>
      </c>
      <c r="DI95" s="82">
        <f t="shared" si="266"/>
        <v>0</v>
      </c>
      <c r="DJ95" s="82">
        <f t="shared" si="267"/>
        <v>0</v>
      </c>
      <c r="DK95" s="82">
        <f t="shared" si="268"/>
        <v>0</v>
      </c>
      <c r="DL95" s="82">
        <f t="shared" si="269"/>
        <v>0</v>
      </c>
      <c r="DM95" s="82">
        <f t="shared" si="270"/>
        <v>0</v>
      </c>
      <c r="DN95" s="82">
        <f t="shared" si="271"/>
        <v>0</v>
      </c>
      <c r="DO95" s="82">
        <f t="shared" si="272"/>
        <v>0</v>
      </c>
      <c r="DP95" s="82">
        <f t="shared" si="273"/>
        <v>0</v>
      </c>
      <c r="DQ95" s="82">
        <f t="shared" si="274"/>
        <v>0</v>
      </c>
      <c r="DR95" s="82">
        <f t="shared" si="275"/>
        <v>0</v>
      </c>
      <c r="DS95" s="82">
        <f t="shared" si="276"/>
        <v>0</v>
      </c>
      <c r="DT95" s="82">
        <f t="shared" si="277"/>
        <v>0</v>
      </c>
      <c r="DU95" s="82">
        <f t="shared" si="278"/>
        <v>0</v>
      </c>
      <c r="DV95" s="82">
        <f t="shared" si="279"/>
        <v>0</v>
      </c>
      <c r="DW95" s="82">
        <f t="shared" si="280"/>
        <v>0</v>
      </c>
      <c r="DX95" s="82">
        <f t="shared" si="281"/>
        <v>0</v>
      </c>
      <c r="DY95" s="82">
        <f t="shared" si="282"/>
        <v>0</v>
      </c>
      <c r="DZ95" s="82">
        <f t="shared" si="283"/>
        <v>0</v>
      </c>
      <c r="EA95" s="82">
        <f t="shared" si="284"/>
        <v>0</v>
      </c>
      <c r="EB95" s="82">
        <f t="shared" si="285"/>
        <v>0</v>
      </c>
      <c r="EC95" s="82">
        <f t="shared" si="286"/>
        <v>0</v>
      </c>
      <c r="ED95" s="82">
        <f t="shared" si="287"/>
        <v>0</v>
      </c>
      <c r="EE95" s="82">
        <f t="shared" si="288"/>
        <v>0</v>
      </c>
      <c r="EF95" s="82">
        <f t="shared" si="289"/>
        <v>0</v>
      </c>
      <c r="EG95" s="82">
        <f t="shared" si="290"/>
        <v>0</v>
      </c>
      <c r="EH95" s="82">
        <f t="shared" si="291"/>
        <v>0</v>
      </c>
      <c r="EI95" s="82">
        <f t="shared" si="292"/>
        <v>0</v>
      </c>
      <c r="EJ95" s="82">
        <f t="shared" si="293"/>
        <v>0</v>
      </c>
      <c r="EK95" s="82">
        <f t="shared" si="294"/>
        <v>0</v>
      </c>
      <c r="EL95" s="82">
        <f t="shared" si="295"/>
        <v>0</v>
      </c>
      <c r="EM95" s="82">
        <f t="shared" si="296"/>
        <v>0</v>
      </c>
      <c r="EN95" s="82">
        <f t="shared" si="297"/>
        <v>0</v>
      </c>
      <c r="EO95" s="82">
        <f t="shared" si="298"/>
        <v>0</v>
      </c>
      <c r="EP95" s="82">
        <f t="shared" si="299"/>
        <v>0</v>
      </c>
      <c r="EQ95" s="82">
        <f t="shared" si="300"/>
        <v>0</v>
      </c>
      <c r="ER95" s="82">
        <f t="shared" si="301"/>
        <v>0</v>
      </c>
      <c r="ES95" s="82">
        <f t="shared" si="302"/>
        <v>0</v>
      </c>
      <c r="ET95" s="82">
        <f t="shared" si="303"/>
        <v>0</v>
      </c>
      <c r="EU95" s="82">
        <f t="shared" si="304"/>
        <v>0</v>
      </c>
      <c r="EV95" s="82">
        <f t="shared" si="305"/>
        <v>0</v>
      </c>
      <c r="EW95" s="82">
        <f t="shared" si="306"/>
        <v>0</v>
      </c>
      <c r="EX95" s="82">
        <f t="shared" si="307"/>
        <v>0</v>
      </c>
      <c r="EY95" s="111">
        <f t="shared" si="308"/>
        <v>0</v>
      </c>
      <c r="EZ95" s="143" t="e">
        <f t="shared" ca="1" si="309"/>
        <v>#N/A</v>
      </c>
      <c r="FA95" s="112" t="e">
        <f t="shared" ca="1" si="310"/>
        <v>#N/A</v>
      </c>
      <c r="FB95" s="113" t="e">
        <f t="shared" ca="1" si="311"/>
        <v>#N/A</v>
      </c>
      <c r="FC95" s="114" t="e">
        <f t="shared" ca="1" si="312"/>
        <v>#N/A</v>
      </c>
      <c r="FD95" s="115">
        <f t="shared" ca="1" si="313"/>
        <v>0</v>
      </c>
      <c r="FE95" s="116" t="e">
        <f t="shared" ca="1" si="314"/>
        <v>#N/A</v>
      </c>
      <c r="FF95" s="117" t="e">
        <f t="shared" ca="1" si="315"/>
        <v>#N/A</v>
      </c>
      <c r="FG95" s="71">
        <f t="shared" si="316"/>
        <v>0</v>
      </c>
      <c r="FH95" s="530" t="e">
        <f t="shared" ca="1" si="317"/>
        <v>#N/A</v>
      </c>
      <c r="FI95" s="72"/>
      <c r="FJ95" s="72"/>
      <c r="FK95" s="72"/>
      <c r="FM95" s="421">
        <f t="shared" si="318"/>
        <v>0</v>
      </c>
      <c r="FN95" s="422" t="e">
        <f t="shared" ca="1" si="319"/>
        <v>#N/A</v>
      </c>
      <c r="FO95" s="423">
        <f t="shared" ca="1" si="328"/>
        <v>0</v>
      </c>
      <c r="FP95" s="423">
        <f t="shared" ca="1" si="328"/>
        <v>0</v>
      </c>
      <c r="FQ95" s="423">
        <f t="shared" ca="1" si="328"/>
        <v>0</v>
      </c>
      <c r="FR95" s="423">
        <f t="shared" ca="1" si="328"/>
        <v>0</v>
      </c>
      <c r="FS95" s="423">
        <f t="shared" ca="1" si="328"/>
        <v>0</v>
      </c>
      <c r="FT95" s="423">
        <f t="shared" ca="1" si="328"/>
        <v>0</v>
      </c>
      <c r="FU95" s="423">
        <f t="shared" ca="1" si="328"/>
        <v>0</v>
      </c>
      <c r="FV95" s="423">
        <f t="shared" ca="1" si="328"/>
        <v>0</v>
      </c>
      <c r="FW95" s="423">
        <f t="shared" ca="1" si="328"/>
        <v>0</v>
      </c>
      <c r="FX95" s="423">
        <f t="shared" ca="1" si="328"/>
        <v>0</v>
      </c>
      <c r="FY95" s="423">
        <f t="shared" ca="1" si="328"/>
        <v>0</v>
      </c>
      <c r="FZ95" s="423">
        <f t="shared" ca="1" si="328"/>
        <v>0</v>
      </c>
      <c r="GA95" s="423">
        <f t="shared" ca="1" si="328"/>
        <v>0</v>
      </c>
      <c r="GB95" s="423">
        <f t="shared" ca="1" si="328"/>
        <v>0</v>
      </c>
      <c r="GC95" s="423">
        <f t="shared" ca="1" si="328"/>
        <v>0</v>
      </c>
      <c r="GD95" s="423">
        <f t="shared" ca="1" si="328"/>
        <v>0</v>
      </c>
      <c r="GE95" s="423">
        <f t="shared" ca="1" si="326"/>
        <v>0</v>
      </c>
      <c r="GF95" s="423">
        <f t="shared" ca="1" si="326"/>
        <v>0</v>
      </c>
      <c r="GG95" s="423">
        <f t="shared" ca="1" si="326"/>
        <v>0</v>
      </c>
      <c r="GH95" s="423">
        <f t="shared" ca="1" si="326"/>
        <v>0</v>
      </c>
      <c r="GI95" s="423">
        <f t="shared" ca="1" si="326"/>
        <v>0</v>
      </c>
      <c r="GJ95" s="423">
        <f t="shared" ca="1" si="326"/>
        <v>0</v>
      </c>
      <c r="GK95" s="423">
        <f t="shared" ca="1" si="326"/>
        <v>0</v>
      </c>
      <c r="GL95" s="423">
        <f t="shared" ca="1" si="326"/>
        <v>0</v>
      </c>
      <c r="GM95" s="423">
        <f t="shared" ca="1" si="326"/>
        <v>0</v>
      </c>
      <c r="GN95" s="423">
        <f t="shared" ca="1" si="326"/>
        <v>0</v>
      </c>
      <c r="GO95" s="423">
        <f t="shared" ca="1" si="326"/>
        <v>0</v>
      </c>
      <c r="GP95" s="423">
        <f t="shared" ca="1" si="326"/>
        <v>0</v>
      </c>
      <c r="GQ95" s="423">
        <f t="shared" ca="1" si="326"/>
        <v>0</v>
      </c>
      <c r="GR95" s="423">
        <f t="shared" ca="1" si="326"/>
        <v>0</v>
      </c>
      <c r="GS95" s="423">
        <f t="shared" ca="1" si="325"/>
        <v>0</v>
      </c>
      <c r="GT95" s="423">
        <f t="shared" ca="1" si="325"/>
        <v>0</v>
      </c>
      <c r="GU95" s="423">
        <f t="shared" ca="1" si="325"/>
        <v>0</v>
      </c>
      <c r="GV95" s="423">
        <f t="shared" ca="1" si="325"/>
        <v>0</v>
      </c>
      <c r="GW95" s="423">
        <f t="shared" ca="1" si="325"/>
        <v>0</v>
      </c>
      <c r="GX95" s="423">
        <f t="shared" ca="1" si="325"/>
        <v>0</v>
      </c>
      <c r="GY95" s="423">
        <f t="shared" ca="1" si="325"/>
        <v>0</v>
      </c>
      <c r="GZ95" s="423">
        <f t="shared" ca="1" si="325"/>
        <v>0</v>
      </c>
      <c r="HA95" s="423">
        <f t="shared" ca="1" si="325"/>
        <v>0</v>
      </c>
      <c r="HB95" s="423">
        <f t="shared" ca="1" si="325"/>
        <v>0</v>
      </c>
      <c r="HC95" s="423">
        <f t="shared" ca="1" si="325"/>
        <v>0</v>
      </c>
      <c r="HD95" s="423">
        <f t="shared" ca="1" si="325"/>
        <v>0</v>
      </c>
      <c r="HE95" s="423">
        <f t="shared" ca="1" si="325"/>
        <v>0</v>
      </c>
      <c r="HF95" s="423">
        <f t="shared" ca="1" si="325"/>
        <v>0</v>
      </c>
      <c r="HG95" s="423">
        <f t="shared" ca="1" si="325"/>
        <v>0</v>
      </c>
      <c r="HH95" s="423">
        <f t="shared" ca="1" si="325"/>
        <v>0</v>
      </c>
      <c r="HI95" s="423">
        <f t="shared" ca="1" si="327"/>
        <v>0</v>
      </c>
      <c r="HJ95" s="423">
        <f t="shared" ca="1" si="324"/>
        <v>0</v>
      </c>
      <c r="HK95" s="423">
        <f t="shared" ca="1" si="324"/>
        <v>0</v>
      </c>
      <c r="HL95" s="423">
        <f t="shared" ca="1" si="324"/>
        <v>0</v>
      </c>
      <c r="HM95" s="423">
        <f t="shared" ca="1" si="324"/>
        <v>0</v>
      </c>
      <c r="HN95" s="423">
        <f t="shared" ca="1" si="324"/>
        <v>0</v>
      </c>
      <c r="HO95" s="423">
        <f t="shared" ca="1" si="324"/>
        <v>0</v>
      </c>
      <c r="HP95" s="423">
        <f t="shared" ca="1" si="324"/>
        <v>0</v>
      </c>
      <c r="HQ95" s="423">
        <f t="shared" ca="1" si="324"/>
        <v>0</v>
      </c>
      <c r="HR95" s="423">
        <f t="shared" ca="1" si="324"/>
        <v>0</v>
      </c>
      <c r="HS95" s="423">
        <f t="shared" ca="1" si="324"/>
        <v>0</v>
      </c>
      <c r="HT95" s="423">
        <f t="shared" ca="1" si="324"/>
        <v>0</v>
      </c>
    </row>
    <row r="96" spans="1:230" ht="11.25" customHeight="1" x14ac:dyDescent="0.2">
      <c r="A96" s="62">
        <f t="shared" si="322"/>
        <v>85</v>
      </c>
      <c r="B96" s="60">
        <f>Spaces_Sum!C141</f>
        <v>0</v>
      </c>
      <c r="C96" s="62" t="str">
        <f>Spaces_Sum!D141</f>
        <v>0</v>
      </c>
      <c r="D96" s="62" t="e">
        <f ca="1">Spaces_Sum!I141</f>
        <v>#N/A</v>
      </c>
      <c r="F96" s="110" t="e">
        <f ca="1">Spaces_Sum!M141</f>
        <v>#N/A</v>
      </c>
      <c r="G96" s="110" t="e">
        <f ca="1">Spaces_Sum!J141</f>
        <v>#N/A</v>
      </c>
      <c r="H96" s="532"/>
      <c r="I96" s="185"/>
      <c r="J96" s="185"/>
      <c r="K96" s="186"/>
      <c r="L96" s="187"/>
      <c r="M96" s="188"/>
      <c r="N96" s="189"/>
      <c r="O96" s="186"/>
      <c r="P96" s="187"/>
      <c r="Q96" s="188"/>
      <c r="R96" s="189"/>
      <c r="S96" s="186"/>
      <c r="T96" s="187"/>
      <c r="U96" s="188"/>
      <c r="V96" s="189"/>
      <c r="W96" s="186"/>
      <c r="X96" s="187"/>
      <c r="Y96" s="188"/>
      <c r="Z96" s="189"/>
      <c r="AA96" s="186"/>
      <c r="AB96" s="187"/>
      <c r="AC96" s="188"/>
      <c r="AD96" s="189"/>
      <c r="AE96" s="186"/>
      <c r="AF96" s="187"/>
      <c r="AG96" s="188"/>
      <c r="AH96" s="189"/>
      <c r="AI96" s="186"/>
      <c r="AJ96" s="187"/>
      <c r="AK96" s="188"/>
      <c r="AL96" s="189"/>
      <c r="AM96" s="186"/>
      <c r="AN96" s="187"/>
      <c r="AO96" s="188"/>
      <c r="AP96" s="189"/>
      <c r="AQ96" s="186"/>
      <c r="AR96" s="187"/>
      <c r="AS96" s="188"/>
      <c r="AT96" s="189"/>
      <c r="AU96" s="186"/>
      <c r="AV96" s="187"/>
      <c r="AW96" s="188"/>
      <c r="AX96" s="189"/>
      <c r="AY96" s="186"/>
      <c r="AZ96" s="187"/>
      <c r="BA96" s="188"/>
      <c r="BB96" s="189"/>
      <c r="BC96" s="186"/>
      <c r="BD96" s="187"/>
      <c r="BE96" s="188"/>
      <c r="BF96" s="189"/>
      <c r="BG96" s="186"/>
      <c r="BH96" s="187"/>
      <c r="BI96" s="188"/>
      <c r="BJ96" s="189"/>
      <c r="BK96" s="186"/>
      <c r="BL96" s="187"/>
      <c r="BM96" s="188"/>
      <c r="BN96" s="189"/>
      <c r="BO96" s="186"/>
      <c r="BP96" s="187"/>
      <c r="BQ96" s="188"/>
      <c r="BR96" s="189"/>
      <c r="BS96" s="186"/>
      <c r="BT96" s="187"/>
      <c r="BU96" s="188"/>
      <c r="BV96" s="189"/>
      <c r="BW96" s="186"/>
      <c r="BX96" s="187"/>
      <c r="BY96" s="188"/>
      <c r="BZ96" s="189"/>
      <c r="CA96" s="186"/>
      <c r="CB96" s="190"/>
      <c r="CC96" s="190"/>
      <c r="CD96" s="82">
        <f t="shared" si="235"/>
        <v>0</v>
      </c>
      <c r="CE96" s="82">
        <f t="shared" si="236"/>
        <v>0</v>
      </c>
      <c r="CF96" s="82">
        <f t="shared" si="237"/>
        <v>0</v>
      </c>
      <c r="CG96" s="82">
        <f t="shared" si="238"/>
        <v>0</v>
      </c>
      <c r="CH96" s="82">
        <f t="shared" si="239"/>
        <v>0</v>
      </c>
      <c r="CI96" s="82">
        <f t="shared" si="240"/>
        <v>0</v>
      </c>
      <c r="CJ96" s="82">
        <f t="shared" si="241"/>
        <v>0</v>
      </c>
      <c r="CK96" s="82">
        <f t="shared" si="242"/>
        <v>0</v>
      </c>
      <c r="CL96" s="82">
        <f t="shared" si="243"/>
        <v>0</v>
      </c>
      <c r="CM96" s="82">
        <f t="shared" si="244"/>
        <v>0</v>
      </c>
      <c r="CN96" s="82">
        <f t="shared" si="245"/>
        <v>0</v>
      </c>
      <c r="CO96" s="82">
        <f t="shared" si="246"/>
        <v>0</v>
      </c>
      <c r="CP96" s="82">
        <f t="shared" si="247"/>
        <v>0</v>
      </c>
      <c r="CQ96" s="82">
        <f t="shared" si="248"/>
        <v>0</v>
      </c>
      <c r="CR96" s="82">
        <f t="shared" si="249"/>
        <v>0</v>
      </c>
      <c r="CS96" s="82">
        <f t="shared" si="250"/>
        <v>0</v>
      </c>
      <c r="CT96" s="82">
        <f t="shared" si="251"/>
        <v>0</v>
      </c>
      <c r="CU96" s="82">
        <f t="shared" si="252"/>
        <v>0</v>
      </c>
      <c r="CV96" s="82">
        <f t="shared" si="253"/>
        <v>0</v>
      </c>
      <c r="CW96" s="82">
        <f t="shared" si="254"/>
        <v>0</v>
      </c>
      <c r="CX96" s="82">
        <f t="shared" si="255"/>
        <v>0</v>
      </c>
      <c r="CY96" s="82">
        <f t="shared" si="256"/>
        <v>0</v>
      </c>
      <c r="CZ96" s="82">
        <f t="shared" si="257"/>
        <v>0</v>
      </c>
      <c r="DA96" s="82">
        <f t="shared" si="258"/>
        <v>0</v>
      </c>
      <c r="DB96" s="82">
        <f t="shared" si="259"/>
        <v>0</v>
      </c>
      <c r="DC96" s="82">
        <f t="shared" si="260"/>
        <v>0</v>
      </c>
      <c r="DD96" s="82">
        <f t="shared" si="261"/>
        <v>0</v>
      </c>
      <c r="DE96" s="82">
        <f t="shared" si="262"/>
        <v>0</v>
      </c>
      <c r="DF96" s="82">
        <f t="shared" si="263"/>
        <v>0</v>
      </c>
      <c r="DG96" s="82">
        <f t="shared" si="264"/>
        <v>0</v>
      </c>
      <c r="DH96" s="82">
        <f t="shared" si="265"/>
        <v>0</v>
      </c>
      <c r="DI96" s="82">
        <f t="shared" si="266"/>
        <v>0</v>
      </c>
      <c r="DJ96" s="82">
        <f t="shared" si="267"/>
        <v>0</v>
      </c>
      <c r="DK96" s="82">
        <f t="shared" si="268"/>
        <v>0</v>
      </c>
      <c r="DL96" s="82">
        <f t="shared" si="269"/>
        <v>0</v>
      </c>
      <c r="DM96" s="82">
        <f t="shared" si="270"/>
        <v>0</v>
      </c>
      <c r="DN96" s="82">
        <f t="shared" si="271"/>
        <v>0</v>
      </c>
      <c r="DO96" s="82">
        <f t="shared" si="272"/>
        <v>0</v>
      </c>
      <c r="DP96" s="82">
        <f t="shared" si="273"/>
        <v>0</v>
      </c>
      <c r="DQ96" s="82">
        <f t="shared" si="274"/>
        <v>0</v>
      </c>
      <c r="DR96" s="82">
        <f t="shared" si="275"/>
        <v>0</v>
      </c>
      <c r="DS96" s="82">
        <f t="shared" si="276"/>
        <v>0</v>
      </c>
      <c r="DT96" s="82">
        <f t="shared" si="277"/>
        <v>0</v>
      </c>
      <c r="DU96" s="82">
        <f t="shared" si="278"/>
        <v>0</v>
      </c>
      <c r="DV96" s="82">
        <f t="shared" si="279"/>
        <v>0</v>
      </c>
      <c r="DW96" s="82">
        <f t="shared" si="280"/>
        <v>0</v>
      </c>
      <c r="DX96" s="82">
        <f t="shared" si="281"/>
        <v>0</v>
      </c>
      <c r="DY96" s="82">
        <f t="shared" si="282"/>
        <v>0</v>
      </c>
      <c r="DZ96" s="82">
        <f t="shared" si="283"/>
        <v>0</v>
      </c>
      <c r="EA96" s="82">
        <f t="shared" si="284"/>
        <v>0</v>
      </c>
      <c r="EB96" s="82">
        <f t="shared" si="285"/>
        <v>0</v>
      </c>
      <c r="EC96" s="82">
        <f t="shared" si="286"/>
        <v>0</v>
      </c>
      <c r="ED96" s="82">
        <f t="shared" si="287"/>
        <v>0</v>
      </c>
      <c r="EE96" s="82">
        <f t="shared" si="288"/>
        <v>0</v>
      </c>
      <c r="EF96" s="82">
        <f t="shared" si="289"/>
        <v>0</v>
      </c>
      <c r="EG96" s="82">
        <f t="shared" si="290"/>
        <v>0</v>
      </c>
      <c r="EH96" s="82">
        <f t="shared" si="291"/>
        <v>0</v>
      </c>
      <c r="EI96" s="82">
        <f t="shared" si="292"/>
        <v>0</v>
      </c>
      <c r="EJ96" s="82">
        <f t="shared" si="293"/>
        <v>0</v>
      </c>
      <c r="EK96" s="82">
        <f t="shared" si="294"/>
        <v>0</v>
      </c>
      <c r="EL96" s="82">
        <f t="shared" si="295"/>
        <v>0</v>
      </c>
      <c r="EM96" s="82">
        <f t="shared" si="296"/>
        <v>0</v>
      </c>
      <c r="EN96" s="82">
        <f t="shared" si="297"/>
        <v>0</v>
      </c>
      <c r="EO96" s="82">
        <f t="shared" si="298"/>
        <v>0</v>
      </c>
      <c r="EP96" s="82">
        <f t="shared" si="299"/>
        <v>0</v>
      </c>
      <c r="EQ96" s="82">
        <f t="shared" si="300"/>
        <v>0</v>
      </c>
      <c r="ER96" s="82">
        <f t="shared" si="301"/>
        <v>0</v>
      </c>
      <c r="ES96" s="82">
        <f t="shared" si="302"/>
        <v>0</v>
      </c>
      <c r="ET96" s="82">
        <f t="shared" si="303"/>
        <v>0</v>
      </c>
      <c r="EU96" s="82">
        <f t="shared" si="304"/>
        <v>0</v>
      </c>
      <c r="EV96" s="82">
        <f t="shared" si="305"/>
        <v>0</v>
      </c>
      <c r="EW96" s="82">
        <f t="shared" si="306"/>
        <v>0</v>
      </c>
      <c r="EX96" s="82">
        <f t="shared" si="307"/>
        <v>0</v>
      </c>
      <c r="EY96" s="111">
        <f t="shared" si="308"/>
        <v>0</v>
      </c>
      <c r="EZ96" s="143" t="e">
        <f t="shared" ca="1" si="309"/>
        <v>#N/A</v>
      </c>
      <c r="FA96" s="112" t="e">
        <f t="shared" ca="1" si="310"/>
        <v>#N/A</v>
      </c>
      <c r="FB96" s="113" t="e">
        <f t="shared" ca="1" si="311"/>
        <v>#N/A</v>
      </c>
      <c r="FC96" s="114" t="e">
        <f t="shared" ca="1" si="312"/>
        <v>#N/A</v>
      </c>
      <c r="FD96" s="115">
        <f t="shared" ca="1" si="313"/>
        <v>0</v>
      </c>
      <c r="FE96" s="116" t="e">
        <f t="shared" ca="1" si="314"/>
        <v>#N/A</v>
      </c>
      <c r="FF96" s="117" t="e">
        <f t="shared" ca="1" si="315"/>
        <v>#N/A</v>
      </c>
      <c r="FG96" s="71">
        <f t="shared" si="316"/>
        <v>0</v>
      </c>
      <c r="FH96" s="530" t="e">
        <f t="shared" ca="1" si="317"/>
        <v>#N/A</v>
      </c>
      <c r="FI96" s="72"/>
      <c r="FJ96" s="72"/>
      <c r="FK96" s="72"/>
      <c r="FM96" s="421">
        <f t="shared" si="318"/>
        <v>0</v>
      </c>
      <c r="FN96" s="422" t="e">
        <f t="shared" ca="1" si="319"/>
        <v>#N/A</v>
      </c>
      <c r="FO96" s="423">
        <f t="shared" ca="1" si="328"/>
        <v>0</v>
      </c>
      <c r="FP96" s="423">
        <f t="shared" ca="1" si="328"/>
        <v>0</v>
      </c>
      <c r="FQ96" s="423">
        <f t="shared" ca="1" si="328"/>
        <v>0</v>
      </c>
      <c r="FR96" s="423">
        <f t="shared" ca="1" si="328"/>
        <v>0</v>
      </c>
      <c r="FS96" s="423">
        <f t="shared" ca="1" si="328"/>
        <v>0</v>
      </c>
      <c r="FT96" s="423">
        <f t="shared" ca="1" si="328"/>
        <v>0</v>
      </c>
      <c r="FU96" s="423">
        <f t="shared" ca="1" si="328"/>
        <v>0</v>
      </c>
      <c r="FV96" s="423">
        <f t="shared" ca="1" si="328"/>
        <v>0</v>
      </c>
      <c r="FW96" s="423">
        <f t="shared" ca="1" si="328"/>
        <v>0</v>
      </c>
      <c r="FX96" s="423">
        <f t="shared" ca="1" si="328"/>
        <v>0</v>
      </c>
      <c r="FY96" s="423">
        <f t="shared" ca="1" si="328"/>
        <v>0</v>
      </c>
      <c r="FZ96" s="423">
        <f t="shared" ca="1" si="328"/>
        <v>0</v>
      </c>
      <c r="GA96" s="423">
        <f t="shared" ca="1" si="328"/>
        <v>0</v>
      </c>
      <c r="GB96" s="423">
        <f t="shared" ca="1" si="328"/>
        <v>0</v>
      </c>
      <c r="GC96" s="423">
        <f t="shared" ca="1" si="328"/>
        <v>0</v>
      </c>
      <c r="GD96" s="423">
        <f t="shared" ca="1" si="328"/>
        <v>0</v>
      </c>
      <c r="GE96" s="423">
        <f t="shared" ca="1" si="326"/>
        <v>0</v>
      </c>
      <c r="GF96" s="423">
        <f t="shared" ca="1" si="326"/>
        <v>0</v>
      </c>
      <c r="GG96" s="423">
        <f t="shared" ca="1" si="326"/>
        <v>0</v>
      </c>
      <c r="GH96" s="423">
        <f t="shared" ca="1" si="326"/>
        <v>0</v>
      </c>
      <c r="GI96" s="423">
        <f t="shared" ca="1" si="326"/>
        <v>0</v>
      </c>
      <c r="GJ96" s="423">
        <f t="shared" ca="1" si="326"/>
        <v>0</v>
      </c>
      <c r="GK96" s="423">
        <f t="shared" ca="1" si="326"/>
        <v>0</v>
      </c>
      <c r="GL96" s="423">
        <f t="shared" ca="1" si="326"/>
        <v>0</v>
      </c>
      <c r="GM96" s="423">
        <f t="shared" ca="1" si="326"/>
        <v>0</v>
      </c>
      <c r="GN96" s="423">
        <f t="shared" ca="1" si="326"/>
        <v>0</v>
      </c>
      <c r="GO96" s="423">
        <f t="shared" ca="1" si="326"/>
        <v>0</v>
      </c>
      <c r="GP96" s="423">
        <f t="shared" ca="1" si="326"/>
        <v>0</v>
      </c>
      <c r="GQ96" s="423">
        <f t="shared" ca="1" si="326"/>
        <v>0</v>
      </c>
      <c r="GR96" s="423">
        <f t="shared" ca="1" si="326"/>
        <v>0</v>
      </c>
      <c r="GS96" s="423">
        <f t="shared" ca="1" si="325"/>
        <v>0</v>
      </c>
      <c r="GT96" s="423">
        <f t="shared" ca="1" si="325"/>
        <v>0</v>
      </c>
      <c r="GU96" s="423">
        <f t="shared" ca="1" si="325"/>
        <v>0</v>
      </c>
      <c r="GV96" s="423">
        <f t="shared" ca="1" si="325"/>
        <v>0</v>
      </c>
      <c r="GW96" s="423">
        <f t="shared" ca="1" si="325"/>
        <v>0</v>
      </c>
      <c r="GX96" s="423">
        <f t="shared" ca="1" si="325"/>
        <v>0</v>
      </c>
      <c r="GY96" s="423">
        <f t="shared" ca="1" si="325"/>
        <v>0</v>
      </c>
      <c r="GZ96" s="423">
        <f t="shared" ca="1" si="325"/>
        <v>0</v>
      </c>
      <c r="HA96" s="423">
        <f t="shared" ca="1" si="325"/>
        <v>0</v>
      </c>
      <c r="HB96" s="423">
        <f t="shared" ca="1" si="325"/>
        <v>0</v>
      </c>
      <c r="HC96" s="423">
        <f t="shared" ca="1" si="325"/>
        <v>0</v>
      </c>
      <c r="HD96" s="423">
        <f t="shared" ca="1" si="325"/>
        <v>0</v>
      </c>
      <c r="HE96" s="423">
        <f t="shared" ca="1" si="325"/>
        <v>0</v>
      </c>
      <c r="HF96" s="423">
        <f t="shared" ca="1" si="325"/>
        <v>0</v>
      </c>
      <c r="HG96" s="423">
        <f t="shared" ca="1" si="325"/>
        <v>0</v>
      </c>
      <c r="HH96" s="423">
        <f t="shared" ca="1" si="325"/>
        <v>0</v>
      </c>
      <c r="HI96" s="423">
        <f t="shared" ca="1" si="327"/>
        <v>0</v>
      </c>
      <c r="HJ96" s="423">
        <f t="shared" ca="1" si="324"/>
        <v>0</v>
      </c>
      <c r="HK96" s="423">
        <f t="shared" ca="1" si="324"/>
        <v>0</v>
      </c>
      <c r="HL96" s="423">
        <f t="shared" ca="1" si="324"/>
        <v>0</v>
      </c>
      <c r="HM96" s="423">
        <f t="shared" ca="1" si="324"/>
        <v>0</v>
      </c>
      <c r="HN96" s="423">
        <f t="shared" ca="1" si="324"/>
        <v>0</v>
      </c>
      <c r="HO96" s="423">
        <f t="shared" ca="1" si="324"/>
        <v>0</v>
      </c>
      <c r="HP96" s="423">
        <f t="shared" ca="1" si="324"/>
        <v>0</v>
      </c>
      <c r="HQ96" s="423">
        <f t="shared" ca="1" si="324"/>
        <v>0</v>
      </c>
      <c r="HR96" s="423">
        <f t="shared" ca="1" si="324"/>
        <v>0</v>
      </c>
      <c r="HS96" s="423">
        <f t="shared" ca="1" si="324"/>
        <v>0</v>
      </c>
      <c r="HT96" s="423">
        <f t="shared" ca="1" si="324"/>
        <v>0</v>
      </c>
    </row>
    <row r="97" spans="1:228" ht="11.25" customHeight="1" x14ac:dyDescent="0.2">
      <c r="A97" s="62">
        <f t="shared" si="322"/>
        <v>86</v>
      </c>
      <c r="B97" s="60">
        <f>Spaces_Sum!C142</f>
        <v>0</v>
      </c>
      <c r="C97" s="62" t="str">
        <f>Spaces_Sum!D142</f>
        <v>0</v>
      </c>
      <c r="D97" s="62" t="e">
        <f ca="1">Spaces_Sum!I142</f>
        <v>#N/A</v>
      </c>
      <c r="F97" s="110" t="e">
        <f ca="1">Spaces_Sum!M142</f>
        <v>#N/A</v>
      </c>
      <c r="G97" s="110" t="e">
        <f ca="1">Spaces_Sum!J142</f>
        <v>#N/A</v>
      </c>
      <c r="H97" s="532"/>
      <c r="I97" s="185"/>
      <c r="J97" s="185"/>
      <c r="K97" s="186"/>
      <c r="L97" s="187"/>
      <c r="M97" s="188"/>
      <c r="N97" s="189"/>
      <c r="O97" s="186"/>
      <c r="P97" s="187"/>
      <c r="Q97" s="188"/>
      <c r="R97" s="189"/>
      <c r="S97" s="186"/>
      <c r="T97" s="187"/>
      <c r="U97" s="188"/>
      <c r="V97" s="189"/>
      <c r="W97" s="186"/>
      <c r="X97" s="187"/>
      <c r="Y97" s="188"/>
      <c r="Z97" s="189"/>
      <c r="AA97" s="186"/>
      <c r="AB97" s="187"/>
      <c r="AC97" s="188"/>
      <c r="AD97" s="189"/>
      <c r="AE97" s="186"/>
      <c r="AF97" s="187"/>
      <c r="AG97" s="188"/>
      <c r="AH97" s="189"/>
      <c r="AI97" s="186"/>
      <c r="AJ97" s="187"/>
      <c r="AK97" s="188"/>
      <c r="AL97" s="189"/>
      <c r="AM97" s="186"/>
      <c r="AN97" s="187"/>
      <c r="AO97" s="188"/>
      <c r="AP97" s="189"/>
      <c r="AQ97" s="186"/>
      <c r="AR97" s="187"/>
      <c r="AS97" s="188"/>
      <c r="AT97" s="189"/>
      <c r="AU97" s="186"/>
      <c r="AV97" s="187"/>
      <c r="AW97" s="188"/>
      <c r="AX97" s="189"/>
      <c r="AY97" s="186"/>
      <c r="AZ97" s="187"/>
      <c r="BA97" s="188"/>
      <c r="BB97" s="189"/>
      <c r="BC97" s="186"/>
      <c r="BD97" s="187"/>
      <c r="BE97" s="188"/>
      <c r="BF97" s="189"/>
      <c r="BG97" s="186"/>
      <c r="BH97" s="187"/>
      <c r="BI97" s="188"/>
      <c r="BJ97" s="189"/>
      <c r="BK97" s="186"/>
      <c r="BL97" s="187"/>
      <c r="BM97" s="188"/>
      <c r="BN97" s="189"/>
      <c r="BO97" s="186"/>
      <c r="BP97" s="187"/>
      <c r="BQ97" s="188"/>
      <c r="BR97" s="189"/>
      <c r="BS97" s="186"/>
      <c r="BT97" s="187"/>
      <c r="BU97" s="188"/>
      <c r="BV97" s="189"/>
      <c r="BW97" s="186"/>
      <c r="BX97" s="187"/>
      <c r="BY97" s="188"/>
      <c r="BZ97" s="189"/>
      <c r="CA97" s="186"/>
      <c r="CB97" s="190"/>
      <c r="CC97" s="190"/>
      <c r="CD97" s="82">
        <f t="shared" si="235"/>
        <v>0</v>
      </c>
      <c r="CE97" s="82">
        <f t="shared" si="236"/>
        <v>0</v>
      </c>
      <c r="CF97" s="82">
        <f t="shared" si="237"/>
        <v>0</v>
      </c>
      <c r="CG97" s="82">
        <f t="shared" si="238"/>
        <v>0</v>
      </c>
      <c r="CH97" s="82">
        <f t="shared" si="239"/>
        <v>0</v>
      </c>
      <c r="CI97" s="82">
        <f t="shared" si="240"/>
        <v>0</v>
      </c>
      <c r="CJ97" s="82">
        <f t="shared" si="241"/>
        <v>0</v>
      </c>
      <c r="CK97" s="82">
        <f t="shared" si="242"/>
        <v>0</v>
      </c>
      <c r="CL97" s="82">
        <f t="shared" si="243"/>
        <v>0</v>
      </c>
      <c r="CM97" s="82">
        <f t="shared" si="244"/>
        <v>0</v>
      </c>
      <c r="CN97" s="82">
        <f t="shared" si="245"/>
        <v>0</v>
      </c>
      <c r="CO97" s="82">
        <f t="shared" si="246"/>
        <v>0</v>
      </c>
      <c r="CP97" s="82">
        <f t="shared" si="247"/>
        <v>0</v>
      </c>
      <c r="CQ97" s="82">
        <f t="shared" si="248"/>
        <v>0</v>
      </c>
      <c r="CR97" s="82">
        <f t="shared" si="249"/>
        <v>0</v>
      </c>
      <c r="CS97" s="82">
        <f t="shared" si="250"/>
        <v>0</v>
      </c>
      <c r="CT97" s="82">
        <f t="shared" si="251"/>
        <v>0</v>
      </c>
      <c r="CU97" s="82">
        <f t="shared" si="252"/>
        <v>0</v>
      </c>
      <c r="CV97" s="82">
        <f t="shared" si="253"/>
        <v>0</v>
      </c>
      <c r="CW97" s="82">
        <f t="shared" si="254"/>
        <v>0</v>
      </c>
      <c r="CX97" s="82">
        <f t="shared" si="255"/>
        <v>0</v>
      </c>
      <c r="CY97" s="82">
        <f t="shared" si="256"/>
        <v>0</v>
      </c>
      <c r="CZ97" s="82">
        <f t="shared" si="257"/>
        <v>0</v>
      </c>
      <c r="DA97" s="82">
        <f t="shared" si="258"/>
        <v>0</v>
      </c>
      <c r="DB97" s="82">
        <f t="shared" si="259"/>
        <v>0</v>
      </c>
      <c r="DC97" s="82">
        <f t="shared" si="260"/>
        <v>0</v>
      </c>
      <c r="DD97" s="82">
        <f t="shared" si="261"/>
        <v>0</v>
      </c>
      <c r="DE97" s="82">
        <f t="shared" si="262"/>
        <v>0</v>
      </c>
      <c r="DF97" s="82">
        <f t="shared" si="263"/>
        <v>0</v>
      </c>
      <c r="DG97" s="82">
        <f t="shared" si="264"/>
        <v>0</v>
      </c>
      <c r="DH97" s="82">
        <f t="shared" si="265"/>
        <v>0</v>
      </c>
      <c r="DI97" s="82">
        <f t="shared" si="266"/>
        <v>0</v>
      </c>
      <c r="DJ97" s="82">
        <f t="shared" si="267"/>
        <v>0</v>
      </c>
      <c r="DK97" s="82">
        <f t="shared" si="268"/>
        <v>0</v>
      </c>
      <c r="DL97" s="82">
        <f t="shared" si="269"/>
        <v>0</v>
      </c>
      <c r="DM97" s="82">
        <f t="shared" si="270"/>
        <v>0</v>
      </c>
      <c r="DN97" s="82">
        <f t="shared" si="271"/>
        <v>0</v>
      </c>
      <c r="DO97" s="82">
        <f t="shared" si="272"/>
        <v>0</v>
      </c>
      <c r="DP97" s="82">
        <f t="shared" si="273"/>
        <v>0</v>
      </c>
      <c r="DQ97" s="82">
        <f t="shared" si="274"/>
        <v>0</v>
      </c>
      <c r="DR97" s="82">
        <f t="shared" si="275"/>
        <v>0</v>
      </c>
      <c r="DS97" s="82">
        <f t="shared" si="276"/>
        <v>0</v>
      </c>
      <c r="DT97" s="82">
        <f t="shared" si="277"/>
        <v>0</v>
      </c>
      <c r="DU97" s="82">
        <f t="shared" si="278"/>
        <v>0</v>
      </c>
      <c r="DV97" s="82">
        <f t="shared" si="279"/>
        <v>0</v>
      </c>
      <c r="DW97" s="82">
        <f t="shared" si="280"/>
        <v>0</v>
      </c>
      <c r="DX97" s="82">
        <f t="shared" si="281"/>
        <v>0</v>
      </c>
      <c r="DY97" s="82">
        <f t="shared" si="282"/>
        <v>0</v>
      </c>
      <c r="DZ97" s="82">
        <f t="shared" si="283"/>
        <v>0</v>
      </c>
      <c r="EA97" s="82">
        <f t="shared" si="284"/>
        <v>0</v>
      </c>
      <c r="EB97" s="82">
        <f t="shared" si="285"/>
        <v>0</v>
      </c>
      <c r="EC97" s="82">
        <f t="shared" si="286"/>
        <v>0</v>
      </c>
      <c r="ED97" s="82">
        <f t="shared" si="287"/>
        <v>0</v>
      </c>
      <c r="EE97" s="82">
        <f t="shared" si="288"/>
        <v>0</v>
      </c>
      <c r="EF97" s="82">
        <f t="shared" si="289"/>
        <v>0</v>
      </c>
      <c r="EG97" s="82">
        <f t="shared" si="290"/>
        <v>0</v>
      </c>
      <c r="EH97" s="82">
        <f t="shared" si="291"/>
        <v>0</v>
      </c>
      <c r="EI97" s="82">
        <f t="shared" si="292"/>
        <v>0</v>
      </c>
      <c r="EJ97" s="82">
        <f t="shared" si="293"/>
        <v>0</v>
      </c>
      <c r="EK97" s="82">
        <f t="shared" si="294"/>
        <v>0</v>
      </c>
      <c r="EL97" s="82">
        <f t="shared" si="295"/>
        <v>0</v>
      </c>
      <c r="EM97" s="82">
        <f t="shared" si="296"/>
        <v>0</v>
      </c>
      <c r="EN97" s="82">
        <f t="shared" si="297"/>
        <v>0</v>
      </c>
      <c r="EO97" s="82">
        <f t="shared" si="298"/>
        <v>0</v>
      </c>
      <c r="EP97" s="82">
        <f t="shared" si="299"/>
        <v>0</v>
      </c>
      <c r="EQ97" s="82">
        <f t="shared" si="300"/>
        <v>0</v>
      </c>
      <c r="ER97" s="82">
        <f t="shared" si="301"/>
        <v>0</v>
      </c>
      <c r="ES97" s="82">
        <f t="shared" si="302"/>
        <v>0</v>
      </c>
      <c r="ET97" s="82">
        <f t="shared" si="303"/>
        <v>0</v>
      </c>
      <c r="EU97" s="82">
        <f t="shared" si="304"/>
        <v>0</v>
      </c>
      <c r="EV97" s="82">
        <f t="shared" si="305"/>
        <v>0</v>
      </c>
      <c r="EW97" s="82">
        <f t="shared" si="306"/>
        <v>0</v>
      </c>
      <c r="EX97" s="82">
        <f t="shared" si="307"/>
        <v>0</v>
      </c>
      <c r="EY97" s="111">
        <f t="shared" si="308"/>
        <v>0</v>
      </c>
      <c r="EZ97" s="143" t="e">
        <f t="shared" ca="1" si="309"/>
        <v>#N/A</v>
      </c>
      <c r="FA97" s="112" t="e">
        <f t="shared" ca="1" si="310"/>
        <v>#N/A</v>
      </c>
      <c r="FB97" s="113" t="e">
        <f t="shared" ca="1" si="311"/>
        <v>#N/A</v>
      </c>
      <c r="FC97" s="114" t="e">
        <f t="shared" ca="1" si="312"/>
        <v>#N/A</v>
      </c>
      <c r="FD97" s="115">
        <f t="shared" ca="1" si="313"/>
        <v>0</v>
      </c>
      <c r="FE97" s="116" t="e">
        <f t="shared" ca="1" si="314"/>
        <v>#N/A</v>
      </c>
      <c r="FF97" s="117" t="e">
        <f t="shared" ca="1" si="315"/>
        <v>#N/A</v>
      </c>
      <c r="FG97" s="71">
        <f t="shared" si="316"/>
        <v>0</v>
      </c>
      <c r="FH97" s="530" t="e">
        <f t="shared" ca="1" si="317"/>
        <v>#N/A</v>
      </c>
      <c r="FI97" s="72"/>
      <c r="FJ97" s="72"/>
      <c r="FK97" s="72"/>
      <c r="FM97" s="421">
        <f t="shared" si="318"/>
        <v>0</v>
      </c>
      <c r="FN97" s="422" t="e">
        <f t="shared" ca="1" si="319"/>
        <v>#N/A</v>
      </c>
      <c r="FO97" s="423">
        <f t="shared" ca="1" si="328"/>
        <v>0</v>
      </c>
      <c r="FP97" s="423">
        <f t="shared" ca="1" si="328"/>
        <v>0</v>
      </c>
      <c r="FQ97" s="423">
        <f t="shared" ca="1" si="328"/>
        <v>0</v>
      </c>
      <c r="FR97" s="423">
        <f t="shared" ca="1" si="328"/>
        <v>0</v>
      </c>
      <c r="FS97" s="423">
        <f t="shared" ca="1" si="328"/>
        <v>0</v>
      </c>
      <c r="FT97" s="423">
        <f t="shared" ca="1" si="328"/>
        <v>0</v>
      </c>
      <c r="FU97" s="423">
        <f t="shared" ca="1" si="328"/>
        <v>0</v>
      </c>
      <c r="FV97" s="423">
        <f t="shared" ca="1" si="328"/>
        <v>0</v>
      </c>
      <c r="FW97" s="423">
        <f t="shared" ca="1" si="328"/>
        <v>0</v>
      </c>
      <c r="FX97" s="423">
        <f t="shared" ca="1" si="328"/>
        <v>0</v>
      </c>
      <c r="FY97" s="423">
        <f t="shared" ca="1" si="328"/>
        <v>0</v>
      </c>
      <c r="FZ97" s="423">
        <f t="shared" ca="1" si="328"/>
        <v>0</v>
      </c>
      <c r="GA97" s="423">
        <f t="shared" ca="1" si="328"/>
        <v>0</v>
      </c>
      <c r="GB97" s="423">
        <f t="shared" ca="1" si="328"/>
        <v>0</v>
      </c>
      <c r="GC97" s="423">
        <f t="shared" ca="1" si="328"/>
        <v>0</v>
      </c>
      <c r="GD97" s="423">
        <f t="shared" ca="1" si="328"/>
        <v>0</v>
      </c>
      <c r="GE97" s="423">
        <f t="shared" ca="1" si="326"/>
        <v>0</v>
      </c>
      <c r="GF97" s="423">
        <f t="shared" ca="1" si="326"/>
        <v>0</v>
      </c>
      <c r="GG97" s="423">
        <f t="shared" ca="1" si="326"/>
        <v>0</v>
      </c>
      <c r="GH97" s="423">
        <f t="shared" ca="1" si="326"/>
        <v>0</v>
      </c>
      <c r="GI97" s="423">
        <f t="shared" ca="1" si="326"/>
        <v>0</v>
      </c>
      <c r="GJ97" s="423">
        <f t="shared" ca="1" si="326"/>
        <v>0</v>
      </c>
      <c r="GK97" s="423">
        <f t="shared" ca="1" si="326"/>
        <v>0</v>
      </c>
      <c r="GL97" s="423">
        <f t="shared" ca="1" si="326"/>
        <v>0</v>
      </c>
      <c r="GM97" s="423">
        <f t="shared" ca="1" si="326"/>
        <v>0</v>
      </c>
      <c r="GN97" s="423">
        <f t="shared" ca="1" si="326"/>
        <v>0</v>
      </c>
      <c r="GO97" s="423">
        <f t="shared" ca="1" si="326"/>
        <v>0</v>
      </c>
      <c r="GP97" s="423">
        <f t="shared" ca="1" si="326"/>
        <v>0</v>
      </c>
      <c r="GQ97" s="423">
        <f t="shared" ca="1" si="326"/>
        <v>0</v>
      </c>
      <c r="GR97" s="423">
        <f t="shared" ca="1" si="326"/>
        <v>0</v>
      </c>
      <c r="GS97" s="423">
        <f t="shared" ca="1" si="325"/>
        <v>0</v>
      </c>
      <c r="GT97" s="423">
        <f t="shared" ca="1" si="325"/>
        <v>0</v>
      </c>
      <c r="GU97" s="423">
        <f t="shared" ca="1" si="325"/>
        <v>0</v>
      </c>
      <c r="GV97" s="423">
        <f t="shared" ca="1" si="325"/>
        <v>0</v>
      </c>
      <c r="GW97" s="423">
        <f t="shared" ca="1" si="325"/>
        <v>0</v>
      </c>
      <c r="GX97" s="423">
        <f t="shared" ca="1" si="325"/>
        <v>0</v>
      </c>
      <c r="GY97" s="423">
        <f t="shared" ca="1" si="325"/>
        <v>0</v>
      </c>
      <c r="GZ97" s="423">
        <f t="shared" ca="1" si="325"/>
        <v>0</v>
      </c>
      <c r="HA97" s="423">
        <f t="shared" ca="1" si="325"/>
        <v>0</v>
      </c>
      <c r="HB97" s="423">
        <f t="shared" ca="1" si="325"/>
        <v>0</v>
      </c>
      <c r="HC97" s="423">
        <f t="shared" ca="1" si="325"/>
        <v>0</v>
      </c>
      <c r="HD97" s="423">
        <f t="shared" ca="1" si="325"/>
        <v>0</v>
      </c>
      <c r="HE97" s="423">
        <f t="shared" ca="1" si="325"/>
        <v>0</v>
      </c>
      <c r="HF97" s="423">
        <f t="shared" ca="1" si="325"/>
        <v>0</v>
      </c>
      <c r="HG97" s="423">
        <f t="shared" ca="1" si="325"/>
        <v>0</v>
      </c>
      <c r="HH97" s="423">
        <f t="shared" ca="1" si="325"/>
        <v>0</v>
      </c>
      <c r="HI97" s="423">
        <f t="shared" ca="1" si="327"/>
        <v>0</v>
      </c>
      <c r="HJ97" s="423">
        <f t="shared" ca="1" si="324"/>
        <v>0</v>
      </c>
      <c r="HK97" s="423">
        <f t="shared" ca="1" si="324"/>
        <v>0</v>
      </c>
      <c r="HL97" s="423">
        <f t="shared" ca="1" si="324"/>
        <v>0</v>
      </c>
      <c r="HM97" s="423">
        <f t="shared" ca="1" si="324"/>
        <v>0</v>
      </c>
      <c r="HN97" s="423">
        <f t="shared" ca="1" si="324"/>
        <v>0</v>
      </c>
      <c r="HO97" s="423">
        <f t="shared" ca="1" si="324"/>
        <v>0</v>
      </c>
      <c r="HP97" s="423">
        <f t="shared" ca="1" si="324"/>
        <v>0</v>
      </c>
      <c r="HQ97" s="423">
        <f t="shared" ca="1" si="324"/>
        <v>0</v>
      </c>
      <c r="HR97" s="423">
        <f t="shared" ca="1" si="324"/>
        <v>0</v>
      </c>
      <c r="HS97" s="423">
        <f t="shared" ca="1" si="324"/>
        <v>0</v>
      </c>
      <c r="HT97" s="423">
        <f t="shared" ca="1" si="324"/>
        <v>0</v>
      </c>
    </row>
    <row r="98" spans="1:228" ht="11.25" customHeight="1" x14ac:dyDescent="0.2">
      <c r="A98" s="62">
        <f t="shared" si="322"/>
        <v>87</v>
      </c>
      <c r="B98" s="60">
        <f>Spaces_Sum!C143</f>
        <v>0</v>
      </c>
      <c r="C98" s="62" t="str">
        <f>Spaces_Sum!D143</f>
        <v>0</v>
      </c>
      <c r="D98" s="62" t="e">
        <f ca="1">Spaces_Sum!I143</f>
        <v>#N/A</v>
      </c>
      <c r="F98" s="110" t="e">
        <f ca="1">Spaces_Sum!M143</f>
        <v>#N/A</v>
      </c>
      <c r="G98" s="110" t="e">
        <f ca="1">Spaces_Sum!J143</f>
        <v>#N/A</v>
      </c>
      <c r="H98" s="532"/>
      <c r="I98" s="185"/>
      <c r="J98" s="185"/>
      <c r="K98" s="186"/>
      <c r="L98" s="187"/>
      <c r="M98" s="188"/>
      <c r="N98" s="189"/>
      <c r="O98" s="186"/>
      <c r="P98" s="187"/>
      <c r="Q98" s="188"/>
      <c r="R98" s="189"/>
      <c r="S98" s="186"/>
      <c r="T98" s="187"/>
      <c r="U98" s="188"/>
      <c r="V98" s="189"/>
      <c r="W98" s="186"/>
      <c r="X98" s="187"/>
      <c r="Y98" s="188"/>
      <c r="Z98" s="189"/>
      <c r="AA98" s="186"/>
      <c r="AB98" s="187"/>
      <c r="AC98" s="188"/>
      <c r="AD98" s="189"/>
      <c r="AE98" s="186"/>
      <c r="AF98" s="187"/>
      <c r="AG98" s="188"/>
      <c r="AH98" s="189"/>
      <c r="AI98" s="186"/>
      <c r="AJ98" s="187"/>
      <c r="AK98" s="188"/>
      <c r="AL98" s="189"/>
      <c r="AM98" s="186"/>
      <c r="AN98" s="187"/>
      <c r="AO98" s="188"/>
      <c r="AP98" s="189"/>
      <c r="AQ98" s="186"/>
      <c r="AR98" s="187"/>
      <c r="AS98" s="188"/>
      <c r="AT98" s="189"/>
      <c r="AU98" s="186"/>
      <c r="AV98" s="187"/>
      <c r="AW98" s="188"/>
      <c r="AX98" s="189"/>
      <c r="AY98" s="186"/>
      <c r="AZ98" s="187"/>
      <c r="BA98" s="188"/>
      <c r="BB98" s="189"/>
      <c r="BC98" s="186"/>
      <c r="BD98" s="187"/>
      <c r="BE98" s="188"/>
      <c r="BF98" s="189"/>
      <c r="BG98" s="186"/>
      <c r="BH98" s="187"/>
      <c r="BI98" s="188"/>
      <c r="BJ98" s="189"/>
      <c r="BK98" s="186"/>
      <c r="BL98" s="187"/>
      <c r="BM98" s="188"/>
      <c r="BN98" s="189"/>
      <c r="BO98" s="186"/>
      <c r="BP98" s="187"/>
      <c r="BQ98" s="188"/>
      <c r="BR98" s="189"/>
      <c r="BS98" s="186"/>
      <c r="BT98" s="187"/>
      <c r="BU98" s="188"/>
      <c r="BV98" s="189"/>
      <c r="BW98" s="186"/>
      <c r="BX98" s="187"/>
      <c r="BY98" s="188"/>
      <c r="BZ98" s="189"/>
      <c r="CA98" s="186"/>
      <c r="CB98" s="190"/>
      <c r="CC98" s="190"/>
      <c r="CD98" s="82">
        <f t="shared" si="235"/>
        <v>0</v>
      </c>
      <c r="CE98" s="82">
        <f t="shared" si="236"/>
        <v>0</v>
      </c>
      <c r="CF98" s="82">
        <f t="shared" si="237"/>
        <v>0</v>
      </c>
      <c r="CG98" s="82">
        <f t="shared" si="238"/>
        <v>0</v>
      </c>
      <c r="CH98" s="82">
        <f t="shared" si="239"/>
        <v>0</v>
      </c>
      <c r="CI98" s="82">
        <f t="shared" si="240"/>
        <v>0</v>
      </c>
      <c r="CJ98" s="82">
        <f t="shared" si="241"/>
        <v>0</v>
      </c>
      <c r="CK98" s="82">
        <f t="shared" si="242"/>
        <v>0</v>
      </c>
      <c r="CL98" s="82">
        <f t="shared" si="243"/>
        <v>0</v>
      </c>
      <c r="CM98" s="82">
        <f t="shared" si="244"/>
        <v>0</v>
      </c>
      <c r="CN98" s="82">
        <f t="shared" si="245"/>
        <v>0</v>
      </c>
      <c r="CO98" s="82">
        <f t="shared" si="246"/>
        <v>0</v>
      </c>
      <c r="CP98" s="82">
        <f t="shared" si="247"/>
        <v>0</v>
      </c>
      <c r="CQ98" s="82">
        <f t="shared" si="248"/>
        <v>0</v>
      </c>
      <c r="CR98" s="82">
        <f t="shared" si="249"/>
        <v>0</v>
      </c>
      <c r="CS98" s="82">
        <f t="shared" si="250"/>
        <v>0</v>
      </c>
      <c r="CT98" s="82">
        <f t="shared" si="251"/>
        <v>0</v>
      </c>
      <c r="CU98" s="82">
        <f t="shared" si="252"/>
        <v>0</v>
      </c>
      <c r="CV98" s="82">
        <f t="shared" si="253"/>
        <v>0</v>
      </c>
      <c r="CW98" s="82">
        <f t="shared" si="254"/>
        <v>0</v>
      </c>
      <c r="CX98" s="82">
        <f t="shared" si="255"/>
        <v>0</v>
      </c>
      <c r="CY98" s="82">
        <f t="shared" si="256"/>
        <v>0</v>
      </c>
      <c r="CZ98" s="82">
        <f t="shared" si="257"/>
        <v>0</v>
      </c>
      <c r="DA98" s="82">
        <f t="shared" si="258"/>
        <v>0</v>
      </c>
      <c r="DB98" s="82">
        <f t="shared" si="259"/>
        <v>0</v>
      </c>
      <c r="DC98" s="82">
        <f t="shared" si="260"/>
        <v>0</v>
      </c>
      <c r="DD98" s="82">
        <f t="shared" si="261"/>
        <v>0</v>
      </c>
      <c r="DE98" s="82">
        <f t="shared" si="262"/>
        <v>0</v>
      </c>
      <c r="DF98" s="82">
        <f t="shared" si="263"/>
        <v>0</v>
      </c>
      <c r="DG98" s="82">
        <f t="shared" si="264"/>
        <v>0</v>
      </c>
      <c r="DH98" s="82">
        <f t="shared" si="265"/>
        <v>0</v>
      </c>
      <c r="DI98" s="82">
        <f t="shared" si="266"/>
        <v>0</v>
      </c>
      <c r="DJ98" s="82">
        <f t="shared" si="267"/>
        <v>0</v>
      </c>
      <c r="DK98" s="82">
        <f t="shared" si="268"/>
        <v>0</v>
      </c>
      <c r="DL98" s="82">
        <f t="shared" si="269"/>
        <v>0</v>
      </c>
      <c r="DM98" s="82">
        <f t="shared" si="270"/>
        <v>0</v>
      </c>
      <c r="DN98" s="82">
        <f t="shared" si="271"/>
        <v>0</v>
      </c>
      <c r="DO98" s="82">
        <f t="shared" si="272"/>
        <v>0</v>
      </c>
      <c r="DP98" s="82">
        <f t="shared" si="273"/>
        <v>0</v>
      </c>
      <c r="DQ98" s="82">
        <f t="shared" si="274"/>
        <v>0</v>
      </c>
      <c r="DR98" s="82">
        <f t="shared" si="275"/>
        <v>0</v>
      </c>
      <c r="DS98" s="82">
        <f t="shared" si="276"/>
        <v>0</v>
      </c>
      <c r="DT98" s="82">
        <f t="shared" si="277"/>
        <v>0</v>
      </c>
      <c r="DU98" s="82">
        <f t="shared" si="278"/>
        <v>0</v>
      </c>
      <c r="DV98" s="82">
        <f t="shared" si="279"/>
        <v>0</v>
      </c>
      <c r="DW98" s="82">
        <f t="shared" si="280"/>
        <v>0</v>
      </c>
      <c r="DX98" s="82">
        <f t="shared" si="281"/>
        <v>0</v>
      </c>
      <c r="DY98" s="82">
        <f t="shared" si="282"/>
        <v>0</v>
      </c>
      <c r="DZ98" s="82">
        <f t="shared" si="283"/>
        <v>0</v>
      </c>
      <c r="EA98" s="82">
        <f t="shared" si="284"/>
        <v>0</v>
      </c>
      <c r="EB98" s="82">
        <f t="shared" si="285"/>
        <v>0</v>
      </c>
      <c r="EC98" s="82">
        <f t="shared" si="286"/>
        <v>0</v>
      </c>
      <c r="ED98" s="82">
        <f t="shared" si="287"/>
        <v>0</v>
      </c>
      <c r="EE98" s="82">
        <f t="shared" si="288"/>
        <v>0</v>
      </c>
      <c r="EF98" s="82">
        <f t="shared" si="289"/>
        <v>0</v>
      </c>
      <c r="EG98" s="82">
        <f t="shared" si="290"/>
        <v>0</v>
      </c>
      <c r="EH98" s="82">
        <f t="shared" si="291"/>
        <v>0</v>
      </c>
      <c r="EI98" s="82">
        <f t="shared" si="292"/>
        <v>0</v>
      </c>
      <c r="EJ98" s="82">
        <f t="shared" si="293"/>
        <v>0</v>
      </c>
      <c r="EK98" s="82">
        <f t="shared" si="294"/>
        <v>0</v>
      </c>
      <c r="EL98" s="82">
        <f t="shared" si="295"/>
        <v>0</v>
      </c>
      <c r="EM98" s="82">
        <f t="shared" si="296"/>
        <v>0</v>
      </c>
      <c r="EN98" s="82">
        <f t="shared" si="297"/>
        <v>0</v>
      </c>
      <c r="EO98" s="82">
        <f t="shared" si="298"/>
        <v>0</v>
      </c>
      <c r="EP98" s="82">
        <f t="shared" si="299"/>
        <v>0</v>
      </c>
      <c r="EQ98" s="82">
        <f t="shared" si="300"/>
        <v>0</v>
      </c>
      <c r="ER98" s="82">
        <f t="shared" si="301"/>
        <v>0</v>
      </c>
      <c r="ES98" s="82">
        <f t="shared" si="302"/>
        <v>0</v>
      </c>
      <c r="ET98" s="82">
        <f t="shared" si="303"/>
        <v>0</v>
      </c>
      <c r="EU98" s="82">
        <f t="shared" si="304"/>
        <v>0</v>
      </c>
      <c r="EV98" s="82">
        <f t="shared" si="305"/>
        <v>0</v>
      </c>
      <c r="EW98" s="82">
        <f t="shared" si="306"/>
        <v>0</v>
      </c>
      <c r="EX98" s="82">
        <f t="shared" si="307"/>
        <v>0</v>
      </c>
      <c r="EY98" s="111">
        <f t="shared" si="308"/>
        <v>0</v>
      </c>
      <c r="EZ98" s="143" t="e">
        <f t="shared" ca="1" si="309"/>
        <v>#N/A</v>
      </c>
      <c r="FA98" s="112" t="e">
        <f t="shared" ca="1" si="310"/>
        <v>#N/A</v>
      </c>
      <c r="FB98" s="113" t="e">
        <f t="shared" ca="1" si="311"/>
        <v>#N/A</v>
      </c>
      <c r="FC98" s="114" t="e">
        <f t="shared" ca="1" si="312"/>
        <v>#N/A</v>
      </c>
      <c r="FD98" s="115">
        <f t="shared" ca="1" si="313"/>
        <v>0</v>
      </c>
      <c r="FE98" s="116" t="e">
        <f t="shared" ca="1" si="314"/>
        <v>#N/A</v>
      </c>
      <c r="FF98" s="117" t="e">
        <f t="shared" ca="1" si="315"/>
        <v>#N/A</v>
      </c>
      <c r="FG98" s="71">
        <f t="shared" si="316"/>
        <v>0</v>
      </c>
      <c r="FH98" s="530" t="e">
        <f t="shared" ca="1" si="317"/>
        <v>#N/A</v>
      </c>
      <c r="FI98" s="72" t="e">
        <f ca="1">0.75*FB98</f>
        <v>#N/A</v>
      </c>
      <c r="FJ98" s="72" t="e">
        <f ca="1">FA98</f>
        <v>#N/A</v>
      </c>
      <c r="FK98" s="72" t="e">
        <f ca="1">SUM(FI98:FJ98)</f>
        <v>#N/A</v>
      </c>
      <c r="FM98" s="421">
        <f t="shared" si="318"/>
        <v>0</v>
      </c>
      <c r="FN98" s="422" t="e">
        <f t="shared" ca="1" si="319"/>
        <v>#N/A</v>
      </c>
      <c r="FO98" s="423">
        <f t="shared" ca="1" si="328"/>
        <v>0</v>
      </c>
      <c r="FP98" s="423">
        <f t="shared" ca="1" si="328"/>
        <v>0</v>
      </c>
      <c r="FQ98" s="423">
        <f t="shared" ca="1" si="328"/>
        <v>0</v>
      </c>
      <c r="FR98" s="423">
        <f t="shared" ca="1" si="328"/>
        <v>0</v>
      </c>
      <c r="FS98" s="423">
        <f t="shared" ca="1" si="328"/>
        <v>0</v>
      </c>
      <c r="FT98" s="423">
        <f t="shared" ca="1" si="328"/>
        <v>0</v>
      </c>
      <c r="FU98" s="423">
        <f t="shared" ca="1" si="328"/>
        <v>0</v>
      </c>
      <c r="FV98" s="423">
        <f t="shared" ca="1" si="328"/>
        <v>0</v>
      </c>
      <c r="FW98" s="423">
        <f t="shared" ca="1" si="328"/>
        <v>0</v>
      </c>
      <c r="FX98" s="423">
        <f t="shared" ca="1" si="328"/>
        <v>0</v>
      </c>
      <c r="FY98" s="423">
        <f t="shared" ca="1" si="328"/>
        <v>0</v>
      </c>
      <c r="FZ98" s="423">
        <f t="shared" ca="1" si="328"/>
        <v>0</v>
      </c>
      <c r="GA98" s="423">
        <f t="shared" ca="1" si="328"/>
        <v>0</v>
      </c>
      <c r="GB98" s="423">
        <f t="shared" ca="1" si="328"/>
        <v>0</v>
      </c>
      <c r="GC98" s="423">
        <f t="shared" ca="1" si="328"/>
        <v>0</v>
      </c>
      <c r="GD98" s="423">
        <f t="shared" ca="1" si="328"/>
        <v>0</v>
      </c>
      <c r="GE98" s="423">
        <f t="shared" ca="1" si="326"/>
        <v>0</v>
      </c>
      <c r="GF98" s="423">
        <f t="shared" ca="1" si="326"/>
        <v>0</v>
      </c>
      <c r="GG98" s="423">
        <f t="shared" ca="1" si="326"/>
        <v>0</v>
      </c>
      <c r="GH98" s="423">
        <f t="shared" ca="1" si="326"/>
        <v>0</v>
      </c>
      <c r="GI98" s="423">
        <f t="shared" ca="1" si="326"/>
        <v>0</v>
      </c>
      <c r="GJ98" s="423">
        <f t="shared" ca="1" si="326"/>
        <v>0</v>
      </c>
      <c r="GK98" s="423">
        <f t="shared" ca="1" si="326"/>
        <v>0</v>
      </c>
      <c r="GL98" s="423">
        <f t="shared" ca="1" si="326"/>
        <v>0</v>
      </c>
      <c r="GM98" s="423">
        <f t="shared" ca="1" si="326"/>
        <v>0</v>
      </c>
      <c r="GN98" s="423">
        <f t="shared" ca="1" si="326"/>
        <v>0</v>
      </c>
      <c r="GO98" s="423">
        <f t="shared" ca="1" si="326"/>
        <v>0</v>
      </c>
      <c r="GP98" s="423">
        <f t="shared" ca="1" si="326"/>
        <v>0</v>
      </c>
      <c r="GQ98" s="423">
        <f t="shared" ca="1" si="326"/>
        <v>0</v>
      </c>
      <c r="GR98" s="423">
        <f t="shared" ca="1" si="326"/>
        <v>0</v>
      </c>
      <c r="GS98" s="423">
        <f t="shared" ca="1" si="325"/>
        <v>0</v>
      </c>
      <c r="GT98" s="423">
        <f t="shared" ca="1" si="325"/>
        <v>0</v>
      </c>
      <c r="GU98" s="423">
        <f t="shared" ca="1" si="325"/>
        <v>0</v>
      </c>
      <c r="GV98" s="423">
        <f t="shared" ca="1" si="325"/>
        <v>0</v>
      </c>
      <c r="GW98" s="423">
        <f t="shared" ca="1" si="325"/>
        <v>0</v>
      </c>
      <c r="GX98" s="423">
        <f t="shared" ca="1" si="325"/>
        <v>0</v>
      </c>
      <c r="GY98" s="423">
        <f t="shared" ca="1" si="325"/>
        <v>0</v>
      </c>
      <c r="GZ98" s="423">
        <f t="shared" ca="1" si="325"/>
        <v>0</v>
      </c>
      <c r="HA98" s="423">
        <f t="shared" ca="1" si="325"/>
        <v>0</v>
      </c>
      <c r="HB98" s="423">
        <f t="shared" ca="1" si="325"/>
        <v>0</v>
      </c>
      <c r="HC98" s="423">
        <f t="shared" ca="1" si="325"/>
        <v>0</v>
      </c>
      <c r="HD98" s="423">
        <f t="shared" ca="1" si="325"/>
        <v>0</v>
      </c>
      <c r="HE98" s="423">
        <f t="shared" ca="1" si="325"/>
        <v>0</v>
      </c>
      <c r="HF98" s="423">
        <f t="shared" ca="1" si="325"/>
        <v>0</v>
      </c>
      <c r="HG98" s="423">
        <f t="shared" ca="1" si="325"/>
        <v>0</v>
      </c>
      <c r="HH98" s="423">
        <f t="shared" ca="1" si="325"/>
        <v>0</v>
      </c>
      <c r="HI98" s="423">
        <f t="shared" ca="1" si="327"/>
        <v>0</v>
      </c>
      <c r="HJ98" s="423">
        <f t="shared" ca="1" si="324"/>
        <v>0</v>
      </c>
      <c r="HK98" s="423">
        <f t="shared" ca="1" si="324"/>
        <v>0</v>
      </c>
      <c r="HL98" s="423">
        <f t="shared" ca="1" si="324"/>
        <v>0</v>
      </c>
      <c r="HM98" s="423">
        <f t="shared" ca="1" si="324"/>
        <v>0</v>
      </c>
      <c r="HN98" s="423">
        <f t="shared" ca="1" si="324"/>
        <v>0</v>
      </c>
      <c r="HO98" s="423">
        <f t="shared" ca="1" si="324"/>
        <v>0</v>
      </c>
      <c r="HP98" s="423">
        <f t="shared" ca="1" si="324"/>
        <v>0</v>
      </c>
      <c r="HQ98" s="423">
        <f t="shared" ca="1" si="324"/>
        <v>0</v>
      </c>
      <c r="HR98" s="423">
        <f t="shared" ca="1" si="324"/>
        <v>0</v>
      </c>
      <c r="HS98" s="423">
        <f t="shared" ca="1" si="324"/>
        <v>0</v>
      </c>
      <c r="HT98" s="423">
        <f t="shared" ca="1" si="324"/>
        <v>0</v>
      </c>
    </row>
    <row r="99" spans="1:228" ht="11.25" customHeight="1" x14ac:dyDescent="0.2">
      <c r="A99" s="62">
        <f t="shared" si="322"/>
        <v>88</v>
      </c>
      <c r="B99" s="60">
        <f>Spaces_Sum!C144</f>
        <v>0</v>
      </c>
      <c r="C99" s="62" t="str">
        <f>Spaces_Sum!D144</f>
        <v>0</v>
      </c>
      <c r="D99" s="62" t="e">
        <f ca="1">Spaces_Sum!I144</f>
        <v>#N/A</v>
      </c>
      <c r="F99" s="110" t="e">
        <f ca="1">Spaces_Sum!M144</f>
        <v>#N/A</v>
      </c>
      <c r="G99" s="110" t="e">
        <f ca="1">Spaces_Sum!J144</f>
        <v>#N/A</v>
      </c>
      <c r="H99" s="532"/>
      <c r="I99" s="185"/>
      <c r="J99" s="185"/>
      <c r="K99" s="186"/>
      <c r="L99" s="187"/>
      <c r="M99" s="188"/>
      <c r="N99" s="189"/>
      <c r="O99" s="186"/>
      <c r="P99" s="187"/>
      <c r="Q99" s="188"/>
      <c r="R99" s="189"/>
      <c r="S99" s="186"/>
      <c r="T99" s="187"/>
      <c r="U99" s="188"/>
      <c r="V99" s="189"/>
      <c r="W99" s="186"/>
      <c r="X99" s="187"/>
      <c r="Y99" s="188"/>
      <c r="Z99" s="189"/>
      <c r="AA99" s="186"/>
      <c r="AB99" s="187"/>
      <c r="AC99" s="188"/>
      <c r="AD99" s="189"/>
      <c r="AE99" s="186"/>
      <c r="AF99" s="187"/>
      <c r="AG99" s="188"/>
      <c r="AH99" s="189"/>
      <c r="AI99" s="186"/>
      <c r="AJ99" s="187"/>
      <c r="AK99" s="188"/>
      <c r="AL99" s="189"/>
      <c r="AM99" s="186"/>
      <c r="AN99" s="187"/>
      <c r="AO99" s="188"/>
      <c r="AP99" s="189"/>
      <c r="AQ99" s="186"/>
      <c r="AR99" s="187"/>
      <c r="AS99" s="188"/>
      <c r="AT99" s="189"/>
      <c r="AU99" s="186"/>
      <c r="AV99" s="187"/>
      <c r="AW99" s="188"/>
      <c r="AX99" s="189"/>
      <c r="AY99" s="186"/>
      <c r="AZ99" s="187"/>
      <c r="BA99" s="188"/>
      <c r="BB99" s="189"/>
      <c r="BC99" s="186"/>
      <c r="BD99" s="187"/>
      <c r="BE99" s="188"/>
      <c r="BF99" s="189"/>
      <c r="BG99" s="186"/>
      <c r="BH99" s="187"/>
      <c r="BI99" s="188"/>
      <c r="BJ99" s="189"/>
      <c r="BK99" s="186"/>
      <c r="BL99" s="187"/>
      <c r="BM99" s="188"/>
      <c r="BN99" s="189"/>
      <c r="BO99" s="186"/>
      <c r="BP99" s="187"/>
      <c r="BQ99" s="188"/>
      <c r="BR99" s="189"/>
      <c r="BS99" s="186"/>
      <c r="BT99" s="187"/>
      <c r="BU99" s="188"/>
      <c r="BV99" s="189"/>
      <c r="BW99" s="186"/>
      <c r="BX99" s="187"/>
      <c r="BY99" s="188"/>
      <c r="BZ99" s="189"/>
      <c r="CA99" s="186"/>
      <c r="CB99" s="190"/>
      <c r="CC99" s="190"/>
      <c r="CD99" s="82">
        <f t="shared" si="235"/>
        <v>0</v>
      </c>
      <c r="CE99" s="82">
        <f t="shared" si="236"/>
        <v>0</v>
      </c>
      <c r="CF99" s="82">
        <f t="shared" si="237"/>
        <v>0</v>
      </c>
      <c r="CG99" s="82">
        <f t="shared" si="238"/>
        <v>0</v>
      </c>
      <c r="CH99" s="82">
        <f t="shared" si="239"/>
        <v>0</v>
      </c>
      <c r="CI99" s="82">
        <f t="shared" si="240"/>
        <v>0</v>
      </c>
      <c r="CJ99" s="82">
        <f t="shared" si="241"/>
        <v>0</v>
      </c>
      <c r="CK99" s="82">
        <f t="shared" si="242"/>
        <v>0</v>
      </c>
      <c r="CL99" s="82">
        <f t="shared" si="243"/>
        <v>0</v>
      </c>
      <c r="CM99" s="82">
        <f t="shared" si="244"/>
        <v>0</v>
      </c>
      <c r="CN99" s="82">
        <f t="shared" si="245"/>
        <v>0</v>
      </c>
      <c r="CO99" s="82">
        <f t="shared" si="246"/>
        <v>0</v>
      </c>
      <c r="CP99" s="82">
        <f t="shared" si="247"/>
        <v>0</v>
      </c>
      <c r="CQ99" s="82">
        <f t="shared" si="248"/>
        <v>0</v>
      </c>
      <c r="CR99" s="82">
        <f t="shared" si="249"/>
        <v>0</v>
      </c>
      <c r="CS99" s="82">
        <f t="shared" si="250"/>
        <v>0</v>
      </c>
      <c r="CT99" s="82">
        <f t="shared" si="251"/>
        <v>0</v>
      </c>
      <c r="CU99" s="82">
        <f t="shared" si="252"/>
        <v>0</v>
      </c>
      <c r="CV99" s="82">
        <f t="shared" si="253"/>
        <v>0</v>
      </c>
      <c r="CW99" s="82">
        <f t="shared" si="254"/>
        <v>0</v>
      </c>
      <c r="CX99" s="82">
        <f t="shared" si="255"/>
        <v>0</v>
      </c>
      <c r="CY99" s="82">
        <f t="shared" si="256"/>
        <v>0</v>
      </c>
      <c r="CZ99" s="82">
        <f t="shared" si="257"/>
        <v>0</v>
      </c>
      <c r="DA99" s="82">
        <f t="shared" si="258"/>
        <v>0</v>
      </c>
      <c r="DB99" s="82">
        <f t="shared" si="259"/>
        <v>0</v>
      </c>
      <c r="DC99" s="82">
        <f t="shared" si="260"/>
        <v>0</v>
      </c>
      <c r="DD99" s="82">
        <f t="shared" si="261"/>
        <v>0</v>
      </c>
      <c r="DE99" s="82">
        <f t="shared" si="262"/>
        <v>0</v>
      </c>
      <c r="DF99" s="82">
        <f t="shared" si="263"/>
        <v>0</v>
      </c>
      <c r="DG99" s="82">
        <f t="shared" si="264"/>
        <v>0</v>
      </c>
      <c r="DH99" s="82">
        <f t="shared" si="265"/>
        <v>0</v>
      </c>
      <c r="DI99" s="82">
        <f t="shared" si="266"/>
        <v>0</v>
      </c>
      <c r="DJ99" s="82">
        <f t="shared" si="267"/>
        <v>0</v>
      </c>
      <c r="DK99" s="82">
        <f t="shared" si="268"/>
        <v>0</v>
      </c>
      <c r="DL99" s="82">
        <f t="shared" si="269"/>
        <v>0</v>
      </c>
      <c r="DM99" s="82">
        <f t="shared" si="270"/>
        <v>0</v>
      </c>
      <c r="DN99" s="82">
        <f t="shared" si="271"/>
        <v>0</v>
      </c>
      <c r="DO99" s="82">
        <f t="shared" si="272"/>
        <v>0</v>
      </c>
      <c r="DP99" s="82">
        <f t="shared" si="273"/>
        <v>0</v>
      </c>
      <c r="DQ99" s="82">
        <f t="shared" si="274"/>
        <v>0</v>
      </c>
      <c r="DR99" s="82">
        <f t="shared" si="275"/>
        <v>0</v>
      </c>
      <c r="DS99" s="82">
        <f t="shared" si="276"/>
        <v>0</v>
      </c>
      <c r="DT99" s="82">
        <f t="shared" si="277"/>
        <v>0</v>
      </c>
      <c r="DU99" s="82">
        <f t="shared" si="278"/>
        <v>0</v>
      </c>
      <c r="DV99" s="82">
        <f t="shared" si="279"/>
        <v>0</v>
      </c>
      <c r="DW99" s="82">
        <f t="shared" si="280"/>
        <v>0</v>
      </c>
      <c r="DX99" s="82">
        <f t="shared" si="281"/>
        <v>0</v>
      </c>
      <c r="DY99" s="82">
        <f t="shared" si="282"/>
        <v>0</v>
      </c>
      <c r="DZ99" s="82">
        <f t="shared" si="283"/>
        <v>0</v>
      </c>
      <c r="EA99" s="82">
        <f t="shared" si="284"/>
        <v>0</v>
      </c>
      <c r="EB99" s="82">
        <f t="shared" si="285"/>
        <v>0</v>
      </c>
      <c r="EC99" s="82">
        <f t="shared" si="286"/>
        <v>0</v>
      </c>
      <c r="ED99" s="82">
        <f t="shared" si="287"/>
        <v>0</v>
      </c>
      <c r="EE99" s="82">
        <f t="shared" si="288"/>
        <v>0</v>
      </c>
      <c r="EF99" s="82">
        <f t="shared" si="289"/>
        <v>0</v>
      </c>
      <c r="EG99" s="82">
        <f t="shared" si="290"/>
        <v>0</v>
      </c>
      <c r="EH99" s="82">
        <f t="shared" si="291"/>
        <v>0</v>
      </c>
      <c r="EI99" s="82">
        <f t="shared" si="292"/>
        <v>0</v>
      </c>
      <c r="EJ99" s="82">
        <f t="shared" si="293"/>
        <v>0</v>
      </c>
      <c r="EK99" s="82">
        <f t="shared" si="294"/>
        <v>0</v>
      </c>
      <c r="EL99" s="82">
        <f t="shared" si="295"/>
        <v>0</v>
      </c>
      <c r="EM99" s="82">
        <f t="shared" si="296"/>
        <v>0</v>
      </c>
      <c r="EN99" s="82">
        <f t="shared" si="297"/>
        <v>0</v>
      </c>
      <c r="EO99" s="82">
        <f t="shared" si="298"/>
        <v>0</v>
      </c>
      <c r="EP99" s="82">
        <f t="shared" si="299"/>
        <v>0</v>
      </c>
      <c r="EQ99" s="82">
        <f t="shared" si="300"/>
        <v>0</v>
      </c>
      <c r="ER99" s="82">
        <f t="shared" si="301"/>
        <v>0</v>
      </c>
      <c r="ES99" s="82">
        <f t="shared" si="302"/>
        <v>0</v>
      </c>
      <c r="ET99" s="82">
        <f t="shared" si="303"/>
        <v>0</v>
      </c>
      <c r="EU99" s="82">
        <f t="shared" si="304"/>
        <v>0</v>
      </c>
      <c r="EV99" s="82">
        <f t="shared" si="305"/>
        <v>0</v>
      </c>
      <c r="EW99" s="82">
        <f t="shared" si="306"/>
        <v>0</v>
      </c>
      <c r="EX99" s="82">
        <f t="shared" si="307"/>
        <v>0</v>
      </c>
      <c r="EY99" s="111">
        <f t="shared" si="308"/>
        <v>0</v>
      </c>
      <c r="EZ99" s="143" t="e">
        <f t="shared" ca="1" si="309"/>
        <v>#N/A</v>
      </c>
      <c r="FA99" s="112" t="e">
        <f t="shared" ca="1" si="310"/>
        <v>#N/A</v>
      </c>
      <c r="FB99" s="113" t="e">
        <f t="shared" ca="1" si="311"/>
        <v>#N/A</v>
      </c>
      <c r="FC99" s="114" t="e">
        <f t="shared" ca="1" si="312"/>
        <v>#N/A</v>
      </c>
      <c r="FD99" s="115">
        <f t="shared" ca="1" si="313"/>
        <v>0</v>
      </c>
      <c r="FE99" s="116" t="e">
        <f t="shared" ca="1" si="314"/>
        <v>#N/A</v>
      </c>
      <c r="FF99" s="117" t="e">
        <f t="shared" ca="1" si="315"/>
        <v>#N/A</v>
      </c>
      <c r="FG99" s="71">
        <f t="shared" si="316"/>
        <v>0</v>
      </c>
      <c r="FH99" s="530" t="e">
        <f t="shared" ca="1" si="317"/>
        <v>#N/A</v>
      </c>
      <c r="FI99" s="72"/>
      <c r="FJ99" s="72"/>
      <c r="FK99" s="72"/>
      <c r="FM99" s="421">
        <f t="shared" si="318"/>
        <v>0</v>
      </c>
      <c r="FN99" s="422" t="e">
        <f t="shared" ca="1" si="319"/>
        <v>#N/A</v>
      </c>
      <c r="FO99" s="423">
        <f t="shared" ca="1" si="328"/>
        <v>0</v>
      </c>
      <c r="FP99" s="423">
        <f t="shared" ca="1" si="328"/>
        <v>0</v>
      </c>
      <c r="FQ99" s="423">
        <f t="shared" ca="1" si="328"/>
        <v>0</v>
      </c>
      <c r="FR99" s="423">
        <f t="shared" ca="1" si="328"/>
        <v>0</v>
      </c>
      <c r="FS99" s="423">
        <f t="shared" ca="1" si="328"/>
        <v>0</v>
      </c>
      <c r="FT99" s="423">
        <f t="shared" ca="1" si="328"/>
        <v>0</v>
      </c>
      <c r="FU99" s="423">
        <f t="shared" ca="1" si="328"/>
        <v>0</v>
      </c>
      <c r="FV99" s="423">
        <f t="shared" ca="1" si="328"/>
        <v>0</v>
      </c>
      <c r="FW99" s="423">
        <f t="shared" ca="1" si="328"/>
        <v>0</v>
      </c>
      <c r="FX99" s="423">
        <f t="shared" ca="1" si="328"/>
        <v>0</v>
      </c>
      <c r="FY99" s="423">
        <f t="shared" ca="1" si="328"/>
        <v>0</v>
      </c>
      <c r="FZ99" s="423">
        <f t="shared" ca="1" si="328"/>
        <v>0</v>
      </c>
      <c r="GA99" s="423">
        <f t="shared" ca="1" si="328"/>
        <v>0</v>
      </c>
      <c r="GB99" s="423">
        <f t="shared" ca="1" si="328"/>
        <v>0</v>
      </c>
      <c r="GC99" s="423">
        <f t="shared" ca="1" si="328"/>
        <v>0</v>
      </c>
      <c r="GD99" s="423">
        <f t="shared" ca="1" si="328"/>
        <v>0</v>
      </c>
      <c r="GE99" s="423">
        <f t="shared" ca="1" si="326"/>
        <v>0</v>
      </c>
      <c r="GF99" s="423">
        <f t="shared" ca="1" si="326"/>
        <v>0</v>
      </c>
      <c r="GG99" s="423">
        <f t="shared" ca="1" si="326"/>
        <v>0</v>
      </c>
      <c r="GH99" s="423">
        <f t="shared" ca="1" si="326"/>
        <v>0</v>
      </c>
      <c r="GI99" s="423">
        <f t="shared" ca="1" si="326"/>
        <v>0</v>
      </c>
      <c r="GJ99" s="423">
        <f t="shared" ca="1" si="326"/>
        <v>0</v>
      </c>
      <c r="GK99" s="423">
        <f t="shared" ca="1" si="326"/>
        <v>0</v>
      </c>
      <c r="GL99" s="423">
        <f t="shared" ca="1" si="326"/>
        <v>0</v>
      </c>
      <c r="GM99" s="423">
        <f t="shared" ca="1" si="326"/>
        <v>0</v>
      </c>
      <c r="GN99" s="423">
        <f t="shared" ca="1" si="326"/>
        <v>0</v>
      </c>
      <c r="GO99" s="423">
        <f t="shared" ca="1" si="326"/>
        <v>0</v>
      </c>
      <c r="GP99" s="423">
        <f t="shared" ca="1" si="326"/>
        <v>0</v>
      </c>
      <c r="GQ99" s="423">
        <f t="shared" ca="1" si="326"/>
        <v>0</v>
      </c>
      <c r="GR99" s="423">
        <f t="shared" ca="1" si="326"/>
        <v>0</v>
      </c>
      <c r="GS99" s="423">
        <f t="shared" ca="1" si="325"/>
        <v>0</v>
      </c>
      <c r="GT99" s="423">
        <f t="shared" ca="1" si="325"/>
        <v>0</v>
      </c>
      <c r="GU99" s="423">
        <f t="shared" ca="1" si="325"/>
        <v>0</v>
      </c>
      <c r="GV99" s="423">
        <f t="shared" ca="1" si="325"/>
        <v>0</v>
      </c>
      <c r="GW99" s="423">
        <f t="shared" ca="1" si="325"/>
        <v>0</v>
      </c>
      <c r="GX99" s="423">
        <f t="shared" ca="1" si="325"/>
        <v>0</v>
      </c>
      <c r="GY99" s="423">
        <f t="shared" ca="1" si="325"/>
        <v>0</v>
      </c>
      <c r="GZ99" s="423">
        <f t="shared" ca="1" si="325"/>
        <v>0</v>
      </c>
      <c r="HA99" s="423">
        <f t="shared" ca="1" si="325"/>
        <v>0</v>
      </c>
      <c r="HB99" s="423">
        <f t="shared" ca="1" si="325"/>
        <v>0</v>
      </c>
      <c r="HC99" s="423">
        <f t="shared" ca="1" si="325"/>
        <v>0</v>
      </c>
      <c r="HD99" s="423">
        <f t="shared" ca="1" si="325"/>
        <v>0</v>
      </c>
      <c r="HE99" s="423">
        <f t="shared" ca="1" si="325"/>
        <v>0</v>
      </c>
      <c r="HF99" s="423">
        <f t="shared" ca="1" si="325"/>
        <v>0</v>
      </c>
      <c r="HG99" s="423">
        <f t="shared" ca="1" si="325"/>
        <v>0</v>
      </c>
      <c r="HH99" s="423">
        <f t="shared" ca="1" si="325"/>
        <v>0</v>
      </c>
      <c r="HI99" s="423">
        <f t="shared" ca="1" si="327"/>
        <v>0</v>
      </c>
      <c r="HJ99" s="423">
        <f t="shared" ca="1" si="324"/>
        <v>0</v>
      </c>
      <c r="HK99" s="423">
        <f t="shared" ca="1" si="324"/>
        <v>0</v>
      </c>
      <c r="HL99" s="423">
        <f t="shared" ca="1" si="324"/>
        <v>0</v>
      </c>
      <c r="HM99" s="423">
        <f t="shared" ca="1" si="324"/>
        <v>0</v>
      </c>
      <c r="HN99" s="423">
        <f t="shared" ca="1" si="324"/>
        <v>0</v>
      </c>
      <c r="HO99" s="423">
        <f t="shared" ca="1" si="324"/>
        <v>0</v>
      </c>
      <c r="HP99" s="423">
        <f t="shared" ca="1" si="324"/>
        <v>0</v>
      </c>
      <c r="HQ99" s="423">
        <f t="shared" ca="1" si="324"/>
        <v>0</v>
      </c>
      <c r="HR99" s="423">
        <f t="shared" ca="1" si="324"/>
        <v>0</v>
      </c>
      <c r="HS99" s="423">
        <f t="shared" ca="1" si="324"/>
        <v>0</v>
      </c>
      <c r="HT99" s="423">
        <f t="shared" ca="1" si="324"/>
        <v>0</v>
      </c>
    </row>
    <row r="100" spans="1:228" ht="11.25" customHeight="1" x14ac:dyDescent="0.2">
      <c r="A100" s="62">
        <f t="shared" si="322"/>
        <v>89</v>
      </c>
      <c r="B100" s="60">
        <f>Spaces_Sum!C145</f>
        <v>0</v>
      </c>
      <c r="C100" s="62" t="str">
        <f>Spaces_Sum!D145</f>
        <v>0</v>
      </c>
      <c r="D100" s="62" t="e">
        <f ca="1">Spaces_Sum!I145</f>
        <v>#N/A</v>
      </c>
      <c r="F100" s="110" t="e">
        <f ca="1">Spaces_Sum!M145</f>
        <v>#N/A</v>
      </c>
      <c r="G100" s="110" t="e">
        <f ca="1">Spaces_Sum!J145</f>
        <v>#N/A</v>
      </c>
      <c r="H100" s="532"/>
      <c r="I100" s="185"/>
      <c r="J100" s="185"/>
      <c r="K100" s="186"/>
      <c r="L100" s="187"/>
      <c r="M100" s="188"/>
      <c r="N100" s="189"/>
      <c r="O100" s="186"/>
      <c r="P100" s="187"/>
      <c r="Q100" s="188"/>
      <c r="R100" s="189"/>
      <c r="S100" s="186"/>
      <c r="T100" s="187"/>
      <c r="U100" s="188"/>
      <c r="V100" s="189"/>
      <c r="W100" s="186"/>
      <c r="X100" s="187"/>
      <c r="Y100" s="188"/>
      <c r="Z100" s="189"/>
      <c r="AA100" s="186"/>
      <c r="AB100" s="187"/>
      <c r="AC100" s="188"/>
      <c r="AD100" s="189"/>
      <c r="AE100" s="186"/>
      <c r="AF100" s="187"/>
      <c r="AG100" s="188"/>
      <c r="AH100" s="189"/>
      <c r="AI100" s="186"/>
      <c r="AJ100" s="187"/>
      <c r="AK100" s="188"/>
      <c r="AL100" s="189"/>
      <c r="AM100" s="186"/>
      <c r="AN100" s="187"/>
      <c r="AO100" s="188"/>
      <c r="AP100" s="189"/>
      <c r="AQ100" s="186"/>
      <c r="AR100" s="187"/>
      <c r="AS100" s="188"/>
      <c r="AT100" s="189"/>
      <c r="AU100" s="186"/>
      <c r="AV100" s="187"/>
      <c r="AW100" s="188"/>
      <c r="AX100" s="189"/>
      <c r="AY100" s="186"/>
      <c r="AZ100" s="187"/>
      <c r="BA100" s="188"/>
      <c r="BB100" s="189"/>
      <c r="BC100" s="186"/>
      <c r="BD100" s="187"/>
      <c r="BE100" s="188"/>
      <c r="BF100" s="189"/>
      <c r="BG100" s="186"/>
      <c r="BH100" s="187"/>
      <c r="BI100" s="188"/>
      <c r="BJ100" s="189"/>
      <c r="BK100" s="186"/>
      <c r="BL100" s="187"/>
      <c r="BM100" s="188"/>
      <c r="BN100" s="189"/>
      <c r="BO100" s="186"/>
      <c r="BP100" s="187"/>
      <c r="BQ100" s="188"/>
      <c r="BR100" s="189"/>
      <c r="BS100" s="186"/>
      <c r="BT100" s="187"/>
      <c r="BU100" s="188"/>
      <c r="BV100" s="189"/>
      <c r="BW100" s="186"/>
      <c r="BX100" s="187"/>
      <c r="BY100" s="188"/>
      <c r="BZ100" s="189"/>
      <c r="CA100" s="186"/>
      <c r="CB100" s="190"/>
      <c r="CC100" s="190"/>
      <c r="CD100" s="82">
        <f t="shared" si="235"/>
        <v>0</v>
      </c>
      <c r="CE100" s="82">
        <f t="shared" si="236"/>
        <v>0</v>
      </c>
      <c r="CF100" s="82">
        <f t="shared" si="237"/>
        <v>0</v>
      </c>
      <c r="CG100" s="82">
        <f t="shared" si="238"/>
        <v>0</v>
      </c>
      <c r="CH100" s="82">
        <f t="shared" si="239"/>
        <v>0</v>
      </c>
      <c r="CI100" s="82">
        <f t="shared" si="240"/>
        <v>0</v>
      </c>
      <c r="CJ100" s="82">
        <f t="shared" si="241"/>
        <v>0</v>
      </c>
      <c r="CK100" s="82">
        <f t="shared" si="242"/>
        <v>0</v>
      </c>
      <c r="CL100" s="82">
        <f t="shared" si="243"/>
        <v>0</v>
      </c>
      <c r="CM100" s="82">
        <f t="shared" si="244"/>
        <v>0</v>
      </c>
      <c r="CN100" s="82">
        <f t="shared" si="245"/>
        <v>0</v>
      </c>
      <c r="CO100" s="82">
        <f t="shared" si="246"/>
        <v>0</v>
      </c>
      <c r="CP100" s="82">
        <f t="shared" si="247"/>
        <v>0</v>
      </c>
      <c r="CQ100" s="82">
        <f t="shared" si="248"/>
        <v>0</v>
      </c>
      <c r="CR100" s="82">
        <f t="shared" si="249"/>
        <v>0</v>
      </c>
      <c r="CS100" s="82">
        <f t="shared" si="250"/>
        <v>0</v>
      </c>
      <c r="CT100" s="82">
        <f t="shared" si="251"/>
        <v>0</v>
      </c>
      <c r="CU100" s="82">
        <f t="shared" si="252"/>
        <v>0</v>
      </c>
      <c r="CV100" s="82">
        <f t="shared" si="253"/>
        <v>0</v>
      </c>
      <c r="CW100" s="82">
        <f t="shared" si="254"/>
        <v>0</v>
      </c>
      <c r="CX100" s="82">
        <f t="shared" si="255"/>
        <v>0</v>
      </c>
      <c r="CY100" s="82">
        <f t="shared" si="256"/>
        <v>0</v>
      </c>
      <c r="CZ100" s="82">
        <f t="shared" si="257"/>
        <v>0</v>
      </c>
      <c r="DA100" s="82">
        <f t="shared" si="258"/>
        <v>0</v>
      </c>
      <c r="DB100" s="82">
        <f t="shared" si="259"/>
        <v>0</v>
      </c>
      <c r="DC100" s="82">
        <f t="shared" si="260"/>
        <v>0</v>
      </c>
      <c r="DD100" s="82">
        <f t="shared" si="261"/>
        <v>0</v>
      </c>
      <c r="DE100" s="82">
        <f t="shared" si="262"/>
        <v>0</v>
      </c>
      <c r="DF100" s="82">
        <f t="shared" si="263"/>
        <v>0</v>
      </c>
      <c r="DG100" s="82">
        <f t="shared" si="264"/>
        <v>0</v>
      </c>
      <c r="DH100" s="82">
        <f t="shared" si="265"/>
        <v>0</v>
      </c>
      <c r="DI100" s="82">
        <f t="shared" si="266"/>
        <v>0</v>
      </c>
      <c r="DJ100" s="82">
        <f t="shared" si="267"/>
        <v>0</v>
      </c>
      <c r="DK100" s="82">
        <f t="shared" si="268"/>
        <v>0</v>
      </c>
      <c r="DL100" s="82">
        <f t="shared" si="269"/>
        <v>0</v>
      </c>
      <c r="DM100" s="82">
        <f t="shared" si="270"/>
        <v>0</v>
      </c>
      <c r="DN100" s="82">
        <f t="shared" si="271"/>
        <v>0</v>
      </c>
      <c r="DO100" s="82">
        <f t="shared" si="272"/>
        <v>0</v>
      </c>
      <c r="DP100" s="82">
        <f t="shared" si="273"/>
        <v>0</v>
      </c>
      <c r="DQ100" s="82">
        <f t="shared" si="274"/>
        <v>0</v>
      </c>
      <c r="DR100" s="82">
        <f t="shared" si="275"/>
        <v>0</v>
      </c>
      <c r="DS100" s="82">
        <f t="shared" si="276"/>
        <v>0</v>
      </c>
      <c r="DT100" s="82">
        <f t="shared" si="277"/>
        <v>0</v>
      </c>
      <c r="DU100" s="82">
        <f t="shared" si="278"/>
        <v>0</v>
      </c>
      <c r="DV100" s="82">
        <f t="shared" si="279"/>
        <v>0</v>
      </c>
      <c r="DW100" s="82">
        <f t="shared" si="280"/>
        <v>0</v>
      </c>
      <c r="DX100" s="82">
        <f t="shared" si="281"/>
        <v>0</v>
      </c>
      <c r="DY100" s="82">
        <f t="shared" si="282"/>
        <v>0</v>
      </c>
      <c r="DZ100" s="82">
        <f t="shared" si="283"/>
        <v>0</v>
      </c>
      <c r="EA100" s="82">
        <f t="shared" si="284"/>
        <v>0</v>
      </c>
      <c r="EB100" s="82">
        <f t="shared" si="285"/>
        <v>0</v>
      </c>
      <c r="EC100" s="82">
        <f t="shared" si="286"/>
        <v>0</v>
      </c>
      <c r="ED100" s="82">
        <f t="shared" si="287"/>
        <v>0</v>
      </c>
      <c r="EE100" s="82">
        <f t="shared" si="288"/>
        <v>0</v>
      </c>
      <c r="EF100" s="82">
        <f t="shared" si="289"/>
        <v>0</v>
      </c>
      <c r="EG100" s="82">
        <f t="shared" si="290"/>
        <v>0</v>
      </c>
      <c r="EH100" s="82">
        <f t="shared" si="291"/>
        <v>0</v>
      </c>
      <c r="EI100" s="82">
        <f t="shared" si="292"/>
        <v>0</v>
      </c>
      <c r="EJ100" s="82">
        <f t="shared" si="293"/>
        <v>0</v>
      </c>
      <c r="EK100" s="82">
        <f t="shared" si="294"/>
        <v>0</v>
      </c>
      <c r="EL100" s="82">
        <f t="shared" si="295"/>
        <v>0</v>
      </c>
      <c r="EM100" s="82">
        <f t="shared" si="296"/>
        <v>0</v>
      </c>
      <c r="EN100" s="82">
        <f t="shared" si="297"/>
        <v>0</v>
      </c>
      <c r="EO100" s="82">
        <f t="shared" si="298"/>
        <v>0</v>
      </c>
      <c r="EP100" s="82">
        <f t="shared" si="299"/>
        <v>0</v>
      </c>
      <c r="EQ100" s="82">
        <f t="shared" si="300"/>
        <v>0</v>
      </c>
      <c r="ER100" s="82">
        <f t="shared" si="301"/>
        <v>0</v>
      </c>
      <c r="ES100" s="82">
        <f t="shared" si="302"/>
        <v>0</v>
      </c>
      <c r="ET100" s="82">
        <f t="shared" si="303"/>
        <v>0</v>
      </c>
      <c r="EU100" s="82">
        <f t="shared" si="304"/>
        <v>0</v>
      </c>
      <c r="EV100" s="82">
        <f t="shared" si="305"/>
        <v>0</v>
      </c>
      <c r="EW100" s="82">
        <f t="shared" si="306"/>
        <v>0</v>
      </c>
      <c r="EX100" s="82">
        <f t="shared" si="307"/>
        <v>0</v>
      </c>
      <c r="EY100" s="111">
        <f t="shared" si="308"/>
        <v>0</v>
      </c>
      <c r="EZ100" s="143" t="e">
        <f t="shared" ca="1" si="309"/>
        <v>#N/A</v>
      </c>
      <c r="FA100" s="112" t="e">
        <f t="shared" ca="1" si="310"/>
        <v>#N/A</v>
      </c>
      <c r="FB100" s="113" t="e">
        <f t="shared" ca="1" si="311"/>
        <v>#N/A</v>
      </c>
      <c r="FC100" s="114" t="e">
        <f t="shared" ca="1" si="312"/>
        <v>#N/A</v>
      </c>
      <c r="FD100" s="115">
        <f t="shared" ca="1" si="313"/>
        <v>0</v>
      </c>
      <c r="FE100" s="116" t="e">
        <f t="shared" ca="1" si="314"/>
        <v>#N/A</v>
      </c>
      <c r="FF100" s="117" t="e">
        <f t="shared" ca="1" si="315"/>
        <v>#N/A</v>
      </c>
      <c r="FG100" s="71">
        <f t="shared" si="316"/>
        <v>0</v>
      </c>
      <c r="FH100" s="530" t="e">
        <f t="shared" ca="1" si="317"/>
        <v>#N/A</v>
      </c>
      <c r="FI100" s="72" t="e">
        <f ca="1">0.65*FB100</f>
        <v>#N/A</v>
      </c>
      <c r="FJ100" s="72" t="e">
        <f t="shared" ref="FJ100:FJ107" ca="1" si="329">FA100</f>
        <v>#N/A</v>
      </c>
      <c r="FK100" s="72" t="e">
        <f t="shared" ref="FK100:FK107" ca="1" si="330">SUM(FI100:FJ100)</f>
        <v>#N/A</v>
      </c>
      <c r="FM100" s="421">
        <f t="shared" si="318"/>
        <v>0</v>
      </c>
      <c r="FN100" s="422" t="e">
        <f t="shared" ca="1" si="319"/>
        <v>#N/A</v>
      </c>
      <c r="FO100" s="423">
        <f t="shared" ca="1" si="328"/>
        <v>0</v>
      </c>
      <c r="FP100" s="423">
        <f t="shared" ca="1" si="328"/>
        <v>0</v>
      </c>
      <c r="FQ100" s="423">
        <f t="shared" ca="1" si="328"/>
        <v>0</v>
      </c>
      <c r="FR100" s="423">
        <f t="shared" ca="1" si="328"/>
        <v>0</v>
      </c>
      <c r="FS100" s="423">
        <f t="shared" ca="1" si="328"/>
        <v>0</v>
      </c>
      <c r="FT100" s="423">
        <f t="shared" ca="1" si="328"/>
        <v>0</v>
      </c>
      <c r="FU100" s="423">
        <f t="shared" ca="1" si="328"/>
        <v>0</v>
      </c>
      <c r="FV100" s="423">
        <f t="shared" ca="1" si="328"/>
        <v>0</v>
      </c>
      <c r="FW100" s="423">
        <f t="shared" ca="1" si="328"/>
        <v>0</v>
      </c>
      <c r="FX100" s="423">
        <f t="shared" ca="1" si="328"/>
        <v>0</v>
      </c>
      <c r="FY100" s="423">
        <f t="shared" ca="1" si="328"/>
        <v>0</v>
      </c>
      <c r="FZ100" s="423">
        <f t="shared" ca="1" si="328"/>
        <v>0</v>
      </c>
      <c r="GA100" s="423">
        <f t="shared" ca="1" si="328"/>
        <v>0</v>
      </c>
      <c r="GB100" s="423">
        <f t="shared" ca="1" si="328"/>
        <v>0</v>
      </c>
      <c r="GC100" s="423">
        <f t="shared" ca="1" si="328"/>
        <v>0</v>
      </c>
      <c r="GD100" s="423">
        <f t="shared" ca="1" si="328"/>
        <v>0</v>
      </c>
      <c r="GE100" s="423">
        <f t="shared" ca="1" si="326"/>
        <v>0</v>
      </c>
      <c r="GF100" s="423">
        <f t="shared" ca="1" si="326"/>
        <v>0</v>
      </c>
      <c r="GG100" s="423">
        <f t="shared" ca="1" si="326"/>
        <v>0</v>
      </c>
      <c r="GH100" s="423">
        <f t="shared" ca="1" si="326"/>
        <v>0</v>
      </c>
      <c r="GI100" s="423">
        <f t="shared" ca="1" si="326"/>
        <v>0</v>
      </c>
      <c r="GJ100" s="423">
        <f t="shared" ca="1" si="326"/>
        <v>0</v>
      </c>
      <c r="GK100" s="423">
        <f t="shared" ca="1" si="326"/>
        <v>0</v>
      </c>
      <c r="GL100" s="423">
        <f t="shared" ca="1" si="326"/>
        <v>0</v>
      </c>
      <c r="GM100" s="423">
        <f t="shared" ca="1" si="326"/>
        <v>0</v>
      </c>
      <c r="GN100" s="423">
        <f t="shared" ca="1" si="326"/>
        <v>0</v>
      </c>
      <c r="GO100" s="423">
        <f t="shared" ca="1" si="326"/>
        <v>0</v>
      </c>
      <c r="GP100" s="423">
        <f t="shared" ca="1" si="326"/>
        <v>0</v>
      </c>
      <c r="GQ100" s="423">
        <f t="shared" ca="1" si="326"/>
        <v>0</v>
      </c>
      <c r="GR100" s="423">
        <f t="shared" ca="1" si="326"/>
        <v>0</v>
      </c>
      <c r="GS100" s="423">
        <f t="shared" ca="1" si="325"/>
        <v>0</v>
      </c>
      <c r="GT100" s="423">
        <f t="shared" ca="1" si="325"/>
        <v>0</v>
      </c>
      <c r="GU100" s="423">
        <f t="shared" ca="1" si="325"/>
        <v>0</v>
      </c>
      <c r="GV100" s="423">
        <f t="shared" ca="1" si="325"/>
        <v>0</v>
      </c>
      <c r="GW100" s="423">
        <f t="shared" ca="1" si="325"/>
        <v>0</v>
      </c>
      <c r="GX100" s="423">
        <f t="shared" ca="1" si="325"/>
        <v>0</v>
      </c>
      <c r="GY100" s="423">
        <f t="shared" ca="1" si="325"/>
        <v>0</v>
      </c>
      <c r="GZ100" s="423">
        <f t="shared" ca="1" si="325"/>
        <v>0</v>
      </c>
      <c r="HA100" s="423">
        <f t="shared" ca="1" si="325"/>
        <v>0</v>
      </c>
      <c r="HB100" s="423">
        <f t="shared" ca="1" si="325"/>
        <v>0</v>
      </c>
      <c r="HC100" s="423">
        <f t="shared" ca="1" si="325"/>
        <v>0</v>
      </c>
      <c r="HD100" s="423">
        <f t="shared" ca="1" si="325"/>
        <v>0</v>
      </c>
      <c r="HE100" s="423">
        <f t="shared" ca="1" si="325"/>
        <v>0</v>
      </c>
      <c r="HF100" s="423">
        <f t="shared" ca="1" si="325"/>
        <v>0</v>
      </c>
      <c r="HG100" s="423">
        <f t="shared" ca="1" si="325"/>
        <v>0</v>
      </c>
      <c r="HH100" s="423">
        <f t="shared" ca="1" si="325"/>
        <v>0</v>
      </c>
      <c r="HI100" s="423">
        <f t="shared" ca="1" si="327"/>
        <v>0</v>
      </c>
      <c r="HJ100" s="423">
        <f t="shared" ca="1" si="324"/>
        <v>0</v>
      </c>
      <c r="HK100" s="423">
        <f t="shared" ca="1" si="324"/>
        <v>0</v>
      </c>
      <c r="HL100" s="423">
        <f t="shared" ca="1" si="324"/>
        <v>0</v>
      </c>
      <c r="HM100" s="423">
        <f t="shared" ca="1" si="324"/>
        <v>0</v>
      </c>
      <c r="HN100" s="423">
        <f t="shared" ca="1" si="324"/>
        <v>0</v>
      </c>
      <c r="HO100" s="423">
        <f t="shared" ca="1" si="324"/>
        <v>0</v>
      </c>
      <c r="HP100" s="423">
        <f t="shared" ca="1" si="324"/>
        <v>0</v>
      </c>
      <c r="HQ100" s="423">
        <f t="shared" ca="1" si="324"/>
        <v>0</v>
      </c>
      <c r="HR100" s="423">
        <f t="shared" ca="1" si="324"/>
        <v>0</v>
      </c>
      <c r="HS100" s="423">
        <f t="shared" ca="1" si="324"/>
        <v>0</v>
      </c>
      <c r="HT100" s="423">
        <f t="shared" ca="1" si="324"/>
        <v>0</v>
      </c>
    </row>
    <row r="101" spans="1:228" ht="11.25" customHeight="1" x14ac:dyDescent="0.2">
      <c r="A101" s="62">
        <f t="shared" si="322"/>
        <v>90</v>
      </c>
      <c r="B101" s="60">
        <f>Spaces_Sum!C146</f>
        <v>0</v>
      </c>
      <c r="C101" s="62" t="str">
        <f>Spaces_Sum!D146</f>
        <v>0</v>
      </c>
      <c r="D101" s="62" t="e">
        <f ca="1">Spaces_Sum!I146</f>
        <v>#N/A</v>
      </c>
      <c r="F101" s="110" t="e">
        <f ca="1">Spaces_Sum!M146</f>
        <v>#N/A</v>
      </c>
      <c r="G101" s="110" t="e">
        <f ca="1">Spaces_Sum!J146</f>
        <v>#N/A</v>
      </c>
      <c r="H101" s="532"/>
      <c r="I101" s="185"/>
      <c r="J101" s="185"/>
      <c r="K101" s="186"/>
      <c r="L101" s="187"/>
      <c r="M101" s="188"/>
      <c r="N101" s="189"/>
      <c r="O101" s="186"/>
      <c r="P101" s="187"/>
      <c r="Q101" s="188"/>
      <c r="R101" s="189"/>
      <c r="S101" s="186"/>
      <c r="T101" s="187"/>
      <c r="U101" s="188"/>
      <c r="V101" s="189"/>
      <c r="W101" s="186"/>
      <c r="X101" s="187"/>
      <c r="Y101" s="188"/>
      <c r="Z101" s="189"/>
      <c r="AA101" s="186"/>
      <c r="AB101" s="187"/>
      <c r="AC101" s="188"/>
      <c r="AD101" s="189"/>
      <c r="AE101" s="186"/>
      <c r="AF101" s="187"/>
      <c r="AG101" s="188"/>
      <c r="AH101" s="189"/>
      <c r="AI101" s="186"/>
      <c r="AJ101" s="187"/>
      <c r="AK101" s="188"/>
      <c r="AL101" s="189"/>
      <c r="AM101" s="186"/>
      <c r="AN101" s="187"/>
      <c r="AO101" s="188"/>
      <c r="AP101" s="189"/>
      <c r="AQ101" s="186"/>
      <c r="AR101" s="187"/>
      <c r="AS101" s="188"/>
      <c r="AT101" s="189"/>
      <c r="AU101" s="186"/>
      <c r="AV101" s="187"/>
      <c r="AW101" s="188"/>
      <c r="AX101" s="189"/>
      <c r="AY101" s="186"/>
      <c r="AZ101" s="187"/>
      <c r="BA101" s="188"/>
      <c r="BB101" s="189"/>
      <c r="BC101" s="186"/>
      <c r="BD101" s="187"/>
      <c r="BE101" s="188"/>
      <c r="BF101" s="189"/>
      <c r="BG101" s="186"/>
      <c r="BH101" s="187"/>
      <c r="BI101" s="188"/>
      <c r="BJ101" s="189"/>
      <c r="BK101" s="186"/>
      <c r="BL101" s="187"/>
      <c r="BM101" s="188"/>
      <c r="BN101" s="189"/>
      <c r="BO101" s="186"/>
      <c r="BP101" s="187"/>
      <c r="BQ101" s="188"/>
      <c r="BR101" s="189"/>
      <c r="BS101" s="186"/>
      <c r="BT101" s="187"/>
      <c r="BU101" s="188"/>
      <c r="BV101" s="189"/>
      <c r="BW101" s="186"/>
      <c r="BX101" s="187"/>
      <c r="BY101" s="188"/>
      <c r="BZ101" s="189"/>
      <c r="CA101" s="186"/>
      <c r="CB101" s="190"/>
      <c r="CC101" s="190"/>
      <c r="CD101" s="82">
        <f t="shared" si="235"/>
        <v>0</v>
      </c>
      <c r="CE101" s="82">
        <f t="shared" si="236"/>
        <v>0</v>
      </c>
      <c r="CF101" s="82">
        <f t="shared" si="237"/>
        <v>0</v>
      </c>
      <c r="CG101" s="82">
        <f t="shared" si="238"/>
        <v>0</v>
      </c>
      <c r="CH101" s="82">
        <f t="shared" si="239"/>
        <v>0</v>
      </c>
      <c r="CI101" s="82">
        <f t="shared" si="240"/>
        <v>0</v>
      </c>
      <c r="CJ101" s="82">
        <f t="shared" si="241"/>
        <v>0</v>
      </c>
      <c r="CK101" s="82">
        <f t="shared" si="242"/>
        <v>0</v>
      </c>
      <c r="CL101" s="82">
        <f t="shared" si="243"/>
        <v>0</v>
      </c>
      <c r="CM101" s="82">
        <f t="shared" si="244"/>
        <v>0</v>
      </c>
      <c r="CN101" s="82">
        <f t="shared" si="245"/>
        <v>0</v>
      </c>
      <c r="CO101" s="82">
        <f t="shared" si="246"/>
        <v>0</v>
      </c>
      <c r="CP101" s="82">
        <f t="shared" si="247"/>
        <v>0</v>
      </c>
      <c r="CQ101" s="82">
        <f t="shared" si="248"/>
        <v>0</v>
      </c>
      <c r="CR101" s="82">
        <f t="shared" si="249"/>
        <v>0</v>
      </c>
      <c r="CS101" s="82">
        <f t="shared" si="250"/>
        <v>0</v>
      </c>
      <c r="CT101" s="82">
        <f t="shared" si="251"/>
        <v>0</v>
      </c>
      <c r="CU101" s="82">
        <f t="shared" si="252"/>
        <v>0</v>
      </c>
      <c r="CV101" s="82">
        <f t="shared" si="253"/>
        <v>0</v>
      </c>
      <c r="CW101" s="82">
        <f t="shared" si="254"/>
        <v>0</v>
      </c>
      <c r="CX101" s="82">
        <f t="shared" si="255"/>
        <v>0</v>
      </c>
      <c r="CY101" s="82">
        <f t="shared" si="256"/>
        <v>0</v>
      </c>
      <c r="CZ101" s="82">
        <f t="shared" si="257"/>
        <v>0</v>
      </c>
      <c r="DA101" s="82">
        <f t="shared" si="258"/>
        <v>0</v>
      </c>
      <c r="DB101" s="82">
        <f t="shared" si="259"/>
        <v>0</v>
      </c>
      <c r="DC101" s="82">
        <f t="shared" si="260"/>
        <v>0</v>
      </c>
      <c r="DD101" s="82">
        <f t="shared" si="261"/>
        <v>0</v>
      </c>
      <c r="DE101" s="82">
        <f t="shared" si="262"/>
        <v>0</v>
      </c>
      <c r="DF101" s="82">
        <f t="shared" si="263"/>
        <v>0</v>
      </c>
      <c r="DG101" s="82">
        <f t="shared" si="264"/>
        <v>0</v>
      </c>
      <c r="DH101" s="82">
        <f t="shared" si="265"/>
        <v>0</v>
      </c>
      <c r="DI101" s="82">
        <f t="shared" si="266"/>
        <v>0</v>
      </c>
      <c r="DJ101" s="82">
        <f t="shared" si="267"/>
        <v>0</v>
      </c>
      <c r="DK101" s="82">
        <f t="shared" si="268"/>
        <v>0</v>
      </c>
      <c r="DL101" s="82">
        <f t="shared" si="269"/>
        <v>0</v>
      </c>
      <c r="DM101" s="82">
        <f t="shared" si="270"/>
        <v>0</v>
      </c>
      <c r="DN101" s="82">
        <f t="shared" si="271"/>
        <v>0</v>
      </c>
      <c r="DO101" s="82">
        <f t="shared" si="272"/>
        <v>0</v>
      </c>
      <c r="DP101" s="82">
        <f t="shared" si="273"/>
        <v>0</v>
      </c>
      <c r="DQ101" s="82">
        <f t="shared" si="274"/>
        <v>0</v>
      </c>
      <c r="DR101" s="82">
        <f t="shared" si="275"/>
        <v>0</v>
      </c>
      <c r="DS101" s="82">
        <f t="shared" si="276"/>
        <v>0</v>
      </c>
      <c r="DT101" s="82">
        <f t="shared" si="277"/>
        <v>0</v>
      </c>
      <c r="DU101" s="82">
        <f t="shared" si="278"/>
        <v>0</v>
      </c>
      <c r="DV101" s="82">
        <f t="shared" si="279"/>
        <v>0</v>
      </c>
      <c r="DW101" s="82">
        <f t="shared" si="280"/>
        <v>0</v>
      </c>
      <c r="DX101" s="82">
        <f t="shared" si="281"/>
        <v>0</v>
      </c>
      <c r="DY101" s="82">
        <f t="shared" si="282"/>
        <v>0</v>
      </c>
      <c r="DZ101" s="82">
        <f t="shared" si="283"/>
        <v>0</v>
      </c>
      <c r="EA101" s="82">
        <f t="shared" si="284"/>
        <v>0</v>
      </c>
      <c r="EB101" s="82">
        <f t="shared" si="285"/>
        <v>0</v>
      </c>
      <c r="EC101" s="82">
        <f t="shared" si="286"/>
        <v>0</v>
      </c>
      <c r="ED101" s="82">
        <f t="shared" si="287"/>
        <v>0</v>
      </c>
      <c r="EE101" s="82">
        <f t="shared" si="288"/>
        <v>0</v>
      </c>
      <c r="EF101" s="82">
        <f t="shared" si="289"/>
        <v>0</v>
      </c>
      <c r="EG101" s="82">
        <f t="shared" si="290"/>
        <v>0</v>
      </c>
      <c r="EH101" s="82">
        <f t="shared" si="291"/>
        <v>0</v>
      </c>
      <c r="EI101" s="82">
        <f t="shared" si="292"/>
        <v>0</v>
      </c>
      <c r="EJ101" s="82">
        <f t="shared" si="293"/>
        <v>0</v>
      </c>
      <c r="EK101" s="82">
        <f t="shared" si="294"/>
        <v>0</v>
      </c>
      <c r="EL101" s="82">
        <f t="shared" si="295"/>
        <v>0</v>
      </c>
      <c r="EM101" s="82">
        <f t="shared" si="296"/>
        <v>0</v>
      </c>
      <c r="EN101" s="82">
        <f t="shared" si="297"/>
        <v>0</v>
      </c>
      <c r="EO101" s="82">
        <f t="shared" si="298"/>
        <v>0</v>
      </c>
      <c r="EP101" s="82">
        <f t="shared" si="299"/>
        <v>0</v>
      </c>
      <c r="EQ101" s="82">
        <f t="shared" si="300"/>
        <v>0</v>
      </c>
      <c r="ER101" s="82">
        <f t="shared" si="301"/>
        <v>0</v>
      </c>
      <c r="ES101" s="82">
        <f t="shared" si="302"/>
        <v>0</v>
      </c>
      <c r="ET101" s="82">
        <f t="shared" si="303"/>
        <v>0</v>
      </c>
      <c r="EU101" s="82">
        <f t="shared" si="304"/>
        <v>0</v>
      </c>
      <c r="EV101" s="82">
        <f t="shared" si="305"/>
        <v>0</v>
      </c>
      <c r="EW101" s="82">
        <f t="shared" si="306"/>
        <v>0</v>
      </c>
      <c r="EX101" s="82">
        <f t="shared" si="307"/>
        <v>0</v>
      </c>
      <c r="EY101" s="111">
        <f t="shared" si="308"/>
        <v>0</v>
      </c>
      <c r="EZ101" s="143" t="e">
        <f t="shared" ca="1" si="309"/>
        <v>#N/A</v>
      </c>
      <c r="FA101" s="112" t="e">
        <f t="shared" ca="1" si="310"/>
        <v>#N/A</v>
      </c>
      <c r="FB101" s="113" t="e">
        <f t="shared" ca="1" si="311"/>
        <v>#N/A</v>
      </c>
      <c r="FC101" s="114" t="e">
        <f t="shared" ca="1" si="312"/>
        <v>#N/A</v>
      </c>
      <c r="FD101" s="115">
        <f t="shared" ca="1" si="313"/>
        <v>0</v>
      </c>
      <c r="FE101" s="116" t="e">
        <f t="shared" ca="1" si="314"/>
        <v>#N/A</v>
      </c>
      <c r="FF101" s="117" t="e">
        <f t="shared" ca="1" si="315"/>
        <v>#N/A</v>
      </c>
      <c r="FG101" s="71">
        <f t="shared" si="316"/>
        <v>0</v>
      </c>
      <c r="FH101" s="530" t="e">
        <f t="shared" ca="1" si="317"/>
        <v>#N/A</v>
      </c>
      <c r="FI101" s="72"/>
      <c r="FJ101" s="72"/>
      <c r="FK101" s="72"/>
      <c r="FM101" s="421">
        <f t="shared" si="318"/>
        <v>0</v>
      </c>
      <c r="FN101" s="422" t="e">
        <f t="shared" ca="1" si="319"/>
        <v>#N/A</v>
      </c>
      <c r="FO101" s="423">
        <f t="shared" ca="1" si="328"/>
        <v>0</v>
      </c>
      <c r="FP101" s="423">
        <f t="shared" ca="1" si="328"/>
        <v>0</v>
      </c>
      <c r="FQ101" s="423">
        <f t="shared" ca="1" si="328"/>
        <v>0</v>
      </c>
      <c r="FR101" s="423">
        <f t="shared" ca="1" si="328"/>
        <v>0</v>
      </c>
      <c r="FS101" s="423">
        <f t="shared" ca="1" si="328"/>
        <v>0</v>
      </c>
      <c r="FT101" s="423">
        <f t="shared" ca="1" si="328"/>
        <v>0</v>
      </c>
      <c r="FU101" s="423">
        <f t="shared" ca="1" si="328"/>
        <v>0</v>
      </c>
      <c r="FV101" s="423">
        <f t="shared" ca="1" si="328"/>
        <v>0</v>
      </c>
      <c r="FW101" s="423">
        <f t="shared" ca="1" si="328"/>
        <v>0</v>
      </c>
      <c r="FX101" s="423">
        <f t="shared" ca="1" si="328"/>
        <v>0</v>
      </c>
      <c r="FY101" s="423">
        <f t="shared" ca="1" si="328"/>
        <v>0</v>
      </c>
      <c r="FZ101" s="423">
        <f t="shared" ca="1" si="328"/>
        <v>0</v>
      </c>
      <c r="GA101" s="423">
        <f t="shared" ca="1" si="328"/>
        <v>0</v>
      </c>
      <c r="GB101" s="423">
        <f t="shared" ca="1" si="328"/>
        <v>0</v>
      </c>
      <c r="GC101" s="423">
        <f t="shared" ca="1" si="328"/>
        <v>0</v>
      </c>
      <c r="GD101" s="423">
        <f t="shared" ca="1" si="328"/>
        <v>0</v>
      </c>
      <c r="GE101" s="423">
        <f t="shared" ca="1" si="326"/>
        <v>0</v>
      </c>
      <c r="GF101" s="423">
        <f t="shared" ca="1" si="326"/>
        <v>0</v>
      </c>
      <c r="GG101" s="423">
        <f t="shared" ca="1" si="326"/>
        <v>0</v>
      </c>
      <c r="GH101" s="423">
        <f t="shared" ca="1" si="326"/>
        <v>0</v>
      </c>
      <c r="GI101" s="423">
        <f t="shared" ca="1" si="326"/>
        <v>0</v>
      </c>
      <c r="GJ101" s="423">
        <f t="shared" ca="1" si="326"/>
        <v>0</v>
      </c>
      <c r="GK101" s="423">
        <f t="shared" ca="1" si="326"/>
        <v>0</v>
      </c>
      <c r="GL101" s="423">
        <f t="shared" ca="1" si="326"/>
        <v>0</v>
      </c>
      <c r="GM101" s="423">
        <f t="shared" ca="1" si="326"/>
        <v>0</v>
      </c>
      <c r="GN101" s="423">
        <f t="shared" ca="1" si="326"/>
        <v>0</v>
      </c>
      <c r="GO101" s="423">
        <f t="shared" ca="1" si="326"/>
        <v>0</v>
      </c>
      <c r="GP101" s="423">
        <f t="shared" ca="1" si="326"/>
        <v>0</v>
      </c>
      <c r="GQ101" s="423">
        <f t="shared" ca="1" si="326"/>
        <v>0</v>
      </c>
      <c r="GR101" s="423">
        <f t="shared" ca="1" si="326"/>
        <v>0</v>
      </c>
      <c r="GS101" s="423">
        <f t="shared" ca="1" si="325"/>
        <v>0</v>
      </c>
      <c r="GT101" s="423">
        <f t="shared" ca="1" si="325"/>
        <v>0</v>
      </c>
      <c r="GU101" s="423">
        <f t="shared" ca="1" si="325"/>
        <v>0</v>
      </c>
      <c r="GV101" s="423">
        <f t="shared" ca="1" si="325"/>
        <v>0</v>
      </c>
      <c r="GW101" s="423">
        <f t="shared" ca="1" si="325"/>
        <v>0</v>
      </c>
      <c r="GX101" s="423">
        <f t="shared" ca="1" si="325"/>
        <v>0</v>
      </c>
      <c r="GY101" s="423">
        <f t="shared" ca="1" si="325"/>
        <v>0</v>
      </c>
      <c r="GZ101" s="423">
        <f t="shared" ca="1" si="325"/>
        <v>0</v>
      </c>
      <c r="HA101" s="423">
        <f t="shared" ca="1" si="325"/>
        <v>0</v>
      </c>
      <c r="HB101" s="423">
        <f t="shared" ca="1" si="325"/>
        <v>0</v>
      </c>
      <c r="HC101" s="423">
        <f t="shared" ca="1" si="325"/>
        <v>0</v>
      </c>
      <c r="HD101" s="423">
        <f t="shared" ca="1" si="325"/>
        <v>0</v>
      </c>
      <c r="HE101" s="423">
        <f t="shared" ca="1" si="325"/>
        <v>0</v>
      </c>
      <c r="HF101" s="423">
        <f t="shared" ca="1" si="325"/>
        <v>0</v>
      </c>
      <c r="HG101" s="423">
        <f t="shared" ca="1" si="325"/>
        <v>0</v>
      </c>
      <c r="HH101" s="423">
        <f t="shared" ca="1" si="325"/>
        <v>0</v>
      </c>
      <c r="HI101" s="423">
        <f t="shared" ca="1" si="327"/>
        <v>0</v>
      </c>
      <c r="HJ101" s="423">
        <f t="shared" ca="1" si="324"/>
        <v>0</v>
      </c>
      <c r="HK101" s="423">
        <f t="shared" ca="1" si="324"/>
        <v>0</v>
      </c>
      <c r="HL101" s="423">
        <f t="shared" ca="1" si="324"/>
        <v>0</v>
      </c>
      <c r="HM101" s="423">
        <f t="shared" ca="1" si="324"/>
        <v>0</v>
      </c>
      <c r="HN101" s="423">
        <f t="shared" ca="1" si="324"/>
        <v>0</v>
      </c>
      <c r="HO101" s="423">
        <f t="shared" ca="1" si="324"/>
        <v>0</v>
      </c>
      <c r="HP101" s="423">
        <f t="shared" ca="1" si="324"/>
        <v>0</v>
      </c>
      <c r="HQ101" s="423">
        <f t="shared" ca="1" si="324"/>
        <v>0</v>
      </c>
      <c r="HR101" s="423">
        <f t="shared" ca="1" si="324"/>
        <v>0</v>
      </c>
      <c r="HS101" s="423">
        <f t="shared" ca="1" si="324"/>
        <v>0</v>
      </c>
      <c r="HT101" s="423">
        <f t="shared" ca="1" si="324"/>
        <v>0</v>
      </c>
    </row>
    <row r="102" spans="1:228" ht="11.25" customHeight="1" x14ac:dyDescent="0.2">
      <c r="A102" s="62">
        <f t="shared" si="322"/>
        <v>91</v>
      </c>
      <c r="B102" s="60">
        <f>Spaces_Sum!C147</f>
        <v>0</v>
      </c>
      <c r="C102" s="62" t="str">
        <f>Spaces_Sum!D147</f>
        <v>0</v>
      </c>
      <c r="D102" s="62" t="e">
        <f ca="1">Spaces_Sum!I147</f>
        <v>#N/A</v>
      </c>
      <c r="F102" s="110" t="e">
        <f ca="1">Spaces_Sum!M147</f>
        <v>#N/A</v>
      </c>
      <c r="G102" s="110" t="e">
        <f ca="1">Spaces_Sum!J147</f>
        <v>#N/A</v>
      </c>
      <c r="H102" s="532"/>
      <c r="I102" s="185"/>
      <c r="J102" s="185"/>
      <c r="K102" s="186"/>
      <c r="L102" s="187"/>
      <c r="M102" s="188"/>
      <c r="N102" s="189"/>
      <c r="O102" s="186"/>
      <c r="P102" s="187"/>
      <c r="Q102" s="188"/>
      <c r="R102" s="189"/>
      <c r="S102" s="186"/>
      <c r="T102" s="187"/>
      <c r="U102" s="188"/>
      <c r="V102" s="189"/>
      <c r="W102" s="186"/>
      <c r="X102" s="187"/>
      <c r="Y102" s="188"/>
      <c r="Z102" s="189"/>
      <c r="AA102" s="186"/>
      <c r="AB102" s="187"/>
      <c r="AC102" s="188"/>
      <c r="AD102" s="189"/>
      <c r="AE102" s="186"/>
      <c r="AF102" s="187"/>
      <c r="AG102" s="188"/>
      <c r="AH102" s="189"/>
      <c r="AI102" s="186"/>
      <c r="AJ102" s="187"/>
      <c r="AK102" s="188"/>
      <c r="AL102" s="189"/>
      <c r="AM102" s="186"/>
      <c r="AN102" s="187"/>
      <c r="AO102" s="188"/>
      <c r="AP102" s="189"/>
      <c r="AQ102" s="186"/>
      <c r="AR102" s="187"/>
      <c r="AS102" s="188"/>
      <c r="AT102" s="189"/>
      <c r="AU102" s="186"/>
      <c r="AV102" s="187"/>
      <c r="AW102" s="188"/>
      <c r="AX102" s="189"/>
      <c r="AY102" s="186"/>
      <c r="AZ102" s="187"/>
      <c r="BA102" s="188"/>
      <c r="BB102" s="189"/>
      <c r="BC102" s="186"/>
      <c r="BD102" s="187"/>
      <c r="BE102" s="188"/>
      <c r="BF102" s="189"/>
      <c r="BG102" s="186"/>
      <c r="BH102" s="187"/>
      <c r="BI102" s="188"/>
      <c r="BJ102" s="189"/>
      <c r="BK102" s="186"/>
      <c r="BL102" s="187"/>
      <c r="BM102" s="188"/>
      <c r="BN102" s="189"/>
      <c r="BO102" s="186"/>
      <c r="BP102" s="187"/>
      <c r="BQ102" s="188"/>
      <c r="BR102" s="189"/>
      <c r="BS102" s="186"/>
      <c r="BT102" s="187"/>
      <c r="BU102" s="188"/>
      <c r="BV102" s="189"/>
      <c r="BW102" s="186"/>
      <c r="BX102" s="187"/>
      <c r="BY102" s="188"/>
      <c r="BZ102" s="189"/>
      <c r="CA102" s="186"/>
      <c r="CB102" s="190"/>
      <c r="CC102" s="190"/>
      <c r="CD102" s="82">
        <f t="shared" si="235"/>
        <v>0</v>
      </c>
      <c r="CE102" s="82">
        <f t="shared" si="236"/>
        <v>0</v>
      </c>
      <c r="CF102" s="82">
        <f t="shared" si="237"/>
        <v>0</v>
      </c>
      <c r="CG102" s="82">
        <f t="shared" si="238"/>
        <v>0</v>
      </c>
      <c r="CH102" s="82">
        <f t="shared" si="239"/>
        <v>0</v>
      </c>
      <c r="CI102" s="82">
        <f t="shared" si="240"/>
        <v>0</v>
      </c>
      <c r="CJ102" s="82">
        <f t="shared" si="241"/>
        <v>0</v>
      </c>
      <c r="CK102" s="82">
        <f t="shared" si="242"/>
        <v>0</v>
      </c>
      <c r="CL102" s="82">
        <f t="shared" si="243"/>
        <v>0</v>
      </c>
      <c r="CM102" s="82">
        <f t="shared" si="244"/>
        <v>0</v>
      </c>
      <c r="CN102" s="82">
        <f t="shared" si="245"/>
        <v>0</v>
      </c>
      <c r="CO102" s="82">
        <f t="shared" si="246"/>
        <v>0</v>
      </c>
      <c r="CP102" s="82">
        <f t="shared" si="247"/>
        <v>0</v>
      </c>
      <c r="CQ102" s="82">
        <f t="shared" si="248"/>
        <v>0</v>
      </c>
      <c r="CR102" s="82">
        <f t="shared" si="249"/>
        <v>0</v>
      </c>
      <c r="CS102" s="82">
        <f t="shared" si="250"/>
        <v>0</v>
      </c>
      <c r="CT102" s="82">
        <f t="shared" si="251"/>
        <v>0</v>
      </c>
      <c r="CU102" s="82">
        <f t="shared" si="252"/>
        <v>0</v>
      </c>
      <c r="CV102" s="82">
        <f t="shared" si="253"/>
        <v>0</v>
      </c>
      <c r="CW102" s="82">
        <f t="shared" si="254"/>
        <v>0</v>
      </c>
      <c r="CX102" s="82">
        <f t="shared" si="255"/>
        <v>0</v>
      </c>
      <c r="CY102" s="82">
        <f t="shared" si="256"/>
        <v>0</v>
      </c>
      <c r="CZ102" s="82">
        <f t="shared" si="257"/>
        <v>0</v>
      </c>
      <c r="DA102" s="82">
        <f t="shared" si="258"/>
        <v>0</v>
      </c>
      <c r="DB102" s="82">
        <f t="shared" si="259"/>
        <v>0</v>
      </c>
      <c r="DC102" s="82">
        <f t="shared" si="260"/>
        <v>0</v>
      </c>
      <c r="DD102" s="82">
        <f t="shared" si="261"/>
        <v>0</v>
      </c>
      <c r="DE102" s="82">
        <f t="shared" si="262"/>
        <v>0</v>
      </c>
      <c r="DF102" s="82">
        <f t="shared" si="263"/>
        <v>0</v>
      </c>
      <c r="DG102" s="82">
        <f t="shared" si="264"/>
        <v>0</v>
      </c>
      <c r="DH102" s="82">
        <f t="shared" si="265"/>
        <v>0</v>
      </c>
      <c r="DI102" s="82">
        <f t="shared" si="266"/>
        <v>0</v>
      </c>
      <c r="DJ102" s="82">
        <f t="shared" si="267"/>
        <v>0</v>
      </c>
      <c r="DK102" s="82">
        <f t="shared" si="268"/>
        <v>0</v>
      </c>
      <c r="DL102" s="82">
        <f t="shared" si="269"/>
        <v>0</v>
      </c>
      <c r="DM102" s="82">
        <f t="shared" si="270"/>
        <v>0</v>
      </c>
      <c r="DN102" s="82">
        <f t="shared" si="271"/>
        <v>0</v>
      </c>
      <c r="DO102" s="82">
        <f t="shared" si="272"/>
        <v>0</v>
      </c>
      <c r="DP102" s="82">
        <f t="shared" si="273"/>
        <v>0</v>
      </c>
      <c r="DQ102" s="82">
        <f t="shared" si="274"/>
        <v>0</v>
      </c>
      <c r="DR102" s="82">
        <f t="shared" si="275"/>
        <v>0</v>
      </c>
      <c r="DS102" s="82">
        <f t="shared" si="276"/>
        <v>0</v>
      </c>
      <c r="DT102" s="82">
        <f t="shared" si="277"/>
        <v>0</v>
      </c>
      <c r="DU102" s="82">
        <f t="shared" si="278"/>
        <v>0</v>
      </c>
      <c r="DV102" s="82">
        <f t="shared" si="279"/>
        <v>0</v>
      </c>
      <c r="DW102" s="82">
        <f t="shared" si="280"/>
        <v>0</v>
      </c>
      <c r="DX102" s="82">
        <f t="shared" si="281"/>
        <v>0</v>
      </c>
      <c r="DY102" s="82">
        <f t="shared" si="282"/>
        <v>0</v>
      </c>
      <c r="DZ102" s="82">
        <f t="shared" si="283"/>
        <v>0</v>
      </c>
      <c r="EA102" s="82">
        <f t="shared" si="284"/>
        <v>0</v>
      </c>
      <c r="EB102" s="82">
        <f t="shared" si="285"/>
        <v>0</v>
      </c>
      <c r="EC102" s="82">
        <f t="shared" si="286"/>
        <v>0</v>
      </c>
      <c r="ED102" s="82">
        <f t="shared" si="287"/>
        <v>0</v>
      </c>
      <c r="EE102" s="82">
        <f t="shared" si="288"/>
        <v>0</v>
      </c>
      <c r="EF102" s="82">
        <f t="shared" si="289"/>
        <v>0</v>
      </c>
      <c r="EG102" s="82">
        <f t="shared" si="290"/>
        <v>0</v>
      </c>
      <c r="EH102" s="82">
        <f t="shared" si="291"/>
        <v>0</v>
      </c>
      <c r="EI102" s="82">
        <f t="shared" si="292"/>
        <v>0</v>
      </c>
      <c r="EJ102" s="82">
        <f t="shared" si="293"/>
        <v>0</v>
      </c>
      <c r="EK102" s="82">
        <f t="shared" si="294"/>
        <v>0</v>
      </c>
      <c r="EL102" s="82">
        <f t="shared" si="295"/>
        <v>0</v>
      </c>
      <c r="EM102" s="82">
        <f t="shared" si="296"/>
        <v>0</v>
      </c>
      <c r="EN102" s="82">
        <f t="shared" si="297"/>
        <v>0</v>
      </c>
      <c r="EO102" s="82">
        <f t="shared" si="298"/>
        <v>0</v>
      </c>
      <c r="EP102" s="82">
        <f t="shared" si="299"/>
        <v>0</v>
      </c>
      <c r="EQ102" s="82">
        <f t="shared" si="300"/>
        <v>0</v>
      </c>
      <c r="ER102" s="82">
        <f t="shared" si="301"/>
        <v>0</v>
      </c>
      <c r="ES102" s="82">
        <f t="shared" si="302"/>
        <v>0</v>
      </c>
      <c r="ET102" s="82">
        <f t="shared" si="303"/>
        <v>0</v>
      </c>
      <c r="EU102" s="82">
        <f t="shared" si="304"/>
        <v>0</v>
      </c>
      <c r="EV102" s="82">
        <f t="shared" si="305"/>
        <v>0</v>
      </c>
      <c r="EW102" s="82">
        <f t="shared" si="306"/>
        <v>0</v>
      </c>
      <c r="EX102" s="82">
        <f t="shared" si="307"/>
        <v>0</v>
      </c>
      <c r="EY102" s="111">
        <f t="shared" si="308"/>
        <v>0</v>
      </c>
      <c r="EZ102" s="143" t="e">
        <f t="shared" ca="1" si="309"/>
        <v>#N/A</v>
      </c>
      <c r="FA102" s="112" t="e">
        <f t="shared" ca="1" si="310"/>
        <v>#N/A</v>
      </c>
      <c r="FB102" s="113" t="e">
        <f t="shared" ca="1" si="311"/>
        <v>#N/A</v>
      </c>
      <c r="FC102" s="114" t="e">
        <f t="shared" ca="1" si="312"/>
        <v>#N/A</v>
      </c>
      <c r="FD102" s="115">
        <f t="shared" ca="1" si="313"/>
        <v>0</v>
      </c>
      <c r="FE102" s="116" t="e">
        <f t="shared" ca="1" si="314"/>
        <v>#N/A</v>
      </c>
      <c r="FF102" s="117" t="e">
        <f t="shared" ca="1" si="315"/>
        <v>#N/A</v>
      </c>
      <c r="FG102" s="71">
        <f t="shared" si="316"/>
        <v>0</v>
      </c>
      <c r="FH102" s="530" t="e">
        <f t="shared" ca="1" si="317"/>
        <v>#N/A</v>
      </c>
      <c r="FI102" s="72"/>
      <c r="FJ102" s="72"/>
      <c r="FK102" s="72"/>
      <c r="FM102" s="421">
        <f t="shared" si="318"/>
        <v>0</v>
      </c>
      <c r="FN102" s="422" t="e">
        <f t="shared" ca="1" si="319"/>
        <v>#N/A</v>
      </c>
      <c r="FO102" s="423">
        <f t="shared" ca="1" si="328"/>
        <v>0</v>
      </c>
      <c r="FP102" s="423">
        <f t="shared" ca="1" si="328"/>
        <v>0</v>
      </c>
      <c r="FQ102" s="423">
        <f t="shared" ca="1" si="328"/>
        <v>0</v>
      </c>
      <c r="FR102" s="423">
        <f t="shared" ca="1" si="328"/>
        <v>0</v>
      </c>
      <c r="FS102" s="423">
        <f t="shared" ca="1" si="328"/>
        <v>0</v>
      </c>
      <c r="FT102" s="423">
        <f t="shared" ca="1" si="328"/>
        <v>0</v>
      </c>
      <c r="FU102" s="423">
        <f t="shared" ca="1" si="328"/>
        <v>0</v>
      </c>
      <c r="FV102" s="423">
        <f t="shared" ca="1" si="328"/>
        <v>0</v>
      </c>
      <c r="FW102" s="423">
        <f t="shared" ca="1" si="328"/>
        <v>0</v>
      </c>
      <c r="FX102" s="423">
        <f t="shared" ca="1" si="328"/>
        <v>0</v>
      </c>
      <c r="FY102" s="423">
        <f t="shared" ca="1" si="328"/>
        <v>0</v>
      </c>
      <c r="FZ102" s="423">
        <f t="shared" ca="1" si="328"/>
        <v>0</v>
      </c>
      <c r="GA102" s="423">
        <f t="shared" ca="1" si="328"/>
        <v>0</v>
      </c>
      <c r="GB102" s="423">
        <f t="shared" ca="1" si="328"/>
        <v>0</v>
      </c>
      <c r="GC102" s="423">
        <f t="shared" ca="1" si="328"/>
        <v>0</v>
      </c>
      <c r="GD102" s="423">
        <f t="shared" ca="1" si="328"/>
        <v>0</v>
      </c>
      <c r="GE102" s="423">
        <f t="shared" ca="1" si="326"/>
        <v>0</v>
      </c>
      <c r="GF102" s="423">
        <f t="shared" ca="1" si="326"/>
        <v>0</v>
      </c>
      <c r="GG102" s="423">
        <f t="shared" ca="1" si="326"/>
        <v>0</v>
      </c>
      <c r="GH102" s="423">
        <f t="shared" ca="1" si="326"/>
        <v>0</v>
      </c>
      <c r="GI102" s="423">
        <f t="shared" ca="1" si="326"/>
        <v>0</v>
      </c>
      <c r="GJ102" s="423">
        <f t="shared" ca="1" si="326"/>
        <v>0</v>
      </c>
      <c r="GK102" s="423">
        <f t="shared" ca="1" si="326"/>
        <v>0</v>
      </c>
      <c r="GL102" s="423">
        <f t="shared" ca="1" si="326"/>
        <v>0</v>
      </c>
      <c r="GM102" s="423">
        <f t="shared" ca="1" si="326"/>
        <v>0</v>
      </c>
      <c r="GN102" s="423">
        <f t="shared" ca="1" si="326"/>
        <v>0</v>
      </c>
      <c r="GO102" s="423">
        <f t="shared" ca="1" si="326"/>
        <v>0</v>
      </c>
      <c r="GP102" s="423">
        <f t="shared" ca="1" si="326"/>
        <v>0</v>
      </c>
      <c r="GQ102" s="423">
        <f t="shared" ca="1" si="326"/>
        <v>0</v>
      </c>
      <c r="GR102" s="423">
        <f t="shared" ca="1" si="326"/>
        <v>0</v>
      </c>
      <c r="GS102" s="423">
        <f t="shared" ca="1" si="325"/>
        <v>0</v>
      </c>
      <c r="GT102" s="423">
        <f t="shared" ca="1" si="325"/>
        <v>0</v>
      </c>
      <c r="GU102" s="423">
        <f t="shared" ca="1" si="325"/>
        <v>0</v>
      </c>
      <c r="GV102" s="423">
        <f t="shared" ca="1" si="325"/>
        <v>0</v>
      </c>
      <c r="GW102" s="423">
        <f t="shared" ca="1" si="325"/>
        <v>0</v>
      </c>
      <c r="GX102" s="423">
        <f t="shared" ca="1" si="325"/>
        <v>0</v>
      </c>
      <c r="GY102" s="423">
        <f t="shared" ca="1" si="325"/>
        <v>0</v>
      </c>
      <c r="GZ102" s="423">
        <f t="shared" ca="1" si="325"/>
        <v>0</v>
      </c>
      <c r="HA102" s="423">
        <f t="shared" ca="1" si="325"/>
        <v>0</v>
      </c>
      <c r="HB102" s="423">
        <f t="shared" ca="1" si="325"/>
        <v>0</v>
      </c>
      <c r="HC102" s="423">
        <f t="shared" ca="1" si="325"/>
        <v>0</v>
      </c>
      <c r="HD102" s="423">
        <f t="shared" ca="1" si="325"/>
        <v>0</v>
      </c>
      <c r="HE102" s="423">
        <f t="shared" ca="1" si="325"/>
        <v>0</v>
      </c>
      <c r="HF102" s="423">
        <f t="shared" ca="1" si="325"/>
        <v>0</v>
      </c>
      <c r="HG102" s="423">
        <f t="shared" ca="1" si="325"/>
        <v>0</v>
      </c>
      <c r="HH102" s="423">
        <f t="shared" ca="1" si="325"/>
        <v>0</v>
      </c>
      <c r="HI102" s="423">
        <f t="shared" ca="1" si="327"/>
        <v>0</v>
      </c>
      <c r="HJ102" s="423">
        <f t="shared" ca="1" si="324"/>
        <v>0</v>
      </c>
      <c r="HK102" s="423">
        <f t="shared" ca="1" si="324"/>
        <v>0</v>
      </c>
      <c r="HL102" s="423">
        <f t="shared" ca="1" si="324"/>
        <v>0</v>
      </c>
      <c r="HM102" s="423">
        <f t="shared" ca="1" si="324"/>
        <v>0</v>
      </c>
      <c r="HN102" s="423">
        <f t="shared" ca="1" si="324"/>
        <v>0</v>
      </c>
      <c r="HO102" s="423">
        <f t="shared" ca="1" si="324"/>
        <v>0</v>
      </c>
      <c r="HP102" s="423">
        <f t="shared" ca="1" si="324"/>
        <v>0</v>
      </c>
      <c r="HQ102" s="423">
        <f t="shared" ca="1" si="324"/>
        <v>0</v>
      </c>
      <c r="HR102" s="423">
        <f t="shared" ca="1" si="324"/>
        <v>0</v>
      </c>
      <c r="HS102" s="423">
        <f t="shared" ca="1" si="324"/>
        <v>0</v>
      </c>
      <c r="HT102" s="423">
        <f t="shared" ca="1" si="324"/>
        <v>0</v>
      </c>
    </row>
    <row r="103" spans="1:228" ht="11.25" customHeight="1" x14ac:dyDescent="0.2">
      <c r="A103" s="62">
        <f t="shared" si="322"/>
        <v>92</v>
      </c>
      <c r="B103" s="60">
        <f>Spaces_Sum!C148</f>
        <v>0</v>
      </c>
      <c r="C103" s="62" t="str">
        <f>Spaces_Sum!D148</f>
        <v>0</v>
      </c>
      <c r="D103" s="62" t="e">
        <f ca="1">Spaces_Sum!I148</f>
        <v>#N/A</v>
      </c>
      <c r="F103" s="110" t="e">
        <f ca="1">Spaces_Sum!M148</f>
        <v>#N/A</v>
      </c>
      <c r="G103" s="110" t="e">
        <f ca="1">Spaces_Sum!J148</f>
        <v>#N/A</v>
      </c>
      <c r="H103" s="532"/>
      <c r="I103" s="185"/>
      <c r="J103" s="185"/>
      <c r="K103" s="186"/>
      <c r="L103" s="187"/>
      <c r="M103" s="188"/>
      <c r="N103" s="189"/>
      <c r="O103" s="186"/>
      <c r="P103" s="187"/>
      <c r="Q103" s="188"/>
      <c r="R103" s="189"/>
      <c r="S103" s="186"/>
      <c r="T103" s="187"/>
      <c r="U103" s="188"/>
      <c r="V103" s="189"/>
      <c r="W103" s="186"/>
      <c r="X103" s="187"/>
      <c r="Y103" s="188"/>
      <c r="Z103" s="189"/>
      <c r="AA103" s="186"/>
      <c r="AB103" s="187"/>
      <c r="AC103" s="188"/>
      <c r="AD103" s="189"/>
      <c r="AE103" s="186"/>
      <c r="AF103" s="187"/>
      <c r="AG103" s="188"/>
      <c r="AH103" s="189"/>
      <c r="AI103" s="186"/>
      <c r="AJ103" s="187"/>
      <c r="AK103" s="188"/>
      <c r="AL103" s="189"/>
      <c r="AM103" s="186"/>
      <c r="AN103" s="187"/>
      <c r="AO103" s="188"/>
      <c r="AP103" s="189"/>
      <c r="AQ103" s="186"/>
      <c r="AR103" s="187"/>
      <c r="AS103" s="188"/>
      <c r="AT103" s="189"/>
      <c r="AU103" s="186"/>
      <c r="AV103" s="187"/>
      <c r="AW103" s="188"/>
      <c r="AX103" s="189"/>
      <c r="AY103" s="186"/>
      <c r="AZ103" s="187"/>
      <c r="BA103" s="188"/>
      <c r="BB103" s="189"/>
      <c r="BC103" s="186"/>
      <c r="BD103" s="187"/>
      <c r="BE103" s="188"/>
      <c r="BF103" s="189"/>
      <c r="BG103" s="186"/>
      <c r="BH103" s="187"/>
      <c r="BI103" s="188"/>
      <c r="BJ103" s="189"/>
      <c r="BK103" s="186"/>
      <c r="BL103" s="187"/>
      <c r="BM103" s="188"/>
      <c r="BN103" s="189"/>
      <c r="BO103" s="186"/>
      <c r="BP103" s="187"/>
      <c r="BQ103" s="188"/>
      <c r="BR103" s="189"/>
      <c r="BS103" s="186"/>
      <c r="BT103" s="187"/>
      <c r="BU103" s="188"/>
      <c r="BV103" s="189"/>
      <c r="BW103" s="186"/>
      <c r="BX103" s="187"/>
      <c r="BY103" s="188"/>
      <c r="BZ103" s="189"/>
      <c r="CA103" s="186"/>
      <c r="CB103" s="190"/>
      <c r="CC103" s="190"/>
      <c r="CD103" s="82">
        <f t="shared" si="235"/>
        <v>0</v>
      </c>
      <c r="CE103" s="82">
        <f t="shared" si="236"/>
        <v>0</v>
      </c>
      <c r="CF103" s="82">
        <f t="shared" si="237"/>
        <v>0</v>
      </c>
      <c r="CG103" s="82">
        <f t="shared" si="238"/>
        <v>0</v>
      </c>
      <c r="CH103" s="82">
        <f t="shared" si="239"/>
        <v>0</v>
      </c>
      <c r="CI103" s="82">
        <f t="shared" si="240"/>
        <v>0</v>
      </c>
      <c r="CJ103" s="82">
        <f t="shared" si="241"/>
        <v>0</v>
      </c>
      <c r="CK103" s="82">
        <f t="shared" si="242"/>
        <v>0</v>
      </c>
      <c r="CL103" s="82">
        <f t="shared" si="243"/>
        <v>0</v>
      </c>
      <c r="CM103" s="82">
        <f t="shared" si="244"/>
        <v>0</v>
      </c>
      <c r="CN103" s="82">
        <f t="shared" si="245"/>
        <v>0</v>
      </c>
      <c r="CO103" s="82">
        <f t="shared" si="246"/>
        <v>0</v>
      </c>
      <c r="CP103" s="82">
        <f t="shared" si="247"/>
        <v>0</v>
      </c>
      <c r="CQ103" s="82">
        <f t="shared" si="248"/>
        <v>0</v>
      </c>
      <c r="CR103" s="82">
        <f t="shared" si="249"/>
        <v>0</v>
      </c>
      <c r="CS103" s="82">
        <f t="shared" si="250"/>
        <v>0</v>
      </c>
      <c r="CT103" s="82">
        <f t="shared" si="251"/>
        <v>0</v>
      </c>
      <c r="CU103" s="82">
        <f t="shared" si="252"/>
        <v>0</v>
      </c>
      <c r="CV103" s="82">
        <f t="shared" si="253"/>
        <v>0</v>
      </c>
      <c r="CW103" s="82">
        <f t="shared" si="254"/>
        <v>0</v>
      </c>
      <c r="CX103" s="82">
        <f t="shared" si="255"/>
        <v>0</v>
      </c>
      <c r="CY103" s="82">
        <f t="shared" si="256"/>
        <v>0</v>
      </c>
      <c r="CZ103" s="82">
        <f t="shared" si="257"/>
        <v>0</v>
      </c>
      <c r="DA103" s="82">
        <f t="shared" si="258"/>
        <v>0</v>
      </c>
      <c r="DB103" s="82">
        <f t="shared" si="259"/>
        <v>0</v>
      </c>
      <c r="DC103" s="82">
        <f t="shared" si="260"/>
        <v>0</v>
      </c>
      <c r="DD103" s="82">
        <f t="shared" si="261"/>
        <v>0</v>
      </c>
      <c r="DE103" s="82">
        <f t="shared" si="262"/>
        <v>0</v>
      </c>
      <c r="DF103" s="82">
        <f t="shared" si="263"/>
        <v>0</v>
      </c>
      <c r="DG103" s="82">
        <f t="shared" si="264"/>
        <v>0</v>
      </c>
      <c r="DH103" s="82">
        <f t="shared" si="265"/>
        <v>0</v>
      </c>
      <c r="DI103" s="82">
        <f t="shared" si="266"/>
        <v>0</v>
      </c>
      <c r="DJ103" s="82">
        <f t="shared" si="267"/>
        <v>0</v>
      </c>
      <c r="DK103" s="82">
        <f t="shared" si="268"/>
        <v>0</v>
      </c>
      <c r="DL103" s="82">
        <f t="shared" si="269"/>
        <v>0</v>
      </c>
      <c r="DM103" s="82">
        <f t="shared" si="270"/>
        <v>0</v>
      </c>
      <c r="DN103" s="82">
        <f t="shared" si="271"/>
        <v>0</v>
      </c>
      <c r="DO103" s="82">
        <f t="shared" si="272"/>
        <v>0</v>
      </c>
      <c r="DP103" s="82">
        <f t="shared" si="273"/>
        <v>0</v>
      </c>
      <c r="DQ103" s="82">
        <f t="shared" si="274"/>
        <v>0</v>
      </c>
      <c r="DR103" s="82">
        <f t="shared" si="275"/>
        <v>0</v>
      </c>
      <c r="DS103" s="82">
        <f t="shared" si="276"/>
        <v>0</v>
      </c>
      <c r="DT103" s="82">
        <f t="shared" si="277"/>
        <v>0</v>
      </c>
      <c r="DU103" s="82">
        <f t="shared" si="278"/>
        <v>0</v>
      </c>
      <c r="DV103" s="82">
        <f t="shared" si="279"/>
        <v>0</v>
      </c>
      <c r="DW103" s="82">
        <f t="shared" si="280"/>
        <v>0</v>
      </c>
      <c r="DX103" s="82">
        <f t="shared" si="281"/>
        <v>0</v>
      </c>
      <c r="DY103" s="82">
        <f t="shared" si="282"/>
        <v>0</v>
      </c>
      <c r="DZ103" s="82">
        <f t="shared" si="283"/>
        <v>0</v>
      </c>
      <c r="EA103" s="82">
        <f t="shared" si="284"/>
        <v>0</v>
      </c>
      <c r="EB103" s="82">
        <f t="shared" si="285"/>
        <v>0</v>
      </c>
      <c r="EC103" s="82">
        <f t="shared" si="286"/>
        <v>0</v>
      </c>
      <c r="ED103" s="82">
        <f t="shared" si="287"/>
        <v>0</v>
      </c>
      <c r="EE103" s="82">
        <f t="shared" si="288"/>
        <v>0</v>
      </c>
      <c r="EF103" s="82">
        <f t="shared" si="289"/>
        <v>0</v>
      </c>
      <c r="EG103" s="82">
        <f t="shared" si="290"/>
        <v>0</v>
      </c>
      <c r="EH103" s="82">
        <f t="shared" si="291"/>
        <v>0</v>
      </c>
      <c r="EI103" s="82">
        <f t="shared" si="292"/>
        <v>0</v>
      </c>
      <c r="EJ103" s="82">
        <f t="shared" si="293"/>
        <v>0</v>
      </c>
      <c r="EK103" s="82">
        <f t="shared" si="294"/>
        <v>0</v>
      </c>
      <c r="EL103" s="82">
        <f t="shared" si="295"/>
        <v>0</v>
      </c>
      <c r="EM103" s="82">
        <f t="shared" si="296"/>
        <v>0</v>
      </c>
      <c r="EN103" s="82">
        <f t="shared" si="297"/>
        <v>0</v>
      </c>
      <c r="EO103" s="82">
        <f t="shared" si="298"/>
        <v>0</v>
      </c>
      <c r="EP103" s="82">
        <f t="shared" si="299"/>
        <v>0</v>
      </c>
      <c r="EQ103" s="82">
        <f t="shared" si="300"/>
        <v>0</v>
      </c>
      <c r="ER103" s="82">
        <f t="shared" si="301"/>
        <v>0</v>
      </c>
      <c r="ES103" s="82">
        <f t="shared" si="302"/>
        <v>0</v>
      </c>
      <c r="ET103" s="82">
        <f t="shared" si="303"/>
        <v>0</v>
      </c>
      <c r="EU103" s="82">
        <f t="shared" si="304"/>
        <v>0</v>
      </c>
      <c r="EV103" s="82">
        <f t="shared" si="305"/>
        <v>0</v>
      </c>
      <c r="EW103" s="82">
        <f t="shared" si="306"/>
        <v>0</v>
      </c>
      <c r="EX103" s="82">
        <f t="shared" si="307"/>
        <v>0</v>
      </c>
      <c r="EY103" s="111">
        <f t="shared" si="308"/>
        <v>0</v>
      </c>
      <c r="EZ103" s="143" t="e">
        <f t="shared" ca="1" si="309"/>
        <v>#N/A</v>
      </c>
      <c r="FA103" s="112" t="e">
        <f t="shared" ca="1" si="310"/>
        <v>#N/A</v>
      </c>
      <c r="FB103" s="113" t="e">
        <f t="shared" ca="1" si="311"/>
        <v>#N/A</v>
      </c>
      <c r="FC103" s="114" t="e">
        <f t="shared" ca="1" si="312"/>
        <v>#N/A</v>
      </c>
      <c r="FD103" s="115">
        <f t="shared" ca="1" si="313"/>
        <v>0</v>
      </c>
      <c r="FE103" s="116" t="e">
        <f t="shared" ca="1" si="314"/>
        <v>#N/A</v>
      </c>
      <c r="FF103" s="117" t="e">
        <f t="shared" ca="1" si="315"/>
        <v>#N/A</v>
      </c>
      <c r="FG103" s="71">
        <f t="shared" si="316"/>
        <v>0</v>
      </c>
      <c r="FH103" s="530" t="e">
        <f t="shared" ca="1" si="317"/>
        <v>#N/A</v>
      </c>
      <c r="FI103" s="72"/>
      <c r="FJ103" s="72"/>
      <c r="FK103" s="72"/>
      <c r="FM103" s="421">
        <f t="shared" si="318"/>
        <v>0</v>
      </c>
      <c r="FN103" s="422" t="e">
        <f t="shared" ca="1" si="319"/>
        <v>#N/A</v>
      </c>
      <c r="FO103" s="423">
        <f t="shared" ca="1" si="328"/>
        <v>0</v>
      </c>
      <c r="FP103" s="423">
        <f t="shared" ca="1" si="328"/>
        <v>0</v>
      </c>
      <c r="FQ103" s="423">
        <f t="shared" ca="1" si="328"/>
        <v>0</v>
      </c>
      <c r="FR103" s="423">
        <f t="shared" ca="1" si="328"/>
        <v>0</v>
      </c>
      <c r="FS103" s="423">
        <f t="shared" ca="1" si="328"/>
        <v>0</v>
      </c>
      <c r="FT103" s="423">
        <f t="shared" ca="1" si="328"/>
        <v>0</v>
      </c>
      <c r="FU103" s="423">
        <f t="shared" ca="1" si="328"/>
        <v>0</v>
      </c>
      <c r="FV103" s="423">
        <f t="shared" ca="1" si="328"/>
        <v>0</v>
      </c>
      <c r="FW103" s="423">
        <f t="shared" ca="1" si="328"/>
        <v>0</v>
      </c>
      <c r="FX103" s="423">
        <f t="shared" ca="1" si="328"/>
        <v>0</v>
      </c>
      <c r="FY103" s="423">
        <f t="shared" ca="1" si="328"/>
        <v>0</v>
      </c>
      <c r="FZ103" s="423">
        <f t="shared" ca="1" si="328"/>
        <v>0</v>
      </c>
      <c r="GA103" s="423">
        <f t="shared" ca="1" si="328"/>
        <v>0</v>
      </c>
      <c r="GB103" s="423">
        <f t="shared" ca="1" si="328"/>
        <v>0</v>
      </c>
      <c r="GC103" s="423">
        <f t="shared" ca="1" si="328"/>
        <v>0</v>
      </c>
      <c r="GD103" s="423">
        <f t="shared" ca="1" si="328"/>
        <v>0</v>
      </c>
      <c r="GE103" s="423">
        <f t="shared" ca="1" si="326"/>
        <v>0</v>
      </c>
      <c r="GF103" s="423">
        <f t="shared" ca="1" si="326"/>
        <v>0</v>
      </c>
      <c r="GG103" s="423">
        <f t="shared" ca="1" si="326"/>
        <v>0</v>
      </c>
      <c r="GH103" s="423">
        <f t="shared" ca="1" si="326"/>
        <v>0</v>
      </c>
      <c r="GI103" s="423">
        <f t="shared" ca="1" si="326"/>
        <v>0</v>
      </c>
      <c r="GJ103" s="423">
        <f t="shared" ca="1" si="326"/>
        <v>0</v>
      </c>
      <c r="GK103" s="423">
        <f t="shared" ca="1" si="326"/>
        <v>0</v>
      </c>
      <c r="GL103" s="423">
        <f t="shared" ca="1" si="326"/>
        <v>0</v>
      </c>
      <c r="GM103" s="423">
        <f t="shared" ca="1" si="326"/>
        <v>0</v>
      </c>
      <c r="GN103" s="423">
        <f t="shared" ca="1" si="326"/>
        <v>0</v>
      </c>
      <c r="GO103" s="423">
        <f t="shared" ca="1" si="326"/>
        <v>0</v>
      </c>
      <c r="GP103" s="423">
        <f t="shared" ca="1" si="326"/>
        <v>0</v>
      </c>
      <c r="GQ103" s="423">
        <f t="shared" ca="1" si="326"/>
        <v>0</v>
      </c>
      <c r="GR103" s="423">
        <f t="shared" ca="1" si="326"/>
        <v>0</v>
      </c>
      <c r="GS103" s="423">
        <f t="shared" ca="1" si="325"/>
        <v>0</v>
      </c>
      <c r="GT103" s="423">
        <f t="shared" ca="1" si="325"/>
        <v>0</v>
      </c>
      <c r="GU103" s="423">
        <f t="shared" ca="1" si="325"/>
        <v>0</v>
      </c>
      <c r="GV103" s="423">
        <f t="shared" ca="1" si="325"/>
        <v>0</v>
      </c>
      <c r="GW103" s="423">
        <f t="shared" ca="1" si="325"/>
        <v>0</v>
      </c>
      <c r="GX103" s="423">
        <f t="shared" ca="1" si="325"/>
        <v>0</v>
      </c>
      <c r="GY103" s="423">
        <f t="shared" ca="1" si="325"/>
        <v>0</v>
      </c>
      <c r="GZ103" s="423">
        <f t="shared" ca="1" si="325"/>
        <v>0</v>
      </c>
      <c r="HA103" s="423">
        <f t="shared" ca="1" si="325"/>
        <v>0</v>
      </c>
      <c r="HB103" s="423">
        <f t="shared" ca="1" si="325"/>
        <v>0</v>
      </c>
      <c r="HC103" s="423">
        <f t="shared" ca="1" si="325"/>
        <v>0</v>
      </c>
      <c r="HD103" s="423">
        <f t="shared" ca="1" si="325"/>
        <v>0</v>
      </c>
      <c r="HE103" s="423">
        <f t="shared" ca="1" si="325"/>
        <v>0</v>
      </c>
      <c r="HF103" s="423">
        <f t="shared" ca="1" si="325"/>
        <v>0</v>
      </c>
      <c r="HG103" s="423">
        <f t="shared" ca="1" si="325"/>
        <v>0</v>
      </c>
      <c r="HH103" s="423">
        <f t="shared" ca="1" si="325"/>
        <v>0</v>
      </c>
      <c r="HI103" s="423">
        <f t="shared" ca="1" si="327"/>
        <v>0</v>
      </c>
      <c r="HJ103" s="423">
        <f t="shared" ca="1" si="324"/>
        <v>0</v>
      </c>
      <c r="HK103" s="423">
        <f t="shared" ca="1" si="324"/>
        <v>0</v>
      </c>
      <c r="HL103" s="423">
        <f t="shared" ca="1" si="324"/>
        <v>0</v>
      </c>
      <c r="HM103" s="423">
        <f t="shared" ca="1" si="324"/>
        <v>0</v>
      </c>
      <c r="HN103" s="423">
        <f t="shared" ca="1" si="324"/>
        <v>0</v>
      </c>
      <c r="HO103" s="423">
        <f t="shared" ca="1" si="324"/>
        <v>0</v>
      </c>
      <c r="HP103" s="423">
        <f t="shared" ca="1" si="324"/>
        <v>0</v>
      </c>
      <c r="HQ103" s="423">
        <f t="shared" ca="1" si="324"/>
        <v>0</v>
      </c>
      <c r="HR103" s="423">
        <f t="shared" ca="1" si="324"/>
        <v>0</v>
      </c>
      <c r="HS103" s="423">
        <f t="shared" ca="1" si="324"/>
        <v>0</v>
      </c>
      <c r="HT103" s="423">
        <f t="shared" ca="1" si="324"/>
        <v>0</v>
      </c>
    </row>
    <row r="104" spans="1:228" ht="11.25" customHeight="1" x14ac:dyDescent="0.2">
      <c r="A104" s="62">
        <f t="shared" si="322"/>
        <v>93</v>
      </c>
      <c r="B104" s="60">
        <f>Spaces_Sum!C149</f>
        <v>0</v>
      </c>
      <c r="C104" s="62" t="str">
        <f>Spaces_Sum!D149</f>
        <v>0</v>
      </c>
      <c r="D104" s="62" t="e">
        <f ca="1">Spaces_Sum!I149</f>
        <v>#N/A</v>
      </c>
      <c r="F104" s="110" t="e">
        <f ca="1">Spaces_Sum!M149</f>
        <v>#N/A</v>
      </c>
      <c r="G104" s="110" t="e">
        <f ca="1">Spaces_Sum!J149</f>
        <v>#N/A</v>
      </c>
      <c r="H104" s="532"/>
      <c r="I104" s="185"/>
      <c r="J104" s="185"/>
      <c r="K104" s="186"/>
      <c r="L104" s="187"/>
      <c r="M104" s="188"/>
      <c r="N104" s="189"/>
      <c r="O104" s="186"/>
      <c r="P104" s="187"/>
      <c r="Q104" s="188"/>
      <c r="R104" s="189"/>
      <c r="S104" s="186"/>
      <c r="T104" s="187"/>
      <c r="U104" s="188"/>
      <c r="V104" s="189"/>
      <c r="W104" s="186"/>
      <c r="X104" s="187"/>
      <c r="Y104" s="188"/>
      <c r="Z104" s="189"/>
      <c r="AA104" s="186"/>
      <c r="AB104" s="187"/>
      <c r="AC104" s="188"/>
      <c r="AD104" s="189"/>
      <c r="AE104" s="186"/>
      <c r="AF104" s="187"/>
      <c r="AG104" s="188"/>
      <c r="AH104" s="189"/>
      <c r="AI104" s="186"/>
      <c r="AJ104" s="187"/>
      <c r="AK104" s="188"/>
      <c r="AL104" s="189"/>
      <c r="AM104" s="186"/>
      <c r="AN104" s="187"/>
      <c r="AO104" s="188"/>
      <c r="AP104" s="189"/>
      <c r="AQ104" s="186"/>
      <c r="AR104" s="187"/>
      <c r="AS104" s="188"/>
      <c r="AT104" s="189"/>
      <c r="AU104" s="186"/>
      <c r="AV104" s="187"/>
      <c r="AW104" s="188"/>
      <c r="AX104" s="189"/>
      <c r="AY104" s="186"/>
      <c r="AZ104" s="187"/>
      <c r="BA104" s="188"/>
      <c r="BB104" s="189"/>
      <c r="BC104" s="186"/>
      <c r="BD104" s="187"/>
      <c r="BE104" s="188"/>
      <c r="BF104" s="189"/>
      <c r="BG104" s="186"/>
      <c r="BH104" s="187"/>
      <c r="BI104" s="188"/>
      <c r="BJ104" s="189"/>
      <c r="BK104" s="186"/>
      <c r="BL104" s="187"/>
      <c r="BM104" s="188"/>
      <c r="BN104" s="189"/>
      <c r="BO104" s="186"/>
      <c r="BP104" s="187"/>
      <c r="BQ104" s="188"/>
      <c r="BR104" s="189"/>
      <c r="BS104" s="186"/>
      <c r="BT104" s="187"/>
      <c r="BU104" s="188"/>
      <c r="BV104" s="189"/>
      <c r="BW104" s="186"/>
      <c r="BX104" s="187"/>
      <c r="BY104" s="188"/>
      <c r="BZ104" s="189"/>
      <c r="CA104" s="186"/>
      <c r="CB104" s="190"/>
      <c r="CC104" s="190"/>
      <c r="CD104" s="82">
        <f t="shared" si="235"/>
        <v>0</v>
      </c>
      <c r="CE104" s="82">
        <f t="shared" si="236"/>
        <v>0</v>
      </c>
      <c r="CF104" s="82">
        <f t="shared" si="237"/>
        <v>0</v>
      </c>
      <c r="CG104" s="82">
        <f t="shared" si="238"/>
        <v>0</v>
      </c>
      <c r="CH104" s="82">
        <f t="shared" si="239"/>
        <v>0</v>
      </c>
      <c r="CI104" s="82">
        <f t="shared" si="240"/>
        <v>0</v>
      </c>
      <c r="CJ104" s="82">
        <f t="shared" si="241"/>
        <v>0</v>
      </c>
      <c r="CK104" s="82">
        <f t="shared" si="242"/>
        <v>0</v>
      </c>
      <c r="CL104" s="82">
        <f t="shared" si="243"/>
        <v>0</v>
      </c>
      <c r="CM104" s="82">
        <f t="shared" si="244"/>
        <v>0</v>
      </c>
      <c r="CN104" s="82">
        <f t="shared" si="245"/>
        <v>0</v>
      </c>
      <c r="CO104" s="82">
        <f t="shared" si="246"/>
        <v>0</v>
      </c>
      <c r="CP104" s="82">
        <f t="shared" si="247"/>
        <v>0</v>
      </c>
      <c r="CQ104" s="82">
        <f t="shared" si="248"/>
        <v>0</v>
      </c>
      <c r="CR104" s="82">
        <f t="shared" si="249"/>
        <v>0</v>
      </c>
      <c r="CS104" s="82">
        <f t="shared" si="250"/>
        <v>0</v>
      </c>
      <c r="CT104" s="82">
        <f t="shared" si="251"/>
        <v>0</v>
      </c>
      <c r="CU104" s="82">
        <f t="shared" si="252"/>
        <v>0</v>
      </c>
      <c r="CV104" s="82">
        <f t="shared" si="253"/>
        <v>0</v>
      </c>
      <c r="CW104" s="82">
        <f t="shared" si="254"/>
        <v>0</v>
      </c>
      <c r="CX104" s="82">
        <f t="shared" si="255"/>
        <v>0</v>
      </c>
      <c r="CY104" s="82">
        <f t="shared" si="256"/>
        <v>0</v>
      </c>
      <c r="CZ104" s="82">
        <f t="shared" si="257"/>
        <v>0</v>
      </c>
      <c r="DA104" s="82">
        <f t="shared" si="258"/>
        <v>0</v>
      </c>
      <c r="DB104" s="82">
        <f t="shared" si="259"/>
        <v>0</v>
      </c>
      <c r="DC104" s="82">
        <f t="shared" si="260"/>
        <v>0</v>
      </c>
      <c r="DD104" s="82">
        <f t="shared" si="261"/>
        <v>0</v>
      </c>
      <c r="DE104" s="82">
        <f t="shared" si="262"/>
        <v>0</v>
      </c>
      <c r="DF104" s="82">
        <f t="shared" si="263"/>
        <v>0</v>
      </c>
      <c r="DG104" s="82">
        <f t="shared" si="264"/>
        <v>0</v>
      </c>
      <c r="DH104" s="82">
        <f t="shared" si="265"/>
        <v>0</v>
      </c>
      <c r="DI104" s="82">
        <f t="shared" si="266"/>
        <v>0</v>
      </c>
      <c r="DJ104" s="82">
        <f t="shared" si="267"/>
        <v>0</v>
      </c>
      <c r="DK104" s="82">
        <f t="shared" si="268"/>
        <v>0</v>
      </c>
      <c r="DL104" s="82">
        <f t="shared" si="269"/>
        <v>0</v>
      </c>
      <c r="DM104" s="82">
        <f t="shared" si="270"/>
        <v>0</v>
      </c>
      <c r="DN104" s="82">
        <f t="shared" si="271"/>
        <v>0</v>
      </c>
      <c r="DO104" s="82">
        <f t="shared" si="272"/>
        <v>0</v>
      </c>
      <c r="DP104" s="82">
        <f t="shared" si="273"/>
        <v>0</v>
      </c>
      <c r="DQ104" s="82">
        <f t="shared" si="274"/>
        <v>0</v>
      </c>
      <c r="DR104" s="82">
        <f t="shared" si="275"/>
        <v>0</v>
      </c>
      <c r="DS104" s="82">
        <f t="shared" si="276"/>
        <v>0</v>
      </c>
      <c r="DT104" s="82">
        <f t="shared" si="277"/>
        <v>0</v>
      </c>
      <c r="DU104" s="82">
        <f t="shared" si="278"/>
        <v>0</v>
      </c>
      <c r="DV104" s="82">
        <f t="shared" si="279"/>
        <v>0</v>
      </c>
      <c r="DW104" s="82">
        <f t="shared" si="280"/>
        <v>0</v>
      </c>
      <c r="DX104" s="82">
        <f t="shared" si="281"/>
        <v>0</v>
      </c>
      <c r="DY104" s="82">
        <f t="shared" si="282"/>
        <v>0</v>
      </c>
      <c r="DZ104" s="82">
        <f t="shared" si="283"/>
        <v>0</v>
      </c>
      <c r="EA104" s="82">
        <f t="shared" si="284"/>
        <v>0</v>
      </c>
      <c r="EB104" s="82">
        <f t="shared" si="285"/>
        <v>0</v>
      </c>
      <c r="EC104" s="82">
        <f t="shared" si="286"/>
        <v>0</v>
      </c>
      <c r="ED104" s="82">
        <f t="shared" si="287"/>
        <v>0</v>
      </c>
      <c r="EE104" s="82">
        <f t="shared" si="288"/>
        <v>0</v>
      </c>
      <c r="EF104" s="82">
        <f t="shared" si="289"/>
        <v>0</v>
      </c>
      <c r="EG104" s="82">
        <f t="shared" si="290"/>
        <v>0</v>
      </c>
      <c r="EH104" s="82">
        <f t="shared" si="291"/>
        <v>0</v>
      </c>
      <c r="EI104" s="82">
        <f t="shared" si="292"/>
        <v>0</v>
      </c>
      <c r="EJ104" s="82">
        <f t="shared" si="293"/>
        <v>0</v>
      </c>
      <c r="EK104" s="82">
        <f t="shared" si="294"/>
        <v>0</v>
      </c>
      <c r="EL104" s="82">
        <f t="shared" si="295"/>
        <v>0</v>
      </c>
      <c r="EM104" s="82">
        <f t="shared" si="296"/>
        <v>0</v>
      </c>
      <c r="EN104" s="82">
        <f t="shared" si="297"/>
        <v>0</v>
      </c>
      <c r="EO104" s="82">
        <f t="shared" si="298"/>
        <v>0</v>
      </c>
      <c r="EP104" s="82">
        <f t="shared" si="299"/>
        <v>0</v>
      </c>
      <c r="EQ104" s="82">
        <f t="shared" si="300"/>
        <v>0</v>
      </c>
      <c r="ER104" s="82">
        <f t="shared" si="301"/>
        <v>0</v>
      </c>
      <c r="ES104" s="82">
        <f t="shared" si="302"/>
        <v>0</v>
      </c>
      <c r="ET104" s="82">
        <f t="shared" si="303"/>
        <v>0</v>
      </c>
      <c r="EU104" s="82">
        <f t="shared" si="304"/>
        <v>0</v>
      </c>
      <c r="EV104" s="82">
        <f t="shared" si="305"/>
        <v>0</v>
      </c>
      <c r="EW104" s="82">
        <f t="shared" si="306"/>
        <v>0</v>
      </c>
      <c r="EX104" s="82">
        <f t="shared" si="307"/>
        <v>0</v>
      </c>
      <c r="EY104" s="111">
        <f t="shared" si="308"/>
        <v>0</v>
      </c>
      <c r="EZ104" s="143" t="e">
        <f t="shared" ca="1" si="309"/>
        <v>#N/A</v>
      </c>
      <c r="FA104" s="112" t="e">
        <f t="shared" ca="1" si="310"/>
        <v>#N/A</v>
      </c>
      <c r="FB104" s="113" t="e">
        <f t="shared" ca="1" si="311"/>
        <v>#N/A</v>
      </c>
      <c r="FC104" s="114" t="e">
        <f t="shared" ca="1" si="312"/>
        <v>#N/A</v>
      </c>
      <c r="FD104" s="115">
        <f t="shared" ca="1" si="313"/>
        <v>0</v>
      </c>
      <c r="FE104" s="116" t="e">
        <f t="shared" ca="1" si="314"/>
        <v>#N/A</v>
      </c>
      <c r="FF104" s="117" t="e">
        <f t="shared" ca="1" si="315"/>
        <v>#N/A</v>
      </c>
      <c r="FG104" s="71">
        <f t="shared" si="316"/>
        <v>0</v>
      </c>
      <c r="FH104" s="530" t="e">
        <f t="shared" ca="1" si="317"/>
        <v>#N/A</v>
      </c>
      <c r="FI104" s="72"/>
      <c r="FJ104" s="72"/>
      <c r="FK104" s="72"/>
      <c r="FM104" s="421">
        <f t="shared" si="318"/>
        <v>0</v>
      </c>
      <c r="FN104" s="422" t="e">
        <f t="shared" ca="1" si="319"/>
        <v>#N/A</v>
      </c>
      <c r="FO104" s="423">
        <f t="shared" ca="1" si="328"/>
        <v>0</v>
      </c>
      <c r="FP104" s="423">
        <f t="shared" ca="1" si="328"/>
        <v>0</v>
      </c>
      <c r="FQ104" s="423">
        <f t="shared" ca="1" si="328"/>
        <v>0</v>
      </c>
      <c r="FR104" s="423">
        <f t="shared" ca="1" si="328"/>
        <v>0</v>
      </c>
      <c r="FS104" s="423">
        <f t="shared" ca="1" si="328"/>
        <v>0</v>
      </c>
      <c r="FT104" s="423">
        <f t="shared" ca="1" si="328"/>
        <v>0</v>
      </c>
      <c r="FU104" s="423">
        <f t="shared" ca="1" si="328"/>
        <v>0</v>
      </c>
      <c r="FV104" s="423">
        <f t="shared" ca="1" si="328"/>
        <v>0</v>
      </c>
      <c r="FW104" s="423">
        <f t="shared" ca="1" si="328"/>
        <v>0</v>
      </c>
      <c r="FX104" s="423">
        <f t="shared" ca="1" si="328"/>
        <v>0</v>
      </c>
      <c r="FY104" s="423">
        <f t="shared" ca="1" si="328"/>
        <v>0</v>
      </c>
      <c r="FZ104" s="423">
        <f t="shared" ca="1" si="328"/>
        <v>0</v>
      </c>
      <c r="GA104" s="423">
        <f t="shared" ca="1" si="328"/>
        <v>0</v>
      </c>
      <c r="GB104" s="423">
        <f t="shared" ca="1" si="328"/>
        <v>0</v>
      </c>
      <c r="GC104" s="423">
        <f t="shared" ca="1" si="328"/>
        <v>0</v>
      </c>
      <c r="GD104" s="423">
        <f t="shared" ca="1" si="328"/>
        <v>0</v>
      </c>
      <c r="GE104" s="423">
        <f t="shared" ca="1" si="326"/>
        <v>0</v>
      </c>
      <c r="GF104" s="423">
        <f t="shared" ca="1" si="326"/>
        <v>0</v>
      </c>
      <c r="GG104" s="423">
        <f t="shared" ca="1" si="326"/>
        <v>0</v>
      </c>
      <c r="GH104" s="423">
        <f t="shared" ca="1" si="326"/>
        <v>0</v>
      </c>
      <c r="GI104" s="423">
        <f t="shared" ca="1" si="326"/>
        <v>0</v>
      </c>
      <c r="GJ104" s="423">
        <f t="shared" ca="1" si="326"/>
        <v>0</v>
      </c>
      <c r="GK104" s="423">
        <f t="shared" ca="1" si="326"/>
        <v>0</v>
      </c>
      <c r="GL104" s="423">
        <f t="shared" ca="1" si="326"/>
        <v>0</v>
      </c>
      <c r="GM104" s="423">
        <f t="shared" ca="1" si="326"/>
        <v>0</v>
      </c>
      <c r="GN104" s="423">
        <f t="shared" ca="1" si="326"/>
        <v>0</v>
      </c>
      <c r="GO104" s="423">
        <f t="shared" ca="1" si="326"/>
        <v>0</v>
      </c>
      <c r="GP104" s="423">
        <f t="shared" ca="1" si="326"/>
        <v>0</v>
      </c>
      <c r="GQ104" s="423">
        <f t="shared" ca="1" si="326"/>
        <v>0</v>
      </c>
      <c r="GR104" s="423">
        <f t="shared" ca="1" si="326"/>
        <v>0</v>
      </c>
      <c r="GS104" s="423">
        <f t="shared" ca="1" si="325"/>
        <v>0</v>
      </c>
      <c r="GT104" s="423">
        <f t="shared" ca="1" si="325"/>
        <v>0</v>
      </c>
      <c r="GU104" s="423">
        <f t="shared" ca="1" si="325"/>
        <v>0</v>
      </c>
      <c r="GV104" s="423">
        <f t="shared" ca="1" si="325"/>
        <v>0</v>
      </c>
      <c r="GW104" s="423">
        <f t="shared" ca="1" si="325"/>
        <v>0</v>
      </c>
      <c r="GX104" s="423">
        <f t="shared" ca="1" si="325"/>
        <v>0</v>
      </c>
      <c r="GY104" s="423">
        <f t="shared" ca="1" si="325"/>
        <v>0</v>
      </c>
      <c r="GZ104" s="423">
        <f t="shared" ca="1" si="325"/>
        <v>0</v>
      </c>
      <c r="HA104" s="423">
        <f t="shared" ca="1" si="325"/>
        <v>0</v>
      </c>
      <c r="HB104" s="423">
        <f t="shared" ca="1" si="325"/>
        <v>0</v>
      </c>
      <c r="HC104" s="423">
        <f t="shared" ca="1" si="325"/>
        <v>0</v>
      </c>
      <c r="HD104" s="423">
        <f t="shared" ca="1" si="325"/>
        <v>0</v>
      </c>
      <c r="HE104" s="423">
        <f t="shared" ca="1" si="325"/>
        <v>0</v>
      </c>
      <c r="HF104" s="423">
        <f t="shared" ca="1" si="325"/>
        <v>0</v>
      </c>
      <c r="HG104" s="423">
        <f t="shared" ca="1" si="325"/>
        <v>0</v>
      </c>
      <c r="HH104" s="423">
        <f t="shared" ca="1" si="325"/>
        <v>0</v>
      </c>
      <c r="HI104" s="423">
        <f t="shared" ca="1" si="327"/>
        <v>0</v>
      </c>
      <c r="HJ104" s="423">
        <f t="shared" ca="1" si="324"/>
        <v>0</v>
      </c>
      <c r="HK104" s="423">
        <f t="shared" ca="1" si="324"/>
        <v>0</v>
      </c>
      <c r="HL104" s="423">
        <f t="shared" ca="1" si="324"/>
        <v>0</v>
      </c>
      <c r="HM104" s="423">
        <f t="shared" ca="1" si="324"/>
        <v>0</v>
      </c>
      <c r="HN104" s="423">
        <f t="shared" ca="1" si="324"/>
        <v>0</v>
      </c>
      <c r="HO104" s="423">
        <f t="shared" ca="1" si="324"/>
        <v>0</v>
      </c>
      <c r="HP104" s="423">
        <f t="shared" ca="1" si="324"/>
        <v>0</v>
      </c>
      <c r="HQ104" s="423">
        <f t="shared" ca="1" si="324"/>
        <v>0</v>
      </c>
      <c r="HR104" s="423">
        <f t="shared" ca="1" si="324"/>
        <v>0</v>
      </c>
      <c r="HS104" s="423">
        <f t="shared" ca="1" si="324"/>
        <v>0</v>
      </c>
      <c r="HT104" s="423">
        <f t="shared" ca="1" si="324"/>
        <v>0</v>
      </c>
    </row>
    <row r="105" spans="1:228" ht="11.25" customHeight="1" x14ac:dyDescent="0.2">
      <c r="A105" s="62">
        <f t="shared" si="322"/>
        <v>94</v>
      </c>
      <c r="B105" s="60">
        <f>Spaces_Sum!C150</f>
        <v>0</v>
      </c>
      <c r="C105" s="62" t="str">
        <f>Spaces_Sum!D150</f>
        <v>0</v>
      </c>
      <c r="D105" s="62" t="e">
        <f ca="1">Spaces_Sum!I150</f>
        <v>#N/A</v>
      </c>
      <c r="F105" s="110" t="e">
        <f ca="1">Spaces_Sum!M150</f>
        <v>#N/A</v>
      </c>
      <c r="G105" s="110" t="e">
        <f ca="1">Spaces_Sum!J150</f>
        <v>#N/A</v>
      </c>
      <c r="H105" s="532"/>
      <c r="I105" s="185"/>
      <c r="J105" s="185"/>
      <c r="K105" s="186"/>
      <c r="L105" s="187"/>
      <c r="M105" s="188"/>
      <c r="N105" s="189"/>
      <c r="O105" s="186"/>
      <c r="P105" s="187"/>
      <c r="Q105" s="188"/>
      <c r="R105" s="189"/>
      <c r="S105" s="186"/>
      <c r="T105" s="187"/>
      <c r="U105" s="188"/>
      <c r="V105" s="189"/>
      <c r="W105" s="186"/>
      <c r="X105" s="187"/>
      <c r="Y105" s="188"/>
      <c r="Z105" s="189"/>
      <c r="AA105" s="186"/>
      <c r="AB105" s="187"/>
      <c r="AC105" s="188"/>
      <c r="AD105" s="189"/>
      <c r="AE105" s="186"/>
      <c r="AF105" s="187"/>
      <c r="AG105" s="188"/>
      <c r="AH105" s="189"/>
      <c r="AI105" s="186"/>
      <c r="AJ105" s="187"/>
      <c r="AK105" s="188"/>
      <c r="AL105" s="189"/>
      <c r="AM105" s="186"/>
      <c r="AN105" s="187"/>
      <c r="AO105" s="188"/>
      <c r="AP105" s="189"/>
      <c r="AQ105" s="186"/>
      <c r="AR105" s="187"/>
      <c r="AS105" s="188"/>
      <c r="AT105" s="189"/>
      <c r="AU105" s="186"/>
      <c r="AV105" s="187"/>
      <c r="AW105" s="188"/>
      <c r="AX105" s="189"/>
      <c r="AY105" s="186"/>
      <c r="AZ105" s="187"/>
      <c r="BA105" s="188"/>
      <c r="BB105" s="189"/>
      <c r="BC105" s="186"/>
      <c r="BD105" s="187"/>
      <c r="BE105" s="188"/>
      <c r="BF105" s="189"/>
      <c r="BG105" s="186"/>
      <c r="BH105" s="187"/>
      <c r="BI105" s="188"/>
      <c r="BJ105" s="189"/>
      <c r="BK105" s="186"/>
      <c r="BL105" s="187"/>
      <c r="BM105" s="188"/>
      <c r="BN105" s="189"/>
      <c r="BO105" s="186"/>
      <c r="BP105" s="187"/>
      <c r="BQ105" s="188"/>
      <c r="BR105" s="189"/>
      <c r="BS105" s="186"/>
      <c r="BT105" s="187"/>
      <c r="BU105" s="188"/>
      <c r="BV105" s="189"/>
      <c r="BW105" s="186"/>
      <c r="BX105" s="187"/>
      <c r="BY105" s="188"/>
      <c r="BZ105" s="189"/>
      <c r="CA105" s="186"/>
      <c r="CB105" s="190"/>
      <c r="CC105" s="190"/>
      <c r="CD105" s="82">
        <f t="shared" si="235"/>
        <v>0</v>
      </c>
      <c r="CE105" s="82">
        <f t="shared" si="236"/>
        <v>0</v>
      </c>
      <c r="CF105" s="82">
        <f t="shared" si="237"/>
        <v>0</v>
      </c>
      <c r="CG105" s="82">
        <f t="shared" si="238"/>
        <v>0</v>
      </c>
      <c r="CH105" s="82">
        <f t="shared" si="239"/>
        <v>0</v>
      </c>
      <c r="CI105" s="82">
        <f t="shared" si="240"/>
        <v>0</v>
      </c>
      <c r="CJ105" s="82">
        <f t="shared" si="241"/>
        <v>0</v>
      </c>
      <c r="CK105" s="82">
        <f t="shared" si="242"/>
        <v>0</v>
      </c>
      <c r="CL105" s="82">
        <f t="shared" si="243"/>
        <v>0</v>
      </c>
      <c r="CM105" s="82">
        <f t="shared" si="244"/>
        <v>0</v>
      </c>
      <c r="CN105" s="82">
        <f t="shared" si="245"/>
        <v>0</v>
      </c>
      <c r="CO105" s="82">
        <f t="shared" si="246"/>
        <v>0</v>
      </c>
      <c r="CP105" s="82">
        <f t="shared" si="247"/>
        <v>0</v>
      </c>
      <c r="CQ105" s="82">
        <f t="shared" si="248"/>
        <v>0</v>
      </c>
      <c r="CR105" s="82">
        <f t="shared" si="249"/>
        <v>0</v>
      </c>
      <c r="CS105" s="82">
        <f t="shared" si="250"/>
        <v>0</v>
      </c>
      <c r="CT105" s="82">
        <f t="shared" si="251"/>
        <v>0</v>
      </c>
      <c r="CU105" s="82">
        <f t="shared" si="252"/>
        <v>0</v>
      </c>
      <c r="CV105" s="82">
        <f t="shared" si="253"/>
        <v>0</v>
      </c>
      <c r="CW105" s="82">
        <f t="shared" si="254"/>
        <v>0</v>
      </c>
      <c r="CX105" s="82">
        <f t="shared" si="255"/>
        <v>0</v>
      </c>
      <c r="CY105" s="82">
        <f t="shared" si="256"/>
        <v>0</v>
      </c>
      <c r="CZ105" s="82">
        <f t="shared" si="257"/>
        <v>0</v>
      </c>
      <c r="DA105" s="82">
        <f t="shared" si="258"/>
        <v>0</v>
      </c>
      <c r="DB105" s="82">
        <f t="shared" si="259"/>
        <v>0</v>
      </c>
      <c r="DC105" s="82">
        <f t="shared" si="260"/>
        <v>0</v>
      </c>
      <c r="DD105" s="82">
        <f t="shared" si="261"/>
        <v>0</v>
      </c>
      <c r="DE105" s="82">
        <f t="shared" si="262"/>
        <v>0</v>
      </c>
      <c r="DF105" s="82">
        <f t="shared" si="263"/>
        <v>0</v>
      </c>
      <c r="DG105" s="82">
        <f t="shared" si="264"/>
        <v>0</v>
      </c>
      <c r="DH105" s="82">
        <f t="shared" si="265"/>
        <v>0</v>
      </c>
      <c r="DI105" s="82">
        <f t="shared" si="266"/>
        <v>0</v>
      </c>
      <c r="DJ105" s="82">
        <f t="shared" si="267"/>
        <v>0</v>
      </c>
      <c r="DK105" s="82">
        <f t="shared" si="268"/>
        <v>0</v>
      </c>
      <c r="DL105" s="82">
        <f t="shared" si="269"/>
        <v>0</v>
      </c>
      <c r="DM105" s="82">
        <f t="shared" si="270"/>
        <v>0</v>
      </c>
      <c r="DN105" s="82">
        <f t="shared" si="271"/>
        <v>0</v>
      </c>
      <c r="DO105" s="82">
        <f t="shared" si="272"/>
        <v>0</v>
      </c>
      <c r="DP105" s="82">
        <f t="shared" si="273"/>
        <v>0</v>
      </c>
      <c r="DQ105" s="82">
        <f t="shared" si="274"/>
        <v>0</v>
      </c>
      <c r="DR105" s="82">
        <f t="shared" si="275"/>
        <v>0</v>
      </c>
      <c r="DS105" s="82">
        <f t="shared" si="276"/>
        <v>0</v>
      </c>
      <c r="DT105" s="82">
        <f t="shared" si="277"/>
        <v>0</v>
      </c>
      <c r="DU105" s="82">
        <f t="shared" si="278"/>
        <v>0</v>
      </c>
      <c r="DV105" s="82">
        <f t="shared" si="279"/>
        <v>0</v>
      </c>
      <c r="DW105" s="82">
        <f t="shared" si="280"/>
        <v>0</v>
      </c>
      <c r="DX105" s="82">
        <f t="shared" si="281"/>
        <v>0</v>
      </c>
      <c r="DY105" s="82">
        <f t="shared" si="282"/>
        <v>0</v>
      </c>
      <c r="DZ105" s="82">
        <f t="shared" si="283"/>
        <v>0</v>
      </c>
      <c r="EA105" s="82">
        <f t="shared" si="284"/>
        <v>0</v>
      </c>
      <c r="EB105" s="82">
        <f t="shared" si="285"/>
        <v>0</v>
      </c>
      <c r="EC105" s="82">
        <f t="shared" si="286"/>
        <v>0</v>
      </c>
      <c r="ED105" s="82">
        <f t="shared" si="287"/>
        <v>0</v>
      </c>
      <c r="EE105" s="82">
        <f t="shared" si="288"/>
        <v>0</v>
      </c>
      <c r="EF105" s="82">
        <f t="shared" si="289"/>
        <v>0</v>
      </c>
      <c r="EG105" s="82">
        <f t="shared" si="290"/>
        <v>0</v>
      </c>
      <c r="EH105" s="82">
        <f t="shared" si="291"/>
        <v>0</v>
      </c>
      <c r="EI105" s="82">
        <f t="shared" si="292"/>
        <v>0</v>
      </c>
      <c r="EJ105" s="82">
        <f t="shared" si="293"/>
        <v>0</v>
      </c>
      <c r="EK105" s="82">
        <f t="shared" si="294"/>
        <v>0</v>
      </c>
      <c r="EL105" s="82">
        <f t="shared" si="295"/>
        <v>0</v>
      </c>
      <c r="EM105" s="82">
        <f t="shared" si="296"/>
        <v>0</v>
      </c>
      <c r="EN105" s="82">
        <f t="shared" si="297"/>
        <v>0</v>
      </c>
      <c r="EO105" s="82">
        <f t="shared" si="298"/>
        <v>0</v>
      </c>
      <c r="EP105" s="82">
        <f t="shared" si="299"/>
        <v>0</v>
      </c>
      <c r="EQ105" s="82">
        <f t="shared" si="300"/>
        <v>0</v>
      </c>
      <c r="ER105" s="82">
        <f t="shared" si="301"/>
        <v>0</v>
      </c>
      <c r="ES105" s="82">
        <f t="shared" si="302"/>
        <v>0</v>
      </c>
      <c r="ET105" s="82">
        <f t="shared" si="303"/>
        <v>0</v>
      </c>
      <c r="EU105" s="82">
        <f t="shared" si="304"/>
        <v>0</v>
      </c>
      <c r="EV105" s="82">
        <f t="shared" si="305"/>
        <v>0</v>
      </c>
      <c r="EW105" s="82">
        <f t="shared" si="306"/>
        <v>0</v>
      </c>
      <c r="EX105" s="82">
        <f t="shared" si="307"/>
        <v>0</v>
      </c>
      <c r="EY105" s="111">
        <f t="shared" si="308"/>
        <v>0</v>
      </c>
      <c r="EZ105" s="143" t="e">
        <f t="shared" ca="1" si="309"/>
        <v>#N/A</v>
      </c>
      <c r="FA105" s="112" t="e">
        <f t="shared" ca="1" si="310"/>
        <v>#N/A</v>
      </c>
      <c r="FB105" s="113" t="e">
        <f t="shared" ca="1" si="311"/>
        <v>#N/A</v>
      </c>
      <c r="FC105" s="114" t="e">
        <f t="shared" ca="1" si="312"/>
        <v>#N/A</v>
      </c>
      <c r="FD105" s="115">
        <f t="shared" ca="1" si="313"/>
        <v>0</v>
      </c>
      <c r="FE105" s="116" t="e">
        <f t="shared" ca="1" si="314"/>
        <v>#N/A</v>
      </c>
      <c r="FF105" s="117" t="e">
        <f t="shared" ca="1" si="315"/>
        <v>#N/A</v>
      </c>
      <c r="FG105" s="71">
        <f t="shared" si="316"/>
        <v>0</v>
      </c>
      <c r="FH105" s="530" t="e">
        <f t="shared" ca="1" si="317"/>
        <v>#N/A</v>
      </c>
      <c r="FI105" s="72" t="e">
        <f ca="1">0.65*FB105</f>
        <v>#N/A</v>
      </c>
      <c r="FJ105" s="72" t="e">
        <f t="shared" ca="1" si="329"/>
        <v>#N/A</v>
      </c>
      <c r="FK105" s="72" t="e">
        <f t="shared" ca="1" si="330"/>
        <v>#N/A</v>
      </c>
      <c r="FM105" s="421">
        <f t="shared" si="318"/>
        <v>0</v>
      </c>
      <c r="FN105" s="422" t="e">
        <f t="shared" ca="1" si="319"/>
        <v>#N/A</v>
      </c>
      <c r="FO105" s="423">
        <f t="shared" ca="1" si="328"/>
        <v>0</v>
      </c>
      <c r="FP105" s="423">
        <f t="shared" ca="1" si="328"/>
        <v>0</v>
      </c>
      <c r="FQ105" s="423">
        <f t="shared" ca="1" si="328"/>
        <v>0</v>
      </c>
      <c r="FR105" s="423">
        <f t="shared" ca="1" si="328"/>
        <v>0</v>
      </c>
      <c r="FS105" s="423">
        <f t="shared" ca="1" si="328"/>
        <v>0</v>
      </c>
      <c r="FT105" s="423">
        <f t="shared" ca="1" si="328"/>
        <v>0</v>
      </c>
      <c r="FU105" s="423">
        <f t="shared" ca="1" si="328"/>
        <v>0</v>
      </c>
      <c r="FV105" s="423">
        <f t="shared" ca="1" si="328"/>
        <v>0</v>
      </c>
      <c r="FW105" s="423">
        <f t="shared" ca="1" si="328"/>
        <v>0</v>
      </c>
      <c r="FX105" s="423">
        <f t="shared" ca="1" si="328"/>
        <v>0</v>
      </c>
      <c r="FY105" s="423">
        <f t="shared" ca="1" si="328"/>
        <v>0</v>
      </c>
      <c r="FZ105" s="423">
        <f t="shared" ca="1" si="328"/>
        <v>0</v>
      </c>
      <c r="GA105" s="423">
        <f t="shared" ca="1" si="328"/>
        <v>0</v>
      </c>
      <c r="GB105" s="423">
        <f t="shared" ca="1" si="328"/>
        <v>0</v>
      </c>
      <c r="GC105" s="423">
        <f t="shared" ca="1" si="328"/>
        <v>0</v>
      </c>
      <c r="GD105" s="423">
        <f t="shared" ca="1" si="328"/>
        <v>0</v>
      </c>
      <c r="GE105" s="423">
        <f t="shared" ca="1" si="326"/>
        <v>0</v>
      </c>
      <c r="GF105" s="423">
        <f t="shared" ca="1" si="326"/>
        <v>0</v>
      </c>
      <c r="GG105" s="423">
        <f t="shared" ca="1" si="326"/>
        <v>0</v>
      </c>
      <c r="GH105" s="423">
        <f t="shared" ca="1" si="326"/>
        <v>0</v>
      </c>
      <c r="GI105" s="423">
        <f t="shared" ca="1" si="326"/>
        <v>0</v>
      </c>
      <c r="GJ105" s="423">
        <f t="shared" ca="1" si="326"/>
        <v>0</v>
      </c>
      <c r="GK105" s="423">
        <f t="shared" ca="1" si="326"/>
        <v>0</v>
      </c>
      <c r="GL105" s="423">
        <f t="shared" ca="1" si="326"/>
        <v>0</v>
      </c>
      <c r="GM105" s="423">
        <f t="shared" ca="1" si="326"/>
        <v>0</v>
      </c>
      <c r="GN105" s="423">
        <f t="shared" ca="1" si="326"/>
        <v>0</v>
      </c>
      <c r="GO105" s="423">
        <f t="shared" ca="1" si="326"/>
        <v>0</v>
      </c>
      <c r="GP105" s="423">
        <f t="shared" ca="1" si="326"/>
        <v>0</v>
      </c>
      <c r="GQ105" s="423">
        <f t="shared" ca="1" si="326"/>
        <v>0</v>
      </c>
      <c r="GR105" s="423">
        <f t="shared" ca="1" si="326"/>
        <v>0</v>
      </c>
      <c r="GS105" s="423">
        <f t="shared" ca="1" si="325"/>
        <v>0</v>
      </c>
      <c r="GT105" s="423">
        <f t="shared" ca="1" si="325"/>
        <v>0</v>
      </c>
      <c r="GU105" s="423">
        <f t="shared" ca="1" si="325"/>
        <v>0</v>
      </c>
      <c r="GV105" s="423">
        <f t="shared" ca="1" si="325"/>
        <v>0</v>
      </c>
      <c r="GW105" s="423">
        <f t="shared" ca="1" si="325"/>
        <v>0</v>
      </c>
      <c r="GX105" s="423">
        <f t="shared" ca="1" si="325"/>
        <v>0</v>
      </c>
      <c r="GY105" s="423">
        <f t="shared" ca="1" si="325"/>
        <v>0</v>
      </c>
      <c r="GZ105" s="423">
        <f t="shared" ca="1" si="325"/>
        <v>0</v>
      </c>
      <c r="HA105" s="423">
        <f t="shared" ca="1" si="325"/>
        <v>0</v>
      </c>
      <c r="HB105" s="423">
        <f t="shared" ca="1" si="325"/>
        <v>0</v>
      </c>
      <c r="HC105" s="423">
        <f t="shared" ca="1" si="325"/>
        <v>0</v>
      </c>
      <c r="HD105" s="423">
        <f t="shared" ca="1" si="325"/>
        <v>0</v>
      </c>
      <c r="HE105" s="423">
        <f t="shared" ca="1" si="325"/>
        <v>0</v>
      </c>
      <c r="HF105" s="423">
        <f t="shared" ca="1" si="325"/>
        <v>0</v>
      </c>
      <c r="HG105" s="423">
        <f t="shared" ca="1" si="325"/>
        <v>0</v>
      </c>
      <c r="HH105" s="423">
        <f t="shared" ca="1" si="325"/>
        <v>0</v>
      </c>
      <c r="HI105" s="423">
        <f t="shared" ca="1" si="327"/>
        <v>0</v>
      </c>
      <c r="HJ105" s="423">
        <f t="shared" ca="1" si="327"/>
        <v>0</v>
      </c>
      <c r="HK105" s="423">
        <f t="shared" ca="1" si="327"/>
        <v>0</v>
      </c>
      <c r="HL105" s="423">
        <f t="shared" ca="1" si="327"/>
        <v>0</v>
      </c>
      <c r="HM105" s="423">
        <f t="shared" ca="1" si="327"/>
        <v>0</v>
      </c>
      <c r="HN105" s="423">
        <f t="shared" ca="1" si="327"/>
        <v>0</v>
      </c>
      <c r="HO105" s="423">
        <f t="shared" ca="1" si="327"/>
        <v>0</v>
      </c>
      <c r="HP105" s="423">
        <f t="shared" ca="1" si="327"/>
        <v>0</v>
      </c>
      <c r="HQ105" s="423">
        <f t="shared" ca="1" si="327"/>
        <v>0</v>
      </c>
      <c r="HR105" s="423">
        <f t="shared" ca="1" si="327"/>
        <v>0</v>
      </c>
      <c r="HS105" s="423">
        <f t="shared" ca="1" si="327"/>
        <v>0</v>
      </c>
      <c r="HT105" s="423">
        <f t="shared" ca="1" si="327"/>
        <v>0</v>
      </c>
    </row>
    <row r="106" spans="1:228" ht="11.25" customHeight="1" x14ac:dyDescent="0.2">
      <c r="A106" s="62">
        <f t="shared" si="322"/>
        <v>95</v>
      </c>
      <c r="B106" s="60">
        <f>Spaces_Sum!C151</f>
        <v>0</v>
      </c>
      <c r="C106" s="62" t="str">
        <f>Spaces_Sum!D151</f>
        <v>0</v>
      </c>
      <c r="D106" s="62" t="e">
        <f ca="1">Spaces_Sum!I151</f>
        <v>#N/A</v>
      </c>
      <c r="F106" s="110" t="e">
        <f ca="1">Spaces_Sum!M151</f>
        <v>#N/A</v>
      </c>
      <c r="G106" s="110" t="e">
        <f ca="1">Spaces_Sum!J151</f>
        <v>#N/A</v>
      </c>
      <c r="H106" s="532"/>
      <c r="I106" s="185"/>
      <c r="J106" s="185"/>
      <c r="K106" s="186"/>
      <c r="L106" s="187"/>
      <c r="M106" s="188"/>
      <c r="N106" s="189"/>
      <c r="O106" s="186"/>
      <c r="P106" s="187"/>
      <c r="Q106" s="188"/>
      <c r="R106" s="189"/>
      <c r="S106" s="186"/>
      <c r="T106" s="187"/>
      <c r="U106" s="188"/>
      <c r="V106" s="189"/>
      <c r="W106" s="186"/>
      <c r="X106" s="187"/>
      <c r="Y106" s="188"/>
      <c r="Z106" s="189"/>
      <c r="AA106" s="186"/>
      <c r="AB106" s="187"/>
      <c r="AC106" s="188"/>
      <c r="AD106" s="189"/>
      <c r="AE106" s="186"/>
      <c r="AF106" s="187"/>
      <c r="AG106" s="188"/>
      <c r="AH106" s="189"/>
      <c r="AI106" s="186"/>
      <c r="AJ106" s="187"/>
      <c r="AK106" s="188"/>
      <c r="AL106" s="189"/>
      <c r="AM106" s="186"/>
      <c r="AN106" s="187"/>
      <c r="AO106" s="188"/>
      <c r="AP106" s="189"/>
      <c r="AQ106" s="186"/>
      <c r="AR106" s="187"/>
      <c r="AS106" s="188"/>
      <c r="AT106" s="189"/>
      <c r="AU106" s="186"/>
      <c r="AV106" s="187"/>
      <c r="AW106" s="188"/>
      <c r="AX106" s="189"/>
      <c r="AY106" s="186"/>
      <c r="AZ106" s="187"/>
      <c r="BA106" s="188"/>
      <c r="BB106" s="189"/>
      <c r="BC106" s="186"/>
      <c r="BD106" s="187"/>
      <c r="BE106" s="188"/>
      <c r="BF106" s="189"/>
      <c r="BG106" s="186"/>
      <c r="BH106" s="187"/>
      <c r="BI106" s="188"/>
      <c r="BJ106" s="189"/>
      <c r="BK106" s="186"/>
      <c r="BL106" s="187"/>
      <c r="BM106" s="188"/>
      <c r="BN106" s="189"/>
      <c r="BO106" s="186"/>
      <c r="BP106" s="187"/>
      <c r="BQ106" s="188"/>
      <c r="BR106" s="189"/>
      <c r="BS106" s="186"/>
      <c r="BT106" s="187"/>
      <c r="BU106" s="188"/>
      <c r="BV106" s="189"/>
      <c r="BW106" s="186"/>
      <c r="BX106" s="187"/>
      <c r="BY106" s="188"/>
      <c r="BZ106" s="189"/>
      <c r="CA106" s="186"/>
      <c r="CB106" s="190"/>
      <c r="CC106" s="190"/>
      <c r="CD106" s="82">
        <f t="shared" si="235"/>
        <v>0</v>
      </c>
      <c r="CE106" s="82">
        <f t="shared" si="236"/>
        <v>0</v>
      </c>
      <c r="CF106" s="82">
        <f t="shared" si="237"/>
        <v>0</v>
      </c>
      <c r="CG106" s="82">
        <f t="shared" si="238"/>
        <v>0</v>
      </c>
      <c r="CH106" s="82">
        <f t="shared" si="239"/>
        <v>0</v>
      </c>
      <c r="CI106" s="82">
        <f t="shared" si="240"/>
        <v>0</v>
      </c>
      <c r="CJ106" s="82">
        <f t="shared" si="241"/>
        <v>0</v>
      </c>
      <c r="CK106" s="82">
        <f t="shared" si="242"/>
        <v>0</v>
      </c>
      <c r="CL106" s="82">
        <f t="shared" si="243"/>
        <v>0</v>
      </c>
      <c r="CM106" s="82">
        <f t="shared" si="244"/>
        <v>0</v>
      </c>
      <c r="CN106" s="82">
        <f t="shared" si="245"/>
        <v>0</v>
      </c>
      <c r="CO106" s="82">
        <f t="shared" si="246"/>
        <v>0</v>
      </c>
      <c r="CP106" s="82">
        <f t="shared" si="247"/>
        <v>0</v>
      </c>
      <c r="CQ106" s="82">
        <f t="shared" si="248"/>
        <v>0</v>
      </c>
      <c r="CR106" s="82">
        <f t="shared" si="249"/>
        <v>0</v>
      </c>
      <c r="CS106" s="82">
        <f t="shared" si="250"/>
        <v>0</v>
      </c>
      <c r="CT106" s="82">
        <f t="shared" si="251"/>
        <v>0</v>
      </c>
      <c r="CU106" s="82">
        <f t="shared" si="252"/>
        <v>0</v>
      </c>
      <c r="CV106" s="82">
        <f t="shared" si="253"/>
        <v>0</v>
      </c>
      <c r="CW106" s="82">
        <f t="shared" si="254"/>
        <v>0</v>
      </c>
      <c r="CX106" s="82">
        <f t="shared" si="255"/>
        <v>0</v>
      </c>
      <c r="CY106" s="82">
        <f t="shared" si="256"/>
        <v>0</v>
      </c>
      <c r="CZ106" s="82">
        <f t="shared" si="257"/>
        <v>0</v>
      </c>
      <c r="DA106" s="82">
        <f t="shared" si="258"/>
        <v>0</v>
      </c>
      <c r="DB106" s="82">
        <f t="shared" si="259"/>
        <v>0</v>
      </c>
      <c r="DC106" s="82">
        <f t="shared" si="260"/>
        <v>0</v>
      </c>
      <c r="DD106" s="82">
        <f t="shared" si="261"/>
        <v>0</v>
      </c>
      <c r="DE106" s="82">
        <f t="shared" si="262"/>
        <v>0</v>
      </c>
      <c r="DF106" s="82">
        <f t="shared" si="263"/>
        <v>0</v>
      </c>
      <c r="DG106" s="82">
        <f t="shared" si="264"/>
        <v>0</v>
      </c>
      <c r="DH106" s="82">
        <f t="shared" si="265"/>
        <v>0</v>
      </c>
      <c r="DI106" s="82">
        <f t="shared" si="266"/>
        <v>0</v>
      </c>
      <c r="DJ106" s="82">
        <f t="shared" si="267"/>
        <v>0</v>
      </c>
      <c r="DK106" s="82">
        <f t="shared" si="268"/>
        <v>0</v>
      </c>
      <c r="DL106" s="82">
        <f t="shared" si="269"/>
        <v>0</v>
      </c>
      <c r="DM106" s="82">
        <f t="shared" si="270"/>
        <v>0</v>
      </c>
      <c r="DN106" s="82">
        <f t="shared" si="271"/>
        <v>0</v>
      </c>
      <c r="DO106" s="82">
        <f t="shared" si="272"/>
        <v>0</v>
      </c>
      <c r="DP106" s="82">
        <f t="shared" si="273"/>
        <v>0</v>
      </c>
      <c r="DQ106" s="82">
        <f t="shared" si="274"/>
        <v>0</v>
      </c>
      <c r="DR106" s="82">
        <f t="shared" si="275"/>
        <v>0</v>
      </c>
      <c r="DS106" s="82">
        <f t="shared" si="276"/>
        <v>0</v>
      </c>
      <c r="DT106" s="82">
        <f t="shared" si="277"/>
        <v>0</v>
      </c>
      <c r="DU106" s="82">
        <f t="shared" si="278"/>
        <v>0</v>
      </c>
      <c r="DV106" s="82">
        <f t="shared" si="279"/>
        <v>0</v>
      </c>
      <c r="DW106" s="82">
        <f t="shared" si="280"/>
        <v>0</v>
      </c>
      <c r="DX106" s="82">
        <f t="shared" si="281"/>
        <v>0</v>
      </c>
      <c r="DY106" s="82">
        <f t="shared" si="282"/>
        <v>0</v>
      </c>
      <c r="DZ106" s="82">
        <f t="shared" si="283"/>
        <v>0</v>
      </c>
      <c r="EA106" s="82">
        <f t="shared" si="284"/>
        <v>0</v>
      </c>
      <c r="EB106" s="82">
        <f t="shared" si="285"/>
        <v>0</v>
      </c>
      <c r="EC106" s="82">
        <f t="shared" si="286"/>
        <v>0</v>
      </c>
      <c r="ED106" s="82">
        <f t="shared" si="287"/>
        <v>0</v>
      </c>
      <c r="EE106" s="82">
        <f t="shared" si="288"/>
        <v>0</v>
      </c>
      <c r="EF106" s="82">
        <f t="shared" si="289"/>
        <v>0</v>
      </c>
      <c r="EG106" s="82">
        <f t="shared" si="290"/>
        <v>0</v>
      </c>
      <c r="EH106" s="82">
        <f t="shared" si="291"/>
        <v>0</v>
      </c>
      <c r="EI106" s="82">
        <f t="shared" si="292"/>
        <v>0</v>
      </c>
      <c r="EJ106" s="82">
        <f t="shared" si="293"/>
        <v>0</v>
      </c>
      <c r="EK106" s="82">
        <f t="shared" si="294"/>
        <v>0</v>
      </c>
      <c r="EL106" s="82">
        <f t="shared" si="295"/>
        <v>0</v>
      </c>
      <c r="EM106" s="82">
        <f t="shared" si="296"/>
        <v>0</v>
      </c>
      <c r="EN106" s="82">
        <f t="shared" si="297"/>
        <v>0</v>
      </c>
      <c r="EO106" s="82">
        <f t="shared" si="298"/>
        <v>0</v>
      </c>
      <c r="EP106" s="82">
        <f t="shared" si="299"/>
        <v>0</v>
      </c>
      <c r="EQ106" s="82">
        <f t="shared" si="300"/>
        <v>0</v>
      </c>
      <c r="ER106" s="82">
        <f t="shared" si="301"/>
        <v>0</v>
      </c>
      <c r="ES106" s="82">
        <f t="shared" si="302"/>
        <v>0</v>
      </c>
      <c r="ET106" s="82">
        <f t="shared" si="303"/>
        <v>0</v>
      </c>
      <c r="EU106" s="82">
        <f t="shared" si="304"/>
        <v>0</v>
      </c>
      <c r="EV106" s="82">
        <f t="shared" si="305"/>
        <v>0</v>
      </c>
      <c r="EW106" s="82">
        <f t="shared" si="306"/>
        <v>0</v>
      </c>
      <c r="EX106" s="82">
        <f t="shared" si="307"/>
        <v>0</v>
      </c>
      <c r="EY106" s="111">
        <f t="shared" si="308"/>
        <v>0</v>
      </c>
      <c r="EZ106" s="143" t="e">
        <f t="shared" ca="1" si="309"/>
        <v>#N/A</v>
      </c>
      <c r="FA106" s="112" t="e">
        <f t="shared" ca="1" si="310"/>
        <v>#N/A</v>
      </c>
      <c r="FB106" s="113" t="e">
        <f t="shared" ca="1" si="311"/>
        <v>#N/A</v>
      </c>
      <c r="FC106" s="114" t="e">
        <f t="shared" ca="1" si="312"/>
        <v>#N/A</v>
      </c>
      <c r="FD106" s="115">
        <f t="shared" ca="1" si="313"/>
        <v>0</v>
      </c>
      <c r="FE106" s="116" t="e">
        <f t="shared" ca="1" si="314"/>
        <v>#N/A</v>
      </c>
      <c r="FF106" s="117" t="e">
        <f t="shared" ca="1" si="315"/>
        <v>#N/A</v>
      </c>
      <c r="FG106" s="71">
        <f t="shared" si="316"/>
        <v>0</v>
      </c>
      <c r="FH106" s="530" t="e">
        <f t="shared" ca="1" si="317"/>
        <v>#N/A</v>
      </c>
      <c r="FI106" s="72"/>
      <c r="FJ106" s="72"/>
      <c r="FK106" s="72"/>
      <c r="FM106" s="421">
        <f t="shared" si="318"/>
        <v>0</v>
      </c>
      <c r="FN106" s="422" t="e">
        <f t="shared" ca="1" si="319"/>
        <v>#N/A</v>
      </c>
      <c r="FO106" s="423">
        <f t="shared" ca="1" si="328"/>
        <v>0</v>
      </c>
      <c r="FP106" s="423">
        <f t="shared" ca="1" si="328"/>
        <v>0</v>
      </c>
      <c r="FQ106" s="423">
        <f t="shared" ca="1" si="328"/>
        <v>0</v>
      </c>
      <c r="FR106" s="423">
        <f t="shared" ca="1" si="328"/>
        <v>0</v>
      </c>
      <c r="FS106" s="423">
        <f t="shared" ca="1" si="328"/>
        <v>0</v>
      </c>
      <c r="FT106" s="423">
        <f t="shared" ca="1" si="328"/>
        <v>0</v>
      </c>
      <c r="FU106" s="423">
        <f t="shared" ca="1" si="328"/>
        <v>0</v>
      </c>
      <c r="FV106" s="423">
        <f t="shared" ca="1" si="328"/>
        <v>0</v>
      </c>
      <c r="FW106" s="423">
        <f t="shared" ca="1" si="328"/>
        <v>0</v>
      </c>
      <c r="FX106" s="423">
        <f t="shared" ca="1" si="328"/>
        <v>0</v>
      </c>
      <c r="FY106" s="423">
        <f t="shared" ca="1" si="328"/>
        <v>0</v>
      </c>
      <c r="FZ106" s="423">
        <f t="shared" ca="1" si="328"/>
        <v>0</v>
      </c>
      <c r="GA106" s="423">
        <f t="shared" ca="1" si="328"/>
        <v>0</v>
      </c>
      <c r="GB106" s="423">
        <f t="shared" ca="1" si="328"/>
        <v>0</v>
      </c>
      <c r="GC106" s="423">
        <f t="shared" ca="1" si="328"/>
        <v>0</v>
      </c>
      <c r="GD106" s="423">
        <f t="shared" ca="1" si="328"/>
        <v>0</v>
      </c>
      <c r="GE106" s="423">
        <f t="shared" ca="1" si="326"/>
        <v>0</v>
      </c>
      <c r="GF106" s="423">
        <f t="shared" ca="1" si="326"/>
        <v>0</v>
      </c>
      <c r="GG106" s="423">
        <f t="shared" ca="1" si="326"/>
        <v>0</v>
      </c>
      <c r="GH106" s="423">
        <f t="shared" ca="1" si="326"/>
        <v>0</v>
      </c>
      <c r="GI106" s="423">
        <f t="shared" ca="1" si="326"/>
        <v>0</v>
      </c>
      <c r="GJ106" s="423">
        <f t="shared" ca="1" si="326"/>
        <v>0</v>
      </c>
      <c r="GK106" s="423">
        <f t="shared" ca="1" si="326"/>
        <v>0</v>
      </c>
      <c r="GL106" s="423">
        <f t="shared" ca="1" si="326"/>
        <v>0</v>
      </c>
      <c r="GM106" s="423">
        <f t="shared" ca="1" si="326"/>
        <v>0</v>
      </c>
      <c r="GN106" s="423">
        <f t="shared" ca="1" si="326"/>
        <v>0</v>
      </c>
      <c r="GO106" s="423">
        <f t="shared" ca="1" si="326"/>
        <v>0</v>
      </c>
      <c r="GP106" s="423">
        <f t="shared" ca="1" si="326"/>
        <v>0</v>
      </c>
      <c r="GQ106" s="423">
        <f t="shared" ca="1" si="326"/>
        <v>0</v>
      </c>
      <c r="GR106" s="423">
        <f t="shared" ca="1" si="326"/>
        <v>0</v>
      </c>
      <c r="GS106" s="423">
        <f t="shared" ca="1" si="325"/>
        <v>0</v>
      </c>
      <c r="GT106" s="423">
        <f t="shared" ca="1" si="325"/>
        <v>0</v>
      </c>
      <c r="GU106" s="423">
        <f t="shared" ca="1" si="325"/>
        <v>0</v>
      </c>
      <c r="GV106" s="423">
        <f t="shared" ca="1" si="325"/>
        <v>0</v>
      </c>
      <c r="GW106" s="423">
        <f t="shared" ca="1" si="325"/>
        <v>0</v>
      </c>
      <c r="GX106" s="423">
        <f t="shared" ca="1" si="325"/>
        <v>0</v>
      </c>
      <c r="GY106" s="423">
        <f t="shared" ca="1" si="325"/>
        <v>0</v>
      </c>
      <c r="GZ106" s="423">
        <f t="shared" ca="1" si="325"/>
        <v>0</v>
      </c>
      <c r="HA106" s="423">
        <f t="shared" ca="1" si="325"/>
        <v>0</v>
      </c>
      <c r="HB106" s="423">
        <f t="shared" ca="1" si="325"/>
        <v>0</v>
      </c>
      <c r="HC106" s="423">
        <f t="shared" ca="1" si="325"/>
        <v>0</v>
      </c>
      <c r="HD106" s="423">
        <f t="shared" ca="1" si="325"/>
        <v>0</v>
      </c>
      <c r="HE106" s="423">
        <f t="shared" ca="1" si="325"/>
        <v>0</v>
      </c>
      <c r="HF106" s="423">
        <f t="shared" ca="1" si="325"/>
        <v>0</v>
      </c>
      <c r="HG106" s="423">
        <f t="shared" ca="1" si="325"/>
        <v>0</v>
      </c>
      <c r="HH106" s="423">
        <f t="shared" ca="1" si="325"/>
        <v>0</v>
      </c>
      <c r="HI106" s="423">
        <f t="shared" ca="1" si="327"/>
        <v>0</v>
      </c>
      <c r="HJ106" s="423">
        <f t="shared" ca="1" si="327"/>
        <v>0</v>
      </c>
      <c r="HK106" s="423">
        <f t="shared" ca="1" si="327"/>
        <v>0</v>
      </c>
      <c r="HL106" s="423">
        <f t="shared" ca="1" si="327"/>
        <v>0</v>
      </c>
      <c r="HM106" s="423">
        <f t="shared" ca="1" si="327"/>
        <v>0</v>
      </c>
      <c r="HN106" s="423">
        <f t="shared" ca="1" si="327"/>
        <v>0</v>
      </c>
      <c r="HO106" s="423">
        <f t="shared" ca="1" si="327"/>
        <v>0</v>
      </c>
      <c r="HP106" s="423">
        <f t="shared" ca="1" si="327"/>
        <v>0</v>
      </c>
      <c r="HQ106" s="423">
        <f t="shared" ca="1" si="327"/>
        <v>0</v>
      </c>
      <c r="HR106" s="423">
        <f t="shared" ca="1" si="327"/>
        <v>0</v>
      </c>
      <c r="HS106" s="423">
        <f t="shared" ca="1" si="327"/>
        <v>0</v>
      </c>
      <c r="HT106" s="423">
        <f t="shared" ca="1" si="327"/>
        <v>0</v>
      </c>
    </row>
    <row r="107" spans="1:228" ht="11.25" customHeight="1" x14ac:dyDescent="0.2">
      <c r="A107" s="62">
        <f t="shared" si="322"/>
        <v>96</v>
      </c>
      <c r="B107" s="60">
        <f>Spaces_Sum!C152</f>
        <v>0</v>
      </c>
      <c r="C107" s="62" t="str">
        <f>Spaces_Sum!D152</f>
        <v>0</v>
      </c>
      <c r="D107" s="62" t="e">
        <f ca="1">Spaces_Sum!I152</f>
        <v>#N/A</v>
      </c>
      <c r="F107" s="110" t="e">
        <f ca="1">Spaces_Sum!M152</f>
        <v>#N/A</v>
      </c>
      <c r="G107" s="110" t="e">
        <f ca="1">Spaces_Sum!J152</f>
        <v>#N/A</v>
      </c>
      <c r="H107" s="532"/>
      <c r="I107" s="185"/>
      <c r="J107" s="185"/>
      <c r="K107" s="186"/>
      <c r="L107" s="187"/>
      <c r="M107" s="188"/>
      <c r="N107" s="189"/>
      <c r="O107" s="186"/>
      <c r="P107" s="187"/>
      <c r="Q107" s="188"/>
      <c r="R107" s="189"/>
      <c r="S107" s="186"/>
      <c r="T107" s="187"/>
      <c r="U107" s="188"/>
      <c r="V107" s="189"/>
      <c r="W107" s="186"/>
      <c r="X107" s="187"/>
      <c r="Y107" s="188"/>
      <c r="Z107" s="189"/>
      <c r="AA107" s="186"/>
      <c r="AB107" s="187"/>
      <c r="AC107" s="188"/>
      <c r="AD107" s="189"/>
      <c r="AE107" s="186"/>
      <c r="AF107" s="187"/>
      <c r="AG107" s="188"/>
      <c r="AH107" s="189"/>
      <c r="AI107" s="186"/>
      <c r="AJ107" s="187"/>
      <c r="AK107" s="188"/>
      <c r="AL107" s="189"/>
      <c r="AM107" s="186"/>
      <c r="AN107" s="187"/>
      <c r="AO107" s="188"/>
      <c r="AP107" s="189"/>
      <c r="AQ107" s="186"/>
      <c r="AR107" s="187"/>
      <c r="AS107" s="188"/>
      <c r="AT107" s="189"/>
      <c r="AU107" s="186"/>
      <c r="AV107" s="187"/>
      <c r="AW107" s="188"/>
      <c r="AX107" s="189"/>
      <c r="AY107" s="186"/>
      <c r="AZ107" s="187"/>
      <c r="BA107" s="188"/>
      <c r="BB107" s="189"/>
      <c r="BC107" s="186"/>
      <c r="BD107" s="187"/>
      <c r="BE107" s="188"/>
      <c r="BF107" s="189"/>
      <c r="BG107" s="186"/>
      <c r="BH107" s="187"/>
      <c r="BI107" s="188"/>
      <c r="BJ107" s="189"/>
      <c r="BK107" s="186"/>
      <c r="BL107" s="187"/>
      <c r="BM107" s="188"/>
      <c r="BN107" s="189"/>
      <c r="BO107" s="186"/>
      <c r="BP107" s="187"/>
      <c r="BQ107" s="188"/>
      <c r="BR107" s="189"/>
      <c r="BS107" s="186"/>
      <c r="BT107" s="187"/>
      <c r="BU107" s="188"/>
      <c r="BV107" s="189"/>
      <c r="BW107" s="186"/>
      <c r="BX107" s="187"/>
      <c r="BY107" s="188"/>
      <c r="BZ107" s="189"/>
      <c r="CA107" s="186"/>
      <c r="CB107" s="190"/>
      <c r="CC107" s="190"/>
      <c r="CD107" s="82">
        <f t="shared" si="235"/>
        <v>0</v>
      </c>
      <c r="CE107" s="82">
        <f t="shared" si="236"/>
        <v>0</v>
      </c>
      <c r="CF107" s="82">
        <f t="shared" si="237"/>
        <v>0</v>
      </c>
      <c r="CG107" s="82">
        <f t="shared" si="238"/>
        <v>0</v>
      </c>
      <c r="CH107" s="82">
        <f t="shared" si="239"/>
        <v>0</v>
      </c>
      <c r="CI107" s="82">
        <f t="shared" si="240"/>
        <v>0</v>
      </c>
      <c r="CJ107" s="82">
        <f t="shared" si="241"/>
        <v>0</v>
      </c>
      <c r="CK107" s="82">
        <f t="shared" si="242"/>
        <v>0</v>
      </c>
      <c r="CL107" s="82">
        <f t="shared" si="243"/>
        <v>0</v>
      </c>
      <c r="CM107" s="82">
        <f t="shared" si="244"/>
        <v>0</v>
      </c>
      <c r="CN107" s="82">
        <f t="shared" si="245"/>
        <v>0</v>
      </c>
      <c r="CO107" s="82">
        <f t="shared" si="246"/>
        <v>0</v>
      </c>
      <c r="CP107" s="82">
        <f t="shared" si="247"/>
        <v>0</v>
      </c>
      <c r="CQ107" s="82">
        <f t="shared" si="248"/>
        <v>0</v>
      </c>
      <c r="CR107" s="82">
        <f t="shared" si="249"/>
        <v>0</v>
      </c>
      <c r="CS107" s="82">
        <f t="shared" si="250"/>
        <v>0</v>
      </c>
      <c r="CT107" s="82">
        <f t="shared" si="251"/>
        <v>0</v>
      </c>
      <c r="CU107" s="82">
        <f t="shared" si="252"/>
        <v>0</v>
      </c>
      <c r="CV107" s="82">
        <f t="shared" si="253"/>
        <v>0</v>
      </c>
      <c r="CW107" s="82">
        <f t="shared" si="254"/>
        <v>0</v>
      </c>
      <c r="CX107" s="82">
        <f t="shared" si="255"/>
        <v>0</v>
      </c>
      <c r="CY107" s="82">
        <f t="shared" si="256"/>
        <v>0</v>
      </c>
      <c r="CZ107" s="82">
        <f t="shared" si="257"/>
        <v>0</v>
      </c>
      <c r="DA107" s="82">
        <f t="shared" si="258"/>
        <v>0</v>
      </c>
      <c r="DB107" s="82">
        <f t="shared" si="259"/>
        <v>0</v>
      </c>
      <c r="DC107" s="82">
        <f t="shared" si="260"/>
        <v>0</v>
      </c>
      <c r="DD107" s="82">
        <f t="shared" si="261"/>
        <v>0</v>
      </c>
      <c r="DE107" s="82">
        <f t="shared" si="262"/>
        <v>0</v>
      </c>
      <c r="DF107" s="82">
        <f t="shared" si="263"/>
        <v>0</v>
      </c>
      <c r="DG107" s="82">
        <f t="shared" si="264"/>
        <v>0</v>
      </c>
      <c r="DH107" s="82">
        <f t="shared" si="265"/>
        <v>0</v>
      </c>
      <c r="DI107" s="82">
        <f t="shared" si="266"/>
        <v>0</v>
      </c>
      <c r="DJ107" s="82">
        <f t="shared" si="267"/>
        <v>0</v>
      </c>
      <c r="DK107" s="82">
        <f t="shared" si="268"/>
        <v>0</v>
      </c>
      <c r="DL107" s="82">
        <f t="shared" si="269"/>
        <v>0</v>
      </c>
      <c r="DM107" s="82">
        <f t="shared" si="270"/>
        <v>0</v>
      </c>
      <c r="DN107" s="82">
        <f t="shared" si="271"/>
        <v>0</v>
      </c>
      <c r="DO107" s="82">
        <f t="shared" si="272"/>
        <v>0</v>
      </c>
      <c r="DP107" s="82">
        <f t="shared" si="273"/>
        <v>0</v>
      </c>
      <c r="DQ107" s="82">
        <f t="shared" si="274"/>
        <v>0</v>
      </c>
      <c r="DR107" s="82">
        <f t="shared" si="275"/>
        <v>0</v>
      </c>
      <c r="DS107" s="82">
        <f t="shared" si="276"/>
        <v>0</v>
      </c>
      <c r="DT107" s="82">
        <f t="shared" si="277"/>
        <v>0</v>
      </c>
      <c r="DU107" s="82">
        <f t="shared" si="278"/>
        <v>0</v>
      </c>
      <c r="DV107" s="82">
        <f t="shared" si="279"/>
        <v>0</v>
      </c>
      <c r="DW107" s="82">
        <f t="shared" si="280"/>
        <v>0</v>
      </c>
      <c r="DX107" s="82">
        <f t="shared" si="281"/>
        <v>0</v>
      </c>
      <c r="DY107" s="82">
        <f t="shared" si="282"/>
        <v>0</v>
      </c>
      <c r="DZ107" s="82">
        <f t="shared" si="283"/>
        <v>0</v>
      </c>
      <c r="EA107" s="82">
        <f t="shared" si="284"/>
        <v>0</v>
      </c>
      <c r="EB107" s="82">
        <f t="shared" si="285"/>
        <v>0</v>
      </c>
      <c r="EC107" s="82">
        <f t="shared" si="286"/>
        <v>0</v>
      </c>
      <c r="ED107" s="82">
        <f t="shared" si="287"/>
        <v>0</v>
      </c>
      <c r="EE107" s="82">
        <f t="shared" si="288"/>
        <v>0</v>
      </c>
      <c r="EF107" s="82">
        <f t="shared" si="289"/>
        <v>0</v>
      </c>
      <c r="EG107" s="82">
        <f t="shared" si="290"/>
        <v>0</v>
      </c>
      <c r="EH107" s="82">
        <f t="shared" si="291"/>
        <v>0</v>
      </c>
      <c r="EI107" s="82">
        <f t="shared" si="292"/>
        <v>0</v>
      </c>
      <c r="EJ107" s="82">
        <f t="shared" si="293"/>
        <v>0</v>
      </c>
      <c r="EK107" s="82">
        <f t="shared" si="294"/>
        <v>0</v>
      </c>
      <c r="EL107" s="82">
        <f t="shared" si="295"/>
        <v>0</v>
      </c>
      <c r="EM107" s="82">
        <f t="shared" si="296"/>
        <v>0</v>
      </c>
      <c r="EN107" s="82">
        <f t="shared" si="297"/>
        <v>0</v>
      </c>
      <c r="EO107" s="82">
        <f t="shared" si="298"/>
        <v>0</v>
      </c>
      <c r="EP107" s="82">
        <f t="shared" si="299"/>
        <v>0</v>
      </c>
      <c r="EQ107" s="82">
        <f t="shared" si="300"/>
        <v>0</v>
      </c>
      <c r="ER107" s="82">
        <f t="shared" si="301"/>
        <v>0</v>
      </c>
      <c r="ES107" s="82">
        <f t="shared" si="302"/>
        <v>0</v>
      </c>
      <c r="ET107" s="82">
        <f t="shared" si="303"/>
        <v>0</v>
      </c>
      <c r="EU107" s="82">
        <f t="shared" si="304"/>
        <v>0</v>
      </c>
      <c r="EV107" s="82">
        <f t="shared" si="305"/>
        <v>0</v>
      </c>
      <c r="EW107" s="82">
        <f t="shared" si="306"/>
        <v>0</v>
      </c>
      <c r="EX107" s="82">
        <f t="shared" si="307"/>
        <v>0</v>
      </c>
      <c r="EY107" s="111">
        <f t="shared" si="308"/>
        <v>0</v>
      </c>
      <c r="EZ107" s="143" t="e">
        <f t="shared" ca="1" si="309"/>
        <v>#N/A</v>
      </c>
      <c r="FA107" s="112" t="e">
        <f t="shared" ca="1" si="310"/>
        <v>#N/A</v>
      </c>
      <c r="FB107" s="113" t="e">
        <f t="shared" ca="1" si="311"/>
        <v>#N/A</v>
      </c>
      <c r="FC107" s="114" t="e">
        <f t="shared" ca="1" si="312"/>
        <v>#N/A</v>
      </c>
      <c r="FD107" s="115">
        <f t="shared" ca="1" si="313"/>
        <v>0</v>
      </c>
      <c r="FE107" s="116" t="e">
        <f t="shared" ca="1" si="314"/>
        <v>#N/A</v>
      </c>
      <c r="FF107" s="117" t="e">
        <f t="shared" ca="1" si="315"/>
        <v>#N/A</v>
      </c>
      <c r="FG107" s="71">
        <f t="shared" si="316"/>
        <v>0</v>
      </c>
      <c r="FH107" s="530" t="e">
        <f t="shared" ca="1" si="317"/>
        <v>#N/A</v>
      </c>
      <c r="FI107" s="72" t="e">
        <f ca="1">0.75*FB107</f>
        <v>#N/A</v>
      </c>
      <c r="FJ107" s="72" t="e">
        <f t="shared" ca="1" si="329"/>
        <v>#N/A</v>
      </c>
      <c r="FK107" s="72" t="e">
        <f t="shared" ca="1" si="330"/>
        <v>#N/A</v>
      </c>
      <c r="FM107" s="421">
        <f t="shared" si="318"/>
        <v>0</v>
      </c>
      <c r="FN107" s="422" t="e">
        <f t="shared" ca="1" si="319"/>
        <v>#N/A</v>
      </c>
      <c r="FO107" s="423">
        <f t="shared" ca="1" si="328"/>
        <v>0</v>
      </c>
      <c r="FP107" s="423">
        <f t="shared" ca="1" si="328"/>
        <v>0</v>
      </c>
      <c r="FQ107" s="423">
        <f t="shared" ca="1" si="328"/>
        <v>0</v>
      </c>
      <c r="FR107" s="423">
        <f t="shared" ca="1" si="328"/>
        <v>0</v>
      </c>
      <c r="FS107" s="423">
        <f t="shared" ca="1" si="328"/>
        <v>0</v>
      </c>
      <c r="FT107" s="423">
        <f t="shared" ca="1" si="328"/>
        <v>0</v>
      </c>
      <c r="FU107" s="423">
        <f t="shared" ca="1" si="328"/>
        <v>0</v>
      </c>
      <c r="FV107" s="423">
        <f t="shared" ca="1" si="328"/>
        <v>0</v>
      </c>
      <c r="FW107" s="423">
        <f t="shared" ca="1" si="328"/>
        <v>0</v>
      </c>
      <c r="FX107" s="423">
        <f t="shared" ca="1" si="328"/>
        <v>0</v>
      </c>
      <c r="FY107" s="423">
        <f t="shared" ca="1" si="328"/>
        <v>0</v>
      </c>
      <c r="FZ107" s="423">
        <f t="shared" ca="1" si="328"/>
        <v>0</v>
      </c>
      <c r="GA107" s="423">
        <f t="shared" ca="1" si="328"/>
        <v>0</v>
      </c>
      <c r="GB107" s="423">
        <f t="shared" ca="1" si="328"/>
        <v>0</v>
      </c>
      <c r="GC107" s="423">
        <f t="shared" ca="1" si="328"/>
        <v>0</v>
      </c>
      <c r="GD107" s="423">
        <f t="shared" ca="1" si="328"/>
        <v>0</v>
      </c>
      <c r="GE107" s="423">
        <f t="shared" ca="1" si="326"/>
        <v>0</v>
      </c>
      <c r="GF107" s="423">
        <f t="shared" ca="1" si="326"/>
        <v>0</v>
      </c>
      <c r="GG107" s="423">
        <f t="shared" ca="1" si="326"/>
        <v>0</v>
      </c>
      <c r="GH107" s="423">
        <f t="shared" ca="1" si="326"/>
        <v>0</v>
      </c>
      <c r="GI107" s="423">
        <f t="shared" ca="1" si="326"/>
        <v>0</v>
      </c>
      <c r="GJ107" s="423">
        <f t="shared" ca="1" si="326"/>
        <v>0</v>
      </c>
      <c r="GK107" s="423">
        <f t="shared" ca="1" si="326"/>
        <v>0</v>
      </c>
      <c r="GL107" s="423">
        <f t="shared" ca="1" si="326"/>
        <v>0</v>
      </c>
      <c r="GM107" s="423">
        <f t="shared" ca="1" si="326"/>
        <v>0</v>
      </c>
      <c r="GN107" s="423">
        <f t="shared" ca="1" si="326"/>
        <v>0</v>
      </c>
      <c r="GO107" s="423">
        <f t="shared" ca="1" si="326"/>
        <v>0</v>
      </c>
      <c r="GP107" s="423">
        <f t="shared" ca="1" si="326"/>
        <v>0</v>
      </c>
      <c r="GQ107" s="423">
        <f t="shared" ca="1" si="326"/>
        <v>0</v>
      </c>
      <c r="GR107" s="423">
        <f t="shared" ca="1" si="326"/>
        <v>0</v>
      </c>
      <c r="GS107" s="423">
        <f t="shared" ca="1" si="326"/>
        <v>0</v>
      </c>
      <c r="GT107" s="423">
        <f t="shared" ca="1" si="326"/>
        <v>0</v>
      </c>
      <c r="GU107" s="423">
        <f t="shared" ref="GU107:HJ122" ca="1" si="331">IFERROR(ROUNDDOWN(SUMIF($H107:$CC107,GU$11,$CD107:$EX107)/GU$10,0),0)</f>
        <v>0</v>
      </c>
      <c r="GV107" s="423">
        <f t="shared" ca="1" si="331"/>
        <v>0</v>
      </c>
      <c r="GW107" s="423">
        <f t="shared" ca="1" si="331"/>
        <v>0</v>
      </c>
      <c r="GX107" s="423">
        <f t="shared" ca="1" si="331"/>
        <v>0</v>
      </c>
      <c r="GY107" s="423">
        <f t="shared" ca="1" si="331"/>
        <v>0</v>
      </c>
      <c r="GZ107" s="423">
        <f t="shared" ca="1" si="331"/>
        <v>0</v>
      </c>
      <c r="HA107" s="423">
        <f t="shared" ca="1" si="331"/>
        <v>0</v>
      </c>
      <c r="HB107" s="423">
        <f t="shared" ca="1" si="331"/>
        <v>0</v>
      </c>
      <c r="HC107" s="423">
        <f t="shared" ca="1" si="331"/>
        <v>0</v>
      </c>
      <c r="HD107" s="423">
        <f t="shared" ca="1" si="331"/>
        <v>0</v>
      </c>
      <c r="HE107" s="423">
        <f t="shared" ca="1" si="331"/>
        <v>0</v>
      </c>
      <c r="HF107" s="423">
        <f t="shared" ca="1" si="331"/>
        <v>0</v>
      </c>
      <c r="HG107" s="423">
        <f t="shared" ca="1" si="331"/>
        <v>0</v>
      </c>
      <c r="HH107" s="423">
        <f t="shared" ca="1" si="331"/>
        <v>0</v>
      </c>
      <c r="HI107" s="423">
        <f t="shared" ca="1" si="327"/>
        <v>0</v>
      </c>
      <c r="HJ107" s="423">
        <f t="shared" ca="1" si="327"/>
        <v>0</v>
      </c>
      <c r="HK107" s="423">
        <f t="shared" ca="1" si="327"/>
        <v>0</v>
      </c>
      <c r="HL107" s="423">
        <f t="shared" ca="1" si="327"/>
        <v>0</v>
      </c>
      <c r="HM107" s="423">
        <f t="shared" ca="1" si="327"/>
        <v>0</v>
      </c>
      <c r="HN107" s="423">
        <f t="shared" ca="1" si="327"/>
        <v>0</v>
      </c>
      <c r="HO107" s="423">
        <f t="shared" ca="1" si="327"/>
        <v>0</v>
      </c>
      <c r="HP107" s="423">
        <f t="shared" ca="1" si="327"/>
        <v>0</v>
      </c>
      <c r="HQ107" s="423">
        <f t="shared" ca="1" si="327"/>
        <v>0</v>
      </c>
      <c r="HR107" s="423">
        <f t="shared" ca="1" si="327"/>
        <v>0</v>
      </c>
      <c r="HS107" s="423">
        <f t="shared" ca="1" si="327"/>
        <v>0</v>
      </c>
      <c r="HT107" s="423">
        <f t="shared" ca="1" si="327"/>
        <v>0</v>
      </c>
    </row>
    <row r="108" spans="1:228" ht="11.25" customHeight="1" x14ac:dyDescent="0.2">
      <c r="A108" s="62">
        <f t="shared" si="322"/>
        <v>97</v>
      </c>
      <c r="B108" s="60">
        <f>Spaces_Sum!C153</f>
        <v>0</v>
      </c>
      <c r="C108" s="62" t="str">
        <f>Spaces_Sum!D153</f>
        <v>0</v>
      </c>
      <c r="D108" s="62" t="e">
        <f ca="1">Spaces_Sum!I153</f>
        <v>#N/A</v>
      </c>
      <c r="F108" s="110" t="e">
        <f ca="1">Spaces_Sum!M153</f>
        <v>#N/A</v>
      </c>
      <c r="G108" s="110" t="e">
        <f ca="1">Spaces_Sum!J153</f>
        <v>#N/A</v>
      </c>
      <c r="H108" s="532"/>
      <c r="I108" s="185"/>
      <c r="J108" s="185"/>
      <c r="K108" s="186"/>
      <c r="L108" s="187"/>
      <c r="M108" s="188"/>
      <c r="N108" s="189"/>
      <c r="O108" s="186"/>
      <c r="P108" s="187"/>
      <c r="Q108" s="188"/>
      <c r="R108" s="189"/>
      <c r="S108" s="186"/>
      <c r="T108" s="187"/>
      <c r="U108" s="188"/>
      <c r="V108" s="189"/>
      <c r="W108" s="186"/>
      <c r="X108" s="187"/>
      <c r="Y108" s="188"/>
      <c r="Z108" s="189"/>
      <c r="AA108" s="186"/>
      <c r="AB108" s="187"/>
      <c r="AC108" s="188"/>
      <c r="AD108" s="189"/>
      <c r="AE108" s="186"/>
      <c r="AF108" s="187"/>
      <c r="AG108" s="188"/>
      <c r="AH108" s="189"/>
      <c r="AI108" s="186"/>
      <c r="AJ108" s="187"/>
      <c r="AK108" s="188"/>
      <c r="AL108" s="189"/>
      <c r="AM108" s="186"/>
      <c r="AN108" s="187"/>
      <c r="AO108" s="188"/>
      <c r="AP108" s="189"/>
      <c r="AQ108" s="186"/>
      <c r="AR108" s="187"/>
      <c r="AS108" s="188"/>
      <c r="AT108" s="189"/>
      <c r="AU108" s="186"/>
      <c r="AV108" s="187"/>
      <c r="AW108" s="188"/>
      <c r="AX108" s="189"/>
      <c r="AY108" s="186"/>
      <c r="AZ108" s="187"/>
      <c r="BA108" s="188"/>
      <c r="BB108" s="189"/>
      <c r="BC108" s="186"/>
      <c r="BD108" s="187"/>
      <c r="BE108" s="188"/>
      <c r="BF108" s="189"/>
      <c r="BG108" s="186"/>
      <c r="BH108" s="187"/>
      <c r="BI108" s="188"/>
      <c r="BJ108" s="189"/>
      <c r="BK108" s="186"/>
      <c r="BL108" s="187"/>
      <c r="BM108" s="188"/>
      <c r="BN108" s="189"/>
      <c r="BO108" s="186"/>
      <c r="BP108" s="187"/>
      <c r="BQ108" s="188"/>
      <c r="BR108" s="189"/>
      <c r="BS108" s="186"/>
      <c r="BT108" s="187"/>
      <c r="BU108" s="188"/>
      <c r="BV108" s="189"/>
      <c r="BW108" s="186"/>
      <c r="BX108" s="187"/>
      <c r="BY108" s="188"/>
      <c r="BZ108" s="189"/>
      <c r="CA108" s="186"/>
      <c r="CB108" s="190"/>
      <c r="CC108" s="190"/>
      <c r="CD108" s="82">
        <f t="shared" ref="CD108:CD139" si="332">IF(ISTEXT(H108),(IF(ISERROR(VLOOKUP(H108,Ltg_IFixtureSch_PROP,2,FALSE)),0.000001,VLOOKUP(H108,Ltg_IFixtureSch_PROP,2,FALSE)*I108)),0)</f>
        <v>0</v>
      </c>
      <c r="CE108" s="82">
        <f t="shared" ref="CE108:CE139" si="333">CD108-CF108</f>
        <v>0</v>
      </c>
      <c r="CF108" s="82">
        <f t="shared" ref="CF108:CF139" si="334">IF(ISTEXT(H108),(IF(ISERROR(VLOOKUP(H108,Ltg_IFixtureSch_PROP,2,FALSE)),0.000001,VLOOKUP(H108,Ltg_IFixtureSch_PROP,2,FALSE)*J108)),0)</f>
        <v>0</v>
      </c>
      <c r="CG108" s="82">
        <f t="shared" ref="CG108:CG139" si="335">IF(ISTEXT(H108),(IF(ISERROR(VLOOKUP(H108,Ltg_IFixtureSch_PROP,2,FALSE)),0.000001,VLOOKUP(H108,Ltg_IFixtureSch_PROP,2,FALSE)*K108)),0)</f>
        <v>0</v>
      </c>
      <c r="CH108" s="82">
        <f t="shared" ref="CH108:CH139" si="336">IF(ISTEXT(L108),(IF(ISERROR(VLOOKUP(L108,Ltg_IFixtureSch_PROP,2,FALSE)),0.000001,VLOOKUP(L108,Ltg_IFixtureSch_PROP,2,FALSE)*M108)),0)</f>
        <v>0</v>
      </c>
      <c r="CI108" s="82">
        <f t="shared" ref="CI108:CI139" si="337">CH108-CJ108</f>
        <v>0</v>
      </c>
      <c r="CJ108" s="82">
        <f t="shared" ref="CJ108:CJ139" si="338">IF(ISTEXT(L108),(IF(ISERROR(VLOOKUP(L108,Ltg_IFixtureSch_PROP,2,FALSE)),0.000001,VLOOKUP(L108,Ltg_IFixtureSch_PROP,2,FALSE)*N108)),0)</f>
        <v>0</v>
      </c>
      <c r="CK108" s="82">
        <f t="shared" ref="CK108:CK139" si="339">IF(ISTEXT(L108),(IF(ISERROR(VLOOKUP(L108,Ltg_IFixtureSch_PROP,2,FALSE)),0.000001,VLOOKUP(L108,Ltg_IFixtureSch_PROP,2,FALSE)*O108)),0)</f>
        <v>0</v>
      </c>
      <c r="CL108" s="82">
        <f t="shared" ref="CL108:CL139" si="340">IF(ISTEXT(P108),(IF(ISERROR(VLOOKUP(P108,Ltg_IFixtureSch_PROP,2,FALSE)),0.000001,VLOOKUP(P108,Ltg_IFixtureSch_PROP,2,FALSE)*Q108)),0)</f>
        <v>0</v>
      </c>
      <c r="CM108" s="82">
        <f t="shared" ref="CM108:CM139" si="341">CL108-CN108</f>
        <v>0</v>
      </c>
      <c r="CN108" s="82">
        <f t="shared" ref="CN108:CN139" si="342">IF(ISTEXT(P108),(IF(ISERROR(VLOOKUP(P108,Ltg_IFixtureSch_PROP,2,FALSE)),0.000001,VLOOKUP(P108,Ltg_IFixtureSch_PROP,2,FALSE)*R108)),0)</f>
        <v>0</v>
      </c>
      <c r="CO108" s="82">
        <f t="shared" ref="CO108:CO139" si="343">IF(ISTEXT(P108),(IF(ISERROR(VLOOKUP(P108,Ltg_IFixtureSch_PROP,2,FALSE)),0.000001,VLOOKUP(P108,Ltg_IFixtureSch_PROP,2,FALSE)*S108)),0)</f>
        <v>0</v>
      </c>
      <c r="CP108" s="82">
        <f t="shared" ref="CP108:CP139" si="344">IF(ISTEXT(T108),(IF(ISERROR(VLOOKUP(T108,Ltg_IFixtureSch_PROP,2,FALSE)),0.000001,VLOOKUP(T108,Ltg_IFixtureSch_PROP,2,FALSE)*U108)),0)</f>
        <v>0</v>
      </c>
      <c r="CQ108" s="82">
        <f t="shared" ref="CQ108:CQ139" si="345">CP108-CR108</f>
        <v>0</v>
      </c>
      <c r="CR108" s="82">
        <f t="shared" ref="CR108:CR139" si="346">IF(ISTEXT(T108),(IF(ISERROR(VLOOKUP(T108,Ltg_IFixtureSch_PROP,2,FALSE)),0.000001,VLOOKUP(T108,Ltg_IFixtureSch_PROP,2,FALSE)*V108)),0)</f>
        <v>0</v>
      </c>
      <c r="CS108" s="82">
        <f t="shared" ref="CS108:CS139" si="347">IF(ISTEXT(T108),(IF(ISERROR(VLOOKUP(T108,Ltg_IFixtureSch_PROP,2,FALSE)),0.000001,VLOOKUP(T108,Ltg_IFixtureSch_PROP,2,FALSE)*W108)),0)</f>
        <v>0</v>
      </c>
      <c r="CT108" s="82">
        <f t="shared" ref="CT108:CT139" si="348">IF(ISTEXT(X108),(IF(ISERROR(VLOOKUP(X108,Ltg_IFixtureSch_PROP,2,FALSE)),0.000001,VLOOKUP(X108,Ltg_IFixtureSch_PROP,2,FALSE)*Y108)),0)</f>
        <v>0</v>
      </c>
      <c r="CU108" s="82">
        <f t="shared" ref="CU108:CU139" si="349">CT108-CV108</f>
        <v>0</v>
      </c>
      <c r="CV108" s="82">
        <f t="shared" ref="CV108:CV139" si="350">IF(ISTEXT(X108),(IF(ISERROR(VLOOKUP(X108,Ltg_IFixtureSch_PROP,2,FALSE)),0.000001,VLOOKUP(X108,Ltg_IFixtureSch_PROP,2,FALSE)*Z108)),0)</f>
        <v>0</v>
      </c>
      <c r="CW108" s="82">
        <f t="shared" ref="CW108:CW139" si="351">IF(ISTEXT(X108),(IF(ISERROR(VLOOKUP(X108,Ltg_IFixtureSch_PROP,2,FALSE)),0.000001,VLOOKUP(X108,Ltg_IFixtureSch_PROP,2,FALSE)*AA108)),0)</f>
        <v>0</v>
      </c>
      <c r="CX108" s="82">
        <f t="shared" ref="CX108:CX139" si="352">IF(ISTEXT(AB108),(IF(ISERROR(VLOOKUP(AB108,Ltg_IFixtureSch_PROP,2,FALSE)),0.000001,VLOOKUP(AB108,Ltg_IFixtureSch_PROP,2,FALSE)*AC108)),0)</f>
        <v>0</v>
      </c>
      <c r="CY108" s="82">
        <f t="shared" ref="CY108:CY139" si="353">CX108-CZ108</f>
        <v>0</v>
      </c>
      <c r="CZ108" s="82">
        <f t="shared" ref="CZ108:CZ139" si="354">IF(ISTEXT(AB108),(IF(ISERROR(VLOOKUP(AB108,Ltg_IFixtureSch_PROP,2,FALSE)),0.000001,VLOOKUP(AB108,Ltg_IFixtureSch_PROP,2,FALSE)*AD108)),0)</f>
        <v>0</v>
      </c>
      <c r="DA108" s="82">
        <f t="shared" ref="DA108:DA139" si="355">IF(ISTEXT(AB108),(IF(ISERROR(VLOOKUP(AB108,Ltg_IFixtureSch_PROP,2,FALSE)),0.000001,VLOOKUP(AB108,Ltg_IFixtureSch_PROP,2,FALSE)*AE108)),0)</f>
        <v>0</v>
      </c>
      <c r="DB108" s="82">
        <f t="shared" ref="DB108:DB139" si="356">IF(ISTEXT(AF108),(IF(ISERROR(VLOOKUP(AF108,Ltg_IFixtureSch_PROP,2,FALSE)),0.000001,VLOOKUP(AF108,Ltg_IFixtureSch_PROP,2,FALSE)*AG108)),0)</f>
        <v>0</v>
      </c>
      <c r="DC108" s="82">
        <f t="shared" ref="DC108:DC139" si="357">DB108-DD108</f>
        <v>0</v>
      </c>
      <c r="DD108" s="82">
        <f t="shared" ref="DD108:DD139" si="358">IF(ISTEXT(AF108),(IF(ISERROR(VLOOKUP(AF108,Ltg_IFixtureSch_PROP,2,FALSE)),0.000001,VLOOKUP(AF108,Ltg_IFixtureSch_PROP,2,FALSE)*AH108)),0)</f>
        <v>0</v>
      </c>
      <c r="DE108" s="82">
        <f t="shared" ref="DE108:DE139" si="359">IF(ISTEXT(AF108),(IF(ISERROR(VLOOKUP(AF108,Ltg_IFixtureSch_PROP,2,FALSE)),0.000001,VLOOKUP(AF108,Ltg_IFixtureSch_PROP,2,FALSE)*AI108)),0)</f>
        <v>0</v>
      </c>
      <c r="DF108" s="82">
        <f t="shared" ref="DF108:DF139" si="360">IF(ISTEXT(AJ108),(IF(ISERROR(VLOOKUP(AJ108,Ltg_IFixtureSch_PROP,2,FALSE)),0.000001,VLOOKUP(AJ108,Ltg_IFixtureSch_PROP,2,FALSE)*AK108)),0)</f>
        <v>0</v>
      </c>
      <c r="DG108" s="82">
        <f t="shared" ref="DG108:DG139" si="361">DF108-DH108</f>
        <v>0</v>
      </c>
      <c r="DH108" s="82">
        <f t="shared" ref="DH108:DH139" si="362">IF(ISTEXT(AJ108),(IF(ISERROR(VLOOKUP(AJ108,Ltg_IFixtureSch_PROP,2,FALSE)),0.000001,VLOOKUP(AJ108,Ltg_IFixtureSch_PROP,2,FALSE)*AL108)),0)</f>
        <v>0</v>
      </c>
      <c r="DI108" s="82">
        <f t="shared" ref="DI108:DI139" si="363">IF(ISTEXT(AJ108),(IF(ISERROR(VLOOKUP(AJ108,Ltg_IFixtureSch_PROP,2,FALSE)),0.000001,VLOOKUP(AJ108,Ltg_IFixtureSch_PROP,2,FALSE)*AM108)),0)</f>
        <v>0</v>
      </c>
      <c r="DJ108" s="82">
        <f t="shared" ref="DJ108:DJ139" si="364">IF(ISTEXT(AN108),(IF(ISERROR(VLOOKUP(AN108,Ltg_IFixtureSch_PROP,2,FALSE)),0.000001,VLOOKUP(AN108,Ltg_IFixtureSch_PROP,2,FALSE)*AO108)),0)</f>
        <v>0</v>
      </c>
      <c r="DK108" s="82">
        <f t="shared" ref="DK108:DK139" si="365">DJ108-DL108</f>
        <v>0</v>
      </c>
      <c r="DL108" s="82">
        <f t="shared" ref="DL108:DL139" si="366">IF(ISTEXT(AN108),(IF(ISERROR(VLOOKUP(AN108,Ltg_IFixtureSch_PROP,2,FALSE)),0.000001,VLOOKUP(AN108,Ltg_IFixtureSch_PROP,2,FALSE)*AP108)),0)</f>
        <v>0</v>
      </c>
      <c r="DM108" s="82">
        <f t="shared" ref="DM108:DM139" si="367">IF(ISTEXT(AN108),(IF(ISERROR(VLOOKUP(AN108,Ltg_IFixtureSch_PROP,2,FALSE)),0.000001,VLOOKUP(AN108,Ltg_IFixtureSch_PROP,2,FALSE)*AQ108)),0)</f>
        <v>0</v>
      </c>
      <c r="DN108" s="82">
        <f t="shared" ref="DN108:DN139" si="368">IF(ISTEXT(AR108),(IF(ISERROR(VLOOKUP(AR108,Ltg_IFixtureSch_PROP,2,FALSE)),0.000001,VLOOKUP(AR108,Ltg_IFixtureSch_PROP,2,FALSE)*AS108)),0)</f>
        <v>0</v>
      </c>
      <c r="DO108" s="82">
        <f t="shared" ref="DO108:DO139" si="369">DN108-DP108</f>
        <v>0</v>
      </c>
      <c r="DP108" s="82">
        <f t="shared" ref="DP108:DP139" si="370">IF(ISTEXT(AR108),(IF(ISERROR(VLOOKUP(AR108,Ltg_IFixtureSch_PROP,2,FALSE)),0.000001,VLOOKUP(AR108,Ltg_IFixtureSch_PROP,2,FALSE)*AT108)),0)</f>
        <v>0</v>
      </c>
      <c r="DQ108" s="82">
        <f t="shared" ref="DQ108:DQ139" si="371">IF(ISTEXT(AR108),(IF(ISERROR(VLOOKUP(AR108,Ltg_IFixtureSch_PROP,2,FALSE)),0.000001,VLOOKUP(AR108,Ltg_IFixtureSch_PROP,2,FALSE)*AU108)),0)</f>
        <v>0</v>
      </c>
      <c r="DR108" s="82">
        <f t="shared" ref="DR108:DR139" si="372">IF(ISTEXT(AV108),(IF(ISERROR(VLOOKUP(AV108,Ltg_IFixtureSch_PROP,2,FALSE)),0.000001,VLOOKUP(AV108,Ltg_IFixtureSch_PROP,2,FALSE)*AW108)),0)</f>
        <v>0</v>
      </c>
      <c r="DS108" s="82">
        <f t="shared" ref="DS108:DS139" si="373">DR108-DT108</f>
        <v>0</v>
      </c>
      <c r="DT108" s="82">
        <f t="shared" ref="DT108:DT139" si="374">IF(ISTEXT(AV108),(IF(ISERROR(VLOOKUP(AV108,Ltg_IFixtureSch_PROP,2,FALSE)),0.000001,VLOOKUP(AV108,Ltg_IFixtureSch_PROP,2,FALSE)*AX108)),0)</f>
        <v>0</v>
      </c>
      <c r="DU108" s="82">
        <f t="shared" ref="DU108:DU139" si="375">IF(ISTEXT(AV108),(IF(ISERROR(VLOOKUP(AV108,Ltg_IFixtureSch_PROP,2,FALSE)),0.000001,VLOOKUP(AV108,Ltg_IFixtureSch_PROP,2,FALSE)*AY108)),0)</f>
        <v>0</v>
      </c>
      <c r="DV108" s="82">
        <f t="shared" ref="DV108:DV139" si="376">IF(ISTEXT(AZ108),(IF(ISERROR(VLOOKUP(AZ108,Ltg_IFixtureSch_PROP,2,FALSE)),0.000001,VLOOKUP(AZ108,Ltg_IFixtureSch_PROP,2,FALSE)*BA108)),0)</f>
        <v>0</v>
      </c>
      <c r="DW108" s="82">
        <f t="shared" ref="DW108:DW139" si="377">DV108-DX108</f>
        <v>0</v>
      </c>
      <c r="DX108" s="82">
        <f t="shared" ref="DX108:DX139" si="378">IF(ISTEXT(AZ108),(IF(ISERROR(VLOOKUP(AZ108,Ltg_IFixtureSch_PROP,2,FALSE)),0.000001,VLOOKUP(AZ108,Ltg_IFixtureSch_PROP,2,FALSE)*BB108)),0)</f>
        <v>0</v>
      </c>
      <c r="DY108" s="82">
        <f t="shared" ref="DY108:DY139" si="379">IF(ISTEXT(AZ108),(IF(ISERROR(VLOOKUP(AZ108,Ltg_IFixtureSch_PROP,2,FALSE)),0.000001,VLOOKUP(AZ108,Ltg_IFixtureSch_PROP,2,FALSE)*BC108)),0)</f>
        <v>0</v>
      </c>
      <c r="DZ108" s="82">
        <f t="shared" ref="DZ108:DZ139" si="380">IF(ISTEXT(BD108),(IF(ISERROR(VLOOKUP(BD108,Ltg_IFixtureSch_PROP,2,FALSE)),0.000001,VLOOKUP(BD108,Ltg_IFixtureSch_PROP,2,FALSE)*BE108)),0)</f>
        <v>0</v>
      </c>
      <c r="EA108" s="82">
        <f t="shared" ref="EA108:EA139" si="381">DZ108-EB108</f>
        <v>0</v>
      </c>
      <c r="EB108" s="82">
        <f t="shared" ref="EB108:EB139" si="382">IF(ISTEXT(BD108),(IF(ISERROR(VLOOKUP(BD108,Ltg_IFixtureSch_PROP,2,FALSE)),0.000001,VLOOKUP(BD108,Ltg_IFixtureSch_PROP,2,FALSE)*BF108)),0)</f>
        <v>0</v>
      </c>
      <c r="EC108" s="82">
        <f t="shared" ref="EC108:EC139" si="383">IF(ISTEXT(BD108),(IF(ISERROR(VLOOKUP(BD108,Ltg_IFixtureSch_PROP,2,FALSE)),0.000001,VLOOKUP(BD108,Ltg_IFixtureSch_PROP,2,FALSE)*BG108)),0)</f>
        <v>0</v>
      </c>
      <c r="ED108" s="82">
        <f t="shared" ref="ED108:ED139" si="384">IF(ISTEXT(BH108),(IF(ISERROR(VLOOKUP(BH108,Ltg_IFixtureSch_PROP,2,FALSE)),0.000001,VLOOKUP(BH108,Ltg_IFixtureSch_PROP,2,FALSE)*BI108)),0)</f>
        <v>0</v>
      </c>
      <c r="EE108" s="82">
        <f t="shared" ref="EE108:EE139" si="385">ED108-EF108</f>
        <v>0</v>
      </c>
      <c r="EF108" s="82">
        <f t="shared" ref="EF108:EF139" si="386">IF(ISTEXT(BH108),(IF(ISERROR(VLOOKUP(BH108,Ltg_IFixtureSch_PROP,2,FALSE)),0.000001,VLOOKUP(BH108,Ltg_IFixtureSch_PROP,2,FALSE)*BJ108)),0)</f>
        <v>0</v>
      </c>
      <c r="EG108" s="82">
        <f t="shared" ref="EG108:EG139" si="387">IF(ISTEXT(BH108),(IF(ISERROR(VLOOKUP(BH108,Ltg_IFixtureSch_PROP,2,FALSE)),0.000001,VLOOKUP(BH108,Ltg_IFixtureSch_PROP,2,FALSE)*BK108)),0)</f>
        <v>0</v>
      </c>
      <c r="EH108" s="82">
        <f t="shared" ref="EH108:EH139" si="388">IF(ISTEXT(BL108),(IF(ISERROR(VLOOKUP(BL108,Ltg_IFixtureSch_PROP,2,FALSE)),0.000001,VLOOKUP(BL108,Ltg_IFixtureSch_PROP,2,FALSE)*BM108)),0)</f>
        <v>0</v>
      </c>
      <c r="EI108" s="82">
        <f t="shared" ref="EI108:EI139" si="389">EH108-EJ108</f>
        <v>0</v>
      </c>
      <c r="EJ108" s="82">
        <f t="shared" ref="EJ108:EJ139" si="390">IF(ISTEXT(BL108),(IF(ISERROR(VLOOKUP(BL108,Ltg_IFixtureSch_PROP,2,FALSE)),0.000001,VLOOKUP(BL108,Ltg_IFixtureSch_PROP,2,FALSE)*BN108)),0)</f>
        <v>0</v>
      </c>
      <c r="EK108" s="82">
        <f t="shared" ref="EK108:EK139" si="391">IF(ISTEXT(BL108),(IF(ISERROR(VLOOKUP(BL108,Ltg_IFixtureSch_PROP,2,FALSE)),0.000001,VLOOKUP(BL108,Ltg_IFixtureSch_PROP,2,FALSE)*BO108)),0)</f>
        <v>0</v>
      </c>
      <c r="EL108" s="82">
        <f t="shared" ref="EL108:EL139" si="392">IF(ISTEXT(BP108),(IF(ISERROR(VLOOKUP(BP108,Ltg_IFixtureSch_PROP,2,FALSE)),0.000001,VLOOKUP(BP108,Ltg_IFixtureSch_PROP,2,FALSE)*BQ108)),0)</f>
        <v>0</v>
      </c>
      <c r="EM108" s="82">
        <f t="shared" ref="EM108:EM139" si="393">EL108-EN108</f>
        <v>0</v>
      </c>
      <c r="EN108" s="82">
        <f t="shared" ref="EN108:EN139" si="394">IF(ISTEXT(BP108),(IF(ISERROR(VLOOKUP(BP108,Ltg_IFixtureSch_PROP,2,FALSE)),0.000001,VLOOKUP(BP108,Ltg_IFixtureSch_PROP,2,FALSE)*BR108)),0)</f>
        <v>0</v>
      </c>
      <c r="EO108" s="82">
        <f t="shared" ref="EO108:EO139" si="395">IF(ISTEXT(BP108),(IF(ISERROR(VLOOKUP(BP108,Ltg_IFixtureSch_PROP,2,FALSE)),0.000001,VLOOKUP(BP108,Ltg_IFixtureSch_PROP,2,FALSE)*BS108)),0)</f>
        <v>0</v>
      </c>
      <c r="EP108" s="82">
        <f t="shared" ref="EP108:EP139" si="396">IF(ISTEXT(BT108),(IF(ISERROR(VLOOKUP(BT108,Ltg_IFixtureSch_PROP,2,FALSE)),0.000001,VLOOKUP(BT108,Ltg_IFixtureSch_PROP,2,FALSE)*BU108)),0)</f>
        <v>0</v>
      </c>
      <c r="EQ108" s="82">
        <f t="shared" ref="EQ108:EQ139" si="397">EP108-ER108</f>
        <v>0</v>
      </c>
      <c r="ER108" s="82">
        <f t="shared" ref="ER108:ER139" si="398">IF(ISTEXT(BT108),(IF(ISERROR(VLOOKUP(BT108,Ltg_IFixtureSch_PROP,2,FALSE)),0.000001,VLOOKUP(BT108,Ltg_IFixtureSch_PROP,2,FALSE)*BV108)),0)</f>
        <v>0</v>
      </c>
      <c r="ES108" s="82">
        <f t="shared" ref="ES108:ES139" si="399">IF(ISTEXT(BT108),(IF(ISERROR(VLOOKUP(BT108,Ltg_IFixtureSch_PROP,2,FALSE)),0.000001,VLOOKUP(BT108,Ltg_IFixtureSch_PROP,2,FALSE)*BW108)),0)</f>
        <v>0</v>
      </c>
      <c r="ET108" s="82">
        <f t="shared" ref="ET108:ET139" si="400">IF(ISTEXT(BX108),(IF(ISERROR(VLOOKUP(BX108,Ltg_IFixtureSch_PROP,2,FALSE)),0.000001,VLOOKUP(BX108,Ltg_IFixtureSch_PROP,2,FALSE)*BY108)),0)</f>
        <v>0</v>
      </c>
      <c r="EU108" s="82">
        <f t="shared" ref="EU108:EU139" si="401">ET108-EV108</f>
        <v>0</v>
      </c>
      <c r="EV108" s="82">
        <f t="shared" ref="EV108:EV139" si="402">IF(ISTEXT(BX108),(IF(ISERROR(VLOOKUP(BX108,Ltg_IFixtureSch_PROP,2,FALSE)),0.000001,VLOOKUP(BX108,Ltg_IFixtureSch_PROP,2,FALSE)*BZ108)),0)</f>
        <v>0</v>
      </c>
      <c r="EW108" s="82">
        <f t="shared" ref="EW108:EW139" si="403">IF(ISTEXT(BX108),(IF(ISERROR(VLOOKUP(BX108,Ltg_IFixtureSch_PROP,2,FALSE)),0.000001,VLOOKUP(BX108,Ltg_IFixtureSch_PROP,2,FALSE)*CA108)),0)</f>
        <v>0</v>
      </c>
      <c r="EX108" s="82">
        <f t="shared" ref="EX108:EX139" si="404">IF(ISTEXT(CB108),(IF(ISERROR(VLOOKUP(CB108,Ltg_IFixtureSch_PROP,2,FALSE)),0.000001,VLOOKUP(CB108,Ltg_IFixtureSch_PROP,2,FALSE)*CC108)),0)</f>
        <v>0</v>
      </c>
      <c r="EY108" s="111">
        <f t="shared" ref="EY108:EY139" si="405">SUM(CD108,CH108,CL108,CP108,CT108,CX108,DB108,DF108,DJ108,DN108,DR108,DV108,DZ108,ED108,EH108,EL108,EP108,ET108)</f>
        <v>0</v>
      </c>
      <c r="EZ108" s="143" t="e">
        <f t="shared" ref="EZ108:EZ139" ca="1" si="406">ROUND(EY108/F108,3)</f>
        <v>#N/A</v>
      </c>
      <c r="FA108" s="112" t="e">
        <f t="shared" ref="FA108:FA139" ca="1" si="407">EZ108-FB108</f>
        <v>#N/A</v>
      </c>
      <c r="FB108" s="113" t="e">
        <f t="shared" ref="FB108:FB139" ca="1" si="408">ROUND(SUM(CF108,CJ108,CN108,CR108,CV108,CZ108,DD108,DH108,DL108,DP108,DT108,DX108,EB108,EF108,EJ108,EN108,ER108,EV108)/F108,3)</f>
        <v>#N/A</v>
      </c>
      <c r="FC108" s="114" t="e">
        <f t="shared" ref="FC108:FC139" ca="1" si="409">ROUND(SUM(CG108,CK108,CO108,CS108,CW108,DA108,DE108,DI108,DM108,DQ108,DU108,DY108,EC108,EG108,EK108,EO108,ES108,EW108)/F108,3)</f>
        <v>#N/A</v>
      </c>
      <c r="FD108" s="115">
        <f t="shared" ref="FD108:FD139" ca="1" si="410">IF(ISERROR(FC108/EZ108),0,FC108/EZ108)</f>
        <v>0</v>
      </c>
      <c r="FE108" s="116" t="e">
        <f t="shared" ref="FE108:FE139" ca="1" si="411">FB108*F108</f>
        <v>#N/A</v>
      </c>
      <c r="FF108" s="117" t="e">
        <f t="shared" ref="FF108:FF139" ca="1" si="412">FC108*F108</f>
        <v>#N/A</v>
      </c>
      <c r="FG108" s="71">
        <f t="shared" ref="FG108:FG139" si="413">EX108</f>
        <v>0</v>
      </c>
      <c r="FH108" s="530" t="e">
        <f t="shared" ref="FH108:FH139" ca="1" si="414">(EY108+FG108)/F108</f>
        <v>#N/A</v>
      </c>
      <c r="FI108" s="72"/>
      <c r="FJ108" s="72"/>
      <c r="FK108" s="72"/>
      <c r="FM108" s="421">
        <f t="shared" si="318"/>
        <v>0</v>
      </c>
      <c r="FN108" s="422" t="e">
        <f t="shared" ca="1" si="319"/>
        <v>#N/A</v>
      </c>
      <c r="FO108" s="423">
        <f t="shared" ca="1" si="328"/>
        <v>0</v>
      </c>
      <c r="FP108" s="423">
        <f t="shared" ca="1" si="328"/>
        <v>0</v>
      </c>
      <c r="FQ108" s="423">
        <f t="shared" ca="1" si="328"/>
        <v>0</v>
      </c>
      <c r="FR108" s="423">
        <f t="shared" ca="1" si="328"/>
        <v>0</v>
      </c>
      <c r="FS108" s="423">
        <f t="shared" ca="1" si="328"/>
        <v>0</v>
      </c>
      <c r="FT108" s="423">
        <f t="shared" ca="1" si="328"/>
        <v>0</v>
      </c>
      <c r="FU108" s="423">
        <f t="shared" ca="1" si="328"/>
        <v>0</v>
      </c>
      <c r="FV108" s="423">
        <f t="shared" ca="1" si="328"/>
        <v>0</v>
      </c>
      <c r="FW108" s="423">
        <f t="shared" ca="1" si="328"/>
        <v>0</v>
      </c>
      <c r="FX108" s="423">
        <f t="shared" ca="1" si="328"/>
        <v>0</v>
      </c>
      <c r="FY108" s="423">
        <f t="shared" ca="1" si="328"/>
        <v>0</v>
      </c>
      <c r="FZ108" s="423">
        <f t="shared" ca="1" si="328"/>
        <v>0</v>
      </c>
      <c r="GA108" s="423">
        <f t="shared" ca="1" si="328"/>
        <v>0</v>
      </c>
      <c r="GB108" s="423">
        <f t="shared" ca="1" si="328"/>
        <v>0</v>
      </c>
      <c r="GC108" s="423">
        <f t="shared" ca="1" si="328"/>
        <v>0</v>
      </c>
      <c r="GD108" s="423">
        <f t="shared" ref="GD108:GS123" ca="1" si="415">IFERROR(ROUNDDOWN(SUMIF($H108:$CC108,GD$11,$CD108:$EX108)/GD$10,0),0)</f>
        <v>0</v>
      </c>
      <c r="GE108" s="423">
        <f t="shared" ca="1" si="415"/>
        <v>0</v>
      </c>
      <c r="GF108" s="423">
        <f t="shared" ca="1" si="415"/>
        <v>0</v>
      </c>
      <c r="GG108" s="423">
        <f t="shared" ca="1" si="415"/>
        <v>0</v>
      </c>
      <c r="GH108" s="423">
        <f t="shared" ca="1" si="415"/>
        <v>0</v>
      </c>
      <c r="GI108" s="423">
        <f t="shared" ca="1" si="415"/>
        <v>0</v>
      </c>
      <c r="GJ108" s="423">
        <f t="shared" ca="1" si="415"/>
        <v>0</v>
      </c>
      <c r="GK108" s="423">
        <f t="shared" ca="1" si="415"/>
        <v>0</v>
      </c>
      <c r="GL108" s="423">
        <f t="shared" ca="1" si="415"/>
        <v>0</v>
      </c>
      <c r="GM108" s="423">
        <f t="shared" ca="1" si="415"/>
        <v>0</v>
      </c>
      <c r="GN108" s="423">
        <f t="shared" ca="1" si="415"/>
        <v>0</v>
      </c>
      <c r="GO108" s="423">
        <f t="shared" ca="1" si="415"/>
        <v>0</v>
      </c>
      <c r="GP108" s="423">
        <f t="shared" ca="1" si="415"/>
        <v>0</v>
      </c>
      <c r="GQ108" s="423">
        <f t="shared" ca="1" si="415"/>
        <v>0</v>
      </c>
      <c r="GR108" s="423">
        <f t="shared" ca="1" si="415"/>
        <v>0</v>
      </c>
      <c r="GS108" s="423">
        <f t="shared" ca="1" si="415"/>
        <v>0</v>
      </c>
      <c r="GT108" s="423">
        <f t="shared" ref="GT108:HI123" ca="1" si="416">IFERROR(ROUNDDOWN(SUMIF($H108:$CC108,GT$11,$CD108:$EX108)/GT$10,0),0)</f>
        <v>0</v>
      </c>
      <c r="GU108" s="423">
        <f t="shared" ca="1" si="331"/>
        <v>0</v>
      </c>
      <c r="GV108" s="423">
        <f t="shared" ca="1" si="331"/>
        <v>0</v>
      </c>
      <c r="GW108" s="423">
        <f t="shared" ca="1" si="331"/>
        <v>0</v>
      </c>
      <c r="GX108" s="423">
        <f t="shared" ca="1" si="331"/>
        <v>0</v>
      </c>
      <c r="GY108" s="423">
        <f t="shared" ca="1" si="331"/>
        <v>0</v>
      </c>
      <c r="GZ108" s="423">
        <f t="shared" ca="1" si="331"/>
        <v>0</v>
      </c>
      <c r="HA108" s="423">
        <f t="shared" ca="1" si="331"/>
        <v>0</v>
      </c>
      <c r="HB108" s="423">
        <f t="shared" ca="1" si="331"/>
        <v>0</v>
      </c>
      <c r="HC108" s="423">
        <f t="shared" ca="1" si="331"/>
        <v>0</v>
      </c>
      <c r="HD108" s="423">
        <f t="shared" ca="1" si="331"/>
        <v>0</v>
      </c>
      <c r="HE108" s="423">
        <f t="shared" ca="1" si="331"/>
        <v>0</v>
      </c>
      <c r="HF108" s="423">
        <f t="shared" ca="1" si="331"/>
        <v>0</v>
      </c>
      <c r="HG108" s="423">
        <f t="shared" ca="1" si="331"/>
        <v>0</v>
      </c>
      <c r="HH108" s="423">
        <f t="shared" ca="1" si="331"/>
        <v>0</v>
      </c>
      <c r="HI108" s="423">
        <f t="shared" ca="1" si="331"/>
        <v>0</v>
      </c>
      <c r="HJ108" s="423">
        <f t="shared" ca="1" si="331"/>
        <v>0</v>
      </c>
      <c r="HK108" s="423">
        <f t="shared" ref="HK108:HT123" ca="1" si="417">IFERROR(ROUNDDOWN(SUMIF($H108:$CC108,HK$11,$CD108:$EX108)/HK$10,0),0)</f>
        <v>0</v>
      </c>
      <c r="HL108" s="423">
        <f t="shared" ca="1" si="417"/>
        <v>0</v>
      </c>
      <c r="HM108" s="423">
        <f t="shared" ca="1" si="417"/>
        <v>0</v>
      </c>
      <c r="HN108" s="423">
        <f t="shared" ca="1" si="417"/>
        <v>0</v>
      </c>
      <c r="HO108" s="423">
        <f t="shared" ca="1" si="417"/>
        <v>0</v>
      </c>
      <c r="HP108" s="423">
        <f t="shared" ca="1" si="417"/>
        <v>0</v>
      </c>
      <c r="HQ108" s="423">
        <f t="shared" ca="1" si="417"/>
        <v>0</v>
      </c>
      <c r="HR108" s="423">
        <f t="shared" ca="1" si="417"/>
        <v>0</v>
      </c>
      <c r="HS108" s="423">
        <f t="shared" ca="1" si="417"/>
        <v>0</v>
      </c>
      <c r="HT108" s="423">
        <f t="shared" ca="1" si="417"/>
        <v>0</v>
      </c>
    </row>
    <row r="109" spans="1:228" ht="11.25" customHeight="1" x14ac:dyDescent="0.2">
      <c r="A109" s="62">
        <f t="shared" si="322"/>
        <v>98</v>
      </c>
      <c r="B109" s="60">
        <f>Spaces_Sum!C154</f>
        <v>0</v>
      </c>
      <c r="C109" s="62" t="str">
        <f>Spaces_Sum!D154</f>
        <v>0</v>
      </c>
      <c r="D109" s="62" t="e">
        <f ca="1">Spaces_Sum!I154</f>
        <v>#N/A</v>
      </c>
      <c r="F109" s="110" t="e">
        <f ca="1">Spaces_Sum!M154</f>
        <v>#N/A</v>
      </c>
      <c r="G109" s="110" t="e">
        <f ca="1">Spaces_Sum!J154</f>
        <v>#N/A</v>
      </c>
      <c r="H109" s="532"/>
      <c r="I109" s="185"/>
      <c r="J109" s="185"/>
      <c r="K109" s="186"/>
      <c r="L109" s="187"/>
      <c r="M109" s="188"/>
      <c r="N109" s="189"/>
      <c r="O109" s="186"/>
      <c r="P109" s="187"/>
      <c r="Q109" s="188"/>
      <c r="R109" s="189"/>
      <c r="S109" s="186"/>
      <c r="T109" s="187"/>
      <c r="U109" s="188"/>
      <c r="V109" s="189"/>
      <c r="W109" s="186"/>
      <c r="X109" s="187"/>
      <c r="Y109" s="188"/>
      <c r="Z109" s="189"/>
      <c r="AA109" s="186"/>
      <c r="AB109" s="187"/>
      <c r="AC109" s="188"/>
      <c r="AD109" s="189"/>
      <c r="AE109" s="186"/>
      <c r="AF109" s="187"/>
      <c r="AG109" s="188"/>
      <c r="AH109" s="189"/>
      <c r="AI109" s="186"/>
      <c r="AJ109" s="187"/>
      <c r="AK109" s="188"/>
      <c r="AL109" s="189"/>
      <c r="AM109" s="186"/>
      <c r="AN109" s="187"/>
      <c r="AO109" s="188"/>
      <c r="AP109" s="189"/>
      <c r="AQ109" s="186"/>
      <c r="AR109" s="187"/>
      <c r="AS109" s="188"/>
      <c r="AT109" s="189"/>
      <c r="AU109" s="186"/>
      <c r="AV109" s="187"/>
      <c r="AW109" s="188"/>
      <c r="AX109" s="189"/>
      <c r="AY109" s="186"/>
      <c r="AZ109" s="187"/>
      <c r="BA109" s="188"/>
      <c r="BB109" s="189"/>
      <c r="BC109" s="186"/>
      <c r="BD109" s="187"/>
      <c r="BE109" s="188"/>
      <c r="BF109" s="189"/>
      <c r="BG109" s="186"/>
      <c r="BH109" s="187"/>
      <c r="BI109" s="188"/>
      <c r="BJ109" s="189"/>
      <c r="BK109" s="186"/>
      <c r="BL109" s="187"/>
      <c r="BM109" s="188"/>
      <c r="BN109" s="189"/>
      <c r="BO109" s="186"/>
      <c r="BP109" s="187"/>
      <c r="BQ109" s="188"/>
      <c r="BR109" s="189"/>
      <c r="BS109" s="186"/>
      <c r="BT109" s="187"/>
      <c r="BU109" s="188"/>
      <c r="BV109" s="189"/>
      <c r="BW109" s="186"/>
      <c r="BX109" s="187"/>
      <c r="BY109" s="188"/>
      <c r="BZ109" s="189"/>
      <c r="CA109" s="186"/>
      <c r="CB109" s="190"/>
      <c r="CC109" s="190"/>
      <c r="CD109" s="82">
        <f t="shared" si="332"/>
        <v>0</v>
      </c>
      <c r="CE109" s="82">
        <f t="shared" si="333"/>
        <v>0</v>
      </c>
      <c r="CF109" s="82">
        <f t="shared" si="334"/>
        <v>0</v>
      </c>
      <c r="CG109" s="82">
        <f t="shared" si="335"/>
        <v>0</v>
      </c>
      <c r="CH109" s="82">
        <f t="shared" si="336"/>
        <v>0</v>
      </c>
      <c r="CI109" s="82">
        <f t="shared" si="337"/>
        <v>0</v>
      </c>
      <c r="CJ109" s="82">
        <f t="shared" si="338"/>
        <v>0</v>
      </c>
      <c r="CK109" s="82">
        <f t="shared" si="339"/>
        <v>0</v>
      </c>
      <c r="CL109" s="82">
        <f t="shared" si="340"/>
        <v>0</v>
      </c>
      <c r="CM109" s="82">
        <f t="shared" si="341"/>
        <v>0</v>
      </c>
      <c r="CN109" s="82">
        <f t="shared" si="342"/>
        <v>0</v>
      </c>
      <c r="CO109" s="82">
        <f t="shared" si="343"/>
        <v>0</v>
      </c>
      <c r="CP109" s="82">
        <f t="shared" si="344"/>
        <v>0</v>
      </c>
      <c r="CQ109" s="82">
        <f t="shared" si="345"/>
        <v>0</v>
      </c>
      <c r="CR109" s="82">
        <f t="shared" si="346"/>
        <v>0</v>
      </c>
      <c r="CS109" s="82">
        <f t="shared" si="347"/>
        <v>0</v>
      </c>
      <c r="CT109" s="82">
        <f t="shared" si="348"/>
        <v>0</v>
      </c>
      <c r="CU109" s="82">
        <f t="shared" si="349"/>
        <v>0</v>
      </c>
      <c r="CV109" s="82">
        <f t="shared" si="350"/>
        <v>0</v>
      </c>
      <c r="CW109" s="82">
        <f t="shared" si="351"/>
        <v>0</v>
      </c>
      <c r="CX109" s="82">
        <f t="shared" si="352"/>
        <v>0</v>
      </c>
      <c r="CY109" s="82">
        <f t="shared" si="353"/>
        <v>0</v>
      </c>
      <c r="CZ109" s="82">
        <f t="shared" si="354"/>
        <v>0</v>
      </c>
      <c r="DA109" s="82">
        <f t="shared" si="355"/>
        <v>0</v>
      </c>
      <c r="DB109" s="82">
        <f t="shared" si="356"/>
        <v>0</v>
      </c>
      <c r="DC109" s="82">
        <f t="shared" si="357"/>
        <v>0</v>
      </c>
      <c r="DD109" s="82">
        <f t="shared" si="358"/>
        <v>0</v>
      </c>
      <c r="DE109" s="82">
        <f t="shared" si="359"/>
        <v>0</v>
      </c>
      <c r="DF109" s="82">
        <f t="shared" si="360"/>
        <v>0</v>
      </c>
      <c r="DG109" s="82">
        <f t="shared" si="361"/>
        <v>0</v>
      </c>
      <c r="DH109" s="82">
        <f t="shared" si="362"/>
        <v>0</v>
      </c>
      <c r="DI109" s="82">
        <f t="shared" si="363"/>
        <v>0</v>
      </c>
      <c r="DJ109" s="82">
        <f t="shared" si="364"/>
        <v>0</v>
      </c>
      <c r="DK109" s="82">
        <f t="shared" si="365"/>
        <v>0</v>
      </c>
      <c r="DL109" s="82">
        <f t="shared" si="366"/>
        <v>0</v>
      </c>
      <c r="DM109" s="82">
        <f t="shared" si="367"/>
        <v>0</v>
      </c>
      <c r="DN109" s="82">
        <f t="shared" si="368"/>
        <v>0</v>
      </c>
      <c r="DO109" s="82">
        <f t="shared" si="369"/>
        <v>0</v>
      </c>
      <c r="DP109" s="82">
        <f t="shared" si="370"/>
        <v>0</v>
      </c>
      <c r="DQ109" s="82">
        <f t="shared" si="371"/>
        <v>0</v>
      </c>
      <c r="DR109" s="82">
        <f t="shared" si="372"/>
        <v>0</v>
      </c>
      <c r="DS109" s="82">
        <f t="shared" si="373"/>
        <v>0</v>
      </c>
      <c r="DT109" s="82">
        <f t="shared" si="374"/>
        <v>0</v>
      </c>
      <c r="DU109" s="82">
        <f t="shared" si="375"/>
        <v>0</v>
      </c>
      <c r="DV109" s="82">
        <f t="shared" si="376"/>
        <v>0</v>
      </c>
      <c r="DW109" s="82">
        <f t="shared" si="377"/>
        <v>0</v>
      </c>
      <c r="DX109" s="82">
        <f t="shared" si="378"/>
        <v>0</v>
      </c>
      <c r="DY109" s="82">
        <f t="shared" si="379"/>
        <v>0</v>
      </c>
      <c r="DZ109" s="82">
        <f t="shared" si="380"/>
        <v>0</v>
      </c>
      <c r="EA109" s="82">
        <f t="shared" si="381"/>
        <v>0</v>
      </c>
      <c r="EB109" s="82">
        <f t="shared" si="382"/>
        <v>0</v>
      </c>
      <c r="EC109" s="82">
        <f t="shared" si="383"/>
        <v>0</v>
      </c>
      <c r="ED109" s="82">
        <f t="shared" si="384"/>
        <v>0</v>
      </c>
      <c r="EE109" s="82">
        <f t="shared" si="385"/>
        <v>0</v>
      </c>
      <c r="EF109" s="82">
        <f t="shared" si="386"/>
        <v>0</v>
      </c>
      <c r="EG109" s="82">
        <f t="shared" si="387"/>
        <v>0</v>
      </c>
      <c r="EH109" s="82">
        <f t="shared" si="388"/>
        <v>0</v>
      </c>
      <c r="EI109" s="82">
        <f t="shared" si="389"/>
        <v>0</v>
      </c>
      <c r="EJ109" s="82">
        <f t="shared" si="390"/>
        <v>0</v>
      </c>
      <c r="EK109" s="82">
        <f t="shared" si="391"/>
        <v>0</v>
      </c>
      <c r="EL109" s="82">
        <f t="shared" si="392"/>
        <v>0</v>
      </c>
      <c r="EM109" s="82">
        <f t="shared" si="393"/>
        <v>0</v>
      </c>
      <c r="EN109" s="82">
        <f t="shared" si="394"/>
        <v>0</v>
      </c>
      <c r="EO109" s="82">
        <f t="shared" si="395"/>
        <v>0</v>
      </c>
      <c r="EP109" s="82">
        <f t="shared" si="396"/>
        <v>0</v>
      </c>
      <c r="EQ109" s="82">
        <f t="shared" si="397"/>
        <v>0</v>
      </c>
      <c r="ER109" s="82">
        <f t="shared" si="398"/>
        <v>0</v>
      </c>
      <c r="ES109" s="82">
        <f t="shared" si="399"/>
        <v>0</v>
      </c>
      <c r="ET109" s="82">
        <f t="shared" si="400"/>
        <v>0</v>
      </c>
      <c r="EU109" s="82">
        <f t="shared" si="401"/>
        <v>0</v>
      </c>
      <c r="EV109" s="82">
        <f t="shared" si="402"/>
        <v>0</v>
      </c>
      <c r="EW109" s="82">
        <f t="shared" si="403"/>
        <v>0</v>
      </c>
      <c r="EX109" s="82">
        <f t="shared" si="404"/>
        <v>0</v>
      </c>
      <c r="EY109" s="111">
        <f t="shared" si="405"/>
        <v>0</v>
      </c>
      <c r="EZ109" s="143" t="e">
        <f t="shared" ca="1" si="406"/>
        <v>#N/A</v>
      </c>
      <c r="FA109" s="112" t="e">
        <f t="shared" ca="1" si="407"/>
        <v>#N/A</v>
      </c>
      <c r="FB109" s="113" t="e">
        <f t="shared" ca="1" si="408"/>
        <v>#N/A</v>
      </c>
      <c r="FC109" s="114" t="e">
        <f t="shared" ca="1" si="409"/>
        <v>#N/A</v>
      </c>
      <c r="FD109" s="115">
        <f t="shared" ca="1" si="410"/>
        <v>0</v>
      </c>
      <c r="FE109" s="116" t="e">
        <f t="shared" ca="1" si="411"/>
        <v>#N/A</v>
      </c>
      <c r="FF109" s="117" t="e">
        <f t="shared" ca="1" si="412"/>
        <v>#N/A</v>
      </c>
      <c r="FG109" s="71">
        <f t="shared" si="413"/>
        <v>0</v>
      </c>
      <c r="FH109" s="530" t="e">
        <f t="shared" ca="1" si="414"/>
        <v>#N/A</v>
      </c>
      <c r="FI109" s="72"/>
      <c r="FJ109" s="72"/>
      <c r="FK109" s="72"/>
      <c r="FM109" s="421">
        <f t="shared" si="318"/>
        <v>0</v>
      </c>
      <c r="FN109" s="422" t="e">
        <f t="shared" ca="1" si="319"/>
        <v>#N/A</v>
      </c>
      <c r="FO109" s="423">
        <f t="shared" ref="FO109:GD124" ca="1" si="418">IFERROR(ROUNDDOWN(SUMIF($H109:$CC109,FO$11,$CD109:$EX109)/FO$10,0),0)</f>
        <v>0</v>
      </c>
      <c r="FP109" s="423">
        <f t="shared" ca="1" si="418"/>
        <v>0</v>
      </c>
      <c r="FQ109" s="423">
        <f t="shared" ca="1" si="418"/>
        <v>0</v>
      </c>
      <c r="FR109" s="423">
        <f t="shared" ca="1" si="418"/>
        <v>0</v>
      </c>
      <c r="FS109" s="423">
        <f t="shared" ca="1" si="418"/>
        <v>0</v>
      </c>
      <c r="FT109" s="423">
        <f t="shared" ca="1" si="418"/>
        <v>0</v>
      </c>
      <c r="FU109" s="423">
        <f t="shared" ca="1" si="418"/>
        <v>0</v>
      </c>
      <c r="FV109" s="423">
        <f t="shared" ca="1" si="418"/>
        <v>0</v>
      </c>
      <c r="FW109" s="423">
        <f t="shared" ca="1" si="418"/>
        <v>0</v>
      </c>
      <c r="FX109" s="423">
        <f t="shared" ca="1" si="418"/>
        <v>0</v>
      </c>
      <c r="FY109" s="423">
        <f t="shared" ca="1" si="418"/>
        <v>0</v>
      </c>
      <c r="FZ109" s="423">
        <f t="shared" ca="1" si="418"/>
        <v>0</v>
      </c>
      <c r="GA109" s="423">
        <f t="shared" ca="1" si="418"/>
        <v>0</v>
      </c>
      <c r="GB109" s="423">
        <f t="shared" ca="1" si="418"/>
        <v>0</v>
      </c>
      <c r="GC109" s="423">
        <f t="shared" ca="1" si="418"/>
        <v>0</v>
      </c>
      <c r="GD109" s="423">
        <f t="shared" ca="1" si="415"/>
        <v>0</v>
      </c>
      <c r="GE109" s="423">
        <f t="shared" ca="1" si="415"/>
        <v>0</v>
      </c>
      <c r="GF109" s="423">
        <f t="shared" ca="1" si="415"/>
        <v>0</v>
      </c>
      <c r="GG109" s="423">
        <f t="shared" ca="1" si="415"/>
        <v>0</v>
      </c>
      <c r="GH109" s="423">
        <f t="shared" ca="1" si="415"/>
        <v>0</v>
      </c>
      <c r="GI109" s="423">
        <f t="shared" ca="1" si="415"/>
        <v>0</v>
      </c>
      <c r="GJ109" s="423">
        <f t="shared" ca="1" si="415"/>
        <v>0</v>
      </c>
      <c r="GK109" s="423">
        <f t="shared" ca="1" si="415"/>
        <v>0</v>
      </c>
      <c r="GL109" s="423">
        <f t="shared" ca="1" si="415"/>
        <v>0</v>
      </c>
      <c r="GM109" s="423">
        <f t="shared" ca="1" si="415"/>
        <v>0</v>
      </c>
      <c r="GN109" s="423">
        <f t="shared" ca="1" si="415"/>
        <v>0</v>
      </c>
      <c r="GO109" s="423">
        <f t="shared" ca="1" si="415"/>
        <v>0</v>
      </c>
      <c r="GP109" s="423">
        <f t="shared" ca="1" si="415"/>
        <v>0</v>
      </c>
      <c r="GQ109" s="423">
        <f t="shared" ca="1" si="415"/>
        <v>0</v>
      </c>
      <c r="GR109" s="423">
        <f t="shared" ca="1" si="415"/>
        <v>0</v>
      </c>
      <c r="GS109" s="423">
        <f t="shared" ca="1" si="415"/>
        <v>0</v>
      </c>
      <c r="GT109" s="423">
        <f t="shared" ca="1" si="416"/>
        <v>0</v>
      </c>
      <c r="GU109" s="423">
        <f t="shared" ca="1" si="331"/>
        <v>0</v>
      </c>
      <c r="GV109" s="423">
        <f t="shared" ca="1" si="331"/>
        <v>0</v>
      </c>
      <c r="GW109" s="423">
        <f t="shared" ca="1" si="331"/>
        <v>0</v>
      </c>
      <c r="GX109" s="423">
        <f t="shared" ca="1" si="331"/>
        <v>0</v>
      </c>
      <c r="GY109" s="423">
        <f t="shared" ca="1" si="331"/>
        <v>0</v>
      </c>
      <c r="GZ109" s="423">
        <f t="shared" ca="1" si="331"/>
        <v>0</v>
      </c>
      <c r="HA109" s="423">
        <f t="shared" ca="1" si="331"/>
        <v>0</v>
      </c>
      <c r="HB109" s="423">
        <f t="shared" ca="1" si="331"/>
        <v>0</v>
      </c>
      <c r="HC109" s="423">
        <f t="shared" ca="1" si="331"/>
        <v>0</v>
      </c>
      <c r="HD109" s="423">
        <f t="shared" ca="1" si="331"/>
        <v>0</v>
      </c>
      <c r="HE109" s="423">
        <f t="shared" ca="1" si="331"/>
        <v>0</v>
      </c>
      <c r="HF109" s="423">
        <f t="shared" ca="1" si="331"/>
        <v>0</v>
      </c>
      <c r="HG109" s="423">
        <f t="shared" ca="1" si="331"/>
        <v>0</v>
      </c>
      <c r="HH109" s="423">
        <f t="shared" ca="1" si="331"/>
        <v>0</v>
      </c>
      <c r="HI109" s="423">
        <f t="shared" ca="1" si="331"/>
        <v>0</v>
      </c>
      <c r="HJ109" s="423">
        <f t="shared" ca="1" si="331"/>
        <v>0</v>
      </c>
      <c r="HK109" s="423">
        <f t="shared" ca="1" si="417"/>
        <v>0</v>
      </c>
      <c r="HL109" s="423">
        <f t="shared" ca="1" si="417"/>
        <v>0</v>
      </c>
      <c r="HM109" s="423">
        <f t="shared" ca="1" si="417"/>
        <v>0</v>
      </c>
      <c r="HN109" s="423">
        <f t="shared" ca="1" si="417"/>
        <v>0</v>
      </c>
      <c r="HO109" s="423">
        <f t="shared" ca="1" si="417"/>
        <v>0</v>
      </c>
      <c r="HP109" s="423">
        <f t="shared" ca="1" si="417"/>
        <v>0</v>
      </c>
      <c r="HQ109" s="423">
        <f t="shared" ca="1" si="417"/>
        <v>0</v>
      </c>
      <c r="HR109" s="423">
        <f t="shared" ca="1" si="417"/>
        <v>0</v>
      </c>
      <c r="HS109" s="423">
        <f t="shared" ca="1" si="417"/>
        <v>0</v>
      </c>
      <c r="HT109" s="423">
        <f t="shared" ca="1" si="417"/>
        <v>0</v>
      </c>
    </row>
    <row r="110" spans="1:228" ht="11.25" customHeight="1" x14ac:dyDescent="0.2">
      <c r="A110" s="62">
        <f t="shared" si="322"/>
        <v>99</v>
      </c>
      <c r="B110" s="60">
        <f>Spaces_Sum!C155</f>
        <v>0</v>
      </c>
      <c r="C110" s="62" t="str">
        <f>Spaces_Sum!D155</f>
        <v>0</v>
      </c>
      <c r="D110" s="62" t="e">
        <f ca="1">Spaces_Sum!I155</f>
        <v>#N/A</v>
      </c>
      <c r="F110" s="110" t="e">
        <f ca="1">Spaces_Sum!M155</f>
        <v>#N/A</v>
      </c>
      <c r="G110" s="110" t="e">
        <f ca="1">Spaces_Sum!J155</f>
        <v>#N/A</v>
      </c>
      <c r="H110" s="532"/>
      <c r="I110" s="185"/>
      <c r="J110" s="185"/>
      <c r="K110" s="186"/>
      <c r="L110" s="187"/>
      <c r="M110" s="188"/>
      <c r="N110" s="189"/>
      <c r="O110" s="186"/>
      <c r="P110" s="187"/>
      <c r="Q110" s="188"/>
      <c r="R110" s="189"/>
      <c r="S110" s="186"/>
      <c r="T110" s="187"/>
      <c r="U110" s="188"/>
      <c r="V110" s="189"/>
      <c r="W110" s="186"/>
      <c r="X110" s="187"/>
      <c r="Y110" s="188"/>
      <c r="Z110" s="189"/>
      <c r="AA110" s="186"/>
      <c r="AB110" s="187"/>
      <c r="AC110" s="188"/>
      <c r="AD110" s="189"/>
      <c r="AE110" s="186"/>
      <c r="AF110" s="187"/>
      <c r="AG110" s="188"/>
      <c r="AH110" s="189"/>
      <c r="AI110" s="186"/>
      <c r="AJ110" s="187"/>
      <c r="AK110" s="188"/>
      <c r="AL110" s="189"/>
      <c r="AM110" s="186"/>
      <c r="AN110" s="187"/>
      <c r="AO110" s="188"/>
      <c r="AP110" s="189"/>
      <c r="AQ110" s="186"/>
      <c r="AR110" s="187"/>
      <c r="AS110" s="188"/>
      <c r="AT110" s="189"/>
      <c r="AU110" s="186"/>
      <c r="AV110" s="187"/>
      <c r="AW110" s="188"/>
      <c r="AX110" s="189"/>
      <c r="AY110" s="186"/>
      <c r="AZ110" s="187"/>
      <c r="BA110" s="188"/>
      <c r="BB110" s="189"/>
      <c r="BC110" s="186"/>
      <c r="BD110" s="187"/>
      <c r="BE110" s="188"/>
      <c r="BF110" s="189"/>
      <c r="BG110" s="186"/>
      <c r="BH110" s="187"/>
      <c r="BI110" s="188"/>
      <c r="BJ110" s="189"/>
      <c r="BK110" s="186"/>
      <c r="BL110" s="187"/>
      <c r="BM110" s="188"/>
      <c r="BN110" s="189"/>
      <c r="BO110" s="186"/>
      <c r="BP110" s="187"/>
      <c r="BQ110" s="188"/>
      <c r="BR110" s="189"/>
      <c r="BS110" s="186"/>
      <c r="BT110" s="187"/>
      <c r="BU110" s="188"/>
      <c r="BV110" s="189"/>
      <c r="BW110" s="186"/>
      <c r="BX110" s="187"/>
      <c r="BY110" s="188"/>
      <c r="BZ110" s="189"/>
      <c r="CA110" s="186"/>
      <c r="CB110" s="190"/>
      <c r="CC110" s="190"/>
      <c r="CD110" s="82">
        <f t="shared" si="332"/>
        <v>0</v>
      </c>
      <c r="CE110" s="82">
        <f t="shared" si="333"/>
        <v>0</v>
      </c>
      <c r="CF110" s="82">
        <f t="shared" si="334"/>
        <v>0</v>
      </c>
      <c r="CG110" s="82">
        <f t="shared" si="335"/>
        <v>0</v>
      </c>
      <c r="CH110" s="82">
        <f t="shared" si="336"/>
        <v>0</v>
      </c>
      <c r="CI110" s="82">
        <f t="shared" si="337"/>
        <v>0</v>
      </c>
      <c r="CJ110" s="82">
        <f t="shared" si="338"/>
        <v>0</v>
      </c>
      <c r="CK110" s="82">
        <f t="shared" si="339"/>
        <v>0</v>
      </c>
      <c r="CL110" s="82">
        <f t="shared" si="340"/>
        <v>0</v>
      </c>
      <c r="CM110" s="82">
        <f t="shared" si="341"/>
        <v>0</v>
      </c>
      <c r="CN110" s="82">
        <f t="shared" si="342"/>
        <v>0</v>
      </c>
      <c r="CO110" s="82">
        <f t="shared" si="343"/>
        <v>0</v>
      </c>
      <c r="CP110" s="82">
        <f t="shared" si="344"/>
        <v>0</v>
      </c>
      <c r="CQ110" s="82">
        <f t="shared" si="345"/>
        <v>0</v>
      </c>
      <c r="CR110" s="82">
        <f t="shared" si="346"/>
        <v>0</v>
      </c>
      <c r="CS110" s="82">
        <f t="shared" si="347"/>
        <v>0</v>
      </c>
      <c r="CT110" s="82">
        <f t="shared" si="348"/>
        <v>0</v>
      </c>
      <c r="CU110" s="82">
        <f t="shared" si="349"/>
        <v>0</v>
      </c>
      <c r="CV110" s="82">
        <f t="shared" si="350"/>
        <v>0</v>
      </c>
      <c r="CW110" s="82">
        <f t="shared" si="351"/>
        <v>0</v>
      </c>
      <c r="CX110" s="82">
        <f t="shared" si="352"/>
        <v>0</v>
      </c>
      <c r="CY110" s="82">
        <f t="shared" si="353"/>
        <v>0</v>
      </c>
      <c r="CZ110" s="82">
        <f t="shared" si="354"/>
        <v>0</v>
      </c>
      <c r="DA110" s="82">
        <f t="shared" si="355"/>
        <v>0</v>
      </c>
      <c r="DB110" s="82">
        <f t="shared" si="356"/>
        <v>0</v>
      </c>
      <c r="DC110" s="82">
        <f t="shared" si="357"/>
        <v>0</v>
      </c>
      <c r="DD110" s="82">
        <f t="shared" si="358"/>
        <v>0</v>
      </c>
      <c r="DE110" s="82">
        <f t="shared" si="359"/>
        <v>0</v>
      </c>
      <c r="DF110" s="82">
        <f t="shared" si="360"/>
        <v>0</v>
      </c>
      <c r="DG110" s="82">
        <f t="shared" si="361"/>
        <v>0</v>
      </c>
      <c r="DH110" s="82">
        <f t="shared" si="362"/>
        <v>0</v>
      </c>
      <c r="DI110" s="82">
        <f t="shared" si="363"/>
        <v>0</v>
      </c>
      <c r="DJ110" s="82">
        <f t="shared" si="364"/>
        <v>0</v>
      </c>
      <c r="DK110" s="82">
        <f t="shared" si="365"/>
        <v>0</v>
      </c>
      <c r="DL110" s="82">
        <f t="shared" si="366"/>
        <v>0</v>
      </c>
      <c r="DM110" s="82">
        <f t="shared" si="367"/>
        <v>0</v>
      </c>
      <c r="DN110" s="82">
        <f t="shared" si="368"/>
        <v>0</v>
      </c>
      <c r="DO110" s="82">
        <f t="shared" si="369"/>
        <v>0</v>
      </c>
      <c r="DP110" s="82">
        <f t="shared" si="370"/>
        <v>0</v>
      </c>
      <c r="DQ110" s="82">
        <f t="shared" si="371"/>
        <v>0</v>
      </c>
      <c r="DR110" s="82">
        <f t="shared" si="372"/>
        <v>0</v>
      </c>
      <c r="DS110" s="82">
        <f t="shared" si="373"/>
        <v>0</v>
      </c>
      <c r="DT110" s="82">
        <f t="shared" si="374"/>
        <v>0</v>
      </c>
      <c r="DU110" s="82">
        <f t="shared" si="375"/>
        <v>0</v>
      </c>
      <c r="DV110" s="82">
        <f t="shared" si="376"/>
        <v>0</v>
      </c>
      <c r="DW110" s="82">
        <f t="shared" si="377"/>
        <v>0</v>
      </c>
      <c r="DX110" s="82">
        <f t="shared" si="378"/>
        <v>0</v>
      </c>
      <c r="DY110" s="82">
        <f t="shared" si="379"/>
        <v>0</v>
      </c>
      <c r="DZ110" s="82">
        <f t="shared" si="380"/>
        <v>0</v>
      </c>
      <c r="EA110" s="82">
        <f t="shared" si="381"/>
        <v>0</v>
      </c>
      <c r="EB110" s="82">
        <f t="shared" si="382"/>
        <v>0</v>
      </c>
      <c r="EC110" s="82">
        <f t="shared" si="383"/>
        <v>0</v>
      </c>
      <c r="ED110" s="82">
        <f t="shared" si="384"/>
        <v>0</v>
      </c>
      <c r="EE110" s="82">
        <f t="shared" si="385"/>
        <v>0</v>
      </c>
      <c r="EF110" s="82">
        <f t="shared" si="386"/>
        <v>0</v>
      </c>
      <c r="EG110" s="82">
        <f t="shared" si="387"/>
        <v>0</v>
      </c>
      <c r="EH110" s="82">
        <f t="shared" si="388"/>
        <v>0</v>
      </c>
      <c r="EI110" s="82">
        <f t="shared" si="389"/>
        <v>0</v>
      </c>
      <c r="EJ110" s="82">
        <f t="shared" si="390"/>
        <v>0</v>
      </c>
      <c r="EK110" s="82">
        <f t="shared" si="391"/>
        <v>0</v>
      </c>
      <c r="EL110" s="82">
        <f t="shared" si="392"/>
        <v>0</v>
      </c>
      <c r="EM110" s="82">
        <f t="shared" si="393"/>
        <v>0</v>
      </c>
      <c r="EN110" s="82">
        <f t="shared" si="394"/>
        <v>0</v>
      </c>
      <c r="EO110" s="82">
        <f t="shared" si="395"/>
        <v>0</v>
      </c>
      <c r="EP110" s="82">
        <f t="shared" si="396"/>
        <v>0</v>
      </c>
      <c r="EQ110" s="82">
        <f t="shared" si="397"/>
        <v>0</v>
      </c>
      <c r="ER110" s="82">
        <f t="shared" si="398"/>
        <v>0</v>
      </c>
      <c r="ES110" s="82">
        <f t="shared" si="399"/>
        <v>0</v>
      </c>
      <c r="ET110" s="82">
        <f t="shared" si="400"/>
        <v>0</v>
      </c>
      <c r="EU110" s="82">
        <f t="shared" si="401"/>
        <v>0</v>
      </c>
      <c r="EV110" s="82">
        <f t="shared" si="402"/>
        <v>0</v>
      </c>
      <c r="EW110" s="82">
        <f t="shared" si="403"/>
        <v>0</v>
      </c>
      <c r="EX110" s="82">
        <f t="shared" si="404"/>
        <v>0</v>
      </c>
      <c r="EY110" s="111">
        <f t="shared" si="405"/>
        <v>0</v>
      </c>
      <c r="EZ110" s="143" t="e">
        <f t="shared" ca="1" si="406"/>
        <v>#N/A</v>
      </c>
      <c r="FA110" s="112" t="e">
        <f t="shared" ca="1" si="407"/>
        <v>#N/A</v>
      </c>
      <c r="FB110" s="113" t="e">
        <f t="shared" ca="1" si="408"/>
        <v>#N/A</v>
      </c>
      <c r="FC110" s="114" t="e">
        <f t="shared" ca="1" si="409"/>
        <v>#N/A</v>
      </c>
      <c r="FD110" s="115">
        <f t="shared" ca="1" si="410"/>
        <v>0</v>
      </c>
      <c r="FE110" s="116" t="e">
        <f t="shared" ca="1" si="411"/>
        <v>#N/A</v>
      </c>
      <c r="FF110" s="117" t="e">
        <f t="shared" ca="1" si="412"/>
        <v>#N/A</v>
      </c>
      <c r="FG110" s="71">
        <f t="shared" si="413"/>
        <v>0</v>
      </c>
      <c r="FH110" s="530" t="e">
        <f t="shared" ca="1" si="414"/>
        <v>#N/A</v>
      </c>
      <c r="FI110" s="72"/>
      <c r="FJ110" s="72"/>
      <c r="FK110" s="72"/>
      <c r="FM110" s="421">
        <f t="shared" si="318"/>
        <v>0</v>
      </c>
      <c r="FN110" s="422" t="e">
        <f t="shared" ca="1" si="319"/>
        <v>#N/A</v>
      </c>
      <c r="FO110" s="423">
        <f t="shared" ca="1" si="418"/>
        <v>0</v>
      </c>
      <c r="FP110" s="423">
        <f t="shared" ca="1" si="418"/>
        <v>0</v>
      </c>
      <c r="FQ110" s="423">
        <f t="shared" ca="1" si="418"/>
        <v>0</v>
      </c>
      <c r="FR110" s="423">
        <f t="shared" ca="1" si="418"/>
        <v>0</v>
      </c>
      <c r="FS110" s="423">
        <f t="shared" ca="1" si="418"/>
        <v>0</v>
      </c>
      <c r="FT110" s="423">
        <f t="shared" ca="1" si="418"/>
        <v>0</v>
      </c>
      <c r="FU110" s="423">
        <f t="shared" ca="1" si="418"/>
        <v>0</v>
      </c>
      <c r="FV110" s="423">
        <f t="shared" ca="1" si="418"/>
        <v>0</v>
      </c>
      <c r="FW110" s="423">
        <f t="shared" ca="1" si="418"/>
        <v>0</v>
      </c>
      <c r="FX110" s="423">
        <f t="shared" ca="1" si="418"/>
        <v>0</v>
      </c>
      <c r="FY110" s="423">
        <f t="shared" ca="1" si="418"/>
        <v>0</v>
      </c>
      <c r="FZ110" s="423">
        <f t="shared" ca="1" si="418"/>
        <v>0</v>
      </c>
      <c r="GA110" s="423">
        <f t="shared" ca="1" si="418"/>
        <v>0</v>
      </c>
      <c r="GB110" s="423">
        <f t="shared" ca="1" si="418"/>
        <v>0</v>
      </c>
      <c r="GC110" s="423">
        <f t="shared" ca="1" si="418"/>
        <v>0</v>
      </c>
      <c r="GD110" s="423">
        <f t="shared" ca="1" si="415"/>
        <v>0</v>
      </c>
      <c r="GE110" s="423">
        <f t="shared" ca="1" si="415"/>
        <v>0</v>
      </c>
      <c r="GF110" s="423">
        <f t="shared" ca="1" si="415"/>
        <v>0</v>
      </c>
      <c r="GG110" s="423">
        <f t="shared" ca="1" si="415"/>
        <v>0</v>
      </c>
      <c r="GH110" s="423">
        <f t="shared" ca="1" si="415"/>
        <v>0</v>
      </c>
      <c r="GI110" s="423">
        <f t="shared" ca="1" si="415"/>
        <v>0</v>
      </c>
      <c r="GJ110" s="423">
        <f t="shared" ca="1" si="415"/>
        <v>0</v>
      </c>
      <c r="GK110" s="423">
        <f t="shared" ca="1" si="415"/>
        <v>0</v>
      </c>
      <c r="GL110" s="423">
        <f t="shared" ca="1" si="415"/>
        <v>0</v>
      </c>
      <c r="GM110" s="423">
        <f t="shared" ca="1" si="415"/>
        <v>0</v>
      </c>
      <c r="GN110" s="423">
        <f t="shared" ca="1" si="415"/>
        <v>0</v>
      </c>
      <c r="GO110" s="423">
        <f t="shared" ca="1" si="415"/>
        <v>0</v>
      </c>
      <c r="GP110" s="423">
        <f t="shared" ca="1" si="415"/>
        <v>0</v>
      </c>
      <c r="GQ110" s="423">
        <f t="shared" ca="1" si="415"/>
        <v>0</v>
      </c>
      <c r="GR110" s="423">
        <f t="shared" ca="1" si="415"/>
        <v>0</v>
      </c>
      <c r="GS110" s="423">
        <f t="shared" ca="1" si="415"/>
        <v>0</v>
      </c>
      <c r="GT110" s="423">
        <f t="shared" ca="1" si="416"/>
        <v>0</v>
      </c>
      <c r="GU110" s="423">
        <f t="shared" ca="1" si="331"/>
        <v>0</v>
      </c>
      <c r="GV110" s="423">
        <f t="shared" ca="1" si="331"/>
        <v>0</v>
      </c>
      <c r="GW110" s="423">
        <f t="shared" ca="1" si="331"/>
        <v>0</v>
      </c>
      <c r="GX110" s="423">
        <f t="shared" ca="1" si="331"/>
        <v>0</v>
      </c>
      <c r="GY110" s="423">
        <f t="shared" ca="1" si="331"/>
        <v>0</v>
      </c>
      <c r="GZ110" s="423">
        <f t="shared" ca="1" si="331"/>
        <v>0</v>
      </c>
      <c r="HA110" s="423">
        <f t="shared" ca="1" si="331"/>
        <v>0</v>
      </c>
      <c r="HB110" s="423">
        <f t="shared" ca="1" si="331"/>
        <v>0</v>
      </c>
      <c r="HC110" s="423">
        <f t="shared" ca="1" si="331"/>
        <v>0</v>
      </c>
      <c r="HD110" s="423">
        <f t="shared" ca="1" si="331"/>
        <v>0</v>
      </c>
      <c r="HE110" s="423">
        <f t="shared" ca="1" si="331"/>
        <v>0</v>
      </c>
      <c r="HF110" s="423">
        <f t="shared" ca="1" si="331"/>
        <v>0</v>
      </c>
      <c r="HG110" s="423">
        <f t="shared" ca="1" si="331"/>
        <v>0</v>
      </c>
      <c r="HH110" s="423">
        <f t="shared" ca="1" si="331"/>
        <v>0</v>
      </c>
      <c r="HI110" s="423">
        <f t="shared" ca="1" si="331"/>
        <v>0</v>
      </c>
      <c r="HJ110" s="423">
        <f t="shared" ca="1" si="331"/>
        <v>0</v>
      </c>
      <c r="HK110" s="423">
        <f t="shared" ca="1" si="417"/>
        <v>0</v>
      </c>
      <c r="HL110" s="423">
        <f t="shared" ca="1" si="417"/>
        <v>0</v>
      </c>
      <c r="HM110" s="423">
        <f t="shared" ca="1" si="417"/>
        <v>0</v>
      </c>
      <c r="HN110" s="423">
        <f t="shared" ca="1" si="417"/>
        <v>0</v>
      </c>
      <c r="HO110" s="423">
        <f t="shared" ca="1" si="417"/>
        <v>0</v>
      </c>
      <c r="HP110" s="423">
        <f t="shared" ca="1" si="417"/>
        <v>0</v>
      </c>
      <c r="HQ110" s="423">
        <f t="shared" ca="1" si="417"/>
        <v>0</v>
      </c>
      <c r="HR110" s="423">
        <f t="shared" ca="1" si="417"/>
        <v>0</v>
      </c>
      <c r="HS110" s="423">
        <f t="shared" ca="1" si="417"/>
        <v>0</v>
      </c>
      <c r="HT110" s="423">
        <f t="shared" ca="1" si="417"/>
        <v>0</v>
      </c>
    </row>
    <row r="111" spans="1:228" ht="11.25" customHeight="1" x14ac:dyDescent="0.2">
      <c r="A111" s="62">
        <f t="shared" si="322"/>
        <v>100</v>
      </c>
      <c r="B111" s="60">
        <f>Spaces_Sum!C156</f>
        <v>0</v>
      </c>
      <c r="C111" s="62" t="str">
        <f>Spaces_Sum!D156</f>
        <v>0</v>
      </c>
      <c r="D111" s="62" t="e">
        <f ca="1">Spaces_Sum!I156</f>
        <v>#N/A</v>
      </c>
      <c r="F111" s="110" t="e">
        <f ca="1">Spaces_Sum!M156</f>
        <v>#N/A</v>
      </c>
      <c r="G111" s="110" t="e">
        <f ca="1">Spaces_Sum!J156</f>
        <v>#N/A</v>
      </c>
      <c r="H111" s="532"/>
      <c r="I111" s="185"/>
      <c r="J111" s="185"/>
      <c r="K111" s="186"/>
      <c r="L111" s="187"/>
      <c r="M111" s="188"/>
      <c r="N111" s="189"/>
      <c r="O111" s="186"/>
      <c r="P111" s="187"/>
      <c r="Q111" s="188"/>
      <c r="R111" s="189"/>
      <c r="S111" s="186"/>
      <c r="T111" s="187"/>
      <c r="U111" s="188"/>
      <c r="V111" s="189"/>
      <c r="W111" s="186"/>
      <c r="X111" s="187"/>
      <c r="Y111" s="188"/>
      <c r="Z111" s="189"/>
      <c r="AA111" s="186"/>
      <c r="AB111" s="187"/>
      <c r="AC111" s="188"/>
      <c r="AD111" s="189"/>
      <c r="AE111" s="186"/>
      <c r="AF111" s="187"/>
      <c r="AG111" s="188"/>
      <c r="AH111" s="189"/>
      <c r="AI111" s="186"/>
      <c r="AJ111" s="187"/>
      <c r="AK111" s="188"/>
      <c r="AL111" s="189"/>
      <c r="AM111" s="186"/>
      <c r="AN111" s="187"/>
      <c r="AO111" s="188"/>
      <c r="AP111" s="189"/>
      <c r="AQ111" s="186"/>
      <c r="AR111" s="187"/>
      <c r="AS111" s="188"/>
      <c r="AT111" s="189"/>
      <c r="AU111" s="186"/>
      <c r="AV111" s="187"/>
      <c r="AW111" s="188"/>
      <c r="AX111" s="189"/>
      <c r="AY111" s="186"/>
      <c r="AZ111" s="187"/>
      <c r="BA111" s="188"/>
      <c r="BB111" s="189"/>
      <c r="BC111" s="186"/>
      <c r="BD111" s="187"/>
      <c r="BE111" s="188"/>
      <c r="BF111" s="189"/>
      <c r="BG111" s="186"/>
      <c r="BH111" s="187"/>
      <c r="BI111" s="188"/>
      <c r="BJ111" s="189"/>
      <c r="BK111" s="186"/>
      <c r="BL111" s="187"/>
      <c r="BM111" s="188"/>
      <c r="BN111" s="189"/>
      <c r="BO111" s="186"/>
      <c r="BP111" s="187"/>
      <c r="BQ111" s="188"/>
      <c r="BR111" s="189"/>
      <c r="BS111" s="186"/>
      <c r="BT111" s="187"/>
      <c r="BU111" s="188"/>
      <c r="BV111" s="189"/>
      <c r="BW111" s="186"/>
      <c r="BX111" s="187"/>
      <c r="BY111" s="188"/>
      <c r="BZ111" s="189"/>
      <c r="CA111" s="186"/>
      <c r="CB111" s="190"/>
      <c r="CC111" s="190"/>
      <c r="CD111" s="82">
        <f t="shared" si="332"/>
        <v>0</v>
      </c>
      <c r="CE111" s="82">
        <f t="shared" si="333"/>
        <v>0</v>
      </c>
      <c r="CF111" s="82">
        <f t="shared" si="334"/>
        <v>0</v>
      </c>
      <c r="CG111" s="82">
        <f t="shared" si="335"/>
        <v>0</v>
      </c>
      <c r="CH111" s="82">
        <f t="shared" si="336"/>
        <v>0</v>
      </c>
      <c r="CI111" s="82">
        <f t="shared" si="337"/>
        <v>0</v>
      </c>
      <c r="CJ111" s="82">
        <f t="shared" si="338"/>
        <v>0</v>
      </c>
      <c r="CK111" s="82">
        <f t="shared" si="339"/>
        <v>0</v>
      </c>
      <c r="CL111" s="82">
        <f t="shared" si="340"/>
        <v>0</v>
      </c>
      <c r="CM111" s="82">
        <f t="shared" si="341"/>
        <v>0</v>
      </c>
      <c r="CN111" s="82">
        <f t="shared" si="342"/>
        <v>0</v>
      </c>
      <c r="CO111" s="82">
        <f t="shared" si="343"/>
        <v>0</v>
      </c>
      <c r="CP111" s="82">
        <f t="shared" si="344"/>
        <v>0</v>
      </c>
      <c r="CQ111" s="82">
        <f t="shared" si="345"/>
        <v>0</v>
      </c>
      <c r="CR111" s="82">
        <f t="shared" si="346"/>
        <v>0</v>
      </c>
      <c r="CS111" s="82">
        <f t="shared" si="347"/>
        <v>0</v>
      </c>
      <c r="CT111" s="82">
        <f t="shared" si="348"/>
        <v>0</v>
      </c>
      <c r="CU111" s="82">
        <f t="shared" si="349"/>
        <v>0</v>
      </c>
      <c r="CV111" s="82">
        <f t="shared" si="350"/>
        <v>0</v>
      </c>
      <c r="CW111" s="82">
        <f t="shared" si="351"/>
        <v>0</v>
      </c>
      <c r="CX111" s="82">
        <f t="shared" si="352"/>
        <v>0</v>
      </c>
      <c r="CY111" s="82">
        <f t="shared" si="353"/>
        <v>0</v>
      </c>
      <c r="CZ111" s="82">
        <f t="shared" si="354"/>
        <v>0</v>
      </c>
      <c r="DA111" s="82">
        <f t="shared" si="355"/>
        <v>0</v>
      </c>
      <c r="DB111" s="82">
        <f t="shared" si="356"/>
        <v>0</v>
      </c>
      <c r="DC111" s="82">
        <f t="shared" si="357"/>
        <v>0</v>
      </c>
      <c r="DD111" s="82">
        <f t="shared" si="358"/>
        <v>0</v>
      </c>
      <c r="DE111" s="82">
        <f t="shared" si="359"/>
        <v>0</v>
      </c>
      <c r="DF111" s="82">
        <f t="shared" si="360"/>
        <v>0</v>
      </c>
      <c r="DG111" s="82">
        <f t="shared" si="361"/>
        <v>0</v>
      </c>
      <c r="DH111" s="82">
        <f t="shared" si="362"/>
        <v>0</v>
      </c>
      <c r="DI111" s="82">
        <f t="shared" si="363"/>
        <v>0</v>
      </c>
      <c r="DJ111" s="82">
        <f t="shared" si="364"/>
        <v>0</v>
      </c>
      <c r="DK111" s="82">
        <f t="shared" si="365"/>
        <v>0</v>
      </c>
      <c r="DL111" s="82">
        <f t="shared" si="366"/>
        <v>0</v>
      </c>
      <c r="DM111" s="82">
        <f t="shared" si="367"/>
        <v>0</v>
      </c>
      <c r="DN111" s="82">
        <f t="shared" si="368"/>
        <v>0</v>
      </c>
      <c r="DO111" s="82">
        <f t="shared" si="369"/>
        <v>0</v>
      </c>
      <c r="DP111" s="82">
        <f t="shared" si="370"/>
        <v>0</v>
      </c>
      <c r="DQ111" s="82">
        <f t="shared" si="371"/>
        <v>0</v>
      </c>
      <c r="DR111" s="82">
        <f t="shared" si="372"/>
        <v>0</v>
      </c>
      <c r="DS111" s="82">
        <f t="shared" si="373"/>
        <v>0</v>
      </c>
      <c r="DT111" s="82">
        <f t="shared" si="374"/>
        <v>0</v>
      </c>
      <c r="DU111" s="82">
        <f t="shared" si="375"/>
        <v>0</v>
      </c>
      <c r="DV111" s="82">
        <f t="shared" si="376"/>
        <v>0</v>
      </c>
      <c r="DW111" s="82">
        <f t="shared" si="377"/>
        <v>0</v>
      </c>
      <c r="DX111" s="82">
        <f t="shared" si="378"/>
        <v>0</v>
      </c>
      <c r="DY111" s="82">
        <f t="shared" si="379"/>
        <v>0</v>
      </c>
      <c r="DZ111" s="82">
        <f t="shared" si="380"/>
        <v>0</v>
      </c>
      <c r="EA111" s="82">
        <f t="shared" si="381"/>
        <v>0</v>
      </c>
      <c r="EB111" s="82">
        <f t="shared" si="382"/>
        <v>0</v>
      </c>
      <c r="EC111" s="82">
        <f t="shared" si="383"/>
        <v>0</v>
      </c>
      <c r="ED111" s="82">
        <f t="shared" si="384"/>
        <v>0</v>
      </c>
      <c r="EE111" s="82">
        <f t="shared" si="385"/>
        <v>0</v>
      </c>
      <c r="EF111" s="82">
        <f t="shared" si="386"/>
        <v>0</v>
      </c>
      <c r="EG111" s="82">
        <f t="shared" si="387"/>
        <v>0</v>
      </c>
      <c r="EH111" s="82">
        <f t="shared" si="388"/>
        <v>0</v>
      </c>
      <c r="EI111" s="82">
        <f t="shared" si="389"/>
        <v>0</v>
      </c>
      <c r="EJ111" s="82">
        <f t="shared" si="390"/>
        <v>0</v>
      </c>
      <c r="EK111" s="82">
        <f t="shared" si="391"/>
        <v>0</v>
      </c>
      <c r="EL111" s="82">
        <f t="shared" si="392"/>
        <v>0</v>
      </c>
      <c r="EM111" s="82">
        <f t="shared" si="393"/>
        <v>0</v>
      </c>
      <c r="EN111" s="82">
        <f t="shared" si="394"/>
        <v>0</v>
      </c>
      <c r="EO111" s="82">
        <f t="shared" si="395"/>
        <v>0</v>
      </c>
      <c r="EP111" s="82">
        <f t="shared" si="396"/>
        <v>0</v>
      </c>
      <c r="EQ111" s="82">
        <f t="shared" si="397"/>
        <v>0</v>
      </c>
      <c r="ER111" s="82">
        <f t="shared" si="398"/>
        <v>0</v>
      </c>
      <c r="ES111" s="82">
        <f t="shared" si="399"/>
        <v>0</v>
      </c>
      <c r="ET111" s="82">
        <f t="shared" si="400"/>
        <v>0</v>
      </c>
      <c r="EU111" s="82">
        <f t="shared" si="401"/>
        <v>0</v>
      </c>
      <c r="EV111" s="82">
        <f t="shared" si="402"/>
        <v>0</v>
      </c>
      <c r="EW111" s="82">
        <f t="shared" si="403"/>
        <v>0</v>
      </c>
      <c r="EX111" s="82">
        <f t="shared" si="404"/>
        <v>0</v>
      </c>
      <c r="EY111" s="111">
        <f t="shared" si="405"/>
        <v>0</v>
      </c>
      <c r="EZ111" s="143" t="e">
        <f t="shared" ca="1" si="406"/>
        <v>#N/A</v>
      </c>
      <c r="FA111" s="112" t="e">
        <f t="shared" ca="1" si="407"/>
        <v>#N/A</v>
      </c>
      <c r="FB111" s="113" t="e">
        <f t="shared" ca="1" si="408"/>
        <v>#N/A</v>
      </c>
      <c r="FC111" s="114" t="e">
        <f t="shared" ca="1" si="409"/>
        <v>#N/A</v>
      </c>
      <c r="FD111" s="115">
        <f t="shared" ca="1" si="410"/>
        <v>0</v>
      </c>
      <c r="FE111" s="116" t="e">
        <f t="shared" ca="1" si="411"/>
        <v>#N/A</v>
      </c>
      <c r="FF111" s="117" t="e">
        <f t="shared" ca="1" si="412"/>
        <v>#N/A</v>
      </c>
      <c r="FG111" s="71">
        <f t="shared" si="413"/>
        <v>0</v>
      </c>
      <c r="FH111" s="530" t="e">
        <f t="shared" ca="1" si="414"/>
        <v>#N/A</v>
      </c>
      <c r="FI111" s="72"/>
      <c r="FJ111" s="72"/>
      <c r="FK111" s="72"/>
      <c r="FM111" s="421">
        <f t="shared" si="318"/>
        <v>0</v>
      </c>
      <c r="FN111" s="422" t="e">
        <f t="shared" ca="1" si="319"/>
        <v>#N/A</v>
      </c>
      <c r="FO111" s="423">
        <f t="shared" ca="1" si="418"/>
        <v>0</v>
      </c>
      <c r="FP111" s="423">
        <f t="shared" ca="1" si="418"/>
        <v>0</v>
      </c>
      <c r="FQ111" s="423">
        <f t="shared" ca="1" si="418"/>
        <v>0</v>
      </c>
      <c r="FR111" s="423">
        <f t="shared" ca="1" si="418"/>
        <v>0</v>
      </c>
      <c r="FS111" s="423">
        <f t="shared" ca="1" si="418"/>
        <v>0</v>
      </c>
      <c r="FT111" s="423">
        <f t="shared" ca="1" si="418"/>
        <v>0</v>
      </c>
      <c r="FU111" s="423">
        <f t="shared" ca="1" si="418"/>
        <v>0</v>
      </c>
      <c r="FV111" s="423">
        <f t="shared" ca="1" si="418"/>
        <v>0</v>
      </c>
      <c r="FW111" s="423">
        <f t="shared" ca="1" si="418"/>
        <v>0</v>
      </c>
      <c r="FX111" s="423">
        <f t="shared" ca="1" si="418"/>
        <v>0</v>
      </c>
      <c r="FY111" s="423">
        <f t="shared" ca="1" si="418"/>
        <v>0</v>
      </c>
      <c r="FZ111" s="423">
        <f t="shared" ca="1" si="418"/>
        <v>0</v>
      </c>
      <c r="GA111" s="423">
        <f t="shared" ca="1" si="418"/>
        <v>0</v>
      </c>
      <c r="GB111" s="423">
        <f t="shared" ca="1" si="418"/>
        <v>0</v>
      </c>
      <c r="GC111" s="423">
        <f t="shared" ca="1" si="418"/>
        <v>0</v>
      </c>
      <c r="GD111" s="423">
        <f t="shared" ca="1" si="415"/>
        <v>0</v>
      </c>
      <c r="GE111" s="423">
        <f t="shared" ca="1" si="415"/>
        <v>0</v>
      </c>
      <c r="GF111" s="423">
        <f t="shared" ca="1" si="415"/>
        <v>0</v>
      </c>
      <c r="GG111" s="423">
        <f t="shared" ca="1" si="415"/>
        <v>0</v>
      </c>
      <c r="GH111" s="423">
        <f t="shared" ca="1" si="415"/>
        <v>0</v>
      </c>
      <c r="GI111" s="423">
        <f t="shared" ca="1" si="415"/>
        <v>0</v>
      </c>
      <c r="GJ111" s="423">
        <f t="shared" ca="1" si="415"/>
        <v>0</v>
      </c>
      <c r="GK111" s="423">
        <f t="shared" ca="1" si="415"/>
        <v>0</v>
      </c>
      <c r="GL111" s="423">
        <f t="shared" ca="1" si="415"/>
        <v>0</v>
      </c>
      <c r="GM111" s="423">
        <f t="shared" ca="1" si="415"/>
        <v>0</v>
      </c>
      <c r="GN111" s="423">
        <f t="shared" ca="1" si="415"/>
        <v>0</v>
      </c>
      <c r="GO111" s="423">
        <f t="shared" ca="1" si="415"/>
        <v>0</v>
      </c>
      <c r="GP111" s="423">
        <f t="shared" ca="1" si="415"/>
        <v>0</v>
      </c>
      <c r="GQ111" s="423">
        <f t="shared" ca="1" si="415"/>
        <v>0</v>
      </c>
      <c r="GR111" s="423">
        <f t="shared" ca="1" si="415"/>
        <v>0</v>
      </c>
      <c r="GS111" s="423">
        <f t="shared" ca="1" si="415"/>
        <v>0</v>
      </c>
      <c r="GT111" s="423">
        <f t="shared" ca="1" si="416"/>
        <v>0</v>
      </c>
      <c r="GU111" s="423">
        <f t="shared" ca="1" si="331"/>
        <v>0</v>
      </c>
      <c r="GV111" s="423">
        <f t="shared" ca="1" si="331"/>
        <v>0</v>
      </c>
      <c r="GW111" s="423">
        <f t="shared" ca="1" si="331"/>
        <v>0</v>
      </c>
      <c r="GX111" s="423">
        <f t="shared" ca="1" si="331"/>
        <v>0</v>
      </c>
      <c r="GY111" s="423">
        <f t="shared" ca="1" si="331"/>
        <v>0</v>
      </c>
      <c r="GZ111" s="423">
        <f t="shared" ca="1" si="331"/>
        <v>0</v>
      </c>
      <c r="HA111" s="423">
        <f t="shared" ca="1" si="331"/>
        <v>0</v>
      </c>
      <c r="HB111" s="423">
        <f t="shared" ca="1" si="331"/>
        <v>0</v>
      </c>
      <c r="HC111" s="423">
        <f t="shared" ca="1" si="331"/>
        <v>0</v>
      </c>
      <c r="HD111" s="423">
        <f t="shared" ca="1" si="331"/>
        <v>0</v>
      </c>
      <c r="HE111" s="423">
        <f t="shared" ca="1" si="331"/>
        <v>0</v>
      </c>
      <c r="HF111" s="423">
        <f t="shared" ca="1" si="331"/>
        <v>0</v>
      </c>
      <c r="HG111" s="423">
        <f t="shared" ca="1" si="331"/>
        <v>0</v>
      </c>
      <c r="HH111" s="423">
        <f t="shared" ca="1" si="331"/>
        <v>0</v>
      </c>
      <c r="HI111" s="423">
        <f t="shared" ca="1" si="331"/>
        <v>0</v>
      </c>
      <c r="HJ111" s="423">
        <f t="shared" ca="1" si="331"/>
        <v>0</v>
      </c>
      <c r="HK111" s="423">
        <f t="shared" ca="1" si="417"/>
        <v>0</v>
      </c>
      <c r="HL111" s="423">
        <f t="shared" ca="1" si="417"/>
        <v>0</v>
      </c>
      <c r="HM111" s="423">
        <f t="shared" ca="1" si="417"/>
        <v>0</v>
      </c>
      <c r="HN111" s="423">
        <f t="shared" ca="1" si="417"/>
        <v>0</v>
      </c>
      <c r="HO111" s="423">
        <f t="shared" ca="1" si="417"/>
        <v>0</v>
      </c>
      <c r="HP111" s="423">
        <f t="shared" ca="1" si="417"/>
        <v>0</v>
      </c>
      <c r="HQ111" s="423">
        <f t="shared" ca="1" si="417"/>
        <v>0</v>
      </c>
      <c r="HR111" s="423">
        <f t="shared" ca="1" si="417"/>
        <v>0</v>
      </c>
      <c r="HS111" s="423">
        <f t="shared" ca="1" si="417"/>
        <v>0</v>
      </c>
      <c r="HT111" s="423">
        <f t="shared" ca="1" si="417"/>
        <v>0</v>
      </c>
    </row>
    <row r="112" spans="1:228" ht="11.25" customHeight="1" x14ac:dyDescent="0.2">
      <c r="A112" s="62">
        <f t="shared" si="322"/>
        <v>101</v>
      </c>
      <c r="B112" s="60">
        <f>Spaces_Sum!C157</f>
        <v>0</v>
      </c>
      <c r="C112" s="62" t="str">
        <f>Spaces_Sum!D157</f>
        <v>0</v>
      </c>
      <c r="D112" s="62" t="e">
        <f ca="1">Spaces_Sum!I157</f>
        <v>#N/A</v>
      </c>
      <c r="F112" s="110" t="e">
        <f ca="1">Spaces_Sum!M157</f>
        <v>#N/A</v>
      </c>
      <c r="G112" s="110" t="e">
        <f ca="1">Spaces_Sum!J157</f>
        <v>#N/A</v>
      </c>
      <c r="H112" s="532"/>
      <c r="I112" s="185"/>
      <c r="J112" s="185"/>
      <c r="K112" s="186"/>
      <c r="L112" s="187"/>
      <c r="M112" s="188"/>
      <c r="N112" s="189"/>
      <c r="O112" s="186"/>
      <c r="P112" s="187"/>
      <c r="Q112" s="188"/>
      <c r="R112" s="189"/>
      <c r="S112" s="186"/>
      <c r="T112" s="187"/>
      <c r="U112" s="188"/>
      <c r="V112" s="189"/>
      <c r="W112" s="186"/>
      <c r="X112" s="187"/>
      <c r="Y112" s="188"/>
      <c r="Z112" s="189"/>
      <c r="AA112" s="186"/>
      <c r="AB112" s="187"/>
      <c r="AC112" s="188"/>
      <c r="AD112" s="189"/>
      <c r="AE112" s="186"/>
      <c r="AF112" s="187"/>
      <c r="AG112" s="188"/>
      <c r="AH112" s="189"/>
      <c r="AI112" s="186"/>
      <c r="AJ112" s="187"/>
      <c r="AK112" s="188"/>
      <c r="AL112" s="189"/>
      <c r="AM112" s="186"/>
      <c r="AN112" s="187"/>
      <c r="AO112" s="188"/>
      <c r="AP112" s="189"/>
      <c r="AQ112" s="186"/>
      <c r="AR112" s="187"/>
      <c r="AS112" s="188"/>
      <c r="AT112" s="189"/>
      <c r="AU112" s="186"/>
      <c r="AV112" s="187"/>
      <c r="AW112" s="188"/>
      <c r="AX112" s="189"/>
      <c r="AY112" s="186"/>
      <c r="AZ112" s="187"/>
      <c r="BA112" s="188"/>
      <c r="BB112" s="189"/>
      <c r="BC112" s="186"/>
      <c r="BD112" s="187"/>
      <c r="BE112" s="188"/>
      <c r="BF112" s="189"/>
      <c r="BG112" s="186"/>
      <c r="BH112" s="187"/>
      <c r="BI112" s="188"/>
      <c r="BJ112" s="189"/>
      <c r="BK112" s="186"/>
      <c r="BL112" s="187"/>
      <c r="BM112" s="188"/>
      <c r="BN112" s="189"/>
      <c r="BO112" s="186"/>
      <c r="BP112" s="187"/>
      <c r="BQ112" s="188"/>
      <c r="BR112" s="189"/>
      <c r="BS112" s="186"/>
      <c r="BT112" s="187"/>
      <c r="BU112" s="188"/>
      <c r="BV112" s="189"/>
      <c r="BW112" s="186"/>
      <c r="BX112" s="187"/>
      <c r="BY112" s="188"/>
      <c r="BZ112" s="189"/>
      <c r="CA112" s="186"/>
      <c r="CB112" s="190"/>
      <c r="CC112" s="190"/>
      <c r="CD112" s="82">
        <f t="shared" si="332"/>
        <v>0</v>
      </c>
      <c r="CE112" s="82">
        <f t="shared" si="333"/>
        <v>0</v>
      </c>
      <c r="CF112" s="82">
        <f t="shared" si="334"/>
        <v>0</v>
      </c>
      <c r="CG112" s="82">
        <f t="shared" si="335"/>
        <v>0</v>
      </c>
      <c r="CH112" s="82">
        <f t="shared" si="336"/>
        <v>0</v>
      </c>
      <c r="CI112" s="82">
        <f t="shared" si="337"/>
        <v>0</v>
      </c>
      <c r="CJ112" s="82">
        <f t="shared" si="338"/>
        <v>0</v>
      </c>
      <c r="CK112" s="82">
        <f t="shared" si="339"/>
        <v>0</v>
      </c>
      <c r="CL112" s="82">
        <f t="shared" si="340"/>
        <v>0</v>
      </c>
      <c r="CM112" s="82">
        <f t="shared" si="341"/>
        <v>0</v>
      </c>
      <c r="CN112" s="82">
        <f t="shared" si="342"/>
        <v>0</v>
      </c>
      <c r="CO112" s="82">
        <f t="shared" si="343"/>
        <v>0</v>
      </c>
      <c r="CP112" s="82">
        <f t="shared" si="344"/>
        <v>0</v>
      </c>
      <c r="CQ112" s="82">
        <f t="shared" si="345"/>
        <v>0</v>
      </c>
      <c r="CR112" s="82">
        <f t="shared" si="346"/>
        <v>0</v>
      </c>
      <c r="CS112" s="82">
        <f t="shared" si="347"/>
        <v>0</v>
      </c>
      <c r="CT112" s="82">
        <f t="shared" si="348"/>
        <v>0</v>
      </c>
      <c r="CU112" s="82">
        <f t="shared" si="349"/>
        <v>0</v>
      </c>
      <c r="CV112" s="82">
        <f t="shared" si="350"/>
        <v>0</v>
      </c>
      <c r="CW112" s="82">
        <f t="shared" si="351"/>
        <v>0</v>
      </c>
      <c r="CX112" s="82">
        <f t="shared" si="352"/>
        <v>0</v>
      </c>
      <c r="CY112" s="82">
        <f t="shared" si="353"/>
        <v>0</v>
      </c>
      <c r="CZ112" s="82">
        <f t="shared" si="354"/>
        <v>0</v>
      </c>
      <c r="DA112" s="82">
        <f t="shared" si="355"/>
        <v>0</v>
      </c>
      <c r="DB112" s="82">
        <f t="shared" si="356"/>
        <v>0</v>
      </c>
      <c r="DC112" s="82">
        <f t="shared" si="357"/>
        <v>0</v>
      </c>
      <c r="DD112" s="82">
        <f t="shared" si="358"/>
        <v>0</v>
      </c>
      <c r="DE112" s="82">
        <f t="shared" si="359"/>
        <v>0</v>
      </c>
      <c r="DF112" s="82">
        <f t="shared" si="360"/>
        <v>0</v>
      </c>
      <c r="DG112" s="82">
        <f t="shared" si="361"/>
        <v>0</v>
      </c>
      <c r="DH112" s="82">
        <f t="shared" si="362"/>
        <v>0</v>
      </c>
      <c r="DI112" s="82">
        <f t="shared" si="363"/>
        <v>0</v>
      </c>
      <c r="DJ112" s="82">
        <f t="shared" si="364"/>
        <v>0</v>
      </c>
      <c r="DK112" s="82">
        <f t="shared" si="365"/>
        <v>0</v>
      </c>
      <c r="DL112" s="82">
        <f t="shared" si="366"/>
        <v>0</v>
      </c>
      <c r="DM112" s="82">
        <f t="shared" si="367"/>
        <v>0</v>
      </c>
      <c r="DN112" s="82">
        <f t="shared" si="368"/>
        <v>0</v>
      </c>
      <c r="DO112" s="82">
        <f t="shared" si="369"/>
        <v>0</v>
      </c>
      <c r="DP112" s="82">
        <f t="shared" si="370"/>
        <v>0</v>
      </c>
      <c r="DQ112" s="82">
        <f t="shared" si="371"/>
        <v>0</v>
      </c>
      <c r="DR112" s="82">
        <f t="shared" si="372"/>
        <v>0</v>
      </c>
      <c r="DS112" s="82">
        <f t="shared" si="373"/>
        <v>0</v>
      </c>
      <c r="DT112" s="82">
        <f t="shared" si="374"/>
        <v>0</v>
      </c>
      <c r="DU112" s="82">
        <f t="shared" si="375"/>
        <v>0</v>
      </c>
      <c r="DV112" s="82">
        <f t="shared" si="376"/>
        <v>0</v>
      </c>
      <c r="DW112" s="82">
        <f t="shared" si="377"/>
        <v>0</v>
      </c>
      <c r="DX112" s="82">
        <f t="shared" si="378"/>
        <v>0</v>
      </c>
      <c r="DY112" s="82">
        <f t="shared" si="379"/>
        <v>0</v>
      </c>
      <c r="DZ112" s="82">
        <f t="shared" si="380"/>
        <v>0</v>
      </c>
      <c r="EA112" s="82">
        <f t="shared" si="381"/>
        <v>0</v>
      </c>
      <c r="EB112" s="82">
        <f t="shared" si="382"/>
        <v>0</v>
      </c>
      <c r="EC112" s="82">
        <f t="shared" si="383"/>
        <v>0</v>
      </c>
      <c r="ED112" s="82">
        <f t="shared" si="384"/>
        <v>0</v>
      </c>
      <c r="EE112" s="82">
        <f t="shared" si="385"/>
        <v>0</v>
      </c>
      <c r="EF112" s="82">
        <f t="shared" si="386"/>
        <v>0</v>
      </c>
      <c r="EG112" s="82">
        <f t="shared" si="387"/>
        <v>0</v>
      </c>
      <c r="EH112" s="82">
        <f t="shared" si="388"/>
        <v>0</v>
      </c>
      <c r="EI112" s="82">
        <f t="shared" si="389"/>
        <v>0</v>
      </c>
      <c r="EJ112" s="82">
        <f t="shared" si="390"/>
        <v>0</v>
      </c>
      <c r="EK112" s="82">
        <f t="shared" si="391"/>
        <v>0</v>
      </c>
      <c r="EL112" s="82">
        <f t="shared" si="392"/>
        <v>0</v>
      </c>
      <c r="EM112" s="82">
        <f t="shared" si="393"/>
        <v>0</v>
      </c>
      <c r="EN112" s="82">
        <f t="shared" si="394"/>
        <v>0</v>
      </c>
      <c r="EO112" s="82">
        <f t="shared" si="395"/>
        <v>0</v>
      </c>
      <c r="EP112" s="82">
        <f t="shared" si="396"/>
        <v>0</v>
      </c>
      <c r="EQ112" s="82">
        <f t="shared" si="397"/>
        <v>0</v>
      </c>
      <c r="ER112" s="82">
        <f t="shared" si="398"/>
        <v>0</v>
      </c>
      <c r="ES112" s="82">
        <f t="shared" si="399"/>
        <v>0</v>
      </c>
      <c r="ET112" s="82">
        <f t="shared" si="400"/>
        <v>0</v>
      </c>
      <c r="EU112" s="82">
        <f t="shared" si="401"/>
        <v>0</v>
      </c>
      <c r="EV112" s="82">
        <f t="shared" si="402"/>
        <v>0</v>
      </c>
      <c r="EW112" s="82">
        <f t="shared" si="403"/>
        <v>0</v>
      </c>
      <c r="EX112" s="82">
        <f t="shared" si="404"/>
        <v>0</v>
      </c>
      <c r="EY112" s="111">
        <f t="shared" si="405"/>
        <v>0</v>
      </c>
      <c r="EZ112" s="143" t="e">
        <f t="shared" ca="1" si="406"/>
        <v>#N/A</v>
      </c>
      <c r="FA112" s="112" t="e">
        <f t="shared" ca="1" si="407"/>
        <v>#N/A</v>
      </c>
      <c r="FB112" s="113" t="e">
        <f t="shared" ca="1" si="408"/>
        <v>#N/A</v>
      </c>
      <c r="FC112" s="114" t="e">
        <f t="shared" ca="1" si="409"/>
        <v>#N/A</v>
      </c>
      <c r="FD112" s="115">
        <f t="shared" ca="1" si="410"/>
        <v>0</v>
      </c>
      <c r="FE112" s="116" t="e">
        <f t="shared" ca="1" si="411"/>
        <v>#N/A</v>
      </c>
      <c r="FF112" s="117" t="e">
        <f t="shared" ca="1" si="412"/>
        <v>#N/A</v>
      </c>
      <c r="FG112" s="71">
        <f t="shared" si="413"/>
        <v>0</v>
      </c>
      <c r="FH112" s="530" t="e">
        <f t="shared" ca="1" si="414"/>
        <v>#N/A</v>
      </c>
      <c r="FI112" s="72"/>
      <c r="FJ112" s="72"/>
      <c r="FK112" s="72"/>
      <c r="FM112" s="421">
        <f t="shared" si="318"/>
        <v>0</v>
      </c>
      <c r="FN112" s="422" t="e">
        <f t="shared" ca="1" si="319"/>
        <v>#N/A</v>
      </c>
      <c r="FO112" s="423">
        <f t="shared" ca="1" si="418"/>
        <v>0</v>
      </c>
      <c r="FP112" s="423">
        <f t="shared" ca="1" si="418"/>
        <v>0</v>
      </c>
      <c r="FQ112" s="423">
        <f t="shared" ca="1" si="418"/>
        <v>0</v>
      </c>
      <c r="FR112" s="423">
        <f t="shared" ca="1" si="418"/>
        <v>0</v>
      </c>
      <c r="FS112" s="423">
        <f t="shared" ca="1" si="418"/>
        <v>0</v>
      </c>
      <c r="FT112" s="423">
        <f t="shared" ca="1" si="418"/>
        <v>0</v>
      </c>
      <c r="FU112" s="423">
        <f t="shared" ca="1" si="418"/>
        <v>0</v>
      </c>
      <c r="FV112" s="423">
        <f t="shared" ca="1" si="418"/>
        <v>0</v>
      </c>
      <c r="FW112" s="423">
        <f t="shared" ca="1" si="418"/>
        <v>0</v>
      </c>
      <c r="FX112" s="423">
        <f t="shared" ca="1" si="418"/>
        <v>0</v>
      </c>
      <c r="FY112" s="423">
        <f t="shared" ca="1" si="418"/>
        <v>0</v>
      </c>
      <c r="FZ112" s="423">
        <f t="shared" ca="1" si="418"/>
        <v>0</v>
      </c>
      <c r="GA112" s="423">
        <f t="shared" ca="1" si="418"/>
        <v>0</v>
      </c>
      <c r="GB112" s="423">
        <f t="shared" ca="1" si="418"/>
        <v>0</v>
      </c>
      <c r="GC112" s="423">
        <f t="shared" ca="1" si="418"/>
        <v>0</v>
      </c>
      <c r="GD112" s="423">
        <f t="shared" ca="1" si="415"/>
        <v>0</v>
      </c>
      <c r="GE112" s="423">
        <f t="shared" ca="1" si="415"/>
        <v>0</v>
      </c>
      <c r="GF112" s="423">
        <f t="shared" ca="1" si="415"/>
        <v>0</v>
      </c>
      <c r="GG112" s="423">
        <f t="shared" ca="1" si="415"/>
        <v>0</v>
      </c>
      <c r="GH112" s="423">
        <f t="shared" ca="1" si="415"/>
        <v>0</v>
      </c>
      <c r="GI112" s="423">
        <f t="shared" ca="1" si="415"/>
        <v>0</v>
      </c>
      <c r="GJ112" s="423">
        <f t="shared" ca="1" si="415"/>
        <v>0</v>
      </c>
      <c r="GK112" s="423">
        <f t="shared" ca="1" si="415"/>
        <v>0</v>
      </c>
      <c r="GL112" s="423">
        <f t="shared" ca="1" si="415"/>
        <v>0</v>
      </c>
      <c r="GM112" s="423">
        <f t="shared" ca="1" si="415"/>
        <v>0</v>
      </c>
      <c r="GN112" s="423">
        <f t="shared" ca="1" si="415"/>
        <v>0</v>
      </c>
      <c r="GO112" s="423">
        <f t="shared" ca="1" si="415"/>
        <v>0</v>
      </c>
      <c r="GP112" s="423">
        <f t="shared" ca="1" si="415"/>
        <v>0</v>
      </c>
      <c r="GQ112" s="423">
        <f t="shared" ca="1" si="415"/>
        <v>0</v>
      </c>
      <c r="GR112" s="423">
        <f t="shared" ca="1" si="415"/>
        <v>0</v>
      </c>
      <c r="GS112" s="423">
        <f t="shared" ca="1" si="415"/>
        <v>0</v>
      </c>
      <c r="GT112" s="423">
        <f t="shared" ca="1" si="416"/>
        <v>0</v>
      </c>
      <c r="GU112" s="423">
        <f t="shared" ca="1" si="331"/>
        <v>0</v>
      </c>
      <c r="GV112" s="423">
        <f t="shared" ca="1" si="331"/>
        <v>0</v>
      </c>
      <c r="GW112" s="423">
        <f t="shared" ca="1" si="331"/>
        <v>0</v>
      </c>
      <c r="GX112" s="423">
        <f t="shared" ca="1" si="331"/>
        <v>0</v>
      </c>
      <c r="GY112" s="423">
        <f t="shared" ca="1" si="331"/>
        <v>0</v>
      </c>
      <c r="GZ112" s="423">
        <f t="shared" ca="1" si="331"/>
        <v>0</v>
      </c>
      <c r="HA112" s="423">
        <f t="shared" ca="1" si="331"/>
        <v>0</v>
      </c>
      <c r="HB112" s="423">
        <f t="shared" ca="1" si="331"/>
        <v>0</v>
      </c>
      <c r="HC112" s="423">
        <f t="shared" ca="1" si="331"/>
        <v>0</v>
      </c>
      <c r="HD112" s="423">
        <f t="shared" ca="1" si="331"/>
        <v>0</v>
      </c>
      <c r="HE112" s="423">
        <f t="shared" ca="1" si="331"/>
        <v>0</v>
      </c>
      <c r="HF112" s="423">
        <f t="shared" ca="1" si="331"/>
        <v>0</v>
      </c>
      <c r="HG112" s="423">
        <f t="shared" ca="1" si="331"/>
        <v>0</v>
      </c>
      <c r="HH112" s="423">
        <f t="shared" ca="1" si="331"/>
        <v>0</v>
      </c>
      <c r="HI112" s="423">
        <f t="shared" ca="1" si="331"/>
        <v>0</v>
      </c>
      <c r="HJ112" s="423">
        <f t="shared" ca="1" si="331"/>
        <v>0</v>
      </c>
      <c r="HK112" s="423">
        <f t="shared" ca="1" si="417"/>
        <v>0</v>
      </c>
      <c r="HL112" s="423">
        <f t="shared" ca="1" si="417"/>
        <v>0</v>
      </c>
      <c r="HM112" s="423">
        <f t="shared" ca="1" si="417"/>
        <v>0</v>
      </c>
      <c r="HN112" s="423">
        <f t="shared" ca="1" si="417"/>
        <v>0</v>
      </c>
      <c r="HO112" s="423">
        <f t="shared" ca="1" si="417"/>
        <v>0</v>
      </c>
      <c r="HP112" s="423">
        <f t="shared" ca="1" si="417"/>
        <v>0</v>
      </c>
      <c r="HQ112" s="423">
        <f t="shared" ca="1" si="417"/>
        <v>0</v>
      </c>
      <c r="HR112" s="423">
        <f t="shared" ca="1" si="417"/>
        <v>0</v>
      </c>
      <c r="HS112" s="423">
        <f t="shared" ca="1" si="417"/>
        <v>0</v>
      </c>
      <c r="HT112" s="423">
        <f t="shared" ca="1" si="417"/>
        <v>0</v>
      </c>
    </row>
    <row r="113" spans="1:230" ht="11.25" customHeight="1" x14ac:dyDescent="0.2">
      <c r="A113" s="62">
        <f t="shared" si="322"/>
        <v>102</v>
      </c>
      <c r="B113" s="60">
        <f>Spaces_Sum!C158</f>
        <v>0</v>
      </c>
      <c r="C113" s="62" t="str">
        <f>Spaces_Sum!D158</f>
        <v>0</v>
      </c>
      <c r="D113" s="62" t="e">
        <f ca="1">Spaces_Sum!I158</f>
        <v>#N/A</v>
      </c>
      <c r="F113" s="110" t="e">
        <f ca="1">Spaces_Sum!M158</f>
        <v>#N/A</v>
      </c>
      <c r="G113" s="110" t="e">
        <f ca="1">Spaces_Sum!J158</f>
        <v>#N/A</v>
      </c>
      <c r="H113" s="532"/>
      <c r="I113" s="185"/>
      <c r="J113" s="185"/>
      <c r="K113" s="641"/>
      <c r="L113" s="642"/>
      <c r="M113" s="643"/>
      <c r="N113" s="644"/>
      <c r="O113" s="641"/>
      <c r="P113" s="642"/>
      <c r="Q113" s="643"/>
      <c r="R113" s="644"/>
      <c r="S113" s="641"/>
      <c r="T113" s="642"/>
      <c r="U113" s="643"/>
      <c r="V113" s="644"/>
      <c r="W113" s="641"/>
      <c r="X113" s="642"/>
      <c r="Y113" s="643"/>
      <c r="Z113" s="644"/>
      <c r="AA113" s="635"/>
      <c r="AB113" s="633"/>
      <c r="AC113" s="634"/>
      <c r="AD113" s="636"/>
      <c r="AE113" s="635"/>
      <c r="AF113" s="633"/>
      <c r="AG113" s="634"/>
      <c r="AH113" s="636"/>
      <c r="AI113" s="635"/>
      <c r="AJ113" s="633"/>
      <c r="AK113" s="634"/>
      <c r="AL113" s="636"/>
      <c r="AM113" s="635"/>
      <c r="AN113" s="633"/>
      <c r="AO113" s="634"/>
      <c r="AP113" s="636"/>
      <c r="AQ113" s="635"/>
      <c r="AR113" s="633"/>
      <c r="AS113" s="634"/>
      <c r="AT113" s="636"/>
      <c r="AU113" s="635"/>
      <c r="AV113" s="633"/>
      <c r="AW113" s="634"/>
      <c r="AX113" s="636"/>
      <c r="AY113" s="635"/>
      <c r="AZ113" s="633"/>
      <c r="BA113" s="634"/>
      <c r="BB113" s="636"/>
      <c r="BC113" s="635"/>
      <c r="BD113" s="633"/>
      <c r="BE113" s="634"/>
      <c r="BF113" s="636"/>
      <c r="BG113" s="635"/>
      <c r="BH113" s="633"/>
      <c r="BI113" s="634"/>
      <c r="BJ113" s="636"/>
      <c r="BK113" s="635"/>
      <c r="BL113" s="633"/>
      <c r="BM113" s="634"/>
      <c r="BN113" s="636"/>
      <c r="BO113" s="635"/>
      <c r="BP113" s="633"/>
      <c r="BQ113" s="634"/>
      <c r="BR113" s="636"/>
      <c r="BS113" s="635"/>
      <c r="BT113" s="633"/>
      <c r="BU113" s="634"/>
      <c r="BV113" s="636"/>
      <c r="BW113" s="635"/>
      <c r="BX113" s="633"/>
      <c r="BY113" s="634"/>
      <c r="BZ113" s="636"/>
      <c r="CA113" s="635"/>
      <c r="CB113" s="645" t="s">
        <v>608</v>
      </c>
      <c r="CC113" s="645">
        <v>3</v>
      </c>
      <c r="CD113" s="82">
        <f t="shared" si="332"/>
        <v>0</v>
      </c>
      <c r="CE113" s="82">
        <f t="shared" si="333"/>
        <v>0</v>
      </c>
      <c r="CF113" s="82">
        <f t="shared" si="334"/>
        <v>0</v>
      </c>
      <c r="CG113" s="82">
        <f t="shared" si="335"/>
        <v>0</v>
      </c>
      <c r="CH113" s="82">
        <f t="shared" si="336"/>
        <v>0</v>
      </c>
      <c r="CI113" s="82">
        <f t="shared" si="337"/>
        <v>0</v>
      </c>
      <c r="CJ113" s="82">
        <f t="shared" si="338"/>
        <v>0</v>
      </c>
      <c r="CK113" s="82">
        <f t="shared" si="339"/>
        <v>0</v>
      </c>
      <c r="CL113" s="82">
        <f t="shared" si="340"/>
        <v>0</v>
      </c>
      <c r="CM113" s="82">
        <f t="shared" si="341"/>
        <v>0</v>
      </c>
      <c r="CN113" s="82">
        <f t="shared" si="342"/>
        <v>0</v>
      </c>
      <c r="CO113" s="82">
        <f t="shared" si="343"/>
        <v>0</v>
      </c>
      <c r="CP113" s="82">
        <f t="shared" si="344"/>
        <v>0</v>
      </c>
      <c r="CQ113" s="82">
        <f t="shared" si="345"/>
        <v>0</v>
      </c>
      <c r="CR113" s="82">
        <f t="shared" si="346"/>
        <v>0</v>
      </c>
      <c r="CS113" s="82">
        <f t="shared" si="347"/>
        <v>0</v>
      </c>
      <c r="CT113" s="82">
        <f t="shared" si="348"/>
        <v>0</v>
      </c>
      <c r="CU113" s="82">
        <f t="shared" si="349"/>
        <v>0</v>
      </c>
      <c r="CV113" s="82">
        <f t="shared" si="350"/>
        <v>0</v>
      </c>
      <c r="CW113" s="82">
        <f t="shared" si="351"/>
        <v>0</v>
      </c>
      <c r="CX113" s="82">
        <f t="shared" si="352"/>
        <v>0</v>
      </c>
      <c r="CY113" s="82">
        <f t="shared" si="353"/>
        <v>0</v>
      </c>
      <c r="CZ113" s="82">
        <f t="shared" si="354"/>
        <v>0</v>
      </c>
      <c r="DA113" s="82">
        <f t="shared" si="355"/>
        <v>0</v>
      </c>
      <c r="DB113" s="82">
        <f t="shared" si="356"/>
        <v>0</v>
      </c>
      <c r="DC113" s="82">
        <f t="shared" si="357"/>
        <v>0</v>
      </c>
      <c r="DD113" s="82">
        <f t="shared" si="358"/>
        <v>0</v>
      </c>
      <c r="DE113" s="82">
        <f t="shared" si="359"/>
        <v>0</v>
      </c>
      <c r="DF113" s="82">
        <f t="shared" si="360"/>
        <v>0</v>
      </c>
      <c r="DG113" s="82">
        <f t="shared" si="361"/>
        <v>0</v>
      </c>
      <c r="DH113" s="82">
        <f t="shared" si="362"/>
        <v>0</v>
      </c>
      <c r="DI113" s="82">
        <f t="shared" si="363"/>
        <v>0</v>
      </c>
      <c r="DJ113" s="82">
        <f t="shared" si="364"/>
        <v>0</v>
      </c>
      <c r="DK113" s="82">
        <f t="shared" si="365"/>
        <v>0</v>
      </c>
      <c r="DL113" s="82">
        <f t="shared" si="366"/>
        <v>0</v>
      </c>
      <c r="DM113" s="82">
        <f t="shared" si="367"/>
        <v>0</v>
      </c>
      <c r="DN113" s="82">
        <f t="shared" si="368"/>
        <v>0</v>
      </c>
      <c r="DO113" s="82">
        <f t="shared" si="369"/>
        <v>0</v>
      </c>
      <c r="DP113" s="82">
        <f t="shared" si="370"/>
        <v>0</v>
      </c>
      <c r="DQ113" s="82">
        <f t="shared" si="371"/>
        <v>0</v>
      </c>
      <c r="DR113" s="82">
        <f t="shared" si="372"/>
        <v>0</v>
      </c>
      <c r="DS113" s="82">
        <f t="shared" si="373"/>
        <v>0</v>
      </c>
      <c r="DT113" s="82">
        <f t="shared" si="374"/>
        <v>0</v>
      </c>
      <c r="DU113" s="82">
        <f t="shared" si="375"/>
        <v>0</v>
      </c>
      <c r="DV113" s="82">
        <f t="shared" si="376"/>
        <v>0</v>
      </c>
      <c r="DW113" s="82">
        <f t="shared" si="377"/>
        <v>0</v>
      </c>
      <c r="DX113" s="82">
        <f t="shared" si="378"/>
        <v>0</v>
      </c>
      <c r="DY113" s="82">
        <f t="shared" si="379"/>
        <v>0</v>
      </c>
      <c r="DZ113" s="82">
        <f t="shared" si="380"/>
        <v>0</v>
      </c>
      <c r="EA113" s="82">
        <f t="shared" si="381"/>
        <v>0</v>
      </c>
      <c r="EB113" s="82">
        <f t="shared" si="382"/>
        <v>0</v>
      </c>
      <c r="EC113" s="82">
        <f t="shared" si="383"/>
        <v>0</v>
      </c>
      <c r="ED113" s="82">
        <f t="shared" si="384"/>
        <v>0</v>
      </c>
      <c r="EE113" s="82">
        <f t="shared" si="385"/>
        <v>0</v>
      </c>
      <c r="EF113" s="82">
        <f t="shared" si="386"/>
        <v>0</v>
      </c>
      <c r="EG113" s="82">
        <f t="shared" si="387"/>
        <v>0</v>
      </c>
      <c r="EH113" s="82">
        <f t="shared" si="388"/>
        <v>0</v>
      </c>
      <c r="EI113" s="82">
        <f t="shared" si="389"/>
        <v>0</v>
      </c>
      <c r="EJ113" s="82">
        <f t="shared" si="390"/>
        <v>0</v>
      </c>
      <c r="EK113" s="82">
        <f t="shared" si="391"/>
        <v>0</v>
      </c>
      <c r="EL113" s="82">
        <f t="shared" si="392"/>
        <v>0</v>
      </c>
      <c r="EM113" s="82">
        <f t="shared" si="393"/>
        <v>0</v>
      </c>
      <c r="EN113" s="82">
        <f t="shared" si="394"/>
        <v>0</v>
      </c>
      <c r="EO113" s="82">
        <f t="shared" si="395"/>
        <v>0</v>
      </c>
      <c r="EP113" s="82">
        <f t="shared" si="396"/>
        <v>0</v>
      </c>
      <c r="EQ113" s="82">
        <f t="shared" si="397"/>
        <v>0</v>
      </c>
      <c r="ER113" s="82">
        <f t="shared" si="398"/>
        <v>0</v>
      </c>
      <c r="ES113" s="82">
        <f t="shared" si="399"/>
        <v>0</v>
      </c>
      <c r="ET113" s="82">
        <f t="shared" si="400"/>
        <v>0</v>
      </c>
      <c r="EU113" s="82">
        <f t="shared" si="401"/>
        <v>0</v>
      </c>
      <c r="EV113" s="82">
        <f t="shared" si="402"/>
        <v>0</v>
      </c>
      <c r="EW113" s="82">
        <f t="shared" si="403"/>
        <v>0</v>
      </c>
      <c r="EX113" s="82">
        <f t="shared" si="404"/>
        <v>9.9999999999999995E-7</v>
      </c>
      <c r="EY113" s="111">
        <f t="shared" si="405"/>
        <v>0</v>
      </c>
      <c r="EZ113" s="143" t="e">
        <f t="shared" ca="1" si="406"/>
        <v>#N/A</v>
      </c>
      <c r="FA113" s="112" t="e">
        <f t="shared" ca="1" si="407"/>
        <v>#N/A</v>
      </c>
      <c r="FB113" s="113" t="e">
        <f t="shared" ca="1" si="408"/>
        <v>#N/A</v>
      </c>
      <c r="FC113" s="114" t="e">
        <f t="shared" ca="1" si="409"/>
        <v>#N/A</v>
      </c>
      <c r="FD113" s="115">
        <f t="shared" ca="1" si="410"/>
        <v>0</v>
      </c>
      <c r="FE113" s="116" t="e">
        <f t="shared" ca="1" si="411"/>
        <v>#N/A</v>
      </c>
      <c r="FF113" s="117" t="e">
        <f t="shared" ca="1" si="412"/>
        <v>#N/A</v>
      </c>
      <c r="FG113" s="71">
        <f t="shared" si="413"/>
        <v>9.9999999999999995E-7</v>
      </c>
      <c r="FH113" s="530" t="e">
        <f t="shared" ca="1" si="414"/>
        <v>#N/A</v>
      </c>
      <c r="FI113" s="72"/>
      <c r="FJ113" s="72"/>
      <c r="FK113" s="72"/>
      <c r="FM113" s="421">
        <f t="shared" si="318"/>
        <v>0</v>
      </c>
      <c r="FN113" s="422" t="e">
        <f t="shared" ca="1" si="319"/>
        <v>#N/A</v>
      </c>
      <c r="FO113" s="423">
        <f t="shared" ca="1" si="418"/>
        <v>0</v>
      </c>
      <c r="FP113" s="423">
        <f t="shared" ca="1" si="418"/>
        <v>0</v>
      </c>
      <c r="FQ113" s="423">
        <f t="shared" ca="1" si="418"/>
        <v>0</v>
      </c>
      <c r="FR113" s="423">
        <f t="shared" ca="1" si="418"/>
        <v>0</v>
      </c>
      <c r="FS113" s="423">
        <f t="shared" ca="1" si="418"/>
        <v>0</v>
      </c>
      <c r="FT113" s="423">
        <f t="shared" ca="1" si="418"/>
        <v>0</v>
      </c>
      <c r="FU113" s="423">
        <f t="shared" ca="1" si="418"/>
        <v>0</v>
      </c>
      <c r="FV113" s="423">
        <f t="shared" ca="1" si="418"/>
        <v>0</v>
      </c>
      <c r="FW113" s="423">
        <f t="shared" ca="1" si="418"/>
        <v>0</v>
      </c>
      <c r="FX113" s="423">
        <f t="shared" ca="1" si="418"/>
        <v>0</v>
      </c>
      <c r="FY113" s="423">
        <f t="shared" ca="1" si="418"/>
        <v>0</v>
      </c>
      <c r="FZ113" s="423">
        <f t="shared" ca="1" si="418"/>
        <v>0</v>
      </c>
      <c r="GA113" s="423">
        <f t="shared" ca="1" si="418"/>
        <v>0</v>
      </c>
      <c r="GB113" s="423">
        <f t="shared" ca="1" si="418"/>
        <v>0</v>
      </c>
      <c r="GC113" s="423">
        <f t="shared" ca="1" si="418"/>
        <v>0</v>
      </c>
      <c r="GD113" s="423">
        <f t="shared" ca="1" si="415"/>
        <v>0</v>
      </c>
      <c r="GE113" s="423">
        <f t="shared" ca="1" si="415"/>
        <v>0</v>
      </c>
      <c r="GF113" s="423">
        <f t="shared" ca="1" si="415"/>
        <v>0</v>
      </c>
      <c r="GG113" s="423">
        <f t="shared" ca="1" si="415"/>
        <v>0</v>
      </c>
      <c r="GH113" s="423">
        <f t="shared" ca="1" si="415"/>
        <v>0</v>
      </c>
      <c r="GI113" s="423">
        <f t="shared" ca="1" si="415"/>
        <v>0</v>
      </c>
      <c r="GJ113" s="423">
        <f t="shared" ca="1" si="415"/>
        <v>0</v>
      </c>
      <c r="GK113" s="423">
        <f t="shared" ca="1" si="415"/>
        <v>0</v>
      </c>
      <c r="GL113" s="423">
        <f t="shared" ca="1" si="415"/>
        <v>0</v>
      </c>
      <c r="GM113" s="423">
        <f t="shared" ca="1" si="415"/>
        <v>0</v>
      </c>
      <c r="GN113" s="423">
        <f t="shared" ca="1" si="415"/>
        <v>0</v>
      </c>
      <c r="GO113" s="423">
        <f t="shared" ca="1" si="415"/>
        <v>0</v>
      </c>
      <c r="GP113" s="423">
        <f t="shared" ca="1" si="415"/>
        <v>0</v>
      </c>
      <c r="GQ113" s="423">
        <f t="shared" ca="1" si="415"/>
        <v>0</v>
      </c>
      <c r="GR113" s="423">
        <f t="shared" ca="1" si="415"/>
        <v>0</v>
      </c>
      <c r="GS113" s="423">
        <f t="shared" ca="1" si="415"/>
        <v>0</v>
      </c>
      <c r="GT113" s="423">
        <f t="shared" ca="1" si="416"/>
        <v>0</v>
      </c>
      <c r="GU113" s="423">
        <f t="shared" ca="1" si="331"/>
        <v>0</v>
      </c>
      <c r="GV113" s="423">
        <f t="shared" ca="1" si="331"/>
        <v>0</v>
      </c>
      <c r="GW113" s="423">
        <f t="shared" ca="1" si="331"/>
        <v>0</v>
      </c>
      <c r="GX113" s="423">
        <f t="shared" ca="1" si="331"/>
        <v>0</v>
      </c>
      <c r="GY113" s="423">
        <f t="shared" ca="1" si="331"/>
        <v>0</v>
      </c>
      <c r="GZ113" s="423">
        <f t="shared" ca="1" si="331"/>
        <v>0</v>
      </c>
      <c r="HA113" s="423">
        <f t="shared" ca="1" si="331"/>
        <v>0</v>
      </c>
      <c r="HB113" s="423">
        <f t="shared" ca="1" si="331"/>
        <v>0</v>
      </c>
      <c r="HC113" s="423">
        <f t="shared" ca="1" si="331"/>
        <v>0</v>
      </c>
      <c r="HD113" s="423">
        <f t="shared" ca="1" si="331"/>
        <v>0</v>
      </c>
      <c r="HE113" s="423">
        <f t="shared" ca="1" si="331"/>
        <v>0</v>
      </c>
      <c r="HF113" s="423">
        <f t="shared" ca="1" si="331"/>
        <v>0</v>
      </c>
      <c r="HG113" s="423">
        <f t="shared" ca="1" si="331"/>
        <v>0</v>
      </c>
      <c r="HH113" s="423">
        <f t="shared" ca="1" si="331"/>
        <v>0</v>
      </c>
      <c r="HI113" s="423">
        <f t="shared" ca="1" si="331"/>
        <v>0</v>
      </c>
      <c r="HJ113" s="423">
        <f t="shared" ca="1" si="331"/>
        <v>0</v>
      </c>
      <c r="HK113" s="423">
        <f t="shared" ca="1" si="417"/>
        <v>0</v>
      </c>
      <c r="HL113" s="423">
        <f t="shared" ca="1" si="417"/>
        <v>0</v>
      </c>
      <c r="HM113" s="423">
        <f t="shared" ca="1" si="417"/>
        <v>0</v>
      </c>
      <c r="HN113" s="423">
        <f t="shared" ca="1" si="417"/>
        <v>0</v>
      </c>
      <c r="HO113" s="423">
        <f t="shared" ca="1" si="417"/>
        <v>0</v>
      </c>
      <c r="HP113" s="423">
        <f t="shared" ca="1" si="417"/>
        <v>0</v>
      </c>
      <c r="HQ113" s="423">
        <f t="shared" ca="1" si="417"/>
        <v>0</v>
      </c>
      <c r="HR113" s="423">
        <f t="shared" ca="1" si="417"/>
        <v>0</v>
      </c>
      <c r="HS113" s="423">
        <f t="shared" ca="1" si="417"/>
        <v>0</v>
      </c>
      <c r="HT113" s="423">
        <f t="shared" ca="1" si="417"/>
        <v>0</v>
      </c>
      <c r="HU113" s="423"/>
      <c r="HV113" s="423"/>
    </row>
    <row r="114" spans="1:230" ht="11.25" customHeight="1" x14ac:dyDescent="0.2">
      <c r="A114" s="62">
        <f t="shared" si="322"/>
        <v>103</v>
      </c>
      <c r="B114" s="60">
        <f>Spaces_Sum!C159</f>
        <v>0</v>
      </c>
      <c r="C114" s="62" t="str">
        <f>Spaces_Sum!D159</f>
        <v>0</v>
      </c>
      <c r="D114" s="62" t="e">
        <f ca="1">Spaces_Sum!I159</f>
        <v>#N/A</v>
      </c>
      <c r="F114" s="110" t="e">
        <f ca="1">Spaces_Sum!M159</f>
        <v>#N/A</v>
      </c>
      <c r="G114" s="110" t="e">
        <f ca="1">Spaces_Sum!J159</f>
        <v>#N/A</v>
      </c>
      <c r="H114" s="532"/>
      <c r="I114" s="185"/>
      <c r="J114" s="185"/>
      <c r="K114" s="186"/>
      <c r="L114" s="187"/>
      <c r="M114" s="188"/>
      <c r="N114" s="189"/>
      <c r="O114" s="186"/>
      <c r="P114" s="187"/>
      <c r="Q114" s="188"/>
      <c r="R114" s="189"/>
      <c r="S114" s="186"/>
      <c r="T114" s="187"/>
      <c r="U114" s="188"/>
      <c r="V114" s="189"/>
      <c r="W114" s="186"/>
      <c r="X114" s="187"/>
      <c r="Y114" s="188"/>
      <c r="Z114" s="189"/>
      <c r="AA114" s="186"/>
      <c r="AB114" s="187"/>
      <c r="AC114" s="188"/>
      <c r="AD114" s="189"/>
      <c r="AE114" s="186"/>
      <c r="AF114" s="187"/>
      <c r="AG114" s="188"/>
      <c r="AH114" s="189"/>
      <c r="AI114" s="186"/>
      <c r="AJ114" s="187"/>
      <c r="AK114" s="188"/>
      <c r="AL114" s="189"/>
      <c r="AM114" s="186"/>
      <c r="AN114" s="187"/>
      <c r="AO114" s="188"/>
      <c r="AP114" s="189"/>
      <c r="AQ114" s="186"/>
      <c r="AR114" s="187"/>
      <c r="AS114" s="188"/>
      <c r="AT114" s="189"/>
      <c r="AU114" s="186"/>
      <c r="AV114" s="187"/>
      <c r="AW114" s="188"/>
      <c r="AX114" s="189"/>
      <c r="AY114" s="186"/>
      <c r="AZ114" s="187"/>
      <c r="BA114" s="188"/>
      <c r="BB114" s="189"/>
      <c r="BC114" s="186"/>
      <c r="BD114" s="187"/>
      <c r="BE114" s="188"/>
      <c r="BF114" s="189"/>
      <c r="BG114" s="186"/>
      <c r="BH114" s="187"/>
      <c r="BI114" s="188"/>
      <c r="BJ114" s="189"/>
      <c r="BK114" s="186"/>
      <c r="BL114" s="187"/>
      <c r="BM114" s="188"/>
      <c r="BN114" s="189"/>
      <c r="BO114" s="186"/>
      <c r="BP114" s="187"/>
      <c r="BQ114" s="188"/>
      <c r="BR114" s="189"/>
      <c r="BS114" s="186"/>
      <c r="BT114" s="187"/>
      <c r="BU114" s="188"/>
      <c r="BV114" s="189"/>
      <c r="BW114" s="186"/>
      <c r="BX114" s="187"/>
      <c r="BY114" s="188"/>
      <c r="BZ114" s="189"/>
      <c r="CA114" s="186"/>
      <c r="CB114" s="190"/>
      <c r="CC114" s="190"/>
      <c r="CD114" s="82">
        <f t="shared" si="332"/>
        <v>0</v>
      </c>
      <c r="CE114" s="82">
        <f t="shared" si="333"/>
        <v>0</v>
      </c>
      <c r="CF114" s="82">
        <f t="shared" si="334"/>
        <v>0</v>
      </c>
      <c r="CG114" s="82">
        <f t="shared" si="335"/>
        <v>0</v>
      </c>
      <c r="CH114" s="82">
        <f t="shared" si="336"/>
        <v>0</v>
      </c>
      <c r="CI114" s="82">
        <f t="shared" si="337"/>
        <v>0</v>
      </c>
      <c r="CJ114" s="82">
        <f t="shared" si="338"/>
        <v>0</v>
      </c>
      <c r="CK114" s="82">
        <f t="shared" si="339"/>
        <v>0</v>
      </c>
      <c r="CL114" s="82">
        <f t="shared" si="340"/>
        <v>0</v>
      </c>
      <c r="CM114" s="82">
        <f t="shared" si="341"/>
        <v>0</v>
      </c>
      <c r="CN114" s="82">
        <f t="shared" si="342"/>
        <v>0</v>
      </c>
      <c r="CO114" s="82">
        <f t="shared" si="343"/>
        <v>0</v>
      </c>
      <c r="CP114" s="82">
        <f t="shared" si="344"/>
        <v>0</v>
      </c>
      <c r="CQ114" s="82">
        <f t="shared" si="345"/>
        <v>0</v>
      </c>
      <c r="CR114" s="82">
        <f t="shared" si="346"/>
        <v>0</v>
      </c>
      <c r="CS114" s="82">
        <f t="shared" si="347"/>
        <v>0</v>
      </c>
      <c r="CT114" s="82">
        <f t="shared" si="348"/>
        <v>0</v>
      </c>
      <c r="CU114" s="82">
        <f t="shared" si="349"/>
        <v>0</v>
      </c>
      <c r="CV114" s="82">
        <f t="shared" si="350"/>
        <v>0</v>
      </c>
      <c r="CW114" s="82">
        <f t="shared" si="351"/>
        <v>0</v>
      </c>
      <c r="CX114" s="82">
        <f t="shared" si="352"/>
        <v>0</v>
      </c>
      <c r="CY114" s="82">
        <f t="shared" si="353"/>
        <v>0</v>
      </c>
      <c r="CZ114" s="82">
        <f t="shared" si="354"/>
        <v>0</v>
      </c>
      <c r="DA114" s="82">
        <f t="shared" si="355"/>
        <v>0</v>
      </c>
      <c r="DB114" s="82">
        <f t="shared" si="356"/>
        <v>0</v>
      </c>
      <c r="DC114" s="82">
        <f t="shared" si="357"/>
        <v>0</v>
      </c>
      <c r="DD114" s="82">
        <f t="shared" si="358"/>
        <v>0</v>
      </c>
      <c r="DE114" s="82">
        <f t="shared" si="359"/>
        <v>0</v>
      </c>
      <c r="DF114" s="82">
        <f t="shared" si="360"/>
        <v>0</v>
      </c>
      <c r="DG114" s="82">
        <f t="shared" si="361"/>
        <v>0</v>
      </c>
      <c r="DH114" s="82">
        <f t="shared" si="362"/>
        <v>0</v>
      </c>
      <c r="DI114" s="82">
        <f t="shared" si="363"/>
        <v>0</v>
      </c>
      <c r="DJ114" s="82">
        <f t="shared" si="364"/>
        <v>0</v>
      </c>
      <c r="DK114" s="82">
        <f t="shared" si="365"/>
        <v>0</v>
      </c>
      <c r="DL114" s="82">
        <f t="shared" si="366"/>
        <v>0</v>
      </c>
      <c r="DM114" s="82">
        <f t="shared" si="367"/>
        <v>0</v>
      </c>
      <c r="DN114" s="82">
        <f t="shared" si="368"/>
        <v>0</v>
      </c>
      <c r="DO114" s="82">
        <f t="shared" si="369"/>
        <v>0</v>
      </c>
      <c r="DP114" s="82">
        <f t="shared" si="370"/>
        <v>0</v>
      </c>
      <c r="DQ114" s="82">
        <f t="shared" si="371"/>
        <v>0</v>
      </c>
      <c r="DR114" s="82">
        <f t="shared" si="372"/>
        <v>0</v>
      </c>
      <c r="DS114" s="82">
        <f t="shared" si="373"/>
        <v>0</v>
      </c>
      <c r="DT114" s="82">
        <f t="shared" si="374"/>
        <v>0</v>
      </c>
      <c r="DU114" s="82">
        <f t="shared" si="375"/>
        <v>0</v>
      </c>
      <c r="DV114" s="82">
        <f t="shared" si="376"/>
        <v>0</v>
      </c>
      <c r="DW114" s="82">
        <f t="shared" si="377"/>
        <v>0</v>
      </c>
      <c r="DX114" s="82">
        <f t="shared" si="378"/>
        <v>0</v>
      </c>
      <c r="DY114" s="82">
        <f t="shared" si="379"/>
        <v>0</v>
      </c>
      <c r="DZ114" s="82">
        <f t="shared" si="380"/>
        <v>0</v>
      </c>
      <c r="EA114" s="82">
        <f t="shared" si="381"/>
        <v>0</v>
      </c>
      <c r="EB114" s="82">
        <f t="shared" si="382"/>
        <v>0</v>
      </c>
      <c r="EC114" s="82">
        <f t="shared" si="383"/>
        <v>0</v>
      </c>
      <c r="ED114" s="82">
        <f t="shared" si="384"/>
        <v>0</v>
      </c>
      <c r="EE114" s="82">
        <f t="shared" si="385"/>
        <v>0</v>
      </c>
      <c r="EF114" s="82">
        <f t="shared" si="386"/>
        <v>0</v>
      </c>
      <c r="EG114" s="82">
        <f t="shared" si="387"/>
        <v>0</v>
      </c>
      <c r="EH114" s="82">
        <f t="shared" si="388"/>
        <v>0</v>
      </c>
      <c r="EI114" s="82">
        <f t="shared" si="389"/>
        <v>0</v>
      </c>
      <c r="EJ114" s="82">
        <f t="shared" si="390"/>
        <v>0</v>
      </c>
      <c r="EK114" s="82">
        <f t="shared" si="391"/>
        <v>0</v>
      </c>
      <c r="EL114" s="82">
        <f t="shared" si="392"/>
        <v>0</v>
      </c>
      <c r="EM114" s="82">
        <f t="shared" si="393"/>
        <v>0</v>
      </c>
      <c r="EN114" s="82">
        <f t="shared" si="394"/>
        <v>0</v>
      </c>
      <c r="EO114" s="82">
        <f t="shared" si="395"/>
        <v>0</v>
      </c>
      <c r="EP114" s="82">
        <f t="shared" si="396"/>
        <v>0</v>
      </c>
      <c r="EQ114" s="82">
        <f t="shared" si="397"/>
        <v>0</v>
      </c>
      <c r="ER114" s="82">
        <f t="shared" si="398"/>
        <v>0</v>
      </c>
      <c r="ES114" s="82">
        <f t="shared" si="399"/>
        <v>0</v>
      </c>
      <c r="ET114" s="82">
        <f t="shared" si="400"/>
        <v>0</v>
      </c>
      <c r="EU114" s="82">
        <f t="shared" si="401"/>
        <v>0</v>
      </c>
      <c r="EV114" s="82">
        <f t="shared" si="402"/>
        <v>0</v>
      </c>
      <c r="EW114" s="82">
        <f t="shared" si="403"/>
        <v>0</v>
      </c>
      <c r="EX114" s="82">
        <f t="shared" si="404"/>
        <v>0</v>
      </c>
      <c r="EY114" s="111">
        <f t="shared" si="405"/>
        <v>0</v>
      </c>
      <c r="EZ114" s="143" t="e">
        <f t="shared" ca="1" si="406"/>
        <v>#N/A</v>
      </c>
      <c r="FA114" s="112" t="e">
        <f t="shared" ca="1" si="407"/>
        <v>#N/A</v>
      </c>
      <c r="FB114" s="113" t="e">
        <f t="shared" ca="1" si="408"/>
        <v>#N/A</v>
      </c>
      <c r="FC114" s="114" t="e">
        <f t="shared" ca="1" si="409"/>
        <v>#N/A</v>
      </c>
      <c r="FD114" s="115">
        <f t="shared" ca="1" si="410"/>
        <v>0</v>
      </c>
      <c r="FE114" s="116" t="e">
        <f t="shared" ca="1" si="411"/>
        <v>#N/A</v>
      </c>
      <c r="FF114" s="117" t="e">
        <f t="shared" ca="1" si="412"/>
        <v>#N/A</v>
      </c>
      <c r="FG114" s="71">
        <f t="shared" si="413"/>
        <v>0</v>
      </c>
      <c r="FH114" s="530" t="e">
        <f t="shared" ca="1" si="414"/>
        <v>#N/A</v>
      </c>
      <c r="FI114" s="72"/>
      <c r="FJ114" s="72"/>
      <c r="FK114" s="72"/>
      <c r="FM114" s="421">
        <f t="shared" si="318"/>
        <v>0</v>
      </c>
      <c r="FN114" s="422" t="e">
        <f t="shared" ca="1" si="319"/>
        <v>#N/A</v>
      </c>
      <c r="FO114" s="423">
        <f t="shared" ca="1" si="418"/>
        <v>0</v>
      </c>
      <c r="FP114" s="423">
        <f t="shared" ca="1" si="418"/>
        <v>0</v>
      </c>
      <c r="FQ114" s="423">
        <f t="shared" ca="1" si="418"/>
        <v>0</v>
      </c>
      <c r="FR114" s="423">
        <f t="shared" ca="1" si="418"/>
        <v>0</v>
      </c>
      <c r="FS114" s="423">
        <f t="shared" ca="1" si="418"/>
        <v>0</v>
      </c>
      <c r="FT114" s="423">
        <f t="shared" ca="1" si="418"/>
        <v>0</v>
      </c>
      <c r="FU114" s="423">
        <f t="shared" ca="1" si="418"/>
        <v>0</v>
      </c>
      <c r="FV114" s="423">
        <f t="shared" ca="1" si="418"/>
        <v>0</v>
      </c>
      <c r="FW114" s="423">
        <f t="shared" ca="1" si="418"/>
        <v>0</v>
      </c>
      <c r="FX114" s="423">
        <f t="shared" ca="1" si="418"/>
        <v>0</v>
      </c>
      <c r="FY114" s="423">
        <f t="shared" ca="1" si="418"/>
        <v>0</v>
      </c>
      <c r="FZ114" s="423">
        <f t="shared" ca="1" si="418"/>
        <v>0</v>
      </c>
      <c r="GA114" s="423">
        <f t="shared" ca="1" si="418"/>
        <v>0</v>
      </c>
      <c r="GB114" s="423">
        <f t="shared" ca="1" si="418"/>
        <v>0</v>
      </c>
      <c r="GC114" s="423">
        <f t="shared" ca="1" si="418"/>
        <v>0</v>
      </c>
      <c r="GD114" s="423">
        <f t="shared" ca="1" si="415"/>
        <v>0</v>
      </c>
      <c r="GE114" s="423">
        <f t="shared" ca="1" si="415"/>
        <v>0</v>
      </c>
      <c r="GF114" s="423">
        <f t="shared" ca="1" si="415"/>
        <v>0</v>
      </c>
      <c r="GG114" s="423">
        <f t="shared" ca="1" si="415"/>
        <v>0</v>
      </c>
      <c r="GH114" s="423">
        <f t="shared" ca="1" si="415"/>
        <v>0</v>
      </c>
      <c r="GI114" s="423">
        <f t="shared" ca="1" si="415"/>
        <v>0</v>
      </c>
      <c r="GJ114" s="423">
        <f t="shared" ca="1" si="415"/>
        <v>0</v>
      </c>
      <c r="GK114" s="423">
        <f t="shared" ca="1" si="415"/>
        <v>0</v>
      </c>
      <c r="GL114" s="423">
        <f t="shared" ca="1" si="415"/>
        <v>0</v>
      </c>
      <c r="GM114" s="423">
        <f t="shared" ca="1" si="415"/>
        <v>0</v>
      </c>
      <c r="GN114" s="423">
        <f t="shared" ca="1" si="415"/>
        <v>0</v>
      </c>
      <c r="GO114" s="423">
        <f t="shared" ca="1" si="415"/>
        <v>0</v>
      </c>
      <c r="GP114" s="423">
        <f t="shared" ca="1" si="415"/>
        <v>0</v>
      </c>
      <c r="GQ114" s="423">
        <f t="shared" ca="1" si="415"/>
        <v>0</v>
      </c>
      <c r="GR114" s="423">
        <f t="shared" ca="1" si="415"/>
        <v>0</v>
      </c>
      <c r="GS114" s="423">
        <f t="shared" ca="1" si="415"/>
        <v>0</v>
      </c>
      <c r="GT114" s="423">
        <f t="shared" ca="1" si="416"/>
        <v>0</v>
      </c>
      <c r="GU114" s="423">
        <f t="shared" ca="1" si="331"/>
        <v>0</v>
      </c>
      <c r="GV114" s="423">
        <f t="shared" ca="1" si="331"/>
        <v>0</v>
      </c>
      <c r="GW114" s="423">
        <f t="shared" ca="1" si="331"/>
        <v>0</v>
      </c>
      <c r="GX114" s="423">
        <f t="shared" ca="1" si="331"/>
        <v>0</v>
      </c>
      <c r="GY114" s="423">
        <f t="shared" ca="1" si="331"/>
        <v>0</v>
      </c>
      <c r="GZ114" s="423">
        <f t="shared" ca="1" si="331"/>
        <v>0</v>
      </c>
      <c r="HA114" s="423">
        <f t="shared" ca="1" si="331"/>
        <v>0</v>
      </c>
      <c r="HB114" s="423">
        <f t="shared" ca="1" si="331"/>
        <v>0</v>
      </c>
      <c r="HC114" s="423">
        <f t="shared" ca="1" si="331"/>
        <v>0</v>
      </c>
      <c r="HD114" s="423">
        <f t="shared" ca="1" si="331"/>
        <v>0</v>
      </c>
      <c r="HE114" s="423">
        <f t="shared" ca="1" si="331"/>
        <v>0</v>
      </c>
      <c r="HF114" s="423">
        <f t="shared" ca="1" si="331"/>
        <v>0</v>
      </c>
      <c r="HG114" s="423">
        <f t="shared" ca="1" si="331"/>
        <v>0</v>
      </c>
      <c r="HH114" s="423">
        <f t="shared" ca="1" si="331"/>
        <v>0</v>
      </c>
      <c r="HI114" s="423">
        <f t="shared" ca="1" si="331"/>
        <v>0</v>
      </c>
      <c r="HJ114" s="423">
        <f t="shared" ca="1" si="331"/>
        <v>0</v>
      </c>
      <c r="HK114" s="423">
        <f t="shared" ca="1" si="417"/>
        <v>0</v>
      </c>
      <c r="HL114" s="423">
        <f t="shared" ca="1" si="417"/>
        <v>0</v>
      </c>
      <c r="HM114" s="423">
        <f t="shared" ca="1" si="417"/>
        <v>0</v>
      </c>
      <c r="HN114" s="423">
        <f t="shared" ca="1" si="417"/>
        <v>0</v>
      </c>
      <c r="HO114" s="423">
        <f t="shared" ca="1" si="417"/>
        <v>0</v>
      </c>
      <c r="HP114" s="423">
        <f t="shared" ca="1" si="417"/>
        <v>0</v>
      </c>
      <c r="HQ114" s="423">
        <f t="shared" ca="1" si="417"/>
        <v>0</v>
      </c>
      <c r="HR114" s="423">
        <f t="shared" ca="1" si="417"/>
        <v>0</v>
      </c>
      <c r="HS114" s="423">
        <f t="shared" ca="1" si="417"/>
        <v>0</v>
      </c>
      <c r="HT114" s="423">
        <f t="shared" ca="1" si="417"/>
        <v>0</v>
      </c>
    </row>
    <row r="115" spans="1:230" ht="11.25" customHeight="1" x14ac:dyDescent="0.2">
      <c r="A115" s="62">
        <f t="shared" si="322"/>
        <v>104</v>
      </c>
      <c r="B115" s="60">
        <f>Spaces_Sum!C160</f>
        <v>0</v>
      </c>
      <c r="C115" s="62" t="str">
        <f>Spaces_Sum!D160</f>
        <v>0</v>
      </c>
      <c r="D115" s="62" t="e">
        <f ca="1">Spaces_Sum!I160</f>
        <v>#N/A</v>
      </c>
      <c r="F115" s="110" t="e">
        <f ca="1">Spaces_Sum!M160</f>
        <v>#N/A</v>
      </c>
      <c r="G115" s="110" t="e">
        <f ca="1">Spaces_Sum!J160</f>
        <v>#N/A</v>
      </c>
      <c r="H115" s="532"/>
      <c r="I115" s="185"/>
      <c r="J115" s="185"/>
      <c r="K115" s="186"/>
      <c r="L115" s="187"/>
      <c r="M115" s="188"/>
      <c r="N115" s="189"/>
      <c r="O115" s="186"/>
      <c r="P115" s="187"/>
      <c r="Q115" s="188"/>
      <c r="R115" s="189"/>
      <c r="S115" s="186"/>
      <c r="T115" s="187"/>
      <c r="U115" s="188"/>
      <c r="V115" s="189"/>
      <c r="W115" s="186"/>
      <c r="X115" s="187"/>
      <c r="Y115" s="188"/>
      <c r="Z115" s="189"/>
      <c r="AA115" s="186"/>
      <c r="AB115" s="187"/>
      <c r="AC115" s="188"/>
      <c r="AD115" s="189"/>
      <c r="AE115" s="186"/>
      <c r="AF115" s="187"/>
      <c r="AG115" s="188"/>
      <c r="AH115" s="189"/>
      <c r="AI115" s="186"/>
      <c r="AJ115" s="187"/>
      <c r="AK115" s="188"/>
      <c r="AL115" s="189"/>
      <c r="AM115" s="186"/>
      <c r="AN115" s="187"/>
      <c r="AO115" s="188"/>
      <c r="AP115" s="189"/>
      <c r="AQ115" s="186"/>
      <c r="AR115" s="187"/>
      <c r="AS115" s="188"/>
      <c r="AT115" s="189"/>
      <c r="AU115" s="186"/>
      <c r="AV115" s="187"/>
      <c r="AW115" s="188"/>
      <c r="AX115" s="189"/>
      <c r="AY115" s="186"/>
      <c r="AZ115" s="187"/>
      <c r="BA115" s="188"/>
      <c r="BB115" s="189"/>
      <c r="BC115" s="186"/>
      <c r="BD115" s="187"/>
      <c r="BE115" s="188"/>
      <c r="BF115" s="189"/>
      <c r="BG115" s="186"/>
      <c r="BH115" s="187"/>
      <c r="BI115" s="188"/>
      <c r="BJ115" s="189"/>
      <c r="BK115" s="186"/>
      <c r="BL115" s="187"/>
      <c r="BM115" s="188"/>
      <c r="BN115" s="189"/>
      <c r="BO115" s="186"/>
      <c r="BP115" s="187"/>
      <c r="BQ115" s="188"/>
      <c r="BR115" s="189"/>
      <c r="BS115" s="186"/>
      <c r="BT115" s="187"/>
      <c r="BU115" s="188"/>
      <c r="BV115" s="189"/>
      <c r="BW115" s="186"/>
      <c r="BX115" s="187"/>
      <c r="BY115" s="188"/>
      <c r="BZ115" s="189"/>
      <c r="CA115" s="186"/>
      <c r="CB115" s="190"/>
      <c r="CC115" s="190"/>
      <c r="CD115" s="82">
        <f t="shared" si="332"/>
        <v>0</v>
      </c>
      <c r="CE115" s="82">
        <f t="shared" si="333"/>
        <v>0</v>
      </c>
      <c r="CF115" s="82">
        <f t="shared" si="334"/>
        <v>0</v>
      </c>
      <c r="CG115" s="82">
        <f t="shared" si="335"/>
        <v>0</v>
      </c>
      <c r="CH115" s="82">
        <f t="shared" si="336"/>
        <v>0</v>
      </c>
      <c r="CI115" s="82">
        <f t="shared" si="337"/>
        <v>0</v>
      </c>
      <c r="CJ115" s="82">
        <f t="shared" si="338"/>
        <v>0</v>
      </c>
      <c r="CK115" s="82">
        <f t="shared" si="339"/>
        <v>0</v>
      </c>
      <c r="CL115" s="82">
        <f t="shared" si="340"/>
        <v>0</v>
      </c>
      <c r="CM115" s="82">
        <f t="shared" si="341"/>
        <v>0</v>
      </c>
      <c r="CN115" s="82">
        <f t="shared" si="342"/>
        <v>0</v>
      </c>
      <c r="CO115" s="82">
        <f t="shared" si="343"/>
        <v>0</v>
      </c>
      <c r="CP115" s="82">
        <f t="shared" si="344"/>
        <v>0</v>
      </c>
      <c r="CQ115" s="82">
        <f t="shared" si="345"/>
        <v>0</v>
      </c>
      <c r="CR115" s="82">
        <f t="shared" si="346"/>
        <v>0</v>
      </c>
      <c r="CS115" s="82">
        <f t="shared" si="347"/>
        <v>0</v>
      </c>
      <c r="CT115" s="82">
        <f t="shared" si="348"/>
        <v>0</v>
      </c>
      <c r="CU115" s="82">
        <f t="shared" si="349"/>
        <v>0</v>
      </c>
      <c r="CV115" s="82">
        <f t="shared" si="350"/>
        <v>0</v>
      </c>
      <c r="CW115" s="82">
        <f t="shared" si="351"/>
        <v>0</v>
      </c>
      <c r="CX115" s="82">
        <f t="shared" si="352"/>
        <v>0</v>
      </c>
      <c r="CY115" s="82">
        <f t="shared" si="353"/>
        <v>0</v>
      </c>
      <c r="CZ115" s="82">
        <f t="shared" si="354"/>
        <v>0</v>
      </c>
      <c r="DA115" s="82">
        <f t="shared" si="355"/>
        <v>0</v>
      </c>
      <c r="DB115" s="82">
        <f t="shared" si="356"/>
        <v>0</v>
      </c>
      <c r="DC115" s="82">
        <f t="shared" si="357"/>
        <v>0</v>
      </c>
      <c r="DD115" s="82">
        <f t="shared" si="358"/>
        <v>0</v>
      </c>
      <c r="DE115" s="82">
        <f t="shared" si="359"/>
        <v>0</v>
      </c>
      <c r="DF115" s="82">
        <f t="shared" si="360"/>
        <v>0</v>
      </c>
      <c r="DG115" s="82">
        <f t="shared" si="361"/>
        <v>0</v>
      </c>
      <c r="DH115" s="82">
        <f t="shared" si="362"/>
        <v>0</v>
      </c>
      <c r="DI115" s="82">
        <f t="shared" si="363"/>
        <v>0</v>
      </c>
      <c r="DJ115" s="82">
        <f t="shared" si="364"/>
        <v>0</v>
      </c>
      <c r="DK115" s="82">
        <f t="shared" si="365"/>
        <v>0</v>
      </c>
      <c r="DL115" s="82">
        <f t="shared" si="366"/>
        <v>0</v>
      </c>
      <c r="DM115" s="82">
        <f t="shared" si="367"/>
        <v>0</v>
      </c>
      <c r="DN115" s="82">
        <f t="shared" si="368"/>
        <v>0</v>
      </c>
      <c r="DO115" s="82">
        <f t="shared" si="369"/>
        <v>0</v>
      </c>
      <c r="DP115" s="82">
        <f t="shared" si="370"/>
        <v>0</v>
      </c>
      <c r="DQ115" s="82">
        <f t="shared" si="371"/>
        <v>0</v>
      </c>
      <c r="DR115" s="82">
        <f t="shared" si="372"/>
        <v>0</v>
      </c>
      <c r="DS115" s="82">
        <f t="shared" si="373"/>
        <v>0</v>
      </c>
      <c r="DT115" s="82">
        <f t="shared" si="374"/>
        <v>0</v>
      </c>
      <c r="DU115" s="82">
        <f t="shared" si="375"/>
        <v>0</v>
      </c>
      <c r="DV115" s="82">
        <f t="shared" si="376"/>
        <v>0</v>
      </c>
      <c r="DW115" s="82">
        <f t="shared" si="377"/>
        <v>0</v>
      </c>
      <c r="DX115" s="82">
        <f t="shared" si="378"/>
        <v>0</v>
      </c>
      <c r="DY115" s="82">
        <f t="shared" si="379"/>
        <v>0</v>
      </c>
      <c r="DZ115" s="82">
        <f t="shared" si="380"/>
        <v>0</v>
      </c>
      <c r="EA115" s="82">
        <f t="shared" si="381"/>
        <v>0</v>
      </c>
      <c r="EB115" s="82">
        <f t="shared" si="382"/>
        <v>0</v>
      </c>
      <c r="EC115" s="82">
        <f t="shared" si="383"/>
        <v>0</v>
      </c>
      <c r="ED115" s="82">
        <f t="shared" si="384"/>
        <v>0</v>
      </c>
      <c r="EE115" s="82">
        <f t="shared" si="385"/>
        <v>0</v>
      </c>
      <c r="EF115" s="82">
        <f t="shared" si="386"/>
        <v>0</v>
      </c>
      <c r="EG115" s="82">
        <f t="shared" si="387"/>
        <v>0</v>
      </c>
      <c r="EH115" s="82">
        <f t="shared" si="388"/>
        <v>0</v>
      </c>
      <c r="EI115" s="82">
        <f t="shared" si="389"/>
        <v>0</v>
      </c>
      <c r="EJ115" s="82">
        <f t="shared" si="390"/>
        <v>0</v>
      </c>
      <c r="EK115" s="82">
        <f t="shared" si="391"/>
        <v>0</v>
      </c>
      <c r="EL115" s="82">
        <f t="shared" si="392"/>
        <v>0</v>
      </c>
      <c r="EM115" s="82">
        <f t="shared" si="393"/>
        <v>0</v>
      </c>
      <c r="EN115" s="82">
        <f t="shared" si="394"/>
        <v>0</v>
      </c>
      <c r="EO115" s="82">
        <f t="shared" si="395"/>
        <v>0</v>
      </c>
      <c r="EP115" s="82">
        <f t="shared" si="396"/>
        <v>0</v>
      </c>
      <c r="EQ115" s="82">
        <f t="shared" si="397"/>
        <v>0</v>
      </c>
      <c r="ER115" s="82">
        <f t="shared" si="398"/>
        <v>0</v>
      </c>
      <c r="ES115" s="82">
        <f t="shared" si="399"/>
        <v>0</v>
      </c>
      <c r="ET115" s="82">
        <f t="shared" si="400"/>
        <v>0</v>
      </c>
      <c r="EU115" s="82">
        <f t="shared" si="401"/>
        <v>0</v>
      </c>
      <c r="EV115" s="82">
        <f t="shared" si="402"/>
        <v>0</v>
      </c>
      <c r="EW115" s="82">
        <f t="shared" si="403"/>
        <v>0</v>
      </c>
      <c r="EX115" s="82">
        <f t="shared" si="404"/>
        <v>0</v>
      </c>
      <c r="EY115" s="111">
        <f t="shared" si="405"/>
        <v>0</v>
      </c>
      <c r="EZ115" s="143" t="e">
        <f t="shared" ca="1" si="406"/>
        <v>#N/A</v>
      </c>
      <c r="FA115" s="112" t="e">
        <f t="shared" ca="1" si="407"/>
        <v>#N/A</v>
      </c>
      <c r="FB115" s="113" t="e">
        <f t="shared" ca="1" si="408"/>
        <v>#N/A</v>
      </c>
      <c r="FC115" s="114" t="e">
        <f t="shared" ca="1" si="409"/>
        <v>#N/A</v>
      </c>
      <c r="FD115" s="115">
        <f t="shared" ca="1" si="410"/>
        <v>0</v>
      </c>
      <c r="FE115" s="116" t="e">
        <f t="shared" ca="1" si="411"/>
        <v>#N/A</v>
      </c>
      <c r="FF115" s="117" t="e">
        <f t="shared" ca="1" si="412"/>
        <v>#N/A</v>
      </c>
      <c r="FG115" s="71">
        <f t="shared" si="413"/>
        <v>0</v>
      </c>
      <c r="FH115" s="530" t="e">
        <f t="shared" ca="1" si="414"/>
        <v>#N/A</v>
      </c>
      <c r="FI115" s="72"/>
      <c r="FJ115" s="72"/>
      <c r="FK115" s="72"/>
      <c r="FM115" s="421">
        <f t="shared" si="318"/>
        <v>0</v>
      </c>
      <c r="FN115" s="422" t="e">
        <f t="shared" ca="1" si="319"/>
        <v>#N/A</v>
      </c>
      <c r="FO115" s="423">
        <f t="shared" ca="1" si="418"/>
        <v>0</v>
      </c>
      <c r="FP115" s="423">
        <f t="shared" ca="1" si="418"/>
        <v>0</v>
      </c>
      <c r="FQ115" s="423">
        <f t="shared" ca="1" si="418"/>
        <v>0</v>
      </c>
      <c r="FR115" s="423">
        <f t="shared" ca="1" si="418"/>
        <v>0</v>
      </c>
      <c r="FS115" s="423">
        <f t="shared" ca="1" si="418"/>
        <v>0</v>
      </c>
      <c r="FT115" s="423">
        <f t="shared" ca="1" si="418"/>
        <v>0</v>
      </c>
      <c r="FU115" s="423">
        <f t="shared" ca="1" si="418"/>
        <v>0</v>
      </c>
      <c r="FV115" s="423">
        <f t="shared" ca="1" si="418"/>
        <v>0</v>
      </c>
      <c r="FW115" s="423">
        <f t="shared" ca="1" si="418"/>
        <v>0</v>
      </c>
      <c r="FX115" s="423">
        <f t="shared" ca="1" si="418"/>
        <v>0</v>
      </c>
      <c r="FY115" s="423">
        <f t="shared" ca="1" si="418"/>
        <v>0</v>
      </c>
      <c r="FZ115" s="423">
        <f t="shared" ca="1" si="418"/>
        <v>0</v>
      </c>
      <c r="GA115" s="423">
        <f t="shared" ca="1" si="418"/>
        <v>0</v>
      </c>
      <c r="GB115" s="423">
        <f t="shared" ca="1" si="418"/>
        <v>0</v>
      </c>
      <c r="GC115" s="423">
        <f t="shared" ca="1" si="418"/>
        <v>0</v>
      </c>
      <c r="GD115" s="423">
        <f t="shared" ca="1" si="415"/>
        <v>0</v>
      </c>
      <c r="GE115" s="423">
        <f t="shared" ca="1" si="415"/>
        <v>0</v>
      </c>
      <c r="GF115" s="423">
        <f t="shared" ca="1" si="415"/>
        <v>0</v>
      </c>
      <c r="GG115" s="423">
        <f t="shared" ca="1" si="415"/>
        <v>0</v>
      </c>
      <c r="GH115" s="423">
        <f t="shared" ca="1" si="415"/>
        <v>0</v>
      </c>
      <c r="GI115" s="423">
        <f t="shared" ca="1" si="415"/>
        <v>0</v>
      </c>
      <c r="GJ115" s="423">
        <f t="shared" ca="1" si="415"/>
        <v>0</v>
      </c>
      <c r="GK115" s="423">
        <f t="shared" ca="1" si="415"/>
        <v>0</v>
      </c>
      <c r="GL115" s="423">
        <f t="shared" ca="1" si="415"/>
        <v>0</v>
      </c>
      <c r="GM115" s="423">
        <f t="shared" ca="1" si="415"/>
        <v>0</v>
      </c>
      <c r="GN115" s="423">
        <f t="shared" ca="1" si="415"/>
        <v>0</v>
      </c>
      <c r="GO115" s="423">
        <f t="shared" ca="1" si="415"/>
        <v>0</v>
      </c>
      <c r="GP115" s="423">
        <f t="shared" ca="1" si="415"/>
        <v>0</v>
      </c>
      <c r="GQ115" s="423">
        <f t="shared" ca="1" si="415"/>
        <v>0</v>
      </c>
      <c r="GR115" s="423">
        <f t="shared" ca="1" si="415"/>
        <v>0</v>
      </c>
      <c r="GS115" s="423">
        <f t="shared" ca="1" si="415"/>
        <v>0</v>
      </c>
      <c r="GT115" s="423">
        <f t="shared" ca="1" si="416"/>
        <v>0</v>
      </c>
      <c r="GU115" s="423">
        <f t="shared" ca="1" si="331"/>
        <v>0</v>
      </c>
      <c r="GV115" s="423">
        <f t="shared" ca="1" si="331"/>
        <v>0</v>
      </c>
      <c r="GW115" s="423">
        <f t="shared" ca="1" si="331"/>
        <v>0</v>
      </c>
      <c r="GX115" s="423">
        <f t="shared" ca="1" si="331"/>
        <v>0</v>
      </c>
      <c r="GY115" s="423">
        <f t="shared" ca="1" si="331"/>
        <v>0</v>
      </c>
      <c r="GZ115" s="423">
        <f t="shared" ca="1" si="331"/>
        <v>0</v>
      </c>
      <c r="HA115" s="423">
        <f t="shared" ca="1" si="331"/>
        <v>0</v>
      </c>
      <c r="HB115" s="423">
        <f t="shared" ca="1" si="331"/>
        <v>0</v>
      </c>
      <c r="HC115" s="423">
        <f t="shared" ca="1" si="331"/>
        <v>0</v>
      </c>
      <c r="HD115" s="423">
        <f t="shared" ca="1" si="331"/>
        <v>0</v>
      </c>
      <c r="HE115" s="423">
        <f t="shared" ca="1" si="331"/>
        <v>0</v>
      </c>
      <c r="HF115" s="423">
        <f t="shared" ca="1" si="331"/>
        <v>0</v>
      </c>
      <c r="HG115" s="423">
        <f t="shared" ca="1" si="331"/>
        <v>0</v>
      </c>
      <c r="HH115" s="423">
        <f t="shared" ca="1" si="331"/>
        <v>0</v>
      </c>
      <c r="HI115" s="423">
        <f t="shared" ca="1" si="331"/>
        <v>0</v>
      </c>
      <c r="HJ115" s="423">
        <f t="shared" ca="1" si="331"/>
        <v>0</v>
      </c>
      <c r="HK115" s="423">
        <f t="shared" ca="1" si="417"/>
        <v>0</v>
      </c>
      <c r="HL115" s="423">
        <f t="shared" ca="1" si="417"/>
        <v>0</v>
      </c>
      <c r="HM115" s="423">
        <f t="shared" ca="1" si="417"/>
        <v>0</v>
      </c>
      <c r="HN115" s="423">
        <f t="shared" ca="1" si="417"/>
        <v>0</v>
      </c>
      <c r="HO115" s="423">
        <f t="shared" ca="1" si="417"/>
        <v>0</v>
      </c>
      <c r="HP115" s="423">
        <f t="shared" ca="1" si="417"/>
        <v>0</v>
      </c>
      <c r="HQ115" s="423">
        <f t="shared" ca="1" si="417"/>
        <v>0</v>
      </c>
      <c r="HR115" s="423">
        <f t="shared" ca="1" si="417"/>
        <v>0</v>
      </c>
      <c r="HS115" s="423">
        <f t="shared" ca="1" si="417"/>
        <v>0</v>
      </c>
      <c r="HT115" s="423">
        <f t="shared" ca="1" si="417"/>
        <v>0</v>
      </c>
    </row>
    <row r="116" spans="1:230" ht="11.25" customHeight="1" x14ac:dyDescent="0.2">
      <c r="A116" s="62">
        <f t="shared" si="322"/>
        <v>105</v>
      </c>
      <c r="B116" s="60">
        <f>Spaces_Sum!C161</f>
        <v>0</v>
      </c>
      <c r="C116" s="62" t="str">
        <f>Spaces_Sum!D161</f>
        <v>0</v>
      </c>
      <c r="D116" s="62" t="e">
        <f ca="1">Spaces_Sum!I161</f>
        <v>#N/A</v>
      </c>
      <c r="F116" s="110" t="e">
        <f ca="1">Spaces_Sum!M161</f>
        <v>#N/A</v>
      </c>
      <c r="G116" s="110" t="e">
        <f ca="1">Spaces_Sum!J161</f>
        <v>#N/A</v>
      </c>
      <c r="H116" s="532"/>
      <c r="I116" s="185"/>
      <c r="J116" s="185"/>
      <c r="K116" s="186"/>
      <c r="L116" s="187"/>
      <c r="M116" s="188"/>
      <c r="N116" s="189"/>
      <c r="O116" s="186"/>
      <c r="P116" s="187"/>
      <c r="Q116" s="188"/>
      <c r="R116" s="189"/>
      <c r="S116" s="186"/>
      <c r="T116" s="187"/>
      <c r="U116" s="188"/>
      <c r="V116" s="189"/>
      <c r="W116" s="186"/>
      <c r="X116" s="187"/>
      <c r="Y116" s="188"/>
      <c r="Z116" s="189"/>
      <c r="AA116" s="186"/>
      <c r="AB116" s="187"/>
      <c r="AC116" s="188"/>
      <c r="AD116" s="189"/>
      <c r="AE116" s="186"/>
      <c r="AF116" s="187"/>
      <c r="AG116" s="188"/>
      <c r="AH116" s="189"/>
      <c r="AI116" s="186"/>
      <c r="AJ116" s="187"/>
      <c r="AK116" s="188"/>
      <c r="AL116" s="189"/>
      <c r="AM116" s="186"/>
      <c r="AN116" s="187"/>
      <c r="AO116" s="188"/>
      <c r="AP116" s="189"/>
      <c r="AQ116" s="186"/>
      <c r="AR116" s="187"/>
      <c r="AS116" s="188"/>
      <c r="AT116" s="189"/>
      <c r="AU116" s="186"/>
      <c r="AV116" s="187"/>
      <c r="AW116" s="188"/>
      <c r="AX116" s="189"/>
      <c r="AY116" s="186"/>
      <c r="AZ116" s="187"/>
      <c r="BA116" s="188"/>
      <c r="BB116" s="189"/>
      <c r="BC116" s="186"/>
      <c r="BD116" s="187"/>
      <c r="BE116" s="188"/>
      <c r="BF116" s="189"/>
      <c r="BG116" s="186"/>
      <c r="BH116" s="187"/>
      <c r="BI116" s="188"/>
      <c r="BJ116" s="189"/>
      <c r="BK116" s="186"/>
      <c r="BL116" s="187"/>
      <c r="BM116" s="188"/>
      <c r="BN116" s="189"/>
      <c r="BO116" s="186"/>
      <c r="BP116" s="187"/>
      <c r="BQ116" s="188"/>
      <c r="BR116" s="189"/>
      <c r="BS116" s="186"/>
      <c r="BT116" s="187"/>
      <c r="BU116" s="188"/>
      <c r="BV116" s="189"/>
      <c r="BW116" s="186"/>
      <c r="BX116" s="187"/>
      <c r="BY116" s="188"/>
      <c r="BZ116" s="189"/>
      <c r="CA116" s="186"/>
      <c r="CB116" s="190"/>
      <c r="CC116" s="190"/>
      <c r="CD116" s="82">
        <f t="shared" si="332"/>
        <v>0</v>
      </c>
      <c r="CE116" s="82">
        <f t="shared" si="333"/>
        <v>0</v>
      </c>
      <c r="CF116" s="82">
        <f t="shared" si="334"/>
        <v>0</v>
      </c>
      <c r="CG116" s="82">
        <f t="shared" si="335"/>
        <v>0</v>
      </c>
      <c r="CH116" s="82">
        <f t="shared" si="336"/>
        <v>0</v>
      </c>
      <c r="CI116" s="82">
        <f t="shared" si="337"/>
        <v>0</v>
      </c>
      <c r="CJ116" s="82">
        <f t="shared" si="338"/>
        <v>0</v>
      </c>
      <c r="CK116" s="82">
        <f t="shared" si="339"/>
        <v>0</v>
      </c>
      <c r="CL116" s="82">
        <f t="shared" si="340"/>
        <v>0</v>
      </c>
      <c r="CM116" s="82">
        <f t="shared" si="341"/>
        <v>0</v>
      </c>
      <c r="CN116" s="82">
        <f t="shared" si="342"/>
        <v>0</v>
      </c>
      <c r="CO116" s="82">
        <f t="shared" si="343"/>
        <v>0</v>
      </c>
      <c r="CP116" s="82">
        <f t="shared" si="344"/>
        <v>0</v>
      </c>
      <c r="CQ116" s="82">
        <f t="shared" si="345"/>
        <v>0</v>
      </c>
      <c r="CR116" s="82">
        <f t="shared" si="346"/>
        <v>0</v>
      </c>
      <c r="CS116" s="82">
        <f t="shared" si="347"/>
        <v>0</v>
      </c>
      <c r="CT116" s="82">
        <f t="shared" si="348"/>
        <v>0</v>
      </c>
      <c r="CU116" s="82">
        <f t="shared" si="349"/>
        <v>0</v>
      </c>
      <c r="CV116" s="82">
        <f t="shared" si="350"/>
        <v>0</v>
      </c>
      <c r="CW116" s="82">
        <f t="shared" si="351"/>
        <v>0</v>
      </c>
      <c r="CX116" s="82">
        <f t="shared" si="352"/>
        <v>0</v>
      </c>
      <c r="CY116" s="82">
        <f t="shared" si="353"/>
        <v>0</v>
      </c>
      <c r="CZ116" s="82">
        <f t="shared" si="354"/>
        <v>0</v>
      </c>
      <c r="DA116" s="82">
        <f t="shared" si="355"/>
        <v>0</v>
      </c>
      <c r="DB116" s="82">
        <f t="shared" si="356"/>
        <v>0</v>
      </c>
      <c r="DC116" s="82">
        <f t="shared" si="357"/>
        <v>0</v>
      </c>
      <c r="DD116" s="82">
        <f t="shared" si="358"/>
        <v>0</v>
      </c>
      <c r="DE116" s="82">
        <f t="shared" si="359"/>
        <v>0</v>
      </c>
      <c r="DF116" s="82">
        <f t="shared" si="360"/>
        <v>0</v>
      </c>
      <c r="DG116" s="82">
        <f t="shared" si="361"/>
        <v>0</v>
      </c>
      <c r="DH116" s="82">
        <f t="shared" si="362"/>
        <v>0</v>
      </c>
      <c r="DI116" s="82">
        <f t="shared" si="363"/>
        <v>0</v>
      </c>
      <c r="DJ116" s="82">
        <f t="shared" si="364"/>
        <v>0</v>
      </c>
      <c r="DK116" s="82">
        <f t="shared" si="365"/>
        <v>0</v>
      </c>
      <c r="DL116" s="82">
        <f t="shared" si="366"/>
        <v>0</v>
      </c>
      <c r="DM116" s="82">
        <f t="shared" si="367"/>
        <v>0</v>
      </c>
      <c r="DN116" s="82">
        <f t="shared" si="368"/>
        <v>0</v>
      </c>
      <c r="DO116" s="82">
        <f t="shared" si="369"/>
        <v>0</v>
      </c>
      <c r="DP116" s="82">
        <f t="shared" si="370"/>
        <v>0</v>
      </c>
      <c r="DQ116" s="82">
        <f t="shared" si="371"/>
        <v>0</v>
      </c>
      <c r="DR116" s="82">
        <f t="shared" si="372"/>
        <v>0</v>
      </c>
      <c r="DS116" s="82">
        <f t="shared" si="373"/>
        <v>0</v>
      </c>
      <c r="DT116" s="82">
        <f t="shared" si="374"/>
        <v>0</v>
      </c>
      <c r="DU116" s="82">
        <f t="shared" si="375"/>
        <v>0</v>
      </c>
      <c r="DV116" s="82">
        <f t="shared" si="376"/>
        <v>0</v>
      </c>
      <c r="DW116" s="82">
        <f t="shared" si="377"/>
        <v>0</v>
      </c>
      <c r="DX116" s="82">
        <f t="shared" si="378"/>
        <v>0</v>
      </c>
      <c r="DY116" s="82">
        <f t="shared" si="379"/>
        <v>0</v>
      </c>
      <c r="DZ116" s="82">
        <f t="shared" si="380"/>
        <v>0</v>
      </c>
      <c r="EA116" s="82">
        <f t="shared" si="381"/>
        <v>0</v>
      </c>
      <c r="EB116" s="82">
        <f t="shared" si="382"/>
        <v>0</v>
      </c>
      <c r="EC116" s="82">
        <f t="shared" si="383"/>
        <v>0</v>
      </c>
      <c r="ED116" s="82">
        <f t="shared" si="384"/>
        <v>0</v>
      </c>
      <c r="EE116" s="82">
        <f t="shared" si="385"/>
        <v>0</v>
      </c>
      <c r="EF116" s="82">
        <f t="shared" si="386"/>
        <v>0</v>
      </c>
      <c r="EG116" s="82">
        <f t="shared" si="387"/>
        <v>0</v>
      </c>
      <c r="EH116" s="82">
        <f t="shared" si="388"/>
        <v>0</v>
      </c>
      <c r="EI116" s="82">
        <f t="shared" si="389"/>
        <v>0</v>
      </c>
      <c r="EJ116" s="82">
        <f t="shared" si="390"/>
        <v>0</v>
      </c>
      <c r="EK116" s="82">
        <f t="shared" si="391"/>
        <v>0</v>
      </c>
      <c r="EL116" s="82">
        <f t="shared" si="392"/>
        <v>0</v>
      </c>
      <c r="EM116" s="82">
        <f t="shared" si="393"/>
        <v>0</v>
      </c>
      <c r="EN116" s="82">
        <f t="shared" si="394"/>
        <v>0</v>
      </c>
      <c r="EO116" s="82">
        <f t="shared" si="395"/>
        <v>0</v>
      </c>
      <c r="EP116" s="82">
        <f t="shared" si="396"/>
        <v>0</v>
      </c>
      <c r="EQ116" s="82">
        <f t="shared" si="397"/>
        <v>0</v>
      </c>
      <c r="ER116" s="82">
        <f t="shared" si="398"/>
        <v>0</v>
      </c>
      <c r="ES116" s="82">
        <f t="shared" si="399"/>
        <v>0</v>
      </c>
      <c r="ET116" s="82">
        <f t="shared" si="400"/>
        <v>0</v>
      </c>
      <c r="EU116" s="82">
        <f t="shared" si="401"/>
        <v>0</v>
      </c>
      <c r="EV116" s="82">
        <f t="shared" si="402"/>
        <v>0</v>
      </c>
      <c r="EW116" s="82">
        <f t="shared" si="403"/>
        <v>0</v>
      </c>
      <c r="EX116" s="82">
        <f t="shared" si="404"/>
        <v>0</v>
      </c>
      <c r="EY116" s="111">
        <f t="shared" si="405"/>
        <v>0</v>
      </c>
      <c r="EZ116" s="143" t="e">
        <f t="shared" ca="1" si="406"/>
        <v>#N/A</v>
      </c>
      <c r="FA116" s="112" t="e">
        <f t="shared" ca="1" si="407"/>
        <v>#N/A</v>
      </c>
      <c r="FB116" s="113" t="e">
        <f t="shared" ca="1" si="408"/>
        <v>#N/A</v>
      </c>
      <c r="FC116" s="114" t="e">
        <f t="shared" ca="1" si="409"/>
        <v>#N/A</v>
      </c>
      <c r="FD116" s="115">
        <f t="shared" ca="1" si="410"/>
        <v>0</v>
      </c>
      <c r="FE116" s="116" t="e">
        <f t="shared" ca="1" si="411"/>
        <v>#N/A</v>
      </c>
      <c r="FF116" s="117" t="e">
        <f t="shared" ca="1" si="412"/>
        <v>#N/A</v>
      </c>
      <c r="FG116" s="71">
        <f t="shared" si="413"/>
        <v>0</v>
      </c>
      <c r="FH116" s="530" t="e">
        <f t="shared" ca="1" si="414"/>
        <v>#N/A</v>
      </c>
      <c r="FI116" s="72"/>
      <c r="FJ116" s="72"/>
      <c r="FK116" s="72"/>
      <c r="FM116" s="421">
        <f t="shared" si="318"/>
        <v>0</v>
      </c>
      <c r="FN116" s="422" t="e">
        <f t="shared" ca="1" si="319"/>
        <v>#N/A</v>
      </c>
      <c r="FO116" s="423">
        <f t="shared" ca="1" si="418"/>
        <v>0</v>
      </c>
      <c r="FP116" s="423">
        <f t="shared" ca="1" si="418"/>
        <v>0</v>
      </c>
      <c r="FQ116" s="423">
        <f t="shared" ca="1" si="418"/>
        <v>0</v>
      </c>
      <c r="FR116" s="423">
        <f t="shared" ca="1" si="418"/>
        <v>0</v>
      </c>
      <c r="FS116" s="423">
        <f t="shared" ca="1" si="418"/>
        <v>0</v>
      </c>
      <c r="FT116" s="423">
        <f t="shared" ca="1" si="418"/>
        <v>0</v>
      </c>
      <c r="FU116" s="423">
        <f t="shared" ca="1" si="418"/>
        <v>0</v>
      </c>
      <c r="FV116" s="423">
        <f t="shared" ca="1" si="418"/>
        <v>0</v>
      </c>
      <c r="FW116" s="423">
        <f t="shared" ca="1" si="418"/>
        <v>0</v>
      </c>
      <c r="FX116" s="423">
        <f t="shared" ca="1" si="418"/>
        <v>0</v>
      </c>
      <c r="FY116" s="423">
        <f t="shared" ca="1" si="418"/>
        <v>0</v>
      </c>
      <c r="FZ116" s="423">
        <f t="shared" ca="1" si="418"/>
        <v>0</v>
      </c>
      <c r="GA116" s="423">
        <f t="shared" ca="1" si="418"/>
        <v>0</v>
      </c>
      <c r="GB116" s="423">
        <f t="shared" ca="1" si="418"/>
        <v>0</v>
      </c>
      <c r="GC116" s="423">
        <f t="shared" ca="1" si="418"/>
        <v>0</v>
      </c>
      <c r="GD116" s="423">
        <f t="shared" ca="1" si="415"/>
        <v>0</v>
      </c>
      <c r="GE116" s="423">
        <f t="shared" ca="1" si="415"/>
        <v>0</v>
      </c>
      <c r="GF116" s="423">
        <f t="shared" ca="1" si="415"/>
        <v>0</v>
      </c>
      <c r="GG116" s="423">
        <f t="shared" ca="1" si="415"/>
        <v>0</v>
      </c>
      <c r="GH116" s="423">
        <f t="shared" ca="1" si="415"/>
        <v>0</v>
      </c>
      <c r="GI116" s="423">
        <f t="shared" ca="1" si="415"/>
        <v>0</v>
      </c>
      <c r="GJ116" s="423">
        <f t="shared" ca="1" si="415"/>
        <v>0</v>
      </c>
      <c r="GK116" s="423">
        <f t="shared" ca="1" si="415"/>
        <v>0</v>
      </c>
      <c r="GL116" s="423">
        <f t="shared" ca="1" si="415"/>
        <v>0</v>
      </c>
      <c r="GM116" s="423">
        <f t="shared" ca="1" si="415"/>
        <v>0</v>
      </c>
      <c r="GN116" s="423">
        <f t="shared" ca="1" si="415"/>
        <v>0</v>
      </c>
      <c r="GO116" s="423">
        <f t="shared" ca="1" si="415"/>
        <v>0</v>
      </c>
      <c r="GP116" s="423">
        <f t="shared" ca="1" si="415"/>
        <v>0</v>
      </c>
      <c r="GQ116" s="423">
        <f t="shared" ca="1" si="415"/>
        <v>0</v>
      </c>
      <c r="GR116" s="423">
        <f t="shared" ca="1" si="415"/>
        <v>0</v>
      </c>
      <c r="GS116" s="423">
        <f t="shared" ca="1" si="415"/>
        <v>0</v>
      </c>
      <c r="GT116" s="423">
        <f t="shared" ca="1" si="416"/>
        <v>0</v>
      </c>
      <c r="GU116" s="423">
        <f t="shared" ca="1" si="331"/>
        <v>0</v>
      </c>
      <c r="GV116" s="423">
        <f t="shared" ca="1" si="331"/>
        <v>0</v>
      </c>
      <c r="GW116" s="423">
        <f t="shared" ca="1" si="331"/>
        <v>0</v>
      </c>
      <c r="GX116" s="423">
        <f t="shared" ca="1" si="331"/>
        <v>0</v>
      </c>
      <c r="GY116" s="423">
        <f t="shared" ca="1" si="331"/>
        <v>0</v>
      </c>
      <c r="GZ116" s="423">
        <f t="shared" ca="1" si="331"/>
        <v>0</v>
      </c>
      <c r="HA116" s="423">
        <f t="shared" ca="1" si="331"/>
        <v>0</v>
      </c>
      <c r="HB116" s="423">
        <f t="shared" ca="1" si="331"/>
        <v>0</v>
      </c>
      <c r="HC116" s="423">
        <f t="shared" ca="1" si="331"/>
        <v>0</v>
      </c>
      <c r="HD116" s="423">
        <f t="shared" ca="1" si="331"/>
        <v>0</v>
      </c>
      <c r="HE116" s="423">
        <f t="shared" ca="1" si="331"/>
        <v>0</v>
      </c>
      <c r="HF116" s="423">
        <f t="shared" ca="1" si="331"/>
        <v>0</v>
      </c>
      <c r="HG116" s="423">
        <f t="shared" ca="1" si="331"/>
        <v>0</v>
      </c>
      <c r="HH116" s="423">
        <f t="shared" ca="1" si="331"/>
        <v>0</v>
      </c>
      <c r="HI116" s="423">
        <f t="shared" ca="1" si="331"/>
        <v>0</v>
      </c>
      <c r="HJ116" s="423">
        <f t="shared" ca="1" si="331"/>
        <v>0</v>
      </c>
      <c r="HK116" s="423">
        <f t="shared" ca="1" si="417"/>
        <v>0</v>
      </c>
      <c r="HL116" s="423">
        <f t="shared" ca="1" si="417"/>
        <v>0</v>
      </c>
      <c r="HM116" s="423">
        <f t="shared" ca="1" si="417"/>
        <v>0</v>
      </c>
      <c r="HN116" s="423">
        <f t="shared" ca="1" si="417"/>
        <v>0</v>
      </c>
      <c r="HO116" s="423">
        <f t="shared" ca="1" si="417"/>
        <v>0</v>
      </c>
      <c r="HP116" s="423">
        <f t="shared" ca="1" si="417"/>
        <v>0</v>
      </c>
      <c r="HQ116" s="423">
        <f t="shared" ca="1" si="417"/>
        <v>0</v>
      </c>
      <c r="HR116" s="423">
        <f t="shared" ca="1" si="417"/>
        <v>0</v>
      </c>
      <c r="HS116" s="423">
        <f t="shared" ca="1" si="417"/>
        <v>0</v>
      </c>
      <c r="HT116" s="423">
        <f t="shared" ca="1" si="417"/>
        <v>0</v>
      </c>
    </row>
    <row r="117" spans="1:230" ht="11.25" customHeight="1" x14ac:dyDescent="0.2">
      <c r="A117" s="62">
        <f t="shared" si="322"/>
        <v>106</v>
      </c>
      <c r="B117" s="60">
        <f>Spaces_Sum!C162</f>
        <v>0</v>
      </c>
      <c r="C117" s="62" t="str">
        <f>Spaces_Sum!D162</f>
        <v>0</v>
      </c>
      <c r="D117" s="62" t="e">
        <f ca="1">Spaces_Sum!I162</f>
        <v>#N/A</v>
      </c>
      <c r="F117" s="110" t="e">
        <f ca="1">Spaces_Sum!M162</f>
        <v>#N/A</v>
      </c>
      <c r="G117" s="110" t="e">
        <f ca="1">Spaces_Sum!J162</f>
        <v>#N/A</v>
      </c>
      <c r="H117" s="532"/>
      <c r="I117" s="185"/>
      <c r="J117" s="185"/>
      <c r="K117" s="186"/>
      <c r="L117" s="187"/>
      <c r="M117" s="188"/>
      <c r="N117" s="189"/>
      <c r="O117" s="186"/>
      <c r="P117" s="187"/>
      <c r="Q117" s="188"/>
      <c r="R117" s="189"/>
      <c r="S117" s="186"/>
      <c r="T117" s="187"/>
      <c r="U117" s="188"/>
      <c r="V117" s="189"/>
      <c r="W117" s="186"/>
      <c r="X117" s="187"/>
      <c r="Y117" s="188"/>
      <c r="Z117" s="189"/>
      <c r="AA117" s="186"/>
      <c r="AB117" s="187"/>
      <c r="AC117" s="188"/>
      <c r="AD117" s="189"/>
      <c r="AE117" s="186"/>
      <c r="AF117" s="187"/>
      <c r="AG117" s="188"/>
      <c r="AH117" s="189"/>
      <c r="AI117" s="186"/>
      <c r="AJ117" s="187"/>
      <c r="AK117" s="188"/>
      <c r="AL117" s="189"/>
      <c r="AM117" s="186"/>
      <c r="AN117" s="187"/>
      <c r="AO117" s="188"/>
      <c r="AP117" s="189"/>
      <c r="AQ117" s="186"/>
      <c r="AR117" s="187"/>
      <c r="AS117" s="188"/>
      <c r="AT117" s="189"/>
      <c r="AU117" s="186"/>
      <c r="AV117" s="187"/>
      <c r="AW117" s="188"/>
      <c r="AX117" s="189"/>
      <c r="AY117" s="186"/>
      <c r="AZ117" s="187"/>
      <c r="BA117" s="188"/>
      <c r="BB117" s="189"/>
      <c r="BC117" s="186"/>
      <c r="BD117" s="187"/>
      <c r="BE117" s="188"/>
      <c r="BF117" s="189"/>
      <c r="BG117" s="186"/>
      <c r="BH117" s="187"/>
      <c r="BI117" s="188"/>
      <c r="BJ117" s="189"/>
      <c r="BK117" s="186"/>
      <c r="BL117" s="187"/>
      <c r="BM117" s="188"/>
      <c r="BN117" s="189"/>
      <c r="BO117" s="186"/>
      <c r="BP117" s="187"/>
      <c r="BQ117" s="188"/>
      <c r="BR117" s="189"/>
      <c r="BS117" s="186"/>
      <c r="BT117" s="187"/>
      <c r="BU117" s="188"/>
      <c r="BV117" s="189"/>
      <c r="BW117" s="186"/>
      <c r="BX117" s="187"/>
      <c r="BY117" s="188"/>
      <c r="BZ117" s="189"/>
      <c r="CA117" s="186"/>
      <c r="CB117" s="190"/>
      <c r="CC117" s="190"/>
      <c r="CD117" s="82">
        <f t="shared" si="332"/>
        <v>0</v>
      </c>
      <c r="CE117" s="82">
        <f t="shared" si="333"/>
        <v>0</v>
      </c>
      <c r="CF117" s="82">
        <f t="shared" si="334"/>
        <v>0</v>
      </c>
      <c r="CG117" s="82">
        <f t="shared" si="335"/>
        <v>0</v>
      </c>
      <c r="CH117" s="82">
        <f t="shared" si="336"/>
        <v>0</v>
      </c>
      <c r="CI117" s="82">
        <f t="shared" si="337"/>
        <v>0</v>
      </c>
      <c r="CJ117" s="82">
        <f t="shared" si="338"/>
        <v>0</v>
      </c>
      <c r="CK117" s="82">
        <f t="shared" si="339"/>
        <v>0</v>
      </c>
      <c r="CL117" s="82">
        <f t="shared" si="340"/>
        <v>0</v>
      </c>
      <c r="CM117" s="82">
        <f t="shared" si="341"/>
        <v>0</v>
      </c>
      <c r="CN117" s="82">
        <f t="shared" si="342"/>
        <v>0</v>
      </c>
      <c r="CO117" s="82">
        <f t="shared" si="343"/>
        <v>0</v>
      </c>
      <c r="CP117" s="82">
        <f t="shared" si="344"/>
        <v>0</v>
      </c>
      <c r="CQ117" s="82">
        <f t="shared" si="345"/>
        <v>0</v>
      </c>
      <c r="CR117" s="82">
        <f t="shared" si="346"/>
        <v>0</v>
      </c>
      <c r="CS117" s="82">
        <f t="shared" si="347"/>
        <v>0</v>
      </c>
      <c r="CT117" s="82">
        <f t="shared" si="348"/>
        <v>0</v>
      </c>
      <c r="CU117" s="82">
        <f t="shared" si="349"/>
        <v>0</v>
      </c>
      <c r="CV117" s="82">
        <f t="shared" si="350"/>
        <v>0</v>
      </c>
      <c r="CW117" s="82">
        <f t="shared" si="351"/>
        <v>0</v>
      </c>
      <c r="CX117" s="82">
        <f t="shared" si="352"/>
        <v>0</v>
      </c>
      <c r="CY117" s="82">
        <f t="shared" si="353"/>
        <v>0</v>
      </c>
      <c r="CZ117" s="82">
        <f t="shared" si="354"/>
        <v>0</v>
      </c>
      <c r="DA117" s="82">
        <f t="shared" si="355"/>
        <v>0</v>
      </c>
      <c r="DB117" s="82">
        <f t="shared" si="356"/>
        <v>0</v>
      </c>
      <c r="DC117" s="82">
        <f t="shared" si="357"/>
        <v>0</v>
      </c>
      <c r="DD117" s="82">
        <f t="shared" si="358"/>
        <v>0</v>
      </c>
      <c r="DE117" s="82">
        <f t="shared" si="359"/>
        <v>0</v>
      </c>
      <c r="DF117" s="82">
        <f t="shared" si="360"/>
        <v>0</v>
      </c>
      <c r="DG117" s="82">
        <f t="shared" si="361"/>
        <v>0</v>
      </c>
      <c r="DH117" s="82">
        <f t="shared" si="362"/>
        <v>0</v>
      </c>
      <c r="DI117" s="82">
        <f t="shared" si="363"/>
        <v>0</v>
      </c>
      <c r="DJ117" s="82">
        <f t="shared" si="364"/>
        <v>0</v>
      </c>
      <c r="DK117" s="82">
        <f t="shared" si="365"/>
        <v>0</v>
      </c>
      <c r="DL117" s="82">
        <f t="shared" si="366"/>
        <v>0</v>
      </c>
      <c r="DM117" s="82">
        <f t="shared" si="367"/>
        <v>0</v>
      </c>
      <c r="DN117" s="82">
        <f t="shared" si="368"/>
        <v>0</v>
      </c>
      <c r="DO117" s="82">
        <f t="shared" si="369"/>
        <v>0</v>
      </c>
      <c r="DP117" s="82">
        <f t="shared" si="370"/>
        <v>0</v>
      </c>
      <c r="DQ117" s="82">
        <f t="shared" si="371"/>
        <v>0</v>
      </c>
      <c r="DR117" s="82">
        <f t="shared" si="372"/>
        <v>0</v>
      </c>
      <c r="DS117" s="82">
        <f t="shared" si="373"/>
        <v>0</v>
      </c>
      <c r="DT117" s="82">
        <f t="shared" si="374"/>
        <v>0</v>
      </c>
      <c r="DU117" s="82">
        <f t="shared" si="375"/>
        <v>0</v>
      </c>
      <c r="DV117" s="82">
        <f t="shared" si="376"/>
        <v>0</v>
      </c>
      <c r="DW117" s="82">
        <f t="shared" si="377"/>
        <v>0</v>
      </c>
      <c r="DX117" s="82">
        <f t="shared" si="378"/>
        <v>0</v>
      </c>
      <c r="DY117" s="82">
        <f t="shared" si="379"/>
        <v>0</v>
      </c>
      <c r="DZ117" s="82">
        <f t="shared" si="380"/>
        <v>0</v>
      </c>
      <c r="EA117" s="82">
        <f t="shared" si="381"/>
        <v>0</v>
      </c>
      <c r="EB117" s="82">
        <f t="shared" si="382"/>
        <v>0</v>
      </c>
      <c r="EC117" s="82">
        <f t="shared" si="383"/>
        <v>0</v>
      </c>
      <c r="ED117" s="82">
        <f t="shared" si="384"/>
        <v>0</v>
      </c>
      <c r="EE117" s="82">
        <f t="shared" si="385"/>
        <v>0</v>
      </c>
      <c r="EF117" s="82">
        <f t="shared" si="386"/>
        <v>0</v>
      </c>
      <c r="EG117" s="82">
        <f t="shared" si="387"/>
        <v>0</v>
      </c>
      <c r="EH117" s="82">
        <f t="shared" si="388"/>
        <v>0</v>
      </c>
      <c r="EI117" s="82">
        <f t="shared" si="389"/>
        <v>0</v>
      </c>
      <c r="EJ117" s="82">
        <f t="shared" si="390"/>
        <v>0</v>
      </c>
      <c r="EK117" s="82">
        <f t="shared" si="391"/>
        <v>0</v>
      </c>
      <c r="EL117" s="82">
        <f t="shared" si="392"/>
        <v>0</v>
      </c>
      <c r="EM117" s="82">
        <f t="shared" si="393"/>
        <v>0</v>
      </c>
      <c r="EN117" s="82">
        <f t="shared" si="394"/>
        <v>0</v>
      </c>
      <c r="EO117" s="82">
        <f t="shared" si="395"/>
        <v>0</v>
      </c>
      <c r="EP117" s="82">
        <f t="shared" si="396"/>
        <v>0</v>
      </c>
      <c r="EQ117" s="82">
        <f t="shared" si="397"/>
        <v>0</v>
      </c>
      <c r="ER117" s="82">
        <f t="shared" si="398"/>
        <v>0</v>
      </c>
      <c r="ES117" s="82">
        <f t="shared" si="399"/>
        <v>0</v>
      </c>
      <c r="ET117" s="82">
        <f t="shared" si="400"/>
        <v>0</v>
      </c>
      <c r="EU117" s="82">
        <f t="shared" si="401"/>
        <v>0</v>
      </c>
      <c r="EV117" s="82">
        <f t="shared" si="402"/>
        <v>0</v>
      </c>
      <c r="EW117" s="82">
        <f t="shared" si="403"/>
        <v>0</v>
      </c>
      <c r="EX117" s="82">
        <f t="shared" si="404"/>
        <v>0</v>
      </c>
      <c r="EY117" s="111">
        <f t="shared" si="405"/>
        <v>0</v>
      </c>
      <c r="EZ117" s="143" t="e">
        <f t="shared" ca="1" si="406"/>
        <v>#N/A</v>
      </c>
      <c r="FA117" s="112" t="e">
        <f t="shared" ca="1" si="407"/>
        <v>#N/A</v>
      </c>
      <c r="FB117" s="113" t="e">
        <f t="shared" ca="1" si="408"/>
        <v>#N/A</v>
      </c>
      <c r="FC117" s="114" t="e">
        <f t="shared" ca="1" si="409"/>
        <v>#N/A</v>
      </c>
      <c r="FD117" s="115">
        <f t="shared" ca="1" si="410"/>
        <v>0</v>
      </c>
      <c r="FE117" s="116" t="e">
        <f t="shared" ca="1" si="411"/>
        <v>#N/A</v>
      </c>
      <c r="FF117" s="117" t="e">
        <f t="shared" ca="1" si="412"/>
        <v>#N/A</v>
      </c>
      <c r="FG117" s="71">
        <f t="shared" si="413"/>
        <v>0</v>
      </c>
      <c r="FH117" s="530" t="e">
        <f t="shared" ca="1" si="414"/>
        <v>#N/A</v>
      </c>
      <c r="FI117" s="72"/>
      <c r="FJ117" s="72"/>
      <c r="FK117" s="72"/>
      <c r="FM117" s="421">
        <f t="shared" si="318"/>
        <v>0</v>
      </c>
      <c r="FN117" s="422" t="e">
        <f t="shared" ca="1" si="319"/>
        <v>#N/A</v>
      </c>
      <c r="FO117" s="423">
        <f t="shared" ca="1" si="418"/>
        <v>0</v>
      </c>
      <c r="FP117" s="423">
        <f t="shared" ca="1" si="418"/>
        <v>0</v>
      </c>
      <c r="FQ117" s="423">
        <f t="shared" ca="1" si="418"/>
        <v>0</v>
      </c>
      <c r="FR117" s="423">
        <f t="shared" ca="1" si="418"/>
        <v>0</v>
      </c>
      <c r="FS117" s="423">
        <f t="shared" ca="1" si="418"/>
        <v>0</v>
      </c>
      <c r="FT117" s="423">
        <f t="shared" ca="1" si="418"/>
        <v>0</v>
      </c>
      <c r="FU117" s="423">
        <f t="shared" ca="1" si="418"/>
        <v>0</v>
      </c>
      <c r="FV117" s="423">
        <f t="shared" ca="1" si="418"/>
        <v>0</v>
      </c>
      <c r="FW117" s="423">
        <f t="shared" ca="1" si="418"/>
        <v>0</v>
      </c>
      <c r="FX117" s="423">
        <f t="shared" ca="1" si="418"/>
        <v>0</v>
      </c>
      <c r="FY117" s="423">
        <f t="shared" ca="1" si="418"/>
        <v>0</v>
      </c>
      <c r="FZ117" s="423">
        <f t="shared" ca="1" si="418"/>
        <v>0</v>
      </c>
      <c r="GA117" s="423">
        <f t="shared" ca="1" si="418"/>
        <v>0</v>
      </c>
      <c r="GB117" s="423">
        <f t="shared" ca="1" si="418"/>
        <v>0</v>
      </c>
      <c r="GC117" s="423">
        <f t="shared" ca="1" si="418"/>
        <v>0</v>
      </c>
      <c r="GD117" s="423">
        <f t="shared" ca="1" si="415"/>
        <v>0</v>
      </c>
      <c r="GE117" s="423">
        <f t="shared" ca="1" si="415"/>
        <v>0</v>
      </c>
      <c r="GF117" s="423">
        <f t="shared" ca="1" si="415"/>
        <v>0</v>
      </c>
      <c r="GG117" s="423">
        <f t="shared" ca="1" si="415"/>
        <v>0</v>
      </c>
      <c r="GH117" s="423">
        <f t="shared" ca="1" si="415"/>
        <v>0</v>
      </c>
      <c r="GI117" s="423">
        <f t="shared" ca="1" si="415"/>
        <v>0</v>
      </c>
      <c r="GJ117" s="423">
        <f t="shared" ca="1" si="415"/>
        <v>0</v>
      </c>
      <c r="GK117" s="423">
        <f t="shared" ca="1" si="415"/>
        <v>0</v>
      </c>
      <c r="GL117" s="423">
        <f t="shared" ca="1" si="415"/>
        <v>0</v>
      </c>
      <c r="GM117" s="423">
        <f t="shared" ca="1" si="415"/>
        <v>0</v>
      </c>
      <c r="GN117" s="423">
        <f t="shared" ca="1" si="415"/>
        <v>0</v>
      </c>
      <c r="GO117" s="423">
        <f t="shared" ca="1" si="415"/>
        <v>0</v>
      </c>
      <c r="GP117" s="423">
        <f t="shared" ca="1" si="415"/>
        <v>0</v>
      </c>
      <c r="GQ117" s="423">
        <f t="shared" ca="1" si="415"/>
        <v>0</v>
      </c>
      <c r="GR117" s="423">
        <f t="shared" ca="1" si="415"/>
        <v>0</v>
      </c>
      <c r="GS117" s="423">
        <f t="shared" ca="1" si="415"/>
        <v>0</v>
      </c>
      <c r="GT117" s="423">
        <f t="shared" ca="1" si="416"/>
        <v>0</v>
      </c>
      <c r="GU117" s="423">
        <f t="shared" ca="1" si="331"/>
        <v>0</v>
      </c>
      <c r="GV117" s="423">
        <f t="shared" ca="1" si="331"/>
        <v>0</v>
      </c>
      <c r="GW117" s="423">
        <f t="shared" ca="1" si="331"/>
        <v>0</v>
      </c>
      <c r="GX117" s="423">
        <f t="shared" ca="1" si="331"/>
        <v>0</v>
      </c>
      <c r="GY117" s="423">
        <f t="shared" ca="1" si="331"/>
        <v>0</v>
      </c>
      <c r="GZ117" s="423">
        <f t="shared" ca="1" si="331"/>
        <v>0</v>
      </c>
      <c r="HA117" s="423">
        <f t="shared" ca="1" si="331"/>
        <v>0</v>
      </c>
      <c r="HB117" s="423">
        <f t="shared" ca="1" si="331"/>
        <v>0</v>
      </c>
      <c r="HC117" s="423">
        <f t="shared" ca="1" si="331"/>
        <v>0</v>
      </c>
      <c r="HD117" s="423">
        <f t="shared" ca="1" si="331"/>
        <v>0</v>
      </c>
      <c r="HE117" s="423">
        <f t="shared" ca="1" si="331"/>
        <v>0</v>
      </c>
      <c r="HF117" s="423">
        <f t="shared" ca="1" si="331"/>
        <v>0</v>
      </c>
      <c r="HG117" s="423">
        <f t="shared" ca="1" si="331"/>
        <v>0</v>
      </c>
      <c r="HH117" s="423">
        <f t="shared" ca="1" si="331"/>
        <v>0</v>
      </c>
      <c r="HI117" s="423">
        <f t="shared" ca="1" si="331"/>
        <v>0</v>
      </c>
      <c r="HJ117" s="423">
        <f t="shared" ca="1" si="331"/>
        <v>0</v>
      </c>
      <c r="HK117" s="423">
        <f t="shared" ca="1" si="417"/>
        <v>0</v>
      </c>
      <c r="HL117" s="423">
        <f t="shared" ca="1" si="417"/>
        <v>0</v>
      </c>
      <c r="HM117" s="423">
        <f t="shared" ca="1" si="417"/>
        <v>0</v>
      </c>
      <c r="HN117" s="423">
        <f t="shared" ca="1" si="417"/>
        <v>0</v>
      </c>
      <c r="HO117" s="423">
        <f t="shared" ca="1" si="417"/>
        <v>0</v>
      </c>
      <c r="HP117" s="423">
        <f t="shared" ca="1" si="417"/>
        <v>0</v>
      </c>
      <c r="HQ117" s="423">
        <f t="shared" ca="1" si="417"/>
        <v>0</v>
      </c>
      <c r="HR117" s="423">
        <f t="shared" ca="1" si="417"/>
        <v>0</v>
      </c>
      <c r="HS117" s="423">
        <f t="shared" ca="1" si="417"/>
        <v>0</v>
      </c>
      <c r="HT117" s="423">
        <f t="shared" ca="1" si="417"/>
        <v>0</v>
      </c>
    </row>
    <row r="118" spans="1:230" ht="11.25" customHeight="1" x14ac:dyDescent="0.2">
      <c r="A118" s="62">
        <f t="shared" si="322"/>
        <v>107</v>
      </c>
      <c r="B118" s="60">
        <f>Spaces_Sum!C163</f>
        <v>0</v>
      </c>
      <c r="C118" s="62" t="str">
        <f>Spaces_Sum!D163</f>
        <v>0</v>
      </c>
      <c r="D118" s="62" t="e">
        <f ca="1">Spaces_Sum!I163</f>
        <v>#N/A</v>
      </c>
      <c r="F118" s="110" t="e">
        <f ca="1">Spaces_Sum!M163</f>
        <v>#N/A</v>
      </c>
      <c r="G118" s="110" t="e">
        <f ca="1">Spaces_Sum!J163</f>
        <v>#N/A</v>
      </c>
      <c r="H118" s="532"/>
      <c r="I118" s="185"/>
      <c r="J118" s="185"/>
      <c r="K118" s="186"/>
      <c r="L118" s="187"/>
      <c r="M118" s="188"/>
      <c r="N118" s="189"/>
      <c r="O118" s="186"/>
      <c r="P118" s="187"/>
      <c r="Q118" s="188"/>
      <c r="R118" s="189"/>
      <c r="S118" s="186"/>
      <c r="T118" s="187"/>
      <c r="U118" s="188"/>
      <c r="V118" s="189"/>
      <c r="W118" s="186"/>
      <c r="X118" s="187"/>
      <c r="Y118" s="188"/>
      <c r="Z118" s="189"/>
      <c r="AA118" s="186"/>
      <c r="AB118" s="187"/>
      <c r="AC118" s="188"/>
      <c r="AD118" s="189"/>
      <c r="AE118" s="186"/>
      <c r="AF118" s="187"/>
      <c r="AG118" s="188"/>
      <c r="AH118" s="189"/>
      <c r="AI118" s="186"/>
      <c r="AJ118" s="187"/>
      <c r="AK118" s="188"/>
      <c r="AL118" s="189"/>
      <c r="AM118" s="186"/>
      <c r="AN118" s="187"/>
      <c r="AO118" s="188"/>
      <c r="AP118" s="189"/>
      <c r="AQ118" s="186"/>
      <c r="AR118" s="187"/>
      <c r="AS118" s="188"/>
      <c r="AT118" s="189"/>
      <c r="AU118" s="186"/>
      <c r="AV118" s="187"/>
      <c r="AW118" s="188"/>
      <c r="AX118" s="189"/>
      <c r="AY118" s="186"/>
      <c r="AZ118" s="187"/>
      <c r="BA118" s="188"/>
      <c r="BB118" s="189"/>
      <c r="BC118" s="186"/>
      <c r="BD118" s="187"/>
      <c r="BE118" s="188"/>
      <c r="BF118" s="189"/>
      <c r="BG118" s="186"/>
      <c r="BH118" s="187"/>
      <c r="BI118" s="188"/>
      <c r="BJ118" s="189"/>
      <c r="BK118" s="186"/>
      <c r="BL118" s="187"/>
      <c r="BM118" s="188"/>
      <c r="BN118" s="189"/>
      <c r="BO118" s="186"/>
      <c r="BP118" s="187"/>
      <c r="BQ118" s="188"/>
      <c r="BR118" s="189"/>
      <c r="BS118" s="186"/>
      <c r="BT118" s="187"/>
      <c r="BU118" s="188"/>
      <c r="BV118" s="189"/>
      <c r="BW118" s="186"/>
      <c r="BX118" s="187"/>
      <c r="BY118" s="188"/>
      <c r="BZ118" s="189"/>
      <c r="CA118" s="186"/>
      <c r="CB118" s="190"/>
      <c r="CC118" s="190"/>
      <c r="CD118" s="82">
        <f t="shared" si="332"/>
        <v>0</v>
      </c>
      <c r="CE118" s="82">
        <f t="shared" si="333"/>
        <v>0</v>
      </c>
      <c r="CF118" s="82">
        <f t="shared" si="334"/>
        <v>0</v>
      </c>
      <c r="CG118" s="82">
        <f t="shared" si="335"/>
        <v>0</v>
      </c>
      <c r="CH118" s="82">
        <f t="shared" si="336"/>
        <v>0</v>
      </c>
      <c r="CI118" s="82">
        <f t="shared" si="337"/>
        <v>0</v>
      </c>
      <c r="CJ118" s="82">
        <f t="shared" si="338"/>
        <v>0</v>
      </c>
      <c r="CK118" s="82">
        <f t="shared" si="339"/>
        <v>0</v>
      </c>
      <c r="CL118" s="82">
        <f t="shared" si="340"/>
        <v>0</v>
      </c>
      <c r="CM118" s="82">
        <f t="shared" si="341"/>
        <v>0</v>
      </c>
      <c r="CN118" s="82">
        <f t="shared" si="342"/>
        <v>0</v>
      </c>
      <c r="CO118" s="82">
        <f t="shared" si="343"/>
        <v>0</v>
      </c>
      <c r="CP118" s="82">
        <f t="shared" si="344"/>
        <v>0</v>
      </c>
      <c r="CQ118" s="82">
        <f t="shared" si="345"/>
        <v>0</v>
      </c>
      <c r="CR118" s="82">
        <f t="shared" si="346"/>
        <v>0</v>
      </c>
      <c r="CS118" s="82">
        <f t="shared" si="347"/>
        <v>0</v>
      </c>
      <c r="CT118" s="82">
        <f t="shared" si="348"/>
        <v>0</v>
      </c>
      <c r="CU118" s="82">
        <f t="shared" si="349"/>
        <v>0</v>
      </c>
      <c r="CV118" s="82">
        <f t="shared" si="350"/>
        <v>0</v>
      </c>
      <c r="CW118" s="82">
        <f t="shared" si="351"/>
        <v>0</v>
      </c>
      <c r="CX118" s="82">
        <f t="shared" si="352"/>
        <v>0</v>
      </c>
      <c r="CY118" s="82">
        <f t="shared" si="353"/>
        <v>0</v>
      </c>
      <c r="CZ118" s="82">
        <f t="shared" si="354"/>
        <v>0</v>
      </c>
      <c r="DA118" s="82">
        <f t="shared" si="355"/>
        <v>0</v>
      </c>
      <c r="DB118" s="82">
        <f t="shared" si="356"/>
        <v>0</v>
      </c>
      <c r="DC118" s="82">
        <f t="shared" si="357"/>
        <v>0</v>
      </c>
      <c r="DD118" s="82">
        <f t="shared" si="358"/>
        <v>0</v>
      </c>
      <c r="DE118" s="82">
        <f t="shared" si="359"/>
        <v>0</v>
      </c>
      <c r="DF118" s="82">
        <f t="shared" si="360"/>
        <v>0</v>
      </c>
      <c r="DG118" s="82">
        <f t="shared" si="361"/>
        <v>0</v>
      </c>
      <c r="DH118" s="82">
        <f t="shared" si="362"/>
        <v>0</v>
      </c>
      <c r="DI118" s="82">
        <f t="shared" si="363"/>
        <v>0</v>
      </c>
      <c r="DJ118" s="82">
        <f t="shared" si="364"/>
        <v>0</v>
      </c>
      <c r="DK118" s="82">
        <f t="shared" si="365"/>
        <v>0</v>
      </c>
      <c r="DL118" s="82">
        <f t="shared" si="366"/>
        <v>0</v>
      </c>
      <c r="DM118" s="82">
        <f t="shared" si="367"/>
        <v>0</v>
      </c>
      <c r="DN118" s="82">
        <f t="shared" si="368"/>
        <v>0</v>
      </c>
      <c r="DO118" s="82">
        <f t="shared" si="369"/>
        <v>0</v>
      </c>
      <c r="DP118" s="82">
        <f t="shared" si="370"/>
        <v>0</v>
      </c>
      <c r="DQ118" s="82">
        <f t="shared" si="371"/>
        <v>0</v>
      </c>
      <c r="DR118" s="82">
        <f t="shared" si="372"/>
        <v>0</v>
      </c>
      <c r="DS118" s="82">
        <f t="shared" si="373"/>
        <v>0</v>
      </c>
      <c r="DT118" s="82">
        <f t="shared" si="374"/>
        <v>0</v>
      </c>
      <c r="DU118" s="82">
        <f t="shared" si="375"/>
        <v>0</v>
      </c>
      <c r="DV118" s="82">
        <f t="shared" si="376"/>
        <v>0</v>
      </c>
      <c r="DW118" s="82">
        <f t="shared" si="377"/>
        <v>0</v>
      </c>
      <c r="DX118" s="82">
        <f t="shared" si="378"/>
        <v>0</v>
      </c>
      <c r="DY118" s="82">
        <f t="shared" si="379"/>
        <v>0</v>
      </c>
      <c r="DZ118" s="82">
        <f t="shared" si="380"/>
        <v>0</v>
      </c>
      <c r="EA118" s="82">
        <f t="shared" si="381"/>
        <v>0</v>
      </c>
      <c r="EB118" s="82">
        <f t="shared" si="382"/>
        <v>0</v>
      </c>
      <c r="EC118" s="82">
        <f t="shared" si="383"/>
        <v>0</v>
      </c>
      <c r="ED118" s="82">
        <f t="shared" si="384"/>
        <v>0</v>
      </c>
      <c r="EE118" s="82">
        <f t="shared" si="385"/>
        <v>0</v>
      </c>
      <c r="EF118" s="82">
        <f t="shared" si="386"/>
        <v>0</v>
      </c>
      <c r="EG118" s="82">
        <f t="shared" si="387"/>
        <v>0</v>
      </c>
      <c r="EH118" s="82">
        <f t="shared" si="388"/>
        <v>0</v>
      </c>
      <c r="EI118" s="82">
        <f t="shared" si="389"/>
        <v>0</v>
      </c>
      <c r="EJ118" s="82">
        <f t="shared" si="390"/>
        <v>0</v>
      </c>
      <c r="EK118" s="82">
        <f t="shared" si="391"/>
        <v>0</v>
      </c>
      <c r="EL118" s="82">
        <f t="shared" si="392"/>
        <v>0</v>
      </c>
      <c r="EM118" s="82">
        <f t="shared" si="393"/>
        <v>0</v>
      </c>
      <c r="EN118" s="82">
        <f t="shared" si="394"/>
        <v>0</v>
      </c>
      <c r="EO118" s="82">
        <f t="shared" si="395"/>
        <v>0</v>
      </c>
      <c r="EP118" s="82">
        <f t="shared" si="396"/>
        <v>0</v>
      </c>
      <c r="EQ118" s="82">
        <f t="shared" si="397"/>
        <v>0</v>
      </c>
      <c r="ER118" s="82">
        <f t="shared" si="398"/>
        <v>0</v>
      </c>
      <c r="ES118" s="82">
        <f t="shared" si="399"/>
        <v>0</v>
      </c>
      <c r="ET118" s="82">
        <f t="shared" si="400"/>
        <v>0</v>
      </c>
      <c r="EU118" s="82">
        <f t="shared" si="401"/>
        <v>0</v>
      </c>
      <c r="EV118" s="82">
        <f t="shared" si="402"/>
        <v>0</v>
      </c>
      <c r="EW118" s="82">
        <f t="shared" si="403"/>
        <v>0</v>
      </c>
      <c r="EX118" s="82">
        <f t="shared" si="404"/>
        <v>0</v>
      </c>
      <c r="EY118" s="111">
        <f t="shared" si="405"/>
        <v>0</v>
      </c>
      <c r="EZ118" s="143" t="e">
        <f t="shared" ca="1" si="406"/>
        <v>#N/A</v>
      </c>
      <c r="FA118" s="112" t="e">
        <f t="shared" ca="1" si="407"/>
        <v>#N/A</v>
      </c>
      <c r="FB118" s="113" t="e">
        <f t="shared" ca="1" si="408"/>
        <v>#N/A</v>
      </c>
      <c r="FC118" s="114" t="e">
        <f t="shared" ca="1" si="409"/>
        <v>#N/A</v>
      </c>
      <c r="FD118" s="115">
        <f t="shared" ca="1" si="410"/>
        <v>0</v>
      </c>
      <c r="FE118" s="116" t="e">
        <f t="shared" ca="1" si="411"/>
        <v>#N/A</v>
      </c>
      <c r="FF118" s="117" t="e">
        <f t="shared" ca="1" si="412"/>
        <v>#N/A</v>
      </c>
      <c r="FG118" s="71">
        <f t="shared" si="413"/>
        <v>0</v>
      </c>
      <c r="FH118" s="530" t="e">
        <f t="shared" ca="1" si="414"/>
        <v>#N/A</v>
      </c>
      <c r="FI118" s="72"/>
      <c r="FJ118" s="72"/>
      <c r="FK118" s="72"/>
      <c r="FM118" s="421">
        <f t="shared" si="318"/>
        <v>0</v>
      </c>
      <c r="FN118" s="422" t="e">
        <f t="shared" ca="1" si="319"/>
        <v>#N/A</v>
      </c>
      <c r="FO118" s="423">
        <f t="shared" ca="1" si="418"/>
        <v>0</v>
      </c>
      <c r="FP118" s="423">
        <f t="shared" ca="1" si="418"/>
        <v>0</v>
      </c>
      <c r="FQ118" s="423">
        <f t="shared" ca="1" si="418"/>
        <v>0</v>
      </c>
      <c r="FR118" s="423">
        <f t="shared" ca="1" si="418"/>
        <v>0</v>
      </c>
      <c r="FS118" s="423">
        <f t="shared" ca="1" si="418"/>
        <v>0</v>
      </c>
      <c r="FT118" s="423">
        <f t="shared" ca="1" si="418"/>
        <v>0</v>
      </c>
      <c r="FU118" s="423">
        <f t="shared" ca="1" si="418"/>
        <v>0</v>
      </c>
      <c r="FV118" s="423">
        <f t="shared" ca="1" si="418"/>
        <v>0</v>
      </c>
      <c r="FW118" s="423">
        <f t="shared" ca="1" si="418"/>
        <v>0</v>
      </c>
      <c r="FX118" s="423">
        <f t="shared" ca="1" si="418"/>
        <v>0</v>
      </c>
      <c r="FY118" s="423">
        <f t="shared" ca="1" si="418"/>
        <v>0</v>
      </c>
      <c r="FZ118" s="423">
        <f t="shared" ca="1" si="418"/>
        <v>0</v>
      </c>
      <c r="GA118" s="423">
        <f t="shared" ca="1" si="418"/>
        <v>0</v>
      </c>
      <c r="GB118" s="423">
        <f t="shared" ca="1" si="418"/>
        <v>0</v>
      </c>
      <c r="GC118" s="423">
        <f t="shared" ca="1" si="418"/>
        <v>0</v>
      </c>
      <c r="GD118" s="423">
        <f t="shared" ca="1" si="415"/>
        <v>0</v>
      </c>
      <c r="GE118" s="423">
        <f t="shared" ca="1" si="415"/>
        <v>0</v>
      </c>
      <c r="GF118" s="423">
        <f t="shared" ca="1" si="415"/>
        <v>0</v>
      </c>
      <c r="GG118" s="423">
        <f t="shared" ca="1" si="415"/>
        <v>0</v>
      </c>
      <c r="GH118" s="423">
        <f t="shared" ca="1" si="415"/>
        <v>0</v>
      </c>
      <c r="GI118" s="423">
        <f t="shared" ca="1" si="415"/>
        <v>0</v>
      </c>
      <c r="GJ118" s="423">
        <f t="shared" ca="1" si="415"/>
        <v>0</v>
      </c>
      <c r="GK118" s="423">
        <f t="shared" ca="1" si="415"/>
        <v>0</v>
      </c>
      <c r="GL118" s="423">
        <f t="shared" ca="1" si="415"/>
        <v>0</v>
      </c>
      <c r="GM118" s="423">
        <f t="shared" ca="1" si="415"/>
        <v>0</v>
      </c>
      <c r="GN118" s="423">
        <f t="shared" ca="1" si="415"/>
        <v>0</v>
      </c>
      <c r="GO118" s="423">
        <f t="shared" ca="1" si="415"/>
        <v>0</v>
      </c>
      <c r="GP118" s="423">
        <f t="shared" ca="1" si="415"/>
        <v>0</v>
      </c>
      <c r="GQ118" s="423">
        <f t="shared" ca="1" si="415"/>
        <v>0</v>
      </c>
      <c r="GR118" s="423">
        <f t="shared" ca="1" si="415"/>
        <v>0</v>
      </c>
      <c r="GS118" s="423">
        <f t="shared" ca="1" si="415"/>
        <v>0</v>
      </c>
      <c r="GT118" s="423">
        <f t="shared" ca="1" si="416"/>
        <v>0</v>
      </c>
      <c r="GU118" s="423">
        <f t="shared" ca="1" si="331"/>
        <v>0</v>
      </c>
      <c r="GV118" s="423">
        <f t="shared" ca="1" si="331"/>
        <v>0</v>
      </c>
      <c r="GW118" s="423">
        <f t="shared" ca="1" si="331"/>
        <v>0</v>
      </c>
      <c r="GX118" s="423">
        <f t="shared" ca="1" si="331"/>
        <v>0</v>
      </c>
      <c r="GY118" s="423">
        <f t="shared" ca="1" si="331"/>
        <v>0</v>
      </c>
      <c r="GZ118" s="423">
        <f t="shared" ca="1" si="331"/>
        <v>0</v>
      </c>
      <c r="HA118" s="423">
        <f t="shared" ca="1" si="331"/>
        <v>0</v>
      </c>
      <c r="HB118" s="423">
        <f t="shared" ca="1" si="331"/>
        <v>0</v>
      </c>
      <c r="HC118" s="423">
        <f t="shared" ca="1" si="331"/>
        <v>0</v>
      </c>
      <c r="HD118" s="423">
        <f t="shared" ca="1" si="331"/>
        <v>0</v>
      </c>
      <c r="HE118" s="423">
        <f t="shared" ca="1" si="331"/>
        <v>0</v>
      </c>
      <c r="HF118" s="423">
        <f t="shared" ca="1" si="331"/>
        <v>0</v>
      </c>
      <c r="HG118" s="423">
        <f t="shared" ca="1" si="331"/>
        <v>0</v>
      </c>
      <c r="HH118" s="423">
        <f t="shared" ca="1" si="331"/>
        <v>0</v>
      </c>
      <c r="HI118" s="423">
        <f t="shared" ca="1" si="331"/>
        <v>0</v>
      </c>
      <c r="HJ118" s="423">
        <f t="shared" ca="1" si="331"/>
        <v>0</v>
      </c>
      <c r="HK118" s="423">
        <f t="shared" ca="1" si="417"/>
        <v>0</v>
      </c>
      <c r="HL118" s="423">
        <f t="shared" ca="1" si="417"/>
        <v>0</v>
      </c>
      <c r="HM118" s="423">
        <f t="shared" ca="1" si="417"/>
        <v>0</v>
      </c>
      <c r="HN118" s="423">
        <f t="shared" ca="1" si="417"/>
        <v>0</v>
      </c>
      <c r="HO118" s="423">
        <f t="shared" ca="1" si="417"/>
        <v>0</v>
      </c>
      <c r="HP118" s="423">
        <f t="shared" ca="1" si="417"/>
        <v>0</v>
      </c>
      <c r="HQ118" s="423">
        <f t="shared" ca="1" si="417"/>
        <v>0</v>
      </c>
      <c r="HR118" s="423">
        <f t="shared" ca="1" si="417"/>
        <v>0</v>
      </c>
      <c r="HS118" s="423">
        <f t="shared" ca="1" si="417"/>
        <v>0</v>
      </c>
      <c r="HT118" s="423">
        <f t="shared" ca="1" si="417"/>
        <v>0</v>
      </c>
    </row>
    <row r="119" spans="1:230" ht="11.25" customHeight="1" x14ac:dyDescent="0.2">
      <c r="A119" s="62">
        <f t="shared" si="322"/>
        <v>108</v>
      </c>
      <c r="B119" s="60">
        <f>Spaces_Sum!C164</f>
        <v>0</v>
      </c>
      <c r="C119" s="62" t="str">
        <f>Spaces_Sum!D164</f>
        <v>0</v>
      </c>
      <c r="D119" s="62" t="e">
        <f ca="1">Spaces_Sum!I164</f>
        <v>#N/A</v>
      </c>
      <c r="F119" s="110" t="e">
        <f ca="1">Spaces_Sum!M164</f>
        <v>#N/A</v>
      </c>
      <c r="G119" s="110" t="e">
        <f ca="1">Spaces_Sum!J164</f>
        <v>#N/A</v>
      </c>
      <c r="H119" s="532"/>
      <c r="I119" s="185"/>
      <c r="J119" s="185"/>
      <c r="K119" s="186"/>
      <c r="L119" s="187"/>
      <c r="M119" s="188"/>
      <c r="N119" s="189"/>
      <c r="O119" s="186"/>
      <c r="P119" s="187"/>
      <c r="Q119" s="188"/>
      <c r="R119" s="189"/>
      <c r="S119" s="186"/>
      <c r="T119" s="187"/>
      <c r="U119" s="188"/>
      <c r="V119" s="189"/>
      <c r="W119" s="186"/>
      <c r="X119" s="187"/>
      <c r="Y119" s="188"/>
      <c r="Z119" s="189"/>
      <c r="AA119" s="186"/>
      <c r="AB119" s="187"/>
      <c r="AC119" s="188"/>
      <c r="AD119" s="189"/>
      <c r="AE119" s="186"/>
      <c r="AF119" s="187"/>
      <c r="AG119" s="188"/>
      <c r="AH119" s="189"/>
      <c r="AI119" s="186"/>
      <c r="AJ119" s="187"/>
      <c r="AK119" s="188"/>
      <c r="AL119" s="189"/>
      <c r="AM119" s="186"/>
      <c r="AN119" s="187"/>
      <c r="AO119" s="188"/>
      <c r="AP119" s="189"/>
      <c r="AQ119" s="186"/>
      <c r="AR119" s="187"/>
      <c r="AS119" s="188"/>
      <c r="AT119" s="189"/>
      <c r="AU119" s="186"/>
      <c r="AV119" s="187"/>
      <c r="AW119" s="188"/>
      <c r="AX119" s="189"/>
      <c r="AY119" s="186"/>
      <c r="AZ119" s="187"/>
      <c r="BA119" s="188"/>
      <c r="BB119" s="189"/>
      <c r="BC119" s="186"/>
      <c r="BD119" s="187"/>
      <c r="BE119" s="188"/>
      <c r="BF119" s="189"/>
      <c r="BG119" s="186"/>
      <c r="BH119" s="187"/>
      <c r="BI119" s="188"/>
      <c r="BJ119" s="189"/>
      <c r="BK119" s="186"/>
      <c r="BL119" s="187"/>
      <c r="BM119" s="188"/>
      <c r="BN119" s="189"/>
      <c r="BO119" s="186"/>
      <c r="BP119" s="187"/>
      <c r="BQ119" s="188"/>
      <c r="BR119" s="189"/>
      <c r="BS119" s="186"/>
      <c r="BT119" s="187"/>
      <c r="BU119" s="188"/>
      <c r="BV119" s="189"/>
      <c r="BW119" s="186"/>
      <c r="BX119" s="187"/>
      <c r="BY119" s="188"/>
      <c r="BZ119" s="189"/>
      <c r="CA119" s="186"/>
      <c r="CB119" s="190"/>
      <c r="CC119" s="190"/>
      <c r="CD119" s="82">
        <f t="shared" si="332"/>
        <v>0</v>
      </c>
      <c r="CE119" s="82">
        <f t="shared" si="333"/>
        <v>0</v>
      </c>
      <c r="CF119" s="82">
        <f t="shared" si="334"/>
        <v>0</v>
      </c>
      <c r="CG119" s="82">
        <f t="shared" si="335"/>
        <v>0</v>
      </c>
      <c r="CH119" s="82">
        <f t="shared" si="336"/>
        <v>0</v>
      </c>
      <c r="CI119" s="82">
        <f t="shared" si="337"/>
        <v>0</v>
      </c>
      <c r="CJ119" s="82">
        <f t="shared" si="338"/>
        <v>0</v>
      </c>
      <c r="CK119" s="82">
        <f t="shared" si="339"/>
        <v>0</v>
      </c>
      <c r="CL119" s="82">
        <f t="shared" si="340"/>
        <v>0</v>
      </c>
      <c r="CM119" s="82">
        <f t="shared" si="341"/>
        <v>0</v>
      </c>
      <c r="CN119" s="82">
        <f t="shared" si="342"/>
        <v>0</v>
      </c>
      <c r="CO119" s="82">
        <f t="shared" si="343"/>
        <v>0</v>
      </c>
      <c r="CP119" s="82">
        <f t="shared" si="344"/>
        <v>0</v>
      </c>
      <c r="CQ119" s="82">
        <f t="shared" si="345"/>
        <v>0</v>
      </c>
      <c r="CR119" s="82">
        <f t="shared" si="346"/>
        <v>0</v>
      </c>
      <c r="CS119" s="82">
        <f t="shared" si="347"/>
        <v>0</v>
      </c>
      <c r="CT119" s="82">
        <f t="shared" si="348"/>
        <v>0</v>
      </c>
      <c r="CU119" s="82">
        <f t="shared" si="349"/>
        <v>0</v>
      </c>
      <c r="CV119" s="82">
        <f t="shared" si="350"/>
        <v>0</v>
      </c>
      <c r="CW119" s="82">
        <f t="shared" si="351"/>
        <v>0</v>
      </c>
      <c r="CX119" s="82">
        <f t="shared" si="352"/>
        <v>0</v>
      </c>
      <c r="CY119" s="82">
        <f t="shared" si="353"/>
        <v>0</v>
      </c>
      <c r="CZ119" s="82">
        <f t="shared" si="354"/>
        <v>0</v>
      </c>
      <c r="DA119" s="82">
        <f t="shared" si="355"/>
        <v>0</v>
      </c>
      <c r="DB119" s="82">
        <f t="shared" si="356"/>
        <v>0</v>
      </c>
      <c r="DC119" s="82">
        <f t="shared" si="357"/>
        <v>0</v>
      </c>
      <c r="DD119" s="82">
        <f t="shared" si="358"/>
        <v>0</v>
      </c>
      <c r="DE119" s="82">
        <f t="shared" si="359"/>
        <v>0</v>
      </c>
      <c r="DF119" s="82">
        <f t="shared" si="360"/>
        <v>0</v>
      </c>
      <c r="DG119" s="82">
        <f t="shared" si="361"/>
        <v>0</v>
      </c>
      <c r="DH119" s="82">
        <f t="shared" si="362"/>
        <v>0</v>
      </c>
      <c r="DI119" s="82">
        <f t="shared" si="363"/>
        <v>0</v>
      </c>
      <c r="DJ119" s="82">
        <f t="shared" si="364"/>
        <v>0</v>
      </c>
      <c r="DK119" s="82">
        <f t="shared" si="365"/>
        <v>0</v>
      </c>
      <c r="DL119" s="82">
        <f t="shared" si="366"/>
        <v>0</v>
      </c>
      <c r="DM119" s="82">
        <f t="shared" si="367"/>
        <v>0</v>
      </c>
      <c r="DN119" s="82">
        <f t="shared" si="368"/>
        <v>0</v>
      </c>
      <c r="DO119" s="82">
        <f t="shared" si="369"/>
        <v>0</v>
      </c>
      <c r="DP119" s="82">
        <f t="shared" si="370"/>
        <v>0</v>
      </c>
      <c r="DQ119" s="82">
        <f t="shared" si="371"/>
        <v>0</v>
      </c>
      <c r="DR119" s="82">
        <f t="shared" si="372"/>
        <v>0</v>
      </c>
      <c r="DS119" s="82">
        <f t="shared" si="373"/>
        <v>0</v>
      </c>
      <c r="DT119" s="82">
        <f t="shared" si="374"/>
        <v>0</v>
      </c>
      <c r="DU119" s="82">
        <f t="shared" si="375"/>
        <v>0</v>
      </c>
      <c r="DV119" s="82">
        <f t="shared" si="376"/>
        <v>0</v>
      </c>
      <c r="DW119" s="82">
        <f t="shared" si="377"/>
        <v>0</v>
      </c>
      <c r="DX119" s="82">
        <f t="shared" si="378"/>
        <v>0</v>
      </c>
      <c r="DY119" s="82">
        <f t="shared" si="379"/>
        <v>0</v>
      </c>
      <c r="DZ119" s="82">
        <f t="shared" si="380"/>
        <v>0</v>
      </c>
      <c r="EA119" s="82">
        <f t="shared" si="381"/>
        <v>0</v>
      </c>
      <c r="EB119" s="82">
        <f t="shared" si="382"/>
        <v>0</v>
      </c>
      <c r="EC119" s="82">
        <f t="shared" si="383"/>
        <v>0</v>
      </c>
      <c r="ED119" s="82">
        <f t="shared" si="384"/>
        <v>0</v>
      </c>
      <c r="EE119" s="82">
        <f t="shared" si="385"/>
        <v>0</v>
      </c>
      <c r="EF119" s="82">
        <f t="shared" si="386"/>
        <v>0</v>
      </c>
      <c r="EG119" s="82">
        <f t="shared" si="387"/>
        <v>0</v>
      </c>
      <c r="EH119" s="82">
        <f t="shared" si="388"/>
        <v>0</v>
      </c>
      <c r="EI119" s="82">
        <f t="shared" si="389"/>
        <v>0</v>
      </c>
      <c r="EJ119" s="82">
        <f t="shared" si="390"/>
        <v>0</v>
      </c>
      <c r="EK119" s="82">
        <f t="shared" si="391"/>
        <v>0</v>
      </c>
      <c r="EL119" s="82">
        <f t="shared" si="392"/>
        <v>0</v>
      </c>
      <c r="EM119" s="82">
        <f t="shared" si="393"/>
        <v>0</v>
      </c>
      <c r="EN119" s="82">
        <f t="shared" si="394"/>
        <v>0</v>
      </c>
      <c r="EO119" s="82">
        <f t="shared" si="395"/>
        <v>0</v>
      </c>
      <c r="EP119" s="82">
        <f t="shared" si="396"/>
        <v>0</v>
      </c>
      <c r="EQ119" s="82">
        <f t="shared" si="397"/>
        <v>0</v>
      </c>
      <c r="ER119" s="82">
        <f t="shared" si="398"/>
        <v>0</v>
      </c>
      <c r="ES119" s="82">
        <f t="shared" si="399"/>
        <v>0</v>
      </c>
      <c r="ET119" s="82">
        <f t="shared" si="400"/>
        <v>0</v>
      </c>
      <c r="EU119" s="82">
        <f t="shared" si="401"/>
        <v>0</v>
      </c>
      <c r="EV119" s="82">
        <f t="shared" si="402"/>
        <v>0</v>
      </c>
      <c r="EW119" s="82">
        <f t="shared" si="403"/>
        <v>0</v>
      </c>
      <c r="EX119" s="82">
        <f t="shared" si="404"/>
        <v>0</v>
      </c>
      <c r="EY119" s="111">
        <f t="shared" si="405"/>
        <v>0</v>
      </c>
      <c r="EZ119" s="143" t="e">
        <f t="shared" ca="1" si="406"/>
        <v>#N/A</v>
      </c>
      <c r="FA119" s="112" t="e">
        <f t="shared" ca="1" si="407"/>
        <v>#N/A</v>
      </c>
      <c r="FB119" s="113" t="e">
        <f t="shared" ca="1" si="408"/>
        <v>#N/A</v>
      </c>
      <c r="FC119" s="114" t="e">
        <f t="shared" ca="1" si="409"/>
        <v>#N/A</v>
      </c>
      <c r="FD119" s="115">
        <f t="shared" ca="1" si="410"/>
        <v>0</v>
      </c>
      <c r="FE119" s="116" t="e">
        <f t="shared" ca="1" si="411"/>
        <v>#N/A</v>
      </c>
      <c r="FF119" s="117" t="e">
        <f t="shared" ca="1" si="412"/>
        <v>#N/A</v>
      </c>
      <c r="FG119" s="71">
        <f t="shared" si="413"/>
        <v>0</v>
      </c>
      <c r="FH119" s="530" t="e">
        <f t="shared" ca="1" si="414"/>
        <v>#N/A</v>
      </c>
      <c r="FI119" s="72"/>
      <c r="FJ119" s="72"/>
      <c r="FK119" s="72"/>
      <c r="FM119" s="421">
        <f t="shared" si="318"/>
        <v>0</v>
      </c>
      <c r="FN119" s="422" t="e">
        <f t="shared" ca="1" si="319"/>
        <v>#N/A</v>
      </c>
      <c r="FO119" s="423">
        <f t="shared" ca="1" si="418"/>
        <v>0</v>
      </c>
      <c r="FP119" s="423">
        <f t="shared" ca="1" si="418"/>
        <v>0</v>
      </c>
      <c r="FQ119" s="423">
        <f t="shared" ca="1" si="418"/>
        <v>0</v>
      </c>
      <c r="FR119" s="423">
        <f t="shared" ca="1" si="418"/>
        <v>0</v>
      </c>
      <c r="FS119" s="423">
        <f t="shared" ca="1" si="418"/>
        <v>0</v>
      </c>
      <c r="FT119" s="423">
        <f t="shared" ca="1" si="418"/>
        <v>0</v>
      </c>
      <c r="FU119" s="423">
        <f t="shared" ca="1" si="418"/>
        <v>0</v>
      </c>
      <c r="FV119" s="423">
        <f t="shared" ca="1" si="418"/>
        <v>0</v>
      </c>
      <c r="FW119" s="423">
        <f t="shared" ca="1" si="418"/>
        <v>0</v>
      </c>
      <c r="FX119" s="423">
        <f t="shared" ca="1" si="418"/>
        <v>0</v>
      </c>
      <c r="FY119" s="423">
        <f t="shared" ca="1" si="418"/>
        <v>0</v>
      </c>
      <c r="FZ119" s="423">
        <f t="shared" ca="1" si="418"/>
        <v>0</v>
      </c>
      <c r="GA119" s="423">
        <f t="shared" ca="1" si="418"/>
        <v>0</v>
      </c>
      <c r="GB119" s="423">
        <f t="shared" ca="1" si="418"/>
        <v>0</v>
      </c>
      <c r="GC119" s="423">
        <f t="shared" ca="1" si="418"/>
        <v>0</v>
      </c>
      <c r="GD119" s="423">
        <f t="shared" ca="1" si="415"/>
        <v>0</v>
      </c>
      <c r="GE119" s="423">
        <f t="shared" ca="1" si="415"/>
        <v>0</v>
      </c>
      <c r="GF119" s="423">
        <f t="shared" ca="1" si="415"/>
        <v>0</v>
      </c>
      <c r="GG119" s="423">
        <f t="shared" ca="1" si="415"/>
        <v>0</v>
      </c>
      <c r="GH119" s="423">
        <f t="shared" ca="1" si="415"/>
        <v>0</v>
      </c>
      <c r="GI119" s="423">
        <f t="shared" ca="1" si="415"/>
        <v>0</v>
      </c>
      <c r="GJ119" s="423">
        <f t="shared" ca="1" si="415"/>
        <v>0</v>
      </c>
      <c r="GK119" s="423">
        <f t="shared" ca="1" si="415"/>
        <v>0</v>
      </c>
      <c r="GL119" s="423">
        <f t="shared" ca="1" si="415"/>
        <v>0</v>
      </c>
      <c r="GM119" s="423">
        <f t="shared" ca="1" si="415"/>
        <v>0</v>
      </c>
      <c r="GN119" s="423">
        <f t="shared" ca="1" si="415"/>
        <v>0</v>
      </c>
      <c r="GO119" s="423">
        <f t="shared" ca="1" si="415"/>
        <v>0</v>
      </c>
      <c r="GP119" s="423">
        <f t="shared" ca="1" si="415"/>
        <v>0</v>
      </c>
      <c r="GQ119" s="423">
        <f t="shared" ca="1" si="415"/>
        <v>0</v>
      </c>
      <c r="GR119" s="423">
        <f t="shared" ca="1" si="415"/>
        <v>0</v>
      </c>
      <c r="GS119" s="423">
        <f t="shared" ca="1" si="415"/>
        <v>0</v>
      </c>
      <c r="GT119" s="423">
        <f t="shared" ca="1" si="416"/>
        <v>0</v>
      </c>
      <c r="GU119" s="423">
        <f t="shared" ca="1" si="331"/>
        <v>0</v>
      </c>
      <c r="GV119" s="423">
        <f t="shared" ca="1" si="331"/>
        <v>0</v>
      </c>
      <c r="GW119" s="423">
        <f t="shared" ca="1" si="331"/>
        <v>0</v>
      </c>
      <c r="GX119" s="423">
        <f t="shared" ca="1" si="331"/>
        <v>0</v>
      </c>
      <c r="GY119" s="423">
        <f t="shared" ca="1" si="331"/>
        <v>0</v>
      </c>
      <c r="GZ119" s="423">
        <f t="shared" ca="1" si="331"/>
        <v>0</v>
      </c>
      <c r="HA119" s="423">
        <f t="shared" ca="1" si="331"/>
        <v>0</v>
      </c>
      <c r="HB119" s="423">
        <f t="shared" ca="1" si="331"/>
        <v>0</v>
      </c>
      <c r="HC119" s="423">
        <f t="shared" ca="1" si="331"/>
        <v>0</v>
      </c>
      <c r="HD119" s="423">
        <f t="shared" ca="1" si="331"/>
        <v>0</v>
      </c>
      <c r="HE119" s="423">
        <f t="shared" ca="1" si="331"/>
        <v>0</v>
      </c>
      <c r="HF119" s="423">
        <f t="shared" ca="1" si="331"/>
        <v>0</v>
      </c>
      <c r="HG119" s="423">
        <f t="shared" ca="1" si="331"/>
        <v>0</v>
      </c>
      <c r="HH119" s="423">
        <f t="shared" ca="1" si="331"/>
        <v>0</v>
      </c>
      <c r="HI119" s="423">
        <f t="shared" ca="1" si="331"/>
        <v>0</v>
      </c>
      <c r="HJ119" s="423">
        <f t="shared" ca="1" si="331"/>
        <v>0</v>
      </c>
      <c r="HK119" s="423">
        <f t="shared" ca="1" si="417"/>
        <v>0</v>
      </c>
      <c r="HL119" s="423">
        <f t="shared" ca="1" si="417"/>
        <v>0</v>
      </c>
      <c r="HM119" s="423">
        <f t="shared" ca="1" si="417"/>
        <v>0</v>
      </c>
      <c r="HN119" s="423">
        <f t="shared" ca="1" si="417"/>
        <v>0</v>
      </c>
      <c r="HO119" s="423">
        <f t="shared" ca="1" si="417"/>
        <v>0</v>
      </c>
      <c r="HP119" s="423">
        <f t="shared" ca="1" si="417"/>
        <v>0</v>
      </c>
      <c r="HQ119" s="423">
        <f t="shared" ca="1" si="417"/>
        <v>0</v>
      </c>
      <c r="HR119" s="423">
        <f t="shared" ca="1" si="417"/>
        <v>0</v>
      </c>
      <c r="HS119" s="423">
        <f t="shared" ca="1" si="417"/>
        <v>0</v>
      </c>
      <c r="HT119" s="423">
        <f t="shared" ca="1" si="417"/>
        <v>0</v>
      </c>
    </row>
    <row r="120" spans="1:230" ht="11.25" customHeight="1" x14ac:dyDescent="0.2">
      <c r="A120" s="62">
        <f t="shared" si="322"/>
        <v>109</v>
      </c>
      <c r="B120" s="60">
        <f>Spaces_Sum!C165</f>
        <v>0</v>
      </c>
      <c r="C120" s="62" t="str">
        <f>Spaces_Sum!D165</f>
        <v>0</v>
      </c>
      <c r="D120" s="62" t="e">
        <f ca="1">Spaces_Sum!I165</f>
        <v>#N/A</v>
      </c>
      <c r="F120" s="110" t="e">
        <f ca="1">Spaces_Sum!M165</f>
        <v>#N/A</v>
      </c>
      <c r="G120" s="110" t="e">
        <f ca="1">Spaces_Sum!J165</f>
        <v>#N/A</v>
      </c>
      <c r="H120" s="532"/>
      <c r="I120" s="185"/>
      <c r="J120" s="185"/>
      <c r="K120" s="186"/>
      <c r="L120" s="187"/>
      <c r="M120" s="188"/>
      <c r="N120" s="189"/>
      <c r="O120" s="186"/>
      <c r="P120" s="187"/>
      <c r="Q120" s="188"/>
      <c r="R120" s="189"/>
      <c r="S120" s="186"/>
      <c r="T120" s="187"/>
      <c r="U120" s="188"/>
      <c r="V120" s="189"/>
      <c r="W120" s="186"/>
      <c r="X120" s="187"/>
      <c r="Y120" s="188"/>
      <c r="Z120" s="189"/>
      <c r="AA120" s="186"/>
      <c r="AB120" s="187"/>
      <c r="AC120" s="188"/>
      <c r="AD120" s="189"/>
      <c r="AE120" s="186"/>
      <c r="AF120" s="187"/>
      <c r="AG120" s="188"/>
      <c r="AH120" s="189"/>
      <c r="AI120" s="186"/>
      <c r="AJ120" s="187"/>
      <c r="AK120" s="188"/>
      <c r="AL120" s="189"/>
      <c r="AM120" s="186"/>
      <c r="AN120" s="187"/>
      <c r="AO120" s="188"/>
      <c r="AP120" s="189"/>
      <c r="AQ120" s="186"/>
      <c r="AR120" s="187"/>
      <c r="AS120" s="188"/>
      <c r="AT120" s="189"/>
      <c r="AU120" s="186"/>
      <c r="AV120" s="187"/>
      <c r="AW120" s="188"/>
      <c r="AX120" s="189"/>
      <c r="AY120" s="186"/>
      <c r="AZ120" s="187"/>
      <c r="BA120" s="188"/>
      <c r="BB120" s="189"/>
      <c r="BC120" s="186"/>
      <c r="BD120" s="187"/>
      <c r="BE120" s="188"/>
      <c r="BF120" s="189"/>
      <c r="BG120" s="186"/>
      <c r="BH120" s="187"/>
      <c r="BI120" s="188"/>
      <c r="BJ120" s="189"/>
      <c r="BK120" s="186"/>
      <c r="BL120" s="187"/>
      <c r="BM120" s="188"/>
      <c r="BN120" s="189"/>
      <c r="BO120" s="186"/>
      <c r="BP120" s="187"/>
      <c r="BQ120" s="188"/>
      <c r="BR120" s="189"/>
      <c r="BS120" s="186"/>
      <c r="BT120" s="187"/>
      <c r="BU120" s="188"/>
      <c r="BV120" s="189"/>
      <c r="BW120" s="186"/>
      <c r="BX120" s="187"/>
      <c r="BY120" s="188"/>
      <c r="BZ120" s="189"/>
      <c r="CA120" s="186"/>
      <c r="CB120" s="190"/>
      <c r="CC120" s="190"/>
      <c r="CD120" s="82">
        <f t="shared" si="332"/>
        <v>0</v>
      </c>
      <c r="CE120" s="82">
        <f t="shared" si="333"/>
        <v>0</v>
      </c>
      <c r="CF120" s="82">
        <f t="shared" si="334"/>
        <v>0</v>
      </c>
      <c r="CG120" s="82">
        <f t="shared" si="335"/>
        <v>0</v>
      </c>
      <c r="CH120" s="82">
        <f t="shared" si="336"/>
        <v>0</v>
      </c>
      <c r="CI120" s="82">
        <f t="shared" si="337"/>
        <v>0</v>
      </c>
      <c r="CJ120" s="82">
        <f t="shared" si="338"/>
        <v>0</v>
      </c>
      <c r="CK120" s="82">
        <f t="shared" si="339"/>
        <v>0</v>
      </c>
      <c r="CL120" s="82">
        <f t="shared" si="340"/>
        <v>0</v>
      </c>
      <c r="CM120" s="82">
        <f t="shared" si="341"/>
        <v>0</v>
      </c>
      <c r="CN120" s="82">
        <f t="shared" si="342"/>
        <v>0</v>
      </c>
      <c r="CO120" s="82">
        <f t="shared" si="343"/>
        <v>0</v>
      </c>
      <c r="CP120" s="82">
        <f t="shared" si="344"/>
        <v>0</v>
      </c>
      <c r="CQ120" s="82">
        <f t="shared" si="345"/>
        <v>0</v>
      </c>
      <c r="CR120" s="82">
        <f t="shared" si="346"/>
        <v>0</v>
      </c>
      <c r="CS120" s="82">
        <f t="shared" si="347"/>
        <v>0</v>
      </c>
      <c r="CT120" s="82">
        <f t="shared" si="348"/>
        <v>0</v>
      </c>
      <c r="CU120" s="82">
        <f t="shared" si="349"/>
        <v>0</v>
      </c>
      <c r="CV120" s="82">
        <f t="shared" si="350"/>
        <v>0</v>
      </c>
      <c r="CW120" s="82">
        <f t="shared" si="351"/>
        <v>0</v>
      </c>
      <c r="CX120" s="82">
        <f t="shared" si="352"/>
        <v>0</v>
      </c>
      <c r="CY120" s="82">
        <f t="shared" si="353"/>
        <v>0</v>
      </c>
      <c r="CZ120" s="82">
        <f t="shared" si="354"/>
        <v>0</v>
      </c>
      <c r="DA120" s="82">
        <f t="shared" si="355"/>
        <v>0</v>
      </c>
      <c r="DB120" s="82">
        <f t="shared" si="356"/>
        <v>0</v>
      </c>
      <c r="DC120" s="82">
        <f t="shared" si="357"/>
        <v>0</v>
      </c>
      <c r="DD120" s="82">
        <f t="shared" si="358"/>
        <v>0</v>
      </c>
      <c r="DE120" s="82">
        <f t="shared" si="359"/>
        <v>0</v>
      </c>
      <c r="DF120" s="82">
        <f t="shared" si="360"/>
        <v>0</v>
      </c>
      <c r="DG120" s="82">
        <f t="shared" si="361"/>
        <v>0</v>
      </c>
      <c r="DH120" s="82">
        <f t="shared" si="362"/>
        <v>0</v>
      </c>
      <c r="DI120" s="82">
        <f t="shared" si="363"/>
        <v>0</v>
      </c>
      <c r="DJ120" s="82">
        <f t="shared" si="364"/>
        <v>0</v>
      </c>
      <c r="DK120" s="82">
        <f t="shared" si="365"/>
        <v>0</v>
      </c>
      <c r="DL120" s="82">
        <f t="shared" si="366"/>
        <v>0</v>
      </c>
      <c r="DM120" s="82">
        <f t="shared" si="367"/>
        <v>0</v>
      </c>
      <c r="DN120" s="82">
        <f t="shared" si="368"/>
        <v>0</v>
      </c>
      <c r="DO120" s="82">
        <f t="shared" si="369"/>
        <v>0</v>
      </c>
      <c r="DP120" s="82">
        <f t="shared" si="370"/>
        <v>0</v>
      </c>
      <c r="DQ120" s="82">
        <f t="shared" si="371"/>
        <v>0</v>
      </c>
      <c r="DR120" s="82">
        <f t="shared" si="372"/>
        <v>0</v>
      </c>
      <c r="DS120" s="82">
        <f t="shared" si="373"/>
        <v>0</v>
      </c>
      <c r="DT120" s="82">
        <f t="shared" si="374"/>
        <v>0</v>
      </c>
      <c r="DU120" s="82">
        <f t="shared" si="375"/>
        <v>0</v>
      </c>
      <c r="DV120" s="82">
        <f t="shared" si="376"/>
        <v>0</v>
      </c>
      <c r="DW120" s="82">
        <f t="shared" si="377"/>
        <v>0</v>
      </c>
      <c r="DX120" s="82">
        <f t="shared" si="378"/>
        <v>0</v>
      </c>
      <c r="DY120" s="82">
        <f t="shared" si="379"/>
        <v>0</v>
      </c>
      <c r="DZ120" s="82">
        <f t="shared" si="380"/>
        <v>0</v>
      </c>
      <c r="EA120" s="82">
        <f t="shared" si="381"/>
        <v>0</v>
      </c>
      <c r="EB120" s="82">
        <f t="shared" si="382"/>
        <v>0</v>
      </c>
      <c r="EC120" s="82">
        <f t="shared" si="383"/>
        <v>0</v>
      </c>
      <c r="ED120" s="82">
        <f t="shared" si="384"/>
        <v>0</v>
      </c>
      <c r="EE120" s="82">
        <f t="shared" si="385"/>
        <v>0</v>
      </c>
      <c r="EF120" s="82">
        <f t="shared" si="386"/>
        <v>0</v>
      </c>
      <c r="EG120" s="82">
        <f t="shared" si="387"/>
        <v>0</v>
      </c>
      <c r="EH120" s="82">
        <f t="shared" si="388"/>
        <v>0</v>
      </c>
      <c r="EI120" s="82">
        <f t="shared" si="389"/>
        <v>0</v>
      </c>
      <c r="EJ120" s="82">
        <f t="shared" si="390"/>
        <v>0</v>
      </c>
      <c r="EK120" s="82">
        <f t="shared" si="391"/>
        <v>0</v>
      </c>
      <c r="EL120" s="82">
        <f t="shared" si="392"/>
        <v>0</v>
      </c>
      <c r="EM120" s="82">
        <f t="shared" si="393"/>
        <v>0</v>
      </c>
      <c r="EN120" s="82">
        <f t="shared" si="394"/>
        <v>0</v>
      </c>
      <c r="EO120" s="82">
        <f t="shared" si="395"/>
        <v>0</v>
      </c>
      <c r="EP120" s="82">
        <f t="shared" si="396"/>
        <v>0</v>
      </c>
      <c r="EQ120" s="82">
        <f t="shared" si="397"/>
        <v>0</v>
      </c>
      <c r="ER120" s="82">
        <f t="shared" si="398"/>
        <v>0</v>
      </c>
      <c r="ES120" s="82">
        <f t="shared" si="399"/>
        <v>0</v>
      </c>
      <c r="ET120" s="82">
        <f t="shared" si="400"/>
        <v>0</v>
      </c>
      <c r="EU120" s="82">
        <f t="shared" si="401"/>
        <v>0</v>
      </c>
      <c r="EV120" s="82">
        <f t="shared" si="402"/>
        <v>0</v>
      </c>
      <c r="EW120" s="82">
        <f t="shared" si="403"/>
        <v>0</v>
      </c>
      <c r="EX120" s="82">
        <f t="shared" si="404"/>
        <v>0</v>
      </c>
      <c r="EY120" s="111">
        <f t="shared" si="405"/>
        <v>0</v>
      </c>
      <c r="EZ120" s="143" t="e">
        <f t="shared" ca="1" si="406"/>
        <v>#N/A</v>
      </c>
      <c r="FA120" s="112" t="e">
        <f t="shared" ca="1" si="407"/>
        <v>#N/A</v>
      </c>
      <c r="FB120" s="113" t="e">
        <f t="shared" ca="1" si="408"/>
        <v>#N/A</v>
      </c>
      <c r="FC120" s="114" t="e">
        <f t="shared" ca="1" si="409"/>
        <v>#N/A</v>
      </c>
      <c r="FD120" s="115">
        <f t="shared" ca="1" si="410"/>
        <v>0</v>
      </c>
      <c r="FE120" s="116" t="e">
        <f t="shared" ca="1" si="411"/>
        <v>#N/A</v>
      </c>
      <c r="FF120" s="117" t="e">
        <f t="shared" ca="1" si="412"/>
        <v>#N/A</v>
      </c>
      <c r="FG120" s="71">
        <f t="shared" si="413"/>
        <v>0</v>
      </c>
      <c r="FH120" s="530" t="e">
        <f t="shared" ca="1" si="414"/>
        <v>#N/A</v>
      </c>
      <c r="FI120" s="72"/>
      <c r="FJ120" s="72"/>
      <c r="FK120" s="72"/>
      <c r="FM120" s="421">
        <f t="shared" si="318"/>
        <v>0</v>
      </c>
      <c r="FN120" s="422" t="e">
        <f t="shared" ca="1" si="319"/>
        <v>#N/A</v>
      </c>
      <c r="FO120" s="423">
        <f t="shared" ca="1" si="418"/>
        <v>0</v>
      </c>
      <c r="FP120" s="423">
        <f t="shared" ca="1" si="418"/>
        <v>0</v>
      </c>
      <c r="FQ120" s="423">
        <f t="shared" ca="1" si="418"/>
        <v>0</v>
      </c>
      <c r="FR120" s="423">
        <f t="shared" ca="1" si="418"/>
        <v>0</v>
      </c>
      <c r="FS120" s="423">
        <f t="shared" ca="1" si="418"/>
        <v>0</v>
      </c>
      <c r="FT120" s="423">
        <f t="shared" ca="1" si="418"/>
        <v>0</v>
      </c>
      <c r="FU120" s="423">
        <f t="shared" ca="1" si="418"/>
        <v>0</v>
      </c>
      <c r="FV120" s="423">
        <f t="shared" ca="1" si="418"/>
        <v>0</v>
      </c>
      <c r="FW120" s="423">
        <f t="shared" ca="1" si="418"/>
        <v>0</v>
      </c>
      <c r="FX120" s="423">
        <f t="shared" ca="1" si="418"/>
        <v>0</v>
      </c>
      <c r="FY120" s="423">
        <f t="shared" ca="1" si="418"/>
        <v>0</v>
      </c>
      <c r="FZ120" s="423">
        <f t="shared" ca="1" si="418"/>
        <v>0</v>
      </c>
      <c r="GA120" s="423">
        <f t="shared" ca="1" si="418"/>
        <v>0</v>
      </c>
      <c r="GB120" s="423">
        <f t="shared" ca="1" si="418"/>
        <v>0</v>
      </c>
      <c r="GC120" s="423">
        <f t="shared" ca="1" si="418"/>
        <v>0</v>
      </c>
      <c r="GD120" s="423">
        <f t="shared" ca="1" si="415"/>
        <v>0</v>
      </c>
      <c r="GE120" s="423">
        <f t="shared" ca="1" si="415"/>
        <v>0</v>
      </c>
      <c r="GF120" s="423">
        <f t="shared" ca="1" si="415"/>
        <v>0</v>
      </c>
      <c r="GG120" s="423">
        <f t="shared" ca="1" si="415"/>
        <v>0</v>
      </c>
      <c r="GH120" s="423">
        <f t="shared" ca="1" si="415"/>
        <v>0</v>
      </c>
      <c r="GI120" s="423">
        <f t="shared" ca="1" si="415"/>
        <v>0</v>
      </c>
      <c r="GJ120" s="423">
        <f t="shared" ca="1" si="415"/>
        <v>0</v>
      </c>
      <c r="GK120" s="423">
        <f t="shared" ca="1" si="415"/>
        <v>0</v>
      </c>
      <c r="GL120" s="423">
        <f t="shared" ca="1" si="415"/>
        <v>0</v>
      </c>
      <c r="GM120" s="423">
        <f t="shared" ca="1" si="415"/>
        <v>0</v>
      </c>
      <c r="GN120" s="423">
        <f t="shared" ca="1" si="415"/>
        <v>0</v>
      </c>
      <c r="GO120" s="423">
        <f t="shared" ca="1" si="415"/>
        <v>0</v>
      </c>
      <c r="GP120" s="423">
        <f t="shared" ca="1" si="415"/>
        <v>0</v>
      </c>
      <c r="GQ120" s="423">
        <f t="shared" ca="1" si="415"/>
        <v>0</v>
      </c>
      <c r="GR120" s="423">
        <f t="shared" ca="1" si="415"/>
        <v>0</v>
      </c>
      <c r="GS120" s="423">
        <f t="shared" ca="1" si="415"/>
        <v>0</v>
      </c>
      <c r="GT120" s="423">
        <f t="shared" ca="1" si="416"/>
        <v>0</v>
      </c>
      <c r="GU120" s="423">
        <f t="shared" ca="1" si="331"/>
        <v>0</v>
      </c>
      <c r="GV120" s="423">
        <f t="shared" ca="1" si="331"/>
        <v>0</v>
      </c>
      <c r="GW120" s="423">
        <f t="shared" ca="1" si="331"/>
        <v>0</v>
      </c>
      <c r="GX120" s="423">
        <f t="shared" ca="1" si="331"/>
        <v>0</v>
      </c>
      <c r="GY120" s="423">
        <f t="shared" ca="1" si="331"/>
        <v>0</v>
      </c>
      <c r="GZ120" s="423">
        <f t="shared" ca="1" si="331"/>
        <v>0</v>
      </c>
      <c r="HA120" s="423">
        <f t="shared" ca="1" si="331"/>
        <v>0</v>
      </c>
      <c r="HB120" s="423">
        <f t="shared" ca="1" si="331"/>
        <v>0</v>
      </c>
      <c r="HC120" s="423">
        <f t="shared" ca="1" si="331"/>
        <v>0</v>
      </c>
      <c r="HD120" s="423">
        <f t="shared" ca="1" si="331"/>
        <v>0</v>
      </c>
      <c r="HE120" s="423">
        <f t="shared" ca="1" si="331"/>
        <v>0</v>
      </c>
      <c r="HF120" s="423">
        <f t="shared" ca="1" si="331"/>
        <v>0</v>
      </c>
      <c r="HG120" s="423">
        <f t="shared" ca="1" si="331"/>
        <v>0</v>
      </c>
      <c r="HH120" s="423">
        <f t="shared" ca="1" si="331"/>
        <v>0</v>
      </c>
      <c r="HI120" s="423">
        <f t="shared" ca="1" si="331"/>
        <v>0</v>
      </c>
      <c r="HJ120" s="423">
        <f t="shared" ca="1" si="331"/>
        <v>0</v>
      </c>
      <c r="HK120" s="423">
        <f t="shared" ca="1" si="417"/>
        <v>0</v>
      </c>
      <c r="HL120" s="423">
        <f t="shared" ca="1" si="417"/>
        <v>0</v>
      </c>
      <c r="HM120" s="423">
        <f t="shared" ca="1" si="417"/>
        <v>0</v>
      </c>
      <c r="HN120" s="423">
        <f t="shared" ca="1" si="417"/>
        <v>0</v>
      </c>
      <c r="HO120" s="423">
        <f t="shared" ca="1" si="417"/>
        <v>0</v>
      </c>
      <c r="HP120" s="423">
        <f t="shared" ca="1" si="417"/>
        <v>0</v>
      </c>
      <c r="HQ120" s="423">
        <f t="shared" ca="1" si="417"/>
        <v>0</v>
      </c>
      <c r="HR120" s="423">
        <f t="shared" ca="1" si="417"/>
        <v>0</v>
      </c>
      <c r="HS120" s="423">
        <f t="shared" ca="1" si="417"/>
        <v>0</v>
      </c>
      <c r="HT120" s="423">
        <f t="shared" ca="1" si="417"/>
        <v>0</v>
      </c>
    </row>
    <row r="121" spans="1:230" ht="11.25" customHeight="1" x14ac:dyDescent="0.2">
      <c r="A121" s="62">
        <f t="shared" si="322"/>
        <v>110</v>
      </c>
      <c r="B121" s="60">
        <f>Spaces_Sum!C166</f>
        <v>0</v>
      </c>
      <c r="C121" s="62" t="str">
        <f>Spaces_Sum!D166</f>
        <v>0</v>
      </c>
      <c r="D121" s="62" t="e">
        <f ca="1">Spaces_Sum!I166</f>
        <v>#N/A</v>
      </c>
      <c r="F121" s="110" t="e">
        <f ca="1">Spaces_Sum!M166</f>
        <v>#N/A</v>
      </c>
      <c r="G121" s="110" t="e">
        <f ca="1">Spaces_Sum!J166</f>
        <v>#N/A</v>
      </c>
      <c r="H121" s="532"/>
      <c r="I121" s="185"/>
      <c r="J121" s="185"/>
      <c r="K121" s="186"/>
      <c r="L121" s="187"/>
      <c r="M121" s="188"/>
      <c r="N121" s="189"/>
      <c r="O121" s="186"/>
      <c r="P121" s="187"/>
      <c r="Q121" s="188"/>
      <c r="R121" s="189"/>
      <c r="S121" s="186"/>
      <c r="T121" s="187"/>
      <c r="U121" s="188"/>
      <c r="V121" s="189"/>
      <c r="W121" s="186"/>
      <c r="X121" s="187"/>
      <c r="Y121" s="188"/>
      <c r="Z121" s="189"/>
      <c r="AA121" s="186"/>
      <c r="AB121" s="187"/>
      <c r="AC121" s="188"/>
      <c r="AD121" s="189"/>
      <c r="AE121" s="186"/>
      <c r="AF121" s="187"/>
      <c r="AG121" s="188"/>
      <c r="AH121" s="189"/>
      <c r="AI121" s="186"/>
      <c r="AJ121" s="187"/>
      <c r="AK121" s="188"/>
      <c r="AL121" s="189"/>
      <c r="AM121" s="186"/>
      <c r="AN121" s="187"/>
      <c r="AO121" s="188"/>
      <c r="AP121" s="189"/>
      <c r="AQ121" s="186"/>
      <c r="AR121" s="187"/>
      <c r="AS121" s="188"/>
      <c r="AT121" s="189"/>
      <c r="AU121" s="186"/>
      <c r="AV121" s="187"/>
      <c r="AW121" s="188"/>
      <c r="AX121" s="189"/>
      <c r="AY121" s="186"/>
      <c r="AZ121" s="187"/>
      <c r="BA121" s="188"/>
      <c r="BB121" s="189"/>
      <c r="BC121" s="186"/>
      <c r="BD121" s="187"/>
      <c r="BE121" s="188"/>
      <c r="BF121" s="189"/>
      <c r="BG121" s="186"/>
      <c r="BH121" s="187"/>
      <c r="BI121" s="188"/>
      <c r="BJ121" s="189"/>
      <c r="BK121" s="186"/>
      <c r="BL121" s="187"/>
      <c r="BM121" s="188"/>
      <c r="BN121" s="189"/>
      <c r="BO121" s="186"/>
      <c r="BP121" s="187"/>
      <c r="BQ121" s="188"/>
      <c r="BR121" s="189"/>
      <c r="BS121" s="186"/>
      <c r="BT121" s="187"/>
      <c r="BU121" s="188"/>
      <c r="BV121" s="189"/>
      <c r="BW121" s="186"/>
      <c r="BX121" s="187"/>
      <c r="BY121" s="188"/>
      <c r="BZ121" s="189"/>
      <c r="CA121" s="186"/>
      <c r="CB121" s="190"/>
      <c r="CC121" s="190"/>
      <c r="CD121" s="82">
        <f t="shared" si="332"/>
        <v>0</v>
      </c>
      <c r="CE121" s="82">
        <f t="shared" si="333"/>
        <v>0</v>
      </c>
      <c r="CF121" s="82">
        <f t="shared" si="334"/>
        <v>0</v>
      </c>
      <c r="CG121" s="82">
        <f t="shared" si="335"/>
        <v>0</v>
      </c>
      <c r="CH121" s="82">
        <f t="shared" si="336"/>
        <v>0</v>
      </c>
      <c r="CI121" s="82">
        <f t="shared" si="337"/>
        <v>0</v>
      </c>
      <c r="CJ121" s="82">
        <f t="shared" si="338"/>
        <v>0</v>
      </c>
      <c r="CK121" s="82">
        <f t="shared" si="339"/>
        <v>0</v>
      </c>
      <c r="CL121" s="82">
        <f t="shared" si="340"/>
        <v>0</v>
      </c>
      <c r="CM121" s="82">
        <f t="shared" si="341"/>
        <v>0</v>
      </c>
      <c r="CN121" s="82">
        <f t="shared" si="342"/>
        <v>0</v>
      </c>
      <c r="CO121" s="82">
        <f t="shared" si="343"/>
        <v>0</v>
      </c>
      <c r="CP121" s="82">
        <f t="shared" si="344"/>
        <v>0</v>
      </c>
      <c r="CQ121" s="82">
        <f t="shared" si="345"/>
        <v>0</v>
      </c>
      <c r="CR121" s="82">
        <f t="shared" si="346"/>
        <v>0</v>
      </c>
      <c r="CS121" s="82">
        <f t="shared" si="347"/>
        <v>0</v>
      </c>
      <c r="CT121" s="82">
        <f t="shared" si="348"/>
        <v>0</v>
      </c>
      <c r="CU121" s="82">
        <f t="shared" si="349"/>
        <v>0</v>
      </c>
      <c r="CV121" s="82">
        <f t="shared" si="350"/>
        <v>0</v>
      </c>
      <c r="CW121" s="82">
        <f t="shared" si="351"/>
        <v>0</v>
      </c>
      <c r="CX121" s="82">
        <f t="shared" si="352"/>
        <v>0</v>
      </c>
      <c r="CY121" s="82">
        <f t="shared" si="353"/>
        <v>0</v>
      </c>
      <c r="CZ121" s="82">
        <f t="shared" si="354"/>
        <v>0</v>
      </c>
      <c r="DA121" s="82">
        <f t="shared" si="355"/>
        <v>0</v>
      </c>
      <c r="DB121" s="82">
        <f t="shared" si="356"/>
        <v>0</v>
      </c>
      <c r="DC121" s="82">
        <f t="shared" si="357"/>
        <v>0</v>
      </c>
      <c r="DD121" s="82">
        <f t="shared" si="358"/>
        <v>0</v>
      </c>
      <c r="DE121" s="82">
        <f t="shared" si="359"/>
        <v>0</v>
      </c>
      <c r="DF121" s="82">
        <f t="shared" si="360"/>
        <v>0</v>
      </c>
      <c r="DG121" s="82">
        <f t="shared" si="361"/>
        <v>0</v>
      </c>
      <c r="DH121" s="82">
        <f t="shared" si="362"/>
        <v>0</v>
      </c>
      <c r="DI121" s="82">
        <f t="shared" si="363"/>
        <v>0</v>
      </c>
      <c r="DJ121" s="82">
        <f t="shared" si="364"/>
        <v>0</v>
      </c>
      <c r="DK121" s="82">
        <f t="shared" si="365"/>
        <v>0</v>
      </c>
      <c r="DL121" s="82">
        <f t="shared" si="366"/>
        <v>0</v>
      </c>
      <c r="DM121" s="82">
        <f t="shared" si="367"/>
        <v>0</v>
      </c>
      <c r="DN121" s="82">
        <f t="shared" si="368"/>
        <v>0</v>
      </c>
      <c r="DO121" s="82">
        <f t="shared" si="369"/>
        <v>0</v>
      </c>
      <c r="DP121" s="82">
        <f t="shared" si="370"/>
        <v>0</v>
      </c>
      <c r="DQ121" s="82">
        <f t="shared" si="371"/>
        <v>0</v>
      </c>
      <c r="DR121" s="82">
        <f t="shared" si="372"/>
        <v>0</v>
      </c>
      <c r="DS121" s="82">
        <f t="shared" si="373"/>
        <v>0</v>
      </c>
      <c r="DT121" s="82">
        <f t="shared" si="374"/>
        <v>0</v>
      </c>
      <c r="DU121" s="82">
        <f t="shared" si="375"/>
        <v>0</v>
      </c>
      <c r="DV121" s="82">
        <f t="shared" si="376"/>
        <v>0</v>
      </c>
      <c r="DW121" s="82">
        <f t="shared" si="377"/>
        <v>0</v>
      </c>
      <c r="DX121" s="82">
        <f t="shared" si="378"/>
        <v>0</v>
      </c>
      <c r="DY121" s="82">
        <f t="shared" si="379"/>
        <v>0</v>
      </c>
      <c r="DZ121" s="82">
        <f t="shared" si="380"/>
        <v>0</v>
      </c>
      <c r="EA121" s="82">
        <f t="shared" si="381"/>
        <v>0</v>
      </c>
      <c r="EB121" s="82">
        <f t="shared" si="382"/>
        <v>0</v>
      </c>
      <c r="EC121" s="82">
        <f t="shared" si="383"/>
        <v>0</v>
      </c>
      <c r="ED121" s="82">
        <f t="shared" si="384"/>
        <v>0</v>
      </c>
      <c r="EE121" s="82">
        <f t="shared" si="385"/>
        <v>0</v>
      </c>
      <c r="EF121" s="82">
        <f t="shared" si="386"/>
        <v>0</v>
      </c>
      <c r="EG121" s="82">
        <f t="shared" si="387"/>
        <v>0</v>
      </c>
      <c r="EH121" s="82">
        <f t="shared" si="388"/>
        <v>0</v>
      </c>
      <c r="EI121" s="82">
        <f t="shared" si="389"/>
        <v>0</v>
      </c>
      <c r="EJ121" s="82">
        <f t="shared" si="390"/>
        <v>0</v>
      </c>
      <c r="EK121" s="82">
        <f t="shared" si="391"/>
        <v>0</v>
      </c>
      <c r="EL121" s="82">
        <f t="shared" si="392"/>
        <v>0</v>
      </c>
      <c r="EM121" s="82">
        <f t="shared" si="393"/>
        <v>0</v>
      </c>
      <c r="EN121" s="82">
        <f t="shared" si="394"/>
        <v>0</v>
      </c>
      <c r="EO121" s="82">
        <f t="shared" si="395"/>
        <v>0</v>
      </c>
      <c r="EP121" s="82">
        <f t="shared" si="396"/>
        <v>0</v>
      </c>
      <c r="EQ121" s="82">
        <f t="shared" si="397"/>
        <v>0</v>
      </c>
      <c r="ER121" s="82">
        <f t="shared" si="398"/>
        <v>0</v>
      </c>
      <c r="ES121" s="82">
        <f t="shared" si="399"/>
        <v>0</v>
      </c>
      <c r="ET121" s="82">
        <f t="shared" si="400"/>
        <v>0</v>
      </c>
      <c r="EU121" s="82">
        <f t="shared" si="401"/>
        <v>0</v>
      </c>
      <c r="EV121" s="82">
        <f t="shared" si="402"/>
        <v>0</v>
      </c>
      <c r="EW121" s="82">
        <f t="shared" si="403"/>
        <v>0</v>
      </c>
      <c r="EX121" s="82">
        <f t="shared" si="404"/>
        <v>0</v>
      </c>
      <c r="EY121" s="111">
        <f t="shared" si="405"/>
        <v>0</v>
      </c>
      <c r="EZ121" s="143" t="e">
        <f t="shared" ca="1" si="406"/>
        <v>#N/A</v>
      </c>
      <c r="FA121" s="112" t="e">
        <f t="shared" ca="1" si="407"/>
        <v>#N/A</v>
      </c>
      <c r="FB121" s="113" t="e">
        <f t="shared" ca="1" si="408"/>
        <v>#N/A</v>
      </c>
      <c r="FC121" s="114" t="e">
        <f t="shared" ca="1" si="409"/>
        <v>#N/A</v>
      </c>
      <c r="FD121" s="115">
        <f t="shared" ca="1" si="410"/>
        <v>0</v>
      </c>
      <c r="FE121" s="116" t="e">
        <f t="shared" ca="1" si="411"/>
        <v>#N/A</v>
      </c>
      <c r="FF121" s="117" t="e">
        <f t="shared" ca="1" si="412"/>
        <v>#N/A</v>
      </c>
      <c r="FG121" s="71">
        <f t="shared" si="413"/>
        <v>0</v>
      </c>
      <c r="FH121" s="530" t="e">
        <f t="shared" ca="1" si="414"/>
        <v>#N/A</v>
      </c>
      <c r="FI121" s="72"/>
      <c r="FJ121" s="72"/>
      <c r="FK121" s="72"/>
      <c r="FM121" s="421">
        <f t="shared" si="318"/>
        <v>0</v>
      </c>
      <c r="FN121" s="422" t="e">
        <f t="shared" ca="1" si="319"/>
        <v>#N/A</v>
      </c>
      <c r="FO121" s="423">
        <f t="shared" ca="1" si="418"/>
        <v>0</v>
      </c>
      <c r="FP121" s="423">
        <f t="shared" ca="1" si="418"/>
        <v>0</v>
      </c>
      <c r="FQ121" s="423">
        <f t="shared" ca="1" si="418"/>
        <v>0</v>
      </c>
      <c r="FR121" s="423">
        <f t="shared" ca="1" si="418"/>
        <v>0</v>
      </c>
      <c r="FS121" s="423">
        <f t="shared" ca="1" si="418"/>
        <v>0</v>
      </c>
      <c r="FT121" s="423">
        <f t="shared" ca="1" si="418"/>
        <v>0</v>
      </c>
      <c r="FU121" s="423">
        <f t="shared" ca="1" si="418"/>
        <v>0</v>
      </c>
      <c r="FV121" s="423">
        <f t="shared" ca="1" si="418"/>
        <v>0</v>
      </c>
      <c r="FW121" s="423">
        <f t="shared" ca="1" si="418"/>
        <v>0</v>
      </c>
      <c r="FX121" s="423">
        <f t="shared" ca="1" si="418"/>
        <v>0</v>
      </c>
      <c r="FY121" s="423">
        <f t="shared" ca="1" si="418"/>
        <v>0</v>
      </c>
      <c r="FZ121" s="423">
        <f t="shared" ca="1" si="418"/>
        <v>0</v>
      </c>
      <c r="GA121" s="423">
        <f t="shared" ca="1" si="418"/>
        <v>0</v>
      </c>
      <c r="GB121" s="423">
        <f t="shared" ca="1" si="418"/>
        <v>0</v>
      </c>
      <c r="GC121" s="423">
        <f t="shared" ca="1" si="418"/>
        <v>0</v>
      </c>
      <c r="GD121" s="423">
        <f t="shared" ca="1" si="415"/>
        <v>0</v>
      </c>
      <c r="GE121" s="423">
        <f t="shared" ca="1" si="415"/>
        <v>0</v>
      </c>
      <c r="GF121" s="423">
        <f t="shared" ca="1" si="415"/>
        <v>0</v>
      </c>
      <c r="GG121" s="423">
        <f t="shared" ca="1" si="415"/>
        <v>0</v>
      </c>
      <c r="GH121" s="423">
        <f t="shared" ca="1" si="415"/>
        <v>0</v>
      </c>
      <c r="GI121" s="423">
        <f t="shared" ca="1" si="415"/>
        <v>0</v>
      </c>
      <c r="GJ121" s="423">
        <f t="shared" ca="1" si="415"/>
        <v>0</v>
      </c>
      <c r="GK121" s="423">
        <f t="shared" ca="1" si="415"/>
        <v>0</v>
      </c>
      <c r="GL121" s="423">
        <f t="shared" ca="1" si="415"/>
        <v>0</v>
      </c>
      <c r="GM121" s="423">
        <f t="shared" ca="1" si="415"/>
        <v>0</v>
      </c>
      <c r="GN121" s="423">
        <f t="shared" ca="1" si="415"/>
        <v>0</v>
      </c>
      <c r="GO121" s="423">
        <f t="shared" ca="1" si="415"/>
        <v>0</v>
      </c>
      <c r="GP121" s="423">
        <f t="shared" ca="1" si="415"/>
        <v>0</v>
      </c>
      <c r="GQ121" s="423">
        <f t="shared" ca="1" si="415"/>
        <v>0</v>
      </c>
      <c r="GR121" s="423">
        <f t="shared" ca="1" si="415"/>
        <v>0</v>
      </c>
      <c r="GS121" s="423">
        <f t="shared" ca="1" si="415"/>
        <v>0</v>
      </c>
      <c r="GT121" s="423">
        <f t="shared" ca="1" si="416"/>
        <v>0</v>
      </c>
      <c r="GU121" s="423">
        <f t="shared" ca="1" si="331"/>
        <v>0</v>
      </c>
      <c r="GV121" s="423">
        <f t="shared" ca="1" si="331"/>
        <v>0</v>
      </c>
      <c r="GW121" s="423">
        <f t="shared" ca="1" si="331"/>
        <v>0</v>
      </c>
      <c r="GX121" s="423">
        <f t="shared" ca="1" si="331"/>
        <v>0</v>
      </c>
      <c r="GY121" s="423">
        <f t="shared" ca="1" si="331"/>
        <v>0</v>
      </c>
      <c r="GZ121" s="423">
        <f t="shared" ca="1" si="331"/>
        <v>0</v>
      </c>
      <c r="HA121" s="423">
        <f t="shared" ca="1" si="331"/>
        <v>0</v>
      </c>
      <c r="HB121" s="423">
        <f t="shared" ca="1" si="331"/>
        <v>0</v>
      </c>
      <c r="HC121" s="423">
        <f t="shared" ca="1" si="331"/>
        <v>0</v>
      </c>
      <c r="HD121" s="423">
        <f t="shared" ca="1" si="331"/>
        <v>0</v>
      </c>
      <c r="HE121" s="423">
        <f t="shared" ca="1" si="331"/>
        <v>0</v>
      </c>
      <c r="HF121" s="423">
        <f t="shared" ca="1" si="331"/>
        <v>0</v>
      </c>
      <c r="HG121" s="423">
        <f t="shared" ca="1" si="331"/>
        <v>0</v>
      </c>
      <c r="HH121" s="423">
        <f t="shared" ca="1" si="331"/>
        <v>0</v>
      </c>
      <c r="HI121" s="423">
        <f t="shared" ca="1" si="331"/>
        <v>0</v>
      </c>
      <c r="HJ121" s="423">
        <f t="shared" ca="1" si="331"/>
        <v>0</v>
      </c>
      <c r="HK121" s="423">
        <f t="shared" ca="1" si="417"/>
        <v>0</v>
      </c>
      <c r="HL121" s="423">
        <f t="shared" ca="1" si="417"/>
        <v>0</v>
      </c>
      <c r="HM121" s="423">
        <f t="shared" ca="1" si="417"/>
        <v>0</v>
      </c>
      <c r="HN121" s="423">
        <f t="shared" ca="1" si="417"/>
        <v>0</v>
      </c>
      <c r="HO121" s="423">
        <f t="shared" ca="1" si="417"/>
        <v>0</v>
      </c>
      <c r="HP121" s="423">
        <f t="shared" ca="1" si="417"/>
        <v>0</v>
      </c>
      <c r="HQ121" s="423">
        <f t="shared" ca="1" si="417"/>
        <v>0</v>
      </c>
      <c r="HR121" s="423">
        <f t="shared" ca="1" si="417"/>
        <v>0</v>
      </c>
      <c r="HS121" s="423">
        <f t="shared" ca="1" si="417"/>
        <v>0</v>
      </c>
      <c r="HT121" s="423">
        <f t="shared" ca="1" si="417"/>
        <v>0</v>
      </c>
      <c r="HU121" s="423"/>
      <c r="HV121" s="423"/>
    </row>
    <row r="122" spans="1:230" ht="11.25" customHeight="1" x14ac:dyDescent="0.2">
      <c r="A122" s="62">
        <f t="shared" si="322"/>
        <v>111</v>
      </c>
      <c r="B122" s="60">
        <f>Spaces_Sum!C167</f>
        <v>0</v>
      </c>
      <c r="C122" s="62" t="str">
        <f>Spaces_Sum!D167</f>
        <v>0</v>
      </c>
      <c r="D122" s="62" t="e">
        <f ca="1">Spaces_Sum!I167</f>
        <v>#N/A</v>
      </c>
      <c r="F122" s="110" t="e">
        <f ca="1">Spaces_Sum!M167</f>
        <v>#N/A</v>
      </c>
      <c r="G122" s="110" t="e">
        <f ca="1">Spaces_Sum!J167</f>
        <v>#N/A</v>
      </c>
      <c r="H122" s="532"/>
      <c r="I122" s="185"/>
      <c r="J122" s="185"/>
      <c r="K122" s="186"/>
      <c r="L122" s="187"/>
      <c r="M122" s="188"/>
      <c r="N122" s="189"/>
      <c r="O122" s="186"/>
      <c r="P122" s="187"/>
      <c r="Q122" s="188"/>
      <c r="R122" s="189"/>
      <c r="S122" s="186"/>
      <c r="T122" s="187"/>
      <c r="U122" s="188"/>
      <c r="V122" s="189"/>
      <c r="W122" s="186"/>
      <c r="X122" s="187"/>
      <c r="Y122" s="188"/>
      <c r="Z122" s="189"/>
      <c r="AA122" s="186"/>
      <c r="AB122" s="187"/>
      <c r="AC122" s="188"/>
      <c r="AD122" s="189"/>
      <c r="AE122" s="186"/>
      <c r="AF122" s="187"/>
      <c r="AG122" s="188"/>
      <c r="AH122" s="189"/>
      <c r="AI122" s="186"/>
      <c r="AJ122" s="187"/>
      <c r="AK122" s="188"/>
      <c r="AL122" s="189"/>
      <c r="AM122" s="186"/>
      <c r="AN122" s="187"/>
      <c r="AO122" s="188"/>
      <c r="AP122" s="189"/>
      <c r="AQ122" s="186"/>
      <c r="AR122" s="187"/>
      <c r="AS122" s="188"/>
      <c r="AT122" s="189"/>
      <c r="AU122" s="186"/>
      <c r="AV122" s="187"/>
      <c r="AW122" s="188"/>
      <c r="AX122" s="189"/>
      <c r="AY122" s="186"/>
      <c r="AZ122" s="187"/>
      <c r="BA122" s="188"/>
      <c r="BB122" s="189"/>
      <c r="BC122" s="186"/>
      <c r="BD122" s="187"/>
      <c r="BE122" s="188"/>
      <c r="BF122" s="189"/>
      <c r="BG122" s="186"/>
      <c r="BH122" s="187"/>
      <c r="BI122" s="188"/>
      <c r="BJ122" s="189"/>
      <c r="BK122" s="186"/>
      <c r="BL122" s="187"/>
      <c r="BM122" s="188"/>
      <c r="BN122" s="189"/>
      <c r="BO122" s="186"/>
      <c r="BP122" s="187"/>
      <c r="BQ122" s="188"/>
      <c r="BR122" s="189"/>
      <c r="BS122" s="186"/>
      <c r="BT122" s="187"/>
      <c r="BU122" s="188"/>
      <c r="BV122" s="189"/>
      <c r="BW122" s="186"/>
      <c r="BX122" s="187"/>
      <c r="BY122" s="188"/>
      <c r="BZ122" s="189"/>
      <c r="CA122" s="186"/>
      <c r="CB122" s="190"/>
      <c r="CC122" s="190"/>
      <c r="CD122" s="82">
        <f t="shared" si="332"/>
        <v>0</v>
      </c>
      <c r="CE122" s="82">
        <f t="shared" si="333"/>
        <v>0</v>
      </c>
      <c r="CF122" s="82">
        <f t="shared" si="334"/>
        <v>0</v>
      </c>
      <c r="CG122" s="82">
        <f t="shared" si="335"/>
        <v>0</v>
      </c>
      <c r="CH122" s="82">
        <f t="shared" si="336"/>
        <v>0</v>
      </c>
      <c r="CI122" s="82">
        <f t="shared" si="337"/>
        <v>0</v>
      </c>
      <c r="CJ122" s="82">
        <f t="shared" si="338"/>
        <v>0</v>
      </c>
      <c r="CK122" s="82">
        <f t="shared" si="339"/>
        <v>0</v>
      </c>
      <c r="CL122" s="82">
        <f t="shared" si="340"/>
        <v>0</v>
      </c>
      <c r="CM122" s="82">
        <f t="shared" si="341"/>
        <v>0</v>
      </c>
      <c r="CN122" s="82">
        <f t="shared" si="342"/>
        <v>0</v>
      </c>
      <c r="CO122" s="82">
        <f t="shared" si="343"/>
        <v>0</v>
      </c>
      <c r="CP122" s="82">
        <f t="shared" si="344"/>
        <v>0</v>
      </c>
      <c r="CQ122" s="82">
        <f t="shared" si="345"/>
        <v>0</v>
      </c>
      <c r="CR122" s="82">
        <f t="shared" si="346"/>
        <v>0</v>
      </c>
      <c r="CS122" s="82">
        <f t="shared" si="347"/>
        <v>0</v>
      </c>
      <c r="CT122" s="82">
        <f t="shared" si="348"/>
        <v>0</v>
      </c>
      <c r="CU122" s="82">
        <f t="shared" si="349"/>
        <v>0</v>
      </c>
      <c r="CV122" s="82">
        <f t="shared" si="350"/>
        <v>0</v>
      </c>
      <c r="CW122" s="82">
        <f t="shared" si="351"/>
        <v>0</v>
      </c>
      <c r="CX122" s="82">
        <f t="shared" si="352"/>
        <v>0</v>
      </c>
      <c r="CY122" s="82">
        <f t="shared" si="353"/>
        <v>0</v>
      </c>
      <c r="CZ122" s="82">
        <f t="shared" si="354"/>
        <v>0</v>
      </c>
      <c r="DA122" s="82">
        <f t="shared" si="355"/>
        <v>0</v>
      </c>
      <c r="DB122" s="82">
        <f t="shared" si="356"/>
        <v>0</v>
      </c>
      <c r="DC122" s="82">
        <f t="shared" si="357"/>
        <v>0</v>
      </c>
      <c r="DD122" s="82">
        <f t="shared" si="358"/>
        <v>0</v>
      </c>
      <c r="DE122" s="82">
        <f t="shared" si="359"/>
        <v>0</v>
      </c>
      <c r="DF122" s="82">
        <f t="shared" si="360"/>
        <v>0</v>
      </c>
      <c r="DG122" s="82">
        <f t="shared" si="361"/>
        <v>0</v>
      </c>
      <c r="DH122" s="82">
        <f t="shared" si="362"/>
        <v>0</v>
      </c>
      <c r="DI122" s="82">
        <f t="shared" si="363"/>
        <v>0</v>
      </c>
      <c r="DJ122" s="82">
        <f t="shared" si="364"/>
        <v>0</v>
      </c>
      <c r="DK122" s="82">
        <f t="shared" si="365"/>
        <v>0</v>
      </c>
      <c r="DL122" s="82">
        <f t="shared" si="366"/>
        <v>0</v>
      </c>
      <c r="DM122" s="82">
        <f t="shared" si="367"/>
        <v>0</v>
      </c>
      <c r="DN122" s="82">
        <f t="shared" si="368"/>
        <v>0</v>
      </c>
      <c r="DO122" s="82">
        <f t="shared" si="369"/>
        <v>0</v>
      </c>
      <c r="DP122" s="82">
        <f t="shared" si="370"/>
        <v>0</v>
      </c>
      <c r="DQ122" s="82">
        <f t="shared" si="371"/>
        <v>0</v>
      </c>
      <c r="DR122" s="82">
        <f t="shared" si="372"/>
        <v>0</v>
      </c>
      <c r="DS122" s="82">
        <f t="shared" si="373"/>
        <v>0</v>
      </c>
      <c r="DT122" s="82">
        <f t="shared" si="374"/>
        <v>0</v>
      </c>
      <c r="DU122" s="82">
        <f t="shared" si="375"/>
        <v>0</v>
      </c>
      <c r="DV122" s="82">
        <f t="shared" si="376"/>
        <v>0</v>
      </c>
      <c r="DW122" s="82">
        <f t="shared" si="377"/>
        <v>0</v>
      </c>
      <c r="DX122" s="82">
        <f t="shared" si="378"/>
        <v>0</v>
      </c>
      <c r="DY122" s="82">
        <f t="shared" si="379"/>
        <v>0</v>
      </c>
      <c r="DZ122" s="82">
        <f t="shared" si="380"/>
        <v>0</v>
      </c>
      <c r="EA122" s="82">
        <f t="shared" si="381"/>
        <v>0</v>
      </c>
      <c r="EB122" s="82">
        <f t="shared" si="382"/>
        <v>0</v>
      </c>
      <c r="EC122" s="82">
        <f t="shared" si="383"/>
        <v>0</v>
      </c>
      <c r="ED122" s="82">
        <f t="shared" si="384"/>
        <v>0</v>
      </c>
      <c r="EE122" s="82">
        <f t="shared" si="385"/>
        <v>0</v>
      </c>
      <c r="EF122" s="82">
        <f t="shared" si="386"/>
        <v>0</v>
      </c>
      <c r="EG122" s="82">
        <f t="shared" si="387"/>
        <v>0</v>
      </c>
      <c r="EH122" s="82">
        <f t="shared" si="388"/>
        <v>0</v>
      </c>
      <c r="EI122" s="82">
        <f t="shared" si="389"/>
        <v>0</v>
      </c>
      <c r="EJ122" s="82">
        <f t="shared" si="390"/>
        <v>0</v>
      </c>
      <c r="EK122" s="82">
        <f t="shared" si="391"/>
        <v>0</v>
      </c>
      <c r="EL122" s="82">
        <f t="shared" si="392"/>
        <v>0</v>
      </c>
      <c r="EM122" s="82">
        <f t="shared" si="393"/>
        <v>0</v>
      </c>
      <c r="EN122" s="82">
        <f t="shared" si="394"/>
        <v>0</v>
      </c>
      <c r="EO122" s="82">
        <f t="shared" si="395"/>
        <v>0</v>
      </c>
      <c r="EP122" s="82">
        <f t="shared" si="396"/>
        <v>0</v>
      </c>
      <c r="EQ122" s="82">
        <f t="shared" si="397"/>
        <v>0</v>
      </c>
      <c r="ER122" s="82">
        <f t="shared" si="398"/>
        <v>0</v>
      </c>
      <c r="ES122" s="82">
        <f t="shared" si="399"/>
        <v>0</v>
      </c>
      <c r="ET122" s="82">
        <f t="shared" si="400"/>
        <v>0</v>
      </c>
      <c r="EU122" s="82">
        <f t="shared" si="401"/>
        <v>0</v>
      </c>
      <c r="EV122" s="82">
        <f t="shared" si="402"/>
        <v>0</v>
      </c>
      <c r="EW122" s="82">
        <f t="shared" si="403"/>
        <v>0</v>
      </c>
      <c r="EX122" s="82">
        <f t="shared" si="404"/>
        <v>0</v>
      </c>
      <c r="EY122" s="111">
        <f t="shared" si="405"/>
        <v>0</v>
      </c>
      <c r="EZ122" s="143" t="e">
        <f t="shared" ca="1" si="406"/>
        <v>#N/A</v>
      </c>
      <c r="FA122" s="112" t="e">
        <f t="shared" ca="1" si="407"/>
        <v>#N/A</v>
      </c>
      <c r="FB122" s="113" t="e">
        <f t="shared" ca="1" si="408"/>
        <v>#N/A</v>
      </c>
      <c r="FC122" s="114" t="e">
        <f t="shared" ca="1" si="409"/>
        <v>#N/A</v>
      </c>
      <c r="FD122" s="115">
        <f t="shared" ca="1" si="410"/>
        <v>0</v>
      </c>
      <c r="FE122" s="116" t="e">
        <f t="shared" ca="1" si="411"/>
        <v>#N/A</v>
      </c>
      <c r="FF122" s="117" t="e">
        <f t="shared" ca="1" si="412"/>
        <v>#N/A</v>
      </c>
      <c r="FG122" s="71">
        <f t="shared" si="413"/>
        <v>0</v>
      </c>
      <c r="FH122" s="530" t="e">
        <f t="shared" ca="1" si="414"/>
        <v>#N/A</v>
      </c>
      <c r="FI122" s="72" t="e">
        <f ca="1">0.75*FB122</f>
        <v>#N/A</v>
      </c>
      <c r="FJ122" s="72" t="e">
        <f ca="1">FA122</f>
        <v>#N/A</v>
      </c>
      <c r="FK122" s="72" t="e">
        <f ca="1">SUM(FI122:FJ122)</f>
        <v>#N/A</v>
      </c>
      <c r="FM122" s="421">
        <f t="shared" si="318"/>
        <v>0</v>
      </c>
      <c r="FN122" s="422" t="e">
        <f t="shared" ca="1" si="319"/>
        <v>#N/A</v>
      </c>
      <c r="FO122" s="423">
        <f t="shared" ca="1" si="418"/>
        <v>0</v>
      </c>
      <c r="FP122" s="423">
        <f t="shared" ca="1" si="418"/>
        <v>0</v>
      </c>
      <c r="FQ122" s="423">
        <f t="shared" ca="1" si="418"/>
        <v>0</v>
      </c>
      <c r="FR122" s="423">
        <f t="shared" ca="1" si="418"/>
        <v>0</v>
      </c>
      <c r="FS122" s="423">
        <f t="shared" ca="1" si="418"/>
        <v>0</v>
      </c>
      <c r="FT122" s="423">
        <f t="shared" ca="1" si="418"/>
        <v>0</v>
      </c>
      <c r="FU122" s="423">
        <f t="shared" ca="1" si="418"/>
        <v>0</v>
      </c>
      <c r="FV122" s="423">
        <f t="shared" ca="1" si="418"/>
        <v>0</v>
      </c>
      <c r="FW122" s="423">
        <f t="shared" ca="1" si="418"/>
        <v>0</v>
      </c>
      <c r="FX122" s="423">
        <f t="shared" ca="1" si="418"/>
        <v>0</v>
      </c>
      <c r="FY122" s="423">
        <f t="shared" ca="1" si="418"/>
        <v>0</v>
      </c>
      <c r="FZ122" s="423">
        <f t="shared" ca="1" si="418"/>
        <v>0</v>
      </c>
      <c r="GA122" s="423">
        <f t="shared" ca="1" si="418"/>
        <v>0</v>
      </c>
      <c r="GB122" s="423">
        <f t="shared" ca="1" si="418"/>
        <v>0</v>
      </c>
      <c r="GC122" s="423">
        <f t="shared" ca="1" si="418"/>
        <v>0</v>
      </c>
      <c r="GD122" s="423">
        <f t="shared" ca="1" si="415"/>
        <v>0</v>
      </c>
      <c r="GE122" s="423">
        <f t="shared" ca="1" si="415"/>
        <v>0</v>
      </c>
      <c r="GF122" s="423">
        <f t="shared" ca="1" si="415"/>
        <v>0</v>
      </c>
      <c r="GG122" s="423">
        <f t="shared" ca="1" si="415"/>
        <v>0</v>
      </c>
      <c r="GH122" s="423">
        <f t="shared" ca="1" si="415"/>
        <v>0</v>
      </c>
      <c r="GI122" s="423">
        <f t="shared" ca="1" si="415"/>
        <v>0</v>
      </c>
      <c r="GJ122" s="423">
        <f t="shared" ca="1" si="415"/>
        <v>0</v>
      </c>
      <c r="GK122" s="423">
        <f t="shared" ca="1" si="415"/>
        <v>0</v>
      </c>
      <c r="GL122" s="423">
        <f t="shared" ca="1" si="415"/>
        <v>0</v>
      </c>
      <c r="GM122" s="423">
        <f t="shared" ca="1" si="415"/>
        <v>0</v>
      </c>
      <c r="GN122" s="423">
        <f t="shared" ca="1" si="415"/>
        <v>0</v>
      </c>
      <c r="GO122" s="423">
        <f t="shared" ca="1" si="415"/>
        <v>0</v>
      </c>
      <c r="GP122" s="423">
        <f t="shared" ca="1" si="415"/>
        <v>0</v>
      </c>
      <c r="GQ122" s="423">
        <f t="shared" ca="1" si="415"/>
        <v>0</v>
      </c>
      <c r="GR122" s="423">
        <f t="shared" ca="1" si="415"/>
        <v>0</v>
      </c>
      <c r="GS122" s="423">
        <f t="shared" ca="1" si="415"/>
        <v>0</v>
      </c>
      <c r="GT122" s="423">
        <f t="shared" ca="1" si="416"/>
        <v>0</v>
      </c>
      <c r="GU122" s="423">
        <f t="shared" ca="1" si="331"/>
        <v>0</v>
      </c>
      <c r="GV122" s="423">
        <f t="shared" ca="1" si="331"/>
        <v>0</v>
      </c>
      <c r="GW122" s="423">
        <f t="shared" ca="1" si="331"/>
        <v>0</v>
      </c>
      <c r="GX122" s="423">
        <f t="shared" ca="1" si="331"/>
        <v>0</v>
      </c>
      <c r="GY122" s="423">
        <f t="shared" ca="1" si="331"/>
        <v>0</v>
      </c>
      <c r="GZ122" s="423">
        <f t="shared" ca="1" si="331"/>
        <v>0</v>
      </c>
      <c r="HA122" s="423">
        <f t="shared" ca="1" si="331"/>
        <v>0</v>
      </c>
      <c r="HB122" s="423">
        <f t="shared" ca="1" si="331"/>
        <v>0</v>
      </c>
      <c r="HC122" s="423">
        <f t="shared" ca="1" si="331"/>
        <v>0</v>
      </c>
      <c r="HD122" s="423">
        <f t="shared" ca="1" si="331"/>
        <v>0</v>
      </c>
      <c r="HE122" s="423">
        <f t="shared" ca="1" si="331"/>
        <v>0</v>
      </c>
      <c r="HF122" s="423">
        <f t="shared" ca="1" si="331"/>
        <v>0</v>
      </c>
      <c r="HG122" s="423">
        <f t="shared" ca="1" si="331"/>
        <v>0</v>
      </c>
      <c r="HH122" s="423">
        <f t="shared" ca="1" si="331"/>
        <v>0</v>
      </c>
      <c r="HI122" s="423">
        <f t="shared" ca="1" si="331"/>
        <v>0</v>
      </c>
      <c r="HJ122" s="423">
        <f t="shared" ca="1" si="331"/>
        <v>0</v>
      </c>
      <c r="HK122" s="423">
        <f t="shared" ca="1" si="417"/>
        <v>0</v>
      </c>
      <c r="HL122" s="423">
        <f t="shared" ca="1" si="417"/>
        <v>0</v>
      </c>
      <c r="HM122" s="423">
        <f t="shared" ca="1" si="417"/>
        <v>0</v>
      </c>
      <c r="HN122" s="423">
        <f t="shared" ca="1" si="417"/>
        <v>0</v>
      </c>
      <c r="HO122" s="423">
        <f t="shared" ca="1" si="417"/>
        <v>0</v>
      </c>
      <c r="HP122" s="423">
        <f t="shared" ca="1" si="417"/>
        <v>0</v>
      </c>
      <c r="HQ122" s="423">
        <f t="shared" ca="1" si="417"/>
        <v>0</v>
      </c>
      <c r="HR122" s="423">
        <f t="shared" ca="1" si="417"/>
        <v>0</v>
      </c>
      <c r="HS122" s="423">
        <f t="shared" ca="1" si="417"/>
        <v>0</v>
      </c>
      <c r="HT122" s="423">
        <f t="shared" ca="1" si="417"/>
        <v>0</v>
      </c>
      <c r="HU122" s="423"/>
      <c r="HV122" s="423"/>
    </row>
    <row r="123" spans="1:230" ht="11.25" customHeight="1" x14ac:dyDescent="0.2">
      <c r="A123" s="62">
        <f t="shared" si="322"/>
        <v>112</v>
      </c>
      <c r="B123" s="60">
        <f>Spaces_Sum!C168</f>
        <v>0</v>
      </c>
      <c r="C123" s="62" t="str">
        <f>Spaces_Sum!D168</f>
        <v>0</v>
      </c>
      <c r="D123" s="62" t="e">
        <f ca="1">Spaces_Sum!I168</f>
        <v>#N/A</v>
      </c>
      <c r="F123" s="110" t="e">
        <f ca="1">Spaces_Sum!M168</f>
        <v>#N/A</v>
      </c>
      <c r="G123" s="110" t="e">
        <f ca="1">Spaces_Sum!J168</f>
        <v>#N/A</v>
      </c>
      <c r="H123" s="532"/>
      <c r="I123" s="185"/>
      <c r="J123" s="185"/>
      <c r="K123" s="186"/>
      <c r="L123" s="187"/>
      <c r="M123" s="188"/>
      <c r="N123" s="189"/>
      <c r="O123" s="186"/>
      <c r="P123" s="187"/>
      <c r="Q123" s="188"/>
      <c r="R123" s="189"/>
      <c r="S123" s="186"/>
      <c r="T123" s="187"/>
      <c r="U123" s="188"/>
      <c r="V123" s="189"/>
      <c r="W123" s="186"/>
      <c r="X123" s="187"/>
      <c r="Y123" s="188"/>
      <c r="Z123" s="189"/>
      <c r="AA123" s="186"/>
      <c r="AB123" s="187"/>
      <c r="AC123" s="188"/>
      <c r="AD123" s="189"/>
      <c r="AE123" s="186"/>
      <c r="AF123" s="187"/>
      <c r="AG123" s="188"/>
      <c r="AH123" s="189"/>
      <c r="AI123" s="186"/>
      <c r="AJ123" s="187"/>
      <c r="AK123" s="188"/>
      <c r="AL123" s="189"/>
      <c r="AM123" s="186"/>
      <c r="AN123" s="187"/>
      <c r="AO123" s="188"/>
      <c r="AP123" s="189"/>
      <c r="AQ123" s="186"/>
      <c r="AR123" s="187"/>
      <c r="AS123" s="188"/>
      <c r="AT123" s="189"/>
      <c r="AU123" s="186"/>
      <c r="AV123" s="187"/>
      <c r="AW123" s="188"/>
      <c r="AX123" s="189"/>
      <c r="AY123" s="186"/>
      <c r="AZ123" s="187"/>
      <c r="BA123" s="188"/>
      <c r="BB123" s="189"/>
      <c r="BC123" s="186"/>
      <c r="BD123" s="187"/>
      <c r="BE123" s="188"/>
      <c r="BF123" s="189"/>
      <c r="BG123" s="186"/>
      <c r="BH123" s="187"/>
      <c r="BI123" s="188"/>
      <c r="BJ123" s="189"/>
      <c r="BK123" s="186"/>
      <c r="BL123" s="187"/>
      <c r="BM123" s="188"/>
      <c r="BN123" s="189"/>
      <c r="BO123" s="186"/>
      <c r="BP123" s="187"/>
      <c r="BQ123" s="188"/>
      <c r="BR123" s="189"/>
      <c r="BS123" s="186"/>
      <c r="BT123" s="187"/>
      <c r="BU123" s="188"/>
      <c r="BV123" s="189"/>
      <c r="BW123" s="186"/>
      <c r="BX123" s="187"/>
      <c r="BY123" s="188"/>
      <c r="BZ123" s="189"/>
      <c r="CA123" s="186"/>
      <c r="CB123" s="190"/>
      <c r="CC123" s="190"/>
      <c r="CD123" s="82">
        <f t="shared" si="332"/>
        <v>0</v>
      </c>
      <c r="CE123" s="82">
        <f t="shared" si="333"/>
        <v>0</v>
      </c>
      <c r="CF123" s="82">
        <f t="shared" si="334"/>
        <v>0</v>
      </c>
      <c r="CG123" s="82">
        <f t="shared" si="335"/>
        <v>0</v>
      </c>
      <c r="CH123" s="82">
        <f t="shared" si="336"/>
        <v>0</v>
      </c>
      <c r="CI123" s="82">
        <f t="shared" si="337"/>
        <v>0</v>
      </c>
      <c r="CJ123" s="82">
        <f t="shared" si="338"/>
        <v>0</v>
      </c>
      <c r="CK123" s="82">
        <f t="shared" si="339"/>
        <v>0</v>
      </c>
      <c r="CL123" s="82">
        <f t="shared" si="340"/>
        <v>0</v>
      </c>
      <c r="CM123" s="82">
        <f t="shared" si="341"/>
        <v>0</v>
      </c>
      <c r="CN123" s="82">
        <f t="shared" si="342"/>
        <v>0</v>
      </c>
      <c r="CO123" s="82">
        <f t="shared" si="343"/>
        <v>0</v>
      </c>
      <c r="CP123" s="82">
        <f t="shared" si="344"/>
        <v>0</v>
      </c>
      <c r="CQ123" s="82">
        <f t="shared" si="345"/>
        <v>0</v>
      </c>
      <c r="CR123" s="82">
        <f t="shared" si="346"/>
        <v>0</v>
      </c>
      <c r="CS123" s="82">
        <f t="shared" si="347"/>
        <v>0</v>
      </c>
      <c r="CT123" s="82">
        <f t="shared" si="348"/>
        <v>0</v>
      </c>
      <c r="CU123" s="82">
        <f t="shared" si="349"/>
        <v>0</v>
      </c>
      <c r="CV123" s="82">
        <f t="shared" si="350"/>
        <v>0</v>
      </c>
      <c r="CW123" s="82">
        <f t="shared" si="351"/>
        <v>0</v>
      </c>
      <c r="CX123" s="82">
        <f t="shared" si="352"/>
        <v>0</v>
      </c>
      <c r="CY123" s="82">
        <f t="shared" si="353"/>
        <v>0</v>
      </c>
      <c r="CZ123" s="82">
        <f t="shared" si="354"/>
        <v>0</v>
      </c>
      <c r="DA123" s="82">
        <f t="shared" si="355"/>
        <v>0</v>
      </c>
      <c r="DB123" s="82">
        <f t="shared" si="356"/>
        <v>0</v>
      </c>
      <c r="DC123" s="82">
        <f t="shared" si="357"/>
        <v>0</v>
      </c>
      <c r="DD123" s="82">
        <f t="shared" si="358"/>
        <v>0</v>
      </c>
      <c r="DE123" s="82">
        <f t="shared" si="359"/>
        <v>0</v>
      </c>
      <c r="DF123" s="82">
        <f t="shared" si="360"/>
        <v>0</v>
      </c>
      <c r="DG123" s="82">
        <f t="shared" si="361"/>
        <v>0</v>
      </c>
      <c r="DH123" s="82">
        <f t="shared" si="362"/>
        <v>0</v>
      </c>
      <c r="DI123" s="82">
        <f t="shared" si="363"/>
        <v>0</v>
      </c>
      <c r="DJ123" s="82">
        <f t="shared" si="364"/>
        <v>0</v>
      </c>
      <c r="DK123" s="82">
        <f t="shared" si="365"/>
        <v>0</v>
      </c>
      <c r="DL123" s="82">
        <f t="shared" si="366"/>
        <v>0</v>
      </c>
      <c r="DM123" s="82">
        <f t="shared" si="367"/>
        <v>0</v>
      </c>
      <c r="DN123" s="82">
        <f t="shared" si="368"/>
        <v>0</v>
      </c>
      <c r="DO123" s="82">
        <f t="shared" si="369"/>
        <v>0</v>
      </c>
      <c r="DP123" s="82">
        <f t="shared" si="370"/>
        <v>0</v>
      </c>
      <c r="DQ123" s="82">
        <f t="shared" si="371"/>
        <v>0</v>
      </c>
      <c r="DR123" s="82">
        <f t="shared" si="372"/>
        <v>0</v>
      </c>
      <c r="DS123" s="82">
        <f t="shared" si="373"/>
        <v>0</v>
      </c>
      <c r="DT123" s="82">
        <f t="shared" si="374"/>
        <v>0</v>
      </c>
      <c r="DU123" s="82">
        <f t="shared" si="375"/>
        <v>0</v>
      </c>
      <c r="DV123" s="82">
        <f t="shared" si="376"/>
        <v>0</v>
      </c>
      <c r="DW123" s="82">
        <f t="shared" si="377"/>
        <v>0</v>
      </c>
      <c r="DX123" s="82">
        <f t="shared" si="378"/>
        <v>0</v>
      </c>
      <c r="DY123" s="82">
        <f t="shared" si="379"/>
        <v>0</v>
      </c>
      <c r="DZ123" s="82">
        <f t="shared" si="380"/>
        <v>0</v>
      </c>
      <c r="EA123" s="82">
        <f t="shared" si="381"/>
        <v>0</v>
      </c>
      <c r="EB123" s="82">
        <f t="shared" si="382"/>
        <v>0</v>
      </c>
      <c r="EC123" s="82">
        <f t="shared" si="383"/>
        <v>0</v>
      </c>
      <c r="ED123" s="82">
        <f t="shared" si="384"/>
        <v>0</v>
      </c>
      <c r="EE123" s="82">
        <f t="shared" si="385"/>
        <v>0</v>
      </c>
      <c r="EF123" s="82">
        <f t="shared" si="386"/>
        <v>0</v>
      </c>
      <c r="EG123" s="82">
        <f t="shared" si="387"/>
        <v>0</v>
      </c>
      <c r="EH123" s="82">
        <f t="shared" si="388"/>
        <v>0</v>
      </c>
      <c r="EI123" s="82">
        <f t="shared" si="389"/>
        <v>0</v>
      </c>
      <c r="EJ123" s="82">
        <f t="shared" si="390"/>
        <v>0</v>
      </c>
      <c r="EK123" s="82">
        <f t="shared" si="391"/>
        <v>0</v>
      </c>
      <c r="EL123" s="82">
        <f t="shared" si="392"/>
        <v>0</v>
      </c>
      <c r="EM123" s="82">
        <f t="shared" si="393"/>
        <v>0</v>
      </c>
      <c r="EN123" s="82">
        <f t="shared" si="394"/>
        <v>0</v>
      </c>
      <c r="EO123" s="82">
        <f t="shared" si="395"/>
        <v>0</v>
      </c>
      <c r="EP123" s="82">
        <f t="shared" si="396"/>
        <v>0</v>
      </c>
      <c r="EQ123" s="82">
        <f t="shared" si="397"/>
        <v>0</v>
      </c>
      <c r="ER123" s="82">
        <f t="shared" si="398"/>
        <v>0</v>
      </c>
      <c r="ES123" s="82">
        <f t="shared" si="399"/>
        <v>0</v>
      </c>
      <c r="ET123" s="82">
        <f t="shared" si="400"/>
        <v>0</v>
      </c>
      <c r="EU123" s="82">
        <f t="shared" si="401"/>
        <v>0</v>
      </c>
      <c r="EV123" s="82">
        <f t="shared" si="402"/>
        <v>0</v>
      </c>
      <c r="EW123" s="82">
        <f t="shared" si="403"/>
        <v>0</v>
      </c>
      <c r="EX123" s="82">
        <f t="shared" si="404"/>
        <v>0</v>
      </c>
      <c r="EY123" s="111">
        <f t="shared" si="405"/>
        <v>0</v>
      </c>
      <c r="EZ123" s="143" t="e">
        <f t="shared" ca="1" si="406"/>
        <v>#N/A</v>
      </c>
      <c r="FA123" s="112" t="e">
        <f t="shared" ca="1" si="407"/>
        <v>#N/A</v>
      </c>
      <c r="FB123" s="113" t="e">
        <f t="shared" ca="1" si="408"/>
        <v>#N/A</v>
      </c>
      <c r="FC123" s="114" t="e">
        <f t="shared" ca="1" si="409"/>
        <v>#N/A</v>
      </c>
      <c r="FD123" s="115">
        <f t="shared" ca="1" si="410"/>
        <v>0</v>
      </c>
      <c r="FE123" s="116" t="e">
        <f t="shared" ca="1" si="411"/>
        <v>#N/A</v>
      </c>
      <c r="FF123" s="117" t="e">
        <f t="shared" ca="1" si="412"/>
        <v>#N/A</v>
      </c>
      <c r="FG123" s="71">
        <f t="shared" si="413"/>
        <v>0</v>
      </c>
      <c r="FH123" s="530" t="e">
        <f t="shared" ca="1" si="414"/>
        <v>#N/A</v>
      </c>
      <c r="FI123" s="72"/>
      <c r="FJ123" s="72"/>
      <c r="FK123" s="72"/>
      <c r="FM123" s="421">
        <f t="shared" si="318"/>
        <v>0</v>
      </c>
      <c r="FN123" s="422" t="e">
        <f t="shared" ca="1" si="319"/>
        <v>#N/A</v>
      </c>
      <c r="FO123" s="423">
        <f t="shared" ca="1" si="418"/>
        <v>0</v>
      </c>
      <c r="FP123" s="423">
        <f t="shared" ca="1" si="418"/>
        <v>0</v>
      </c>
      <c r="FQ123" s="423">
        <f t="shared" ca="1" si="418"/>
        <v>0</v>
      </c>
      <c r="FR123" s="423">
        <f t="shared" ca="1" si="418"/>
        <v>0</v>
      </c>
      <c r="FS123" s="423">
        <f t="shared" ca="1" si="418"/>
        <v>0</v>
      </c>
      <c r="FT123" s="423">
        <f t="shared" ca="1" si="418"/>
        <v>0</v>
      </c>
      <c r="FU123" s="423">
        <f t="shared" ca="1" si="418"/>
        <v>0</v>
      </c>
      <c r="FV123" s="423">
        <f t="shared" ca="1" si="418"/>
        <v>0</v>
      </c>
      <c r="FW123" s="423">
        <f t="shared" ca="1" si="418"/>
        <v>0</v>
      </c>
      <c r="FX123" s="423">
        <f t="shared" ca="1" si="418"/>
        <v>0</v>
      </c>
      <c r="FY123" s="423">
        <f t="shared" ca="1" si="418"/>
        <v>0</v>
      </c>
      <c r="FZ123" s="423">
        <f t="shared" ca="1" si="418"/>
        <v>0</v>
      </c>
      <c r="GA123" s="423">
        <f t="shared" ca="1" si="418"/>
        <v>0</v>
      </c>
      <c r="GB123" s="423">
        <f t="shared" ca="1" si="418"/>
        <v>0</v>
      </c>
      <c r="GC123" s="423">
        <f t="shared" ca="1" si="418"/>
        <v>0</v>
      </c>
      <c r="GD123" s="423">
        <f t="shared" ca="1" si="415"/>
        <v>0</v>
      </c>
      <c r="GE123" s="423">
        <f t="shared" ca="1" si="415"/>
        <v>0</v>
      </c>
      <c r="GF123" s="423">
        <f t="shared" ca="1" si="415"/>
        <v>0</v>
      </c>
      <c r="GG123" s="423">
        <f t="shared" ca="1" si="415"/>
        <v>0</v>
      </c>
      <c r="GH123" s="423">
        <f t="shared" ca="1" si="415"/>
        <v>0</v>
      </c>
      <c r="GI123" s="423">
        <f t="shared" ca="1" si="415"/>
        <v>0</v>
      </c>
      <c r="GJ123" s="423">
        <f t="shared" ca="1" si="415"/>
        <v>0</v>
      </c>
      <c r="GK123" s="423">
        <f t="shared" ca="1" si="415"/>
        <v>0</v>
      </c>
      <c r="GL123" s="423">
        <f t="shared" ca="1" si="415"/>
        <v>0</v>
      </c>
      <c r="GM123" s="423">
        <f t="shared" ca="1" si="415"/>
        <v>0</v>
      </c>
      <c r="GN123" s="423">
        <f t="shared" ca="1" si="415"/>
        <v>0</v>
      </c>
      <c r="GO123" s="423">
        <f t="shared" ca="1" si="415"/>
        <v>0</v>
      </c>
      <c r="GP123" s="423">
        <f t="shared" ca="1" si="415"/>
        <v>0</v>
      </c>
      <c r="GQ123" s="423">
        <f t="shared" ca="1" si="415"/>
        <v>0</v>
      </c>
      <c r="GR123" s="423">
        <f t="shared" ca="1" si="415"/>
        <v>0</v>
      </c>
      <c r="GS123" s="423">
        <f t="shared" ref="GS123:HH138" ca="1" si="419">IFERROR(ROUNDDOWN(SUMIF($H123:$CC123,GS$11,$CD123:$EX123)/GS$10,0),0)</f>
        <v>0</v>
      </c>
      <c r="GT123" s="423">
        <f t="shared" ca="1" si="416"/>
        <v>0</v>
      </c>
      <c r="GU123" s="423">
        <f t="shared" ca="1" si="416"/>
        <v>0</v>
      </c>
      <c r="GV123" s="423">
        <f t="shared" ca="1" si="416"/>
        <v>0</v>
      </c>
      <c r="GW123" s="423">
        <f t="shared" ca="1" si="416"/>
        <v>0</v>
      </c>
      <c r="GX123" s="423">
        <f t="shared" ca="1" si="416"/>
        <v>0</v>
      </c>
      <c r="GY123" s="423">
        <f t="shared" ca="1" si="416"/>
        <v>0</v>
      </c>
      <c r="GZ123" s="423">
        <f t="shared" ca="1" si="416"/>
        <v>0</v>
      </c>
      <c r="HA123" s="423">
        <f t="shared" ca="1" si="416"/>
        <v>0</v>
      </c>
      <c r="HB123" s="423">
        <f t="shared" ca="1" si="416"/>
        <v>0</v>
      </c>
      <c r="HC123" s="423">
        <f t="shared" ca="1" si="416"/>
        <v>0</v>
      </c>
      <c r="HD123" s="423">
        <f t="shared" ca="1" si="416"/>
        <v>0</v>
      </c>
      <c r="HE123" s="423">
        <f t="shared" ca="1" si="416"/>
        <v>0</v>
      </c>
      <c r="HF123" s="423">
        <f t="shared" ca="1" si="416"/>
        <v>0</v>
      </c>
      <c r="HG123" s="423">
        <f t="shared" ca="1" si="416"/>
        <v>0</v>
      </c>
      <c r="HH123" s="423">
        <f t="shared" ca="1" si="416"/>
        <v>0</v>
      </c>
      <c r="HI123" s="423">
        <f t="shared" ca="1" si="416"/>
        <v>0</v>
      </c>
      <c r="HJ123" s="423">
        <f t="shared" ref="HJ123:HT138" ca="1" si="420">IFERROR(ROUNDDOWN(SUMIF($H123:$CC123,HJ$11,$CD123:$EX123)/HJ$10,0),0)</f>
        <v>0</v>
      </c>
      <c r="HK123" s="423">
        <f t="shared" ca="1" si="417"/>
        <v>0</v>
      </c>
      <c r="HL123" s="423">
        <f t="shared" ca="1" si="417"/>
        <v>0</v>
      </c>
      <c r="HM123" s="423">
        <f t="shared" ca="1" si="417"/>
        <v>0</v>
      </c>
      <c r="HN123" s="423">
        <f t="shared" ca="1" si="417"/>
        <v>0</v>
      </c>
      <c r="HO123" s="423">
        <f t="shared" ca="1" si="417"/>
        <v>0</v>
      </c>
      <c r="HP123" s="423">
        <f t="shared" ca="1" si="417"/>
        <v>0</v>
      </c>
      <c r="HQ123" s="423">
        <f t="shared" ca="1" si="417"/>
        <v>0</v>
      </c>
      <c r="HR123" s="423">
        <f t="shared" ca="1" si="417"/>
        <v>0</v>
      </c>
      <c r="HS123" s="423">
        <f t="shared" ca="1" si="417"/>
        <v>0</v>
      </c>
      <c r="HT123" s="423">
        <f t="shared" ca="1" si="417"/>
        <v>0</v>
      </c>
      <c r="HU123" s="423"/>
      <c r="HV123" s="423"/>
    </row>
    <row r="124" spans="1:230" ht="11.25" customHeight="1" x14ac:dyDescent="0.2">
      <c r="A124" s="62">
        <f t="shared" si="322"/>
        <v>113</v>
      </c>
      <c r="B124" s="60">
        <f>Spaces_Sum!C169</f>
        <v>0</v>
      </c>
      <c r="C124" s="62" t="str">
        <f>Spaces_Sum!D169</f>
        <v>0</v>
      </c>
      <c r="D124" s="62" t="e">
        <f ca="1">Spaces_Sum!I169</f>
        <v>#N/A</v>
      </c>
      <c r="F124" s="110" t="e">
        <f ca="1">Spaces_Sum!M169</f>
        <v>#N/A</v>
      </c>
      <c r="G124" s="110" t="e">
        <f ca="1">Spaces_Sum!J169</f>
        <v>#N/A</v>
      </c>
      <c r="H124" s="532"/>
      <c r="I124" s="185"/>
      <c r="J124" s="185"/>
      <c r="K124" s="186"/>
      <c r="L124" s="187"/>
      <c r="M124" s="188"/>
      <c r="N124" s="189"/>
      <c r="O124" s="186"/>
      <c r="P124" s="187"/>
      <c r="Q124" s="188"/>
      <c r="R124" s="189"/>
      <c r="S124" s="186"/>
      <c r="T124" s="187"/>
      <c r="U124" s="188"/>
      <c r="V124" s="189"/>
      <c r="W124" s="186"/>
      <c r="X124" s="187"/>
      <c r="Y124" s="188"/>
      <c r="Z124" s="189"/>
      <c r="AA124" s="186"/>
      <c r="AB124" s="187"/>
      <c r="AC124" s="188"/>
      <c r="AD124" s="189"/>
      <c r="AE124" s="186"/>
      <c r="AF124" s="187"/>
      <c r="AG124" s="188"/>
      <c r="AH124" s="189"/>
      <c r="AI124" s="186"/>
      <c r="AJ124" s="187"/>
      <c r="AK124" s="188"/>
      <c r="AL124" s="189"/>
      <c r="AM124" s="186"/>
      <c r="AN124" s="187"/>
      <c r="AO124" s="188"/>
      <c r="AP124" s="189"/>
      <c r="AQ124" s="186"/>
      <c r="AR124" s="187"/>
      <c r="AS124" s="188"/>
      <c r="AT124" s="189"/>
      <c r="AU124" s="186"/>
      <c r="AV124" s="187"/>
      <c r="AW124" s="188"/>
      <c r="AX124" s="189"/>
      <c r="AY124" s="186"/>
      <c r="AZ124" s="187"/>
      <c r="BA124" s="188"/>
      <c r="BB124" s="189"/>
      <c r="BC124" s="186"/>
      <c r="BD124" s="187"/>
      <c r="BE124" s="188"/>
      <c r="BF124" s="189"/>
      <c r="BG124" s="186"/>
      <c r="BH124" s="187"/>
      <c r="BI124" s="188"/>
      <c r="BJ124" s="189"/>
      <c r="BK124" s="186"/>
      <c r="BL124" s="187"/>
      <c r="BM124" s="188"/>
      <c r="BN124" s="189"/>
      <c r="BO124" s="186"/>
      <c r="BP124" s="187"/>
      <c r="BQ124" s="188"/>
      <c r="BR124" s="189"/>
      <c r="BS124" s="186"/>
      <c r="BT124" s="187"/>
      <c r="BU124" s="188"/>
      <c r="BV124" s="189"/>
      <c r="BW124" s="186"/>
      <c r="BX124" s="187"/>
      <c r="BY124" s="188"/>
      <c r="BZ124" s="189"/>
      <c r="CA124" s="186"/>
      <c r="CB124" s="190"/>
      <c r="CC124" s="190"/>
      <c r="CD124" s="82">
        <f t="shared" si="332"/>
        <v>0</v>
      </c>
      <c r="CE124" s="82">
        <f t="shared" si="333"/>
        <v>0</v>
      </c>
      <c r="CF124" s="82">
        <f t="shared" si="334"/>
        <v>0</v>
      </c>
      <c r="CG124" s="82">
        <f t="shared" si="335"/>
        <v>0</v>
      </c>
      <c r="CH124" s="82">
        <f t="shared" si="336"/>
        <v>0</v>
      </c>
      <c r="CI124" s="82">
        <f t="shared" si="337"/>
        <v>0</v>
      </c>
      <c r="CJ124" s="82">
        <f t="shared" si="338"/>
        <v>0</v>
      </c>
      <c r="CK124" s="82">
        <f t="shared" si="339"/>
        <v>0</v>
      </c>
      <c r="CL124" s="82">
        <f t="shared" si="340"/>
        <v>0</v>
      </c>
      <c r="CM124" s="82">
        <f t="shared" si="341"/>
        <v>0</v>
      </c>
      <c r="CN124" s="82">
        <f t="shared" si="342"/>
        <v>0</v>
      </c>
      <c r="CO124" s="82">
        <f t="shared" si="343"/>
        <v>0</v>
      </c>
      <c r="CP124" s="82">
        <f t="shared" si="344"/>
        <v>0</v>
      </c>
      <c r="CQ124" s="82">
        <f t="shared" si="345"/>
        <v>0</v>
      </c>
      <c r="CR124" s="82">
        <f t="shared" si="346"/>
        <v>0</v>
      </c>
      <c r="CS124" s="82">
        <f t="shared" si="347"/>
        <v>0</v>
      </c>
      <c r="CT124" s="82">
        <f t="shared" si="348"/>
        <v>0</v>
      </c>
      <c r="CU124" s="82">
        <f t="shared" si="349"/>
        <v>0</v>
      </c>
      <c r="CV124" s="82">
        <f t="shared" si="350"/>
        <v>0</v>
      </c>
      <c r="CW124" s="82">
        <f t="shared" si="351"/>
        <v>0</v>
      </c>
      <c r="CX124" s="82">
        <f t="shared" si="352"/>
        <v>0</v>
      </c>
      <c r="CY124" s="82">
        <f t="shared" si="353"/>
        <v>0</v>
      </c>
      <c r="CZ124" s="82">
        <f t="shared" si="354"/>
        <v>0</v>
      </c>
      <c r="DA124" s="82">
        <f t="shared" si="355"/>
        <v>0</v>
      </c>
      <c r="DB124" s="82">
        <f t="shared" si="356"/>
        <v>0</v>
      </c>
      <c r="DC124" s="82">
        <f t="shared" si="357"/>
        <v>0</v>
      </c>
      <c r="DD124" s="82">
        <f t="shared" si="358"/>
        <v>0</v>
      </c>
      <c r="DE124" s="82">
        <f t="shared" si="359"/>
        <v>0</v>
      </c>
      <c r="DF124" s="82">
        <f t="shared" si="360"/>
        <v>0</v>
      </c>
      <c r="DG124" s="82">
        <f t="shared" si="361"/>
        <v>0</v>
      </c>
      <c r="DH124" s="82">
        <f t="shared" si="362"/>
        <v>0</v>
      </c>
      <c r="DI124" s="82">
        <f t="shared" si="363"/>
        <v>0</v>
      </c>
      <c r="DJ124" s="82">
        <f t="shared" si="364"/>
        <v>0</v>
      </c>
      <c r="DK124" s="82">
        <f t="shared" si="365"/>
        <v>0</v>
      </c>
      <c r="DL124" s="82">
        <f t="shared" si="366"/>
        <v>0</v>
      </c>
      <c r="DM124" s="82">
        <f t="shared" si="367"/>
        <v>0</v>
      </c>
      <c r="DN124" s="82">
        <f t="shared" si="368"/>
        <v>0</v>
      </c>
      <c r="DO124" s="82">
        <f t="shared" si="369"/>
        <v>0</v>
      </c>
      <c r="DP124" s="82">
        <f t="shared" si="370"/>
        <v>0</v>
      </c>
      <c r="DQ124" s="82">
        <f t="shared" si="371"/>
        <v>0</v>
      </c>
      <c r="DR124" s="82">
        <f t="shared" si="372"/>
        <v>0</v>
      </c>
      <c r="DS124" s="82">
        <f t="shared" si="373"/>
        <v>0</v>
      </c>
      <c r="DT124" s="82">
        <f t="shared" si="374"/>
        <v>0</v>
      </c>
      <c r="DU124" s="82">
        <f t="shared" si="375"/>
        <v>0</v>
      </c>
      <c r="DV124" s="82">
        <f t="shared" si="376"/>
        <v>0</v>
      </c>
      <c r="DW124" s="82">
        <f t="shared" si="377"/>
        <v>0</v>
      </c>
      <c r="DX124" s="82">
        <f t="shared" si="378"/>
        <v>0</v>
      </c>
      <c r="DY124" s="82">
        <f t="shared" si="379"/>
        <v>0</v>
      </c>
      <c r="DZ124" s="82">
        <f t="shared" si="380"/>
        <v>0</v>
      </c>
      <c r="EA124" s="82">
        <f t="shared" si="381"/>
        <v>0</v>
      </c>
      <c r="EB124" s="82">
        <f t="shared" si="382"/>
        <v>0</v>
      </c>
      <c r="EC124" s="82">
        <f t="shared" si="383"/>
        <v>0</v>
      </c>
      <c r="ED124" s="82">
        <f t="shared" si="384"/>
        <v>0</v>
      </c>
      <c r="EE124" s="82">
        <f t="shared" si="385"/>
        <v>0</v>
      </c>
      <c r="EF124" s="82">
        <f t="shared" si="386"/>
        <v>0</v>
      </c>
      <c r="EG124" s="82">
        <f t="shared" si="387"/>
        <v>0</v>
      </c>
      <c r="EH124" s="82">
        <f t="shared" si="388"/>
        <v>0</v>
      </c>
      <c r="EI124" s="82">
        <f t="shared" si="389"/>
        <v>0</v>
      </c>
      <c r="EJ124" s="82">
        <f t="shared" si="390"/>
        <v>0</v>
      </c>
      <c r="EK124" s="82">
        <f t="shared" si="391"/>
        <v>0</v>
      </c>
      <c r="EL124" s="82">
        <f t="shared" si="392"/>
        <v>0</v>
      </c>
      <c r="EM124" s="82">
        <f t="shared" si="393"/>
        <v>0</v>
      </c>
      <c r="EN124" s="82">
        <f t="shared" si="394"/>
        <v>0</v>
      </c>
      <c r="EO124" s="82">
        <f t="shared" si="395"/>
        <v>0</v>
      </c>
      <c r="EP124" s="82">
        <f t="shared" si="396"/>
        <v>0</v>
      </c>
      <c r="EQ124" s="82">
        <f t="shared" si="397"/>
        <v>0</v>
      </c>
      <c r="ER124" s="82">
        <f t="shared" si="398"/>
        <v>0</v>
      </c>
      <c r="ES124" s="82">
        <f t="shared" si="399"/>
        <v>0</v>
      </c>
      <c r="ET124" s="82">
        <f t="shared" si="400"/>
        <v>0</v>
      </c>
      <c r="EU124" s="82">
        <f t="shared" si="401"/>
        <v>0</v>
      </c>
      <c r="EV124" s="82">
        <f t="shared" si="402"/>
        <v>0</v>
      </c>
      <c r="EW124" s="82">
        <f t="shared" si="403"/>
        <v>0</v>
      </c>
      <c r="EX124" s="82">
        <f t="shared" si="404"/>
        <v>0</v>
      </c>
      <c r="EY124" s="111">
        <f t="shared" si="405"/>
        <v>0</v>
      </c>
      <c r="EZ124" s="143" t="e">
        <f t="shared" ca="1" si="406"/>
        <v>#N/A</v>
      </c>
      <c r="FA124" s="112" t="e">
        <f t="shared" ca="1" si="407"/>
        <v>#N/A</v>
      </c>
      <c r="FB124" s="113" t="e">
        <f t="shared" ca="1" si="408"/>
        <v>#N/A</v>
      </c>
      <c r="FC124" s="114" t="e">
        <f t="shared" ca="1" si="409"/>
        <v>#N/A</v>
      </c>
      <c r="FD124" s="115">
        <f t="shared" ca="1" si="410"/>
        <v>0</v>
      </c>
      <c r="FE124" s="116" t="e">
        <f t="shared" ca="1" si="411"/>
        <v>#N/A</v>
      </c>
      <c r="FF124" s="117" t="e">
        <f t="shared" ca="1" si="412"/>
        <v>#N/A</v>
      </c>
      <c r="FG124" s="71">
        <f t="shared" si="413"/>
        <v>0</v>
      </c>
      <c r="FH124" s="530" t="e">
        <f t="shared" ca="1" si="414"/>
        <v>#N/A</v>
      </c>
      <c r="FI124" s="72" t="e">
        <f ca="1">0.65*FB124</f>
        <v>#N/A</v>
      </c>
      <c r="FJ124" s="72" t="e">
        <f t="shared" ref="FJ124:FJ131" ca="1" si="421">FA124</f>
        <v>#N/A</v>
      </c>
      <c r="FK124" s="72" t="e">
        <f t="shared" ref="FK124:FK131" ca="1" si="422">SUM(FI124:FJ124)</f>
        <v>#N/A</v>
      </c>
      <c r="FM124" s="421">
        <f t="shared" si="318"/>
        <v>0</v>
      </c>
      <c r="FN124" s="422" t="e">
        <f t="shared" ca="1" si="319"/>
        <v>#N/A</v>
      </c>
      <c r="FO124" s="423">
        <f t="shared" ca="1" si="418"/>
        <v>0</v>
      </c>
      <c r="FP124" s="423">
        <f t="shared" ca="1" si="418"/>
        <v>0</v>
      </c>
      <c r="FQ124" s="423">
        <f t="shared" ca="1" si="418"/>
        <v>0</v>
      </c>
      <c r="FR124" s="423">
        <f t="shared" ca="1" si="418"/>
        <v>0</v>
      </c>
      <c r="FS124" s="423">
        <f t="shared" ca="1" si="418"/>
        <v>0</v>
      </c>
      <c r="FT124" s="423">
        <f t="shared" ca="1" si="418"/>
        <v>0</v>
      </c>
      <c r="FU124" s="423">
        <f t="shared" ca="1" si="418"/>
        <v>0</v>
      </c>
      <c r="FV124" s="423">
        <f t="shared" ca="1" si="418"/>
        <v>0</v>
      </c>
      <c r="FW124" s="423">
        <f t="shared" ca="1" si="418"/>
        <v>0</v>
      </c>
      <c r="FX124" s="423">
        <f t="shared" ca="1" si="418"/>
        <v>0</v>
      </c>
      <c r="FY124" s="423">
        <f t="shared" ca="1" si="418"/>
        <v>0</v>
      </c>
      <c r="FZ124" s="423">
        <f t="shared" ca="1" si="418"/>
        <v>0</v>
      </c>
      <c r="GA124" s="423">
        <f t="shared" ca="1" si="418"/>
        <v>0</v>
      </c>
      <c r="GB124" s="423">
        <f t="shared" ca="1" si="418"/>
        <v>0</v>
      </c>
      <c r="GC124" s="423">
        <f t="shared" ca="1" si="418"/>
        <v>0</v>
      </c>
      <c r="GD124" s="423">
        <f t="shared" ca="1" si="418"/>
        <v>0</v>
      </c>
      <c r="GE124" s="423">
        <f t="shared" ref="GE124:GT139" ca="1" si="423">IFERROR(ROUNDDOWN(SUMIF($H124:$CC124,GE$11,$CD124:$EX124)/GE$10,0),0)</f>
        <v>0</v>
      </c>
      <c r="GF124" s="423">
        <f t="shared" ca="1" si="423"/>
        <v>0</v>
      </c>
      <c r="GG124" s="423">
        <f t="shared" ca="1" si="423"/>
        <v>0</v>
      </c>
      <c r="GH124" s="423">
        <f t="shared" ca="1" si="423"/>
        <v>0</v>
      </c>
      <c r="GI124" s="423">
        <f t="shared" ca="1" si="423"/>
        <v>0</v>
      </c>
      <c r="GJ124" s="423">
        <f t="shared" ca="1" si="423"/>
        <v>0</v>
      </c>
      <c r="GK124" s="423">
        <f t="shared" ca="1" si="423"/>
        <v>0</v>
      </c>
      <c r="GL124" s="423">
        <f t="shared" ca="1" si="423"/>
        <v>0</v>
      </c>
      <c r="GM124" s="423">
        <f t="shared" ca="1" si="423"/>
        <v>0</v>
      </c>
      <c r="GN124" s="423">
        <f t="shared" ca="1" si="423"/>
        <v>0</v>
      </c>
      <c r="GO124" s="423">
        <f t="shared" ca="1" si="423"/>
        <v>0</v>
      </c>
      <c r="GP124" s="423">
        <f t="shared" ca="1" si="423"/>
        <v>0</v>
      </c>
      <c r="GQ124" s="423">
        <f t="shared" ca="1" si="423"/>
        <v>0</v>
      </c>
      <c r="GR124" s="423">
        <f t="shared" ca="1" si="423"/>
        <v>0</v>
      </c>
      <c r="GS124" s="423">
        <f t="shared" ca="1" si="419"/>
        <v>0</v>
      </c>
      <c r="GT124" s="423">
        <f t="shared" ca="1" si="419"/>
        <v>0</v>
      </c>
      <c r="GU124" s="423">
        <f t="shared" ca="1" si="419"/>
        <v>0</v>
      </c>
      <c r="GV124" s="423">
        <f t="shared" ca="1" si="419"/>
        <v>0</v>
      </c>
      <c r="GW124" s="423">
        <f t="shared" ca="1" si="419"/>
        <v>0</v>
      </c>
      <c r="GX124" s="423">
        <f t="shared" ca="1" si="419"/>
        <v>0</v>
      </c>
      <c r="GY124" s="423">
        <f t="shared" ca="1" si="419"/>
        <v>0</v>
      </c>
      <c r="GZ124" s="423">
        <f t="shared" ca="1" si="419"/>
        <v>0</v>
      </c>
      <c r="HA124" s="423">
        <f t="shared" ca="1" si="419"/>
        <v>0</v>
      </c>
      <c r="HB124" s="423">
        <f t="shared" ca="1" si="419"/>
        <v>0</v>
      </c>
      <c r="HC124" s="423">
        <f t="shared" ca="1" si="419"/>
        <v>0</v>
      </c>
      <c r="HD124" s="423">
        <f t="shared" ca="1" si="419"/>
        <v>0</v>
      </c>
      <c r="HE124" s="423">
        <f t="shared" ca="1" si="419"/>
        <v>0</v>
      </c>
      <c r="HF124" s="423">
        <f t="shared" ca="1" si="419"/>
        <v>0</v>
      </c>
      <c r="HG124" s="423">
        <f t="shared" ca="1" si="419"/>
        <v>0</v>
      </c>
      <c r="HH124" s="423">
        <f t="shared" ca="1" si="419"/>
        <v>0</v>
      </c>
      <c r="HI124" s="423">
        <f t="shared" ref="HI124:HT139" ca="1" si="424">IFERROR(ROUNDDOWN(SUMIF($H124:$CC124,HI$11,$CD124:$EX124)/HI$10,0),0)</f>
        <v>0</v>
      </c>
      <c r="HJ124" s="423">
        <f t="shared" ca="1" si="420"/>
        <v>0</v>
      </c>
      <c r="HK124" s="423">
        <f t="shared" ca="1" si="420"/>
        <v>0</v>
      </c>
      <c r="HL124" s="423">
        <f t="shared" ca="1" si="420"/>
        <v>0</v>
      </c>
      <c r="HM124" s="423">
        <f t="shared" ca="1" si="420"/>
        <v>0</v>
      </c>
      <c r="HN124" s="423">
        <f t="shared" ca="1" si="420"/>
        <v>0</v>
      </c>
      <c r="HO124" s="423">
        <f t="shared" ca="1" si="420"/>
        <v>0</v>
      </c>
      <c r="HP124" s="423">
        <f t="shared" ca="1" si="420"/>
        <v>0</v>
      </c>
      <c r="HQ124" s="423">
        <f t="shared" ca="1" si="420"/>
        <v>0</v>
      </c>
      <c r="HR124" s="423">
        <f t="shared" ca="1" si="420"/>
        <v>0</v>
      </c>
      <c r="HS124" s="423">
        <f t="shared" ca="1" si="420"/>
        <v>0</v>
      </c>
      <c r="HT124" s="423">
        <f t="shared" ca="1" si="420"/>
        <v>0</v>
      </c>
      <c r="HU124" s="423"/>
      <c r="HV124" s="423"/>
    </row>
    <row r="125" spans="1:230" ht="11.25" customHeight="1" x14ac:dyDescent="0.2">
      <c r="A125" s="62">
        <f t="shared" si="322"/>
        <v>114</v>
      </c>
      <c r="B125" s="60">
        <f>Spaces_Sum!C170</f>
        <v>0</v>
      </c>
      <c r="C125" s="62" t="str">
        <f>Spaces_Sum!D170</f>
        <v>0</v>
      </c>
      <c r="D125" s="62" t="e">
        <f ca="1">Spaces_Sum!I170</f>
        <v>#N/A</v>
      </c>
      <c r="F125" s="110" t="e">
        <f ca="1">Spaces_Sum!M170</f>
        <v>#N/A</v>
      </c>
      <c r="G125" s="110" t="e">
        <f ca="1">Spaces_Sum!J170</f>
        <v>#N/A</v>
      </c>
      <c r="H125" s="532"/>
      <c r="I125" s="185"/>
      <c r="J125" s="185"/>
      <c r="K125" s="186"/>
      <c r="L125" s="187"/>
      <c r="M125" s="188"/>
      <c r="N125" s="189"/>
      <c r="O125" s="186"/>
      <c r="P125" s="187"/>
      <c r="Q125" s="188"/>
      <c r="R125" s="189"/>
      <c r="S125" s="186"/>
      <c r="T125" s="187"/>
      <c r="U125" s="188"/>
      <c r="V125" s="189"/>
      <c r="W125" s="186"/>
      <c r="X125" s="187"/>
      <c r="Y125" s="188"/>
      <c r="Z125" s="189"/>
      <c r="AA125" s="186"/>
      <c r="AB125" s="187"/>
      <c r="AC125" s="188"/>
      <c r="AD125" s="189"/>
      <c r="AE125" s="186"/>
      <c r="AF125" s="187"/>
      <c r="AG125" s="188"/>
      <c r="AH125" s="189"/>
      <c r="AI125" s="186"/>
      <c r="AJ125" s="187"/>
      <c r="AK125" s="188"/>
      <c r="AL125" s="189"/>
      <c r="AM125" s="186"/>
      <c r="AN125" s="187"/>
      <c r="AO125" s="188"/>
      <c r="AP125" s="189"/>
      <c r="AQ125" s="186"/>
      <c r="AR125" s="187"/>
      <c r="AS125" s="188"/>
      <c r="AT125" s="189"/>
      <c r="AU125" s="186"/>
      <c r="AV125" s="187"/>
      <c r="AW125" s="188"/>
      <c r="AX125" s="189"/>
      <c r="AY125" s="186"/>
      <c r="AZ125" s="187"/>
      <c r="BA125" s="188"/>
      <c r="BB125" s="189"/>
      <c r="BC125" s="186"/>
      <c r="BD125" s="187"/>
      <c r="BE125" s="188"/>
      <c r="BF125" s="189"/>
      <c r="BG125" s="186"/>
      <c r="BH125" s="187"/>
      <c r="BI125" s="188"/>
      <c r="BJ125" s="189"/>
      <c r="BK125" s="186"/>
      <c r="BL125" s="187"/>
      <c r="BM125" s="188"/>
      <c r="BN125" s="189"/>
      <c r="BO125" s="186"/>
      <c r="BP125" s="187"/>
      <c r="BQ125" s="188"/>
      <c r="BR125" s="189"/>
      <c r="BS125" s="186"/>
      <c r="BT125" s="187"/>
      <c r="BU125" s="188"/>
      <c r="BV125" s="189"/>
      <c r="BW125" s="186"/>
      <c r="BX125" s="187"/>
      <c r="BY125" s="188"/>
      <c r="BZ125" s="189"/>
      <c r="CA125" s="186"/>
      <c r="CB125" s="190"/>
      <c r="CC125" s="190"/>
      <c r="CD125" s="82">
        <f t="shared" si="332"/>
        <v>0</v>
      </c>
      <c r="CE125" s="82">
        <f t="shared" si="333"/>
        <v>0</v>
      </c>
      <c r="CF125" s="82">
        <f t="shared" si="334"/>
        <v>0</v>
      </c>
      <c r="CG125" s="82">
        <f t="shared" si="335"/>
        <v>0</v>
      </c>
      <c r="CH125" s="82">
        <f t="shared" si="336"/>
        <v>0</v>
      </c>
      <c r="CI125" s="82">
        <f t="shared" si="337"/>
        <v>0</v>
      </c>
      <c r="CJ125" s="82">
        <f t="shared" si="338"/>
        <v>0</v>
      </c>
      <c r="CK125" s="82">
        <f t="shared" si="339"/>
        <v>0</v>
      </c>
      <c r="CL125" s="82">
        <f t="shared" si="340"/>
        <v>0</v>
      </c>
      <c r="CM125" s="82">
        <f t="shared" si="341"/>
        <v>0</v>
      </c>
      <c r="CN125" s="82">
        <f t="shared" si="342"/>
        <v>0</v>
      </c>
      <c r="CO125" s="82">
        <f t="shared" si="343"/>
        <v>0</v>
      </c>
      <c r="CP125" s="82">
        <f t="shared" si="344"/>
        <v>0</v>
      </c>
      <c r="CQ125" s="82">
        <f t="shared" si="345"/>
        <v>0</v>
      </c>
      <c r="CR125" s="82">
        <f t="shared" si="346"/>
        <v>0</v>
      </c>
      <c r="CS125" s="82">
        <f t="shared" si="347"/>
        <v>0</v>
      </c>
      <c r="CT125" s="82">
        <f t="shared" si="348"/>
        <v>0</v>
      </c>
      <c r="CU125" s="82">
        <f t="shared" si="349"/>
        <v>0</v>
      </c>
      <c r="CV125" s="82">
        <f t="shared" si="350"/>
        <v>0</v>
      </c>
      <c r="CW125" s="82">
        <f t="shared" si="351"/>
        <v>0</v>
      </c>
      <c r="CX125" s="82">
        <f t="shared" si="352"/>
        <v>0</v>
      </c>
      <c r="CY125" s="82">
        <f t="shared" si="353"/>
        <v>0</v>
      </c>
      <c r="CZ125" s="82">
        <f t="shared" si="354"/>
        <v>0</v>
      </c>
      <c r="DA125" s="82">
        <f t="shared" si="355"/>
        <v>0</v>
      </c>
      <c r="DB125" s="82">
        <f t="shared" si="356"/>
        <v>0</v>
      </c>
      <c r="DC125" s="82">
        <f t="shared" si="357"/>
        <v>0</v>
      </c>
      <c r="DD125" s="82">
        <f t="shared" si="358"/>
        <v>0</v>
      </c>
      <c r="DE125" s="82">
        <f t="shared" si="359"/>
        <v>0</v>
      </c>
      <c r="DF125" s="82">
        <f t="shared" si="360"/>
        <v>0</v>
      </c>
      <c r="DG125" s="82">
        <f t="shared" si="361"/>
        <v>0</v>
      </c>
      <c r="DH125" s="82">
        <f t="shared" si="362"/>
        <v>0</v>
      </c>
      <c r="DI125" s="82">
        <f t="shared" si="363"/>
        <v>0</v>
      </c>
      <c r="DJ125" s="82">
        <f t="shared" si="364"/>
        <v>0</v>
      </c>
      <c r="DK125" s="82">
        <f t="shared" si="365"/>
        <v>0</v>
      </c>
      <c r="DL125" s="82">
        <f t="shared" si="366"/>
        <v>0</v>
      </c>
      <c r="DM125" s="82">
        <f t="shared" si="367"/>
        <v>0</v>
      </c>
      <c r="DN125" s="82">
        <f t="shared" si="368"/>
        <v>0</v>
      </c>
      <c r="DO125" s="82">
        <f t="shared" si="369"/>
        <v>0</v>
      </c>
      <c r="DP125" s="82">
        <f t="shared" si="370"/>
        <v>0</v>
      </c>
      <c r="DQ125" s="82">
        <f t="shared" si="371"/>
        <v>0</v>
      </c>
      <c r="DR125" s="82">
        <f t="shared" si="372"/>
        <v>0</v>
      </c>
      <c r="DS125" s="82">
        <f t="shared" si="373"/>
        <v>0</v>
      </c>
      <c r="DT125" s="82">
        <f t="shared" si="374"/>
        <v>0</v>
      </c>
      <c r="DU125" s="82">
        <f t="shared" si="375"/>
        <v>0</v>
      </c>
      <c r="DV125" s="82">
        <f t="shared" si="376"/>
        <v>0</v>
      </c>
      <c r="DW125" s="82">
        <f t="shared" si="377"/>
        <v>0</v>
      </c>
      <c r="DX125" s="82">
        <f t="shared" si="378"/>
        <v>0</v>
      </c>
      <c r="DY125" s="82">
        <f t="shared" si="379"/>
        <v>0</v>
      </c>
      <c r="DZ125" s="82">
        <f t="shared" si="380"/>
        <v>0</v>
      </c>
      <c r="EA125" s="82">
        <f t="shared" si="381"/>
        <v>0</v>
      </c>
      <c r="EB125" s="82">
        <f t="shared" si="382"/>
        <v>0</v>
      </c>
      <c r="EC125" s="82">
        <f t="shared" si="383"/>
        <v>0</v>
      </c>
      <c r="ED125" s="82">
        <f t="shared" si="384"/>
        <v>0</v>
      </c>
      <c r="EE125" s="82">
        <f t="shared" si="385"/>
        <v>0</v>
      </c>
      <c r="EF125" s="82">
        <f t="shared" si="386"/>
        <v>0</v>
      </c>
      <c r="EG125" s="82">
        <f t="shared" si="387"/>
        <v>0</v>
      </c>
      <c r="EH125" s="82">
        <f t="shared" si="388"/>
        <v>0</v>
      </c>
      <c r="EI125" s="82">
        <f t="shared" si="389"/>
        <v>0</v>
      </c>
      <c r="EJ125" s="82">
        <f t="shared" si="390"/>
        <v>0</v>
      </c>
      <c r="EK125" s="82">
        <f t="shared" si="391"/>
        <v>0</v>
      </c>
      <c r="EL125" s="82">
        <f t="shared" si="392"/>
        <v>0</v>
      </c>
      <c r="EM125" s="82">
        <f t="shared" si="393"/>
        <v>0</v>
      </c>
      <c r="EN125" s="82">
        <f t="shared" si="394"/>
        <v>0</v>
      </c>
      <c r="EO125" s="82">
        <f t="shared" si="395"/>
        <v>0</v>
      </c>
      <c r="EP125" s="82">
        <f t="shared" si="396"/>
        <v>0</v>
      </c>
      <c r="EQ125" s="82">
        <f t="shared" si="397"/>
        <v>0</v>
      </c>
      <c r="ER125" s="82">
        <f t="shared" si="398"/>
        <v>0</v>
      </c>
      <c r="ES125" s="82">
        <f t="shared" si="399"/>
        <v>0</v>
      </c>
      <c r="ET125" s="82">
        <f t="shared" si="400"/>
        <v>0</v>
      </c>
      <c r="EU125" s="82">
        <f t="shared" si="401"/>
        <v>0</v>
      </c>
      <c r="EV125" s="82">
        <f t="shared" si="402"/>
        <v>0</v>
      </c>
      <c r="EW125" s="82">
        <f t="shared" si="403"/>
        <v>0</v>
      </c>
      <c r="EX125" s="82">
        <f t="shared" si="404"/>
        <v>0</v>
      </c>
      <c r="EY125" s="111">
        <f t="shared" si="405"/>
        <v>0</v>
      </c>
      <c r="EZ125" s="143" t="e">
        <f t="shared" ca="1" si="406"/>
        <v>#N/A</v>
      </c>
      <c r="FA125" s="112" t="e">
        <f t="shared" ca="1" si="407"/>
        <v>#N/A</v>
      </c>
      <c r="FB125" s="113" t="e">
        <f t="shared" ca="1" si="408"/>
        <v>#N/A</v>
      </c>
      <c r="FC125" s="114" t="e">
        <f t="shared" ca="1" si="409"/>
        <v>#N/A</v>
      </c>
      <c r="FD125" s="115">
        <f t="shared" ca="1" si="410"/>
        <v>0</v>
      </c>
      <c r="FE125" s="116" t="e">
        <f t="shared" ca="1" si="411"/>
        <v>#N/A</v>
      </c>
      <c r="FF125" s="117" t="e">
        <f t="shared" ca="1" si="412"/>
        <v>#N/A</v>
      </c>
      <c r="FG125" s="71">
        <f t="shared" si="413"/>
        <v>0</v>
      </c>
      <c r="FH125" s="530" t="e">
        <f t="shared" ca="1" si="414"/>
        <v>#N/A</v>
      </c>
      <c r="FI125" s="72"/>
      <c r="FJ125" s="72"/>
      <c r="FK125" s="72"/>
      <c r="FM125" s="421">
        <f t="shared" si="318"/>
        <v>0</v>
      </c>
      <c r="FN125" s="422" t="e">
        <f t="shared" ca="1" si="319"/>
        <v>#N/A</v>
      </c>
      <c r="FO125" s="423">
        <f t="shared" ref="FO125:GD140" ca="1" si="425">IFERROR(ROUNDDOWN(SUMIF($H125:$CC125,FO$11,$CD125:$EX125)/FO$10,0),0)</f>
        <v>0</v>
      </c>
      <c r="FP125" s="423">
        <f t="shared" ca="1" si="425"/>
        <v>0</v>
      </c>
      <c r="FQ125" s="423">
        <f t="shared" ca="1" si="425"/>
        <v>0</v>
      </c>
      <c r="FR125" s="423">
        <f t="shared" ca="1" si="425"/>
        <v>0</v>
      </c>
      <c r="FS125" s="423">
        <f t="shared" ca="1" si="425"/>
        <v>0</v>
      </c>
      <c r="FT125" s="423">
        <f t="shared" ca="1" si="425"/>
        <v>0</v>
      </c>
      <c r="FU125" s="423">
        <f t="shared" ca="1" si="425"/>
        <v>0</v>
      </c>
      <c r="FV125" s="423">
        <f t="shared" ca="1" si="425"/>
        <v>0</v>
      </c>
      <c r="FW125" s="423">
        <f t="shared" ca="1" si="425"/>
        <v>0</v>
      </c>
      <c r="FX125" s="423">
        <f t="shared" ca="1" si="425"/>
        <v>0</v>
      </c>
      <c r="FY125" s="423">
        <f t="shared" ca="1" si="425"/>
        <v>0</v>
      </c>
      <c r="FZ125" s="423">
        <f t="shared" ca="1" si="425"/>
        <v>0</v>
      </c>
      <c r="GA125" s="423">
        <f t="shared" ca="1" si="425"/>
        <v>0</v>
      </c>
      <c r="GB125" s="423">
        <f t="shared" ca="1" si="425"/>
        <v>0</v>
      </c>
      <c r="GC125" s="423">
        <f t="shared" ca="1" si="425"/>
        <v>0</v>
      </c>
      <c r="GD125" s="423">
        <f t="shared" ca="1" si="425"/>
        <v>0</v>
      </c>
      <c r="GE125" s="423">
        <f t="shared" ca="1" si="423"/>
        <v>0</v>
      </c>
      <c r="GF125" s="423">
        <f t="shared" ca="1" si="423"/>
        <v>0</v>
      </c>
      <c r="GG125" s="423">
        <f t="shared" ca="1" si="423"/>
        <v>0</v>
      </c>
      <c r="GH125" s="423">
        <f t="shared" ca="1" si="423"/>
        <v>0</v>
      </c>
      <c r="GI125" s="423">
        <f t="shared" ca="1" si="423"/>
        <v>0</v>
      </c>
      <c r="GJ125" s="423">
        <f t="shared" ca="1" si="423"/>
        <v>0</v>
      </c>
      <c r="GK125" s="423">
        <f t="shared" ca="1" si="423"/>
        <v>0</v>
      </c>
      <c r="GL125" s="423">
        <f t="shared" ca="1" si="423"/>
        <v>0</v>
      </c>
      <c r="GM125" s="423">
        <f t="shared" ca="1" si="423"/>
        <v>0</v>
      </c>
      <c r="GN125" s="423">
        <f t="shared" ca="1" si="423"/>
        <v>0</v>
      </c>
      <c r="GO125" s="423">
        <f t="shared" ca="1" si="423"/>
        <v>0</v>
      </c>
      <c r="GP125" s="423">
        <f t="shared" ca="1" si="423"/>
        <v>0</v>
      </c>
      <c r="GQ125" s="423">
        <f t="shared" ca="1" si="423"/>
        <v>0</v>
      </c>
      <c r="GR125" s="423">
        <f t="shared" ca="1" si="423"/>
        <v>0</v>
      </c>
      <c r="GS125" s="423">
        <f t="shared" ca="1" si="419"/>
        <v>0</v>
      </c>
      <c r="GT125" s="423">
        <f t="shared" ca="1" si="419"/>
        <v>0</v>
      </c>
      <c r="GU125" s="423">
        <f t="shared" ca="1" si="419"/>
        <v>0</v>
      </c>
      <c r="GV125" s="423">
        <f t="shared" ca="1" si="419"/>
        <v>0</v>
      </c>
      <c r="GW125" s="423">
        <f t="shared" ca="1" si="419"/>
        <v>0</v>
      </c>
      <c r="GX125" s="423">
        <f t="shared" ca="1" si="419"/>
        <v>0</v>
      </c>
      <c r="GY125" s="423">
        <f t="shared" ca="1" si="419"/>
        <v>0</v>
      </c>
      <c r="GZ125" s="423">
        <f t="shared" ca="1" si="419"/>
        <v>0</v>
      </c>
      <c r="HA125" s="423">
        <f t="shared" ca="1" si="419"/>
        <v>0</v>
      </c>
      <c r="HB125" s="423">
        <f t="shared" ca="1" si="419"/>
        <v>0</v>
      </c>
      <c r="HC125" s="423">
        <f t="shared" ca="1" si="419"/>
        <v>0</v>
      </c>
      <c r="HD125" s="423">
        <f t="shared" ca="1" si="419"/>
        <v>0</v>
      </c>
      <c r="HE125" s="423">
        <f t="shared" ca="1" si="419"/>
        <v>0</v>
      </c>
      <c r="HF125" s="423">
        <f t="shared" ca="1" si="419"/>
        <v>0</v>
      </c>
      <c r="HG125" s="423">
        <f t="shared" ca="1" si="419"/>
        <v>0</v>
      </c>
      <c r="HH125" s="423">
        <f t="shared" ca="1" si="419"/>
        <v>0</v>
      </c>
      <c r="HI125" s="423">
        <f t="shared" ca="1" si="424"/>
        <v>0</v>
      </c>
      <c r="HJ125" s="423">
        <f t="shared" ca="1" si="420"/>
        <v>0</v>
      </c>
      <c r="HK125" s="423">
        <f t="shared" ca="1" si="420"/>
        <v>0</v>
      </c>
      <c r="HL125" s="423">
        <f t="shared" ca="1" si="420"/>
        <v>0</v>
      </c>
      <c r="HM125" s="423">
        <f t="shared" ca="1" si="420"/>
        <v>0</v>
      </c>
      <c r="HN125" s="423">
        <f t="shared" ca="1" si="420"/>
        <v>0</v>
      </c>
      <c r="HO125" s="423">
        <f t="shared" ca="1" si="420"/>
        <v>0</v>
      </c>
      <c r="HP125" s="423">
        <f t="shared" ca="1" si="420"/>
        <v>0</v>
      </c>
      <c r="HQ125" s="423">
        <f t="shared" ca="1" si="420"/>
        <v>0</v>
      </c>
      <c r="HR125" s="423">
        <f t="shared" ca="1" si="420"/>
        <v>0</v>
      </c>
      <c r="HS125" s="423">
        <f t="shared" ca="1" si="420"/>
        <v>0</v>
      </c>
      <c r="HT125" s="423">
        <f t="shared" ca="1" si="420"/>
        <v>0</v>
      </c>
      <c r="HU125" s="423"/>
      <c r="HV125" s="423"/>
    </row>
    <row r="126" spans="1:230" ht="11.25" customHeight="1" x14ac:dyDescent="0.2">
      <c r="A126" s="62">
        <f>A125+1</f>
        <v>115</v>
      </c>
      <c r="B126" s="60">
        <f>Spaces_Sum!C171</f>
        <v>0</v>
      </c>
      <c r="C126" s="62" t="str">
        <f>Spaces_Sum!D171</f>
        <v>0</v>
      </c>
      <c r="D126" s="62" t="e">
        <f ca="1">Spaces_Sum!I171</f>
        <v>#N/A</v>
      </c>
      <c r="F126" s="110" t="e">
        <f ca="1">Spaces_Sum!M171</f>
        <v>#N/A</v>
      </c>
      <c r="G126" s="110" t="e">
        <f ca="1">Spaces_Sum!J171</f>
        <v>#N/A</v>
      </c>
      <c r="H126" s="532"/>
      <c r="I126" s="185"/>
      <c r="J126" s="185"/>
      <c r="K126" s="186"/>
      <c r="L126" s="187"/>
      <c r="M126" s="188"/>
      <c r="N126" s="189"/>
      <c r="O126" s="186"/>
      <c r="P126" s="187"/>
      <c r="Q126" s="188"/>
      <c r="R126" s="189"/>
      <c r="S126" s="186"/>
      <c r="T126" s="187"/>
      <c r="U126" s="188"/>
      <c r="V126" s="189"/>
      <c r="W126" s="186"/>
      <c r="X126" s="187"/>
      <c r="Y126" s="188"/>
      <c r="Z126" s="189"/>
      <c r="AA126" s="186"/>
      <c r="AB126" s="187"/>
      <c r="AC126" s="188"/>
      <c r="AD126" s="189"/>
      <c r="AE126" s="186"/>
      <c r="AF126" s="187"/>
      <c r="AG126" s="188"/>
      <c r="AH126" s="189"/>
      <c r="AI126" s="186"/>
      <c r="AJ126" s="187"/>
      <c r="AK126" s="188"/>
      <c r="AL126" s="189"/>
      <c r="AM126" s="186"/>
      <c r="AN126" s="187"/>
      <c r="AO126" s="188"/>
      <c r="AP126" s="189"/>
      <c r="AQ126" s="186"/>
      <c r="AR126" s="187"/>
      <c r="AS126" s="188"/>
      <c r="AT126" s="189"/>
      <c r="AU126" s="186"/>
      <c r="AV126" s="187"/>
      <c r="AW126" s="188"/>
      <c r="AX126" s="189"/>
      <c r="AY126" s="186"/>
      <c r="AZ126" s="187"/>
      <c r="BA126" s="188"/>
      <c r="BB126" s="189"/>
      <c r="BC126" s="186"/>
      <c r="BD126" s="187"/>
      <c r="BE126" s="188"/>
      <c r="BF126" s="189"/>
      <c r="BG126" s="186"/>
      <c r="BH126" s="187"/>
      <c r="BI126" s="188"/>
      <c r="BJ126" s="189"/>
      <c r="BK126" s="186"/>
      <c r="BL126" s="187"/>
      <c r="BM126" s="188"/>
      <c r="BN126" s="189"/>
      <c r="BO126" s="186"/>
      <c r="BP126" s="187"/>
      <c r="BQ126" s="188"/>
      <c r="BR126" s="189"/>
      <c r="BS126" s="186"/>
      <c r="BT126" s="187"/>
      <c r="BU126" s="188"/>
      <c r="BV126" s="189"/>
      <c r="BW126" s="186"/>
      <c r="BX126" s="187"/>
      <c r="BY126" s="188"/>
      <c r="BZ126" s="189"/>
      <c r="CA126" s="186"/>
      <c r="CB126" s="190"/>
      <c r="CC126" s="190"/>
      <c r="CD126" s="82">
        <f t="shared" si="332"/>
        <v>0</v>
      </c>
      <c r="CE126" s="82">
        <f t="shared" si="333"/>
        <v>0</v>
      </c>
      <c r="CF126" s="82">
        <f t="shared" si="334"/>
        <v>0</v>
      </c>
      <c r="CG126" s="82">
        <f t="shared" si="335"/>
        <v>0</v>
      </c>
      <c r="CH126" s="82">
        <f t="shared" si="336"/>
        <v>0</v>
      </c>
      <c r="CI126" s="82">
        <f t="shared" si="337"/>
        <v>0</v>
      </c>
      <c r="CJ126" s="82">
        <f t="shared" si="338"/>
        <v>0</v>
      </c>
      <c r="CK126" s="82">
        <f t="shared" si="339"/>
        <v>0</v>
      </c>
      <c r="CL126" s="82">
        <f t="shared" si="340"/>
        <v>0</v>
      </c>
      <c r="CM126" s="82">
        <f t="shared" si="341"/>
        <v>0</v>
      </c>
      <c r="CN126" s="82">
        <f t="shared" si="342"/>
        <v>0</v>
      </c>
      <c r="CO126" s="82">
        <f t="shared" si="343"/>
        <v>0</v>
      </c>
      <c r="CP126" s="82">
        <f t="shared" si="344"/>
        <v>0</v>
      </c>
      <c r="CQ126" s="82">
        <f t="shared" si="345"/>
        <v>0</v>
      </c>
      <c r="CR126" s="82">
        <f t="shared" si="346"/>
        <v>0</v>
      </c>
      <c r="CS126" s="82">
        <f t="shared" si="347"/>
        <v>0</v>
      </c>
      <c r="CT126" s="82">
        <f t="shared" si="348"/>
        <v>0</v>
      </c>
      <c r="CU126" s="82">
        <f t="shared" si="349"/>
        <v>0</v>
      </c>
      <c r="CV126" s="82">
        <f t="shared" si="350"/>
        <v>0</v>
      </c>
      <c r="CW126" s="82">
        <f t="shared" si="351"/>
        <v>0</v>
      </c>
      <c r="CX126" s="82">
        <f t="shared" si="352"/>
        <v>0</v>
      </c>
      <c r="CY126" s="82">
        <f t="shared" si="353"/>
        <v>0</v>
      </c>
      <c r="CZ126" s="82">
        <f t="shared" si="354"/>
        <v>0</v>
      </c>
      <c r="DA126" s="82">
        <f t="shared" si="355"/>
        <v>0</v>
      </c>
      <c r="DB126" s="82">
        <f t="shared" si="356"/>
        <v>0</v>
      </c>
      <c r="DC126" s="82">
        <f t="shared" si="357"/>
        <v>0</v>
      </c>
      <c r="DD126" s="82">
        <f t="shared" si="358"/>
        <v>0</v>
      </c>
      <c r="DE126" s="82">
        <f t="shared" si="359"/>
        <v>0</v>
      </c>
      <c r="DF126" s="82">
        <f t="shared" si="360"/>
        <v>0</v>
      </c>
      <c r="DG126" s="82">
        <f t="shared" si="361"/>
        <v>0</v>
      </c>
      <c r="DH126" s="82">
        <f t="shared" si="362"/>
        <v>0</v>
      </c>
      <c r="DI126" s="82">
        <f t="shared" si="363"/>
        <v>0</v>
      </c>
      <c r="DJ126" s="82">
        <f t="shared" si="364"/>
        <v>0</v>
      </c>
      <c r="DK126" s="82">
        <f t="shared" si="365"/>
        <v>0</v>
      </c>
      <c r="DL126" s="82">
        <f t="shared" si="366"/>
        <v>0</v>
      </c>
      <c r="DM126" s="82">
        <f t="shared" si="367"/>
        <v>0</v>
      </c>
      <c r="DN126" s="82">
        <f t="shared" si="368"/>
        <v>0</v>
      </c>
      <c r="DO126" s="82">
        <f t="shared" si="369"/>
        <v>0</v>
      </c>
      <c r="DP126" s="82">
        <f t="shared" si="370"/>
        <v>0</v>
      </c>
      <c r="DQ126" s="82">
        <f t="shared" si="371"/>
        <v>0</v>
      </c>
      <c r="DR126" s="82">
        <f t="shared" si="372"/>
        <v>0</v>
      </c>
      <c r="DS126" s="82">
        <f t="shared" si="373"/>
        <v>0</v>
      </c>
      <c r="DT126" s="82">
        <f t="shared" si="374"/>
        <v>0</v>
      </c>
      <c r="DU126" s="82">
        <f t="shared" si="375"/>
        <v>0</v>
      </c>
      <c r="DV126" s="82">
        <f t="shared" si="376"/>
        <v>0</v>
      </c>
      <c r="DW126" s="82">
        <f t="shared" si="377"/>
        <v>0</v>
      </c>
      <c r="DX126" s="82">
        <f t="shared" si="378"/>
        <v>0</v>
      </c>
      <c r="DY126" s="82">
        <f t="shared" si="379"/>
        <v>0</v>
      </c>
      <c r="DZ126" s="82">
        <f t="shared" si="380"/>
        <v>0</v>
      </c>
      <c r="EA126" s="82">
        <f t="shared" si="381"/>
        <v>0</v>
      </c>
      <c r="EB126" s="82">
        <f t="shared" si="382"/>
        <v>0</v>
      </c>
      <c r="EC126" s="82">
        <f t="shared" si="383"/>
        <v>0</v>
      </c>
      <c r="ED126" s="82">
        <f t="shared" si="384"/>
        <v>0</v>
      </c>
      <c r="EE126" s="82">
        <f t="shared" si="385"/>
        <v>0</v>
      </c>
      <c r="EF126" s="82">
        <f t="shared" si="386"/>
        <v>0</v>
      </c>
      <c r="EG126" s="82">
        <f t="shared" si="387"/>
        <v>0</v>
      </c>
      <c r="EH126" s="82">
        <f t="shared" si="388"/>
        <v>0</v>
      </c>
      <c r="EI126" s="82">
        <f t="shared" si="389"/>
        <v>0</v>
      </c>
      <c r="EJ126" s="82">
        <f t="shared" si="390"/>
        <v>0</v>
      </c>
      <c r="EK126" s="82">
        <f t="shared" si="391"/>
        <v>0</v>
      </c>
      <c r="EL126" s="82">
        <f t="shared" si="392"/>
        <v>0</v>
      </c>
      <c r="EM126" s="82">
        <f t="shared" si="393"/>
        <v>0</v>
      </c>
      <c r="EN126" s="82">
        <f t="shared" si="394"/>
        <v>0</v>
      </c>
      <c r="EO126" s="82">
        <f t="shared" si="395"/>
        <v>0</v>
      </c>
      <c r="EP126" s="82">
        <f t="shared" si="396"/>
        <v>0</v>
      </c>
      <c r="EQ126" s="82">
        <f t="shared" si="397"/>
        <v>0</v>
      </c>
      <c r="ER126" s="82">
        <f t="shared" si="398"/>
        <v>0</v>
      </c>
      <c r="ES126" s="82">
        <f t="shared" si="399"/>
        <v>0</v>
      </c>
      <c r="ET126" s="82">
        <f t="shared" si="400"/>
        <v>0</v>
      </c>
      <c r="EU126" s="82">
        <f t="shared" si="401"/>
        <v>0</v>
      </c>
      <c r="EV126" s="82">
        <f t="shared" si="402"/>
        <v>0</v>
      </c>
      <c r="EW126" s="82">
        <f t="shared" si="403"/>
        <v>0</v>
      </c>
      <c r="EX126" s="82">
        <f t="shared" si="404"/>
        <v>0</v>
      </c>
      <c r="EY126" s="111">
        <f t="shared" si="405"/>
        <v>0</v>
      </c>
      <c r="EZ126" s="143" t="e">
        <f t="shared" ca="1" si="406"/>
        <v>#N/A</v>
      </c>
      <c r="FA126" s="112" t="e">
        <f t="shared" ca="1" si="407"/>
        <v>#N/A</v>
      </c>
      <c r="FB126" s="113" t="e">
        <f t="shared" ca="1" si="408"/>
        <v>#N/A</v>
      </c>
      <c r="FC126" s="114" t="e">
        <f t="shared" ca="1" si="409"/>
        <v>#N/A</v>
      </c>
      <c r="FD126" s="115">
        <f t="shared" ca="1" si="410"/>
        <v>0</v>
      </c>
      <c r="FE126" s="116" t="e">
        <f t="shared" ca="1" si="411"/>
        <v>#N/A</v>
      </c>
      <c r="FF126" s="117" t="e">
        <f t="shared" ca="1" si="412"/>
        <v>#N/A</v>
      </c>
      <c r="FG126" s="71">
        <f t="shared" si="413"/>
        <v>0</v>
      </c>
      <c r="FH126" s="530" t="e">
        <f t="shared" ca="1" si="414"/>
        <v>#N/A</v>
      </c>
      <c r="FI126" s="72"/>
      <c r="FJ126" s="72"/>
      <c r="FK126" s="72"/>
      <c r="FM126" s="421">
        <f t="shared" si="318"/>
        <v>0</v>
      </c>
      <c r="FN126" s="422" t="e">
        <f t="shared" ca="1" si="319"/>
        <v>#N/A</v>
      </c>
      <c r="FO126" s="423">
        <f t="shared" ca="1" si="425"/>
        <v>0</v>
      </c>
      <c r="FP126" s="423">
        <f t="shared" ca="1" si="425"/>
        <v>0</v>
      </c>
      <c r="FQ126" s="423">
        <f t="shared" ca="1" si="425"/>
        <v>0</v>
      </c>
      <c r="FR126" s="423">
        <f t="shared" ca="1" si="425"/>
        <v>0</v>
      </c>
      <c r="FS126" s="423">
        <f t="shared" ca="1" si="425"/>
        <v>0</v>
      </c>
      <c r="FT126" s="423">
        <f t="shared" ca="1" si="425"/>
        <v>0</v>
      </c>
      <c r="FU126" s="423">
        <f t="shared" ca="1" si="425"/>
        <v>0</v>
      </c>
      <c r="FV126" s="423">
        <f t="shared" ca="1" si="425"/>
        <v>0</v>
      </c>
      <c r="FW126" s="423">
        <f t="shared" ca="1" si="425"/>
        <v>0</v>
      </c>
      <c r="FX126" s="423">
        <f t="shared" ca="1" si="425"/>
        <v>0</v>
      </c>
      <c r="FY126" s="423">
        <f t="shared" ca="1" si="425"/>
        <v>0</v>
      </c>
      <c r="FZ126" s="423">
        <f t="shared" ca="1" si="425"/>
        <v>0</v>
      </c>
      <c r="GA126" s="423">
        <f t="shared" ca="1" si="425"/>
        <v>0</v>
      </c>
      <c r="GB126" s="423">
        <f t="shared" ca="1" si="425"/>
        <v>0</v>
      </c>
      <c r="GC126" s="423">
        <f t="shared" ca="1" si="425"/>
        <v>0</v>
      </c>
      <c r="GD126" s="423">
        <f t="shared" ca="1" si="425"/>
        <v>0</v>
      </c>
      <c r="GE126" s="423">
        <f t="shared" ca="1" si="423"/>
        <v>0</v>
      </c>
      <c r="GF126" s="423">
        <f t="shared" ca="1" si="423"/>
        <v>0</v>
      </c>
      <c r="GG126" s="423">
        <f t="shared" ca="1" si="423"/>
        <v>0</v>
      </c>
      <c r="GH126" s="423">
        <f t="shared" ca="1" si="423"/>
        <v>0</v>
      </c>
      <c r="GI126" s="423">
        <f t="shared" ca="1" si="423"/>
        <v>0</v>
      </c>
      <c r="GJ126" s="423">
        <f t="shared" ca="1" si="423"/>
        <v>0</v>
      </c>
      <c r="GK126" s="423">
        <f t="shared" ca="1" si="423"/>
        <v>0</v>
      </c>
      <c r="GL126" s="423">
        <f t="shared" ca="1" si="423"/>
        <v>0</v>
      </c>
      <c r="GM126" s="423">
        <f t="shared" ca="1" si="423"/>
        <v>0</v>
      </c>
      <c r="GN126" s="423">
        <f t="shared" ca="1" si="423"/>
        <v>0</v>
      </c>
      <c r="GO126" s="423">
        <f t="shared" ca="1" si="423"/>
        <v>0</v>
      </c>
      <c r="GP126" s="423">
        <f t="shared" ca="1" si="423"/>
        <v>0</v>
      </c>
      <c r="GQ126" s="423">
        <f t="shared" ca="1" si="423"/>
        <v>0</v>
      </c>
      <c r="GR126" s="423">
        <f t="shared" ca="1" si="423"/>
        <v>0</v>
      </c>
      <c r="GS126" s="423">
        <f t="shared" ca="1" si="419"/>
        <v>0</v>
      </c>
      <c r="GT126" s="423">
        <f t="shared" ca="1" si="419"/>
        <v>0</v>
      </c>
      <c r="GU126" s="423">
        <f t="shared" ca="1" si="419"/>
        <v>0</v>
      </c>
      <c r="GV126" s="423">
        <f t="shared" ca="1" si="419"/>
        <v>0</v>
      </c>
      <c r="GW126" s="423">
        <f t="shared" ca="1" si="419"/>
        <v>0</v>
      </c>
      <c r="GX126" s="423">
        <f t="shared" ca="1" si="419"/>
        <v>0</v>
      </c>
      <c r="GY126" s="423">
        <f t="shared" ca="1" si="419"/>
        <v>0</v>
      </c>
      <c r="GZ126" s="423">
        <f t="shared" ca="1" si="419"/>
        <v>0</v>
      </c>
      <c r="HA126" s="423">
        <f t="shared" ca="1" si="419"/>
        <v>0</v>
      </c>
      <c r="HB126" s="423">
        <f t="shared" ca="1" si="419"/>
        <v>0</v>
      </c>
      <c r="HC126" s="423">
        <f t="shared" ca="1" si="419"/>
        <v>0</v>
      </c>
      <c r="HD126" s="423">
        <f t="shared" ca="1" si="419"/>
        <v>0</v>
      </c>
      <c r="HE126" s="423">
        <f t="shared" ca="1" si="419"/>
        <v>0</v>
      </c>
      <c r="HF126" s="423">
        <f t="shared" ca="1" si="419"/>
        <v>0</v>
      </c>
      <c r="HG126" s="423">
        <f t="shared" ca="1" si="419"/>
        <v>0</v>
      </c>
      <c r="HH126" s="423">
        <f t="shared" ca="1" si="419"/>
        <v>0</v>
      </c>
      <c r="HI126" s="423">
        <f t="shared" ca="1" si="424"/>
        <v>0</v>
      </c>
      <c r="HJ126" s="423">
        <f t="shared" ca="1" si="420"/>
        <v>0</v>
      </c>
      <c r="HK126" s="423">
        <f t="shared" ca="1" si="420"/>
        <v>0</v>
      </c>
      <c r="HL126" s="423">
        <f t="shared" ca="1" si="420"/>
        <v>0</v>
      </c>
      <c r="HM126" s="423">
        <f t="shared" ca="1" si="420"/>
        <v>0</v>
      </c>
      <c r="HN126" s="423">
        <f t="shared" ca="1" si="420"/>
        <v>0</v>
      </c>
      <c r="HO126" s="423">
        <f t="shared" ca="1" si="420"/>
        <v>0</v>
      </c>
      <c r="HP126" s="423">
        <f t="shared" ca="1" si="420"/>
        <v>0</v>
      </c>
      <c r="HQ126" s="423">
        <f t="shared" ca="1" si="420"/>
        <v>0</v>
      </c>
      <c r="HR126" s="423">
        <f t="shared" ca="1" si="420"/>
        <v>0</v>
      </c>
      <c r="HS126" s="423">
        <f t="shared" ca="1" si="420"/>
        <v>0</v>
      </c>
      <c r="HT126" s="423">
        <f t="shared" ca="1" si="420"/>
        <v>0</v>
      </c>
      <c r="HU126" s="423"/>
      <c r="HV126" s="423"/>
    </row>
    <row r="127" spans="1:230" ht="11.25" customHeight="1" x14ac:dyDescent="0.2">
      <c r="A127" s="62">
        <f t="shared" si="322"/>
        <v>116</v>
      </c>
      <c r="B127" s="60">
        <f>Spaces_Sum!C172</f>
        <v>0</v>
      </c>
      <c r="C127" s="62" t="str">
        <f>Spaces_Sum!D172</f>
        <v>0</v>
      </c>
      <c r="D127" s="62" t="e">
        <f ca="1">Spaces_Sum!I172</f>
        <v>#N/A</v>
      </c>
      <c r="F127" s="110" t="e">
        <f ca="1">Spaces_Sum!M172</f>
        <v>#N/A</v>
      </c>
      <c r="G127" s="110" t="e">
        <f ca="1">Spaces_Sum!J172</f>
        <v>#N/A</v>
      </c>
      <c r="H127" s="532"/>
      <c r="I127" s="185"/>
      <c r="J127" s="185"/>
      <c r="K127" s="186"/>
      <c r="L127" s="187"/>
      <c r="M127" s="188"/>
      <c r="N127" s="189"/>
      <c r="O127" s="186"/>
      <c r="P127" s="187"/>
      <c r="Q127" s="188"/>
      <c r="R127" s="189"/>
      <c r="S127" s="186"/>
      <c r="T127" s="187"/>
      <c r="U127" s="188"/>
      <c r="V127" s="189"/>
      <c r="W127" s="186"/>
      <c r="X127" s="187"/>
      <c r="Y127" s="188"/>
      <c r="Z127" s="189"/>
      <c r="AA127" s="186"/>
      <c r="AB127" s="187"/>
      <c r="AC127" s="188"/>
      <c r="AD127" s="189"/>
      <c r="AE127" s="186"/>
      <c r="AF127" s="187"/>
      <c r="AG127" s="188"/>
      <c r="AH127" s="189"/>
      <c r="AI127" s="186"/>
      <c r="AJ127" s="187"/>
      <c r="AK127" s="188"/>
      <c r="AL127" s="189"/>
      <c r="AM127" s="186"/>
      <c r="AN127" s="187"/>
      <c r="AO127" s="188"/>
      <c r="AP127" s="189"/>
      <c r="AQ127" s="186"/>
      <c r="AR127" s="187"/>
      <c r="AS127" s="188"/>
      <c r="AT127" s="189"/>
      <c r="AU127" s="186"/>
      <c r="AV127" s="187"/>
      <c r="AW127" s="188"/>
      <c r="AX127" s="189"/>
      <c r="AY127" s="186"/>
      <c r="AZ127" s="187"/>
      <c r="BA127" s="188"/>
      <c r="BB127" s="189"/>
      <c r="BC127" s="186"/>
      <c r="BD127" s="187"/>
      <c r="BE127" s="188"/>
      <c r="BF127" s="189"/>
      <c r="BG127" s="186"/>
      <c r="BH127" s="187"/>
      <c r="BI127" s="188"/>
      <c r="BJ127" s="189"/>
      <c r="BK127" s="186"/>
      <c r="BL127" s="187"/>
      <c r="BM127" s="188"/>
      <c r="BN127" s="189"/>
      <c r="BO127" s="186"/>
      <c r="BP127" s="187"/>
      <c r="BQ127" s="188"/>
      <c r="BR127" s="189"/>
      <c r="BS127" s="186"/>
      <c r="BT127" s="187"/>
      <c r="BU127" s="188"/>
      <c r="BV127" s="189"/>
      <c r="BW127" s="186"/>
      <c r="BX127" s="187"/>
      <c r="BY127" s="188"/>
      <c r="BZ127" s="189"/>
      <c r="CA127" s="186"/>
      <c r="CB127" s="190"/>
      <c r="CC127" s="190"/>
      <c r="CD127" s="82">
        <f t="shared" si="332"/>
        <v>0</v>
      </c>
      <c r="CE127" s="82">
        <f t="shared" si="333"/>
        <v>0</v>
      </c>
      <c r="CF127" s="82">
        <f t="shared" si="334"/>
        <v>0</v>
      </c>
      <c r="CG127" s="82">
        <f t="shared" si="335"/>
        <v>0</v>
      </c>
      <c r="CH127" s="82">
        <f t="shared" si="336"/>
        <v>0</v>
      </c>
      <c r="CI127" s="82">
        <f t="shared" si="337"/>
        <v>0</v>
      </c>
      <c r="CJ127" s="82">
        <f t="shared" si="338"/>
        <v>0</v>
      </c>
      <c r="CK127" s="82">
        <f t="shared" si="339"/>
        <v>0</v>
      </c>
      <c r="CL127" s="82">
        <f t="shared" si="340"/>
        <v>0</v>
      </c>
      <c r="CM127" s="82">
        <f t="shared" si="341"/>
        <v>0</v>
      </c>
      <c r="CN127" s="82">
        <f t="shared" si="342"/>
        <v>0</v>
      </c>
      <c r="CO127" s="82">
        <f t="shared" si="343"/>
        <v>0</v>
      </c>
      <c r="CP127" s="82">
        <f t="shared" si="344"/>
        <v>0</v>
      </c>
      <c r="CQ127" s="82">
        <f t="shared" si="345"/>
        <v>0</v>
      </c>
      <c r="CR127" s="82">
        <f t="shared" si="346"/>
        <v>0</v>
      </c>
      <c r="CS127" s="82">
        <f t="shared" si="347"/>
        <v>0</v>
      </c>
      <c r="CT127" s="82">
        <f t="shared" si="348"/>
        <v>0</v>
      </c>
      <c r="CU127" s="82">
        <f t="shared" si="349"/>
        <v>0</v>
      </c>
      <c r="CV127" s="82">
        <f t="shared" si="350"/>
        <v>0</v>
      </c>
      <c r="CW127" s="82">
        <f t="shared" si="351"/>
        <v>0</v>
      </c>
      <c r="CX127" s="82">
        <f t="shared" si="352"/>
        <v>0</v>
      </c>
      <c r="CY127" s="82">
        <f t="shared" si="353"/>
        <v>0</v>
      </c>
      <c r="CZ127" s="82">
        <f t="shared" si="354"/>
        <v>0</v>
      </c>
      <c r="DA127" s="82">
        <f t="shared" si="355"/>
        <v>0</v>
      </c>
      <c r="DB127" s="82">
        <f t="shared" si="356"/>
        <v>0</v>
      </c>
      <c r="DC127" s="82">
        <f t="shared" si="357"/>
        <v>0</v>
      </c>
      <c r="DD127" s="82">
        <f t="shared" si="358"/>
        <v>0</v>
      </c>
      <c r="DE127" s="82">
        <f t="shared" si="359"/>
        <v>0</v>
      </c>
      <c r="DF127" s="82">
        <f t="shared" si="360"/>
        <v>0</v>
      </c>
      <c r="DG127" s="82">
        <f t="shared" si="361"/>
        <v>0</v>
      </c>
      <c r="DH127" s="82">
        <f t="shared" si="362"/>
        <v>0</v>
      </c>
      <c r="DI127" s="82">
        <f t="shared" si="363"/>
        <v>0</v>
      </c>
      <c r="DJ127" s="82">
        <f t="shared" si="364"/>
        <v>0</v>
      </c>
      <c r="DK127" s="82">
        <f t="shared" si="365"/>
        <v>0</v>
      </c>
      <c r="DL127" s="82">
        <f t="shared" si="366"/>
        <v>0</v>
      </c>
      <c r="DM127" s="82">
        <f t="shared" si="367"/>
        <v>0</v>
      </c>
      <c r="DN127" s="82">
        <f t="shared" si="368"/>
        <v>0</v>
      </c>
      <c r="DO127" s="82">
        <f t="shared" si="369"/>
        <v>0</v>
      </c>
      <c r="DP127" s="82">
        <f t="shared" si="370"/>
        <v>0</v>
      </c>
      <c r="DQ127" s="82">
        <f t="shared" si="371"/>
        <v>0</v>
      </c>
      <c r="DR127" s="82">
        <f t="shared" si="372"/>
        <v>0</v>
      </c>
      <c r="DS127" s="82">
        <f t="shared" si="373"/>
        <v>0</v>
      </c>
      <c r="DT127" s="82">
        <f t="shared" si="374"/>
        <v>0</v>
      </c>
      <c r="DU127" s="82">
        <f t="shared" si="375"/>
        <v>0</v>
      </c>
      <c r="DV127" s="82">
        <f t="shared" si="376"/>
        <v>0</v>
      </c>
      <c r="DW127" s="82">
        <f t="shared" si="377"/>
        <v>0</v>
      </c>
      <c r="DX127" s="82">
        <f t="shared" si="378"/>
        <v>0</v>
      </c>
      <c r="DY127" s="82">
        <f t="shared" si="379"/>
        <v>0</v>
      </c>
      <c r="DZ127" s="82">
        <f t="shared" si="380"/>
        <v>0</v>
      </c>
      <c r="EA127" s="82">
        <f t="shared" si="381"/>
        <v>0</v>
      </c>
      <c r="EB127" s="82">
        <f t="shared" si="382"/>
        <v>0</v>
      </c>
      <c r="EC127" s="82">
        <f t="shared" si="383"/>
        <v>0</v>
      </c>
      <c r="ED127" s="82">
        <f t="shared" si="384"/>
        <v>0</v>
      </c>
      <c r="EE127" s="82">
        <f t="shared" si="385"/>
        <v>0</v>
      </c>
      <c r="EF127" s="82">
        <f t="shared" si="386"/>
        <v>0</v>
      </c>
      <c r="EG127" s="82">
        <f t="shared" si="387"/>
        <v>0</v>
      </c>
      <c r="EH127" s="82">
        <f t="shared" si="388"/>
        <v>0</v>
      </c>
      <c r="EI127" s="82">
        <f t="shared" si="389"/>
        <v>0</v>
      </c>
      <c r="EJ127" s="82">
        <f t="shared" si="390"/>
        <v>0</v>
      </c>
      <c r="EK127" s="82">
        <f t="shared" si="391"/>
        <v>0</v>
      </c>
      <c r="EL127" s="82">
        <f t="shared" si="392"/>
        <v>0</v>
      </c>
      <c r="EM127" s="82">
        <f t="shared" si="393"/>
        <v>0</v>
      </c>
      <c r="EN127" s="82">
        <f t="shared" si="394"/>
        <v>0</v>
      </c>
      <c r="EO127" s="82">
        <f t="shared" si="395"/>
        <v>0</v>
      </c>
      <c r="EP127" s="82">
        <f t="shared" si="396"/>
        <v>0</v>
      </c>
      <c r="EQ127" s="82">
        <f t="shared" si="397"/>
        <v>0</v>
      </c>
      <c r="ER127" s="82">
        <f t="shared" si="398"/>
        <v>0</v>
      </c>
      <c r="ES127" s="82">
        <f t="shared" si="399"/>
        <v>0</v>
      </c>
      <c r="ET127" s="82">
        <f t="shared" si="400"/>
        <v>0</v>
      </c>
      <c r="EU127" s="82">
        <f t="shared" si="401"/>
        <v>0</v>
      </c>
      <c r="EV127" s="82">
        <f t="shared" si="402"/>
        <v>0</v>
      </c>
      <c r="EW127" s="82">
        <f t="shared" si="403"/>
        <v>0</v>
      </c>
      <c r="EX127" s="82">
        <f t="shared" si="404"/>
        <v>0</v>
      </c>
      <c r="EY127" s="111">
        <f t="shared" si="405"/>
        <v>0</v>
      </c>
      <c r="EZ127" s="143" t="e">
        <f t="shared" ca="1" si="406"/>
        <v>#N/A</v>
      </c>
      <c r="FA127" s="112" t="e">
        <f t="shared" ca="1" si="407"/>
        <v>#N/A</v>
      </c>
      <c r="FB127" s="113" t="e">
        <f t="shared" ca="1" si="408"/>
        <v>#N/A</v>
      </c>
      <c r="FC127" s="114" t="e">
        <f t="shared" ca="1" si="409"/>
        <v>#N/A</v>
      </c>
      <c r="FD127" s="115">
        <f t="shared" ca="1" si="410"/>
        <v>0</v>
      </c>
      <c r="FE127" s="116" t="e">
        <f t="shared" ca="1" si="411"/>
        <v>#N/A</v>
      </c>
      <c r="FF127" s="117" t="e">
        <f t="shared" ca="1" si="412"/>
        <v>#N/A</v>
      </c>
      <c r="FG127" s="71">
        <f t="shared" si="413"/>
        <v>0</v>
      </c>
      <c r="FH127" s="530" t="e">
        <f t="shared" ca="1" si="414"/>
        <v>#N/A</v>
      </c>
      <c r="FI127" s="72"/>
      <c r="FJ127" s="72"/>
      <c r="FK127" s="72"/>
      <c r="FM127" s="421">
        <f t="shared" si="318"/>
        <v>0</v>
      </c>
      <c r="FN127" s="422" t="e">
        <f t="shared" ca="1" si="319"/>
        <v>#N/A</v>
      </c>
      <c r="FO127" s="423">
        <f t="shared" ca="1" si="425"/>
        <v>0</v>
      </c>
      <c r="FP127" s="423">
        <f t="shared" ca="1" si="425"/>
        <v>0</v>
      </c>
      <c r="FQ127" s="423">
        <f t="shared" ca="1" si="425"/>
        <v>0</v>
      </c>
      <c r="FR127" s="423">
        <f t="shared" ca="1" si="425"/>
        <v>0</v>
      </c>
      <c r="FS127" s="423">
        <f t="shared" ca="1" si="425"/>
        <v>0</v>
      </c>
      <c r="FT127" s="423">
        <f t="shared" ca="1" si="425"/>
        <v>0</v>
      </c>
      <c r="FU127" s="423">
        <f t="shared" ca="1" si="425"/>
        <v>0</v>
      </c>
      <c r="FV127" s="423">
        <f t="shared" ca="1" si="425"/>
        <v>0</v>
      </c>
      <c r="FW127" s="423">
        <f t="shared" ca="1" si="425"/>
        <v>0</v>
      </c>
      <c r="FX127" s="423">
        <f t="shared" ca="1" si="425"/>
        <v>0</v>
      </c>
      <c r="FY127" s="423">
        <f t="shared" ca="1" si="425"/>
        <v>0</v>
      </c>
      <c r="FZ127" s="423">
        <f t="shared" ca="1" si="425"/>
        <v>0</v>
      </c>
      <c r="GA127" s="423">
        <f t="shared" ca="1" si="425"/>
        <v>0</v>
      </c>
      <c r="GB127" s="423">
        <f t="shared" ca="1" si="425"/>
        <v>0</v>
      </c>
      <c r="GC127" s="423">
        <f t="shared" ca="1" si="425"/>
        <v>0</v>
      </c>
      <c r="GD127" s="423">
        <f t="shared" ca="1" si="425"/>
        <v>0</v>
      </c>
      <c r="GE127" s="423">
        <f t="shared" ca="1" si="423"/>
        <v>0</v>
      </c>
      <c r="GF127" s="423">
        <f t="shared" ca="1" si="423"/>
        <v>0</v>
      </c>
      <c r="GG127" s="423">
        <f t="shared" ca="1" si="423"/>
        <v>0</v>
      </c>
      <c r="GH127" s="423">
        <f t="shared" ca="1" si="423"/>
        <v>0</v>
      </c>
      <c r="GI127" s="423">
        <f t="shared" ca="1" si="423"/>
        <v>0</v>
      </c>
      <c r="GJ127" s="423">
        <f t="shared" ca="1" si="423"/>
        <v>0</v>
      </c>
      <c r="GK127" s="423">
        <f t="shared" ca="1" si="423"/>
        <v>0</v>
      </c>
      <c r="GL127" s="423">
        <f t="shared" ca="1" si="423"/>
        <v>0</v>
      </c>
      <c r="GM127" s="423">
        <f t="shared" ca="1" si="423"/>
        <v>0</v>
      </c>
      <c r="GN127" s="423">
        <f t="shared" ca="1" si="423"/>
        <v>0</v>
      </c>
      <c r="GO127" s="423">
        <f t="shared" ca="1" si="423"/>
        <v>0</v>
      </c>
      <c r="GP127" s="423">
        <f t="shared" ca="1" si="423"/>
        <v>0</v>
      </c>
      <c r="GQ127" s="423">
        <f t="shared" ca="1" si="423"/>
        <v>0</v>
      </c>
      <c r="GR127" s="423">
        <f t="shared" ca="1" si="423"/>
        <v>0</v>
      </c>
      <c r="GS127" s="423">
        <f t="shared" ca="1" si="419"/>
        <v>0</v>
      </c>
      <c r="GT127" s="423">
        <f t="shared" ca="1" si="419"/>
        <v>0</v>
      </c>
      <c r="GU127" s="423">
        <f t="shared" ca="1" si="419"/>
        <v>0</v>
      </c>
      <c r="GV127" s="423">
        <f t="shared" ca="1" si="419"/>
        <v>0</v>
      </c>
      <c r="GW127" s="423">
        <f t="shared" ca="1" si="419"/>
        <v>0</v>
      </c>
      <c r="GX127" s="423">
        <f t="shared" ca="1" si="419"/>
        <v>0</v>
      </c>
      <c r="GY127" s="423">
        <f t="shared" ca="1" si="419"/>
        <v>0</v>
      </c>
      <c r="GZ127" s="423">
        <f t="shared" ca="1" si="419"/>
        <v>0</v>
      </c>
      <c r="HA127" s="423">
        <f t="shared" ca="1" si="419"/>
        <v>0</v>
      </c>
      <c r="HB127" s="423">
        <f t="shared" ca="1" si="419"/>
        <v>0</v>
      </c>
      <c r="HC127" s="423">
        <f t="shared" ca="1" si="419"/>
        <v>0</v>
      </c>
      <c r="HD127" s="423">
        <f t="shared" ca="1" si="419"/>
        <v>0</v>
      </c>
      <c r="HE127" s="423">
        <f t="shared" ca="1" si="419"/>
        <v>0</v>
      </c>
      <c r="HF127" s="423">
        <f t="shared" ca="1" si="419"/>
        <v>0</v>
      </c>
      <c r="HG127" s="423">
        <f t="shared" ca="1" si="419"/>
        <v>0</v>
      </c>
      <c r="HH127" s="423">
        <f t="shared" ca="1" si="419"/>
        <v>0</v>
      </c>
      <c r="HI127" s="423">
        <f t="shared" ca="1" si="424"/>
        <v>0</v>
      </c>
      <c r="HJ127" s="423">
        <f t="shared" ca="1" si="420"/>
        <v>0</v>
      </c>
      <c r="HK127" s="423">
        <f t="shared" ca="1" si="420"/>
        <v>0</v>
      </c>
      <c r="HL127" s="423">
        <f t="shared" ca="1" si="420"/>
        <v>0</v>
      </c>
      <c r="HM127" s="423">
        <f t="shared" ca="1" si="420"/>
        <v>0</v>
      </c>
      <c r="HN127" s="423">
        <f t="shared" ca="1" si="420"/>
        <v>0</v>
      </c>
      <c r="HO127" s="423">
        <f t="shared" ca="1" si="420"/>
        <v>0</v>
      </c>
      <c r="HP127" s="423">
        <f t="shared" ca="1" si="420"/>
        <v>0</v>
      </c>
      <c r="HQ127" s="423">
        <f t="shared" ca="1" si="420"/>
        <v>0</v>
      </c>
      <c r="HR127" s="423">
        <f t="shared" ca="1" si="420"/>
        <v>0</v>
      </c>
      <c r="HS127" s="423">
        <f t="shared" ca="1" si="420"/>
        <v>0</v>
      </c>
      <c r="HT127" s="423">
        <f t="shared" ca="1" si="420"/>
        <v>0</v>
      </c>
      <c r="HU127" s="423"/>
      <c r="HV127" s="423"/>
    </row>
    <row r="128" spans="1:230" ht="11.25" customHeight="1" x14ac:dyDescent="0.2">
      <c r="A128" s="62">
        <f t="shared" si="322"/>
        <v>117</v>
      </c>
      <c r="B128" s="60">
        <f>Spaces_Sum!C173</f>
        <v>0</v>
      </c>
      <c r="C128" s="62" t="str">
        <f>Spaces_Sum!D173</f>
        <v>0</v>
      </c>
      <c r="D128" s="62" t="e">
        <f ca="1">Spaces_Sum!I173</f>
        <v>#N/A</v>
      </c>
      <c r="F128" s="110" t="e">
        <f ca="1">Spaces_Sum!M173</f>
        <v>#N/A</v>
      </c>
      <c r="G128" s="110" t="e">
        <f ca="1">Spaces_Sum!J173</f>
        <v>#N/A</v>
      </c>
      <c r="H128" s="532"/>
      <c r="I128" s="185"/>
      <c r="J128" s="185"/>
      <c r="K128" s="186"/>
      <c r="L128" s="187"/>
      <c r="M128" s="188"/>
      <c r="N128" s="189"/>
      <c r="O128" s="186"/>
      <c r="P128" s="187"/>
      <c r="Q128" s="188"/>
      <c r="R128" s="189"/>
      <c r="S128" s="186"/>
      <c r="T128" s="187"/>
      <c r="U128" s="188"/>
      <c r="V128" s="189"/>
      <c r="W128" s="186"/>
      <c r="X128" s="187"/>
      <c r="Y128" s="188"/>
      <c r="Z128" s="189"/>
      <c r="AA128" s="186"/>
      <c r="AB128" s="187"/>
      <c r="AC128" s="188"/>
      <c r="AD128" s="189"/>
      <c r="AE128" s="186"/>
      <c r="AF128" s="187"/>
      <c r="AG128" s="188"/>
      <c r="AH128" s="189"/>
      <c r="AI128" s="186"/>
      <c r="AJ128" s="187"/>
      <c r="AK128" s="188"/>
      <c r="AL128" s="189"/>
      <c r="AM128" s="186"/>
      <c r="AN128" s="187"/>
      <c r="AO128" s="188"/>
      <c r="AP128" s="189"/>
      <c r="AQ128" s="186"/>
      <c r="AR128" s="187"/>
      <c r="AS128" s="188"/>
      <c r="AT128" s="189"/>
      <c r="AU128" s="186"/>
      <c r="AV128" s="187"/>
      <c r="AW128" s="188"/>
      <c r="AX128" s="189"/>
      <c r="AY128" s="186"/>
      <c r="AZ128" s="187"/>
      <c r="BA128" s="188"/>
      <c r="BB128" s="189"/>
      <c r="BC128" s="186"/>
      <c r="BD128" s="187"/>
      <c r="BE128" s="188"/>
      <c r="BF128" s="189"/>
      <c r="BG128" s="186"/>
      <c r="BH128" s="187"/>
      <c r="BI128" s="188"/>
      <c r="BJ128" s="189"/>
      <c r="BK128" s="186"/>
      <c r="BL128" s="187"/>
      <c r="BM128" s="188"/>
      <c r="BN128" s="189"/>
      <c r="BO128" s="186"/>
      <c r="BP128" s="187"/>
      <c r="BQ128" s="188"/>
      <c r="BR128" s="189"/>
      <c r="BS128" s="186"/>
      <c r="BT128" s="187"/>
      <c r="BU128" s="188"/>
      <c r="BV128" s="189"/>
      <c r="BW128" s="186"/>
      <c r="BX128" s="187"/>
      <c r="BY128" s="188"/>
      <c r="BZ128" s="189"/>
      <c r="CA128" s="186"/>
      <c r="CB128" s="190"/>
      <c r="CC128" s="190"/>
      <c r="CD128" s="82">
        <f t="shared" si="332"/>
        <v>0</v>
      </c>
      <c r="CE128" s="82">
        <f t="shared" si="333"/>
        <v>0</v>
      </c>
      <c r="CF128" s="82">
        <f t="shared" si="334"/>
        <v>0</v>
      </c>
      <c r="CG128" s="82">
        <f t="shared" si="335"/>
        <v>0</v>
      </c>
      <c r="CH128" s="82">
        <f t="shared" si="336"/>
        <v>0</v>
      </c>
      <c r="CI128" s="82">
        <f t="shared" si="337"/>
        <v>0</v>
      </c>
      <c r="CJ128" s="82">
        <f t="shared" si="338"/>
        <v>0</v>
      </c>
      <c r="CK128" s="82">
        <f t="shared" si="339"/>
        <v>0</v>
      </c>
      <c r="CL128" s="82">
        <f t="shared" si="340"/>
        <v>0</v>
      </c>
      <c r="CM128" s="82">
        <f t="shared" si="341"/>
        <v>0</v>
      </c>
      <c r="CN128" s="82">
        <f t="shared" si="342"/>
        <v>0</v>
      </c>
      <c r="CO128" s="82">
        <f t="shared" si="343"/>
        <v>0</v>
      </c>
      <c r="CP128" s="82">
        <f t="shared" si="344"/>
        <v>0</v>
      </c>
      <c r="CQ128" s="82">
        <f t="shared" si="345"/>
        <v>0</v>
      </c>
      <c r="CR128" s="82">
        <f t="shared" si="346"/>
        <v>0</v>
      </c>
      <c r="CS128" s="82">
        <f t="shared" si="347"/>
        <v>0</v>
      </c>
      <c r="CT128" s="82">
        <f t="shared" si="348"/>
        <v>0</v>
      </c>
      <c r="CU128" s="82">
        <f t="shared" si="349"/>
        <v>0</v>
      </c>
      <c r="CV128" s="82">
        <f t="shared" si="350"/>
        <v>0</v>
      </c>
      <c r="CW128" s="82">
        <f t="shared" si="351"/>
        <v>0</v>
      </c>
      <c r="CX128" s="82">
        <f t="shared" si="352"/>
        <v>0</v>
      </c>
      <c r="CY128" s="82">
        <f t="shared" si="353"/>
        <v>0</v>
      </c>
      <c r="CZ128" s="82">
        <f t="shared" si="354"/>
        <v>0</v>
      </c>
      <c r="DA128" s="82">
        <f t="shared" si="355"/>
        <v>0</v>
      </c>
      <c r="DB128" s="82">
        <f t="shared" si="356"/>
        <v>0</v>
      </c>
      <c r="DC128" s="82">
        <f t="shared" si="357"/>
        <v>0</v>
      </c>
      <c r="DD128" s="82">
        <f t="shared" si="358"/>
        <v>0</v>
      </c>
      <c r="DE128" s="82">
        <f t="shared" si="359"/>
        <v>0</v>
      </c>
      <c r="DF128" s="82">
        <f t="shared" si="360"/>
        <v>0</v>
      </c>
      <c r="DG128" s="82">
        <f t="shared" si="361"/>
        <v>0</v>
      </c>
      <c r="DH128" s="82">
        <f t="shared" si="362"/>
        <v>0</v>
      </c>
      <c r="DI128" s="82">
        <f t="shared" si="363"/>
        <v>0</v>
      </c>
      <c r="DJ128" s="82">
        <f t="shared" si="364"/>
        <v>0</v>
      </c>
      <c r="DK128" s="82">
        <f t="shared" si="365"/>
        <v>0</v>
      </c>
      <c r="DL128" s="82">
        <f t="shared" si="366"/>
        <v>0</v>
      </c>
      <c r="DM128" s="82">
        <f t="shared" si="367"/>
        <v>0</v>
      </c>
      <c r="DN128" s="82">
        <f t="shared" si="368"/>
        <v>0</v>
      </c>
      <c r="DO128" s="82">
        <f t="shared" si="369"/>
        <v>0</v>
      </c>
      <c r="DP128" s="82">
        <f t="shared" si="370"/>
        <v>0</v>
      </c>
      <c r="DQ128" s="82">
        <f t="shared" si="371"/>
        <v>0</v>
      </c>
      <c r="DR128" s="82">
        <f t="shared" si="372"/>
        <v>0</v>
      </c>
      <c r="DS128" s="82">
        <f t="shared" si="373"/>
        <v>0</v>
      </c>
      <c r="DT128" s="82">
        <f t="shared" si="374"/>
        <v>0</v>
      </c>
      <c r="DU128" s="82">
        <f t="shared" si="375"/>
        <v>0</v>
      </c>
      <c r="DV128" s="82">
        <f t="shared" si="376"/>
        <v>0</v>
      </c>
      <c r="DW128" s="82">
        <f t="shared" si="377"/>
        <v>0</v>
      </c>
      <c r="DX128" s="82">
        <f t="shared" si="378"/>
        <v>0</v>
      </c>
      <c r="DY128" s="82">
        <f t="shared" si="379"/>
        <v>0</v>
      </c>
      <c r="DZ128" s="82">
        <f t="shared" si="380"/>
        <v>0</v>
      </c>
      <c r="EA128" s="82">
        <f t="shared" si="381"/>
        <v>0</v>
      </c>
      <c r="EB128" s="82">
        <f t="shared" si="382"/>
        <v>0</v>
      </c>
      <c r="EC128" s="82">
        <f t="shared" si="383"/>
        <v>0</v>
      </c>
      <c r="ED128" s="82">
        <f t="shared" si="384"/>
        <v>0</v>
      </c>
      <c r="EE128" s="82">
        <f t="shared" si="385"/>
        <v>0</v>
      </c>
      <c r="EF128" s="82">
        <f t="shared" si="386"/>
        <v>0</v>
      </c>
      <c r="EG128" s="82">
        <f t="shared" si="387"/>
        <v>0</v>
      </c>
      <c r="EH128" s="82">
        <f t="shared" si="388"/>
        <v>0</v>
      </c>
      <c r="EI128" s="82">
        <f t="shared" si="389"/>
        <v>0</v>
      </c>
      <c r="EJ128" s="82">
        <f t="shared" si="390"/>
        <v>0</v>
      </c>
      <c r="EK128" s="82">
        <f t="shared" si="391"/>
        <v>0</v>
      </c>
      <c r="EL128" s="82">
        <f t="shared" si="392"/>
        <v>0</v>
      </c>
      <c r="EM128" s="82">
        <f t="shared" si="393"/>
        <v>0</v>
      </c>
      <c r="EN128" s="82">
        <f t="shared" si="394"/>
        <v>0</v>
      </c>
      <c r="EO128" s="82">
        <f t="shared" si="395"/>
        <v>0</v>
      </c>
      <c r="EP128" s="82">
        <f t="shared" si="396"/>
        <v>0</v>
      </c>
      <c r="EQ128" s="82">
        <f t="shared" si="397"/>
        <v>0</v>
      </c>
      <c r="ER128" s="82">
        <f t="shared" si="398"/>
        <v>0</v>
      </c>
      <c r="ES128" s="82">
        <f t="shared" si="399"/>
        <v>0</v>
      </c>
      <c r="ET128" s="82">
        <f t="shared" si="400"/>
        <v>0</v>
      </c>
      <c r="EU128" s="82">
        <f t="shared" si="401"/>
        <v>0</v>
      </c>
      <c r="EV128" s="82">
        <f t="shared" si="402"/>
        <v>0</v>
      </c>
      <c r="EW128" s="82">
        <f t="shared" si="403"/>
        <v>0</v>
      </c>
      <c r="EX128" s="82">
        <f t="shared" si="404"/>
        <v>0</v>
      </c>
      <c r="EY128" s="111">
        <f t="shared" si="405"/>
        <v>0</v>
      </c>
      <c r="EZ128" s="143" t="e">
        <f t="shared" ca="1" si="406"/>
        <v>#N/A</v>
      </c>
      <c r="FA128" s="112" t="e">
        <f t="shared" ca="1" si="407"/>
        <v>#N/A</v>
      </c>
      <c r="FB128" s="113" t="e">
        <f t="shared" ca="1" si="408"/>
        <v>#N/A</v>
      </c>
      <c r="FC128" s="114" t="e">
        <f t="shared" ca="1" si="409"/>
        <v>#N/A</v>
      </c>
      <c r="FD128" s="115">
        <f t="shared" ca="1" si="410"/>
        <v>0</v>
      </c>
      <c r="FE128" s="116" t="e">
        <f t="shared" ca="1" si="411"/>
        <v>#N/A</v>
      </c>
      <c r="FF128" s="117" t="e">
        <f t="shared" ca="1" si="412"/>
        <v>#N/A</v>
      </c>
      <c r="FG128" s="71">
        <f t="shared" si="413"/>
        <v>0</v>
      </c>
      <c r="FH128" s="530" t="e">
        <f t="shared" ca="1" si="414"/>
        <v>#N/A</v>
      </c>
      <c r="FI128" s="72"/>
      <c r="FJ128" s="72"/>
      <c r="FK128" s="72"/>
      <c r="FM128" s="421">
        <f t="shared" si="318"/>
        <v>0</v>
      </c>
      <c r="FN128" s="422" t="e">
        <f t="shared" ca="1" si="319"/>
        <v>#N/A</v>
      </c>
      <c r="FO128" s="423">
        <f t="shared" ca="1" si="425"/>
        <v>0</v>
      </c>
      <c r="FP128" s="423">
        <f t="shared" ca="1" si="425"/>
        <v>0</v>
      </c>
      <c r="FQ128" s="423">
        <f t="shared" ca="1" si="425"/>
        <v>0</v>
      </c>
      <c r="FR128" s="423">
        <f t="shared" ca="1" si="425"/>
        <v>0</v>
      </c>
      <c r="FS128" s="423">
        <f t="shared" ca="1" si="425"/>
        <v>0</v>
      </c>
      <c r="FT128" s="423">
        <f t="shared" ca="1" si="425"/>
        <v>0</v>
      </c>
      <c r="FU128" s="423">
        <f t="shared" ca="1" si="425"/>
        <v>0</v>
      </c>
      <c r="FV128" s="423">
        <f t="shared" ca="1" si="425"/>
        <v>0</v>
      </c>
      <c r="FW128" s="423">
        <f t="shared" ca="1" si="425"/>
        <v>0</v>
      </c>
      <c r="FX128" s="423">
        <f t="shared" ca="1" si="425"/>
        <v>0</v>
      </c>
      <c r="FY128" s="423">
        <f t="shared" ca="1" si="425"/>
        <v>0</v>
      </c>
      <c r="FZ128" s="423">
        <f t="shared" ca="1" si="425"/>
        <v>0</v>
      </c>
      <c r="GA128" s="423">
        <f t="shared" ca="1" si="425"/>
        <v>0</v>
      </c>
      <c r="GB128" s="423">
        <f t="shared" ca="1" si="425"/>
        <v>0</v>
      </c>
      <c r="GC128" s="423">
        <f t="shared" ca="1" si="425"/>
        <v>0</v>
      </c>
      <c r="GD128" s="423">
        <f t="shared" ca="1" si="425"/>
        <v>0</v>
      </c>
      <c r="GE128" s="423">
        <f t="shared" ca="1" si="423"/>
        <v>0</v>
      </c>
      <c r="GF128" s="423">
        <f t="shared" ca="1" si="423"/>
        <v>0</v>
      </c>
      <c r="GG128" s="423">
        <f t="shared" ca="1" si="423"/>
        <v>0</v>
      </c>
      <c r="GH128" s="423">
        <f t="shared" ca="1" si="423"/>
        <v>0</v>
      </c>
      <c r="GI128" s="423">
        <f t="shared" ca="1" si="423"/>
        <v>0</v>
      </c>
      <c r="GJ128" s="423">
        <f t="shared" ca="1" si="423"/>
        <v>0</v>
      </c>
      <c r="GK128" s="423">
        <f t="shared" ca="1" si="423"/>
        <v>0</v>
      </c>
      <c r="GL128" s="423">
        <f t="shared" ca="1" si="423"/>
        <v>0</v>
      </c>
      <c r="GM128" s="423">
        <f t="shared" ca="1" si="423"/>
        <v>0</v>
      </c>
      <c r="GN128" s="423">
        <f t="shared" ca="1" si="423"/>
        <v>0</v>
      </c>
      <c r="GO128" s="423">
        <f t="shared" ca="1" si="423"/>
        <v>0</v>
      </c>
      <c r="GP128" s="423">
        <f t="shared" ca="1" si="423"/>
        <v>0</v>
      </c>
      <c r="GQ128" s="423">
        <f t="shared" ca="1" si="423"/>
        <v>0</v>
      </c>
      <c r="GR128" s="423">
        <f t="shared" ca="1" si="423"/>
        <v>0</v>
      </c>
      <c r="GS128" s="423">
        <f t="shared" ca="1" si="419"/>
        <v>0</v>
      </c>
      <c r="GT128" s="423">
        <f t="shared" ca="1" si="419"/>
        <v>0</v>
      </c>
      <c r="GU128" s="423">
        <f t="shared" ca="1" si="419"/>
        <v>0</v>
      </c>
      <c r="GV128" s="423">
        <f t="shared" ca="1" si="419"/>
        <v>0</v>
      </c>
      <c r="GW128" s="423">
        <f t="shared" ca="1" si="419"/>
        <v>0</v>
      </c>
      <c r="GX128" s="423">
        <f t="shared" ca="1" si="419"/>
        <v>0</v>
      </c>
      <c r="GY128" s="423">
        <f t="shared" ca="1" si="419"/>
        <v>0</v>
      </c>
      <c r="GZ128" s="423">
        <f t="shared" ca="1" si="419"/>
        <v>0</v>
      </c>
      <c r="HA128" s="423">
        <f t="shared" ca="1" si="419"/>
        <v>0</v>
      </c>
      <c r="HB128" s="423">
        <f t="shared" ca="1" si="419"/>
        <v>0</v>
      </c>
      <c r="HC128" s="423">
        <f t="shared" ca="1" si="419"/>
        <v>0</v>
      </c>
      <c r="HD128" s="423">
        <f t="shared" ca="1" si="419"/>
        <v>0</v>
      </c>
      <c r="HE128" s="423">
        <f t="shared" ca="1" si="419"/>
        <v>0</v>
      </c>
      <c r="HF128" s="423">
        <f t="shared" ca="1" si="419"/>
        <v>0</v>
      </c>
      <c r="HG128" s="423">
        <f t="shared" ca="1" si="419"/>
        <v>0</v>
      </c>
      <c r="HH128" s="423">
        <f t="shared" ca="1" si="419"/>
        <v>0</v>
      </c>
      <c r="HI128" s="423">
        <f t="shared" ca="1" si="424"/>
        <v>0</v>
      </c>
      <c r="HJ128" s="423">
        <f t="shared" ca="1" si="420"/>
        <v>0</v>
      </c>
      <c r="HK128" s="423">
        <f t="shared" ca="1" si="420"/>
        <v>0</v>
      </c>
      <c r="HL128" s="423">
        <f t="shared" ca="1" si="420"/>
        <v>0</v>
      </c>
      <c r="HM128" s="423">
        <f t="shared" ca="1" si="420"/>
        <v>0</v>
      </c>
      <c r="HN128" s="423">
        <f t="shared" ca="1" si="420"/>
        <v>0</v>
      </c>
      <c r="HO128" s="423">
        <f t="shared" ca="1" si="420"/>
        <v>0</v>
      </c>
      <c r="HP128" s="423">
        <f t="shared" ca="1" si="420"/>
        <v>0</v>
      </c>
      <c r="HQ128" s="423">
        <f t="shared" ca="1" si="420"/>
        <v>0</v>
      </c>
      <c r="HR128" s="423">
        <f t="shared" ca="1" si="420"/>
        <v>0</v>
      </c>
      <c r="HS128" s="423">
        <f t="shared" ca="1" si="420"/>
        <v>0</v>
      </c>
      <c r="HT128" s="423">
        <f t="shared" ca="1" si="420"/>
        <v>0</v>
      </c>
      <c r="HU128" s="423"/>
      <c r="HV128" s="423"/>
    </row>
    <row r="129" spans="1:230" ht="11.25" customHeight="1" x14ac:dyDescent="0.2">
      <c r="A129" s="62">
        <f t="shared" si="322"/>
        <v>118</v>
      </c>
      <c r="B129" s="60">
        <f>Spaces_Sum!C174</f>
        <v>0</v>
      </c>
      <c r="C129" s="62" t="str">
        <f>Spaces_Sum!D174</f>
        <v>0</v>
      </c>
      <c r="D129" s="62" t="e">
        <f ca="1">Spaces_Sum!I174</f>
        <v>#N/A</v>
      </c>
      <c r="F129" s="110" t="e">
        <f ca="1">Spaces_Sum!M174</f>
        <v>#N/A</v>
      </c>
      <c r="G129" s="110" t="e">
        <f ca="1">Spaces_Sum!J174</f>
        <v>#N/A</v>
      </c>
      <c r="H129" s="532"/>
      <c r="I129" s="185"/>
      <c r="J129" s="185"/>
      <c r="K129" s="186"/>
      <c r="L129" s="187"/>
      <c r="M129" s="188"/>
      <c r="N129" s="189"/>
      <c r="O129" s="186"/>
      <c r="P129" s="187"/>
      <c r="Q129" s="188"/>
      <c r="R129" s="189"/>
      <c r="S129" s="186"/>
      <c r="T129" s="187"/>
      <c r="U129" s="188"/>
      <c r="V129" s="189"/>
      <c r="W129" s="186"/>
      <c r="X129" s="187"/>
      <c r="Y129" s="188"/>
      <c r="Z129" s="189"/>
      <c r="AA129" s="186"/>
      <c r="AB129" s="187"/>
      <c r="AC129" s="188"/>
      <c r="AD129" s="189"/>
      <c r="AE129" s="186"/>
      <c r="AF129" s="187"/>
      <c r="AG129" s="188"/>
      <c r="AH129" s="189"/>
      <c r="AI129" s="186"/>
      <c r="AJ129" s="187"/>
      <c r="AK129" s="188"/>
      <c r="AL129" s="189"/>
      <c r="AM129" s="186"/>
      <c r="AN129" s="187"/>
      <c r="AO129" s="188"/>
      <c r="AP129" s="189"/>
      <c r="AQ129" s="186"/>
      <c r="AR129" s="187"/>
      <c r="AS129" s="188"/>
      <c r="AT129" s="189"/>
      <c r="AU129" s="186"/>
      <c r="AV129" s="187"/>
      <c r="AW129" s="188"/>
      <c r="AX129" s="189"/>
      <c r="AY129" s="186"/>
      <c r="AZ129" s="187"/>
      <c r="BA129" s="188"/>
      <c r="BB129" s="189"/>
      <c r="BC129" s="186"/>
      <c r="BD129" s="187"/>
      <c r="BE129" s="188"/>
      <c r="BF129" s="189"/>
      <c r="BG129" s="186"/>
      <c r="BH129" s="187"/>
      <c r="BI129" s="188"/>
      <c r="BJ129" s="189"/>
      <c r="BK129" s="186"/>
      <c r="BL129" s="187"/>
      <c r="BM129" s="188"/>
      <c r="BN129" s="189"/>
      <c r="BO129" s="186"/>
      <c r="BP129" s="187"/>
      <c r="BQ129" s="188"/>
      <c r="BR129" s="189"/>
      <c r="BS129" s="186"/>
      <c r="BT129" s="187"/>
      <c r="BU129" s="188"/>
      <c r="BV129" s="189"/>
      <c r="BW129" s="186"/>
      <c r="BX129" s="187"/>
      <c r="BY129" s="188"/>
      <c r="BZ129" s="189"/>
      <c r="CA129" s="186"/>
      <c r="CB129" s="190"/>
      <c r="CC129" s="190"/>
      <c r="CD129" s="82">
        <f t="shared" si="332"/>
        <v>0</v>
      </c>
      <c r="CE129" s="82">
        <f t="shared" si="333"/>
        <v>0</v>
      </c>
      <c r="CF129" s="82">
        <f t="shared" si="334"/>
        <v>0</v>
      </c>
      <c r="CG129" s="82">
        <f t="shared" si="335"/>
        <v>0</v>
      </c>
      <c r="CH129" s="82">
        <f t="shared" si="336"/>
        <v>0</v>
      </c>
      <c r="CI129" s="82">
        <f t="shared" si="337"/>
        <v>0</v>
      </c>
      <c r="CJ129" s="82">
        <f t="shared" si="338"/>
        <v>0</v>
      </c>
      <c r="CK129" s="82">
        <f t="shared" si="339"/>
        <v>0</v>
      </c>
      <c r="CL129" s="82">
        <f t="shared" si="340"/>
        <v>0</v>
      </c>
      <c r="CM129" s="82">
        <f t="shared" si="341"/>
        <v>0</v>
      </c>
      <c r="CN129" s="82">
        <f t="shared" si="342"/>
        <v>0</v>
      </c>
      <c r="CO129" s="82">
        <f t="shared" si="343"/>
        <v>0</v>
      </c>
      <c r="CP129" s="82">
        <f t="shared" si="344"/>
        <v>0</v>
      </c>
      <c r="CQ129" s="82">
        <f t="shared" si="345"/>
        <v>0</v>
      </c>
      <c r="CR129" s="82">
        <f t="shared" si="346"/>
        <v>0</v>
      </c>
      <c r="CS129" s="82">
        <f t="shared" si="347"/>
        <v>0</v>
      </c>
      <c r="CT129" s="82">
        <f t="shared" si="348"/>
        <v>0</v>
      </c>
      <c r="CU129" s="82">
        <f t="shared" si="349"/>
        <v>0</v>
      </c>
      <c r="CV129" s="82">
        <f t="shared" si="350"/>
        <v>0</v>
      </c>
      <c r="CW129" s="82">
        <f t="shared" si="351"/>
        <v>0</v>
      </c>
      <c r="CX129" s="82">
        <f t="shared" si="352"/>
        <v>0</v>
      </c>
      <c r="CY129" s="82">
        <f t="shared" si="353"/>
        <v>0</v>
      </c>
      <c r="CZ129" s="82">
        <f t="shared" si="354"/>
        <v>0</v>
      </c>
      <c r="DA129" s="82">
        <f t="shared" si="355"/>
        <v>0</v>
      </c>
      <c r="DB129" s="82">
        <f t="shared" si="356"/>
        <v>0</v>
      </c>
      <c r="DC129" s="82">
        <f t="shared" si="357"/>
        <v>0</v>
      </c>
      <c r="DD129" s="82">
        <f t="shared" si="358"/>
        <v>0</v>
      </c>
      <c r="DE129" s="82">
        <f t="shared" si="359"/>
        <v>0</v>
      </c>
      <c r="DF129" s="82">
        <f t="shared" si="360"/>
        <v>0</v>
      </c>
      <c r="DG129" s="82">
        <f t="shared" si="361"/>
        <v>0</v>
      </c>
      <c r="DH129" s="82">
        <f t="shared" si="362"/>
        <v>0</v>
      </c>
      <c r="DI129" s="82">
        <f t="shared" si="363"/>
        <v>0</v>
      </c>
      <c r="DJ129" s="82">
        <f t="shared" si="364"/>
        <v>0</v>
      </c>
      <c r="DK129" s="82">
        <f t="shared" si="365"/>
        <v>0</v>
      </c>
      <c r="DL129" s="82">
        <f t="shared" si="366"/>
        <v>0</v>
      </c>
      <c r="DM129" s="82">
        <f t="shared" si="367"/>
        <v>0</v>
      </c>
      <c r="DN129" s="82">
        <f t="shared" si="368"/>
        <v>0</v>
      </c>
      <c r="DO129" s="82">
        <f t="shared" si="369"/>
        <v>0</v>
      </c>
      <c r="DP129" s="82">
        <f t="shared" si="370"/>
        <v>0</v>
      </c>
      <c r="DQ129" s="82">
        <f t="shared" si="371"/>
        <v>0</v>
      </c>
      <c r="DR129" s="82">
        <f t="shared" si="372"/>
        <v>0</v>
      </c>
      <c r="DS129" s="82">
        <f t="shared" si="373"/>
        <v>0</v>
      </c>
      <c r="DT129" s="82">
        <f t="shared" si="374"/>
        <v>0</v>
      </c>
      <c r="DU129" s="82">
        <f t="shared" si="375"/>
        <v>0</v>
      </c>
      <c r="DV129" s="82">
        <f t="shared" si="376"/>
        <v>0</v>
      </c>
      <c r="DW129" s="82">
        <f t="shared" si="377"/>
        <v>0</v>
      </c>
      <c r="DX129" s="82">
        <f t="shared" si="378"/>
        <v>0</v>
      </c>
      <c r="DY129" s="82">
        <f t="shared" si="379"/>
        <v>0</v>
      </c>
      <c r="DZ129" s="82">
        <f t="shared" si="380"/>
        <v>0</v>
      </c>
      <c r="EA129" s="82">
        <f t="shared" si="381"/>
        <v>0</v>
      </c>
      <c r="EB129" s="82">
        <f t="shared" si="382"/>
        <v>0</v>
      </c>
      <c r="EC129" s="82">
        <f t="shared" si="383"/>
        <v>0</v>
      </c>
      <c r="ED129" s="82">
        <f t="shared" si="384"/>
        <v>0</v>
      </c>
      <c r="EE129" s="82">
        <f t="shared" si="385"/>
        <v>0</v>
      </c>
      <c r="EF129" s="82">
        <f t="shared" si="386"/>
        <v>0</v>
      </c>
      <c r="EG129" s="82">
        <f t="shared" si="387"/>
        <v>0</v>
      </c>
      <c r="EH129" s="82">
        <f t="shared" si="388"/>
        <v>0</v>
      </c>
      <c r="EI129" s="82">
        <f t="shared" si="389"/>
        <v>0</v>
      </c>
      <c r="EJ129" s="82">
        <f t="shared" si="390"/>
        <v>0</v>
      </c>
      <c r="EK129" s="82">
        <f t="shared" si="391"/>
        <v>0</v>
      </c>
      <c r="EL129" s="82">
        <f t="shared" si="392"/>
        <v>0</v>
      </c>
      <c r="EM129" s="82">
        <f t="shared" si="393"/>
        <v>0</v>
      </c>
      <c r="EN129" s="82">
        <f t="shared" si="394"/>
        <v>0</v>
      </c>
      <c r="EO129" s="82">
        <f t="shared" si="395"/>
        <v>0</v>
      </c>
      <c r="EP129" s="82">
        <f t="shared" si="396"/>
        <v>0</v>
      </c>
      <c r="EQ129" s="82">
        <f t="shared" si="397"/>
        <v>0</v>
      </c>
      <c r="ER129" s="82">
        <f t="shared" si="398"/>
        <v>0</v>
      </c>
      <c r="ES129" s="82">
        <f t="shared" si="399"/>
        <v>0</v>
      </c>
      <c r="ET129" s="82">
        <f t="shared" si="400"/>
        <v>0</v>
      </c>
      <c r="EU129" s="82">
        <f t="shared" si="401"/>
        <v>0</v>
      </c>
      <c r="EV129" s="82">
        <f t="shared" si="402"/>
        <v>0</v>
      </c>
      <c r="EW129" s="82">
        <f t="shared" si="403"/>
        <v>0</v>
      </c>
      <c r="EX129" s="82">
        <f t="shared" si="404"/>
        <v>0</v>
      </c>
      <c r="EY129" s="111">
        <f t="shared" si="405"/>
        <v>0</v>
      </c>
      <c r="EZ129" s="143" t="e">
        <f t="shared" ca="1" si="406"/>
        <v>#N/A</v>
      </c>
      <c r="FA129" s="112" t="e">
        <f t="shared" ca="1" si="407"/>
        <v>#N/A</v>
      </c>
      <c r="FB129" s="113" t="e">
        <f t="shared" ca="1" si="408"/>
        <v>#N/A</v>
      </c>
      <c r="FC129" s="114" t="e">
        <f t="shared" ca="1" si="409"/>
        <v>#N/A</v>
      </c>
      <c r="FD129" s="115">
        <f t="shared" ca="1" si="410"/>
        <v>0</v>
      </c>
      <c r="FE129" s="116" t="e">
        <f t="shared" ca="1" si="411"/>
        <v>#N/A</v>
      </c>
      <c r="FF129" s="117" t="e">
        <f t="shared" ca="1" si="412"/>
        <v>#N/A</v>
      </c>
      <c r="FG129" s="71">
        <f t="shared" si="413"/>
        <v>0</v>
      </c>
      <c r="FH129" s="530" t="e">
        <f t="shared" ca="1" si="414"/>
        <v>#N/A</v>
      </c>
      <c r="FI129" s="72" t="e">
        <f t="shared" ref="FI129" ca="1" si="426">0.65*FB129</f>
        <v>#N/A</v>
      </c>
      <c r="FJ129" s="72" t="e">
        <f t="shared" ca="1" si="421"/>
        <v>#N/A</v>
      </c>
      <c r="FK129" s="72" t="e">
        <f t="shared" ca="1" si="422"/>
        <v>#N/A</v>
      </c>
      <c r="FM129" s="421">
        <f t="shared" si="318"/>
        <v>0</v>
      </c>
      <c r="FN129" s="422" t="e">
        <f t="shared" ca="1" si="319"/>
        <v>#N/A</v>
      </c>
      <c r="FO129" s="423">
        <f t="shared" ca="1" si="425"/>
        <v>0</v>
      </c>
      <c r="FP129" s="423">
        <f t="shared" ca="1" si="425"/>
        <v>0</v>
      </c>
      <c r="FQ129" s="423">
        <f t="shared" ca="1" si="425"/>
        <v>0</v>
      </c>
      <c r="FR129" s="423">
        <f t="shared" ca="1" si="425"/>
        <v>0</v>
      </c>
      <c r="FS129" s="423">
        <f t="shared" ca="1" si="425"/>
        <v>0</v>
      </c>
      <c r="FT129" s="423">
        <f t="shared" ca="1" si="425"/>
        <v>0</v>
      </c>
      <c r="FU129" s="423">
        <f t="shared" ca="1" si="425"/>
        <v>0</v>
      </c>
      <c r="FV129" s="423">
        <f t="shared" ca="1" si="425"/>
        <v>0</v>
      </c>
      <c r="FW129" s="423">
        <f t="shared" ca="1" si="425"/>
        <v>0</v>
      </c>
      <c r="FX129" s="423">
        <f t="shared" ca="1" si="425"/>
        <v>0</v>
      </c>
      <c r="FY129" s="423">
        <f t="shared" ca="1" si="425"/>
        <v>0</v>
      </c>
      <c r="FZ129" s="423">
        <f t="shared" ca="1" si="425"/>
        <v>0</v>
      </c>
      <c r="GA129" s="423">
        <f t="shared" ca="1" si="425"/>
        <v>0</v>
      </c>
      <c r="GB129" s="423">
        <f t="shared" ca="1" si="425"/>
        <v>0</v>
      </c>
      <c r="GC129" s="423">
        <f t="shared" ca="1" si="425"/>
        <v>0</v>
      </c>
      <c r="GD129" s="423">
        <f t="shared" ca="1" si="425"/>
        <v>0</v>
      </c>
      <c r="GE129" s="423">
        <f t="shared" ca="1" si="423"/>
        <v>0</v>
      </c>
      <c r="GF129" s="423">
        <f t="shared" ca="1" si="423"/>
        <v>0</v>
      </c>
      <c r="GG129" s="423">
        <f t="shared" ca="1" si="423"/>
        <v>0</v>
      </c>
      <c r="GH129" s="423">
        <f t="shared" ca="1" si="423"/>
        <v>0</v>
      </c>
      <c r="GI129" s="423">
        <f t="shared" ca="1" si="423"/>
        <v>0</v>
      </c>
      <c r="GJ129" s="423">
        <f t="shared" ca="1" si="423"/>
        <v>0</v>
      </c>
      <c r="GK129" s="423">
        <f t="shared" ca="1" si="423"/>
        <v>0</v>
      </c>
      <c r="GL129" s="423">
        <f t="shared" ca="1" si="423"/>
        <v>0</v>
      </c>
      <c r="GM129" s="423">
        <f t="shared" ca="1" si="423"/>
        <v>0</v>
      </c>
      <c r="GN129" s="423">
        <f t="shared" ca="1" si="423"/>
        <v>0</v>
      </c>
      <c r="GO129" s="423">
        <f t="shared" ca="1" si="423"/>
        <v>0</v>
      </c>
      <c r="GP129" s="423">
        <f t="shared" ca="1" si="423"/>
        <v>0</v>
      </c>
      <c r="GQ129" s="423">
        <f t="shared" ca="1" si="423"/>
        <v>0</v>
      </c>
      <c r="GR129" s="423">
        <f t="shared" ca="1" si="423"/>
        <v>0</v>
      </c>
      <c r="GS129" s="423">
        <f t="shared" ca="1" si="419"/>
        <v>0</v>
      </c>
      <c r="GT129" s="423">
        <f t="shared" ca="1" si="419"/>
        <v>0</v>
      </c>
      <c r="GU129" s="423">
        <f t="shared" ca="1" si="419"/>
        <v>0</v>
      </c>
      <c r="GV129" s="423">
        <f t="shared" ca="1" si="419"/>
        <v>0</v>
      </c>
      <c r="GW129" s="423">
        <f t="shared" ca="1" si="419"/>
        <v>0</v>
      </c>
      <c r="GX129" s="423">
        <f t="shared" ca="1" si="419"/>
        <v>0</v>
      </c>
      <c r="GY129" s="423">
        <f t="shared" ca="1" si="419"/>
        <v>0</v>
      </c>
      <c r="GZ129" s="423">
        <f t="shared" ca="1" si="419"/>
        <v>0</v>
      </c>
      <c r="HA129" s="423">
        <f t="shared" ca="1" si="419"/>
        <v>0</v>
      </c>
      <c r="HB129" s="423">
        <f t="shared" ca="1" si="419"/>
        <v>0</v>
      </c>
      <c r="HC129" s="423">
        <f t="shared" ca="1" si="419"/>
        <v>0</v>
      </c>
      <c r="HD129" s="423">
        <f t="shared" ca="1" si="419"/>
        <v>0</v>
      </c>
      <c r="HE129" s="423">
        <f t="shared" ca="1" si="419"/>
        <v>0</v>
      </c>
      <c r="HF129" s="423">
        <f t="shared" ca="1" si="419"/>
        <v>0</v>
      </c>
      <c r="HG129" s="423">
        <f t="shared" ca="1" si="419"/>
        <v>0</v>
      </c>
      <c r="HH129" s="423">
        <f t="shared" ca="1" si="419"/>
        <v>0</v>
      </c>
      <c r="HI129" s="423">
        <f t="shared" ca="1" si="424"/>
        <v>0</v>
      </c>
      <c r="HJ129" s="423">
        <f t="shared" ca="1" si="420"/>
        <v>0</v>
      </c>
      <c r="HK129" s="423">
        <f t="shared" ca="1" si="420"/>
        <v>0</v>
      </c>
      <c r="HL129" s="423">
        <f t="shared" ca="1" si="420"/>
        <v>0</v>
      </c>
      <c r="HM129" s="423">
        <f t="shared" ca="1" si="420"/>
        <v>0</v>
      </c>
      <c r="HN129" s="423">
        <f t="shared" ca="1" si="420"/>
        <v>0</v>
      </c>
      <c r="HO129" s="423">
        <f t="shared" ca="1" si="420"/>
        <v>0</v>
      </c>
      <c r="HP129" s="423">
        <f t="shared" ca="1" si="420"/>
        <v>0</v>
      </c>
      <c r="HQ129" s="423">
        <f t="shared" ca="1" si="420"/>
        <v>0</v>
      </c>
      <c r="HR129" s="423">
        <f t="shared" ca="1" si="420"/>
        <v>0</v>
      </c>
      <c r="HS129" s="423">
        <f t="shared" ca="1" si="420"/>
        <v>0</v>
      </c>
      <c r="HT129" s="423">
        <f t="shared" ca="1" si="420"/>
        <v>0</v>
      </c>
      <c r="HU129" s="423"/>
      <c r="HV129" s="423"/>
    </row>
    <row r="130" spans="1:230" ht="11.25" customHeight="1" x14ac:dyDescent="0.2">
      <c r="A130" s="62">
        <f t="shared" si="322"/>
        <v>119</v>
      </c>
      <c r="B130" s="60">
        <f>Spaces_Sum!C175</f>
        <v>0</v>
      </c>
      <c r="C130" s="62" t="str">
        <f>Spaces_Sum!D175</f>
        <v>0</v>
      </c>
      <c r="D130" s="62" t="e">
        <f ca="1">Spaces_Sum!I175</f>
        <v>#N/A</v>
      </c>
      <c r="F130" s="110" t="e">
        <f ca="1">Spaces_Sum!M175</f>
        <v>#N/A</v>
      </c>
      <c r="G130" s="110" t="e">
        <f ca="1">Spaces_Sum!J175</f>
        <v>#N/A</v>
      </c>
      <c r="H130" s="532"/>
      <c r="I130" s="185"/>
      <c r="J130" s="185"/>
      <c r="K130" s="186"/>
      <c r="L130" s="187"/>
      <c r="M130" s="188"/>
      <c r="N130" s="189"/>
      <c r="O130" s="186"/>
      <c r="P130" s="187"/>
      <c r="Q130" s="188"/>
      <c r="R130" s="189"/>
      <c r="S130" s="186"/>
      <c r="T130" s="187"/>
      <c r="U130" s="188"/>
      <c r="V130" s="189"/>
      <c r="W130" s="186"/>
      <c r="X130" s="187"/>
      <c r="Y130" s="188"/>
      <c r="Z130" s="189"/>
      <c r="AA130" s="186"/>
      <c r="AB130" s="187"/>
      <c r="AC130" s="188"/>
      <c r="AD130" s="189"/>
      <c r="AE130" s="186"/>
      <c r="AF130" s="187"/>
      <c r="AG130" s="188"/>
      <c r="AH130" s="189"/>
      <c r="AI130" s="186"/>
      <c r="AJ130" s="187"/>
      <c r="AK130" s="188"/>
      <c r="AL130" s="189"/>
      <c r="AM130" s="186"/>
      <c r="AN130" s="187"/>
      <c r="AO130" s="188"/>
      <c r="AP130" s="189"/>
      <c r="AQ130" s="186"/>
      <c r="AR130" s="187"/>
      <c r="AS130" s="188"/>
      <c r="AT130" s="189"/>
      <c r="AU130" s="186"/>
      <c r="AV130" s="187"/>
      <c r="AW130" s="188"/>
      <c r="AX130" s="189"/>
      <c r="AY130" s="186"/>
      <c r="AZ130" s="187"/>
      <c r="BA130" s="188"/>
      <c r="BB130" s="189"/>
      <c r="BC130" s="186"/>
      <c r="BD130" s="187"/>
      <c r="BE130" s="188"/>
      <c r="BF130" s="189"/>
      <c r="BG130" s="186"/>
      <c r="BH130" s="187"/>
      <c r="BI130" s="188"/>
      <c r="BJ130" s="189"/>
      <c r="BK130" s="186"/>
      <c r="BL130" s="187"/>
      <c r="BM130" s="188"/>
      <c r="BN130" s="189"/>
      <c r="BO130" s="186"/>
      <c r="BP130" s="187"/>
      <c r="BQ130" s="188"/>
      <c r="BR130" s="189"/>
      <c r="BS130" s="186"/>
      <c r="BT130" s="187"/>
      <c r="BU130" s="188"/>
      <c r="BV130" s="189"/>
      <c r="BW130" s="186"/>
      <c r="BX130" s="187"/>
      <c r="BY130" s="188"/>
      <c r="BZ130" s="189"/>
      <c r="CA130" s="186"/>
      <c r="CB130" s="190"/>
      <c r="CC130" s="190"/>
      <c r="CD130" s="82">
        <f t="shared" si="332"/>
        <v>0</v>
      </c>
      <c r="CE130" s="82">
        <f t="shared" si="333"/>
        <v>0</v>
      </c>
      <c r="CF130" s="82">
        <f t="shared" si="334"/>
        <v>0</v>
      </c>
      <c r="CG130" s="82">
        <f t="shared" si="335"/>
        <v>0</v>
      </c>
      <c r="CH130" s="82">
        <f t="shared" si="336"/>
        <v>0</v>
      </c>
      <c r="CI130" s="82">
        <f t="shared" si="337"/>
        <v>0</v>
      </c>
      <c r="CJ130" s="82">
        <f t="shared" si="338"/>
        <v>0</v>
      </c>
      <c r="CK130" s="82">
        <f t="shared" si="339"/>
        <v>0</v>
      </c>
      <c r="CL130" s="82">
        <f t="shared" si="340"/>
        <v>0</v>
      </c>
      <c r="CM130" s="82">
        <f t="shared" si="341"/>
        <v>0</v>
      </c>
      <c r="CN130" s="82">
        <f t="shared" si="342"/>
        <v>0</v>
      </c>
      <c r="CO130" s="82">
        <f t="shared" si="343"/>
        <v>0</v>
      </c>
      <c r="CP130" s="82">
        <f t="shared" si="344"/>
        <v>0</v>
      </c>
      <c r="CQ130" s="82">
        <f t="shared" si="345"/>
        <v>0</v>
      </c>
      <c r="CR130" s="82">
        <f t="shared" si="346"/>
        <v>0</v>
      </c>
      <c r="CS130" s="82">
        <f t="shared" si="347"/>
        <v>0</v>
      </c>
      <c r="CT130" s="82">
        <f t="shared" si="348"/>
        <v>0</v>
      </c>
      <c r="CU130" s="82">
        <f t="shared" si="349"/>
        <v>0</v>
      </c>
      <c r="CV130" s="82">
        <f t="shared" si="350"/>
        <v>0</v>
      </c>
      <c r="CW130" s="82">
        <f t="shared" si="351"/>
        <v>0</v>
      </c>
      <c r="CX130" s="82">
        <f t="shared" si="352"/>
        <v>0</v>
      </c>
      <c r="CY130" s="82">
        <f t="shared" si="353"/>
        <v>0</v>
      </c>
      <c r="CZ130" s="82">
        <f t="shared" si="354"/>
        <v>0</v>
      </c>
      <c r="DA130" s="82">
        <f t="shared" si="355"/>
        <v>0</v>
      </c>
      <c r="DB130" s="82">
        <f t="shared" si="356"/>
        <v>0</v>
      </c>
      <c r="DC130" s="82">
        <f t="shared" si="357"/>
        <v>0</v>
      </c>
      <c r="DD130" s="82">
        <f t="shared" si="358"/>
        <v>0</v>
      </c>
      <c r="DE130" s="82">
        <f t="shared" si="359"/>
        <v>0</v>
      </c>
      <c r="DF130" s="82">
        <f t="shared" si="360"/>
        <v>0</v>
      </c>
      <c r="DG130" s="82">
        <f t="shared" si="361"/>
        <v>0</v>
      </c>
      <c r="DH130" s="82">
        <f t="shared" si="362"/>
        <v>0</v>
      </c>
      <c r="DI130" s="82">
        <f t="shared" si="363"/>
        <v>0</v>
      </c>
      <c r="DJ130" s="82">
        <f t="shared" si="364"/>
        <v>0</v>
      </c>
      <c r="DK130" s="82">
        <f t="shared" si="365"/>
        <v>0</v>
      </c>
      <c r="DL130" s="82">
        <f t="shared" si="366"/>
        <v>0</v>
      </c>
      <c r="DM130" s="82">
        <f t="shared" si="367"/>
        <v>0</v>
      </c>
      <c r="DN130" s="82">
        <f t="shared" si="368"/>
        <v>0</v>
      </c>
      <c r="DO130" s="82">
        <f t="shared" si="369"/>
        <v>0</v>
      </c>
      <c r="DP130" s="82">
        <f t="shared" si="370"/>
        <v>0</v>
      </c>
      <c r="DQ130" s="82">
        <f t="shared" si="371"/>
        <v>0</v>
      </c>
      <c r="DR130" s="82">
        <f t="shared" si="372"/>
        <v>0</v>
      </c>
      <c r="DS130" s="82">
        <f t="shared" si="373"/>
        <v>0</v>
      </c>
      <c r="DT130" s="82">
        <f t="shared" si="374"/>
        <v>0</v>
      </c>
      <c r="DU130" s="82">
        <f t="shared" si="375"/>
        <v>0</v>
      </c>
      <c r="DV130" s="82">
        <f t="shared" si="376"/>
        <v>0</v>
      </c>
      <c r="DW130" s="82">
        <f t="shared" si="377"/>
        <v>0</v>
      </c>
      <c r="DX130" s="82">
        <f t="shared" si="378"/>
        <v>0</v>
      </c>
      <c r="DY130" s="82">
        <f t="shared" si="379"/>
        <v>0</v>
      </c>
      <c r="DZ130" s="82">
        <f t="shared" si="380"/>
        <v>0</v>
      </c>
      <c r="EA130" s="82">
        <f t="shared" si="381"/>
        <v>0</v>
      </c>
      <c r="EB130" s="82">
        <f t="shared" si="382"/>
        <v>0</v>
      </c>
      <c r="EC130" s="82">
        <f t="shared" si="383"/>
        <v>0</v>
      </c>
      <c r="ED130" s="82">
        <f t="shared" si="384"/>
        <v>0</v>
      </c>
      <c r="EE130" s="82">
        <f t="shared" si="385"/>
        <v>0</v>
      </c>
      <c r="EF130" s="82">
        <f t="shared" si="386"/>
        <v>0</v>
      </c>
      <c r="EG130" s="82">
        <f t="shared" si="387"/>
        <v>0</v>
      </c>
      <c r="EH130" s="82">
        <f t="shared" si="388"/>
        <v>0</v>
      </c>
      <c r="EI130" s="82">
        <f t="shared" si="389"/>
        <v>0</v>
      </c>
      <c r="EJ130" s="82">
        <f t="shared" si="390"/>
        <v>0</v>
      </c>
      <c r="EK130" s="82">
        <f t="shared" si="391"/>
        <v>0</v>
      </c>
      <c r="EL130" s="82">
        <f t="shared" si="392"/>
        <v>0</v>
      </c>
      <c r="EM130" s="82">
        <f t="shared" si="393"/>
        <v>0</v>
      </c>
      <c r="EN130" s="82">
        <f t="shared" si="394"/>
        <v>0</v>
      </c>
      <c r="EO130" s="82">
        <f t="shared" si="395"/>
        <v>0</v>
      </c>
      <c r="EP130" s="82">
        <f t="shared" si="396"/>
        <v>0</v>
      </c>
      <c r="EQ130" s="82">
        <f t="shared" si="397"/>
        <v>0</v>
      </c>
      <c r="ER130" s="82">
        <f t="shared" si="398"/>
        <v>0</v>
      </c>
      <c r="ES130" s="82">
        <f t="shared" si="399"/>
        <v>0</v>
      </c>
      <c r="ET130" s="82">
        <f t="shared" si="400"/>
        <v>0</v>
      </c>
      <c r="EU130" s="82">
        <f t="shared" si="401"/>
        <v>0</v>
      </c>
      <c r="EV130" s="82">
        <f t="shared" si="402"/>
        <v>0</v>
      </c>
      <c r="EW130" s="82">
        <f t="shared" si="403"/>
        <v>0</v>
      </c>
      <c r="EX130" s="82">
        <f t="shared" si="404"/>
        <v>0</v>
      </c>
      <c r="EY130" s="111">
        <f t="shared" si="405"/>
        <v>0</v>
      </c>
      <c r="EZ130" s="143" t="e">
        <f t="shared" ca="1" si="406"/>
        <v>#N/A</v>
      </c>
      <c r="FA130" s="112" t="e">
        <f t="shared" ca="1" si="407"/>
        <v>#N/A</v>
      </c>
      <c r="FB130" s="113" t="e">
        <f t="shared" ca="1" si="408"/>
        <v>#N/A</v>
      </c>
      <c r="FC130" s="114" t="e">
        <f t="shared" ca="1" si="409"/>
        <v>#N/A</v>
      </c>
      <c r="FD130" s="115">
        <f t="shared" ca="1" si="410"/>
        <v>0</v>
      </c>
      <c r="FE130" s="116" t="e">
        <f t="shared" ca="1" si="411"/>
        <v>#N/A</v>
      </c>
      <c r="FF130" s="117" t="e">
        <f t="shared" ca="1" si="412"/>
        <v>#N/A</v>
      </c>
      <c r="FG130" s="71">
        <f t="shared" si="413"/>
        <v>0</v>
      </c>
      <c r="FH130" s="530" t="e">
        <f t="shared" ca="1" si="414"/>
        <v>#N/A</v>
      </c>
      <c r="FI130" s="72"/>
      <c r="FJ130" s="72"/>
      <c r="FK130" s="72"/>
      <c r="FM130" s="421">
        <f t="shared" si="318"/>
        <v>0</v>
      </c>
      <c r="FN130" s="422" t="e">
        <f t="shared" ca="1" si="319"/>
        <v>#N/A</v>
      </c>
      <c r="FO130" s="423">
        <f t="shared" ca="1" si="425"/>
        <v>0</v>
      </c>
      <c r="FP130" s="423">
        <f t="shared" ca="1" si="425"/>
        <v>0</v>
      </c>
      <c r="FQ130" s="423">
        <f t="shared" ca="1" si="425"/>
        <v>0</v>
      </c>
      <c r="FR130" s="423">
        <f t="shared" ca="1" si="425"/>
        <v>0</v>
      </c>
      <c r="FS130" s="423">
        <f t="shared" ca="1" si="425"/>
        <v>0</v>
      </c>
      <c r="FT130" s="423">
        <f t="shared" ca="1" si="425"/>
        <v>0</v>
      </c>
      <c r="FU130" s="423">
        <f t="shared" ca="1" si="425"/>
        <v>0</v>
      </c>
      <c r="FV130" s="423">
        <f t="shared" ca="1" si="425"/>
        <v>0</v>
      </c>
      <c r="FW130" s="423">
        <f t="shared" ca="1" si="425"/>
        <v>0</v>
      </c>
      <c r="FX130" s="423">
        <f t="shared" ca="1" si="425"/>
        <v>0</v>
      </c>
      <c r="FY130" s="423">
        <f t="shared" ca="1" si="425"/>
        <v>0</v>
      </c>
      <c r="FZ130" s="423">
        <f t="shared" ca="1" si="425"/>
        <v>0</v>
      </c>
      <c r="GA130" s="423">
        <f t="shared" ca="1" si="425"/>
        <v>0</v>
      </c>
      <c r="GB130" s="423">
        <f t="shared" ca="1" si="425"/>
        <v>0</v>
      </c>
      <c r="GC130" s="423">
        <f t="shared" ca="1" si="425"/>
        <v>0</v>
      </c>
      <c r="GD130" s="423">
        <f t="shared" ca="1" si="425"/>
        <v>0</v>
      </c>
      <c r="GE130" s="423">
        <f t="shared" ca="1" si="423"/>
        <v>0</v>
      </c>
      <c r="GF130" s="423">
        <f t="shared" ca="1" si="423"/>
        <v>0</v>
      </c>
      <c r="GG130" s="423">
        <f t="shared" ca="1" si="423"/>
        <v>0</v>
      </c>
      <c r="GH130" s="423">
        <f t="shared" ca="1" si="423"/>
        <v>0</v>
      </c>
      <c r="GI130" s="423">
        <f t="shared" ca="1" si="423"/>
        <v>0</v>
      </c>
      <c r="GJ130" s="423">
        <f t="shared" ca="1" si="423"/>
        <v>0</v>
      </c>
      <c r="GK130" s="423">
        <f t="shared" ca="1" si="423"/>
        <v>0</v>
      </c>
      <c r="GL130" s="423">
        <f t="shared" ca="1" si="423"/>
        <v>0</v>
      </c>
      <c r="GM130" s="423">
        <f t="shared" ca="1" si="423"/>
        <v>0</v>
      </c>
      <c r="GN130" s="423">
        <f t="shared" ca="1" si="423"/>
        <v>0</v>
      </c>
      <c r="GO130" s="423">
        <f t="shared" ca="1" si="423"/>
        <v>0</v>
      </c>
      <c r="GP130" s="423">
        <f t="shared" ca="1" si="423"/>
        <v>0</v>
      </c>
      <c r="GQ130" s="423">
        <f t="shared" ca="1" si="423"/>
        <v>0</v>
      </c>
      <c r="GR130" s="423">
        <f t="shared" ca="1" si="423"/>
        <v>0</v>
      </c>
      <c r="GS130" s="423">
        <f t="shared" ca="1" si="419"/>
        <v>0</v>
      </c>
      <c r="GT130" s="423">
        <f t="shared" ca="1" si="419"/>
        <v>0</v>
      </c>
      <c r="GU130" s="423">
        <f t="shared" ca="1" si="419"/>
        <v>0</v>
      </c>
      <c r="GV130" s="423">
        <f t="shared" ca="1" si="419"/>
        <v>0</v>
      </c>
      <c r="GW130" s="423">
        <f t="shared" ca="1" si="419"/>
        <v>0</v>
      </c>
      <c r="GX130" s="423">
        <f t="shared" ca="1" si="419"/>
        <v>0</v>
      </c>
      <c r="GY130" s="423">
        <f t="shared" ca="1" si="419"/>
        <v>0</v>
      </c>
      <c r="GZ130" s="423">
        <f t="shared" ca="1" si="419"/>
        <v>0</v>
      </c>
      <c r="HA130" s="423">
        <f t="shared" ca="1" si="419"/>
        <v>0</v>
      </c>
      <c r="HB130" s="423">
        <f t="shared" ca="1" si="419"/>
        <v>0</v>
      </c>
      <c r="HC130" s="423">
        <f t="shared" ca="1" si="419"/>
        <v>0</v>
      </c>
      <c r="HD130" s="423">
        <f t="shared" ca="1" si="419"/>
        <v>0</v>
      </c>
      <c r="HE130" s="423">
        <f t="shared" ca="1" si="419"/>
        <v>0</v>
      </c>
      <c r="HF130" s="423">
        <f t="shared" ca="1" si="419"/>
        <v>0</v>
      </c>
      <c r="HG130" s="423">
        <f t="shared" ca="1" si="419"/>
        <v>0</v>
      </c>
      <c r="HH130" s="423">
        <f t="shared" ca="1" si="419"/>
        <v>0</v>
      </c>
      <c r="HI130" s="423">
        <f t="shared" ca="1" si="424"/>
        <v>0</v>
      </c>
      <c r="HJ130" s="423">
        <f t="shared" ca="1" si="420"/>
        <v>0</v>
      </c>
      <c r="HK130" s="423">
        <f t="shared" ca="1" si="420"/>
        <v>0</v>
      </c>
      <c r="HL130" s="423">
        <f t="shared" ca="1" si="420"/>
        <v>0</v>
      </c>
      <c r="HM130" s="423">
        <f t="shared" ca="1" si="420"/>
        <v>0</v>
      </c>
      <c r="HN130" s="423">
        <f t="shared" ca="1" si="420"/>
        <v>0</v>
      </c>
      <c r="HO130" s="423">
        <f t="shared" ca="1" si="420"/>
        <v>0</v>
      </c>
      <c r="HP130" s="423">
        <f t="shared" ca="1" si="420"/>
        <v>0</v>
      </c>
      <c r="HQ130" s="423">
        <f t="shared" ca="1" si="420"/>
        <v>0</v>
      </c>
      <c r="HR130" s="423">
        <f t="shared" ca="1" si="420"/>
        <v>0</v>
      </c>
      <c r="HS130" s="423">
        <f t="shared" ca="1" si="420"/>
        <v>0</v>
      </c>
      <c r="HT130" s="423">
        <f t="shared" ca="1" si="420"/>
        <v>0</v>
      </c>
      <c r="HU130" s="423"/>
      <c r="HV130" s="423"/>
    </row>
    <row r="131" spans="1:230" ht="11.25" customHeight="1" x14ac:dyDescent="0.2">
      <c r="A131" s="62">
        <f t="shared" si="322"/>
        <v>120</v>
      </c>
      <c r="B131" s="60">
        <f>Spaces_Sum!C176</f>
        <v>0</v>
      </c>
      <c r="C131" s="62" t="str">
        <f>Spaces_Sum!D176</f>
        <v>0</v>
      </c>
      <c r="D131" s="62" t="e">
        <f ca="1">Spaces_Sum!I176</f>
        <v>#N/A</v>
      </c>
      <c r="F131" s="110" t="e">
        <f ca="1">Spaces_Sum!M176</f>
        <v>#N/A</v>
      </c>
      <c r="G131" s="110" t="e">
        <f ca="1">Spaces_Sum!J176</f>
        <v>#N/A</v>
      </c>
      <c r="H131" s="532"/>
      <c r="I131" s="185"/>
      <c r="J131" s="185"/>
      <c r="K131" s="186"/>
      <c r="L131" s="187"/>
      <c r="M131" s="188"/>
      <c r="N131" s="189"/>
      <c r="O131" s="186"/>
      <c r="P131" s="187"/>
      <c r="Q131" s="188"/>
      <c r="R131" s="189"/>
      <c r="S131" s="186"/>
      <c r="T131" s="187"/>
      <c r="U131" s="188"/>
      <c r="V131" s="189"/>
      <c r="W131" s="186"/>
      <c r="X131" s="187"/>
      <c r="Y131" s="188"/>
      <c r="Z131" s="189"/>
      <c r="AA131" s="186"/>
      <c r="AB131" s="187"/>
      <c r="AC131" s="188"/>
      <c r="AD131" s="189"/>
      <c r="AE131" s="186"/>
      <c r="AF131" s="187"/>
      <c r="AG131" s="188"/>
      <c r="AH131" s="189"/>
      <c r="AI131" s="186"/>
      <c r="AJ131" s="187"/>
      <c r="AK131" s="188"/>
      <c r="AL131" s="189"/>
      <c r="AM131" s="186"/>
      <c r="AN131" s="187"/>
      <c r="AO131" s="188"/>
      <c r="AP131" s="189"/>
      <c r="AQ131" s="186"/>
      <c r="AR131" s="187"/>
      <c r="AS131" s="188"/>
      <c r="AT131" s="189"/>
      <c r="AU131" s="186"/>
      <c r="AV131" s="187"/>
      <c r="AW131" s="188"/>
      <c r="AX131" s="189"/>
      <c r="AY131" s="186"/>
      <c r="AZ131" s="187"/>
      <c r="BA131" s="188"/>
      <c r="BB131" s="189"/>
      <c r="BC131" s="186"/>
      <c r="BD131" s="187"/>
      <c r="BE131" s="188"/>
      <c r="BF131" s="189"/>
      <c r="BG131" s="186"/>
      <c r="BH131" s="187"/>
      <c r="BI131" s="188"/>
      <c r="BJ131" s="189"/>
      <c r="BK131" s="186"/>
      <c r="BL131" s="187"/>
      <c r="BM131" s="188"/>
      <c r="BN131" s="189"/>
      <c r="BO131" s="186"/>
      <c r="BP131" s="187"/>
      <c r="BQ131" s="188"/>
      <c r="BR131" s="189"/>
      <c r="BS131" s="186"/>
      <c r="BT131" s="187"/>
      <c r="BU131" s="188"/>
      <c r="BV131" s="189"/>
      <c r="BW131" s="186"/>
      <c r="BX131" s="187"/>
      <c r="BY131" s="188"/>
      <c r="BZ131" s="189"/>
      <c r="CA131" s="186"/>
      <c r="CB131" s="190"/>
      <c r="CC131" s="190"/>
      <c r="CD131" s="82">
        <f t="shared" si="332"/>
        <v>0</v>
      </c>
      <c r="CE131" s="82">
        <f t="shared" si="333"/>
        <v>0</v>
      </c>
      <c r="CF131" s="82">
        <f t="shared" si="334"/>
        <v>0</v>
      </c>
      <c r="CG131" s="82">
        <f t="shared" si="335"/>
        <v>0</v>
      </c>
      <c r="CH131" s="82">
        <f t="shared" si="336"/>
        <v>0</v>
      </c>
      <c r="CI131" s="82">
        <f t="shared" si="337"/>
        <v>0</v>
      </c>
      <c r="CJ131" s="82">
        <f t="shared" si="338"/>
        <v>0</v>
      </c>
      <c r="CK131" s="82">
        <f t="shared" si="339"/>
        <v>0</v>
      </c>
      <c r="CL131" s="82">
        <f t="shared" si="340"/>
        <v>0</v>
      </c>
      <c r="CM131" s="82">
        <f t="shared" si="341"/>
        <v>0</v>
      </c>
      <c r="CN131" s="82">
        <f t="shared" si="342"/>
        <v>0</v>
      </c>
      <c r="CO131" s="82">
        <f t="shared" si="343"/>
        <v>0</v>
      </c>
      <c r="CP131" s="82">
        <f t="shared" si="344"/>
        <v>0</v>
      </c>
      <c r="CQ131" s="82">
        <f t="shared" si="345"/>
        <v>0</v>
      </c>
      <c r="CR131" s="82">
        <f t="shared" si="346"/>
        <v>0</v>
      </c>
      <c r="CS131" s="82">
        <f t="shared" si="347"/>
        <v>0</v>
      </c>
      <c r="CT131" s="82">
        <f t="shared" si="348"/>
        <v>0</v>
      </c>
      <c r="CU131" s="82">
        <f t="shared" si="349"/>
        <v>0</v>
      </c>
      <c r="CV131" s="82">
        <f t="shared" si="350"/>
        <v>0</v>
      </c>
      <c r="CW131" s="82">
        <f t="shared" si="351"/>
        <v>0</v>
      </c>
      <c r="CX131" s="82">
        <f t="shared" si="352"/>
        <v>0</v>
      </c>
      <c r="CY131" s="82">
        <f t="shared" si="353"/>
        <v>0</v>
      </c>
      <c r="CZ131" s="82">
        <f t="shared" si="354"/>
        <v>0</v>
      </c>
      <c r="DA131" s="82">
        <f t="shared" si="355"/>
        <v>0</v>
      </c>
      <c r="DB131" s="82">
        <f t="shared" si="356"/>
        <v>0</v>
      </c>
      <c r="DC131" s="82">
        <f t="shared" si="357"/>
        <v>0</v>
      </c>
      <c r="DD131" s="82">
        <f t="shared" si="358"/>
        <v>0</v>
      </c>
      <c r="DE131" s="82">
        <f t="shared" si="359"/>
        <v>0</v>
      </c>
      <c r="DF131" s="82">
        <f t="shared" si="360"/>
        <v>0</v>
      </c>
      <c r="DG131" s="82">
        <f t="shared" si="361"/>
        <v>0</v>
      </c>
      <c r="DH131" s="82">
        <f t="shared" si="362"/>
        <v>0</v>
      </c>
      <c r="DI131" s="82">
        <f t="shared" si="363"/>
        <v>0</v>
      </c>
      <c r="DJ131" s="82">
        <f t="shared" si="364"/>
        <v>0</v>
      </c>
      <c r="DK131" s="82">
        <f t="shared" si="365"/>
        <v>0</v>
      </c>
      <c r="DL131" s="82">
        <f t="shared" si="366"/>
        <v>0</v>
      </c>
      <c r="DM131" s="82">
        <f t="shared" si="367"/>
        <v>0</v>
      </c>
      <c r="DN131" s="82">
        <f t="shared" si="368"/>
        <v>0</v>
      </c>
      <c r="DO131" s="82">
        <f t="shared" si="369"/>
        <v>0</v>
      </c>
      <c r="DP131" s="82">
        <f t="shared" si="370"/>
        <v>0</v>
      </c>
      <c r="DQ131" s="82">
        <f t="shared" si="371"/>
        <v>0</v>
      </c>
      <c r="DR131" s="82">
        <f t="shared" si="372"/>
        <v>0</v>
      </c>
      <c r="DS131" s="82">
        <f t="shared" si="373"/>
        <v>0</v>
      </c>
      <c r="DT131" s="82">
        <f t="shared" si="374"/>
        <v>0</v>
      </c>
      <c r="DU131" s="82">
        <f t="shared" si="375"/>
        <v>0</v>
      </c>
      <c r="DV131" s="82">
        <f t="shared" si="376"/>
        <v>0</v>
      </c>
      <c r="DW131" s="82">
        <f t="shared" si="377"/>
        <v>0</v>
      </c>
      <c r="DX131" s="82">
        <f t="shared" si="378"/>
        <v>0</v>
      </c>
      <c r="DY131" s="82">
        <f t="shared" si="379"/>
        <v>0</v>
      </c>
      <c r="DZ131" s="82">
        <f t="shared" si="380"/>
        <v>0</v>
      </c>
      <c r="EA131" s="82">
        <f t="shared" si="381"/>
        <v>0</v>
      </c>
      <c r="EB131" s="82">
        <f t="shared" si="382"/>
        <v>0</v>
      </c>
      <c r="EC131" s="82">
        <f t="shared" si="383"/>
        <v>0</v>
      </c>
      <c r="ED131" s="82">
        <f t="shared" si="384"/>
        <v>0</v>
      </c>
      <c r="EE131" s="82">
        <f t="shared" si="385"/>
        <v>0</v>
      </c>
      <c r="EF131" s="82">
        <f t="shared" si="386"/>
        <v>0</v>
      </c>
      <c r="EG131" s="82">
        <f t="shared" si="387"/>
        <v>0</v>
      </c>
      <c r="EH131" s="82">
        <f t="shared" si="388"/>
        <v>0</v>
      </c>
      <c r="EI131" s="82">
        <f t="shared" si="389"/>
        <v>0</v>
      </c>
      <c r="EJ131" s="82">
        <f t="shared" si="390"/>
        <v>0</v>
      </c>
      <c r="EK131" s="82">
        <f t="shared" si="391"/>
        <v>0</v>
      </c>
      <c r="EL131" s="82">
        <f t="shared" si="392"/>
        <v>0</v>
      </c>
      <c r="EM131" s="82">
        <f t="shared" si="393"/>
        <v>0</v>
      </c>
      <c r="EN131" s="82">
        <f t="shared" si="394"/>
        <v>0</v>
      </c>
      <c r="EO131" s="82">
        <f t="shared" si="395"/>
        <v>0</v>
      </c>
      <c r="EP131" s="82">
        <f t="shared" si="396"/>
        <v>0</v>
      </c>
      <c r="EQ131" s="82">
        <f t="shared" si="397"/>
        <v>0</v>
      </c>
      <c r="ER131" s="82">
        <f t="shared" si="398"/>
        <v>0</v>
      </c>
      <c r="ES131" s="82">
        <f t="shared" si="399"/>
        <v>0</v>
      </c>
      <c r="ET131" s="82">
        <f t="shared" si="400"/>
        <v>0</v>
      </c>
      <c r="EU131" s="82">
        <f t="shared" si="401"/>
        <v>0</v>
      </c>
      <c r="EV131" s="82">
        <f t="shared" si="402"/>
        <v>0</v>
      </c>
      <c r="EW131" s="82">
        <f t="shared" si="403"/>
        <v>0</v>
      </c>
      <c r="EX131" s="82">
        <f t="shared" si="404"/>
        <v>0</v>
      </c>
      <c r="EY131" s="111">
        <f t="shared" si="405"/>
        <v>0</v>
      </c>
      <c r="EZ131" s="143" t="e">
        <f t="shared" ca="1" si="406"/>
        <v>#N/A</v>
      </c>
      <c r="FA131" s="112" t="e">
        <f t="shared" ca="1" si="407"/>
        <v>#N/A</v>
      </c>
      <c r="FB131" s="113" t="e">
        <f t="shared" ca="1" si="408"/>
        <v>#N/A</v>
      </c>
      <c r="FC131" s="114" t="e">
        <f t="shared" ca="1" si="409"/>
        <v>#N/A</v>
      </c>
      <c r="FD131" s="115">
        <f t="shared" ca="1" si="410"/>
        <v>0</v>
      </c>
      <c r="FE131" s="116" t="e">
        <f t="shared" ca="1" si="411"/>
        <v>#N/A</v>
      </c>
      <c r="FF131" s="117" t="e">
        <f t="shared" ca="1" si="412"/>
        <v>#N/A</v>
      </c>
      <c r="FG131" s="71">
        <f t="shared" si="413"/>
        <v>0</v>
      </c>
      <c r="FH131" s="530" t="e">
        <f t="shared" ca="1" si="414"/>
        <v>#N/A</v>
      </c>
      <c r="FI131" s="72" t="e">
        <f ca="1">0.75*FB131</f>
        <v>#N/A</v>
      </c>
      <c r="FJ131" s="72" t="e">
        <f t="shared" ca="1" si="421"/>
        <v>#N/A</v>
      </c>
      <c r="FK131" s="72" t="e">
        <f t="shared" ca="1" si="422"/>
        <v>#N/A</v>
      </c>
      <c r="FM131" s="421">
        <f t="shared" si="318"/>
        <v>0</v>
      </c>
      <c r="FN131" s="422" t="e">
        <f t="shared" ca="1" si="319"/>
        <v>#N/A</v>
      </c>
      <c r="FO131" s="423">
        <f t="shared" ca="1" si="425"/>
        <v>0</v>
      </c>
      <c r="FP131" s="423">
        <f t="shared" ca="1" si="425"/>
        <v>0</v>
      </c>
      <c r="FQ131" s="423">
        <f t="shared" ca="1" si="425"/>
        <v>0</v>
      </c>
      <c r="FR131" s="423">
        <f t="shared" ca="1" si="425"/>
        <v>0</v>
      </c>
      <c r="FS131" s="423">
        <f t="shared" ca="1" si="425"/>
        <v>0</v>
      </c>
      <c r="FT131" s="423">
        <f t="shared" ca="1" si="425"/>
        <v>0</v>
      </c>
      <c r="FU131" s="423">
        <f t="shared" ca="1" si="425"/>
        <v>0</v>
      </c>
      <c r="FV131" s="423">
        <f t="shared" ca="1" si="425"/>
        <v>0</v>
      </c>
      <c r="FW131" s="423">
        <f t="shared" ca="1" si="425"/>
        <v>0</v>
      </c>
      <c r="FX131" s="423">
        <f t="shared" ca="1" si="425"/>
        <v>0</v>
      </c>
      <c r="FY131" s="423">
        <f t="shared" ca="1" si="425"/>
        <v>0</v>
      </c>
      <c r="FZ131" s="423">
        <f t="shared" ca="1" si="425"/>
        <v>0</v>
      </c>
      <c r="GA131" s="423">
        <f t="shared" ca="1" si="425"/>
        <v>0</v>
      </c>
      <c r="GB131" s="423">
        <f t="shared" ca="1" si="425"/>
        <v>0</v>
      </c>
      <c r="GC131" s="423">
        <f t="shared" ca="1" si="425"/>
        <v>0</v>
      </c>
      <c r="GD131" s="423">
        <f t="shared" ca="1" si="425"/>
        <v>0</v>
      </c>
      <c r="GE131" s="423">
        <f t="shared" ca="1" si="423"/>
        <v>0</v>
      </c>
      <c r="GF131" s="423">
        <f t="shared" ca="1" si="423"/>
        <v>0</v>
      </c>
      <c r="GG131" s="423">
        <f t="shared" ca="1" si="423"/>
        <v>0</v>
      </c>
      <c r="GH131" s="423">
        <f t="shared" ca="1" si="423"/>
        <v>0</v>
      </c>
      <c r="GI131" s="423">
        <f t="shared" ca="1" si="423"/>
        <v>0</v>
      </c>
      <c r="GJ131" s="423">
        <f t="shared" ca="1" si="423"/>
        <v>0</v>
      </c>
      <c r="GK131" s="423">
        <f t="shared" ca="1" si="423"/>
        <v>0</v>
      </c>
      <c r="GL131" s="423">
        <f t="shared" ca="1" si="423"/>
        <v>0</v>
      </c>
      <c r="GM131" s="423">
        <f t="shared" ca="1" si="423"/>
        <v>0</v>
      </c>
      <c r="GN131" s="423">
        <f t="shared" ca="1" si="423"/>
        <v>0</v>
      </c>
      <c r="GO131" s="423">
        <f t="shared" ca="1" si="423"/>
        <v>0</v>
      </c>
      <c r="GP131" s="423">
        <f t="shared" ca="1" si="423"/>
        <v>0</v>
      </c>
      <c r="GQ131" s="423">
        <f t="shared" ca="1" si="423"/>
        <v>0</v>
      </c>
      <c r="GR131" s="423">
        <f t="shared" ca="1" si="423"/>
        <v>0</v>
      </c>
      <c r="GS131" s="423">
        <f t="shared" ca="1" si="419"/>
        <v>0</v>
      </c>
      <c r="GT131" s="423">
        <f t="shared" ca="1" si="419"/>
        <v>0</v>
      </c>
      <c r="GU131" s="423">
        <f t="shared" ca="1" si="419"/>
        <v>0</v>
      </c>
      <c r="GV131" s="423">
        <f t="shared" ca="1" si="419"/>
        <v>0</v>
      </c>
      <c r="GW131" s="423">
        <f t="shared" ca="1" si="419"/>
        <v>0</v>
      </c>
      <c r="GX131" s="423">
        <f t="shared" ca="1" si="419"/>
        <v>0</v>
      </c>
      <c r="GY131" s="423">
        <f t="shared" ca="1" si="419"/>
        <v>0</v>
      </c>
      <c r="GZ131" s="423">
        <f t="shared" ca="1" si="419"/>
        <v>0</v>
      </c>
      <c r="HA131" s="423">
        <f t="shared" ca="1" si="419"/>
        <v>0</v>
      </c>
      <c r="HB131" s="423">
        <f t="shared" ca="1" si="419"/>
        <v>0</v>
      </c>
      <c r="HC131" s="423">
        <f t="shared" ca="1" si="419"/>
        <v>0</v>
      </c>
      <c r="HD131" s="423">
        <f t="shared" ca="1" si="419"/>
        <v>0</v>
      </c>
      <c r="HE131" s="423">
        <f t="shared" ca="1" si="419"/>
        <v>0</v>
      </c>
      <c r="HF131" s="423">
        <f t="shared" ca="1" si="419"/>
        <v>0</v>
      </c>
      <c r="HG131" s="423">
        <f t="shared" ca="1" si="419"/>
        <v>0</v>
      </c>
      <c r="HH131" s="423">
        <f t="shared" ca="1" si="419"/>
        <v>0</v>
      </c>
      <c r="HI131" s="423">
        <f t="shared" ca="1" si="424"/>
        <v>0</v>
      </c>
      <c r="HJ131" s="423">
        <f t="shared" ca="1" si="420"/>
        <v>0</v>
      </c>
      <c r="HK131" s="423">
        <f t="shared" ca="1" si="420"/>
        <v>0</v>
      </c>
      <c r="HL131" s="423">
        <f t="shared" ca="1" si="420"/>
        <v>0</v>
      </c>
      <c r="HM131" s="423">
        <f t="shared" ca="1" si="420"/>
        <v>0</v>
      </c>
      <c r="HN131" s="423">
        <f t="shared" ca="1" si="420"/>
        <v>0</v>
      </c>
      <c r="HO131" s="423">
        <f t="shared" ca="1" si="420"/>
        <v>0</v>
      </c>
      <c r="HP131" s="423">
        <f t="shared" ca="1" si="420"/>
        <v>0</v>
      </c>
      <c r="HQ131" s="423">
        <f t="shared" ca="1" si="420"/>
        <v>0</v>
      </c>
      <c r="HR131" s="423">
        <f t="shared" ca="1" si="420"/>
        <v>0</v>
      </c>
      <c r="HS131" s="423">
        <f t="shared" ca="1" si="420"/>
        <v>0</v>
      </c>
      <c r="HT131" s="423">
        <f t="shared" ca="1" si="420"/>
        <v>0</v>
      </c>
      <c r="HU131" s="423"/>
      <c r="HV131" s="423"/>
    </row>
    <row r="132" spans="1:230" ht="11.25" customHeight="1" x14ac:dyDescent="0.2">
      <c r="A132" s="62">
        <f t="shared" si="322"/>
        <v>121</v>
      </c>
      <c r="B132" s="60">
        <f>Spaces_Sum!C177</f>
        <v>0</v>
      </c>
      <c r="C132" s="62" t="str">
        <f>Spaces_Sum!D177</f>
        <v>0</v>
      </c>
      <c r="D132" s="62" t="e">
        <f ca="1">Spaces_Sum!I177</f>
        <v>#N/A</v>
      </c>
      <c r="F132" s="110" t="e">
        <f ca="1">Spaces_Sum!M177</f>
        <v>#N/A</v>
      </c>
      <c r="G132" s="110" t="e">
        <f ca="1">Spaces_Sum!J177</f>
        <v>#N/A</v>
      </c>
      <c r="H132" s="532"/>
      <c r="I132" s="185"/>
      <c r="J132" s="185"/>
      <c r="K132" s="186"/>
      <c r="L132" s="187"/>
      <c r="M132" s="188"/>
      <c r="N132" s="189"/>
      <c r="O132" s="186"/>
      <c r="P132" s="187"/>
      <c r="Q132" s="188"/>
      <c r="R132" s="189"/>
      <c r="S132" s="186"/>
      <c r="T132" s="187"/>
      <c r="U132" s="188"/>
      <c r="V132" s="189"/>
      <c r="W132" s="186"/>
      <c r="X132" s="187"/>
      <c r="Y132" s="188"/>
      <c r="Z132" s="189"/>
      <c r="AA132" s="186"/>
      <c r="AB132" s="187"/>
      <c r="AC132" s="188"/>
      <c r="AD132" s="189"/>
      <c r="AE132" s="186"/>
      <c r="AF132" s="187"/>
      <c r="AG132" s="188"/>
      <c r="AH132" s="189"/>
      <c r="AI132" s="186"/>
      <c r="AJ132" s="187"/>
      <c r="AK132" s="188"/>
      <c r="AL132" s="189"/>
      <c r="AM132" s="186"/>
      <c r="AN132" s="187"/>
      <c r="AO132" s="188"/>
      <c r="AP132" s="189"/>
      <c r="AQ132" s="186"/>
      <c r="AR132" s="187"/>
      <c r="AS132" s="188"/>
      <c r="AT132" s="189"/>
      <c r="AU132" s="186"/>
      <c r="AV132" s="187"/>
      <c r="AW132" s="188"/>
      <c r="AX132" s="189"/>
      <c r="AY132" s="186"/>
      <c r="AZ132" s="187"/>
      <c r="BA132" s="188"/>
      <c r="BB132" s="189"/>
      <c r="BC132" s="186"/>
      <c r="BD132" s="187"/>
      <c r="BE132" s="188"/>
      <c r="BF132" s="189"/>
      <c r="BG132" s="186"/>
      <c r="BH132" s="187"/>
      <c r="BI132" s="188"/>
      <c r="BJ132" s="189"/>
      <c r="BK132" s="186"/>
      <c r="BL132" s="187"/>
      <c r="BM132" s="188"/>
      <c r="BN132" s="189"/>
      <c r="BO132" s="186"/>
      <c r="BP132" s="187"/>
      <c r="BQ132" s="188"/>
      <c r="BR132" s="189"/>
      <c r="BS132" s="186"/>
      <c r="BT132" s="187"/>
      <c r="BU132" s="188"/>
      <c r="BV132" s="189"/>
      <c r="BW132" s="186"/>
      <c r="BX132" s="187"/>
      <c r="BY132" s="188"/>
      <c r="BZ132" s="189"/>
      <c r="CA132" s="186"/>
      <c r="CB132" s="190"/>
      <c r="CC132" s="190"/>
      <c r="CD132" s="82">
        <f t="shared" si="332"/>
        <v>0</v>
      </c>
      <c r="CE132" s="82">
        <f t="shared" si="333"/>
        <v>0</v>
      </c>
      <c r="CF132" s="82">
        <f t="shared" si="334"/>
        <v>0</v>
      </c>
      <c r="CG132" s="82">
        <f t="shared" si="335"/>
        <v>0</v>
      </c>
      <c r="CH132" s="82">
        <f t="shared" si="336"/>
        <v>0</v>
      </c>
      <c r="CI132" s="82">
        <f t="shared" si="337"/>
        <v>0</v>
      </c>
      <c r="CJ132" s="82">
        <f t="shared" si="338"/>
        <v>0</v>
      </c>
      <c r="CK132" s="82">
        <f t="shared" si="339"/>
        <v>0</v>
      </c>
      <c r="CL132" s="82">
        <f t="shared" si="340"/>
        <v>0</v>
      </c>
      <c r="CM132" s="82">
        <f t="shared" si="341"/>
        <v>0</v>
      </c>
      <c r="CN132" s="82">
        <f t="shared" si="342"/>
        <v>0</v>
      </c>
      <c r="CO132" s="82">
        <f t="shared" si="343"/>
        <v>0</v>
      </c>
      <c r="CP132" s="82">
        <f t="shared" si="344"/>
        <v>0</v>
      </c>
      <c r="CQ132" s="82">
        <f t="shared" si="345"/>
        <v>0</v>
      </c>
      <c r="CR132" s="82">
        <f t="shared" si="346"/>
        <v>0</v>
      </c>
      <c r="CS132" s="82">
        <f t="shared" si="347"/>
        <v>0</v>
      </c>
      <c r="CT132" s="82">
        <f t="shared" si="348"/>
        <v>0</v>
      </c>
      <c r="CU132" s="82">
        <f t="shared" si="349"/>
        <v>0</v>
      </c>
      <c r="CV132" s="82">
        <f t="shared" si="350"/>
        <v>0</v>
      </c>
      <c r="CW132" s="82">
        <f t="shared" si="351"/>
        <v>0</v>
      </c>
      <c r="CX132" s="82">
        <f t="shared" si="352"/>
        <v>0</v>
      </c>
      <c r="CY132" s="82">
        <f t="shared" si="353"/>
        <v>0</v>
      </c>
      <c r="CZ132" s="82">
        <f t="shared" si="354"/>
        <v>0</v>
      </c>
      <c r="DA132" s="82">
        <f t="shared" si="355"/>
        <v>0</v>
      </c>
      <c r="DB132" s="82">
        <f t="shared" si="356"/>
        <v>0</v>
      </c>
      <c r="DC132" s="82">
        <f t="shared" si="357"/>
        <v>0</v>
      </c>
      <c r="DD132" s="82">
        <f t="shared" si="358"/>
        <v>0</v>
      </c>
      <c r="DE132" s="82">
        <f t="shared" si="359"/>
        <v>0</v>
      </c>
      <c r="DF132" s="82">
        <f t="shared" si="360"/>
        <v>0</v>
      </c>
      <c r="DG132" s="82">
        <f t="shared" si="361"/>
        <v>0</v>
      </c>
      <c r="DH132" s="82">
        <f t="shared" si="362"/>
        <v>0</v>
      </c>
      <c r="DI132" s="82">
        <f t="shared" si="363"/>
        <v>0</v>
      </c>
      <c r="DJ132" s="82">
        <f t="shared" si="364"/>
        <v>0</v>
      </c>
      <c r="DK132" s="82">
        <f t="shared" si="365"/>
        <v>0</v>
      </c>
      <c r="DL132" s="82">
        <f t="shared" si="366"/>
        <v>0</v>
      </c>
      <c r="DM132" s="82">
        <f t="shared" si="367"/>
        <v>0</v>
      </c>
      <c r="DN132" s="82">
        <f t="shared" si="368"/>
        <v>0</v>
      </c>
      <c r="DO132" s="82">
        <f t="shared" si="369"/>
        <v>0</v>
      </c>
      <c r="DP132" s="82">
        <f t="shared" si="370"/>
        <v>0</v>
      </c>
      <c r="DQ132" s="82">
        <f t="shared" si="371"/>
        <v>0</v>
      </c>
      <c r="DR132" s="82">
        <f t="shared" si="372"/>
        <v>0</v>
      </c>
      <c r="DS132" s="82">
        <f t="shared" si="373"/>
        <v>0</v>
      </c>
      <c r="DT132" s="82">
        <f t="shared" si="374"/>
        <v>0</v>
      </c>
      <c r="DU132" s="82">
        <f t="shared" si="375"/>
        <v>0</v>
      </c>
      <c r="DV132" s="82">
        <f t="shared" si="376"/>
        <v>0</v>
      </c>
      <c r="DW132" s="82">
        <f t="shared" si="377"/>
        <v>0</v>
      </c>
      <c r="DX132" s="82">
        <f t="shared" si="378"/>
        <v>0</v>
      </c>
      <c r="DY132" s="82">
        <f t="shared" si="379"/>
        <v>0</v>
      </c>
      <c r="DZ132" s="82">
        <f t="shared" si="380"/>
        <v>0</v>
      </c>
      <c r="EA132" s="82">
        <f t="shared" si="381"/>
        <v>0</v>
      </c>
      <c r="EB132" s="82">
        <f t="shared" si="382"/>
        <v>0</v>
      </c>
      <c r="EC132" s="82">
        <f t="shared" si="383"/>
        <v>0</v>
      </c>
      <c r="ED132" s="82">
        <f t="shared" si="384"/>
        <v>0</v>
      </c>
      <c r="EE132" s="82">
        <f t="shared" si="385"/>
        <v>0</v>
      </c>
      <c r="EF132" s="82">
        <f t="shared" si="386"/>
        <v>0</v>
      </c>
      <c r="EG132" s="82">
        <f t="shared" si="387"/>
        <v>0</v>
      </c>
      <c r="EH132" s="82">
        <f t="shared" si="388"/>
        <v>0</v>
      </c>
      <c r="EI132" s="82">
        <f t="shared" si="389"/>
        <v>0</v>
      </c>
      <c r="EJ132" s="82">
        <f t="shared" si="390"/>
        <v>0</v>
      </c>
      <c r="EK132" s="82">
        <f t="shared" si="391"/>
        <v>0</v>
      </c>
      <c r="EL132" s="82">
        <f t="shared" si="392"/>
        <v>0</v>
      </c>
      <c r="EM132" s="82">
        <f t="shared" si="393"/>
        <v>0</v>
      </c>
      <c r="EN132" s="82">
        <f t="shared" si="394"/>
        <v>0</v>
      </c>
      <c r="EO132" s="82">
        <f t="shared" si="395"/>
        <v>0</v>
      </c>
      <c r="EP132" s="82">
        <f t="shared" si="396"/>
        <v>0</v>
      </c>
      <c r="EQ132" s="82">
        <f t="shared" si="397"/>
        <v>0</v>
      </c>
      <c r="ER132" s="82">
        <f t="shared" si="398"/>
        <v>0</v>
      </c>
      <c r="ES132" s="82">
        <f t="shared" si="399"/>
        <v>0</v>
      </c>
      <c r="ET132" s="82">
        <f t="shared" si="400"/>
        <v>0</v>
      </c>
      <c r="EU132" s="82">
        <f t="shared" si="401"/>
        <v>0</v>
      </c>
      <c r="EV132" s="82">
        <f t="shared" si="402"/>
        <v>0</v>
      </c>
      <c r="EW132" s="82">
        <f t="shared" si="403"/>
        <v>0</v>
      </c>
      <c r="EX132" s="82">
        <f t="shared" si="404"/>
        <v>0</v>
      </c>
      <c r="EY132" s="111">
        <f t="shared" si="405"/>
        <v>0</v>
      </c>
      <c r="EZ132" s="143" t="e">
        <f t="shared" ca="1" si="406"/>
        <v>#N/A</v>
      </c>
      <c r="FA132" s="112" t="e">
        <f t="shared" ca="1" si="407"/>
        <v>#N/A</v>
      </c>
      <c r="FB132" s="113" t="e">
        <f t="shared" ca="1" si="408"/>
        <v>#N/A</v>
      </c>
      <c r="FC132" s="114" t="e">
        <f t="shared" ca="1" si="409"/>
        <v>#N/A</v>
      </c>
      <c r="FD132" s="115">
        <f t="shared" ca="1" si="410"/>
        <v>0</v>
      </c>
      <c r="FE132" s="116" t="e">
        <f t="shared" ca="1" si="411"/>
        <v>#N/A</v>
      </c>
      <c r="FF132" s="117" t="e">
        <f t="shared" ca="1" si="412"/>
        <v>#N/A</v>
      </c>
      <c r="FG132" s="71">
        <f t="shared" si="413"/>
        <v>0</v>
      </c>
      <c r="FH132" s="530" t="e">
        <f t="shared" ca="1" si="414"/>
        <v>#N/A</v>
      </c>
      <c r="FI132" s="72"/>
      <c r="FJ132" s="72"/>
      <c r="FK132" s="72"/>
      <c r="FM132" s="421">
        <f t="shared" si="318"/>
        <v>0</v>
      </c>
      <c r="FN132" s="422" t="e">
        <f t="shared" ca="1" si="319"/>
        <v>#N/A</v>
      </c>
      <c r="FO132" s="423">
        <f t="shared" ca="1" si="425"/>
        <v>0</v>
      </c>
      <c r="FP132" s="423">
        <f t="shared" ca="1" si="425"/>
        <v>0</v>
      </c>
      <c r="FQ132" s="423">
        <f t="shared" ca="1" si="425"/>
        <v>0</v>
      </c>
      <c r="FR132" s="423">
        <f t="shared" ca="1" si="425"/>
        <v>0</v>
      </c>
      <c r="FS132" s="423">
        <f t="shared" ca="1" si="425"/>
        <v>0</v>
      </c>
      <c r="FT132" s="423">
        <f t="shared" ca="1" si="425"/>
        <v>0</v>
      </c>
      <c r="FU132" s="423">
        <f t="shared" ca="1" si="425"/>
        <v>0</v>
      </c>
      <c r="FV132" s="423">
        <f t="shared" ca="1" si="425"/>
        <v>0</v>
      </c>
      <c r="FW132" s="423">
        <f t="shared" ca="1" si="425"/>
        <v>0</v>
      </c>
      <c r="FX132" s="423">
        <f t="shared" ca="1" si="425"/>
        <v>0</v>
      </c>
      <c r="FY132" s="423">
        <f t="shared" ca="1" si="425"/>
        <v>0</v>
      </c>
      <c r="FZ132" s="423">
        <f t="shared" ca="1" si="425"/>
        <v>0</v>
      </c>
      <c r="GA132" s="423">
        <f t="shared" ca="1" si="425"/>
        <v>0</v>
      </c>
      <c r="GB132" s="423">
        <f t="shared" ca="1" si="425"/>
        <v>0</v>
      </c>
      <c r="GC132" s="423">
        <f t="shared" ca="1" si="425"/>
        <v>0</v>
      </c>
      <c r="GD132" s="423">
        <f t="shared" ca="1" si="425"/>
        <v>0</v>
      </c>
      <c r="GE132" s="423">
        <f t="shared" ca="1" si="423"/>
        <v>0</v>
      </c>
      <c r="GF132" s="423">
        <f t="shared" ca="1" si="423"/>
        <v>0</v>
      </c>
      <c r="GG132" s="423">
        <f t="shared" ca="1" si="423"/>
        <v>0</v>
      </c>
      <c r="GH132" s="423">
        <f t="shared" ca="1" si="423"/>
        <v>0</v>
      </c>
      <c r="GI132" s="423">
        <f t="shared" ca="1" si="423"/>
        <v>0</v>
      </c>
      <c r="GJ132" s="423">
        <f t="shared" ca="1" si="423"/>
        <v>0</v>
      </c>
      <c r="GK132" s="423">
        <f t="shared" ca="1" si="423"/>
        <v>0</v>
      </c>
      <c r="GL132" s="423">
        <f t="shared" ca="1" si="423"/>
        <v>0</v>
      </c>
      <c r="GM132" s="423">
        <f t="shared" ca="1" si="423"/>
        <v>0</v>
      </c>
      <c r="GN132" s="423">
        <f t="shared" ca="1" si="423"/>
        <v>0</v>
      </c>
      <c r="GO132" s="423">
        <f t="shared" ca="1" si="423"/>
        <v>0</v>
      </c>
      <c r="GP132" s="423">
        <f t="shared" ca="1" si="423"/>
        <v>0</v>
      </c>
      <c r="GQ132" s="423">
        <f t="shared" ca="1" si="423"/>
        <v>0</v>
      </c>
      <c r="GR132" s="423">
        <f t="shared" ca="1" si="423"/>
        <v>0</v>
      </c>
      <c r="GS132" s="423">
        <f t="shared" ca="1" si="419"/>
        <v>0</v>
      </c>
      <c r="GT132" s="423">
        <f t="shared" ca="1" si="419"/>
        <v>0</v>
      </c>
      <c r="GU132" s="423">
        <f t="shared" ca="1" si="419"/>
        <v>0</v>
      </c>
      <c r="GV132" s="423">
        <f t="shared" ca="1" si="419"/>
        <v>0</v>
      </c>
      <c r="GW132" s="423">
        <f t="shared" ca="1" si="419"/>
        <v>0</v>
      </c>
      <c r="GX132" s="423">
        <f t="shared" ca="1" si="419"/>
        <v>0</v>
      </c>
      <c r="GY132" s="423">
        <f t="shared" ca="1" si="419"/>
        <v>0</v>
      </c>
      <c r="GZ132" s="423">
        <f t="shared" ca="1" si="419"/>
        <v>0</v>
      </c>
      <c r="HA132" s="423">
        <f t="shared" ca="1" si="419"/>
        <v>0</v>
      </c>
      <c r="HB132" s="423">
        <f t="shared" ca="1" si="419"/>
        <v>0</v>
      </c>
      <c r="HC132" s="423">
        <f t="shared" ca="1" si="419"/>
        <v>0</v>
      </c>
      <c r="HD132" s="423">
        <f t="shared" ca="1" si="419"/>
        <v>0</v>
      </c>
      <c r="HE132" s="423">
        <f t="shared" ca="1" si="419"/>
        <v>0</v>
      </c>
      <c r="HF132" s="423">
        <f t="shared" ca="1" si="419"/>
        <v>0</v>
      </c>
      <c r="HG132" s="423">
        <f t="shared" ca="1" si="419"/>
        <v>0</v>
      </c>
      <c r="HH132" s="423">
        <f t="shared" ca="1" si="419"/>
        <v>0</v>
      </c>
      <c r="HI132" s="423">
        <f t="shared" ca="1" si="424"/>
        <v>0</v>
      </c>
      <c r="HJ132" s="423">
        <f t="shared" ca="1" si="420"/>
        <v>0</v>
      </c>
      <c r="HK132" s="423">
        <f t="shared" ca="1" si="420"/>
        <v>0</v>
      </c>
      <c r="HL132" s="423">
        <f t="shared" ca="1" si="420"/>
        <v>0</v>
      </c>
      <c r="HM132" s="423">
        <f t="shared" ca="1" si="420"/>
        <v>0</v>
      </c>
      <c r="HN132" s="423">
        <f t="shared" ca="1" si="420"/>
        <v>0</v>
      </c>
      <c r="HO132" s="423">
        <f t="shared" ca="1" si="420"/>
        <v>0</v>
      </c>
      <c r="HP132" s="423">
        <f t="shared" ca="1" si="420"/>
        <v>0</v>
      </c>
      <c r="HQ132" s="423">
        <f t="shared" ca="1" si="420"/>
        <v>0</v>
      </c>
      <c r="HR132" s="423">
        <f t="shared" ca="1" si="420"/>
        <v>0</v>
      </c>
      <c r="HS132" s="423">
        <f t="shared" ca="1" si="420"/>
        <v>0</v>
      </c>
      <c r="HT132" s="423">
        <f t="shared" ca="1" si="420"/>
        <v>0</v>
      </c>
      <c r="HU132" s="423"/>
      <c r="HV132" s="423"/>
    </row>
    <row r="133" spans="1:230" ht="11.25" customHeight="1" x14ac:dyDescent="0.2">
      <c r="A133" s="62">
        <f t="shared" si="322"/>
        <v>122</v>
      </c>
      <c r="B133" s="60">
        <f>Spaces_Sum!C178</f>
        <v>0</v>
      </c>
      <c r="C133" s="62" t="str">
        <f>Spaces_Sum!D178</f>
        <v>0</v>
      </c>
      <c r="D133" s="62" t="e">
        <f ca="1">Spaces_Sum!I178</f>
        <v>#N/A</v>
      </c>
      <c r="F133" s="110" t="e">
        <f ca="1">Spaces_Sum!M178</f>
        <v>#N/A</v>
      </c>
      <c r="G133" s="110" t="e">
        <f ca="1">Spaces_Sum!J178</f>
        <v>#N/A</v>
      </c>
      <c r="H133" s="532"/>
      <c r="I133" s="185"/>
      <c r="J133" s="185"/>
      <c r="K133" s="186"/>
      <c r="L133" s="187"/>
      <c r="M133" s="188"/>
      <c r="N133" s="189"/>
      <c r="O133" s="186"/>
      <c r="P133" s="187"/>
      <c r="Q133" s="188"/>
      <c r="R133" s="189"/>
      <c r="S133" s="186"/>
      <c r="T133" s="187"/>
      <c r="U133" s="188"/>
      <c r="V133" s="189"/>
      <c r="W133" s="186"/>
      <c r="X133" s="187"/>
      <c r="Y133" s="188"/>
      <c r="Z133" s="189"/>
      <c r="AA133" s="186"/>
      <c r="AB133" s="187"/>
      <c r="AC133" s="188"/>
      <c r="AD133" s="189"/>
      <c r="AE133" s="186"/>
      <c r="AF133" s="187"/>
      <c r="AG133" s="188"/>
      <c r="AH133" s="189"/>
      <c r="AI133" s="186"/>
      <c r="AJ133" s="187"/>
      <c r="AK133" s="188"/>
      <c r="AL133" s="189"/>
      <c r="AM133" s="186"/>
      <c r="AN133" s="187"/>
      <c r="AO133" s="188"/>
      <c r="AP133" s="189"/>
      <c r="AQ133" s="186"/>
      <c r="AR133" s="187"/>
      <c r="AS133" s="188"/>
      <c r="AT133" s="189"/>
      <c r="AU133" s="186"/>
      <c r="AV133" s="187"/>
      <c r="AW133" s="188"/>
      <c r="AX133" s="189"/>
      <c r="AY133" s="186"/>
      <c r="AZ133" s="187"/>
      <c r="BA133" s="188"/>
      <c r="BB133" s="189"/>
      <c r="BC133" s="186"/>
      <c r="BD133" s="187"/>
      <c r="BE133" s="188"/>
      <c r="BF133" s="189"/>
      <c r="BG133" s="186"/>
      <c r="BH133" s="187"/>
      <c r="BI133" s="188"/>
      <c r="BJ133" s="189"/>
      <c r="BK133" s="186"/>
      <c r="BL133" s="187"/>
      <c r="BM133" s="188"/>
      <c r="BN133" s="189"/>
      <c r="BO133" s="186"/>
      <c r="BP133" s="187"/>
      <c r="BQ133" s="188"/>
      <c r="BR133" s="189"/>
      <c r="BS133" s="186"/>
      <c r="BT133" s="187"/>
      <c r="BU133" s="188"/>
      <c r="BV133" s="189"/>
      <c r="BW133" s="186"/>
      <c r="BX133" s="187"/>
      <c r="BY133" s="188"/>
      <c r="BZ133" s="189"/>
      <c r="CA133" s="186"/>
      <c r="CB133" s="190"/>
      <c r="CC133" s="190"/>
      <c r="CD133" s="82">
        <f t="shared" si="332"/>
        <v>0</v>
      </c>
      <c r="CE133" s="82">
        <f t="shared" si="333"/>
        <v>0</v>
      </c>
      <c r="CF133" s="82">
        <f t="shared" si="334"/>
        <v>0</v>
      </c>
      <c r="CG133" s="82">
        <f t="shared" si="335"/>
        <v>0</v>
      </c>
      <c r="CH133" s="82">
        <f t="shared" si="336"/>
        <v>0</v>
      </c>
      <c r="CI133" s="82">
        <f t="shared" si="337"/>
        <v>0</v>
      </c>
      <c r="CJ133" s="82">
        <f t="shared" si="338"/>
        <v>0</v>
      </c>
      <c r="CK133" s="82">
        <f t="shared" si="339"/>
        <v>0</v>
      </c>
      <c r="CL133" s="82">
        <f t="shared" si="340"/>
        <v>0</v>
      </c>
      <c r="CM133" s="82">
        <f t="shared" si="341"/>
        <v>0</v>
      </c>
      <c r="CN133" s="82">
        <f t="shared" si="342"/>
        <v>0</v>
      </c>
      <c r="CO133" s="82">
        <f t="shared" si="343"/>
        <v>0</v>
      </c>
      <c r="CP133" s="82">
        <f t="shared" si="344"/>
        <v>0</v>
      </c>
      <c r="CQ133" s="82">
        <f t="shared" si="345"/>
        <v>0</v>
      </c>
      <c r="CR133" s="82">
        <f t="shared" si="346"/>
        <v>0</v>
      </c>
      <c r="CS133" s="82">
        <f t="shared" si="347"/>
        <v>0</v>
      </c>
      <c r="CT133" s="82">
        <f t="shared" si="348"/>
        <v>0</v>
      </c>
      <c r="CU133" s="82">
        <f t="shared" si="349"/>
        <v>0</v>
      </c>
      <c r="CV133" s="82">
        <f t="shared" si="350"/>
        <v>0</v>
      </c>
      <c r="CW133" s="82">
        <f t="shared" si="351"/>
        <v>0</v>
      </c>
      <c r="CX133" s="82">
        <f t="shared" si="352"/>
        <v>0</v>
      </c>
      <c r="CY133" s="82">
        <f t="shared" si="353"/>
        <v>0</v>
      </c>
      <c r="CZ133" s="82">
        <f t="shared" si="354"/>
        <v>0</v>
      </c>
      <c r="DA133" s="82">
        <f t="shared" si="355"/>
        <v>0</v>
      </c>
      <c r="DB133" s="82">
        <f t="shared" si="356"/>
        <v>0</v>
      </c>
      <c r="DC133" s="82">
        <f t="shared" si="357"/>
        <v>0</v>
      </c>
      <c r="DD133" s="82">
        <f t="shared" si="358"/>
        <v>0</v>
      </c>
      <c r="DE133" s="82">
        <f t="shared" si="359"/>
        <v>0</v>
      </c>
      <c r="DF133" s="82">
        <f t="shared" si="360"/>
        <v>0</v>
      </c>
      <c r="DG133" s="82">
        <f t="shared" si="361"/>
        <v>0</v>
      </c>
      <c r="DH133" s="82">
        <f t="shared" si="362"/>
        <v>0</v>
      </c>
      <c r="DI133" s="82">
        <f t="shared" si="363"/>
        <v>0</v>
      </c>
      <c r="DJ133" s="82">
        <f t="shared" si="364"/>
        <v>0</v>
      </c>
      <c r="DK133" s="82">
        <f t="shared" si="365"/>
        <v>0</v>
      </c>
      <c r="DL133" s="82">
        <f t="shared" si="366"/>
        <v>0</v>
      </c>
      <c r="DM133" s="82">
        <f t="shared" si="367"/>
        <v>0</v>
      </c>
      <c r="DN133" s="82">
        <f t="shared" si="368"/>
        <v>0</v>
      </c>
      <c r="DO133" s="82">
        <f t="shared" si="369"/>
        <v>0</v>
      </c>
      <c r="DP133" s="82">
        <f t="shared" si="370"/>
        <v>0</v>
      </c>
      <c r="DQ133" s="82">
        <f t="shared" si="371"/>
        <v>0</v>
      </c>
      <c r="DR133" s="82">
        <f t="shared" si="372"/>
        <v>0</v>
      </c>
      <c r="DS133" s="82">
        <f t="shared" si="373"/>
        <v>0</v>
      </c>
      <c r="DT133" s="82">
        <f t="shared" si="374"/>
        <v>0</v>
      </c>
      <c r="DU133" s="82">
        <f t="shared" si="375"/>
        <v>0</v>
      </c>
      <c r="DV133" s="82">
        <f t="shared" si="376"/>
        <v>0</v>
      </c>
      <c r="DW133" s="82">
        <f t="shared" si="377"/>
        <v>0</v>
      </c>
      <c r="DX133" s="82">
        <f t="shared" si="378"/>
        <v>0</v>
      </c>
      <c r="DY133" s="82">
        <f t="shared" si="379"/>
        <v>0</v>
      </c>
      <c r="DZ133" s="82">
        <f t="shared" si="380"/>
        <v>0</v>
      </c>
      <c r="EA133" s="82">
        <f t="shared" si="381"/>
        <v>0</v>
      </c>
      <c r="EB133" s="82">
        <f t="shared" si="382"/>
        <v>0</v>
      </c>
      <c r="EC133" s="82">
        <f t="shared" si="383"/>
        <v>0</v>
      </c>
      <c r="ED133" s="82">
        <f t="shared" si="384"/>
        <v>0</v>
      </c>
      <c r="EE133" s="82">
        <f t="shared" si="385"/>
        <v>0</v>
      </c>
      <c r="EF133" s="82">
        <f t="shared" si="386"/>
        <v>0</v>
      </c>
      <c r="EG133" s="82">
        <f t="shared" si="387"/>
        <v>0</v>
      </c>
      <c r="EH133" s="82">
        <f t="shared" si="388"/>
        <v>0</v>
      </c>
      <c r="EI133" s="82">
        <f t="shared" si="389"/>
        <v>0</v>
      </c>
      <c r="EJ133" s="82">
        <f t="shared" si="390"/>
        <v>0</v>
      </c>
      <c r="EK133" s="82">
        <f t="shared" si="391"/>
        <v>0</v>
      </c>
      <c r="EL133" s="82">
        <f t="shared" si="392"/>
        <v>0</v>
      </c>
      <c r="EM133" s="82">
        <f t="shared" si="393"/>
        <v>0</v>
      </c>
      <c r="EN133" s="82">
        <f t="shared" si="394"/>
        <v>0</v>
      </c>
      <c r="EO133" s="82">
        <f t="shared" si="395"/>
        <v>0</v>
      </c>
      <c r="EP133" s="82">
        <f t="shared" si="396"/>
        <v>0</v>
      </c>
      <c r="EQ133" s="82">
        <f t="shared" si="397"/>
        <v>0</v>
      </c>
      <c r="ER133" s="82">
        <f t="shared" si="398"/>
        <v>0</v>
      </c>
      <c r="ES133" s="82">
        <f t="shared" si="399"/>
        <v>0</v>
      </c>
      <c r="ET133" s="82">
        <f t="shared" si="400"/>
        <v>0</v>
      </c>
      <c r="EU133" s="82">
        <f t="shared" si="401"/>
        <v>0</v>
      </c>
      <c r="EV133" s="82">
        <f t="shared" si="402"/>
        <v>0</v>
      </c>
      <c r="EW133" s="82">
        <f t="shared" si="403"/>
        <v>0</v>
      </c>
      <c r="EX133" s="82">
        <f t="shared" si="404"/>
        <v>0</v>
      </c>
      <c r="EY133" s="111">
        <f t="shared" si="405"/>
        <v>0</v>
      </c>
      <c r="EZ133" s="143" t="e">
        <f t="shared" ca="1" si="406"/>
        <v>#N/A</v>
      </c>
      <c r="FA133" s="112" t="e">
        <f t="shared" ca="1" si="407"/>
        <v>#N/A</v>
      </c>
      <c r="FB133" s="113" t="e">
        <f t="shared" ca="1" si="408"/>
        <v>#N/A</v>
      </c>
      <c r="FC133" s="114" t="e">
        <f t="shared" ca="1" si="409"/>
        <v>#N/A</v>
      </c>
      <c r="FD133" s="115">
        <f t="shared" ca="1" si="410"/>
        <v>0</v>
      </c>
      <c r="FE133" s="116" t="e">
        <f t="shared" ca="1" si="411"/>
        <v>#N/A</v>
      </c>
      <c r="FF133" s="117" t="e">
        <f t="shared" ca="1" si="412"/>
        <v>#N/A</v>
      </c>
      <c r="FG133" s="71">
        <f t="shared" si="413"/>
        <v>0</v>
      </c>
      <c r="FH133" s="530" t="e">
        <f t="shared" ca="1" si="414"/>
        <v>#N/A</v>
      </c>
      <c r="FI133" s="72"/>
      <c r="FJ133" s="72"/>
      <c r="FK133" s="72"/>
      <c r="FM133" s="421">
        <f t="shared" si="318"/>
        <v>0</v>
      </c>
      <c r="FN133" s="422" t="e">
        <f t="shared" ca="1" si="319"/>
        <v>#N/A</v>
      </c>
      <c r="FO133" s="423">
        <f t="shared" ca="1" si="425"/>
        <v>0</v>
      </c>
      <c r="FP133" s="423">
        <f t="shared" ca="1" si="425"/>
        <v>0</v>
      </c>
      <c r="FQ133" s="423">
        <f t="shared" ca="1" si="425"/>
        <v>0</v>
      </c>
      <c r="FR133" s="423">
        <f t="shared" ca="1" si="425"/>
        <v>0</v>
      </c>
      <c r="FS133" s="423">
        <f t="shared" ca="1" si="425"/>
        <v>0</v>
      </c>
      <c r="FT133" s="423">
        <f t="shared" ca="1" si="425"/>
        <v>0</v>
      </c>
      <c r="FU133" s="423">
        <f t="shared" ca="1" si="425"/>
        <v>0</v>
      </c>
      <c r="FV133" s="423">
        <f t="shared" ca="1" si="425"/>
        <v>0</v>
      </c>
      <c r="FW133" s="423">
        <f t="shared" ca="1" si="425"/>
        <v>0</v>
      </c>
      <c r="FX133" s="423">
        <f t="shared" ca="1" si="425"/>
        <v>0</v>
      </c>
      <c r="FY133" s="423">
        <f t="shared" ca="1" si="425"/>
        <v>0</v>
      </c>
      <c r="FZ133" s="423">
        <f t="shared" ca="1" si="425"/>
        <v>0</v>
      </c>
      <c r="GA133" s="423">
        <f t="shared" ca="1" si="425"/>
        <v>0</v>
      </c>
      <c r="GB133" s="423">
        <f t="shared" ca="1" si="425"/>
        <v>0</v>
      </c>
      <c r="GC133" s="423">
        <f t="shared" ca="1" si="425"/>
        <v>0</v>
      </c>
      <c r="GD133" s="423">
        <f t="shared" ca="1" si="425"/>
        <v>0</v>
      </c>
      <c r="GE133" s="423">
        <f t="shared" ca="1" si="423"/>
        <v>0</v>
      </c>
      <c r="GF133" s="423">
        <f t="shared" ca="1" si="423"/>
        <v>0</v>
      </c>
      <c r="GG133" s="423">
        <f t="shared" ca="1" si="423"/>
        <v>0</v>
      </c>
      <c r="GH133" s="423">
        <f t="shared" ca="1" si="423"/>
        <v>0</v>
      </c>
      <c r="GI133" s="423">
        <f t="shared" ca="1" si="423"/>
        <v>0</v>
      </c>
      <c r="GJ133" s="423">
        <f t="shared" ca="1" si="423"/>
        <v>0</v>
      </c>
      <c r="GK133" s="423">
        <f t="shared" ca="1" si="423"/>
        <v>0</v>
      </c>
      <c r="GL133" s="423">
        <f t="shared" ca="1" si="423"/>
        <v>0</v>
      </c>
      <c r="GM133" s="423">
        <f t="shared" ca="1" si="423"/>
        <v>0</v>
      </c>
      <c r="GN133" s="423">
        <f t="shared" ca="1" si="423"/>
        <v>0</v>
      </c>
      <c r="GO133" s="423">
        <f t="shared" ca="1" si="423"/>
        <v>0</v>
      </c>
      <c r="GP133" s="423">
        <f t="shared" ca="1" si="423"/>
        <v>0</v>
      </c>
      <c r="GQ133" s="423">
        <f t="shared" ca="1" si="423"/>
        <v>0</v>
      </c>
      <c r="GR133" s="423">
        <f t="shared" ca="1" si="423"/>
        <v>0</v>
      </c>
      <c r="GS133" s="423">
        <f t="shared" ca="1" si="419"/>
        <v>0</v>
      </c>
      <c r="GT133" s="423">
        <f t="shared" ca="1" si="419"/>
        <v>0</v>
      </c>
      <c r="GU133" s="423">
        <f t="shared" ca="1" si="419"/>
        <v>0</v>
      </c>
      <c r="GV133" s="423">
        <f t="shared" ca="1" si="419"/>
        <v>0</v>
      </c>
      <c r="GW133" s="423">
        <f t="shared" ca="1" si="419"/>
        <v>0</v>
      </c>
      <c r="GX133" s="423">
        <f t="shared" ca="1" si="419"/>
        <v>0</v>
      </c>
      <c r="GY133" s="423">
        <f t="shared" ca="1" si="419"/>
        <v>0</v>
      </c>
      <c r="GZ133" s="423">
        <f t="shared" ca="1" si="419"/>
        <v>0</v>
      </c>
      <c r="HA133" s="423">
        <f t="shared" ca="1" si="419"/>
        <v>0</v>
      </c>
      <c r="HB133" s="423">
        <f t="shared" ca="1" si="419"/>
        <v>0</v>
      </c>
      <c r="HC133" s="423">
        <f t="shared" ca="1" si="419"/>
        <v>0</v>
      </c>
      <c r="HD133" s="423">
        <f t="shared" ca="1" si="419"/>
        <v>0</v>
      </c>
      <c r="HE133" s="423">
        <f t="shared" ca="1" si="419"/>
        <v>0</v>
      </c>
      <c r="HF133" s="423">
        <f t="shared" ca="1" si="419"/>
        <v>0</v>
      </c>
      <c r="HG133" s="423">
        <f t="shared" ca="1" si="419"/>
        <v>0</v>
      </c>
      <c r="HH133" s="423">
        <f t="shared" ca="1" si="419"/>
        <v>0</v>
      </c>
      <c r="HI133" s="423">
        <f t="shared" ca="1" si="424"/>
        <v>0</v>
      </c>
      <c r="HJ133" s="423">
        <f t="shared" ca="1" si="420"/>
        <v>0</v>
      </c>
      <c r="HK133" s="423">
        <f t="shared" ca="1" si="420"/>
        <v>0</v>
      </c>
      <c r="HL133" s="423">
        <f t="shared" ca="1" si="420"/>
        <v>0</v>
      </c>
      <c r="HM133" s="423">
        <f t="shared" ca="1" si="420"/>
        <v>0</v>
      </c>
      <c r="HN133" s="423">
        <f t="shared" ca="1" si="420"/>
        <v>0</v>
      </c>
      <c r="HO133" s="423">
        <f t="shared" ca="1" si="420"/>
        <v>0</v>
      </c>
      <c r="HP133" s="423">
        <f t="shared" ca="1" si="420"/>
        <v>0</v>
      </c>
      <c r="HQ133" s="423">
        <f t="shared" ca="1" si="420"/>
        <v>0</v>
      </c>
      <c r="HR133" s="423">
        <f t="shared" ca="1" si="420"/>
        <v>0</v>
      </c>
      <c r="HS133" s="423">
        <f t="shared" ca="1" si="420"/>
        <v>0</v>
      </c>
      <c r="HT133" s="423">
        <f t="shared" ca="1" si="420"/>
        <v>0</v>
      </c>
      <c r="HU133" s="423"/>
      <c r="HV133" s="423"/>
    </row>
    <row r="134" spans="1:230" ht="11.25" customHeight="1" x14ac:dyDescent="0.2">
      <c r="A134" s="62">
        <f t="shared" si="322"/>
        <v>123</v>
      </c>
      <c r="B134" s="60">
        <f>Spaces_Sum!C179</f>
        <v>0</v>
      </c>
      <c r="C134" s="62" t="str">
        <f>Spaces_Sum!D179</f>
        <v>0</v>
      </c>
      <c r="D134" s="62" t="e">
        <f ca="1">Spaces_Sum!I179</f>
        <v>#N/A</v>
      </c>
      <c r="F134" s="110" t="e">
        <f ca="1">Spaces_Sum!M179</f>
        <v>#N/A</v>
      </c>
      <c r="G134" s="110" t="e">
        <f ca="1">Spaces_Sum!J179</f>
        <v>#N/A</v>
      </c>
      <c r="H134" s="532"/>
      <c r="I134" s="185"/>
      <c r="J134" s="185"/>
      <c r="K134" s="186"/>
      <c r="L134" s="187"/>
      <c r="M134" s="188"/>
      <c r="N134" s="189"/>
      <c r="O134" s="186"/>
      <c r="P134" s="187"/>
      <c r="Q134" s="188"/>
      <c r="R134" s="189"/>
      <c r="S134" s="186"/>
      <c r="T134" s="187"/>
      <c r="U134" s="188"/>
      <c r="V134" s="189"/>
      <c r="W134" s="186"/>
      <c r="X134" s="187"/>
      <c r="Y134" s="188"/>
      <c r="Z134" s="189"/>
      <c r="AA134" s="186"/>
      <c r="AB134" s="187"/>
      <c r="AC134" s="188"/>
      <c r="AD134" s="189"/>
      <c r="AE134" s="186"/>
      <c r="AF134" s="187"/>
      <c r="AG134" s="188"/>
      <c r="AH134" s="189"/>
      <c r="AI134" s="186"/>
      <c r="AJ134" s="187"/>
      <c r="AK134" s="188"/>
      <c r="AL134" s="189"/>
      <c r="AM134" s="186"/>
      <c r="AN134" s="187"/>
      <c r="AO134" s="188"/>
      <c r="AP134" s="189"/>
      <c r="AQ134" s="186"/>
      <c r="AR134" s="187"/>
      <c r="AS134" s="188"/>
      <c r="AT134" s="189"/>
      <c r="AU134" s="186"/>
      <c r="AV134" s="187"/>
      <c r="AW134" s="188"/>
      <c r="AX134" s="189"/>
      <c r="AY134" s="186"/>
      <c r="AZ134" s="187"/>
      <c r="BA134" s="188"/>
      <c r="BB134" s="189"/>
      <c r="BC134" s="186"/>
      <c r="BD134" s="187"/>
      <c r="BE134" s="188"/>
      <c r="BF134" s="189"/>
      <c r="BG134" s="186"/>
      <c r="BH134" s="187"/>
      <c r="BI134" s="188"/>
      <c r="BJ134" s="189"/>
      <c r="BK134" s="186"/>
      <c r="BL134" s="187"/>
      <c r="BM134" s="188"/>
      <c r="BN134" s="189"/>
      <c r="BO134" s="186"/>
      <c r="BP134" s="187"/>
      <c r="BQ134" s="188"/>
      <c r="BR134" s="189"/>
      <c r="BS134" s="186"/>
      <c r="BT134" s="187"/>
      <c r="BU134" s="188"/>
      <c r="BV134" s="189"/>
      <c r="BW134" s="186"/>
      <c r="BX134" s="187"/>
      <c r="BY134" s="188"/>
      <c r="BZ134" s="189"/>
      <c r="CA134" s="186"/>
      <c r="CB134" s="190"/>
      <c r="CC134" s="190"/>
      <c r="CD134" s="82">
        <f t="shared" si="332"/>
        <v>0</v>
      </c>
      <c r="CE134" s="82">
        <f t="shared" si="333"/>
        <v>0</v>
      </c>
      <c r="CF134" s="82">
        <f t="shared" si="334"/>
        <v>0</v>
      </c>
      <c r="CG134" s="82">
        <f t="shared" si="335"/>
        <v>0</v>
      </c>
      <c r="CH134" s="82">
        <f t="shared" si="336"/>
        <v>0</v>
      </c>
      <c r="CI134" s="82">
        <f t="shared" si="337"/>
        <v>0</v>
      </c>
      <c r="CJ134" s="82">
        <f t="shared" si="338"/>
        <v>0</v>
      </c>
      <c r="CK134" s="82">
        <f t="shared" si="339"/>
        <v>0</v>
      </c>
      <c r="CL134" s="82">
        <f t="shared" si="340"/>
        <v>0</v>
      </c>
      <c r="CM134" s="82">
        <f t="shared" si="341"/>
        <v>0</v>
      </c>
      <c r="CN134" s="82">
        <f t="shared" si="342"/>
        <v>0</v>
      </c>
      <c r="CO134" s="82">
        <f t="shared" si="343"/>
        <v>0</v>
      </c>
      <c r="CP134" s="82">
        <f t="shared" si="344"/>
        <v>0</v>
      </c>
      <c r="CQ134" s="82">
        <f t="shared" si="345"/>
        <v>0</v>
      </c>
      <c r="CR134" s="82">
        <f t="shared" si="346"/>
        <v>0</v>
      </c>
      <c r="CS134" s="82">
        <f t="shared" si="347"/>
        <v>0</v>
      </c>
      <c r="CT134" s="82">
        <f t="shared" si="348"/>
        <v>0</v>
      </c>
      <c r="CU134" s="82">
        <f t="shared" si="349"/>
        <v>0</v>
      </c>
      <c r="CV134" s="82">
        <f t="shared" si="350"/>
        <v>0</v>
      </c>
      <c r="CW134" s="82">
        <f t="shared" si="351"/>
        <v>0</v>
      </c>
      <c r="CX134" s="82">
        <f t="shared" si="352"/>
        <v>0</v>
      </c>
      <c r="CY134" s="82">
        <f t="shared" si="353"/>
        <v>0</v>
      </c>
      <c r="CZ134" s="82">
        <f t="shared" si="354"/>
        <v>0</v>
      </c>
      <c r="DA134" s="82">
        <f t="shared" si="355"/>
        <v>0</v>
      </c>
      <c r="DB134" s="82">
        <f t="shared" si="356"/>
        <v>0</v>
      </c>
      <c r="DC134" s="82">
        <f t="shared" si="357"/>
        <v>0</v>
      </c>
      <c r="DD134" s="82">
        <f t="shared" si="358"/>
        <v>0</v>
      </c>
      <c r="DE134" s="82">
        <f t="shared" si="359"/>
        <v>0</v>
      </c>
      <c r="DF134" s="82">
        <f t="shared" si="360"/>
        <v>0</v>
      </c>
      <c r="DG134" s="82">
        <f t="shared" si="361"/>
        <v>0</v>
      </c>
      <c r="DH134" s="82">
        <f t="shared" si="362"/>
        <v>0</v>
      </c>
      <c r="DI134" s="82">
        <f t="shared" si="363"/>
        <v>0</v>
      </c>
      <c r="DJ134" s="82">
        <f t="shared" si="364"/>
        <v>0</v>
      </c>
      <c r="DK134" s="82">
        <f t="shared" si="365"/>
        <v>0</v>
      </c>
      <c r="DL134" s="82">
        <f t="shared" si="366"/>
        <v>0</v>
      </c>
      <c r="DM134" s="82">
        <f t="shared" si="367"/>
        <v>0</v>
      </c>
      <c r="DN134" s="82">
        <f t="shared" si="368"/>
        <v>0</v>
      </c>
      <c r="DO134" s="82">
        <f t="shared" si="369"/>
        <v>0</v>
      </c>
      <c r="DP134" s="82">
        <f t="shared" si="370"/>
        <v>0</v>
      </c>
      <c r="DQ134" s="82">
        <f t="shared" si="371"/>
        <v>0</v>
      </c>
      <c r="DR134" s="82">
        <f t="shared" si="372"/>
        <v>0</v>
      </c>
      <c r="DS134" s="82">
        <f t="shared" si="373"/>
        <v>0</v>
      </c>
      <c r="DT134" s="82">
        <f t="shared" si="374"/>
        <v>0</v>
      </c>
      <c r="DU134" s="82">
        <f t="shared" si="375"/>
        <v>0</v>
      </c>
      <c r="DV134" s="82">
        <f t="shared" si="376"/>
        <v>0</v>
      </c>
      <c r="DW134" s="82">
        <f t="shared" si="377"/>
        <v>0</v>
      </c>
      <c r="DX134" s="82">
        <f t="shared" si="378"/>
        <v>0</v>
      </c>
      <c r="DY134" s="82">
        <f t="shared" si="379"/>
        <v>0</v>
      </c>
      <c r="DZ134" s="82">
        <f t="shared" si="380"/>
        <v>0</v>
      </c>
      <c r="EA134" s="82">
        <f t="shared" si="381"/>
        <v>0</v>
      </c>
      <c r="EB134" s="82">
        <f t="shared" si="382"/>
        <v>0</v>
      </c>
      <c r="EC134" s="82">
        <f t="shared" si="383"/>
        <v>0</v>
      </c>
      <c r="ED134" s="82">
        <f t="shared" si="384"/>
        <v>0</v>
      </c>
      <c r="EE134" s="82">
        <f t="shared" si="385"/>
        <v>0</v>
      </c>
      <c r="EF134" s="82">
        <f t="shared" si="386"/>
        <v>0</v>
      </c>
      <c r="EG134" s="82">
        <f t="shared" si="387"/>
        <v>0</v>
      </c>
      <c r="EH134" s="82">
        <f t="shared" si="388"/>
        <v>0</v>
      </c>
      <c r="EI134" s="82">
        <f t="shared" si="389"/>
        <v>0</v>
      </c>
      <c r="EJ134" s="82">
        <f t="shared" si="390"/>
        <v>0</v>
      </c>
      <c r="EK134" s="82">
        <f t="shared" si="391"/>
        <v>0</v>
      </c>
      <c r="EL134" s="82">
        <f t="shared" si="392"/>
        <v>0</v>
      </c>
      <c r="EM134" s="82">
        <f t="shared" si="393"/>
        <v>0</v>
      </c>
      <c r="EN134" s="82">
        <f t="shared" si="394"/>
        <v>0</v>
      </c>
      <c r="EO134" s="82">
        <f t="shared" si="395"/>
        <v>0</v>
      </c>
      <c r="EP134" s="82">
        <f t="shared" si="396"/>
        <v>0</v>
      </c>
      <c r="EQ134" s="82">
        <f t="shared" si="397"/>
        <v>0</v>
      </c>
      <c r="ER134" s="82">
        <f t="shared" si="398"/>
        <v>0</v>
      </c>
      <c r="ES134" s="82">
        <f t="shared" si="399"/>
        <v>0</v>
      </c>
      <c r="ET134" s="82">
        <f t="shared" si="400"/>
        <v>0</v>
      </c>
      <c r="EU134" s="82">
        <f t="shared" si="401"/>
        <v>0</v>
      </c>
      <c r="EV134" s="82">
        <f t="shared" si="402"/>
        <v>0</v>
      </c>
      <c r="EW134" s="82">
        <f t="shared" si="403"/>
        <v>0</v>
      </c>
      <c r="EX134" s="82">
        <f t="shared" si="404"/>
        <v>0</v>
      </c>
      <c r="EY134" s="111">
        <f t="shared" si="405"/>
        <v>0</v>
      </c>
      <c r="EZ134" s="143" t="e">
        <f t="shared" ca="1" si="406"/>
        <v>#N/A</v>
      </c>
      <c r="FA134" s="112" t="e">
        <f t="shared" ca="1" si="407"/>
        <v>#N/A</v>
      </c>
      <c r="FB134" s="113" t="e">
        <f t="shared" ca="1" si="408"/>
        <v>#N/A</v>
      </c>
      <c r="FC134" s="114" t="e">
        <f t="shared" ca="1" si="409"/>
        <v>#N/A</v>
      </c>
      <c r="FD134" s="115">
        <f t="shared" ca="1" si="410"/>
        <v>0</v>
      </c>
      <c r="FE134" s="116" t="e">
        <f t="shared" ca="1" si="411"/>
        <v>#N/A</v>
      </c>
      <c r="FF134" s="117" t="e">
        <f t="shared" ca="1" si="412"/>
        <v>#N/A</v>
      </c>
      <c r="FG134" s="71">
        <f t="shared" si="413"/>
        <v>0</v>
      </c>
      <c r="FH134" s="530" t="e">
        <f t="shared" ca="1" si="414"/>
        <v>#N/A</v>
      </c>
      <c r="FI134" s="72"/>
      <c r="FJ134" s="72"/>
      <c r="FK134" s="72"/>
      <c r="FM134" s="421">
        <f t="shared" si="318"/>
        <v>0</v>
      </c>
      <c r="FN134" s="422" t="e">
        <f t="shared" ca="1" si="319"/>
        <v>#N/A</v>
      </c>
      <c r="FO134" s="423">
        <f t="shared" ca="1" si="425"/>
        <v>0</v>
      </c>
      <c r="FP134" s="423">
        <f t="shared" ca="1" si="425"/>
        <v>0</v>
      </c>
      <c r="FQ134" s="423">
        <f t="shared" ca="1" si="425"/>
        <v>0</v>
      </c>
      <c r="FR134" s="423">
        <f t="shared" ca="1" si="425"/>
        <v>0</v>
      </c>
      <c r="FS134" s="423">
        <f t="shared" ca="1" si="425"/>
        <v>0</v>
      </c>
      <c r="FT134" s="423">
        <f t="shared" ca="1" si="425"/>
        <v>0</v>
      </c>
      <c r="FU134" s="423">
        <f t="shared" ca="1" si="425"/>
        <v>0</v>
      </c>
      <c r="FV134" s="423">
        <f t="shared" ca="1" si="425"/>
        <v>0</v>
      </c>
      <c r="FW134" s="423">
        <f t="shared" ca="1" si="425"/>
        <v>0</v>
      </c>
      <c r="FX134" s="423">
        <f t="shared" ca="1" si="425"/>
        <v>0</v>
      </c>
      <c r="FY134" s="423">
        <f t="shared" ca="1" si="425"/>
        <v>0</v>
      </c>
      <c r="FZ134" s="423">
        <f t="shared" ca="1" si="425"/>
        <v>0</v>
      </c>
      <c r="GA134" s="423">
        <f t="shared" ca="1" si="425"/>
        <v>0</v>
      </c>
      <c r="GB134" s="423">
        <f t="shared" ca="1" si="425"/>
        <v>0</v>
      </c>
      <c r="GC134" s="423">
        <f t="shared" ca="1" si="425"/>
        <v>0</v>
      </c>
      <c r="GD134" s="423">
        <f t="shared" ca="1" si="425"/>
        <v>0</v>
      </c>
      <c r="GE134" s="423">
        <f t="shared" ca="1" si="423"/>
        <v>0</v>
      </c>
      <c r="GF134" s="423">
        <f t="shared" ca="1" si="423"/>
        <v>0</v>
      </c>
      <c r="GG134" s="423">
        <f t="shared" ca="1" si="423"/>
        <v>0</v>
      </c>
      <c r="GH134" s="423">
        <f t="shared" ca="1" si="423"/>
        <v>0</v>
      </c>
      <c r="GI134" s="423">
        <f t="shared" ca="1" si="423"/>
        <v>0</v>
      </c>
      <c r="GJ134" s="423">
        <f t="shared" ca="1" si="423"/>
        <v>0</v>
      </c>
      <c r="GK134" s="423">
        <f t="shared" ca="1" si="423"/>
        <v>0</v>
      </c>
      <c r="GL134" s="423">
        <f t="shared" ca="1" si="423"/>
        <v>0</v>
      </c>
      <c r="GM134" s="423">
        <f t="shared" ca="1" si="423"/>
        <v>0</v>
      </c>
      <c r="GN134" s="423">
        <f t="shared" ca="1" si="423"/>
        <v>0</v>
      </c>
      <c r="GO134" s="423">
        <f t="shared" ca="1" si="423"/>
        <v>0</v>
      </c>
      <c r="GP134" s="423">
        <f t="shared" ca="1" si="423"/>
        <v>0</v>
      </c>
      <c r="GQ134" s="423">
        <f t="shared" ca="1" si="423"/>
        <v>0</v>
      </c>
      <c r="GR134" s="423">
        <f t="shared" ca="1" si="423"/>
        <v>0</v>
      </c>
      <c r="GS134" s="423">
        <f t="shared" ca="1" si="419"/>
        <v>0</v>
      </c>
      <c r="GT134" s="423">
        <f t="shared" ca="1" si="419"/>
        <v>0</v>
      </c>
      <c r="GU134" s="423">
        <f t="shared" ca="1" si="419"/>
        <v>0</v>
      </c>
      <c r="GV134" s="423">
        <f t="shared" ca="1" si="419"/>
        <v>0</v>
      </c>
      <c r="GW134" s="423">
        <f t="shared" ca="1" si="419"/>
        <v>0</v>
      </c>
      <c r="GX134" s="423">
        <f t="shared" ca="1" si="419"/>
        <v>0</v>
      </c>
      <c r="GY134" s="423">
        <f t="shared" ca="1" si="419"/>
        <v>0</v>
      </c>
      <c r="GZ134" s="423">
        <f t="shared" ca="1" si="419"/>
        <v>0</v>
      </c>
      <c r="HA134" s="423">
        <f t="shared" ca="1" si="419"/>
        <v>0</v>
      </c>
      <c r="HB134" s="423">
        <f t="shared" ca="1" si="419"/>
        <v>0</v>
      </c>
      <c r="HC134" s="423">
        <f t="shared" ca="1" si="419"/>
        <v>0</v>
      </c>
      <c r="HD134" s="423">
        <f t="shared" ca="1" si="419"/>
        <v>0</v>
      </c>
      <c r="HE134" s="423">
        <f t="shared" ca="1" si="419"/>
        <v>0</v>
      </c>
      <c r="HF134" s="423">
        <f t="shared" ca="1" si="419"/>
        <v>0</v>
      </c>
      <c r="HG134" s="423">
        <f t="shared" ca="1" si="419"/>
        <v>0</v>
      </c>
      <c r="HH134" s="423">
        <f t="shared" ca="1" si="419"/>
        <v>0</v>
      </c>
      <c r="HI134" s="423">
        <f t="shared" ca="1" si="424"/>
        <v>0</v>
      </c>
      <c r="HJ134" s="423">
        <f t="shared" ca="1" si="420"/>
        <v>0</v>
      </c>
      <c r="HK134" s="423">
        <f t="shared" ca="1" si="420"/>
        <v>0</v>
      </c>
      <c r="HL134" s="423">
        <f t="shared" ca="1" si="420"/>
        <v>0</v>
      </c>
      <c r="HM134" s="423">
        <f t="shared" ca="1" si="420"/>
        <v>0</v>
      </c>
      <c r="HN134" s="423">
        <f t="shared" ca="1" si="420"/>
        <v>0</v>
      </c>
      <c r="HO134" s="423">
        <f t="shared" ca="1" si="420"/>
        <v>0</v>
      </c>
      <c r="HP134" s="423">
        <f t="shared" ca="1" si="420"/>
        <v>0</v>
      </c>
      <c r="HQ134" s="423">
        <f t="shared" ca="1" si="420"/>
        <v>0</v>
      </c>
      <c r="HR134" s="423">
        <f t="shared" ca="1" si="420"/>
        <v>0</v>
      </c>
      <c r="HS134" s="423">
        <f t="shared" ca="1" si="420"/>
        <v>0</v>
      </c>
      <c r="HT134" s="423">
        <f t="shared" ca="1" si="420"/>
        <v>0</v>
      </c>
      <c r="HU134" s="423"/>
      <c r="HV134" s="423"/>
    </row>
    <row r="135" spans="1:230" ht="11.25" customHeight="1" x14ac:dyDescent="0.2">
      <c r="A135" s="62">
        <f t="shared" si="322"/>
        <v>124</v>
      </c>
      <c r="B135" s="60">
        <f>Spaces_Sum!C180</f>
        <v>0</v>
      </c>
      <c r="C135" s="62" t="str">
        <f>Spaces_Sum!D180</f>
        <v>0</v>
      </c>
      <c r="D135" s="62" t="e">
        <f ca="1">Spaces_Sum!I180</f>
        <v>#N/A</v>
      </c>
      <c r="F135" s="110" t="e">
        <f ca="1">Spaces_Sum!M180</f>
        <v>#N/A</v>
      </c>
      <c r="G135" s="110" t="e">
        <f ca="1">Spaces_Sum!J180</f>
        <v>#N/A</v>
      </c>
      <c r="H135" s="532"/>
      <c r="I135" s="185"/>
      <c r="J135" s="185"/>
      <c r="K135" s="186"/>
      <c r="L135" s="187"/>
      <c r="M135" s="188"/>
      <c r="N135" s="189"/>
      <c r="O135" s="186"/>
      <c r="P135" s="187"/>
      <c r="Q135" s="188"/>
      <c r="R135" s="189"/>
      <c r="S135" s="186"/>
      <c r="T135" s="187"/>
      <c r="U135" s="188"/>
      <c r="V135" s="189"/>
      <c r="W135" s="186"/>
      <c r="X135" s="187"/>
      <c r="Y135" s="188"/>
      <c r="Z135" s="189"/>
      <c r="AA135" s="186"/>
      <c r="AB135" s="187"/>
      <c r="AC135" s="188"/>
      <c r="AD135" s="189"/>
      <c r="AE135" s="186"/>
      <c r="AF135" s="187"/>
      <c r="AG135" s="188"/>
      <c r="AH135" s="189"/>
      <c r="AI135" s="186"/>
      <c r="AJ135" s="187"/>
      <c r="AK135" s="188"/>
      <c r="AL135" s="189"/>
      <c r="AM135" s="186"/>
      <c r="AN135" s="187"/>
      <c r="AO135" s="188"/>
      <c r="AP135" s="189"/>
      <c r="AQ135" s="186"/>
      <c r="AR135" s="187"/>
      <c r="AS135" s="188"/>
      <c r="AT135" s="189"/>
      <c r="AU135" s="186"/>
      <c r="AV135" s="187"/>
      <c r="AW135" s="188"/>
      <c r="AX135" s="189"/>
      <c r="AY135" s="186"/>
      <c r="AZ135" s="187"/>
      <c r="BA135" s="188"/>
      <c r="BB135" s="189"/>
      <c r="BC135" s="186"/>
      <c r="BD135" s="187"/>
      <c r="BE135" s="188"/>
      <c r="BF135" s="189"/>
      <c r="BG135" s="186"/>
      <c r="BH135" s="187"/>
      <c r="BI135" s="188"/>
      <c r="BJ135" s="189"/>
      <c r="BK135" s="186"/>
      <c r="BL135" s="187"/>
      <c r="BM135" s="188"/>
      <c r="BN135" s="189"/>
      <c r="BO135" s="186"/>
      <c r="BP135" s="187"/>
      <c r="BQ135" s="188"/>
      <c r="BR135" s="189"/>
      <c r="BS135" s="186"/>
      <c r="BT135" s="187"/>
      <c r="BU135" s="188"/>
      <c r="BV135" s="189"/>
      <c r="BW135" s="186"/>
      <c r="BX135" s="187"/>
      <c r="BY135" s="188"/>
      <c r="BZ135" s="189"/>
      <c r="CA135" s="186"/>
      <c r="CB135" s="190"/>
      <c r="CC135" s="190"/>
      <c r="CD135" s="82">
        <f t="shared" si="332"/>
        <v>0</v>
      </c>
      <c r="CE135" s="82">
        <f t="shared" si="333"/>
        <v>0</v>
      </c>
      <c r="CF135" s="82">
        <f t="shared" si="334"/>
        <v>0</v>
      </c>
      <c r="CG135" s="82">
        <f t="shared" si="335"/>
        <v>0</v>
      </c>
      <c r="CH135" s="82">
        <f t="shared" si="336"/>
        <v>0</v>
      </c>
      <c r="CI135" s="82">
        <f t="shared" si="337"/>
        <v>0</v>
      </c>
      <c r="CJ135" s="82">
        <f t="shared" si="338"/>
        <v>0</v>
      </c>
      <c r="CK135" s="82">
        <f t="shared" si="339"/>
        <v>0</v>
      </c>
      <c r="CL135" s="82">
        <f t="shared" si="340"/>
        <v>0</v>
      </c>
      <c r="CM135" s="82">
        <f t="shared" si="341"/>
        <v>0</v>
      </c>
      <c r="CN135" s="82">
        <f t="shared" si="342"/>
        <v>0</v>
      </c>
      <c r="CO135" s="82">
        <f t="shared" si="343"/>
        <v>0</v>
      </c>
      <c r="CP135" s="82">
        <f t="shared" si="344"/>
        <v>0</v>
      </c>
      <c r="CQ135" s="82">
        <f t="shared" si="345"/>
        <v>0</v>
      </c>
      <c r="CR135" s="82">
        <f t="shared" si="346"/>
        <v>0</v>
      </c>
      <c r="CS135" s="82">
        <f t="shared" si="347"/>
        <v>0</v>
      </c>
      <c r="CT135" s="82">
        <f t="shared" si="348"/>
        <v>0</v>
      </c>
      <c r="CU135" s="82">
        <f t="shared" si="349"/>
        <v>0</v>
      </c>
      <c r="CV135" s="82">
        <f t="shared" si="350"/>
        <v>0</v>
      </c>
      <c r="CW135" s="82">
        <f t="shared" si="351"/>
        <v>0</v>
      </c>
      <c r="CX135" s="82">
        <f t="shared" si="352"/>
        <v>0</v>
      </c>
      <c r="CY135" s="82">
        <f t="shared" si="353"/>
        <v>0</v>
      </c>
      <c r="CZ135" s="82">
        <f t="shared" si="354"/>
        <v>0</v>
      </c>
      <c r="DA135" s="82">
        <f t="shared" si="355"/>
        <v>0</v>
      </c>
      <c r="DB135" s="82">
        <f t="shared" si="356"/>
        <v>0</v>
      </c>
      <c r="DC135" s="82">
        <f t="shared" si="357"/>
        <v>0</v>
      </c>
      <c r="DD135" s="82">
        <f t="shared" si="358"/>
        <v>0</v>
      </c>
      <c r="DE135" s="82">
        <f t="shared" si="359"/>
        <v>0</v>
      </c>
      <c r="DF135" s="82">
        <f t="shared" si="360"/>
        <v>0</v>
      </c>
      <c r="DG135" s="82">
        <f t="shared" si="361"/>
        <v>0</v>
      </c>
      <c r="DH135" s="82">
        <f t="shared" si="362"/>
        <v>0</v>
      </c>
      <c r="DI135" s="82">
        <f t="shared" si="363"/>
        <v>0</v>
      </c>
      <c r="DJ135" s="82">
        <f t="shared" si="364"/>
        <v>0</v>
      </c>
      <c r="DK135" s="82">
        <f t="shared" si="365"/>
        <v>0</v>
      </c>
      <c r="DL135" s="82">
        <f t="shared" si="366"/>
        <v>0</v>
      </c>
      <c r="DM135" s="82">
        <f t="shared" si="367"/>
        <v>0</v>
      </c>
      <c r="DN135" s="82">
        <f t="shared" si="368"/>
        <v>0</v>
      </c>
      <c r="DO135" s="82">
        <f t="shared" si="369"/>
        <v>0</v>
      </c>
      <c r="DP135" s="82">
        <f t="shared" si="370"/>
        <v>0</v>
      </c>
      <c r="DQ135" s="82">
        <f t="shared" si="371"/>
        <v>0</v>
      </c>
      <c r="DR135" s="82">
        <f t="shared" si="372"/>
        <v>0</v>
      </c>
      <c r="DS135" s="82">
        <f t="shared" si="373"/>
        <v>0</v>
      </c>
      <c r="DT135" s="82">
        <f t="shared" si="374"/>
        <v>0</v>
      </c>
      <c r="DU135" s="82">
        <f t="shared" si="375"/>
        <v>0</v>
      </c>
      <c r="DV135" s="82">
        <f t="shared" si="376"/>
        <v>0</v>
      </c>
      <c r="DW135" s="82">
        <f t="shared" si="377"/>
        <v>0</v>
      </c>
      <c r="DX135" s="82">
        <f t="shared" si="378"/>
        <v>0</v>
      </c>
      <c r="DY135" s="82">
        <f t="shared" si="379"/>
        <v>0</v>
      </c>
      <c r="DZ135" s="82">
        <f t="shared" si="380"/>
        <v>0</v>
      </c>
      <c r="EA135" s="82">
        <f t="shared" si="381"/>
        <v>0</v>
      </c>
      <c r="EB135" s="82">
        <f t="shared" si="382"/>
        <v>0</v>
      </c>
      <c r="EC135" s="82">
        <f t="shared" si="383"/>
        <v>0</v>
      </c>
      <c r="ED135" s="82">
        <f t="shared" si="384"/>
        <v>0</v>
      </c>
      <c r="EE135" s="82">
        <f t="shared" si="385"/>
        <v>0</v>
      </c>
      <c r="EF135" s="82">
        <f t="shared" si="386"/>
        <v>0</v>
      </c>
      <c r="EG135" s="82">
        <f t="shared" si="387"/>
        <v>0</v>
      </c>
      <c r="EH135" s="82">
        <f t="shared" si="388"/>
        <v>0</v>
      </c>
      <c r="EI135" s="82">
        <f t="shared" si="389"/>
        <v>0</v>
      </c>
      <c r="EJ135" s="82">
        <f t="shared" si="390"/>
        <v>0</v>
      </c>
      <c r="EK135" s="82">
        <f t="shared" si="391"/>
        <v>0</v>
      </c>
      <c r="EL135" s="82">
        <f t="shared" si="392"/>
        <v>0</v>
      </c>
      <c r="EM135" s="82">
        <f t="shared" si="393"/>
        <v>0</v>
      </c>
      <c r="EN135" s="82">
        <f t="shared" si="394"/>
        <v>0</v>
      </c>
      <c r="EO135" s="82">
        <f t="shared" si="395"/>
        <v>0</v>
      </c>
      <c r="EP135" s="82">
        <f t="shared" si="396"/>
        <v>0</v>
      </c>
      <c r="EQ135" s="82">
        <f t="shared" si="397"/>
        <v>0</v>
      </c>
      <c r="ER135" s="82">
        <f t="shared" si="398"/>
        <v>0</v>
      </c>
      <c r="ES135" s="82">
        <f t="shared" si="399"/>
        <v>0</v>
      </c>
      <c r="ET135" s="82">
        <f t="shared" si="400"/>
        <v>0</v>
      </c>
      <c r="EU135" s="82">
        <f t="shared" si="401"/>
        <v>0</v>
      </c>
      <c r="EV135" s="82">
        <f t="shared" si="402"/>
        <v>0</v>
      </c>
      <c r="EW135" s="82">
        <f t="shared" si="403"/>
        <v>0</v>
      </c>
      <c r="EX135" s="82">
        <f t="shared" si="404"/>
        <v>0</v>
      </c>
      <c r="EY135" s="111">
        <f t="shared" si="405"/>
        <v>0</v>
      </c>
      <c r="EZ135" s="143" t="e">
        <f t="shared" ca="1" si="406"/>
        <v>#N/A</v>
      </c>
      <c r="FA135" s="112" t="e">
        <f t="shared" ca="1" si="407"/>
        <v>#N/A</v>
      </c>
      <c r="FB135" s="113" t="e">
        <f t="shared" ca="1" si="408"/>
        <v>#N/A</v>
      </c>
      <c r="FC135" s="114" t="e">
        <f t="shared" ca="1" si="409"/>
        <v>#N/A</v>
      </c>
      <c r="FD135" s="115">
        <f t="shared" ca="1" si="410"/>
        <v>0</v>
      </c>
      <c r="FE135" s="116" t="e">
        <f t="shared" ca="1" si="411"/>
        <v>#N/A</v>
      </c>
      <c r="FF135" s="117" t="e">
        <f t="shared" ca="1" si="412"/>
        <v>#N/A</v>
      </c>
      <c r="FG135" s="71">
        <f t="shared" si="413"/>
        <v>0</v>
      </c>
      <c r="FH135" s="530" t="e">
        <f t="shared" ca="1" si="414"/>
        <v>#N/A</v>
      </c>
      <c r="FI135" s="72"/>
      <c r="FJ135" s="72"/>
      <c r="FK135" s="72"/>
      <c r="FM135" s="421">
        <f t="shared" si="318"/>
        <v>0</v>
      </c>
      <c r="FN135" s="422" t="e">
        <f t="shared" ca="1" si="319"/>
        <v>#N/A</v>
      </c>
      <c r="FO135" s="423">
        <f t="shared" ca="1" si="425"/>
        <v>0</v>
      </c>
      <c r="FP135" s="423">
        <f t="shared" ca="1" si="425"/>
        <v>0</v>
      </c>
      <c r="FQ135" s="423">
        <f t="shared" ca="1" si="425"/>
        <v>0</v>
      </c>
      <c r="FR135" s="423">
        <f t="shared" ca="1" si="425"/>
        <v>0</v>
      </c>
      <c r="FS135" s="423">
        <f t="shared" ca="1" si="425"/>
        <v>0</v>
      </c>
      <c r="FT135" s="423">
        <f t="shared" ca="1" si="425"/>
        <v>0</v>
      </c>
      <c r="FU135" s="423">
        <f t="shared" ca="1" si="425"/>
        <v>0</v>
      </c>
      <c r="FV135" s="423">
        <f t="shared" ca="1" si="425"/>
        <v>0</v>
      </c>
      <c r="FW135" s="423">
        <f t="shared" ca="1" si="425"/>
        <v>0</v>
      </c>
      <c r="FX135" s="423">
        <f t="shared" ca="1" si="425"/>
        <v>0</v>
      </c>
      <c r="FY135" s="423">
        <f t="shared" ca="1" si="425"/>
        <v>0</v>
      </c>
      <c r="FZ135" s="423">
        <f t="shared" ca="1" si="425"/>
        <v>0</v>
      </c>
      <c r="GA135" s="423">
        <f t="shared" ca="1" si="425"/>
        <v>0</v>
      </c>
      <c r="GB135" s="423">
        <f t="shared" ca="1" si="425"/>
        <v>0</v>
      </c>
      <c r="GC135" s="423">
        <f t="shared" ca="1" si="425"/>
        <v>0</v>
      </c>
      <c r="GD135" s="423">
        <f t="shared" ca="1" si="425"/>
        <v>0</v>
      </c>
      <c r="GE135" s="423">
        <f t="shared" ca="1" si="423"/>
        <v>0</v>
      </c>
      <c r="GF135" s="423">
        <f t="shared" ca="1" si="423"/>
        <v>0</v>
      </c>
      <c r="GG135" s="423">
        <f t="shared" ca="1" si="423"/>
        <v>0</v>
      </c>
      <c r="GH135" s="423">
        <f t="shared" ca="1" si="423"/>
        <v>0</v>
      </c>
      <c r="GI135" s="423">
        <f t="shared" ca="1" si="423"/>
        <v>0</v>
      </c>
      <c r="GJ135" s="423">
        <f t="shared" ca="1" si="423"/>
        <v>0</v>
      </c>
      <c r="GK135" s="423">
        <f t="shared" ca="1" si="423"/>
        <v>0</v>
      </c>
      <c r="GL135" s="423">
        <f t="shared" ca="1" si="423"/>
        <v>0</v>
      </c>
      <c r="GM135" s="423">
        <f t="shared" ca="1" si="423"/>
        <v>0</v>
      </c>
      <c r="GN135" s="423">
        <f t="shared" ca="1" si="423"/>
        <v>0</v>
      </c>
      <c r="GO135" s="423">
        <f t="shared" ca="1" si="423"/>
        <v>0</v>
      </c>
      <c r="GP135" s="423">
        <f t="shared" ca="1" si="423"/>
        <v>0</v>
      </c>
      <c r="GQ135" s="423">
        <f t="shared" ca="1" si="423"/>
        <v>0</v>
      </c>
      <c r="GR135" s="423">
        <f t="shared" ca="1" si="423"/>
        <v>0</v>
      </c>
      <c r="GS135" s="423">
        <f t="shared" ca="1" si="419"/>
        <v>0</v>
      </c>
      <c r="GT135" s="423">
        <f t="shared" ca="1" si="419"/>
        <v>0</v>
      </c>
      <c r="GU135" s="423">
        <f t="shared" ca="1" si="419"/>
        <v>0</v>
      </c>
      <c r="GV135" s="423">
        <f t="shared" ca="1" si="419"/>
        <v>0</v>
      </c>
      <c r="GW135" s="423">
        <f t="shared" ca="1" si="419"/>
        <v>0</v>
      </c>
      <c r="GX135" s="423">
        <f t="shared" ca="1" si="419"/>
        <v>0</v>
      </c>
      <c r="GY135" s="423">
        <f t="shared" ca="1" si="419"/>
        <v>0</v>
      </c>
      <c r="GZ135" s="423">
        <f t="shared" ca="1" si="419"/>
        <v>0</v>
      </c>
      <c r="HA135" s="423">
        <f t="shared" ca="1" si="419"/>
        <v>0</v>
      </c>
      <c r="HB135" s="423">
        <f t="shared" ca="1" si="419"/>
        <v>0</v>
      </c>
      <c r="HC135" s="423">
        <f t="shared" ca="1" si="419"/>
        <v>0</v>
      </c>
      <c r="HD135" s="423">
        <f t="shared" ca="1" si="419"/>
        <v>0</v>
      </c>
      <c r="HE135" s="423">
        <f t="shared" ca="1" si="419"/>
        <v>0</v>
      </c>
      <c r="HF135" s="423">
        <f t="shared" ca="1" si="419"/>
        <v>0</v>
      </c>
      <c r="HG135" s="423">
        <f t="shared" ca="1" si="419"/>
        <v>0</v>
      </c>
      <c r="HH135" s="423">
        <f t="shared" ca="1" si="419"/>
        <v>0</v>
      </c>
      <c r="HI135" s="423">
        <f t="shared" ca="1" si="424"/>
        <v>0</v>
      </c>
      <c r="HJ135" s="423">
        <f t="shared" ca="1" si="420"/>
        <v>0</v>
      </c>
      <c r="HK135" s="423">
        <f t="shared" ca="1" si="420"/>
        <v>0</v>
      </c>
      <c r="HL135" s="423">
        <f t="shared" ca="1" si="420"/>
        <v>0</v>
      </c>
      <c r="HM135" s="423">
        <f t="shared" ca="1" si="420"/>
        <v>0</v>
      </c>
      <c r="HN135" s="423">
        <f t="shared" ca="1" si="420"/>
        <v>0</v>
      </c>
      <c r="HO135" s="423">
        <f t="shared" ca="1" si="420"/>
        <v>0</v>
      </c>
      <c r="HP135" s="423">
        <f t="shared" ca="1" si="420"/>
        <v>0</v>
      </c>
      <c r="HQ135" s="423">
        <f t="shared" ca="1" si="420"/>
        <v>0</v>
      </c>
      <c r="HR135" s="423">
        <f t="shared" ca="1" si="420"/>
        <v>0</v>
      </c>
      <c r="HS135" s="423">
        <f t="shared" ca="1" si="420"/>
        <v>0</v>
      </c>
      <c r="HT135" s="423">
        <f t="shared" ca="1" si="420"/>
        <v>0</v>
      </c>
      <c r="HU135" s="423"/>
      <c r="HV135" s="423"/>
    </row>
    <row r="136" spans="1:230" ht="11.25" customHeight="1" x14ac:dyDescent="0.2">
      <c r="A136" s="62">
        <f t="shared" si="322"/>
        <v>125</v>
      </c>
      <c r="B136" s="60">
        <f>Spaces_Sum!C181</f>
        <v>0</v>
      </c>
      <c r="C136" s="62" t="str">
        <f>Spaces_Sum!D181</f>
        <v>0</v>
      </c>
      <c r="D136" s="62" t="e">
        <f ca="1">Spaces_Sum!I181</f>
        <v>#N/A</v>
      </c>
      <c r="F136" s="110" t="e">
        <f ca="1">Spaces_Sum!M181</f>
        <v>#N/A</v>
      </c>
      <c r="G136" s="110" t="e">
        <f ca="1">Spaces_Sum!J181</f>
        <v>#N/A</v>
      </c>
      <c r="H136" s="532"/>
      <c r="I136" s="185"/>
      <c r="J136" s="185"/>
      <c r="K136" s="186"/>
      <c r="L136" s="187"/>
      <c r="M136" s="188"/>
      <c r="N136" s="189"/>
      <c r="O136" s="186"/>
      <c r="P136" s="187"/>
      <c r="Q136" s="188"/>
      <c r="R136" s="189"/>
      <c r="S136" s="186"/>
      <c r="T136" s="187"/>
      <c r="U136" s="188"/>
      <c r="V136" s="189"/>
      <c r="W136" s="186"/>
      <c r="X136" s="187"/>
      <c r="Y136" s="188"/>
      <c r="Z136" s="189"/>
      <c r="AA136" s="186"/>
      <c r="AB136" s="187"/>
      <c r="AC136" s="188"/>
      <c r="AD136" s="189"/>
      <c r="AE136" s="186"/>
      <c r="AF136" s="187"/>
      <c r="AG136" s="188"/>
      <c r="AH136" s="189"/>
      <c r="AI136" s="186"/>
      <c r="AJ136" s="187"/>
      <c r="AK136" s="188"/>
      <c r="AL136" s="189"/>
      <c r="AM136" s="186"/>
      <c r="AN136" s="187"/>
      <c r="AO136" s="188"/>
      <c r="AP136" s="189"/>
      <c r="AQ136" s="186"/>
      <c r="AR136" s="187"/>
      <c r="AS136" s="188"/>
      <c r="AT136" s="189"/>
      <c r="AU136" s="186"/>
      <c r="AV136" s="187"/>
      <c r="AW136" s="188"/>
      <c r="AX136" s="189"/>
      <c r="AY136" s="186"/>
      <c r="AZ136" s="187"/>
      <c r="BA136" s="188"/>
      <c r="BB136" s="189"/>
      <c r="BC136" s="186"/>
      <c r="BD136" s="187"/>
      <c r="BE136" s="188"/>
      <c r="BF136" s="189"/>
      <c r="BG136" s="186"/>
      <c r="BH136" s="187"/>
      <c r="BI136" s="188"/>
      <c r="BJ136" s="189"/>
      <c r="BK136" s="186"/>
      <c r="BL136" s="187"/>
      <c r="BM136" s="188"/>
      <c r="BN136" s="189"/>
      <c r="BO136" s="186"/>
      <c r="BP136" s="187"/>
      <c r="BQ136" s="188"/>
      <c r="BR136" s="189"/>
      <c r="BS136" s="186"/>
      <c r="BT136" s="187"/>
      <c r="BU136" s="188"/>
      <c r="BV136" s="189"/>
      <c r="BW136" s="186"/>
      <c r="BX136" s="187"/>
      <c r="BY136" s="188"/>
      <c r="BZ136" s="189"/>
      <c r="CA136" s="186"/>
      <c r="CB136" s="190"/>
      <c r="CC136" s="190"/>
      <c r="CD136" s="82">
        <f t="shared" si="332"/>
        <v>0</v>
      </c>
      <c r="CE136" s="82">
        <f t="shared" si="333"/>
        <v>0</v>
      </c>
      <c r="CF136" s="82">
        <f t="shared" si="334"/>
        <v>0</v>
      </c>
      <c r="CG136" s="82">
        <f t="shared" si="335"/>
        <v>0</v>
      </c>
      <c r="CH136" s="82">
        <f t="shared" si="336"/>
        <v>0</v>
      </c>
      <c r="CI136" s="82">
        <f t="shared" si="337"/>
        <v>0</v>
      </c>
      <c r="CJ136" s="82">
        <f t="shared" si="338"/>
        <v>0</v>
      </c>
      <c r="CK136" s="82">
        <f t="shared" si="339"/>
        <v>0</v>
      </c>
      <c r="CL136" s="82">
        <f t="shared" si="340"/>
        <v>0</v>
      </c>
      <c r="CM136" s="82">
        <f t="shared" si="341"/>
        <v>0</v>
      </c>
      <c r="CN136" s="82">
        <f t="shared" si="342"/>
        <v>0</v>
      </c>
      <c r="CO136" s="82">
        <f t="shared" si="343"/>
        <v>0</v>
      </c>
      <c r="CP136" s="82">
        <f t="shared" si="344"/>
        <v>0</v>
      </c>
      <c r="CQ136" s="82">
        <f t="shared" si="345"/>
        <v>0</v>
      </c>
      <c r="CR136" s="82">
        <f t="shared" si="346"/>
        <v>0</v>
      </c>
      <c r="CS136" s="82">
        <f t="shared" si="347"/>
        <v>0</v>
      </c>
      <c r="CT136" s="82">
        <f t="shared" si="348"/>
        <v>0</v>
      </c>
      <c r="CU136" s="82">
        <f t="shared" si="349"/>
        <v>0</v>
      </c>
      <c r="CV136" s="82">
        <f t="shared" si="350"/>
        <v>0</v>
      </c>
      <c r="CW136" s="82">
        <f t="shared" si="351"/>
        <v>0</v>
      </c>
      <c r="CX136" s="82">
        <f t="shared" si="352"/>
        <v>0</v>
      </c>
      <c r="CY136" s="82">
        <f t="shared" si="353"/>
        <v>0</v>
      </c>
      <c r="CZ136" s="82">
        <f t="shared" si="354"/>
        <v>0</v>
      </c>
      <c r="DA136" s="82">
        <f t="shared" si="355"/>
        <v>0</v>
      </c>
      <c r="DB136" s="82">
        <f t="shared" si="356"/>
        <v>0</v>
      </c>
      <c r="DC136" s="82">
        <f t="shared" si="357"/>
        <v>0</v>
      </c>
      <c r="DD136" s="82">
        <f t="shared" si="358"/>
        <v>0</v>
      </c>
      <c r="DE136" s="82">
        <f t="shared" si="359"/>
        <v>0</v>
      </c>
      <c r="DF136" s="82">
        <f t="shared" si="360"/>
        <v>0</v>
      </c>
      <c r="DG136" s="82">
        <f t="shared" si="361"/>
        <v>0</v>
      </c>
      <c r="DH136" s="82">
        <f t="shared" si="362"/>
        <v>0</v>
      </c>
      <c r="DI136" s="82">
        <f t="shared" si="363"/>
        <v>0</v>
      </c>
      <c r="DJ136" s="82">
        <f t="shared" si="364"/>
        <v>0</v>
      </c>
      <c r="DK136" s="82">
        <f t="shared" si="365"/>
        <v>0</v>
      </c>
      <c r="DL136" s="82">
        <f t="shared" si="366"/>
        <v>0</v>
      </c>
      <c r="DM136" s="82">
        <f t="shared" si="367"/>
        <v>0</v>
      </c>
      <c r="DN136" s="82">
        <f t="shared" si="368"/>
        <v>0</v>
      </c>
      <c r="DO136" s="82">
        <f t="shared" si="369"/>
        <v>0</v>
      </c>
      <c r="DP136" s="82">
        <f t="shared" si="370"/>
        <v>0</v>
      </c>
      <c r="DQ136" s="82">
        <f t="shared" si="371"/>
        <v>0</v>
      </c>
      <c r="DR136" s="82">
        <f t="shared" si="372"/>
        <v>0</v>
      </c>
      <c r="DS136" s="82">
        <f t="shared" si="373"/>
        <v>0</v>
      </c>
      <c r="DT136" s="82">
        <f t="shared" si="374"/>
        <v>0</v>
      </c>
      <c r="DU136" s="82">
        <f t="shared" si="375"/>
        <v>0</v>
      </c>
      <c r="DV136" s="82">
        <f t="shared" si="376"/>
        <v>0</v>
      </c>
      <c r="DW136" s="82">
        <f t="shared" si="377"/>
        <v>0</v>
      </c>
      <c r="DX136" s="82">
        <f t="shared" si="378"/>
        <v>0</v>
      </c>
      <c r="DY136" s="82">
        <f t="shared" si="379"/>
        <v>0</v>
      </c>
      <c r="DZ136" s="82">
        <f t="shared" si="380"/>
        <v>0</v>
      </c>
      <c r="EA136" s="82">
        <f t="shared" si="381"/>
        <v>0</v>
      </c>
      <c r="EB136" s="82">
        <f t="shared" si="382"/>
        <v>0</v>
      </c>
      <c r="EC136" s="82">
        <f t="shared" si="383"/>
        <v>0</v>
      </c>
      <c r="ED136" s="82">
        <f t="shared" si="384"/>
        <v>0</v>
      </c>
      <c r="EE136" s="82">
        <f t="shared" si="385"/>
        <v>0</v>
      </c>
      <c r="EF136" s="82">
        <f t="shared" si="386"/>
        <v>0</v>
      </c>
      <c r="EG136" s="82">
        <f t="shared" si="387"/>
        <v>0</v>
      </c>
      <c r="EH136" s="82">
        <f t="shared" si="388"/>
        <v>0</v>
      </c>
      <c r="EI136" s="82">
        <f t="shared" si="389"/>
        <v>0</v>
      </c>
      <c r="EJ136" s="82">
        <f t="shared" si="390"/>
        <v>0</v>
      </c>
      <c r="EK136" s="82">
        <f t="shared" si="391"/>
        <v>0</v>
      </c>
      <c r="EL136" s="82">
        <f t="shared" si="392"/>
        <v>0</v>
      </c>
      <c r="EM136" s="82">
        <f t="shared" si="393"/>
        <v>0</v>
      </c>
      <c r="EN136" s="82">
        <f t="shared" si="394"/>
        <v>0</v>
      </c>
      <c r="EO136" s="82">
        <f t="shared" si="395"/>
        <v>0</v>
      </c>
      <c r="EP136" s="82">
        <f t="shared" si="396"/>
        <v>0</v>
      </c>
      <c r="EQ136" s="82">
        <f t="shared" si="397"/>
        <v>0</v>
      </c>
      <c r="ER136" s="82">
        <f t="shared" si="398"/>
        <v>0</v>
      </c>
      <c r="ES136" s="82">
        <f t="shared" si="399"/>
        <v>0</v>
      </c>
      <c r="ET136" s="82">
        <f t="shared" si="400"/>
        <v>0</v>
      </c>
      <c r="EU136" s="82">
        <f t="shared" si="401"/>
        <v>0</v>
      </c>
      <c r="EV136" s="82">
        <f t="shared" si="402"/>
        <v>0</v>
      </c>
      <c r="EW136" s="82">
        <f t="shared" si="403"/>
        <v>0</v>
      </c>
      <c r="EX136" s="82">
        <f t="shared" si="404"/>
        <v>0</v>
      </c>
      <c r="EY136" s="111">
        <f t="shared" si="405"/>
        <v>0</v>
      </c>
      <c r="EZ136" s="143" t="e">
        <f t="shared" ca="1" si="406"/>
        <v>#N/A</v>
      </c>
      <c r="FA136" s="112" t="e">
        <f t="shared" ca="1" si="407"/>
        <v>#N/A</v>
      </c>
      <c r="FB136" s="113" t="e">
        <f t="shared" ca="1" si="408"/>
        <v>#N/A</v>
      </c>
      <c r="FC136" s="114" t="e">
        <f t="shared" ca="1" si="409"/>
        <v>#N/A</v>
      </c>
      <c r="FD136" s="115">
        <f t="shared" ca="1" si="410"/>
        <v>0</v>
      </c>
      <c r="FE136" s="116" t="e">
        <f t="shared" ca="1" si="411"/>
        <v>#N/A</v>
      </c>
      <c r="FF136" s="117" t="e">
        <f t="shared" ca="1" si="412"/>
        <v>#N/A</v>
      </c>
      <c r="FG136" s="71">
        <f t="shared" si="413"/>
        <v>0</v>
      </c>
      <c r="FH136" s="530" t="e">
        <f t="shared" ca="1" si="414"/>
        <v>#N/A</v>
      </c>
      <c r="FI136" s="72"/>
      <c r="FJ136" s="72"/>
      <c r="FK136" s="72"/>
      <c r="FM136" s="421">
        <f t="shared" si="318"/>
        <v>0</v>
      </c>
      <c r="FN136" s="422" t="e">
        <f t="shared" ca="1" si="319"/>
        <v>#N/A</v>
      </c>
      <c r="FO136" s="423">
        <f t="shared" ca="1" si="425"/>
        <v>0</v>
      </c>
      <c r="FP136" s="423">
        <f t="shared" ca="1" si="425"/>
        <v>0</v>
      </c>
      <c r="FQ136" s="423">
        <f t="shared" ca="1" si="425"/>
        <v>0</v>
      </c>
      <c r="FR136" s="423">
        <f t="shared" ca="1" si="425"/>
        <v>0</v>
      </c>
      <c r="FS136" s="423">
        <f t="shared" ca="1" si="425"/>
        <v>0</v>
      </c>
      <c r="FT136" s="423">
        <f t="shared" ca="1" si="425"/>
        <v>0</v>
      </c>
      <c r="FU136" s="423">
        <f t="shared" ca="1" si="425"/>
        <v>0</v>
      </c>
      <c r="FV136" s="423">
        <f t="shared" ca="1" si="425"/>
        <v>0</v>
      </c>
      <c r="FW136" s="423">
        <f t="shared" ca="1" si="425"/>
        <v>0</v>
      </c>
      <c r="FX136" s="423">
        <f t="shared" ca="1" si="425"/>
        <v>0</v>
      </c>
      <c r="FY136" s="423">
        <f t="shared" ca="1" si="425"/>
        <v>0</v>
      </c>
      <c r="FZ136" s="423">
        <f t="shared" ca="1" si="425"/>
        <v>0</v>
      </c>
      <c r="GA136" s="423">
        <f t="shared" ca="1" si="425"/>
        <v>0</v>
      </c>
      <c r="GB136" s="423">
        <f t="shared" ca="1" si="425"/>
        <v>0</v>
      </c>
      <c r="GC136" s="423">
        <f t="shared" ca="1" si="425"/>
        <v>0</v>
      </c>
      <c r="GD136" s="423">
        <f t="shared" ca="1" si="425"/>
        <v>0</v>
      </c>
      <c r="GE136" s="423">
        <f t="shared" ca="1" si="423"/>
        <v>0</v>
      </c>
      <c r="GF136" s="423">
        <f t="shared" ca="1" si="423"/>
        <v>0</v>
      </c>
      <c r="GG136" s="423">
        <f t="shared" ca="1" si="423"/>
        <v>0</v>
      </c>
      <c r="GH136" s="423">
        <f t="shared" ca="1" si="423"/>
        <v>0</v>
      </c>
      <c r="GI136" s="423">
        <f t="shared" ca="1" si="423"/>
        <v>0</v>
      </c>
      <c r="GJ136" s="423">
        <f t="shared" ca="1" si="423"/>
        <v>0</v>
      </c>
      <c r="GK136" s="423">
        <f t="shared" ca="1" si="423"/>
        <v>0</v>
      </c>
      <c r="GL136" s="423">
        <f t="shared" ca="1" si="423"/>
        <v>0</v>
      </c>
      <c r="GM136" s="423">
        <f t="shared" ca="1" si="423"/>
        <v>0</v>
      </c>
      <c r="GN136" s="423">
        <f t="shared" ca="1" si="423"/>
        <v>0</v>
      </c>
      <c r="GO136" s="423">
        <f t="shared" ca="1" si="423"/>
        <v>0</v>
      </c>
      <c r="GP136" s="423">
        <f t="shared" ca="1" si="423"/>
        <v>0</v>
      </c>
      <c r="GQ136" s="423">
        <f t="shared" ca="1" si="423"/>
        <v>0</v>
      </c>
      <c r="GR136" s="423">
        <f t="shared" ca="1" si="423"/>
        <v>0</v>
      </c>
      <c r="GS136" s="423">
        <f t="shared" ca="1" si="419"/>
        <v>0</v>
      </c>
      <c r="GT136" s="423">
        <f t="shared" ca="1" si="419"/>
        <v>0</v>
      </c>
      <c r="GU136" s="423">
        <f t="shared" ca="1" si="419"/>
        <v>0</v>
      </c>
      <c r="GV136" s="423">
        <f t="shared" ca="1" si="419"/>
        <v>0</v>
      </c>
      <c r="GW136" s="423">
        <f t="shared" ca="1" si="419"/>
        <v>0</v>
      </c>
      <c r="GX136" s="423">
        <f t="shared" ca="1" si="419"/>
        <v>0</v>
      </c>
      <c r="GY136" s="423">
        <f t="shared" ca="1" si="419"/>
        <v>0</v>
      </c>
      <c r="GZ136" s="423">
        <f t="shared" ca="1" si="419"/>
        <v>0</v>
      </c>
      <c r="HA136" s="423">
        <f t="shared" ca="1" si="419"/>
        <v>0</v>
      </c>
      <c r="HB136" s="423">
        <f t="shared" ca="1" si="419"/>
        <v>0</v>
      </c>
      <c r="HC136" s="423">
        <f t="shared" ca="1" si="419"/>
        <v>0</v>
      </c>
      <c r="HD136" s="423">
        <f t="shared" ca="1" si="419"/>
        <v>0</v>
      </c>
      <c r="HE136" s="423">
        <f t="shared" ca="1" si="419"/>
        <v>0</v>
      </c>
      <c r="HF136" s="423">
        <f t="shared" ca="1" si="419"/>
        <v>0</v>
      </c>
      <c r="HG136" s="423">
        <f t="shared" ca="1" si="419"/>
        <v>0</v>
      </c>
      <c r="HH136" s="423">
        <f t="shared" ca="1" si="419"/>
        <v>0</v>
      </c>
      <c r="HI136" s="423">
        <f t="shared" ca="1" si="424"/>
        <v>0</v>
      </c>
      <c r="HJ136" s="423">
        <f t="shared" ca="1" si="420"/>
        <v>0</v>
      </c>
      <c r="HK136" s="423">
        <f t="shared" ca="1" si="420"/>
        <v>0</v>
      </c>
      <c r="HL136" s="423">
        <f t="shared" ca="1" si="420"/>
        <v>0</v>
      </c>
      <c r="HM136" s="423">
        <f t="shared" ca="1" si="420"/>
        <v>0</v>
      </c>
      <c r="HN136" s="423">
        <f t="shared" ca="1" si="420"/>
        <v>0</v>
      </c>
      <c r="HO136" s="423">
        <f t="shared" ca="1" si="420"/>
        <v>0</v>
      </c>
      <c r="HP136" s="423">
        <f t="shared" ca="1" si="420"/>
        <v>0</v>
      </c>
      <c r="HQ136" s="423">
        <f t="shared" ca="1" si="420"/>
        <v>0</v>
      </c>
      <c r="HR136" s="423">
        <f t="shared" ca="1" si="420"/>
        <v>0</v>
      </c>
      <c r="HS136" s="423">
        <f t="shared" ca="1" si="420"/>
        <v>0</v>
      </c>
      <c r="HT136" s="423">
        <f t="shared" ca="1" si="420"/>
        <v>0</v>
      </c>
      <c r="HU136" s="423"/>
      <c r="HV136" s="423"/>
    </row>
    <row r="137" spans="1:230" ht="11.25" customHeight="1" x14ac:dyDescent="0.2">
      <c r="A137" s="62">
        <f t="shared" si="322"/>
        <v>126</v>
      </c>
      <c r="B137" s="60">
        <f>Spaces_Sum!C182</f>
        <v>0</v>
      </c>
      <c r="C137" s="62" t="str">
        <f>Spaces_Sum!D182</f>
        <v>0</v>
      </c>
      <c r="D137" s="62" t="e">
        <f ca="1">Spaces_Sum!I182</f>
        <v>#N/A</v>
      </c>
      <c r="F137" s="110" t="e">
        <f ca="1">Spaces_Sum!M182</f>
        <v>#N/A</v>
      </c>
      <c r="G137" s="110" t="e">
        <f ca="1">Spaces_Sum!J182</f>
        <v>#N/A</v>
      </c>
      <c r="H137" s="532"/>
      <c r="I137" s="185"/>
      <c r="J137" s="185"/>
      <c r="K137" s="186"/>
      <c r="L137" s="187"/>
      <c r="M137" s="188"/>
      <c r="N137" s="189"/>
      <c r="O137" s="186"/>
      <c r="P137" s="187"/>
      <c r="Q137" s="188"/>
      <c r="R137" s="189"/>
      <c r="S137" s="186"/>
      <c r="T137" s="187"/>
      <c r="U137" s="188"/>
      <c r="V137" s="189"/>
      <c r="W137" s="186"/>
      <c r="X137" s="187"/>
      <c r="Y137" s="188"/>
      <c r="Z137" s="189"/>
      <c r="AA137" s="186"/>
      <c r="AB137" s="187"/>
      <c r="AC137" s="188"/>
      <c r="AD137" s="189"/>
      <c r="AE137" s="186"/>
      <c r="AF137" s="187"/>
      <c r="AG137" s="188"/>
      <c r="AH137" s="189"/>
      <c r="AI137" s="186"/>
      <c r="AJ137" s="187"/>
      <c r="AK137" s="188"/>
      <c r="AL137" s="189"/>
      <c r="AM137" s="186"/>
      <c r="AN137" s="187"/>
      <c r="AO137" s="188"/>
      <c r="AP137" s="189"/>
      <c r="AQ137" s="186"/>
      <c r="AR137" s="187"/>
      <c r="AS137" s="188"/>
      <c r="AT137" s="189"/>
      <c r="AU137" s="186"/>
      <c r="AV137" s="187"/>
      <c r="AW137" s="188"/>
      <c r="AX137" s="189"/>
      <c r="AY137" s="186"/>
      <c r="AZ137" s="187"/>
      <c r="BA137" s="188"/>
      <c r="BB137" s="189"/>
      <c r="BC137" s="186"/>
      <c r="BD137" s="187"/>
      <c r="BE137" s="188"/>
      <c r="BF137" s="189"/>
      <c r="BG137" s="186"/>
      <c r="BH137" s="187"/>
      <c r="BI137" s="188"/>
      <c r="BJ137" s="189"/>
      <c r="BK137" s="186"/>
      <c r="BL137" s="187"/>
      <c r="BM137" s="188"/>
      <c r="BN137" s="189"/>
      <c r="BO137" s="186"/>
      <c r="BP137" s="187"/>
      <c r="BQ137" s="188"/>
      <c r="BR137" s="189"/>
      <c r="BS137" s="186"/>
      <c r="BT137" s="187"/>
      <c r="BU137" s="188"/>
      <c r="BV137" s="189"/>
      <c r="BW137" s="186"/>
      <c r="BX137" s="187"/>
      <c r="BY137" s="188"/>
      <c r="BZ137" s="189"/>
      <c r="CA137" s="186"/>
      <c r="CB137" s="190"/>
      <c r="CC137" s="190"/>
      <c r="CD137" s="82">
        <f t="shared" si="332"/>
        <v>0</v>
      </c>
      <c r="CE137" s="82">
        <f t="shared" si="333"/>
        <v>0</v>
      </c>
      <c r="CF137" s="82">
        <f t="shared" si="334"/>
        <v>0</v>
      </c>
      <c r="CG137" s="82">
        <f t="shared" si="335"/>
        <v>0</v>
      </c>
      <c r="CH137" s="82">
        <f t="shared" si="336"/>
        <v>0</v>
      </c>
      <c r="CI137" s="82">
        <f t="shared" si="337"/>
        <v>0</v>
      </c>
      <c r="CJ137" s="82">
        <f t="shared" si="338"/>
        <v>0</v>
      </c>
      <c r="CK137" s="82">
        <f t="shared" si="339"/>
        <v>0</v>
      </c>
      <c r="CL137" s="82">
        <f t="shared" si="340"/>
        <v>0</v>
      </c>
      <c r="CM137" s="82">
        <f t="shared" si="341"/>
        <v>0</v>
      </c>
      <c r="CN137" s="82">
        <f t="shared" si="342"/>
        <v>0</v>
      </c>
      <c r="CO137" s="82">
        <f t="shared" si="343"/>
        <v>0</v>
      </c>
      <c r="CP137" s="82">
        <f t="shared" si="344"/>
        <v>0</v>
      </c>
      <c r="CQ137" s="82">
        <f t="shared" si="345"/>
        <v>0</v>
      </c>
      <c r="CR137" s="82">
        <f t="shared" si="346"/>
        <v>0</v>
      </c>
      <c r="CS137" s="82">
        <f t="shared" si="347"/>
        <v>0</v>
      </c>
      <c r="CT137" s="82">
        <f t="shared" si="348"/>
        <v>0</v>
      </c>
      <c r="CU137" s="82">
        <f t="shared" si="349"/>
        <v>0</v>
      </c>
      <c r="CV137" s="82">
        <f t="shared" si="350"/>
        <v>0</v>
      </c>
      <c r="CW137" s="82">
        <f t="shared" si="351"/>
        <v>0</v>
      </c>
      <c r="CX137" s="82">
        <f t="shared" si="352"/>
        <v>0</v>
      </c>
      <c r="CY137" s="82">
        <f t="shared" si="353"/>
        <v>0</v>
      </c>
      <c r="CZ137" s="82">
        <f t="shared" si="354"/>
        <v>0</v>
      </c>
      <c r="DA137" s="82">
        <f t="shared" si="355"/>
        <v>0</v>
      </c>
      <c r="DB137" s="82">
        <f t="shared" si="356"/>
        <v>0</v>
      </c>
      <c r="DC137" s="82">
        <f t="shared" si="357"/>
        <v>0</v>
      </c>
      <c r="DD137" s="82">
        <f t="shared" si="358"/>
        <v>0</v>
      </c>
      <c r="DE137" s="82">
        <f t="shared" si="359"/>
        <v>0</v>
      </c>
      <c r="DF137" s="82">
        <f t="shared" si="360"/>
        <v>0</v>
      </c>
      <c r="DG137" s="82">
        <f t="shared" si="361"/>
        <v>0</v>
      </c>
      <c r="DH137" s="82">
        <f t="shared" si="362"/>
        <v>0</v>
      </c>
      <c r="DI137" s="82">
        <f t="shared" si="363"/>
        <v>0</v>
      </c>
      <c r="DJ137" s="82">
        <f t="shared" si="364"/>
        <v>0</v>
      </c>
      <c r="DK137" s="82">
        <f t="shared" si="365"/>
        <v>0</v>
      </c>
      <c r="DL137" s="82">
        <f t="shared" si="366"/>
        <v>0</v>
      </c>
      <c r="DM137" s="82">
        <f t="shared" si="367"/>
        <v>0</v>
      </c>
      <c r="DN137" s="82">
        <f t="shared" si="368"/>
        <v>0</v>
      </c>
      <c r="DO137" s="82">
        <f t="shared" si="369"/>
        <v>0</v>
      </c>
      <c r="DP137" s="82">
        <f t="shared" si="370"/>
        <v>0</v>
      </c>
      <c r="DQ137" s="82">
        <f t="shared" si="371"/>
        <v>0</v>
      </c>
      <c r="DR137" s="82">
        <f t="shared" si="372"/>
        <v>0</v>
      </c>
      <c r="DS137" s="82">
        <f t="shared" si="373"/>
        <v>0</v>
      </c>
      <c r="DT137" s="82">
        <f t="shared" si="374"/>
        <v>0</v>
      </c>
      <c r="DU137" s="82">
        <f t="shared" si="375"/>
        <v>0</v>
      </c>
      <c r="DV137" s="82">
        <f t="shared" si="376"/>
        <v>0</v>
      </c>
      <c r="DW137" s="82">
        <f t="shared" si="377"/>
        <v>0</v>
      </c>
      <c r="DX137" s="82">
        <f t="shared" si="378"/>
        <v>0</v>
      </c>
      <c r="DY137" s="82">
        <f t="shared" si="379"/>
        <v>0</v>
      </c>
      <c r="DZ137" s="82">
        <f t="shared" si="380"/>
        <v>0</v>
      </c>
      <c r="EA137" s="82">
        <f t="shared" si="381"/>
        <v>0</v>
      </c>
      <c r="EB137" s="82">
        <f t="shared" si="382"/>
        <v>0</v>
      </c>
      <c r="EC137" s="82">
        <f t="shared" si="383"/>
        <v>0</v>
      </c>
      <c r="ED137" s="82">
        <f t="shared" si="384"/>
        <v>0</v>
      </c>
      <c r="EE137" s="82">
        <f t="shared" si="385"/>
        <v>0</v>
      </c>
      <c r="EF137" s="82">
        <f t="shared" si="386"/>
        <v>0</v>
      </c>
      <c r="EG137" s="82">
        <f t="shared" si="387"/>
        <v>0</v>
      </c>
      <c r="EH137" s="82">
        <f t="shared" si="388"/>
        <v>0</v>
      </c>
      <c r="EI137" s="82">
        <f t="shared" si="389"/>
        <v>0</v>
      </c>
      <c r="EJ137" s="82">
        <f t="shared" si="390"/>
        <v>0</v>
      </c>
      <c r="EK137" s="82">
        <f t="shared" si="391"/>
        <v>0</v>
      </c>
      <c r="EL137" s="82">
        <f t="shared" si="392"/>
        <v>0</v>
      </c>
      <c r="EM137" s="82">
        <f t="shared" si="393"/>
        <v>0</v>
      </c>
      <c r="EN137" s="82">
        <f t="shared" si="394"/>
        <v>0</v>
      </c>
      <c r="EO137" s="82">
        <f t="shared" si="395"/>
        <v>0</v>
      </c>
      <c r="EP137" s="82">
        <f t="shared" si="396"/>
        <v>0</v>
      </c>
      <c r="EQ137" s="82">
        <f t="shared" si="397"/>
        <v>0</v>
      </c>
      <c r="ER137" s="82">
        <f t="shared" si="398"/>
        <v>0</v>
      </c>
      <c r="ES137" s="82">
        <f t="shared" si="399"/>
        <v>0</v>
      </c>
      <c r="ET137" s="82">
        <f t="shared" si="400"/>
        <v>0</v>
      </c>
      <c r="EU137" s="82">
        <f t="shared" si="401"/>
        <v>0</v>
      </c>
      <c r="EV137" s="82">
        <f t="shared" si="402"/>
        <v>0</v>
      </c>
      <c r="EW137" s="82">
        <f t="shared" si="403"/>
        <v>0</v>
      </c>
      <c r="EX137" s="82">
        <f t="shared" si="404"/>
        <v>0</v>
      </c>
      <c r="EY137" s="111">
        <f t="shared" si="405"/>
        <v>0</v>
      </c>
      <c r="EZ137" s="143" t="e">
        <f t="shared" ca="1" si="406"/>
        <v>#N/A</v>
      </c>
      <c r="FA137" s="112" t="e">
        <f t="shared" ca="1" si="407"/>
        <v>#N/A</v>
      </c>
      <c r="FB137" s="113" t="e">
        <f t="shared" ca="1" si="408"/>
        <v>#N/A</v>
      </c>
      <c r="FC137" s="114" t="e">
        <f t="shared" ca="1" si="409"/>
        <v>#N/A</v>
      </c>
      <c r="FD137" s="115">
        <f t="shared" ca="1" si="410"/>
        <v>0</v>
      </c>
      <c r="FE137" s="116" t="e">
        <f t="shared" ca="1" si="411"/>
        <v>#N/A</v>
      </c>
      <c r="FF137" s="117" t="e">
        <f t="shared" ca="1" si="412"/>
        <v>#N/A</v>
      </c>
      <c r="FG137" s="71">
        <f t="shared" si="413"/>
        <v>0</v>
      </c>
      <c r="FH137" s="530" t="e">
        <f t="shared" ca="1" si="414"/>
        <v>#N/A</v>
      </c>
      <c r="FI137" s="72"/>
      <c r="FJ137" s="72"/>
      <c r="FK137" s="72"/>
      <c r="FM137" s="421">
        <f t="shared" si="318"/>
        <v>0</v>
      </c>
      <c r="FN137" s="422" t="e">
        <f t="shared" ca="1" si="319"/>
        <v>#N/A</v>
      </c>
      <c r="FO137" s="423">
        <f t="shared" ca="1" si="425"/>
        <v>0</v>
      </c>
      <c r="FP137" s="423">
        <f t="shared" ca="1" si="425"/>
        <v>0</v>
      </c>
      <c r="FQ137" s="423">
        <f t="shared" ca="1" si="425"/>
        <v>0</v>
      </c>
      <c r="FR137" s="423">
        <f t="shared" ca="1" si="425"/>
        <v>0</v>
      </c>
      <c r="FS137" s="423">
        <f t="shared" ca="1" si="425"/>
        <v>0</v>
      </c>
      <c r="FT137" s="423">
        <f t="shared" ca="1" si="425"/>
        <v>0</v>
      </c>
      <c r="FU137" s="423">
        <f t="shared" ca="1" si="425"/>
        <v>0</v>
      </c>
      <c r="FV137" s="423">
        <f t="shared" ca="1" si="425"/>
        <v>0</v>
      </c>
      <c r="FW137" s="423">
        <f t="shared" ca="1" si="425"/>
        <v>0</v>
      </c>
      <c r="FX137" s="423">
        <f t="shared" ca="1" si="425"/>
        <v>0</v>
      </c>
      <c r="FY137" s="423">
        <f t="shared" ca="1" si="425"/>
        <v>0</v>
      </c>
      <c r="FZ137" s="423">
        <f t="shared" ca="1" si="425"/>
        <v>0</v>
      </c>
      <c r="GA137" s="423">
        <f t="shared" ca="1" si="425"/>
        <v>0</v>
      </c>
      <c r="GB137" s="423">
        <f t="shared" ca="1" si="425"/>
        <v>0</v>
      </c>
      <c r="GC137" s="423">
        <f t="shared" ca="1" si="425"/>
        <v>0</v>
      </c>
      <c r="GD137" s="423">
        <f t="shared" ca="1" si="425"/>
        <v>0</v>
      </c>
      <c r="GE137" s="423">
        <f t="shared" ca="1" si="423"/>
        <v>0</v>
      </c>
      <c r="GF137" s="423">
        <f t="shared" ca="1" si="423"/>
        <v>0</v>
      </c>
      <c r="GG137" s="423">
        <f t="shared" ca="1" si="423"/>
        <v>0</v>
      </c>
      <c r="GH137" s="423">
        <f t="shared" ca="1" si="423"/>
        <v>0</v>
      </c>
      <c r="GI137" s="423">
        <f t="shared" ca="1" si="423"/>
        <v>0</v>
      </c>
      <c r="GJ137" s="423">
        <f t="shared" ca="1" si="423"/>
        <v>0</v>
      </c>
      <c r="GK137" s="423">
        <f t="shared" ca="1" si="423"/>
        <v>0</v>
      </c>
      <c r="GL137" s="423">
        <f t="shared" ca="1" si="423"/>
        <v>0</v>
      </c>
      <c r="GM137" s="423">
        <f t="shared" ca="1" si="423"/>
        <v>0</v>
      </c>
      <c r="GN137" s="423">
        <f t="shared" ca="1" si="423"/>
        <v>0</v>
      </c>
      <c r="GO137" s="423">
        <f t="shared" ca="1" si="423"/>
        <v>0</v>
      </c>
      <c r="GP137" s="423">
        <f t="shared" ca="1" si="423"/>
        <v>0</v>
      </c>
      <c r="GQ137" s="423">
        <f t="shared" ca="1" si="423"/>
        <v>0</v>
      </c>
      <c r="GR137" s="423">
        <f t="shared" ca="1" si="423"/>
        <v>0</v>
      </c>
      <c r="GS137" s="423">
        <f t="shared" ca="1" si="419"/>
        <v>0</v>
      </c>
      <c r="GT137" s="423">
        <f t="shared" ca="1" si="419"/>
        <v>0</v>
      </c>
      <c r="GU137" s="423">
        <f t="shared" ca="1" si="419"/>
        <v>0</v>
      </c>
      <c r="GV137" s="423">
        <f t="shared" ca="1" si="419"/>
        <v>0</v>
      </c>
      <c r="GW137" s="423">
        <f t="shared" ca="1" si="419"/>
        <v>0</v>
      </c>
      <c r="GX137" s="423">
        <f t="shared" ca="1" si="419"/>
        <v>0</v>
      </c>
      <c r="GY137" s="423">
        <f t="shared" ca="1" si="419"/>
        <v>0</v>
      </c>
      <c r="GZ137" s="423">
        <f t="shared" ca="1" si="419"/>
        <v>0</v>
      </c>
      <c r="HA137" s="423">
        <f t="shared" ca="1" si="419"/>
        <v>0</v>
      </c>
      <c r="HB137" s="423">
        <f t="shared" ca="1" si="419"/>
        <v>0</v>
      </c>
      <c r="HC137" s="423">
        <f t="shared" ca="1" si="419"/>
        <v>0</v>
      </c>
      <c r="HD137" s="423">
        <f t="shared" ca="1" si="419"/>
        <v>0</v>
      </c>
      <c r="HE137" s="423">
        <f t="shared" ca="1" si="419"/>
        <v>0</v>
      </c>
      <c r="HF137" s="423">
        <f t="shared" ca="1" si="419"/>
        <v>0</v>
      </c>
      <c r="HG137" s="423">
        <f t="shared" ca="1" si="419"/>
        <v>0</v>
      </c>
      <c r="HH137" s="423">
        <f t="shared" ca="1" si="419"/>
        <v>0</v>
      </c>
      <c r="HI137" s="423">
        <f t="shared" ca="1" si="424"/>
        <v>0</v>
      </c>
      <c r="HJ137" s="423">
        <f t="shared" ca="1" si="420"/>
        <v>0</v>
      </c>
      <c r="HK137" s="423">
        <f t="shared" ca="1" si="420"/>
        <v>0</v>
      </c>
      <c r="HL137" s="423">
        <f t="shared" ca="1" si="420"/>
        <v>0</v>
      </c>
      <c r="HM137" s="423">
        <f t="shared" ca="1" si="420"/>
        <v>0</v>
      </c>
      <c r="HN137" s="423">
        <f t="shared" ca="1" si="420"/>
        <v>0</v>
      </c>
      <c r="HO137" s="423">
        <f t="shared" ca="1" si="420"/>
        <v>0</v>
      </c>
      <c r="HP137" s="423">
        <f t="shared" ca="1" si="420"/>
        <v>0</v>
      </c>
      <c r="HQ137" s="423">
        <f t="shared" ca="1" si="420"/>
        <v>0</v>
      </c>
      <c r="HR137" s="423">
        <f t="shared" ca="1" si="420"/>
        <v>0</v>
      </c>
      <c r="HS137" s="423">
        <f t="shared" ca="1" si="420"/>
        <v>0</v>
      </c>
      <c r="HT137" s="423">
        <f t="shared" ca="1" si="420"/>
        <v>0</v>
      </c>
      <c r="HU137" s="423"/>
      <c r="HV137" s="423"/>
    </row>
    <row r="138" spans="1:230" ht="11.25" customHeight="1" x14ac:dyDescent="0.2">
      <c r="A138" s="62">
        <f t="shared" si="322"/>
        <v>127</v>
      </c>
      <c r="B138" s="60">
        <f>Spaces_Sum!C183</f>
        <v>0</v>
      </c>
      <c r="C138" s="62" t="str">
        <f>Spaces_Sum!D183</f>
        <v>0</v>
      </c>
      <c r="D138" s="62" t="e">
        <f ca="1">Spaces_Sum!I183</f>
        <v>#N/A</v>
      </c>
      <c r="F138" s="110" t="e">
        <f ca="1">Spaces_Sum!M183</f>
        <v>#N/A</v>
      </c>
      <c r="G138" s="110" t="e">
        <f ca="1">Spaces_Sum!J183</f>
        <v>#N/A</v>
      </c>
      <c r="H138" s="532"/>
      <c r="I138" s="185"/>
      <c r="J138" s="185"/>
      <c r="K138" s="186"/>
      <c r="L138" s="187"/>
      <c r="M138" s="188"/>
      <c r="N138" s="189"/>
      <c r="O138" s="186"/>
      <c r="P138" s="187"/>
      <c r="Q138" s="188"/>
      <c r="R138" s="189"/>
      <c r="S138" s="186"/>
      <c r="T138" s="187"/>
      <c r="U138" s="188"/>
      <c r="V138" s="189"/>
      <c r="W138" s="186"/>
      <c r="X138" s="187"/>
      <c r="Y138" s="188"/>
      <c r="Z138" s="189"/>
      <c r="AA138" s="186"/>
      <c r="AB138" s="187"/>
      <c r="AC138" s="188"/>
      <c r="AD138" s="189"/>
      <c r="AE138" s="186"/>
      <c r="AF138" s="187"/>
      <c r="AG138" s="188"/>
      <c r="AH138" s="189"/>
      <c r="AI138" s="186"/>
      <c r="AJ138" s="187"/>
      <c r="AK138" s="188"/>
      <c r="AL138" s="189"/>
      <c r="AM138" s="186"/>
      <c r="AN138" s="187"/>
      <c r="AO138" s="188"/>
      <c r="AP138" s="189"/>
      <c r="AQ138" s="186"/>
      <c r="AR138" s="187"/>
      <c r="AS138" s="188"/>
      <c r="AT138" s="189"/>
      <c r="AU138" s="186"/>
      <c r="AV138" s="187"/>
      <c r="AW138" s="188"/>
      <c r="AX138" s="189"/>
      <c r="AY138" s="186"/>
      <c r="AZ138" s="187"/>
      <c r="BA138" s="188"/>
      <c r="BB138" s="189"/>
      <c r="BC138" s="186"/>
      <c r="BD138" s="187"/>
      <c r="BE138" s="188"/>
      <c r="BF138" s="189"/>
      <c r="BG138" s="186"/>
      <c r="BH138" s="187"/>
      <c r="BI138" s="188"/>
      <c r="BJ138" s="189"/>
      <c r="BK138" s="186"/>
      <c r="BL138" s="187"/>
      <c r="BM138" s="188"/>
      <c r="BN138" s="189"/>
      <c r="BO138" s="186"/>
      <c r="BP138" s="187"/>
      <c r="BQ138" s="188"/>
      <c r="BR138" s="189"/>
      <c r="BS138" s="186"/>
      <c r="BT138" s="187"/>
      <c r="BU138" s="188"/>
      <c r="BV138" s="189"/>
      <c r="BW138" s="186"/>
      <c r="BX138" s="187"/>
      <c r="BY138" s="188"/>
      <c r="BZ138" s="189"/>
      <c r="CA138" s="186"/>
      <c r="CB138" s="190"/>
      <c r="CC138" s="190"/>
      <c r="CD138" s="82">
        <f t="shared" si="332"/>
        <v>0</v>
      </c>
      <c r="CE138" s="82">
        <f t="shared" si="333"/>
        <v>0</v>
      </c>
      <c r="CF138" s="82">
        <f t="shared" si="334"/>
        <v>0</v>
      </c>
      <c r="CG138" s="82">
        <f t="shared" si="335"/>
        <v>0</v>
      </c>
      <c r="CH138" s="82">
        <f t="shared" si="336"/>
        <v>0</v>
      </c>
      <c r="CI138" s="82">
        <f t="shared" si="337"/>
        <v>0</v>
      </c>
      <c r="CJ138" s="82">
        <f t="shared" si="338"/>
        <v>0</v>
      </c>
      <c r="CK138" s="82">
        <f t="shared" si="339"/>
        <v>0</v>
      </c>
      <c r="CL138" s="82">
        <f t="shared" si="340"/>
        <v>0</v>
      </c>
      <c r="CM138" s="82">
        <f t="shared" si="341"/>
        <v>0</v>
      </c>
      <c r="CN138" s="82">
        <f t="shared" si="342"/>
        <v>0</v>
      </c>
      <c r="CO138" s="82">
        <f t="shared" si="343"/>
        <v>0</v>
      </c>
      <c r="CP138" s="82">
        <f t="shared" si="344"/>
        <v>0</v>
      </c>
      <c r="CQ138" s="82">
        <f t="shared" si="345"/>
        <v>0</v>
      </c>
      <c r="CR138" s="82">
        <f t="shared" si="346"/>
        <v>0</v>
      </c>
      <c r="CS138" s="82">
        <f t="shared" si="347"/>
        <v>0</v>
      </c>
      <c r="CT138" s="82">
        <f t="shared" si="348"/>
        <v>0</v>
      </c>
      <c r="CU138" s="82">
        <f t="shared" si="349"/>
        <v>0</v>
      </c>
      <c r="CV138" s="82">
        <f t="shared" si="350"/>
        <v>0</v>
      </c>
      <c r="CW138" s="82">
        <f t="shared" si="351"/>
        <v>0</v>
      </c>
      <c r="CX138" s="82">
        <f t="shared" si="352"/>
        <v>0</v>
      </c>
      <c r="CY138" s="82">
        <f t="shared" si="353"/>
        <v>0</v>
      </c>
      <c r="CZ138" s="82">
        <f t="shared" si="354"/>
        <v>0</v>
      </c>
      <c r="DA138" s="82">
        <f t="shared" si="355"/>
        <v>0</v>
      </c>
      <c r="DB138" s="82">
        <f t="shared" si="356"/>
        <v>0</v>
      </c>
      <c r="DC138" s="82">
        <f t="shared" si="357"/>
        <v>0</v>
      </c>
      <c r="DD138" s="82">
        <f t="shared" si="358"/>
        <v>0</v>
      </c>
      <c r="DE138" s="82">
        <f t="shared" si="359"/>
        <v>0</v>
      </c>
      <c r="DF138" s="82">
        <f t="shared" si="360"/>
        <v>0</v>
      </c>
      <c r="DG138" s="82">
        <f t="shared" si="361"/>
        <v>0</v>
      </c>
      <c r="DH138" s="82">
        <f t="shared" si="362"/>
        <v>0</v>
      </c>
      <c r="DI138" s="82">
        <f t="shared" si="363"/>
        <v>0</v>
      </c>
      <c r="DJ138" s="82">
        <f t="shared" si="364"/>
        <v>0</v>
      </c>
      <c r="DK138" s="82">
        <f t="shared" si="365"/>
        <v>0</v>
      </c>
      <c r="DL138" s="82">
        <f t="shared" si="366"/>
        <v>0</v>
      </c>
      <c r="DM138" s="82">
        <f t="shared" si="367"/>
        <v>0</v>
      </c>
      <c r="DN138" s="82">
        <f t="shared" si="368"/>
        <v>0</v>
      </c>
      <c r="DO138" s="82">
        <f t="shared" si="369"/>
        <v>0</v>
      </c>
      <c r="DP138" s="82">
        <f t="shared" si="370"/>
        <v>0</v>
      </c>
      <c r="DQ138" s="82">
        <f t="shared" si="371"/>
        <v>0</v>
      </c>
      <c r="DR138" s="82">
        <f t="shared" si="372"/>
        <v>0</v>
      </c>
      <c r="DS138" s="82">
        <f t="shared" si="373"/>
        <v>0</v>
      </c>
      <c r="DT138" s="82">
        <f t="shared" si="374"/>
        <v>0</v>
      </c>
      <c r="DU138" s="82">
        <f t="shared" si="375"/>
        <v>0</v>
      </c>
      <c r="DV138" s="82">
        <f t="shared" si="376"/>
        <v>0</v>
      </c>
      <c r="DW138" s="82">
        <f t="shared" si="377"/>
        <v>0</v>
      </c>
      <c r="DX138" s="82">
        <f t="shared" si="378"/>
        <v>0</v>
      </c>
      <c r="DY138" s="82">
        <f t="shared" si="379"/>
        <v>0</v>
      </c>
      <c r="DZ138" s="82">
        <f t="shared" si="380"/>
        <v>0</v>
      </c>
      <c r="EA138" s="82">
        <f t="shared" si="381"/>
        <v>0</v>
      </c>
      <c r="EB138" s="82">
        <f t="shared" si="382"/>
        <v>0</v>
      </c>
      <c r="EC138" s="82">
        <f t="shared" si="383"/>
        <v>0</v>
      </c>
      <c r="ED138" s="82">
        <f t="shared" si="384"/>
        <v>0</v>
      </c>
      <c r="EE138" s="82">
        <f t="shared" si="385"/>
        <v>0</v>
      </c>
      <c r="EF138" s="82">
        <f t="shared" si="386"/>
        <v>0</v>
      </c>
      <c r="EG138" s="82">
        <f t="shared" si="387"/>
        <v>0</v>
      </c>
      <c r="EH138" s="82">
        <f t="shared" si="388"/>
        <v>0</v>
      </c>
      <c r="EI138" s="82">
        <f t="shared" si="389"/>
        <v>0</v>
      </c>
      <c r="EJ138" s="82">
        <f t="shared" si="390"/>
        <v>0</v>
      </c>
      <c r="EK138" s="82">
        <f t="shared" si="391"/>
        <v>0</v>
      </c>
      <c r="EL138" s="82">
        <f t="shared" si="392"/>
        <v>0</v>
      </c>
      <c r="EM138" s="82">
        <f t="shared" si="393"/>
        <v>0</v>
      </c>
      <c r="EN138" s="82">
        <f t="shared" si="394"/>
        <v>0</v>
      </c>
      <c r="EO138" s="82">
        <f t="shared" si="395"/>
        <v>0</v>
      </c>
      <c r="EP138" s="82">
        <f t="shared" si="396"/>
        <v>0</v>
      </c>
      <c r="EQ138" s="82">
        <f t="shared" si="397"/>
        <v>0</v>
      </c>
      <c r="ER138" s="82">
        <f t="shared" si="398"/>
        <v>0</v>
      </c>
      <c r="ES138" s="82">
        <f t="shared" si="399"/>
        <v>0</v>
      </c>
      <c r="ET138" s="82">
        <f t="shared" si="400"/>
        <v>0</v>
      </c>
      <c r="EU138" s="82">
        <f t="shared" si="401"/>
        <v>0</v>
      </c>
      <c r="EV138" s="82">
        <f t="shared" si="402"/>
        <v>0</v>
      </c>
      <c r="EW138" s="82">
        <f t="shared" si="403"/>
        <v>0</v>
      </c>
      <c r="EX138" s="82">
        <f t="shared" si="404"/>
        <v>0</v>
      </c>
      <c r="EY138" s="111">
        <f t="shared" si="405"/>
        <v>0</v>
      </c>
      <c r="EZ138" s="143" t="e">
        <f t="shared" ca="1" si="406"/>
        <v>#N/A</v>
      </c>
      <c r="FA138" s="112" t="e">
        <f t="shared" ca="1" si="407"/>
        <v>#N/A</v>
      </c>
      <c r="FB138" s="113" t="e">
        <f t="shared" ca="1" si="408"/>
        <v>#N/A</v>
      </c>
      <c r="FC138" s="114" t="e">
        <f t="shared" ca="1" si="409"/>
        <v>#N/A</v>
      </c>
      <c r="FD138" s="115">
        <f t="shared" ca="1" si="410"/>
        <v>0</v>
      </c>
      <c r="FE138" s="116" t="e">
        <f t="shared" ca="1" si="411"/>
        <v>#N/A</v>
      </c>
      <c r="FF138" s="117" t="e">
        <f t="shared" ca="1" si="412"/>
        <v>#N/A</v>
      </c>
      <c r="FG138" s="71">
        <f t="shared" si="413"/>
        <v>0</v>
      </c>
      <c r="FH138" s="530" t="e">
        <f t="shared" ca="1" si="414"/>
        <v>#N/A</v>
      </c>
      <c r="FI138" s="72"/>
      <c r="FJ138" s="72"/>
      <c r="FK138" s="72"/>
      <c r="FM138" s="421">
        <f t="shared" si="318"/>
        <v>0</v>
      </c>
      <c r="FN138" s="422" t="e">
        <f t="shared" ca="1" si="319"/>
        <v>#N/A</v>
      </c>
      <c r="FO138" s="423">
        <f t="shared" ca="1" si="425"/>
        <v>0</v>
      </c>
      <c r="FP138" s="423">
        <f t="shared" ca="1" si="425"/>
        <v>0</v>
      </c>
      <c r="FQ138" s="423">
        <f t="shared" ca="1" si="425"/>
        <v>0</v>
      </c>
      <c r="FR138" s="423">
        <f t="shared" ca="1" si="425"/>
        <v>0</v>
      </c>
      <c r="FS138" s="423">
        <f t="shared" ca="1" si="425"/>
        <v>0</v>
      </c>
      <c r="FT138" s="423">
        <f t="shared" ca="1" si="425"/>
        <v>0</v>
      </c>
      <c r="FU138" s="423">
        <f t="shared" ca="1" si="425"/>
        <v>0</v>
      </c>
      <c r="FV138" s="423">
        <f t="shared" ca="1" si="425"/>
        <v>0</v>
      </c>
      <c r="FW138" s="423">
        <f t="shared" ca="1" si="425"/>
        <v>0</v>
      </c>
      <c r="FX138" s="423">
        <f t="shared" ca="1" si="425"/>
        <v>0</v>
      </c>
      <c r="FY138" s="423">
        <f t="shared" ca="1" si="425"/>
        <v>0</v>
      </c>
      <c r="FZ138" s="423">
        <f t="shared" ca="1" si="425"/>
        <v>0</v>
      </c>
      <c r="GA138" s="423">
        <f t="shared" ca="1" si="425"/>
        <v>0</v>
      </c>
      <c r="GB138" s="423">
        <f t="shared" ca="1" si="425"/>
        <v>0</v>
      </c>
      <c r="GC138" s="423">
        <f t="shared" ca="1" si="425"/>
        <v>0</v>
      </c>
      <c r="GD138" s="423">
        <f t="shared" ca="1" si="425"/>
        <v>0</v>
      </c>
      <c r="GE138" s="423">
        <f t="shared" ca="1" si="423"/>
        <v>0</v>
      </c>
      <c r="GF138" s="423">
        <f t="shared" ca="1" si="423"/>
        <v>0</v>
      </c>
      <c r="GG138" s="423">
        <f t="shared" ca="1" si="423"/>
        <v>0</v>
      </c>
      <c r="GH138" s="423">
        <f t="shared" ca="1" si="423"/>
        <v>0</v>
      </c>
      <c r="GI138" s="423">
        <f t="shared" ca="1" si="423"/>
        <v>0</v>
      </c>
      <c r="GJ138" s="423">
        <f t="shared" ca="1" si="423"/>
        <v>0</v>
      </c>
      <c r="GK138" s="423">
        <f t="shared" ca="1" si="423"/>
        <v>0</v>
      </c>
      <c r="GL138" s="423">
        <f t="shared" ca="1" si="423"/>
        <v>0</v>
      </c>
      <c r="GM138" s="423">
        <f t="shared" ca="1" si="423"/>
        <v>0</v>
      </c>
      <c r="GN138" s="423">
        <f t="shared" ca="1" si="423"/>
        <v>0</v>
      </c>
      <c r="GO138" s="423">
        <f t="shared" ca="1" si="423"/>
        <v>0</v>
      </c>
      <c r="GP138" s="423">
        <f t="shared" ca="1" si="423"/>
        <v>0</v>
      </c>
      <c r="GQ138" s="423">
        <f t="shared" ca="1" si="423"/>
        <v>0</v>
      </c>
      <c r="GR138" s="423">
        <f t="shared" ca="1" si="423"/>
        <v>0</v>
      </c>
      <c r="GS138" s="423">
        <f t="shared" ca="1" si="419"/>
        <v>0</v>
      </c>
      <c r="GT138" s="423">
        <f t="shared" ca="1" si="419"/>
        <v>0</v>
      </c>
      <c r="GU138" s="423">
        <f t="shared" ca="1" si="419"/>
        <v>0</v>
      </c>
      <c r="GV138" s="423">
        <f t="shared" ca="1" si="419"/>
        <v>0</v>
      </c>
      <c r="GW138" s="423">
        <f t="shared" ca="1" si="419"/>
        <v>0</v>
      </c>
      <c r="GX138" s="423">
        <f t="shared" ca="1" si="419"/>
        <v>0</v>
      </c>
      <c r="GY138" s="423">
        <f t="shared" ca="1" si="419"/>
        <v>0</v>
      </c>
      <c r="GZ138" s="423">
        <f t="shared" ca="1" si="419"/>
        <v>0</v>
      </c>
      <c r="HA138" s="423">
        <f t="shared" ca="1" si="419"/>
        <v>0</v>
      </c>
      <c r="HB138" s="423">
        <f t="shared" ca="1" si="419"/>
        <v>0</v>
      </c>
      <c r="HC138" s="423">
        <f t="shared" ca="1" si="419"/>
        <v>0</v>
      </c>
      <c r="HD138" s="423">
        <f t="shared" ca="1" si="419"/>
        <v>0</v>
      </c>
      <c r="HE138" s="423">
        <f t="shared" ca="1" si="419"/>
        <v>0</v>
      </c>
      <c r="HF138" s="423">
        <f t="shared" ca="1" si="419"/>
        <v>0</v>
      </c>
      <c r="HG138" s="423">
        <f t="shared" ca="1" si="419"/>
        <v>0</v>
      </c>
      <c r="HH138" s="423">
        <f t="shared" ca="1" si="419"/>
        <v>0</v>
      </c>
      <c r="HI138" s="423">
        <f t="shared" ca="1" si="424"/>
        <v>0</v>
      </c>
      <c r="HJ138" s="423">
        <f t="shared" ca="1" si="420"/>
        <v>0</v>
      </c>
      <c r="HK138" s="423">
        <f t="shared" ca="1" si="420"/>
        <v>0</v>
      </c>
      <c r="HL138" s="423">
        <f t="shared" ca="1" si="420"/>
        <v>0</v>
      </c>
      <c r="HM138" s="423">
        <f t="shared" ca="1" si="420"/>
        <v>0</v>
      </c>
      <c r="HN138" s="423">
        <f t="shared" ca="1" si="420"/>
        <v>0</v>
      </c>
      <c r="HO138" s="423">
        <f t="shared" ca="1" si="420"/>
        <v>0</v>
      </c>
      <c r="HP138" s="423">
        <f t="shared" ca="1" si="420"/>
        <v>0</v>
      </c>
      <c r="HQ138" s="423">
        <f t="shared" ca="1" si="420"/>
        <v>0</v>
      </c>
      <c r="HR138" s="423">
        <f t="shared" ca="1" si="420"/>
        <v>0</v>
      </c>
      <c r="HS138" s="423">
        <f t="shared" ca="1" si="420"/>
        <v>0</v>
      </c>
      <c r="HT138" s="423">
        <f t="shared" ca="1" si="420"/>
        <v>0</v>
      </c>
      <c r="HU138" s="423"/>
      <c r="HV138" s="423"/>
    </row>
    <row r="139" spans="1:230" ht="11.25" customHeight="1" x14ac:dyDescent="0.2">
      <c r="A139" s="62">
        <f t="shared" si="322"/>
        <v>128</v>
      </c>
      <c r="B139" s="60">
        <f>Spaces_Sum!C184</f>
        <v>0</v>
      </c>
      <c r="C139" s="62" t="str">
        <f>Spaces_Sum!D184</f>
        <v>0</v>
      </c>
      <c r="D139" s="62" t="e">
        <f ca="1">Spaces_Sum!I184</f>
        <v>#N/A</v>
      </c>
      <c r="F139" s="110" t="e">
        <f ca="1">Spaces_Sum!M184</f>
        <v>#N/A</v>
      </c>
      <c r="G139" s="110" t="e">
        <f ca="1">Spaces_Sum!J184</f>
        <v>#N/A</v>
      </c>
      <c r="H139" s="532"/>
      <c r="I139" s="185"/>
      <c r="J139" s="185"/>
      <c r="K139" s="186"/>
      <c r="L139" s="187"/>
      <c r="M139" s="188"/>
      <c r="N139" s="189"/>
      <c r="O139" s="186"/>
      <c r="P139" s="187"/>
      <c r="Q139" s="188"/>
      <c r="R139" s="189"/>
      <c r="S139" s="186"/>
      <c r="T139" s="187"/>
      <c r="U139" s="188"/>
      <c r="V139" s="189"/>
      <c r="W139" s="186"/>
      <c r="X139" s="187"/>
      <c r="Y139" s="188"/>
      <c r="Z139" s="189"/>
      <c r="AA139" s="186"/>
      <c r="AB139" s="187"/>
      <c r="AC139" s="188"/>
      <c r="AD139" s="189"/>
      <c r="AE139" s="186"/>
      <c r="AF139" s="187"/>
      <c r="AG139" s="188"/>
      <c r="AH139" s="189"/>
      <c r="AI139" s="186"/>
      <c r="AJ139" s="187"/>
      <c r="AK139" s="188"/>
      <c r="AL139" s="189"/>
      <c r="AM139" s="186"/>
      <c r="AN139" s="187"/>
      <c r="AO139" s="188"/>
      <c r="AP139" s="189"/>
      <c r="AQ139" s="186"/>
      <c r="AR139" s="187"/>
      <c r="AS139" s="188"/>
      <c r="AT139" s="189"/>
      <c r="AU139" s="186"/>
      <c r="AV139" s="187"/>
      <c r="AW139" s="188"/>
      <c r="AX139" s="189"/>
      <c r="AY139" s="186"/>
      <c r="AZ139" s="187"/>
      <c r="BA139" s="188"/>
      <c r="BB139" s="189"/>
      <c r="BC139" s="186"/>
      <c r="BD139" s="187"/>
      <c r="BE139" s="188"/>
      <c r="BF139" s="189"/>
      <c r="BG139" s="186"/>
      <c r="BH139" s="187"/>
      <c r="BI139" s="188"/>
      <c r="BJ139" s="189"/>
      <c r="BK139" s="186"/>
      <c r="BL139" s="187"/>
      <c r="BM139" s="188"/>
      <c r="BN139" s="189"/>
      <c r="BO139" s="186"/>
      <c r="BP139" s="187"/>
      <c r="BQ139" s="188"/>
      <c r="BR139" s="189"/>
      <c r="BS139" s="186"/>
      <c r="BT139" s="187"/>
      <c r="BU139" s="188"/>
      <c r="BV139" s="189"/>
      <c r="BW139" s="186"/>
      <c r="BX139" s="187"/>
      <c r="BY139" s="188"/>
      <c r="BZ139" s="189"/>
      <c r="CA139" s="186"/>
      <c r="CB139" s="190"/>
      <c r="CC139" s="190"/>
      <c r="CD139" s="82">
        <f t="shared" si="332"/>
        <v>0</v>
      </c>
      <c r="CE139" s="82">
        <f t="shared" si="333"/>
        <v>0</v>
      </c>
      <c r="CF139" s="82">
        <f t="shared" si="334"/>
        <v>0</v>
      </c>
      <c r="CG139" s="82">
        <f t="shared" si="335"/>
        <v>0</v>
      </c>
      <c r="CH139" s="82">
        <f t="shared" si="336"/>
        <v>0</v>
      </c>
      <c r="CI139" s="82">
        <f t="shared" si="337"/>
        <v>0</v>
      </c>
      <c r="CJ139" s="82">
        <f t="shared" si="338"/>
        <v>0</v>
      </c>
      <c r="CK139" s="82">
        <f t="shared" si="339"/>
        <v>0</v>
      </c>
      <c r="CL139" s="82">
        <f t="shared" si="340"/>
        <v>0</v>
      </c>
      <c r="CM139" s="82">
        <f t="shared" si="341"/>
        <v>0</v>
      </c>
      <c r="CN139" s="82">
        <f t="shared" si="342"/>
        <v>0</v>
      </c>
      <c r="CO139" s="82">
        <f t="shared" si="343"/>
        <v>0</v>
      </c>
      <c r="CP139" s="82">
        <f t="shared" si="344"/>
        <v>0</v>
      </c>
      <c r="CQ139" s="82">
        <f t="shared" si="345"/>
        <v>0</v>
      </c>
      <c r="CR139" s="82">
        <f t="shared" si="346"/>
        <v>0</v>
      </c>
      <c r="CS139" s="82">
        <f t="shared" si="347"/>
        <v>0</v>
      </c>
      <c r="CT139" s="82">
        <f t="shared" si="348"/>
        <v>0</v>
      </c>
      <c r="CU139" s="82">
        <f t="shared" si="349"/>
        <v>0</v>
      </c>
      <c r="CV139" s="82">
        <f t="shared" si="350"/>
        <v>0</v>
      </c>
      <c r="CW139" s="82">
        <f t="shared" si="351"/>
        <v>0</v>
      </c>
      <c r="CX139" s="82">
        <f t="shared" si="352"/>
        <v>0</v>
      </c>
      <c r="CY139" s="82">
        <f t="shared" si="353"/>
        <v>0</v>
      </c>
      <c r="CZ139" s="82">
        <f t="shared" si="354"/>
        <v>0</v>
      </c>
      <c r="DA139" s="82">
        <f t="shared" si="355"/>
        <v>0</v>
      </c>
      <c r="DB139" s="82">
        <f t="shared" si="356"/>
        <v>0</v>
      </c>
      <c r="DC139" s="82">
        <f t="shared" si="357"/>
        <v>0</v>
      </c>
      <c r="DD139" s="82">
        <f t="shared" si="358"/>
        <v>0</v>
      </c>
      <c r="DE139" s="82">
        <f t="shared" si="359"/>
        <v>0</v>
      </c>
      <c r="DF139" s="82">
        <f t="shared" si="360"/>
        <v>0</v>
      </c>
      <c r="DG139" s="82">
        <f t="shared" si="361"/>
        <v>0</v>
      </c>
      <c r="DH139" s="82">
        <f t="shared" si="362"/>
        <v>0</v>
      </c>
      <c r="DI139" s="82">
        <f t="shared" si="363"/>
        <v>0</v>
      </c>
      <c r="DJ139" s="82">
        <f t="shared" si="364"/>
        <v>0</v>
      </c>
      <c r="DK139" s="82">
        <f t="shared" si="365"/>
        <v>0</v>
      </c>
      <c r="DL139" s="82">
        <f t="shared" si="366"/>
        <v>0</v>
      </c>
      <c r="DM139" s="82">
        <f t="shared" si="367"/>
        <v>0</v>
      </c>
      <c r="DN139" s="82">
        <f t="shared" si="368"/>
        <v>0</v>
      </c>
      <c r="DO139" s="82">
        <f t="shared" si="369"/>
        <v>0</v>
      </c>
      <c r="DP139" s="82">
        <f t="shared" si="370"/>
        <v>0</v>
      </c>
      <c r="DQ139" s="82">
        <f t="shared" si="371"/>
        <v>0</v>
      </c>
      <c r="DR139" s="82">
        <f t="shared" si="372"/>
        <v>0</v>
      </c>
      <c r="DS139" s="82">
        <f t="shared" si="373"/>
        <v>0</v>
      </c>
      <c r="DT139" s="82">
        <f t="shared" si="374"/>
        <v>0</v>
      </c>
      <c r="DU139" s="82">
        <f t="shared" si="375"/>
        <v>0</v>
      </c>
      <c r="DV139" s="82">
        <f t="shared" si="376"/>
        <v>0</v>
      </c>
      <c r="DW139" s="82">
        <f t="shared" si="377"/>
        <v>0</v>
      </c>
      <c r="DX139" s="82">
        <f t="shared" si="378"/>
        <v>0</v>
      </c>
      <c r="DY139" s="82">
        <f t="shared" si="379"/>
        <v>0</v>
      </c>
      <c r="DZ139" s="82">
        <f t="shared" si="380"/>
        <v>0</v>
      </c>
      <c r="EA139" s="82">
        <f t="shared" si="381"/>
        <v>0</v>
      </c>
      <c r="EB139" s="82">
        <f t="shared" si="382"/>
        <v>0</v>
      </c>
      <c r="EC139" s="82">
        <f t="shared" si="383"/>
        <v>0</v>
      </c>
      <c r="ED139" s="82">
        <f t="shared" si="384"/>
        <v>0</v>
      </c>
      <c r="EE139" s="82">
        <f t="shared" si="385"/>
        <v>0</v>
      </c>
      <c r="EF139" s="82">
        <f t="shared" si="386"/>
        <v>0</v>
      </c>
      <c r="EG139" s="82">
        <f t="shared" si="387"/>
        <v>0</v>
      </c>
      <c r="EH139" s="82">
        <f t="shared" si="388"/>
        <v>0</v>
      </c>
      <c r="EI139" s="82">
        <f t="shared" si="389"/>
        <v>0</v>
      </c>
      <c r="EJ139" s="82">
        <f t="shared" si="390"/>
        <v>0</v>
      </c>
      <c r="EK139" s="82">
        <f t="shared" si="391"/>
        <v>0</v>
      </c>
      <c r="EL139" s="82">
        <f t="shared" si="392"/>
        <v>0</v>
      </c>
      <c r="EM139" s="82">
        <f t="shared" si="393"/>
        <v>0</v>
      </c>
      <c r="EN139" s="82">
        <f t="shared" si="394"/>
        <v>0</v>
      </c>
      <c r="EO139" s="82">
        <f t="shared" si="395"/>
        <v>0</v>
      </c>
      <c r="EP139" s="82">
        <f t="shared" si="396"/>
        <v>0</v>
      </c>
      <c r="EQ139" s="82">
        <f t="shared" si="397"/>
        <v>0</v>
      </c>
      <c r="ER139" s="82">
        <f t="shared" si="398"/>
        <v>0</v>
      </c>
      <c r="ES139" s="82">
        <f t="shared" si="399"/>
        <v>0</v>
      </c>
      <c r="ET139" s="82">
        <f t="shared" si="400"/>
        <v>0</v>
      </c>
      <c r="EU139" s="82">
        <f t="shared" si="401"/>
        <v>0</v>
      </c>
      <c r="EV139" s="82">
        <f t="shared" si="402"/>
        <v>0</v>
      </c>
      <c r="EW139" s="82">
        <f t="shared" si="403"/>
        <v>0</v>
      </c>
      <c r="EX139" s="82">
        <f t="shared" si="404"/>
        <v>0</v>
      </c>
      <c r="EY139" s="111">
        <f t="shared" si="405"/>
        <v>0</v>
      </c>
      <c r="EZ139" s="143" t="e">
        <f t="shared" ca="1" si="406"/>
        <v>#N/A</v>
      </c>
      <c r="FA139" s="112" t="e">
        <f t="shared" ca="1" si="407"/>
        <v>#N/A</v>
      </c>
      <c r="FB139" s="113" t="e">
        <f t="shared" ca="1" si="408"/>
        <v>#N/A</v>
      </c>
      <c r="FC139" s="114" t="e">
        <f t="shared" ca="1" si="409"/>
        <v>#N/A</v>
      </c>
      <c r="FD139" s="115">
        <f t="shared" ca="1" si="410"/>
        <v>0</v>
      </c>
      <c r="FE139" s="116" t="e">
        <f t="shared" ca="1" si="411"/>
        <v>#N/A</v>
      </c>
      <c r="FF139" s="117" t="e">
        <f t="shared" ca="1" si="412"/>
        <v>#N/A</v>
      </c>
      <c r="FG139" s="71">
        <f t="shared" si="413"/>
        <v>0</v>
      </c>
      <c r="FH139" s="530" t="e">
        <f t="shared" ca="1" si="414"/>
        <v>#N/A</v>
      </c>
      <c r="FI139" s="72"/>
      <c r="FJ139" s="72"/>
      <c r="FK139" s="72"/>
      <c r="FM139" s="421">
        <f t="shared" si="318"/>
        <v>0</v>
      </c>
      <c r="FN139" s="422" t="e">
        <f t="shared" ca="1" si="319"/>
        <v>#N/A</v>
      </c>
      <c r="FO139" s="423">
        <f t="shared" ca="1" si="425"/>
        <v>0</v>
      </c>
      <c r="FP139" s="423">
        <f t="shared" ca="1" si="425"/>
        <v>0</v>
      </c>
      <c r="FQ139" s="423">
        <f t="shared" ca="1" si="425"/>
        <v>0</v>
      </c>
      <c r="FR139" s="423">
        <f t="shared" ca="1" si="425"/>
        <v>0</v>
      </c>
      <c r="FS139" s="423">
        <f t="shared" ca="1" si="425"/>
        <v>0</v>
      </c>
      <c r="FT139" s="423">
        <f t="shared" ca="1" si="425"/>
        <v>0</v>
      </c>
      <c r="FU139" s="423">
        <f t="shared" ca="1" si="425"/>
        <v>0</v>
      </c>
      <c r="FV139" s="423">
        <f t="shared" ca="1" si="425"/>
        <v>0</v>
      </c>
      <c r="FW139" s="423">
        <f t="shared" ca="1" si="425"/>
        <v>0</v>
      </c>
      <c r="FX139" s="423">
        <f t="shared" ca="1" si="425"/>
        <v>0</v>
      </c>
      <c r="FY139" s="423">
        <f t="shared" ca="1" si="425"/>
        <v>0</v>
      </c>
      <c r="FZ139" s="423">
        <f t="shared" ca="1" si="425"/>
        <v>0</v>
      </c>
      <c r="GA139" s="423">
        <f t="shared" ca="1" si="425"/>
        <v>0</v>
      </c>
      <c r="GB139" s="423">
        <f t="shared" ca="1" si="425"/>
        <v>0</v>
      </c>
      <c r="GC139" s="423">
        <f t="shared" ca="1" si="425"/>
        <v>0</v>
      </c>
      <c r="GD139" s="423">
        <f t="shared" ca="1" si="425"/>
        <v>0</v>
      </c>
      <c r="GE139" s="423">
        <f t="shared" ca="1" si="423"/>
        <v>0</v>
      </c>
      <c r="GF139" s="423">
        <f t="shared" ca="1" si="423"/>
        <v>0</v>
      </c>
      <c r="GG139" s="423">
        <f t="shared" ca="1" si="423"/>
        <v>0</v>
      </c>
      <c r="GH139" s="423">
        <f t="shared" ca="1" si="423"/>
        <v>0</v>
      </c>
      <c r="GI139" s="423">
        <f t="shared" ca="1" si="423"/>
        <v>0</v>
      </c>
      <c r="GJ139" s="423">
        <f t="shared" ca="1" si="423"/>
        <v>0</v>
      </c>
      <c r="GK139" s="423">
        <f t="shared" ca="1" si="423"/>
        <v>0</v>
      </c>
      <c r="GL139" s="423">
        <f t="shared" ca="1" si="423"/>
        <v>0</v>
      </c>
      <c r="GM139" s="423">
        <f t="shared" ca="1" si="423"/>
        <v>0</v>
      </c>
      <c r="GN139" s="423">
        <f t="shared" ca="1" si="423"/>
        <v>0</v>
      </c>
      <c r="GO139" s="423">
        <f t="shared" ca="1" si="423"/>
        <v>0</v>
      </c>
      <c r="GP139" s="423">
        <f t="shared" ca="1" si="423"/>
        <v>0</v>
      </c>
      <c r="GQ139" s="423">
        <f t="shared" ca="1" si="423"/>
        <v>0</v>
      </c>
      <c r="GR139" s="423">
        <f t="shared" ca="1" si="423"/>
        <v>0</v>
      </c>
      <c r="GS139" s="423">
        <f t="shared" ca="1" si="423"/>
        <v>0</v>
      </c>
      <c r="GT139" s="423">
        <f t="shared" ca="1" si="423"/>
        <v>0</v>
      </c>
      <c r="GU139" s="423">
        <f t="shared" ref="GU139:HJ154" ca="1" si="427">IFERROR(ROUNDDOWN(SUMIF($H139:$CC139,GU$11,$CD139:$EX139)/GU$10,0),0)</f>
        <v>0</v>
      </c>
      <c r="GV139" s="423">
        <f t="shared" ca="1" si="427"/>
        <v>0</v>
      </c>
      <c r="GW139" s="423">
        <f t="shared" ca="1" si="427"/>
        <v>0</v>
      </c>
      <c r="GX139" s="423">
        <f t="shared" ca="1" si="427"/>
        <v>0</v>
      </c>
      <c r="GY139" s="423">
        <f t="shared" ca="1" si="427"/>
        <v>0</v>
      </c>
      <c r="GZ139" s="423">
        <f t="shared" ca="1" si="427"/>
        <v>0</v>
      </c>
      <c r="HA139" s="423">
        <f t="shared" ca="1" si="427"/>
        <v>0</v>
      </c>
      <c r="HB139" s="423">
        <f t="shared" ca="1" si="427"/>
        <v>0</v>
      </c>
      <c r="HC139" s="423">
        <f t="shared" ca="1" si="427"/>
        <v>0</v>
      </c>
      <c r="HD139" s="423">
        <f t="shared" ca="1" si="427"/>
        <v>0</v>
      </c>
      <c r="HE139" s="423">
        <f t="shared" ca="1" si="427"/>
        <v>0</v>
      </c>
      <c r="HF139" s="423">
        <f t="shared" ca="1" si="427"/>
        <v>0</v>
      </c>
      <c r="HG139" s="423">
        <f t="shared" ca="1" si="427"/>
        <v>0</v>
      </c>
      <c r="HH139" s="423">
        <f t="shared" ca="1" si="427"/>
        <v>0</v>
      </c>
      <c r="HI139" s="423">
        <f t="shared" ca="1" si="424"/>
        <v>0</v>
      </c>
      <c r="HJ139" s="423">
        <f t="shared" ca="1" si="424"/>
        <v>0</v>
      </c>
      <c r="HK139" s="423">
        <f t="shared" ca="1" si="424"/>
        <v>0</v>
      </c>
      <c r="HL139" s="423">
        <f t="shared" ca="1" si="424"/>
        <v>0</v>
      </c>
      <c r="HM139" s="423">
        <f t="shared" ca="1" si="424"/>
        <v>0</v>
      </c>
      <c r="HN139" s="423">
        <f t="shared" ca="1" si="424"/>
        <v>0</v>
      </c>
      <c r="HO139" s="423">
        <f t="shared" ca="1" si="424"/>
        <v>0</v>
      </c>
      <c r="HP139" s="423">
        <f t="shared" ca="1" si="424"/>
        <v>0</v>
      </c>
      <c r="HQ139" s="423">
        <f t="shared" ca="1" si="424"/>
        <v>0</v>
      </c>
      <c r="HR139" s="423">
        <f t="shared" ca="1" si="424"/>
        <v>0</v>
      </c>
      <c r="HS139" s="423">
        <f t="shared" ca="1" si="424"/>
        <v>0</v>
      </c>
      <c r="HT139" s="423">
        <f t="shared" ca="1" si="424"/>
        <v>0</v>
      </c>
      <c r="HU139" s="423"/>
      <c r="HV139" s="423"/>
    </row>
    <row r="140" spans="1:230" ht="11.25" customHeight="1" x14ac:dyDescent="0.2">
      <c r="A140" s="62">
        <f t="shared" si="322"/>
        <v>129</v>
      </c>
      <c r="B140" s="60">
        <f>Spaces_Sum!C185</f>
        <v>0</v>
      </c>
      <c r="C140" s="62" t="str">
        <f>Spaces_Sum!D185</f>
        <v>0</v>
      </c>
      <c r="D140" s="62" t="e">
        <f ca="1">Spaces_Sum!I185</f>
        <v>#N/A</v>
      </c>
      <c r="F140" s="110" t="e">
        <f ca="1">Spaces_Sum!M185</f>
        <v>#N/A</v>
      </c>
      <c r="G140" s="110" t="e">
        <f ca="1">Spaces_Sum!J185</f>
        <v>#N/A</v>
      </c>
      <c r="H140" s="532"/>
      <c r="I140" s="185"/>
      <c r="J140" s="185"/>
      <c r="K140" s="186"/>
      <c r="L140" s="187"/>
      <c r="M140" s="188"/>
      <c r="N140" s="189"/>
      <c r="O140" s="186"/>
      <c r="P140" s="187"/>
      <c r="Q140" s="188"/>
      <c r="R140" s="189"/>
      <c r="S140" s="186"/>
      <c r="T140" s="187"/>
      <c r="U140" s="188"/>
      <c r="V140" s="189"/>
      <c r="W140" s="186"/>
      <c r="X140" s="187"/>
      <c r="Y140" s="188"/>
      <c r="Z140" s="189"/>
      <c r="AA140" s="186"/>
      <c r="AB140" s="187"/>
      <c r="AC140" s="188"/>
      <c r="AD140" s="189"/>
      <c r="AE140" s="186"/>
      <c r="AF140" s="187"/>
      <c r="AG140" s="188"/>
      <c r="AH140" s="189"/>
      <c r="AI140" s="186"/>
      <c r="AJ140" s="187"/>
      <c r="AK140" s="188"/>
      <c r="AL140" s="189"/>
      <c r="AM140" s="186"/>
      <c r="AN140" s="187"/>
      <c r="AO140" s="188"/>
      <c r="AP140" s="189"/>
      <c r="AQ140" s="186"/>
      <c r="AR140" s="187"/>
      <c r="AS140" s="188"/>
      <c r="AT140" s="189"/>
      <c r="AU140" s="186"/>
      <c r="AV140" s="187"/>
      <c r="AW140" s="188"/>
      <c r="AX140" s="189"/>
      <c r="AY140" s="186"/>
      <c r="AZ140" s="187"/>
      <c r="BA140" s="188"/>
      <c r="BB140" s="189"/>
      <c r="BC140" s="186"/>
      <c r="BD140" s="187"/>
      <c r="BE140" s="188"/>
      <c r="BF140" s="189"/>
      <c r="BG140" s="186"/>
      <c r="BH140" s="187"/>
      <c r="BI140" s="188"/>
      <c r="BJ140" s="189"/>
      <c r="BK140" s="186"/>
      <c r="BL140" s="187"/>
      <c r="BM140" s="188"/>
      <c r="BN140" s="189"/>
      <c r="BO140" s="186"/>
      <c r="BP140" s="187"/>
      <c r="BQ140" s="188"/>
      <c r="BR140" s="189"/>
      <c r="BS140" s="186"/>
      <c r="BT140" s="187"/>
      <c r="BU140" s="188"/>
      <c r="BV140" s="189"/>
      <c r="BW140" s="186"/>
      <c r="BX140" s="187"/>
      <c r="BY140" s="188"/>
      <c r="BZ140" s="189"/>
      <c r="CA140" s="186"/>
      <c r="CB140" s="190"/>
      <c r="CC140" s="190"/>
      <c r="CD140" s="82">
        <f t="shared" ref="CD140:CD168" si="428">IF(ISTEXT(H140),(IF(ISERROR(VLOOKUP(H140,Ltg_IFixtureSch_PROP,2,FALSE)),0.000001,VLOOKUP(H140,Ltg_IFixtureSch_PROP,2,FALSE)*I140)),0)</f>
        <v>0</v>
      </c>
      <c r="CE140" s="82">
        <f t="shared" ref="CE140:CE168" si="429">CD140-CF140</f>
        <v>0</v>
      </c>
      <c r="CF140" s="82">
        <f t="shared" ref="CF140:CF168" si="430">IF(ISTEXT(H140),(IF(ISERROR(VLOOKUP(H140,Ltg_IFixtureSch_PROP,2,FALSE)),0.000001,VLOOKUP(H140,Ltg_IFixtureSch_PROP,2,FALSE)*J140)),0)</f>
        <v>0</v>
      </c>
      <c r="CG140" s="82">
        <f t="shared" ref="CG140:CG168" si="431">IF(ISTEXT(H140),(IF(ISERROR(VLOOKUP(H140,Ltg_IFixtureSch_PROP,2,FALSE)),0.000001,VLOOKUP(H140,Ltg_IFixtureSch_PROP,2,FALSE)*K140)),0)</f>
        <v>0</v>
      </c>
      <c r="CH140" s="82">
        <f t="shared" ref="CH140:CH168" si="432">IF(ISTEXT(L140),(IF(ISERROR(VLOOKUP(L140,Ltg_IFixtureSch_PROP,2,FALSE)),0.000001,VLOOKUP(L140,Ltg_IFixtureSch_PROP,2,FALSE)*M140)),0)</f>
        <v>0</v>
      </c>
      <c r="CI140" s="82">
        <f t="shared" ref="CI140:CI168" si="433">CH140-CJ140</f>
        <v>0</v>
      </c>
      <c r="CJ140" s="82">
        <f t="shared" ref="CJ140:CJ168" si="434">IF(ISTEXT(L140),(IF(ISERROR(VLOOKUP(L140,Ltg_IFixtureSch_PROP,2,FALSE)),0.000001,VLOOKUP(L140,Ltg_IFixtureSch_PROP,2,FALSE)*N140)),0)</f>
        <v>0</v>
      </c>
      <c r="CK140" s="82">
        <f t="shared" ref="CK140:CK168" si="435">IF(ISTEXT(L140),(IF(ISERROR(VLOOKUP(L140,Ltg_IFixtureSch_PROP,2,FALSE)),0.000001,VLOOKUP(L140,Ltg_IFixtureSch_PROP,2,FALSE)*O140)),0)</f>
        <v>0</v>
      </c>
      <c r="CL140" s="82">
        <f t="shared" ref="CL140:CL168" si="436">IF(ISTEXT(P140),(IF(ISERROR(VLOOKUP(P140,Ltg_IFixtureSch_PROP,2,FALSE)),0.000001,VLOOKUP(P140,Ltg_IFixtureSch_PROP,2,FALSE)*Q140)),0)</f>
        <v>0</v>
      </c>
      <c r="CM140" s="82">
        <f t="shared" ref="CM140:CM168" si="437">CL140-CN140</f>
        <v>0</v>
      </c>
      <c r="CN140" s="82">
        <f t="shared" ref="CN140:CN168" si="438">IF(ISTEXT(P140),(IF(ISERROR(VLOOKUP(P140,Ltg_IFixtureSch_PROP,2,FALSE)),0.000001,VLOOKUP(P140,Ltg_IFixtureSch_PROP,2,FALSE)*R140)),0)</f>
        <v>0</v>
      </c>
      <c r="CO140" s="82">
        <f t="shared" ref="CO140:CO168" si="439">IF(ISTEXT(P140),(IF(ISERROR(VLOOKUP(P140,Ltg_IFixtureSch_PROP,2,FALSE)),0.000001,VLOOKUP(P140,Ltg_IFixtureSch_PROP,2,FALSE)*S140)),0)</f>
        <v>0</v>
      </c>
      <c r="CP140" s="82">
        <f t="shared" ref="CP140:CP168" si="440">IF(ISTEXT(T140),(IF(ISERROR(VLOOKUP(T140,Ltg_IFixtureSch_PROP,2,FALSE)),0.000001,VLOOKUP(T140,Ltg_IFixtureSch_PROP,2,FALSE)*U140)),0)</f>
        <v>0</v>
      </c>
      <c r="CQ140" s="82">
        <f t="shared" ref="CQ140:CQ168" si="441">CP140-CR140</f>
        <v>0</v>
      </c>
      <c r="CR140" s="82">
        <f t="shared" ref="CR140:CR168" si="442">IF(ISTEXT(T140),(IF(ISERROR(VLOOKUP(T140,Ltg_IFixtureSch_PROP,2,FALSE)),0.000001,VLOOKUP(T140,Ltg_IFixtureSch_PROP,2,FALSE)*V140)),0)</f>
        <v>0</v>
      </c>
      <c r="CS140" s="82">
        <f t="shared" ref="CS140:CS168" si="443">IF(ISTEXT(T140),(IF(ISERROR(VLOOKUP(T140,Ltg_IFixtureSch_PROP,2,FALSE)),0.000001,VLOOKUP(T140,Ltg_IFixtureSch_PROP,2,FALSE)*W140)),0)</f>
        <v>0</v>
      </c>
      <c r="CT140" s="82">
        <f t="shared" ref="CT140:CT168" si="444">IF(ISTEXT(X140),(IF(ISERROR(VLOOKUP(X140,Ltg_IFixtureSch_PROP,2,FALSE)),0.000001,VLOOKUP(X140,Ltg_IFixtureSch_PROP,2,FALSE)*Y140)),0)</f>
        <v>0</v>
      </c>
      <c r="CU140" s="82">
        <f t="shared" ref="CU140:CU168" si="445">CT140-CV140</f>
        <v>0</v>
      </c>
      <c r="CV140" s="82">
        <f t="shared" ref="CV140:CV168" si="446">IF(ISTEXT(X140),(IF(ISERROR(VLOOKUP(X140,Ltg_IFixtureSch_PROP,2,FALSE)),0.000001,VLOOKUP(X140,Ltg_IFixtureSch_PROP,2,FALSE)*Z140)),0)</f>
        <v>0</v>
      </c>
      <c r="CW140" s="82">
        <f t="shared" ref="CW140:CW168" si="447">IF(ISTEXT(X140),(IF(ISERROR(VLOOKUP(X140,Ltg_IFixtureSch_PROP,2,FALSE)),0.000001,VLOOKUP(X140,Ltg_IFixtureSch_PROP,2,FALSE)*AA140)),0)</f>
        <v>0</v>
      </c>
      <c r="CX140" s="82">
        <f t="shared" ref="CX140:CX168" si="448">IF(ISTEXT(AB140),(IF(ISERROR(VLOOKUP(AB140,Ltg_IFixtureSch_PROP,2,FALSE)),0.000001,VLOOKUP(AB140,Ltg_IFixtureSch_PROP,2,FALSE)*AC140)),0)</f>
        <v>0</v>
      </c>
      <c r="CY140" s="82">
        <f t="shared" ref="CY140:CY168" si="449">CX140-CZ140</f>
        <v>0</v>
      </c>
      <c r="CZ140" s="82">
        <f t="shared" ref="CZ140:CZ168" si="450">IF(ISTEXT(AB140),(IF(ISERROR(VLOOKUP(AB140,Ltg_IFixtureSch_PROP,2,FALSE)),0.000001,VLOOKUP(AB140,Ltg_IFixtureSch_PROP,2,FALSE)*AD140)),0)</f>
        <v>0</v>
      </c>
      <c r="DA140" s="82">
        <f t="shared" ref="DA140:DA168" si="451">IF(ISTEXT(AB140),(IF(ISERROR(VLOOKUP(AB140,Ltg_IFixtureSch_PROP,2,FALSE)),0.000001,VLOOKUP(AB140,Ltg_IFixtureSch_PROP,2,FALSE)*AE140)),0)</f>
        <v>0</v>
      </c>
      <c r="DB140" s="82">
        <f t="shared" ref="DB140:DB168" si="452">IF(ISTEXT(AF140),(IF(ISERROR(VLOOKUP(AF140,Ltg_IFixtureSch_PROP,2,FALSE)),0.000001,VLOOKUP(AF140,Ltg_IFixtureSch_PROP,2,FALSE)*AG140)),0)</f>
        <v>0</v>
      </c>
      <c r="DC140" s="82">
        <f t="shared" ref="DC140:DC168" si="453">DB140-DD140</f>
        <v>0</v>
      </c>
      <c r="DD140" s="82">
        <f t="shared" ref="DD140:DD168" si="454">IF(ISTEXT(AF140),(IF(ISERROR(VLOOKUP(AF140,Ltg_IFixtureSch_PROP,2,FALSE)),0.000001,VLOOKUP(AF140,Ltg_IFixtureSch_PROP,2,FALSE)*AH140)),0)</f>
        <v>0</v>
      </c>
      <c r="DE140" s="82">
        <f t="shared" ref="DE140:DE168" si="455">IF(ISTEXT(AF140),(IF(ISERROR(VLOOKUP(AF140,Ltg_IFixtureSch_PROP,2,FALSE)),0.000001,VLOOKUP(AF140,Ltg_IFixtureSch_PROP,2,FALSE)*AI140)),0)</f>
        <v>0</v>
      </c>
      <c r="DF140" s="82">
        <f t="shared" ref="DF140:DF168" si="456">IF(ISTEXT(AJ140),(IF(ISERROR(VLOOKUP(AJ140,Ltg_IFixtureSch_PROP,2,FALSE)),0.000001,VLOOKUP(AJ140,Ltg_IFixtureSch_PROP,2,FALSE)*AK140)),0)</f>
        <v>0</v>
      </c>
      <c r="DG140" s="82">
        <f t="shared" ref="DG140:DG168" si="457">DF140-DH140</f>
        <v>0</v>
      </c>
      <c r="DH140" s="82">
        <f t="shared" ref="DH140:DH168" si="458">IF(ISTEXT(AJ140),(IF(ISERROR(VLOOKUP(AJ140,Ltg_IFixtureSch_PROP,2,FALSE)),0.000001,VLOOKUP(AJ140,Ltg_IFixtureSch_PROP,2,FALSE)*AL140)),0)</f>
        <v>0</v>
      </c>
      <c r="DI140" s="82">
        <f t="shared" ref="DI140:DI168" si="459">IF(ISTEXT(AJ140),(IF(ISERROR(VLOOKUP(AJ140,Ltg_IFixtureSch_PROP,2,FALSE)),0.000001,VLOOKUP(AJ140,Ltg_IFixtureSch_PROP,2,FALSE)*AM140)),0)</f>
        <v>0</v>
      </c>
      <c r="DJ140" s="82">
        <f t="shared" ref="DJ140:DJ168" si="460">IF(ISTEXT(AN140),(IF(ISERROR(VLOOKUP(AN140,Ltg_IFixtureSch_PROP,2,FALSE)),0.000001,VLOOKUP(AN140,Ltg_IFixtureSch_PROP,2,FALSE)*AO140)),0)</f>
        <v>0</v>
      </c>
      <c r="DK140" s="82">
        <f t="shared" ref="DK140:DK168" si="461">DJ140-DL140</f>
        <v>0</v>
      </c>
      <c r="DL140" s="82">
        <f t="shared" ref="DL140:DL168" si="462">IF(ISTEXT(AN140),(IF(ISERROR(VLOOKUP(AN140,Ltg_IFixtureSch_PROP,2,FALSE)),0.000001,VLOOKUP(AN140,Ltg_IFixtureSch_PROP,2,FALSE)*AP140)),0)</f>
        <v>0</v>
      </c>
      <c r="DM140" s="82">
        <f t="shared" ref="DM140:DM168" si="463">IF(ISTEXT(AN140),(IF(ISERROR(VLOOKUP(AN140,Ltg_IFixtureSch_PROP,2,FALSE)),0.000001,VLOOKUP(AN140,Ltg_IFixtureSch_PROP,2,FALSE)*AQ140)),0)</f>
        <v>0</v>
      </c>
      <c r="DN140" s="82">
        <f t="shared" ref="DN140:DN168" si="464">IF(ISTEXT(AR140),(IF(ISERROR(VLOOKUP(AR140,Ltg_IFixtureSch_PROP,2,FALSE)),0.000001,VLOOKUP(AR140,Ltg_IFixtureSch_PROP,2,FALSE)*AS140)),0)</f>
        <v>0</v>
      </c>
      <c r="DO140" s="82">
        <f t="shared" ref="DO140:DO168" si="465">DN140-DP140</f>
        <v>0</v>
      </c>
      <c r="DP140" s="82">
        <f t="shared" ref="DP140:DP168" si="466">IF(ISTEXT(AR140),(IF(ISERROR(VLOOKUP(AR140,Ltg_IFixtureSch_PROP,2,FALSE)),0.000001,VLOOKUP(AR140,Ltg_IFixtureSch_PROP,2,FALSE)*AT140)),0)</f>
        <v>0</v>
      </c>
      <c r="DQ140" s="82">
        <f t="shared" ref="DQ140:DQ168" si="467">IF(ISTEXT(AR140),(IF(ISERROR(VLOOKUP(AR140,Ltg_IFixtureSch_PROP,2,FALSE)),0.000001,VLOOKUP(AR140,Ltg_IFixtureSch_PROP,2,FALSE)*AU140)),0)</f>
        <v>0</v>
      </c>
      <c r="DR140" s="82">
        <f t="shared" ref="DR140:DR168" si="468">IF(ISTEXT(AV140),(IF(ISERROR(VLOOKUP(AV140,Ltg_IFixtureSch_PROP,2,FALSE)),0.000001,VLOOKUP(AV140,Ltg_IFixtureSch_PROP,2,FALSE)*AW140)),0)</f>
        <v>0</v>
      </c>
      <c r="DS140" s="82">
        <f t="shared" ref="DS140:DS168" si="469">DR140-DT140</f>
        <v>0</v>
      </c>
      <c r="DT140" s="82">
        <f t="shared" ref="DT140:DT168" si="470">IF(ISTEXT(AV140),(IF(ISERROR(VLOOKUP(AV140,Ltg_IFixtureSch_PROP,2,FALSE)),0.000001,VLOOKUP(AV140,Ltg_IFixtureSch_PROP,2,FALSE)*AX140)),0)</f>
        <v>0</v>
      </c>
      <c r="DU140" s="82">
        <f t="shared" ref="DU140:DU168" si="471">IF(ISTEXT(AV140),(IF(ISERROR(VLOOKUP(AV140,Ltg_IFixtureSch_PROP,2,FALSE)),0.000001,VLOOKUP(AV140,Ltg_IFixtureSch_PROP,2,FALSE)*AY140)),0)</f>
        <v>0</v>
      </c>
      <c r="DV140" s="82">
        <f t="shared" ref="DV140:DV168" si="472">IF(ISTEXT(AZ140),(IF(ISERROR(VLOOKUP(AZ140,Ltg_IFixtureSch_PROP,2,FALSE)),0.000001,VLOOKUP(AZ140,Ltg_IFixtureSch_PROP,2,FALSE)*BA140)),0)</f>
        <v>0</v>
      </c>
      <c r="DW140" s="82">
        <f t="shared" ref="DW140:DW168" si="473">DV140-DX140</f>
        <v>0</v>
      </c>
      <c r="DX140" s="82">
        <f t="shared" ref="DX140:DX168" si="474">IF(ISTEXT(AZ140),(IF(ISERROR(VLOOKUP(AZ140,Ltg_IFixtureSch_PROP,2,FALSE)),0.000001,VLOOKUP(AZ140,Ltg_IFixtureSch_PROP,2,FALSE)*BB140)),0)</f>
        <v>0</v>
      </c>
      <c r="DY140" s="82">
        <f t="shared" ref="DY140:DY168" si="475">IF(ISTEXT(AZ140),(IF(ISERROR(VLOOKUP(AZ140,Ltg_IFixtureSch_PROP,2,FALSE)),0.000001,VLOOKUP(AZ140,Ltg_IFixtureSch_PROP,2,FALSE)*BC140)),0)</f>
        <v>0</v>
      </c>
      <c r="DZ140" s="82">
        <f t="shared" ref="DZ140:DZ168" si="476">IF(ISTEXT(BD140),(IF(ISERROR(VLOOKUP(BD140,Ltg_IFixtureSch_PROP,2,FALSE)),0.000001,VLOOKUP(BD140,Ltg_IFixtureSch_PROP,2,FALSE)*BE140)),0)</f>
        <v>0</v>
      </c>
      <c r="EA140" s="82">
        <f t="shared" ref="EA140:EA168" si="477">DZ140-EB140</f>
        <v>0</v>
      </c>
      <c r="EB140" s="82">
        <f t="shared" ref="EB140:EB168" si="478">IF(ISTEXT(BD140),(IF(ISERROR(VLOOKUP(BD140,Ltg_IFixtureSch_PROP,2,FALSE)),0.000001,VLOOKUP(BD140,Ltg_IFixtureSch_PROP,2,FALSE)*BF140)),0)</f>
        <v>0</v>
      </c>
      <c r="EC140" s="82">
        <f t="shared" ref="EC140:EC168" si="479">IF(ISTEXT(BD140),(IF(ISERROR(VLOOKUP(BD140,Ltg_IFixtureSch_PROP,2,FALSE)),0.000001,VLOOKUP(BD140,Ltg_IFixtureSch_PROP,2,FALSE)*BG140)),0)</f>
        <v>0</v>
      </c>
      <c r="ED140" s="82">
        <f t="shared" ref="ED140:ED168" si="480">IF(ISTEXT(BH140),(IF(ISERROR(VLOOKUP(BH140,Ltg_IFixtureSch_PROP,2,FALSE)),0.000001,VLOOKUP(BH140,Ltg_IFixtureSch_PROP,2,FALSE)*BI140)),0)</f>
        <v>0</v>
      </c>
      <c r="EE140" s="82">
        <f t="shared" ref="EE140:EE168" si="481">ED140-EF140</f>
        <v>0</v>
      </c>
      <c r="EF140" s="82">
        <f t="shared" ref="EF140:EF168" si="482">IF(ISTEXT(BH140),(IF(ISERROR(VLOOKUP(BH140,Ltg_IFixtureSch_PROP,2,FALSE)),0.000001,VLOOKUP(BH140,Ltg_IFixtureSch_PROP,2,FALSE)*BJ140)),0)</f>
        <v>0</v>
      </c>
      <c r="EG140" s="82">
        <f t="shared" ref="EG140:EG168" si="483">IF(ISTEXT(BH140),(IF(ISERROR(VLOOKUP(BH140,Ltg_IFixtureSch_PROP,2,FALSE)),0.000001,VLOOKUP(BH140,Ltg_IFixtureSch_PROP,2,FALSE)*BK140)),0)</f>
        <v>0</v>
      </c>
      <c r="EH140" s="82">
        <f t="shared" ref="EH140:EH168" si="484">IF(ISTEXT(BL140),(IF(ISERROR(VLOOKUP(BL140,Ltg_IFixtureSch_PROP,2,FALSE)),0.000001,VLOOKUP(BL140,Ltg_IFixtureSch_PROP,2,FALSE)*BM140)),0)</f>
        <v>0</v>
      </c>
      <c r="EI140" s="82">
        <f t="shared" ref="EI140:EI168" si="485">EH140-EJ140</f>
        <v>0</v>
      </c>
      <c r="EJ140" s="82">
        <f t="shared" ref="EJ140:EJ168" si="486">IF(ISTEXT(BL140),(IF(ISERROR(VLOOKUP(BL140,Ltg_IFixtureSch_PROP,2,FALSE)),0.000001,VLOOKUP(BL140,Ltg_IFixtureSch_PROP,2,FALSE)*BN140)),0)</f>
        <v>0</v>
      </c>
      <c r="EK140" s="82">
        <f t="shared" ref="EK140:EK168" si="487">IF(ISTEXT(BL140),(IF(ISERROR(VLOOKUP(BL140,Ltg_IFixtureSch_PROP,2,FALSE)),0.000001,VLOOKUP(BL140,Ltg_IFixtureSch_PROP,2,FALSE)*BO140)),0)</f>
        <v>0</v>
      </c>
      <c r="EL140" s="82">
        <f t="shared" ref="EL140:EL168" si="488">IF(ISTEXT(BP140),(IF(ISERROR(VLOOKUP(BP140,Ltg_IFixtureSch_PROP,2,FALSE)),0.000001,VLOOKUP(BP140,Ltg_IFixtureSch_PROP,2,FALSE)*BQ140)),0)</f>
        <v>0</v>
      </c>
      <c r="EM140" s="82">
        <f t="shared" ref="EM140:EM168" si="489">EL140-EN140</f>
        <v>0</v>
      </c>
      <c r="EN140" s="82">
        <f t="shared" ref="EN140:EN168" si="490">IF(ISTEXT(BP140),(IF(ISERROR(VLOOKUP(BP140,Ltg_IFixtureSch_PROP,2,FALSE)),0.000001,VLOOKUP(BP140,Ltg_IFixtureSch_PROP,2,FALSE)*BR140)),0)</f>
        <v>0</v>
      </c>
      <c r="EO140" s="82">
        <f t="shared" ref="EO140:EO168" si="491">IF(ISTEXT(BP140),(IF(ISERROR(VLOOKUP(BP140,Ltg_IFixtureSch_PROP,2,FALSE)),0.000001,VLOOKUP(BP140,Ltg_IFixtureSch_PROP,2,FALSE)*BS140)),0)</f>
        <v>0</v>
      </c>
      <c r="EP140" s="82">
        <f t="shared" ref="EP140:EP168" si="492">IF(ISTEXT(BT140),(IF(ISERROR(VLOOKUP(BT140,Ltg_IFixtureSch_PROP,2,FALSE)),0.000001,VLOOKUP(BT140,Ltg_IFixtureSch_PROP,2,FALSE)*BU140)),0)</f>
        <v>0</v>
      </c>
      <c r="EQ140" s="82">
        <f t="shared" ref="EQ140:EQ168" si="493">EP140-ER140</f>
        <v>0</v>
      </c>
      <c r="ER140" s="82">
        <f t="shared" ref="ER140:ER168" si="494">IF(ISTEXT(BT140),(IF(ISERROR(VLOOKUP(BT140,Ltg_IFixtureSch_PROP,2,FALSE)),0.000001,VLOOKUP(BT140,Ltg_IFixtureSch_PROP,2,FALSE)*BV140)),0)</f>
        <v>0</v>
      </c>
      <c r="ES140" s="82">
        <f t="shared" ref="ES140:ES168" si="495">IF(ISTEXT(BT140),(IF(ISERROR(VLOOKUP(BT140,Ltg_IFixtureSch_PROP,2,FALSE)),0.000001,VLOOKUP(BT140,Ltg_IFixtureSch_PROP,2,FALSE)*BW140)),0)</f>
        <v>0</v>
      </c>
      <c r="ET140" s="82">
        <f t="shared" ref="ET140:ET168" si="496">IF(ISTEXT(BX140),(IF(ISERROR(VLOOKUP(BX140,Ltg_IFixtureSch_PROP,2,FALSE)),0.000001,VLOOKUP(BX140,Ltg_IFixtureSch_PROP,2,FALSE)*BY140)),0)</f>
        <v>0</v>
      </c>
      <c r="EU140" s="82">
        <f t="shared" ref="EU140:EU168" si="497">ET140-EV140</f>
        <v>0</v>
      </c>
      <c r="EV140" s="82">
        <f t="shared" ref="EV140:EV168" si="498">IF(ISTEXT(BX140),(IF(ISERROR(VLOOKUP(BX140,Ltg_IFixtureSch_PROP,2,FALSE)),0.000001,VLOOKUP(BX140,Ltg_IFixtureSch_PROP,2,FALSE)*BZ140)),0)</f>
        <v>0</v>
      </c>
      <c r="EW140" s="82">
        <f t="shared" ref="EW140:EW168" si="499">IF(ISTEXT(BX140),(IF(ISERROR(VLOOKUP(BX140,Ltg_IFixtureSch_PROP,2,FALSE)),0.000001,VLOOKUP(BX140,Ltg_IFixtureSch_PROP,2,FALSE)*CA140)),0)</f>
        <v>0</v>
      </c>
      <c r="EX140" s="82">
        <f t="shared" ref="EX140:EX168" si="500">IF(ISTEXT(CB140),(IF(ISERROR(VLOOKUP(CB140,Ltg_IFixtureSch_PROP,2,FALSE)),0.000001,VLOOKUP(CB140,Ltg_IFixtureSch_PROP,2,FALSE)*CC140)),0)</f>
        <v>0</v>
      </c>
      <c r="EY140" s="111">
        <f t="shared" ref="EY140:EY168" si="501">SUM(CD140,CH140,CL140,CP140,CT140,CX140,DB140,DF140,DJ140,DN140,DR140,DV140,DZ140,ED140,EH140,EL140,EP140,ET140)</f>
        <v>0</v>
      </c>
      <c r="EZ140" s="143" t="e">
        <f t="shared" ref="EZ140:EZ168" ca="1" si="502">ROUND(EY140/F140,3)</f>
        <v>#N/A</v>
      </c>
      <c r="FA140" s="112" t="e">
        <f t="shared" ref="FA140:FA168" ca="1" si="503">EZ140-FB140</f>
        <v>#N/A</v>
      </c>
      <c r="FB140" s="113" t="e">
        <f t="shared" ref="FB140:FB168" ca="1" si="504">ROUND(SUM(CF140,CJ140,CN140,CR140,CV140,CZ140,DD140,DH140,DL140,DP140,DT140,DX140,EB140,EF140,EJ140,EN140,ER140,EV140)/F140,3)</f>
        <v>#N/A</v>
      </c>
      <c r="FC140" s="114" t="e">
        <f t="shared" ref="FC140:FC168" ca="1" si="505">ROUND(SUM(CG140,CK140,CO140,CS140,CW140,DA140,DE140,DI140,DM140,DQ140,DU140,DY140,EC140,EG140,EK140,EO140,ES140,EW140)/F140,3)</f>
        <v>#N/A</v>
      </c>
      <c r="FD140" s="115">
        <f t="shared" ref="FD140:FD168" ca="1" si="506">IF(ISERROR(FC140/EZ140),0,FC140/EZ140)</f>
        <v>0</v>
      </c>
      <c r="FE140" s="116" t="e">
        <f t="shared" ref="FE140:FE168" ca="1" si="507">FB140*F140</f>
        <v>#N/A</v>
      </c>
      <c r="FF140" s="117" t="e">
        <f t="shared" ref="FF140:FF168" ca="1" si="508">FC140*F140</f>
        <v>#N/A</v>
      </c>
      <c r="FG140" s="71">
        <f t="shared" ref="FG140:FG168" si="509">EX140</f>
        <v>0</v>
      </c>
      <c r="FH140" s="530" t="e">
        <f t="shared" ref="FH140:FH168" ca="1" si="510">(EY140+FG140)/F140</f>
        <v>#N/A</v>
      </c>
      <c r="FI140" s="72"/>
      <c r="FJ140" s="72"/>
      <c r="FK140" s="72"/>
      <c r="FM140" s="421">
        <f t="shared" ref="FM140:FM168" si="511">B140</f>
        <v>0</v>
      </c>
      <c r="FN140" s="422" t="e">
        <f t="shared" ref="FN140:FN168" ca="1" si="512">G140</f>
        <v>#N/A</v>
      </c>
      <c r="FO140" s="423">
        <f t="shared" ca="1" si="425"/>
        <v>0</v>
      </c>
      <c r="FP140" s="423">
        <f t="shared" ca="1" si="425"/>
        <v>0</v>
      </c>
      <c r="FQ140" s="423">
        <f t="shared" ca="1" si="425"/>
        <v>0</v>
      </c>
      <c r="FR140" s="423">
        <f t="shared" ca="1" si="425"/>
        <v>0</v>
      </c>
      <c r="FS140" s="423">
        <f t="shared" ca="1" si="425"/>
        <v>0</v>
      </c>
      <c r="FT140" s="423">
        <f t="shared" ca="1" si="425"/>
        <v>0</v>
      </c>
      <c r="FU140" s="423">
        <f t="shared" ca="1" si="425"/>
        <v>0</v>
      </c>
      <c r="FV140" s="423">
        <f t="shared" ca="1" si="425"/>
        <v>0</v>
      </c>
      <c r="FW140" s="423">
        <f t="shared" ca="1" si="425"/>
        <v>0</v>
      </c>
      <c r="FX140" s="423">
        <f t="shared" ca="1" si="425"/>
        <v>0</v>
      </c>
      <c r="FY140" s="423">
        <f t="shared" ca="1" si="425"/>
        <v>0</v>
      </c>
      <c r="FZ140" s="423">
        <f t="shared" ca="1" si="425"/>
        <v>0</v>
      </c>
      <c r="GA140" s="423">
        <f t="shared" ca="1" si="425"/>
        <v>0</v>
      </c>
      <c r="GB140" s="423">
        <f t="shared" ca="1" si="425"/>
        <v>0</v>
      </c>
      <c r="GC140" s="423">
        <f t="shared" ca="1" si="425"/>
        <v>0</v>
      </c>
      <c r="GD140" s="423">
        <f t="shared" ref="GD140:GS155" ca="1" si="513">IFERROR(ROUNDDOWN(SUMIF($H140:$CC140,GD$11,$CD140:$EX140)/GD$10,0),0)</f>
        <v>0</v>
      </c>
      <c r="GE140" s="423">
        <f t="shared" ca="1" si="513"/>
        <v>0</v>
      </c>
      <c r="GF140" s="423">
        <f t="shared" ca="1" si="513"/>
        <v>0</v>
      </c>
      <c r="GG140" s="423">
        <f t="shared" ca="1" si="513"/>
        <v>0</v>
      </c>
      <c r="GH140" s="423">
        <f t="shared" ca="1" si="513"/>
        <v>0</v>
      </c>
      <c r="GI140" s="423">
        <f t="shared" ca="1" si="513"/>
        <v>0</v>
      </c>
      <c r="GJ140" s="423">
        <f t="shared" ca="1" si="513"/>
        <v>0</v>
      </c>
      <c r="GK140" s="423">
        <f t="shared" ca="1" si="513"/>
        <v>0</v>
      </c>
      <c r="GL140" s="423">
        <f t="shared" ca="1" si="513"/>
        <v>0</v>
      </c>
      <c r="GM140" s="423">
        <f t="shared" ca="1" si="513"/>
        <v>0</v>
      </c>
      <c r="GN140" s="423">
        <f t="shared" ca="1" si="513"/>
        <v>0</v>
      </c>
      <c r="GO140" s="423">
        <f t="shared" ca="1" si="513"/>
        <v>0</v>
      </c>
      <c r="GP140" s="423">
        <f t="shared" ca="1" si="513"/>
        <v>0</v>
      </c>
      <c r="GQ140" s="423">
        <f t="shared" ca="1" si="513"/>
        <v>0</v>
      </c>
      <c r="GR140" s="423">
        <f t="shared" ca="1" si="513"/>
        <v>0</v>
      </c>
      <c r="GS140" s="423">
        <f t="shared" ca="1" si="513"/>
        <v>0</v>
      </c>
      <c r="GT140" s="423">
        <f t="shared" ref="GT140:HI155" ca="1" si="514">IFERROR(ROUNDDOWN(SUMIF($H140:$CC140,GT$11,$CD140:$EX140)/GT$10,0),0)</f>
        <v>0</v>
      </c>
      <c r="GU140" s="423">
        <f t="shared" ca="1" si="427"/>
        <v>0</v>
      </c>
      <c r="GV140" s="423">
        <f t="shared" ca="1" si="427"/>
        <v>0</v>
      </c>
      <c r="GW140" s="423">
        <f t="shared" ca="1" si="427"/>
        <v>0</v>
      </c>
      <c r="GX140" s="423">
        <f t="shared" ca="1" si="427"/>
        <v>0</v>
      </c>
      <c r="GY140" s="423">
        <f t="shared" ca="1" si="427"/>
        <v>0</v>
      </c>
      <c r="GZ140" s="423">
        <f t="shared" ca="1" si="427"/>
        <v>0</v>
      </c>
      <c r="HA140" s="423">
        <f t="shared" ca="1" si="427"/>
        <v>0</v>
      </c>
      <c r="HB140" s="423">
        <f t="shared" ca="1" si="427"/>
        <v>0</v>
      </c>
      <c r="HC140" s="423">
        <f t="shared" ca="1" si="427"/>
        <v>0</v>
      </c>
      <c r="HD140" s="423">
        <f t="shared" ca="1" si="427"/>
        <v>0</v>
      </c>
      <c r="HE140" s="423">
        <f t="shared" ca="1" si="427"/>
        <v>0</v>
      </c>
      <c r="HF140" s="423">
        <f t="shared" ca="1" si="427"/>
        <v>0</v>
      </c>
      <c r="HG140" s="423">
        <f t="shared" ca="1" si="427"/>
        <v>0</v>
      </c>
      <c r="HH140" s="423">
        <f t="shared" ca="1" si="427"/>
        <v>0</v>
      </c>
      <c r="HI140" s="423">
        <f t="shared" ca="1" si="427"/>
        <v>0</v>
      </c>
      <c r="HJ140" s="423">
        <f t="shared" ca="1" si="427"/>
        <v>0</v>
      </c>
      <c r="HK140" s="423">
        <f t="shared" ref="HK140:HT155" ca="1" si="515">IFERROR(ROUNDDOWN(SUMIF($H140:$CC140,HK$11,$CD140:$EX140)/HK$10,0),0)</f>
        <v>0</v>
      </c>
      <c r="HL140" s="423">
        <f t="shared" ca="1" si="515"/>
        <v>0</v>
      </c>
      <c r="HM140" s="423">
        <f t="shared" ca="1" si="515"/>
        <v>0</v>
      </c>
      <c r="HN140" s="423">
        <f t="shared" ca="1" si="515"/>
        <v>0</v>
      </c>
      <c r="HO140" s="423">
        <f t="shared" ca="1" si="515"/>
        <v>0</v>
      </c>
      <c r="HP140" s="423">
        <f t="shared" ca="1" si="515"/>
        <v>0</v>
      </c>
      <c r="HQ140" s="423">
        <f t="shared" ca="1" si="515"/>
        <v>0</v>
      </c>
      <c r="HR140" s="423">
        <f t="shared" ca="1" si="515"/>
        <v>0</v>
      </c>
      <c r="HS140" s="423">
        <f t="shared" ca="1" si="515"/>
        <v>0</v>
      </c>
      <c r="HT140" s="423">
        <f t="shared" ca="1" si="515"/>
        <v>0</v>
      </c>
      <c r="HU140" s="423"/>
      <c r="HV140" s="423"/>
    </row>
    <row r="141" spans="1:230" ht="11.25" customHeight="1" x14ac:dyDescent="0.2">
      <c r="A141" s="62">
        <f t="shared" ref="A141:A204" si="516">A140+1</f>
        <v>130</v>
      </c>
      <c r="B141" s="60">
        <f>Spaces_Sum!C186</f>
        <v>0</v>
      </c>
      <c r="C141" s="62" t="str">
        <f>Spaces_Sum!D186</f>
        <v>0</v>
      </c>
      <c r="D141" s="62" t="e">
        <f ca="1">Spaces_Sum!I186</f>
        <v>#N/A</v>
      </c>
      <c r="F141" s="110" t="e">
        <f ca="1">Spaces_Sum!M186</f>
        <v>#N/A</v>
      </c>
      <c r="G141" s="110" t="e">
        <f ca="1">Spaces_Sum!J186</f>
        <v>#N/A</v>
      </c>
      <c r="H141" s="532"/>
      <c r="I141" s="185"/>
      <c r="J141" s="185"/>
      <c r="K141" s="186"/>
      <c r="L141" s="187"/>
      <c r="M141" s="188"/>
      <c r="N141" s="189"/>
      <c r="O141" s="186"/>
      <c r="P141" s="187"/>
      <c r="Q141" s="188"/>
      <c r="R141" s="189"/>
      <c r="S141" s="186"/>
      <c r="T141" s="187"/>
      <c r="U141" s="188"/>
      <c r="V141" s="189"/>
      <c r="W141" s="186"/>
      <c r="X141" s="187"/>
      <c r="Y141" s="188"/>
      <c r="Z141" s="189"/>
      <c r="AA141" s="186"/>
      <c r="AB141" s="187"/>
      <c r="AC141" s="188"/>
      <c r="AD141" s="189"/>
      <c r="AE141" s="186"/>
      <c r="AF141" s="187"/>
      <c r="AG141" s="188"/>
      <c r="AH141" s="189"/>
      <c r="AI141" s="186"/>
      <c r="AJ141" s="187"/>
      <c r="AK141" s="188"/>
      <c r="AL141" s="189"/>
      <c r="AM141" s="186"/>
      <c r="AN141" s="187"/>
      <c r="AO141" s="188"/>
      <c r="AP141" s="189"/>
      <c r="AQ141" s="186"/>
      <c r="AR141" s="187"/>
      <c r="AS141" s="188"/>
      <c r="AT141" s="189"/>
      <c r="AU141" s="186"/>
      <c r="AV141" s="187"/>
      <c r="AW141" s="188"/>
      <c r="AX141" s="189"/>
      <c r="AY141" s="186"/>
      <c r="AZ141" s="187"/>
      <c r="BA141" s="188"/>
      <c r="BB141" s="189"/>
      <c r="BC141" s="186"/>
      <c r="BD141" s="187"/>
      <c r="BE141" s="188"/>
      <c r="BF141" s="189"/>
      <c r="BG141" s="186"/>
      <c r="BH141" s="187"/>
      <c r="BI141" s="188"/>
      <c r="BJ141" s="189"/>
      <c r="BK141" s="186"/>
      <c r="BL141" s="187"/>
      <c r="BM141" s="188"/>
      <c r="BN141" s="189"/>
      <c r="BO141" s="186"/>
      <c r="BP141" s="187"/>
      <c r="BQ141" s="188"/>
      <c r="BR141" s="189"/>
      <c r="BS141" s="186"/>
      <c r="BT141" s="187"/>
      <c r="BU141" s="188"/>
      <c r="BV141" s="189"/>
      <c r="BW141" s="186"/>
      <c r="BX141" s="187"/>
      <c r="BY141" s="188"/>
      <c r="BZ141" s="189"/>
      <c r="CA141" s="186"/>
      <c r="CB141" s="190"/>
      <c r="CC141" s="190"/>
      <c r="CD141" s="82">
        <f t="shared" si="428"/>
        <v>0</v>
      </c>
      <c r="CE141" s="82">
        <f t="shared" si="429"/>
        <v>0</v>
      </c>
      <c r="CF141" s="82">
        <f t="shared" si="430"/>
        <v>0</v>
      </c>
      <c r="CG141" s="82">
        <f t="shared" si="431"/>
        <v>0</v>
      </c>
      <c r="CH141" s="82">
        <f t="shared" si="432"/>
        <v>0</v>
      </c>
      <c r="CI141" s="82">
        <f t="shared" si="433"/>
        <v>0</v>
      </c>
      <c r="CJ141" s="82">
        <f t="shared" si="434"/>
        <v>0</v>
      </c>
      <c r="CK141" s="82">
        <f t="shared" si="435"/>
        <v>0</v>
      </c>
      <c r="CL141" s="82">
        <f t="shared" si="436"/>
        <v>0</v>
      </c>
      <c r="CM141" s="82">
        <f t="shared" si="437"/>
        <v>0</v>
      </c>
      <c r="CN141" s="82">
        <f t="shared" si="438"/>
        <v>0</v>
      </c>
      <c r="CO141" s="82">
        <f t="shared" si="439"/>
        <v>0</v>
      </c>
      <c r="CP141" s="82">
        <f t="shared" si="440"/>
        <v>0</v>
      </c>
      <c r="CQ141" s="82">
        <f t="shared" si="441"/>
        <v>0</v>
      </c>
      <c r="CR141" s="82">
        <f t="shared" si="442"/>
        <v>0</v>
      </c>
      <c r="CS141" s="82">
        <f t="shared" si="443"/>
        <v>0</v>
      </c>
      <c r="CT141" s="82">
        <f t="shared" si="444"/>
        <v>0</v>
      </c>
      <c r="CU141" s="82">
        <f t="shared" si="445"/>
        <v>0</v>
      </c>
      <c r="CV141" s="82">
        <f t="shared" si="446"/>
        <v>0</v>
      </c>
      <c r="CW141" s="82">
        <f t="shared" si="447"/>
        <v>0</v>
      </c>
      <c r="CX141" s="82">
        <f t="shared" si="448"/>
        <v>0</v>
      </c>
      <c r="CY141" s="82">
        <f t="shared" si="449"/>
        <v>0</v>
      </c>
      <c r="CZ141" s="82">
        <f t="shared" si="450"/>
        <v>0</v>
      </c>
      <c r="DA141" s="82">
        <f t="shared" si="451"/>
        <v>0</v>
      </c>
      <c r="DB141" s="82">
        <f t="shared" si="452"/>
        <v>0</v>
      </c>
      <c r="DC141" s="82">
        <f t="shared" si="453"/>
        <v>0</v>
      </c>
      <c r="DD141" s="82">
        <f t="shared" si="454"/>
        <v>0</v>
      </c>
      <c r="DE141" s="82">
        <f t="shared" si="455"/>
        <v>0</v>
      </c>
      <c r="DF141" s="82">
        <f t="shared" si="456"/>
        <v>0</v>
      </c>
      <c r="DG141" s="82">
        <f t="shared" si="457"/>
        <v>0</v>
      </c>
      <c r="DH141" s="82">
        <f t="shared" si="458"/>
        <v>0</v>
      </c>
      <c r="DI141" s="82">
        <f t="shared" si="459"/>
        <v>0</v>
      </c>
      <c r="DJ141" s="82">
        <f t="shared" si="460"/>
        <v>0</v>
      </c>
      <c r="DK141" s="82">
        <f t="shared" si="461"/>
        <v>0</v>
      </c>
      <c r="DL141" s="82">
        <f t="shared" si="462"/>
        <v>0</v>
      </c>
      <c r="DM141" s="82">
        <f t="shared" si="463"/>
        <v>0</v>
      </c>
      <c r="DN141" s="82">
        <f t="shared" si="464"/>
        <v>0</v>
      </c>
      <c r="DO141" s="82">
        <f t="shared" si="465"/>
        <v>0</v>
      </c>
      <c r="DP141" s="82">
        <f t="shared" si="466"/>
        <v>0</v>
      </c>
      <c r="DQ141" s="82">
        <f t="shared" si="467"/>
        <v>0</v>
      </c>
      <c r="DR141" s="82">
        <f t="shared" si="468"/>
        <v>0</v>
      </c>
      <c r="DS141" s="82">
        <f t="shared" si="469"/>
        <v>0</v>
      </c>
      <c r="DT141" s="82">
        <f t="shared" si="470"/>
        <v>0</v>
      </c>
      <c r="DU141" s="82">
        <f t="shared" si="471"/>
        <v>0</v>
      </c>
      <c r="DV141" s="82">
        <f t="shared" si="472"/>
        <v>0</v>
      </c>
      <c r="DW141" s="82">
        <f t="shared" si="473"/>
        <v>0</v>
      </c>
      <c r="DX141" s="82">
        <f t="shared" si="474"/>
        <v>0</v>
      </c>
      <c r="DY141" s="82">
        <f t="shared" si="475"/>
        <v>0</v>
      </c>
      <c r="DZ141" s="82">
        <f t="shared" si="476"/>
        <v>0</v>
      </c>
      <c r="EA141" s="82">
        <f t="shared" si="477"/>
        <v>0</v>
      </c>
      <c r="EB141" s="82">
        <f t="shared" si="478"/>
        <v>0</v>
      </c>
      <c r="EC141" s="82">
        <f t="shared" si="479"/>
        <v>0</v>
      </c>
      <c r="ED141" s="82">
        <f t="shared" si="480"/>
        <v>0</v>
      </c>
      <c r="EE141" s="82">
        <f t="shared" si="481"/>
        <v>0</v>
      </c>
      <c r="EF141" s="82">
        <f t="shared" si="482"/>
        <v>0</v>
      </c>
      <c r="EG141" s="82">
        <f t="shared" si="483"/>
        <v>0</v>
      </c>
      <c r="EH141" s="82">
        <f t="shared" si="484"/>
        <v>0</v>
      </c>
      <c r="EI141" s="82">
        <f t="shared" si="485"/>
        <v>0</v>
      </c>
      <c r="EJ141" s="82">
        <f t="shared" si="486"/>
        <v>0</v>
      </c>
      <c r="EK141" s="82">
        <f t="shared" si="487"/>
        <v>0</v>
      </c>
      <c r="EL141" s="82">
        <f t="shared" si="488"/>
        <v>0</v>
      </c>
      <c r="EM141" s="82">
        <f t="shared" si="489"/>
        <v>0</v>
      </c>
      <c r="EN141" s="82">
        <f t="shared" si="490"/>
        <v>0</v>
      </c>
      <c r="EO141" s="82">
        <f t="shared" si="491"/>
        <v>0</v>
      </c>
      <c r="EP141" s="82">
        <f t="shared" si="492"/>
        <v>0</v>
      </c>
      <c r="EQ141" s="82">
        <f t="shared" si="493"/>
        <v>0</v>
      </c>
      <c r="ER141" s="82">
        <f t="shared" si="494"/>
        <v>0</v>
      </c>
      <c r="ES141" s="82">
        <f t="shared" si="495"/>
        <v>0</v>
      </c>
      <c r="ET141" s="82">
        <f t="shared" si="496"/>
        <v>0</v>
      </c>
      <c r="EU141" s="82">
        <f t="shared" si="497"/>
        <v>0</v>
      </c>
      <c r="EV141" s="82">
        <f t="shared" si="498"/>
        <v>0</v>
      </c>
      <c r="EW141" s="82">
        <f t="shared" si="499"/>
        <v>0</v>
      </c>
      <c r="EX141" s="82">
        <f t="shared" si="500"/>
        <v>0</v>
      </c>
      <c r="EY141" s="111">
        <f t="shared" si="501"/>
        <v>0</v>
      </c>
      <c r="EZ141" s="143" t="e">
        <f t="shared" ca="1" si="502"/>
        <v>#N/A</v>
      </c>
      <c r="FA141" s="112" t="e">
        <f t="shared" ca="1" si="503"/>
        <v>#N/A</v>
      </c>
      <c r="FB141" s="113" t="e">
        <f t="shared" ca="1" si="504"/>
        <v>#N/A</v>
      </c>
      <c r="FC141" s="114" t="e">
        <f t="shared" ca="1" si="505"/>
        <v>#N/A</v>
      </c>
      <c r="FD141" s="115">
        <f t="shared" ca="1" si="506"/>
        <v>0</v>
      </c>
      <c r="FE141" s="116" t="e">
        <f t="shared" ca="1" si="507"/>
        <v>#N/A</v>
      </c>
      <c r="FF141" s="117" t="e">
        <f t="shared" ca="1" si="508"/>
        <v>#N/A</v>
      </c>
      <c r="FG141" s="71">
        <f t="shared" si="509"/>
        <v>0</v>
      </c>
      <c r="FH141" s="530" t="e">
        <f t="shared" ca="1" si="510"/>
        <v>#N/A</v>
      </c>
      <c r="FI141" s="72"/>
      <c r="FJ141" s="72"/>
      <c r="FK141" s="72"/>
      <c r="FM141" s="421">
        <f t="shared" si="511"/>
        <v>0</v>
      </c>
      <c r="FN141" s="422" t="e">
        <f t="shared" ca="1" si="512"/>
        <v>#N/A</v>
      </c>
      <c r="FO141" s="423">
        <f t="shared" ref="FO141:GD156" ca="1" si="517">IFERROR(ROUNDDOWN(SUMIF($H141:$CC141,FO$11,$CD141:$EX141)/FO$10,0),0)</f>
        <v>0</v>
      </c>
      <c r="FP141" s="423">
        <f t="shared" ca="1" si="517"/>
        <v>0</v>
      </c>
      <c r="FQ141" s="423">
        <f t="shared" ca="1" si="517"/>
        <v>0</v>
      </c>
      <c r="FR141" s="423">
        <f t="shared" ca="1" si="517"/>
        <v>0</v>
      </c>
      <c r="FS141" s="423">
        <f t="shared" ca="1" si="517"/>
        <v>0</v>
      </c>
      <c r="FT141" s="423">
        <f t="shared" ca="1" si="517"/>
        <v>0</v>
      </c>
      <c r="FU141" s="423">
        <f t="shared" ca="1" si="517"/>
        <v>0</v>
      </c>
      <c r="FV141" s="423">
        <f t="shared" ca="1" si="517"/>
        <v>0</v>
      </c>
      <c r="FW141" s="423">
        <f t="shared" ca="1" si="517"/>
        <v>0</v>
      </c>
      <c r="FX141" s="423">
        <f t="shared" ca="1" si="517"/>
        <v>0</v>
      </c>
      <c r="FY141" s="423">
        <f t="shared" ca="1" si="517"/>
        <v>0</v>
      </c>
      <c r="FZ141" s="423">
        <f t="shared" ca="1" si="517"/>
        <v>0</v>
      </c>
      <c r="GA141" s="423">
        <f t="shared" ca="1" si="517"/>
        <v>0</v>
      </c>
      <c r="GB141" s="423">
        <f t="shared" ca="1" si="517"/>
        <v>0</v>
      </c>
      <c r="GC141" s="423">
        <f t="shared" ca="1" si="517"/>
        <v>0</v>
      </c>
      <c r="GD141" s="423">
        <f t="shared" ca="1" si="513"/>
        <v>0</v>
      </c>
      <c r="GE141" s="423">
        <f t="shared" ca="1" si="513"/>
        <v>0</v>
      </c>
      <c r="GF141" s="423">
        <f t="shared" ca="1" si="513"/>
        <v>0</v>
      </c>
      <c r="GG141" s="423">
        <f t="shared" ca="1" si="513"/>
        <v>0</v>
      </c>
      <c r="GH141" s="423">
        <f t="shared" ca="1" si="513"/>
        <v>0</v>
      </c>
      <c r="GI141" s="423">
        <f t="shared" ca="1" si="513"/>
        <v>0</v>
      </c>
      <c r="GJ141" s="423">
        <f t="shared" ca="1" si="513"/>
        <v>0</v>
      </c>
      <c r="GK141" s="423">
        <f t="shared" ca="1" si="513"/>
        <v>0</v>
      </c>
      <c r="GL141" s="423">
        <f t="shared" ca="1" si="513"/>
        <v>0</v>
      </c>
      <c r="GM141" s="423">
        <f t="shared" ca="1" si="513"/>
        <v>0</v>
      </c>
      <c r="GN141" s="423">
        <f t="shared" ca="1" si="513"/>
        <v>0</v>
      </c>
      <c r="GO141" s="423">
        <f t="shared" ca="1" si="513"/>
        <v>0</v>
      </c>
      <c r="GP141" s="423">
        <f t="shared" ca="1" si="513"/>
        <v>0</v>
      </c>
      <c r="GQ141" s="423">
        <f t="shared" ca="1" si="513"/>
        <v>0</v>
      </c>
      <c r="GR141" s="423">
        <f t="shared" ca="1" si="513"/>
        <v>0</v>
      </c>
      <c r="GS141" s="423">
        <f t="shared" ca="1" si="513"/>
        <v>0</v>
      </c>
      <c r="GT141" s="423">
        <f t="shared" ca="1" si="514"/>
        <v>0</v>
      </c>
      <c r="GU141" s="423">
        <f t="shared" ca="1" si="427"/>
        <v>0</v>
      </c>
      <c r="GV141" s="423">
        <f t="shared" ca="1" si="427"/>
        <v>0</v>
      </c>
      <c r="GW141" s="423">
        <f t="shared" ca="1" si="427"/>
        <v>0</v>
      </c>
      <c r="GX141" s="423">
        <f t="shared" ca="1" si="427"/>
        <v>0</v>
      </c>
      <c r="GY141" s="423">
        <f t="shared" ca="1" si="427"/>
        <v>0</v>
      </c>
      <c r="GZ141" s="423">
        <f t="shared" ca="1" si="427"/>
        <v>0</v>
      </c>
      <c r="HA141" s="423">
        <f t="shared" ca="1" si="427"/>
        <v>0</v>
      </c>
      <c r="HB141" s="423">
        <f t="shared" ca="1" si="427"/>
        <v>0</v>
      </c>
      <c r="HC141" s="423">
        <f t="shared" ca="1" si="427"/>
        <v>0</v>
      </c>
      <c r="HD141" s="423">
        <f t="shared" ca="1" si="427"/>
        <v>0</v>
      </c>
      <c r="HE141" s="423">
        <f t="shared" ca="1" si="427"/>
        <v>0</v>
      </c>
      <c r="HF141" s="423">
        <f t="shared" ca="1" si="427"/>
        <v>0</v>
      </c>
      <c r="HG141" s="423">
        <f t="shared" ca="1" si="427"/>
        <v>0</v>
      </c>
      <c r="HH141" s="423">
        <f t="shared" ca="1" si="427"/>
        <v>0</v>
      </c>
      <c r="HI141" s="423">
        <f t="shared" ca="1" si="427"/>
        <v>0</v>
      </c>
      <c r="HJ141" s="423">
        <f t="shared" ca="1" si="427"/>
        <v>0</v>
      </c>
      <c r="HK141" s="423">
        <f t="shared" ca="1" si="515"/>
        <v>0</v>
      </c>
      <c r="HL141" s="423">
        <f t="shared" ca="1" si="515"/>
        <v>0</v>
      </c>
      <c r="HM141" s="423">
        <f t="shared" ca="1" si="515"/>
        <v>0</v>
      </c>
      <c r="HN141" s="423">
        <f t="shared" ca="1" si="515"/>
        <v>0</v>
      </c>
      <c r="HO141" s="423">
        <f t="shared" ca="1" si="515"/>
        <v>0</v>
      </c>
      <c r="HP141" s="423">
        <f t="shared" ca="1" si="515"/>
        <v>0</v>
      </c>
      <c r="HQ141" s="423">
        <f t="shared" ca="1" si="515"/>
        <v>0</v>
      </c>
      <c r="HR141" s="423">
        <f t="shared" ca="1" si="515"/>
        <v>0</v>
      </c>
      <c r="HS141" s="423">
        <f t="shared" ca="1" si="515"/>
        <v>0</v>
      </c>
      <c r="HT141" s="423">
        <f t="shared" ca="1" si="515"/>
        <v>0</v>
      </c>
      <c r="HU141" s="423"/>
      <c r="HV141" s="423"/>
    </row>
    <row r="142" spans="1:230" ht="11.25" customHeight="1" x14ac:dyDescent="0.2">
      <c r="A142" s="62">
        <f t="shared" si="516"/>
        <v>131</v>
      </c>
      <c r="B142" s="60">
        <f>Spaces_Sum!C187</f>
        <v>0</v>
      </c>
      <c r="C142" s="62" t="str">
        <f>Spaces_Sum!D187</f>
        <v>0</v>
      </c>
      <c r="D142" s="62" t="e">
        <f ca="1">Spaces_Sum!I187</f>
        <v>#N/A</v>
      </c>
      <c r="F142" s="110" t="e">
        <f ca="1">Spaces_Sum!M187</f>
        <v>#N/A</v>
      </c>
      <c r="G142" s="110" t="e">
        <f ca="1">Spaces_Sum!J187</f>
        <v>#N/A</v>
      </c>
      <c r="H142" s="532"/>
      <c r="I142" s="185"/>
      <c r="J142" s="185"/>
      <c r="K142" s="186"/>
      <c r="L142" s="187"/>
      <c r="M142" s="188"/>
      <c r="N142" s="189"/>
      <c r="O142" s="186"/>
      <c r="P142" s="187"/>
      <c r="Q142" s="188"/>
      <c r="R142" s="189"/>
      <c r="S142" s="186"/>
      <c r="T142" s="187"/>
      <c r="U142" s="188"/>
      <c r="V142" s="189"/>
      <c r="W142" s="186"/>
      <c r="X142" s="187"/>
      <c r="Y142" s="188"/>
      <c r="Z142" s="189"/>
      <c r="AA142" s="186"/>
      <c r="AB142" s="187"/>
      <c r="AC142" s="188"/>
      <c r="AD142" s="189"/>
      <c r="AE142" s="186"/>
      <c r="AF142" s="187"/>
      <c r="AG142" s="188"/>
      <c r="AH142" s="189"/>
      <c r="AI142" s="186"/>
      <c r="AJ142" s="187"/>
      <c r="AK142" s="188"/>
      <c r="AL142" s="189"/>
      <c r="AM142" s="186"/>
      <c r="AN142" s="187"/>
      <c r="AO142" s="188"/>
      <c r="AP142" s="189"/>
      <c r="AQ142" s="186"/>
      <c r="AR142" s="187"/>
      <c r="AS142" s="188"/>
      <c r="AT142" s="189"/>
      <c r="AU142" s="186"/>
      <c r="AV142" s="187"/>
      <c r="AW142" s="188"/>
      <c r="AX142" s="189"/>
      <c r="AY142" s="186"/>
      <c r="AZ142" s="187"/>
      <c r="BA142" s="188"/>
      <c r="BB142" s="189"/>
      <c r="BC142" s="186"/>
      <c r="BD142" s="187"/>
      <c r="BE142" s="188"/>
      <c r="BF142" s="189"/>
      <c r="BG142" s="186"/>
      <c r="BH142" s="187"/>
      <c r="BI142" s="188"/>
      <c r="BJ142" s="189"/>
      <c r="BK142" s="186"/>
      <c r="BL142" s="187"/>
      <c r="BM142" s="188"/>
      <c r="BN142" s="189"/>
      <c r="BO142" s="186"/>
      <c r="BP142" s="187"/>
      <c r="BQ142" s="188"/>
      <c r="BR142" s="189"/>
      <c r="BS142" s="186"/>
      <c r="BT142" s="187"/>
      <c r="BU142" s="188"/>
      <c r="BV142" s="189"/>
      <c r="BW142" s="186"/>
      <c r="BX142" s="187"/>
      <c r="BY142" s="188"/>
      <c r="BZ142" s="189"/>
      <c r="CA142" s="186"/>
      <c r="CB142" s="190"/>
      <c r="CC142" s="190"/>
      <c r="CD142" s="82">
        <f t="shared" si="428"/>
        <v>0</v>
      </c>
      <c r="CE142" s="82">
        <f t="shared" si="429"/>
        <v>0</v>
      </c>
      <c r="CF142" s="82">
        <f t="shared" si="430"/>
        <v>0</v>
      </c>
      <c r="CG142" s="82">
        <f t="shared" si="431"/>
        <v>0</v>
      </c>
      <c r="CH142" s="82">
        <f t="shared" si="432"/>
        <v>0</v>
      </c>
      <c r="CI142" s="82">
        <f t="shared" si="433"/>
        <v>0</v>
      </c>
      <c r="CJ142" s="82">
        <f t="shared" si="434"/>
        <v>0</v>
      </c>
      <c r="CK142" s="82">
        <f t="shared" si="435"/>
        <v>0</v>
      </c>
      <c r="CL142" s="82">
        <f t="shared" si="436"/>
        <v>0</v>
      </c>
      <c r="CM142" s="82">
        <f t="shared" si="437"/>
        <v>0</v>
      </c>
      <c r="CN142" s="82">
        <f t="shared" si="438"/>
        <v>0</v>
      </c>
      <c r="CO142" s="82">
        <f t="shared" si="439"/>
        <v>0</v>
      </c>
      <c r="CP142" s="82">
        <f t="shared" si="440"/>
        <v>0</v>
      </c>
      <c r="CQ142" s="82">
        <f t="shared" si="441"/>
        <v>0</v>
      </c>
      <c r="CR142" s="82">
        <f t="shared" si="442"/>
        <v>0</v>
      </c>
      <c r="CS142" s="82">
        <f t="shared" si="443"/>
        <v>0</v>
      </c>
      <c r="CT142" s="82">
        <f t="shared" si="444"/>
        <v>0</v>
      </c>
      <c r="CU142" s="82">
        <f t="shared" si="445"/>
        <v>0</v>
      </c>
      <c r="CV142" s="82">
        <f t="shared" si="446"/>
        <v>0</v>
      </c>
      <c r="CW142" s="82">
        <f t="shared" si="447"/>
        <v>0</v>
      </c>
      <c r="CX142" s="82">
        <f t="shared" si="448"/>
        <v>0</v>
      </c>
      <c r="CY142" s="82">
        <f t="shared" si="449"/>
        <v>0</v>
      </c>
      <c r="CZ142" s="82">
        <f t="shared" si="450"/>
        <v>0</v>
      </c>
      <c r="DA142" s="82">
        <f t="shared" si="451"/>
        <v>0</v>
      </c>
      <c r="DB142" s="82">
        <f t="shared" si="452"/>
        <v>0</v>
      </c>
      <c r="DC142" s="82">
        <f t="shared" si="453"/>
        <v>0</v>
      </c>
      <c r="DD142" s="82">
        <f t="shared" si="454"/>
        <v>0</v>
      </c>
      <c r="DE142" s="82">
        <f t="shared" si="455"/>
        <v>0</v>
      </c>
      <c r="DF142" s="82">
        <f t="shared" si="456"/>
        <v>0</v>
      </c>
      <c r="DG142" s="82">
        <f t="shared" si="457"/>
        <v>0</v>
      </c>
      <c r="DH142" s="82">
        <f t="shared" si="458"/>
        <v>0</v>
      </c>
      <c r="DI142" s="82">
        <f t="shared" si="459"/>
        <v>0</v>
      </c>
      <c r="DJ142" s="82">
        <f t="shared" si="460"/>
        <v>0</v>
      </c>
      <c r="DK142" s="82">
        <f t="shared" si="461"/>
        <v>0</v>
      </c>
      <c r="DL142" s="82">
        <f t="shared" si="462"/>
        <v>0</v>
      </c>
      <c r="DM142" s="82">
        <f t="shared" si="463"/>
        <v>0</v>
      </c>
      <c r="DN142" s="82">
        <f t="shared" si="464"/>
        <v>0</v>
      </c>
      <c r="DO142" s="82">
        <f t="shared" si="465"/>
        <v>0</v>
      </c>
      <c r="DP142" s="82">
        <f t="shared" si="466"/>
        <v>0</v>
      </c>
      <c r="DQ142" s="82">
        <f t="shared" si="467"/>
        <v>0</v>
      </c>
      <c r="DR142" s="82">
        <f t="shared" si="468"/>
        <v>0</v>
      </c>
      <c r="DS142" s="82">
        <f t="shared" si="469"/>
        <v>0</v>
      </c>
      <c r="DT142" s="82">
        <f t="shared" si="470"/>
        <v>0</v>
      </c>
      <c r="DU142" s="82">
        <f t="shared" si="471"/>
        <v>0</v>
      </c>
      <c r="DV142" s="82">
        <f t="shared" si="472"/>
        <v>0</v>
      </c>
      <c r="DW142" s="82">
        <f t="shared" si="473"/>
        <v>0</v>
      </c>
      <c r="DX142" s="82">
        <f t="shared" si="474"/>
        <v>0</v>
      </c>
      <c r="DY142" s="82">
        <f t="shared" si="475"/>
        <v>0</v>
      </c>
      <c r="DZ142" s="82">
        <f t="shared" si="476"/>
        <v>0</v>
      </c>
      <c r="EA142" s="82">
        <f t="shared" si="477"/>
        <v>0</v>
      </c>
      <c r="EB142" s="82">
        <f t="shared" si="478"/>
        <v>0</v>
      </c>
      <c r="EC142" s="82">
        <f t="shared" si="479"/>
        <v>0</v>
      </c>
      <c r="ED142" s="82">
        <f t="shared" si="480"/>
        <v>0</v>
      </c>
      <c r="EE142" s="82">
        <f t="shared" si="481"/>
        <v>0</v>
      </c>
      <c r="EF142" s="82">
        <f t="shared" si="482"/>
        <v>0</v>
      </c>
      <c r="EG142" s="82">
        <f t="shared" si="483"/>
        <v>0</v>
      </c>
      <c r="EH142" s="82">
        <f t="shared" si="484"/>
        <v>0</v>
      </c>
      <c r="EI142" s="82">
        <f t="shared" si="485"/>
        <v>0</v>
      </c>
      <c r="EJ142" s="82">
        <f t="shared" si="486"/>
        <v>0</v>
      </c>
      <c r="EK142" s="82">
        <f t="shared" si="487"/>
        <v>0</v>
      </c>
      <c r="EL142" s="82">
        <f t="shared" si="488"/>
        <v>0</v>
      </c>
      <c r="EM142" s="82">
        <f t="shared" si="489"/>
        <v>0</v>
      </c>
      <c r="EN142" s="82">
        <f t="shared" si="490"/>
        <v>0</v>
      </c>
      <c r="EO142" s="82">
        <f t="shared" si="491"/>
        <v>0</v>
      </c>
      <c r="EP142" s="82">
        <f t="shared" si="492"/>
        <v>0</v>
      </c>
      <c r="EQ142" s="82">
        <f t="shared" si="493"/>
        <v>0</v>
      </c>
      <c r="ER142" s="82">
        <f t="shared" si="494"/>
        <v>0</v>
      </c>
      <c r="ES142" s="82">
        <f t="shared" si="495"/>
        <v>0</v>
      </c>
      <c r="ET142" s="82">
        <f t="shared" si="496"/>
        <v>0</v>
      </c>
      <c r="EU142" s="82">
        <f t="shared" si="497"/>
        <v>0</v>
      </c>
      <c r="EV142" s="82">
        <f t="shared" si="498"/>
        <v>0</v>
      </c>
      <c r="EW142" s="82">
        <f t="shared" si="499"/>
        <v>0</v>
      </c>
      <c r="EX142" s="82">
        <f t="shared" si="500"/>
        <v>0</v>
      </c>
      <c r="EY142" s="111">
        <f t="shared" si="501"/>
        <v>0</v>
      </c>
      <c r="EZ142" s="143" t="e">
        <f t="shared" ca="1" si="502"/>
        <v>#N/A</v>
      </c>
      <c r="FA142" s="112" t="e">
        <f t="shared" ca="1" si="503"/>
        <v>#N/A</v>
      </c>
      <c r="FB142" s="113" t="e">
        <f t="shared" ca="1" si="504"/>
        <v>#N/A</v>
      </c>
      <c r="FC142" s="114" t="e">
        <f t="shared" ca="1" si="505"/>
        <v>#N/A</v>
      </c>
      <c r="FD142" s="115">
        <f t="shared" ca="1" si="506"/>
        <v>0</v>
      </c>
      <c r="FE142" s="116" t="e">
        <f t="shared" ca="1" si="507"/>
        <v>#N/A</v>
      </c>
      <c r="FF142" s="117" t="e">
        <f t="shared" ca="1" si="508"/>
        <v>#N/A</v>
      </c>
      <c r="FG142" s="71">
        <f t="shared" si="509"/>
        <v>0</v>
      </c>
      <c r="FH142" s="530" t="e">
        <f t="shared" ca="1" si="510"/>
        <v>#N/A</v>
      </c>
      <c r="FI142" s="72"/>
      <c r="FJ142" s="72"/>
      <c r="FK142" s="72"/>
      <c r="FM142" s="421">
        <f t="shared" si="511"/>
        <v>0</v>
      </c>
      <c r="FN142" s="422" t="e">
        <f t="shared" ca="1" si="512"/>
        <v>#N/A</v>
      </c>
      <c r="FO142" s="423">
        <f t="shared" ca="1" si="517"/>
        <v>0</v>
      </c>
      <c r="FP142" s="423">
        <f t="shared" ca="1" si="517"/>
        <v>0</v>
      </c>
      <c r="FQ142" s="423">
        <f t="shared" ca="1" si="517"/>
        <v>0</v>
      </c>
      <c r="FR142" s="423">
        <f t="shared" ca="1" si="517"/>
        <v>0</v>
      </c>
      <c r="FS142" s="423">
        <f t="shared" ca="1" si="517"/>
        <v>0</v>
      </c>
      <c r="FT142" s="423">
        <f t="shared" ca="1" si="517"/>
        <v>0</v>
      </c>
      <c r="FU142" s="423">
        <f t="shared" ca="1" si="517"/>
        <v>0</v>
      </c>
      <c r="FV142" s="423">
        <f t="shared" ca="1" si="517"/>
        <v>0</v>
      </c>
      <c r="FW142" s="423">
        <f t="shared" ca="1" si="517"/>
        <v>0</v>
      </c>
      <c r="FX142" s="423">
        <f t="shared" ca="1" si="517"/>
        <v>0</v>
      </c>
      <c r="FY142" s="423">
        <f t="shared" ca="1" si="517"/>
        <v>0</v>
      </c>
      <c r="FZ142" s="423">
        <f t="shared" ca="1" si="517"/>
        <v>0</v>
      </c>
      <c r="GA142" s="423">
        <f t="shared" ca="1" si="517"/>
        <v>0</v>
      </c>
      <c r="GB142" s="423">
        <f t="shared" ca="1" si="517"/>
        <v>0</v>
      </c>
      <c r="GC142" s="423">
        <f t="shared" ca="1" si="517"/>
        <v>0</v>
      </c>
      <c r="GD142" s="423">
        <f t="shared" ca="1" si="513"/>
        <v>0</v>
      </c>
      <c r="GE142" s="423">
        <f t="shared" ca="1" si="513"/>
        <v>0</v>
      </c>
      <c r="GF142" s="423">
        <f t="shared" ca="1" si="513"/>
        <v>0</v>
      </c>
      <c r="GG142" s="423">
        <f t="shared" ca="1" si="513"/>
        <v>0</v>
      </c>
      <c r="GH142" s="423">
        <f t="shared" ca="1" si="513"/>
        <v>0</v>
      </c>
      <c r="GI142" s="423">
        <f t="shared" ca="1" si="513"/>
        <v>0</v>
      </c>
      <c r="GJ142" s="423">
        <f t="shared" ca="1" si="513"/>
        <v>0</v>
      </c>
      <c r="GK142" s="423">
        <f t="shared" ca="1" si="513"/>
        <v>0</v>
      </c>
      <c r="GL142" s="423">
        <f t="shared" ca="1" si="513"/>
        <v>0</v>
      </c>
      <c r="GM142" s="423">
        <f t="shared" ca="1" si="513"/>
        <v>0</v>
      </c>
      <c r="GN142" s="423">
        <f t="shared" ca="1" si="513"/>
        <v>0</v>
      </c>
      <c r="GO142" s="423">
        <f t="shared" ca="1" si="513"/>
        <v>0</v>
      </c>
      <c r="GP142" s="423">
        <f t="shared" ca="1" si="513"/>
        <v>0</v>
      </c>
      <c r="GQ142" s="423">
        <f t="shared" ca="1" si="513"/>
        <v>0</v>
      </c>
      <c r="GR142" s="423">
        <f t="shared" ca="1" si="513"/>
        <v>0</v>
      </c>
      <c r="GS142" s="423">
        <f t="shared" ca="1" si="513"/>
        <v>0</v>
      </c>
      <c r="GT142" s="423">
        <f t="shared" ca="1" si="514"/>
        <v>0</v>
      </c>
      <c r="GU142" s="423">
        <f t="shared" ca="1" si="427"/>
        <v>0</v>
      </c>
      <c r="GV142" s="423">
        <f t="shared" ca="1" si="427"/>
        <v>0</v>
      </c>
      <c r="GW142" s="423">
        <f t="shared" ca="1" si="427"/>
        <v>0</v>
      </c>
      <c r="GX142" s="423">
        <f t="shared" ca="1" si="427"/>
        <v>0</v>
      </c>
      <c r="GY142" s="423">
        <f t="shared" ca="1" si="427"/>
        <v>0</v>
      </c>
      <c r="GZ142" s="423">
        <f t="shared" ca="1" si="427"/>
        <v>0</v>
      </c>
      <c r="HA142" s="423">
        <f t="shared" ca="1" si="427"/>
        <v>0</v>
      </c>
      <c r="HB142" s="423">
        <f t="shared" ca="1" si="427"/>
        <v>0</v>
      </c>
      <c r="HC142" s="423">
        <f t="shared" ca="1" si="427"/>
        <v>0</v>
      </c>
      <c r="HD142" s="423">
        <f t="shared" ca="1" si="427"/>
        <v>0</v>
      </c>
      <c r="HE142" s="423">
        <f t="shared" ca="1" si="427"/>
        <v>0</v>
      </c>
      <c r="HF142" s="423">
        <f t="shared" ca="1" si="427"/>
        <v>0</v>
      </c>
      <c r="HG142" s="423">
        <f t="shared" ca="1" si="427"/>
        <v>0</v>
      </c>
      <c r="HH142" s="423">
        <f t="shared" ca="1" si="427"/>
        <v>0</v>
      </c>
      <c r="HI142" s="423">
        <f t="shared" ca="1" si="427"/>
        <v>0</v>
      </c>
      <c r="HJ142" s="423">
        <f t="shared" ca="1" si="427"/>
        <v>0</v>
      </c>
      <c r="HK142" s="423">
        <f t="shared" ca="1" si="515"/>
        <v>0</v>
      </c>
      <c r="HL142" s="423">
        <f t="shared" ca="1" si="515"/>
        <v>0</v>
      </c>
      <c r="HM142" s="423">
        <f t="shared" ca="1" si="515"/>
        <v>0</v>
      </c>
      <c r="HN142" s="423">
        <f t="shared" ca="1" si="515"/>
        <v>0</v>
      </c>
      <c r="HO142" s="423">
        <f t="shared" ca="1" si="515"/>
        <v>0</v>
      </c>
      <c r="HP142" s="423">
        <f t="shared" ca="1" si="515"/>
        <v>0</v>
      </c>
      <c r="HQ142" s="423">
        <f t="shared" ca="1" si="515"/>
        <v>0</v>
      </c>
      <c r="HR142" s="423">
        <f t="shared" ca="1" si="515"/>
        <v>0</v>
      </c>
      <c r="HS142" s="423">
        <f t="shared" ca="1" si="515"/>
        <v>0</v>
      </c>
      <c r="HT142" s="423">
        <f t="shared" ca="1" si="515"/>
        <v>0</v>
      </c>
      <c r="HU142" s="423"/>
      <c r="HV142" s="423"/>
    </row>
    <row r="143" spans="1:230" ht="11.25" customHeight="1" x14ac:dyDescent="0.2">
      <c r="A143" s="62">
        <f t="shared" si="516"/>
        <v>132</v>
      </c>
      <c r="B143" s="60">
        <f>Spaces_Sum!C188</f>
        <v>0</v>
      </c>
      <c r="C143" s="62" t="str">
        <f>Spaces_Sum!D188</f>
        <v>0</v>
      </c>
      <c r="D143" s="62" t="e">
        <f ca="1">Spaces_Sum!I188</f>
        <v>#N/A</v>
      </c>
      <c r="F143" s="110" t="e">
        <f ca="1">Spaces_Sum!M188</f>
        <v>#N/A</v>
      </c>
      <c r="G143" s="110" t="e">
        <f ca="1">Spaces_Sum!J188</f>
        <v>#N/A</v>
      </c>
      <c r="H143" s="532"/>
      <c r="I143" s="185"/>
      <c r="J143" s="185"/>
      <c r="K143" s="186"/>
      <c r="L143" s="187"/>
      <c r="M143" s="188"/>
      <c r="N143" s="189"/>
      <c r="O143" s="186"/>
      <c r="P143" s="187"/>
      <c r="Q143" s="188"/>
      <c r="R143" s="189"/>
      <c r="S143" s="186"/>
      <c r="T143" s="187"/>
      <c r="U143" s="188"/>
      <c r="V143" s="189"/>
      <c r="W143" s="186"/>
      <c r="X143" s="187"/>
      <c r="Y143" s="188"/>
      <c r="Z143" s="189"/>
      <c r="AA143" s="186"/>
      <c r="AB143" s="187"/>
      <c r="AC143" s="188"/>
      <c r="AD143" s="189"/>
      <c r="AE143" s="186"/>
      <c r="AF143" s="187"/>
      <c r="AG143" s="188"/>
      <c r="AH143" s="189"/>
      <c r="AI143" s="186"/>
      <c r="AJ143" s="187"/>
      <c r="AK143" s="188"/>
      <c r="AL143" s="189"/>
      <c r="AM143" s="186"/>
      <c r="AN143" s="187"/>
      <c r="AO143" s="188"/>
      <c r="AP143" s="189"/>
      <c r="AQ143" s="186"/>
      <c r="AR143" s="187"/>
      <c r="AS143" s="188"/>
      <c r="AT143" s="189"/>
      <c r="AU143" s="186"/>
      <c r="AV143" s="187"/>
      <c r="AW143" s="188"/>
      <c r="AX143" s="189"/>
      <c r="AY143" s="186"/>
      <c r="AZ143" s="187"/>
      <c r="BA143" s="188"/>
      <c r="BB143" s="189"/>
      <c r="BC143" s="186"/>
      <c r="BD143" s="187"/>
      <c r="BE143" s="188"/>
      <c r="BF143" s="189"/>
      <c r="BG143" s="186"/>
      <c r="BH143" s="187"/>
      <c r="BI143" s="188"/>
      <c r="BJ143" s="189"/>
      <c r="BK143" s="186"/>
      <c r="BL143" s="187"/>
      <c r="BM143" s="188"/>
      <c r="BN143" s="189"/>
      <c r="BO143" s="186"/>
      <c r="BP143" s="187"/>
      <c r="BQ143" s="188"/>
      <c r="BR143" s="189"/>
      <c r="BS143" s="186"/>
      <c r="BT143" s="187"/>
      <c r="BU143" s="188"/>
      <c r="BV143" s="189"/>
      <c r="BW143" s="186"/>
      <c r="BX143" s="187"/>
      <c r="BY143" s="188"/>
      <c r="BZ143" s="189"/>
      <c r="CA143" s="186"/>
      <c r="CB143" s="190"/>
      <c r="CC143" s="190"/>
      <c r="CD143" s="82">
        <f t="shared" si="428"/>
        <v>0</v>
      </c>
      <c r="CE143" s="82">
        <f t="shared" si="429"/>
        <v>0</v>
      </c>
      <c r="CF143" s="82">
        <f t="shared" si="430"/>
        <v>0</v>
      </c>
      <c r="CG143" s="82">
        <f t="shared" si="431"/>
        <v>0</v>
      </c>
      <c r="CH143" s="82">
        <f t="shared" si="432"/>
        <v>0</v>
      </c>
      <c r="CI143" s="82">
        <f t="shared" si="433"/>
        <v>0</v>
      </c>
      <c r="CJ143" s="82">
        <f t="shared" si="434"/>
        <v>0</v>
      </c>
      <c r="CK143" s="82">
        <f t="shared" si="435"/>
        <v>0</v>
      </c>
      <c r="CL143" s="82">
        <f t="shared" si="436"/>
        <v>0</v>
      </c>
      <c r="CM143" s="82">
        <f t="shared" si="437"/>
        <v>0</v>
      </c>
      <c r="CN143" s="82">
        <f t="shared" si="438"/>
        <v>0</v>
      </c>
      <c r="CO143" s="82">
        <f t="shared" si="439"/>
        <v>0</v>
      </c>
      <c r="CP143" s="82">
        <f t="shared" si="440"/>
        <v>0</v>
      </c>
      <c r="CQ143" s="82">
        <f t="shared" si="441"/>
        <v>0</v>
      </c>
      <c r="CR143" s="82">
        <f t="shared" si="442"/>
        <v>0</v>
      </c>
      <c r="CS143" s="82">
        <f t="shared" si="443"/>
        <v>0</v>
      </c>
      <c r="CT143" s="82">
        <f t="shared" si="444"/>
        <v>0</v>
      </c>
      <c r="CU143" s="82">
        <f t="shared" si="445"/>
        <v>0</v>
      </c>
      <c r="CV143" s="82">
        <f t="shared" si="446"/>
        <v>0</v>
      </c>
      <c r="CW143" s="82">
        <f t="shared" si="447"/>
        <v>0</v>
      </c>
      <c r="CX143" s="82">
        <f t="shared" si="448"/>
        <v>0</v>
      </c>
      <c r="CY143" s="82">
        <f t="shared" si="449"/>
        <v>0</v>
      </c>
      <c r="CZ143" s="82">
        <f t="shared" si="450"/>
        <v>0</v>
      </c>
      <c r="DA143" s="82">
        <f t="shared" si="451"/>
        <v>0</v>
      </c>
      <c r="DB143" s="82">
        <f t="shared" si="452"/>
        <v>0</v>
      </c>
      <c r="DC143" s="82">
        <f t="shared" si="453"/>
        <v>0</v>
      </c>
      <c r="DD143" s="82">
        <f t="shared" si="454"/>
        <v>0</v>
      </c>
      <c r="DE143" s="82">
        <f t="shared" si="455"/>
        <v>0</v>
      </c>
      <c r="DF143" s="82">
        <f t="shared" si="456"/>
        <v>0</v>
      </c>
      <c r="DG143" s="82">
        <f t="shared" si="457"/>
        <v>0</v>
      </c>
      <c r="DH143" s="82">
        <f t="shared" si="458"/>
        <v>0</v>
      </c>
      <c r="DI143" s="82">
        <f t="shared" si="459"/>
        <v>0</v>
      </c>
      <c r="DJ143" s="82">
        <f t="shared" si="460"/>
        <v>0</v>
      </c>
      <c r="DK143" s="82">
        <f t="shared" si="461"/>
        <v>0</v>
      </c>
      <c r="DL143" s="82">
        <f t="shared" si="462"/>
        <v>0</v>
      </c>
      <c r="DM143" s="82">
        <f t="shared" si="463"/>
        <v>0</v>
      </c>
      <c r="DN143" s="82">
        <f t="shared" si="464"/>
        <v>0</v>
      </c>
      <c r="DO143" s="82">
        <f t="shared" si="465"/>
        <v>0</v>
      </c>
      <c r="DP143" s="82">
        <f t="shared" si="466"/>
        <v>0</v>
      </c>
      <c r="DQ143" s="82">
        <f t="shared" si="467"/>
        <v>0</v>
      </c>
      <c r="DR143" s="82">
        <f t="shared" si="468"/>
        <v>0</v>
      </c>
      <c r="DS143" s="82">
        <f t="shared" si="469"/>
        <v>0</v>
      </c>
      <c r="DT143" s="82">
        <f t="shared" si="470"/>
        <v>0</v>
      </c>
      <c r="DU143" s="82">
        <f t="shared" si="471"/>
        <v>0</v>
      </c>
      <c r="DV143" s="82">
        <f t="shared" si="472"/>
        <v>0</v>
      </c>
      <c r="DW143" s="82">
        <f t="shared" si="473"/>
        <v>0</v>
      </c>
      <c r="DX143" s="82">
        <f t="shared" si="474"/>
        <v>0</v>
      </c>
      <c r="DY143" s="82">
        <f t="shared" si="475"/>
        <v>0</v>
      </c>
      <c r="DZ143" s="82">
        <f t="shared" si="476"/>
        <v>0</v>
      </c>
      <c r="EA143" s="82">
        <f t="shared" si="477"/>
        <v>0</v>
      </c>
      <c r="EB143" s="82">
        <f t="shared" si="478"/>
        <v>0</v>
      </c>
      <c r="EC143" s="82">
        <f t="shared" si="479"/>
        <v>0</v>
      </c>
      <c r="ED143" s="82">
        <f t="shared" si="480"/>
        <v>0</v>
      </c>
      <c r="EE143" s="82">
        <f t="shared" si="481"/>
        <v>0</v>
      </c>
      <c r="EF143" s="82">
        <f t="shared" si="482"/>
        <v>0</v>
      </c>
      <c r="EG143" s="82">
        <f t="shared" si="483"/>
        <v>0</v>
      </c>
      <c r="EH143" s="82">
        <f t="shared" si="484"/>
        <v>0</v>
      </c>
      <c r="EI143" s="82">
        <f t="shared" si="485"/>
        <v>0</v>
      </c>
      <c r="EJ143" s="82">
        <f t="shared" si="486"/>
        <v>0</v>
      </c>
      <c r="EK143" s="82">
        <f t="shared" si="487"/>
        <v>0</v>
      </c>
      <c r="EL143" s="82">
        <f t="shared" si="488"/>
        <v>0</v>
      </c>
      <c r="EM143" s="82">
        <f t="shared" si="489"/>
        <v>0</v>
      </c>
      <c r="EN143" s="82">
        <f t="shared" si="490"/>
        <v>0</v>
      </c>
      <c r="EO143" s="82">
        <f t="shared" si="491"/>
        <v>0</v>
      </c>
      <c r="EP143" s="82">
        <f t="shared" si="492"/>
        <v>0</v>
      </c>
      <c r="EQ143" s="82">
        <f t="shared" si="493"/>
        <v>0</v>
      </c>
      <c r="ER143" s="82">
        <f t="shared" si="494"/>
        <v>0</v>
      </c>
      <c r="ES143" s="82">
        <f t="shared" si="495"/>
        <v>0</v>
      </c>
      <c r="ET143" s="82">
        <f t="shared" si="496"/>
        <v>0</v>
      </c>
      <c r="EU143" s="82">
        <f t="shared" si="497"/>
        <v>0</v>
      </c>
      <c r="EV143" s="82">
        <f t="shared" si="498"/>
        <v>0</v>
      </c>
      <c r="EW143" s="82">
        <f t="shared" si="499"/>
        <v>0</v>
      </c>
      <c r="EX143" s="82">
        <f t="shared" si="500"/>
        <v>0</v>
      </c>
      <c r="EY143" s="111">
        <f t="shared" si="501"/>
        <v>0</v>
      </c>
      <c r="EZ143" s="143" t="e">
        <f t="shared" ca="1" si="502"/>
        <v>#N/A</v>
      </c>
      <c r="FA143" s="112" t="e">
        <f t="shared" ca="1" si="503"/>
        <v>#N/A</v>
      </c>
      <c r="FB143" s="113" t="e">
        <f t="shared" ca="1" si="504"/>
        <v>#N/A</v>
      </c>
      <c r="FC143" s="114" t="e">
        <f t="shared" ca="1" si="505"/>
        <v>#N/A</v>
      </c>
      <c r="FD143" s="115">
        <f t="shared" ca="1" si="506"/>
        <v>0</v>
      </c>
      <c r="FE143" s="116" t="e">
        <f t="shared" ca="1" si="507"/>
        <v>#N/A</v>
      </c>
      <c r="FF143" s="117" t="e">
        <f t="shared" ca="1" si="508"/>
        <v>#N/A</v>
      </c>
      <c r="FG143" s="71">
        <f t="shared" si="509"/>
        <v>0</v>
      </c>
      <c r="FH143" s="530" t="e">
        <f t="shared" ca="1" si="510"/>
        <v>#N/A</v>
      </c>
      <c r="FI143" s="72"/>
      <c r="FJ143" s="72"/>
      <c r="FK143" s="72"/>
      <c r="FM143" s="421">
        <f t="shared" si="511"/>
        <v>0</v>
      </c>
      <c r="FN143" s="422" t="e">
        <f t="shared" ca="1" si="512"/>
        <v>#N/A</v>
      </c>
      <c r="FO143" s="423">
        <f t="shared" ca="1" si="517"/>
        <v>0</v>
      </c>
      <c r="FP143" s="423">
        <f t="shared" ca="1" si="517"/>
        <v>0</v>
      </c>
      <c r="FQ143" s="423">
        <f t="shared" ca="1" si="517"/>
        <v>0</v>
      </c>
      <c r="FR143" s="423">
        <f t="shared" ca="1" si="517"/>
        <v>0</v>
      </c>
      <c r="FS143" s="423">
        <f t="shared" ca="1" si="517"/>
        <v>0</v>
      </c>
      <c r="FT143" s="423">
        <f t="shared" ca="1" si="517"/>
        <v>0</v>
      </c>
      <c r="FU143" s="423">
        <f t="shared" ca="1" si="517"/>
        <v>0</v>
      </c>
      <c r="FV143" s="423">
        <f t="shared" ca="1" si="517"/>
        <v>0</v>
      </c>
      <c r="FW143" s="423">
        <f t="shared" ca="1" si="517"/>
        <v>0</v>
      </c>
      <c r="FX143" s="423">
        <f t="shared" ca="1" si="517"/>
        <v>0</v>
      </c>
      <c r="FY143" s="423">
        <f t="shared" ca="1" si="517"/>
        <v>0</v>
      </c>
      <c r="FZ143" s="423">
        <f t="shared" ca="1" si="517"/>
        <v>0</v>
      </c>
      <c r="GA143" s="423">
        <f t="shared" ca="1" si="517"/>
        <v>0</v>
      </c>
      <c r="GB143" s="423">
        <f t="shared" ca="1" si="517"/>
        <v>0</v>
      </c>
      <c r="GC143" s="423">
        <f t="shared" ca="1" si="517"/>
        <v>0</v>
      </c>
      <c r="GD143" s="423">
        <f t="shared" ca="1" si="513"/>
        <v>0</v>
      </c>
      <c r="GE143" s="423">
        <f t="shared" ca="1" si="513"/>
        <v>0</v>
      </c>
      <c r="GF143" s="423">
        <f t="shared" ca="1" si="513"/>
        <v>0</v>
      </c>
      <c r="GG143" s="423">
        <f t="shared" ca="1" si="513"/>
        <v>0</v>
      </c>
      <c r="GH143" s="423">
        <f t="shared" ca="1" si="513"/>
        <v>0</v>
      </c>
      <c r="GI143" s="423">
        <f t="shared" ca="1" si="513"/>
        <v>0</v>
      </c>
      <c r="GJ143" s="423">
        <f t="shared" ca="1" si="513"/>
        <v>0</v>
      </c>
      <c r="GK143" s="423">
        <f t="shared" ca="1" si="513"/>
        <v>0</v>
      </c>
      <c r="GL143" s="423">
        <f t="shared" ca="1" si="513"/>
        <v>0</v>
      </c>
      <c r="GM143" s="423">
        <f t="shared" ca="1" si="513"/>
        <v>0</v>
      </c>
      <c r="GN143" s="423">
        <f t="shared" ca="1" si="513"/>
        <v>0</v>
      </c>
      <c r="GO143" s="423">
        <f t="shared" ca="1" si="513"/>
        <v>0</v>
      </c>
      <c r="GP143" s="423">
        <f t="shared" ca="1" si="513"/>
        <v>0</v>
      </c>
      <c r="GQ143" s="423">
        <f t="shared" ca="1" si="513"/>
        <v>0</v>
      </c>
      <c r="GR143" s="423">
        <f t="shared" ca="1" si="513"/>
        <v>0</v>
      </c>
      <c r="GS143" s="423">
        <f t="shared" ca="1" si="513"/>
        <v>0</v>
      </c>
      <c r="GT143" s="423">
        <f t="shared" ca="1" si="514"/>
        <v>0</v>
      </c>
      <c r="GU143" s="423">
        <f t="shared" ca="1" si="427"/>
        <v>0</v>
      </c>
      <c r="GV143" s="423">
        <f t="shared" ca="1" si="427"/>
        <v>0</v>
      </c>
      <c r="GW143" s="423">
        <f t="shared" ca="1" si="427"/>
        <v>0</v>
      </c>
      <c r="GX143" s="423">
        <f t="shared" ca="1" si="427"/>
        <v>0</v>
      </c>
      <c r="GY143" s="423">
        <f t="shared" ca="1" si="427"/>
        <v>0</v>
      </c>
      <c r="GZ143" s="423">
        <f t="shared" ca="1" si="427"/>
        <v>0</v>
      </c>
      <c r="HA143" s="423">
        <f t="shared" ca="1" si="427"/>
        <v>0</v>
      </c>
      <c r="HB143" s="423">
        <f t="shared" ca="1" si="427"/>
        <v>0</v>
      </c>
      <c r="HC143" s="423">
        <f t="shared" ca="1" si="427"/>
        <v>0</v>
      </c>
      <c r="HD143" s="423">
        <f t="shared" ca="1" si="427"/>
        <v>0</v>
      </c>
      <c r="HE143" s="423">
        <f t="shared" ca="1" si="427"/>
        <v>0</v>
      </c>
      <c r="HF143" s="423">
        <f t="shared" ca="1" si="427"/>
        <v>0</v>
      </c>
      <c r="HG143" s="423">
        <f t="shared" ca="1" si="427"/>
        <v>0</v>
      </c>
      <c r="HH143" s="423">
        <f t="shared" ca="1" si="427"/>
        <v>0</v>
      </c>
      <c r="HI143" s="423">
        <f t="shared" ca="1" si="427"/>
        <v>0</v>
      </c>
      <c r="HJ143" s="423">
        <f t="shared" ca="1" si="427"/>
        <v>0</v>
      </c>
      <c r="HK143" s="423">
        <f t="shared" ca="1" si="515"/>
        <v>0</v>
      </c>
      <c r="HL143" s="423">
        <f t="shared" ca="1" si="515"/>
        <v>0</v>
      </c>
      <c r="HM143" s="423">
        <f t="shared" ca="1" si="515"/>
        <v>0</v>
      </c>
      <c r="HN143" s="423">
        <f t="shared" ca="1" si="515"/>
        <v>0</v>
      </c>
      <c r="HO143" s="423">
        <f t="shared" ca="1" si="515"/>
        <v>0</v>
      </c>
      <c r="HP143" s="423">
        <f t="shared" ca="1" si="515"/>
        <v>0</v>
      </c>
      <c r="HQ143" s="423">
        <f t="shared" ca="1" si="515"/>
        <v>0</v>
      </c>
      <c r="HR143" s="423">
        <f t="shared" ca="1" si="515"/>
        <v>0</v>
      </c>
      <c r="HS143" s="423">
        <f t="shared" ca="1" si="515"/>
        <v>0</v>
      </c>
      <c r="HT143" s="423">
        <f t="shared" ca="1" si="515"/>
        <v>0</v>
      </c>
      <c r="HU143" s="423"/>
      <c r="HV143" s="423"/>
    </row>
    <row r="144" spans="1:230" ht="11.25" customHeight="1" x14ac:dyDescent="0.2">
      <c r="A144" s="62">
        <f t="shared" si="516"/>
        <v>133</v>
      </c>
      <c r="B144" s="60">
        <f>Spaces_Sum!C189</f>
        <v>0</v>
      </c>
      <c r="C144" s="62" t="str">
        <f>Spaces_Sum!D189</f>
        <v>0</v>
      </c>
      <c r="D144" s="62" t="e">
        <f ca="1">Spaces_Sum!I189</f>
        <v>#N/A</v>
      </c>
      <c r="F144" s="110" t="e">
        <f ca="1">Spaces_Sum!M189</f>
        <v>#N/A</v>
      </c>
      <c r="G144" s="110" t="e">
        <f ca="1">Spaces_Sum!J189</f>
        <v>#N/A</v>
      </c>
      <c r="H144" s="532"/>
      <c r="I144" s="185"/>
      <c r="J144" s="185"/>
      <c r="K144" s="186"/>
      <c r="L144" s="187"/>
      <c r="M144" s="188"/>
      <c r="N144" s="189"/>
      <c r="O144" s="186"/>
      <c r="P144" s="187"/>
      <c r="Q144" s="188"/>
      <c r="R144" s="189"/>
      <c r="S144" s="186"/>
      <c r="T144" s="187"/>
      <c r="U144" s="188"/>
      <c r="V144" s="189"/>
      <c r="W144" s="186"/>
      <c r="X144" s="187"/>
      <c r="Y144" s="188"/>
      <c r="Z144" s="189"/>
      <c r="AA144" s="186"/>
      <c r="AB144" s="187"/>
      <c r="AC144" s="188"/>
      <c r="AD144" s="189"/>
      <c r="AE144" s="186"/>
      <c r="AF144" s="187"/>
      <c r="AG144" s="188"/>
      <c r="AH144" s="189"/>
      <c r="AI144" s="186"/>
      <c r="AJ144" s="187"/>
      <c r="AK144" s="188"/>
      <c r="AL144" s="189"/>
      <c r="AM144" s="186"/>
      <c r="AN144" s="187"/>
      <c r="AO144" s="188"/>
      <c r="AP144" s="189"/>
      <c r="AQ144" s="186"/>
      <c r="AR144" s="187"/>
      <c r="AS144" s="188"/>
      <c r="AT144" s="189"/>
      <c r="AU144" s="186"/>
      <c r="AV144" s="187"/>
      <c r="AW144" s="188"/>
      <c r="AX144" s="189"/>
      <c r="AY144" s="186"/>
      <c r="AZ144" s="187"/>
      <c r="BA144" s="188"/>
      <c r="BB144" s="189"/>
      <c r="BC144" s="186"/>
      <c r="BD144" s="187"/>
      <c r="BE144" s="188"/>
      <c r="BF144" s="189"/>
      <c r="BG144" s="186"/>
      <c r="BH144" s="187"/>
      <c r="BI144" s="188"/>
      <c r="BJ144" s="189"/>
      <c r="BK144" s="186"/>
      <c r="BL144" s="187"/>
      <c r="BM144" s="188"/>
      <c r="BN144" s="189"/>
      <c r="BO144" s="186"/>
      <c r="BP144" s="187"/>
      <c r="BQ144" s="188"/>
      <c r="BR144" s="189"/>
      <c r="BS144" s="186"/>
      <c r="BT144" s="187"/>
      <c r="BU144" s="188"/>
      <c r="BV144" s="189"/>
      <c r="BW144" s="186"/>
      <c r="BX144" s="187"/>
      <c r="BY144" s="188"/>
      <c r="BZ144" s="189"/>
      <c r="CA144" s="186"/>
      <c r="CB144" s="190"/>
      <c r="CC144" s="190"/>
      <c r="CD144" s="82">
        <f t="shared" si="428"/>
        <v>0</v>
      </c>
      <c r="CE144" s="82">
        <f t="shared" si="429"/>
        <v>0</v>
      </c>
      <c r="CF144" s="82">
        <f t="shared" si="430"/>
        <v>0</v>
      </c>
      <c r="CG144" s="82">
        <f t="shared" si="431"/>
        <v>0</v>
      </c>
      <c r="CH144" s="82">
        <f t="shared" si="432"/>
        <v>0</v>
      </c>
      <c r="CI144" s="82">
        <f t="shared" si="433"/>
        <v>0</v>
      </c>
      <c r="CJ144" s="82">
        <f t="shared" si="434"/>
        <v>0</v>
      </c>
      <c r="CK144" s="82">
        <f t="shared" si="435"/>
        <v>0</v>
      </c>
      <c r="CL144" s="82">
        <f t="shared" si="436"/>
        <v>0</v>
      </c>
      <c r="CM144" s="82">
        <f t="shared" si="437"/>
        <v>0</v>
      </c>
      <c r="CN144" s="82">
        <f t="shared" si="438"/>
        <v>0</v>
      </c>
      <c r="CO144" s="82">
        <f t="shared" si="439"/>
        <v>0</v>
      </c>
      <c r="CP144" s="82">
        <f t="shared" si="440"/>
        <v>0</v>
      </c>
      <c r="CQ144" s="82">
        <f t="shared" si="441"/>
        <v>0</v>
      </c>
      <c r="CR144" s="82">
        <f t="shared" si="442"/>
        <v>0</v>
      </c>
      <c r="CS144" s="82">
        <f t="shared" si="443"/>
        <v>0</v>
      </c>
      <c r="CT144" s="82">
        <f t="shared" si="444"/>
        <v>0</v>
      </c>
      <c r="CU144" s="82">
        <f t="shared" si="445"/>
        <v>0</v>
      </c>
      <c r="CV144" s="82">
        <f t="shared" si="446"/>
        <v>0</v>
      </c>
      <c r="CW144" s="82">
        <f t="shared" si="447"/>
        <v>0</v>
      </c>
      <c r="CX144" s="82">
        <f t="shared" si="448"/>
        <v>0</v>
      </c>
      <c r="CY144" s="82">
        <f t="shared" si="449"/>
        <v>0</v>
      </c>
      <c r="CZ144" s="82">
        <f t="shared" si="450"/>
        <v>0</v>
      </c>
      <c r="DA144" s="82">
        <f t="shared" si="451"/>
        <v>0</v>
      </c>
      <c r="DB144" s="82">
        <f t="shared" si="452"/>
        <v>0</v>
      </c>
      <c r="DC144" s="82">
        <f t="shared" si="453"/>
        <v>0</v>
      </c>
      <c r="DD144" s="82">
        <f t="shared" si="454"/>
        <v>0</v>
      </c>
      <c r="DE144" s="82">
        <f t="shared" si="455"/>
        <v>0</v>
      </c>
      <c r="DF144" s="82">
        <f t="shared" si="456"/>
        <v>0</v>
      </c>
      <c r="DG144" s="82">
        <f t="shared" si="457"/>
        <v>0</v>
      </c>
      <c r="DH144" s="82">
        <f t="shared" si="458"/>
        <v>0</v>
      </c>
      <c r="DI144" s="82">
        <f t="shared" si="459"/>
        <v>0</v>
      </c>
      <c r="DJ144" s="82">
        <f t="shared" si="460"/>
        <v>0</v>
      </c>
      <c r="DK144" s="82">
        <f t="shared" si="461"/>
        <v>0</v>
      </c>
      <c r="DL144" s="82">
        <f t="shared" si="462"/>
        <v>0</v>
      </c>
      <c r="DM144" s="82">
        <f t="shared" si="463"/>
        <v>0</v>
      </c>
      <c r="DN144" s="82">
        <f t="shared" si="464"/>
        <v>0</v>
      </c>
      <c r="DO144" s="82">
        <f t="shared" si="465"/>
        <v>0</v>
      </c>
      <c r="DP144" s="82">
        <f t="shared" si="466"/>
        <v>0</v>
      </c>
      <c r="DQ144" s="82">
        <f t="shared" si="467"/>
        <v>0</v>
      </c>
      <c r="DR144" s="82">
        <f t="shared" si="468"/>
        <v>0</v>
      </c>
      <c r="DS144" s="82">
        <f t="shared" si="469"/>
        <v>0</v>
      </c>
      <c r="DT144" s="82">
        <f t="shared" si="470"/>
        <v>0</v>
      </c>
      <c r="DU144" s="82">
        <f t="shared" si="471"/>
        <v>0</v>
      </c>
      <c r="DV144" s="82">
        <f t="shared" si="472"/>
        <v>0</v>
      </c>
      <c r="DW144" s="82">
        <f t="shared" si="473"/>
        <v>0</v>
      </c>
      <c r="DX144" s="82">
        <f t="shared" si="474"/>
        <v>0</v>
      </c>
      <c r="DY144" s="82">
        <f t="shared" si="475"/>
        <v>0</v>
      </c>
      <c r="DZ144" s="82">
        <f t="shared" si="476"/>
        <v>0</v>
      </c>
      <c r="EA144" s="82">
        <f t="shared" si="477"/>
        <v>0</v>
      </c>
      <c r="EB144" s="82">
        <f t="shared" si="478"/>
        <v>0</v>
      </c>
      <c r="EC144" s="82">
        <f t="shared" si="479"/>
        <v>0</v>
      </c>
      <c r="ED144" s="82">
        <f t="shared" si="480"/>
        <v>0</v>
      </c>
      <c r="EE144" s="82">
        <f t="shared" si="481"/>
        <v>0</v>
      </c>
      <c r="EF144" s="82">
        <f t="shared" si="482"/>
        <v>0</v>
      </c>
      <c r="EG144" s="82">
        <f t="shared" si="483"/>
        <v>0</v>
      </c>
      <c r="EH144" s="82">
        <f t="shared" si="484"/>
        <v>0</v>
      </c>
      <c r="EI144" s="82">
        <f t="shared" si="485"/>
        <v>0</v>
      </c>
      <c r="EJ144" s="82">
        <f t="shared" si="486"/>
        <v>0</v>
      </c>
      <c r="EK144" s="82">
        <f t="shared" si="487"/>
        <v>0</v>
      </c>
      <c r="EL144" s="82">
        <f t="shared" si="488"/>
        <v>0</v>
      </c>
      <c r="EM144" s="82">
        <f t="shared" si="489"/>
        <v>0</v>
      </c>
      <c r="EN144" s="82">
        <f t="shared" si="490"/>
        <v>0</v>
      </c>
      <c r="EO144" s="82">
        <f t="shared" si="491"/>
        <v>0</v>
      </c>
      <c r="EP144" s="82">
        <f t="shared" si="492"/>
        <v>0</v>
      </c>
      <c r="EQ144" s="82">
        <f t="shared" si="493"/>
        <v>0</v>
      </c>
      <c r="ER144" s="82">
        <f t="shared" si="494"/>
        <v>0</v>
      </c>
      <c r="ES144" s="82">
        <f t="shared" si="495"/>
        <v>0</v>
      </c>
      <c r="ET144" s="82">
        <f t="shared" si="496"/>
        <v>0</v>
      </c>
      <c r="EU144" s="82">
        <f t="shared" si="497"/>
        <v>0</v>
      </c>
      <c r="EV144" s="82">
        <f t="shared" si="498"/>
        <v>0</v>
      </c>
      <c r="EW144" s="82">
        <f t="shared" si="499"/>
        <v>0</v>
      </c>
      <c r="EX144" s="82">
        <f t="shared" si="500"/>
        <v>0</v>
      </c>
      <c r="EY144" s="111">
        <f t="shared" si="501"/>
        <v>0</v>
      </c>
      <c r="EZ144" s="143" t="e">
        <f t="shared" ca="1" si="502"/>
        <v>#N/A</v>
      </c>
      <c r="FA144" s="112" t="e">
        <f t="shared" ca="1" si="503"/>
        <v>#N/A</v>
      </c>
      <c r="FB144" s="113" t="e">
        <f t="shared" ca="1" si="504"/>
        <v>#N/A</v>
      </c>
      <c r="FC144" s="114" t="e">
        <f t="shared" ca="1" si="505"/>
        <v>#N/A</v>
      </c>
      <c r="FD144" s="115">
        <f t="shared" ca="1" si="506"/>
        <v>0</v>
      </c>
      <c r="FE144" s="116" t="e">
        <f t="shared" ca="1" si="507"/>
        <v>#N/A</v>
      </c>
      <c r="FF144" s="117" t="e">
        <f t="shared" ca="1" si="508"/>
        <v>#N/A</v>
      </c>
      <c r="FG144" s="71">
        <f t="shared" si="509"/>
        <v>0</v>
      </c>
      <c r="FH144" s="530" t="e">
        <f t="shared" ca="1" si="510"/>
        <v>#N/A</v>
      </c>
      <c r="FI144" s="72"/>
      <c r="FJ144" s="72"/>
      <c r="FK144" s="72"/>
      <c r="FM144" s="421">
        <f t="shared" si="511"/>
        <v>0</v>
      </c>
      <c r="FN144" s="422" t="e">
        <f t="shared" ca="1" si="512"/>
        <v>#N/A</v>
      </c>
      <c r="FO144" s="423">
        <f t="shared" ca="1" si="517"/>
        <v>0</v>
      </c>
      <c r="FP144" s="423">
        <f t="shared" ca="1" si="517"/>
        <v>0</v>
      </c>
      <c r="FQ144" s="423">
        <f t="shared" ca="1" si="517"/>
        <v>0</v>
      </c>
      <c r="FR144" s="423">
        <f t="shared" ca="1" si="517"/>
        <v>0</v>
      </c>
      <c r="FS144" s="423">
        <f t="shared" ca="1" si="517"/>
        <v>0</v>
      </c>
      <c r="FT144" s="423">
        <f t="shared" ca="1" si="517"/>
        <v>0</v>
      </c>
      <c r="FU144" s="423">
        <f t="shared" ca="1" si="517"/>
        <v>0</v>
      </c>
      <c r="FV144" s="423">
        <f t="shared" ca="1" si="517"/>
        <v>0</v>
      </c>
      <c r="FW144" s="423">
        <f t="shared" ca="1" si="517"/>
        <v>0</v>
      </c>
      <c r="FX144" s="423">
        <f t="shared" ca="1" si="517"/>
        <v>0</v>
      </c>
      <c r="FY144" s="423">
        <f t="shared" ca="1" si="517"/>
        <v>0</v>
      </c>
      <c r="FZ144" s="423">
        <f t="shared" ca="1" si="517"/>
        <v>0</v>
      </c>
      <c r="GA144" s="423">
        <f t="shared" ca="1" si="517"/>
        <v>0</v>
      </c>
      <c r="GB144" s="423">
        <f t="shared" ca="1" si="517"/>
        <v>0</v>
      </c>
      <c r="GC144" s="423">
        <f t="shared" ca="1" si="517"/>
        <v>0</v>
      </c>
      <c r="GD144" s="423">
        <f t="shared" ca="1" si="513"/>
        <v>0</v>
      </c>
      <c r="GE144" s="423">
        <f t="shared" ca="1" si="513"/>
        <v>0</v>
      </c>
      <c r="GF144" s="423">
        <f t="shared" ca="1" si="513"/>
        <v>0</v>
      </c>
      <c r="GG144" s="423">
        <f t="shared" ca="1" si="513"/>
        <v>0</v>
      </c>
      <c r="GH144" s="423">
        <f t="shared" ca="1" si="513"/>
        <v>0</v>
      </c>
      <c r="GI144" s="423">
        <f t="shared" ca="1" si="513"/>
        <v>0</v>
      </c>
      <c r="GJ144" s="423">
        <f t="shared" ca="1" si="513"/>
        <v>0</v>
      </c>
      <c r="GK144" s="423">
        <f t="shared" ca="1" si="513"/>
        <v>0</v>
      </c>
      <c r="GL144" s="423">
        <f t="shared" ca="1" si="513"/>
        <v>0</v>
      </c>
      <c r="GM144" s="423">
        <f t="shared" ca="1" si="513"/>
        <v>0</v>
      </c>
      <c r="GN144" s="423">
        <f t="shared" ca="1" si="513"/>
        <v>0</v>
      </c>
      <c r="GO144" s="423">
        <f t="shared" ca="1" si="513"/>
        <v>0</v>
      </c>
      <c r="GP144" s="423">
        <f t="shared" ca="1" si="513"/>
        <v>0</v>
      </c>
      <c r="GQ144" s="423">
        <f t="shared" ca="1" si="513"/>
        <v>0</v>
      </c>
      <c r="GR144" s="423">
        <f t="shared" ca="1" si="513"/>
        <v>0</v>
      </c>
      <c r="GS144" s="423">
        <f t="shared" ca="1" si="513"/>
        <v>0</v>
      </c>
      <c r="GT144" s="423">
        <f t="shared" ca="1" si="514"/>
        <v>0</v>
      </c>
      <c r="GU144" s="423">
        <f t="shared" ca="1" si="427"/>
        <v>0</v>
      </c>
      <c r="GV144" s="423">
        <f t="shared" ca="1" si="427"/>
        <v>0</v>
      </c>
      <c r="GW144" s="423">
        <f t="shared" ca="1" si="427"/>
        <v>0</v>
      </c>
      <c r="GX144" s="423">
        <f t="shared" ca="1" si="427"/>
        <v>0</v>
      </c>
      <c r="GY144" s="423">
        <f t="shared" ca="1" si="427"/>
        <v>0</v>
      </c>
      <c r="GZ144" s="423">
        <f t="shared" ca="1" si="427"/>
        <v>0</v>
      </c>
      <c r="HA144" s="423">
        <f t="shared" ca="1" si="427"/>
        <v>0</v>
      </c>
      <c r="HB144" s="423">
        <f t="shared" ca="1" si="427"/>
        <v>0</v>
      </c>
      <c r="HC144" s="423">
        <f t="shared" ca="1" si="427"/>
        <v>0</v>
      </c>
      <c r="HD144" s="423">
        <f t="shared" ca="1" si="427"/>
        <v>0</v>
      </c>
      <c r="HE144" s="423">
        <f t="shared" ca="1" si="427"/>
        <v>0</v>
      </c>
      <c r="HF144" s="423">
        <f t="shared" ca="1" si="427"/>
        <v>0</v>
      </c>
      <c r="HG144" s="423">
        <f t="shared" ca="1" si="427"/>
        <v>0</v>
      </c>
      <c r="HH144" s="423">
        <f t="shared" ca="1" si="427"/>
        <v>0</v>
      </c>
      <c r="HI144" s="423">
        <f t="shared" ca="1" si="427"/>
        <v>0</v>
      </c>
      <c r="HJ144" s="423">
        <f t="shared" ca="1" si="427"/>
        <v>0</v>
      </c>
      <c r="HK144" s="423">
        <f t="shared" ca="1" si="515"/>
        <v>0</v>
      </c>
      <c r="HL144" s="423">
        <f t="shared" ca="1" si="515"/>
        <v>0</v>
      </c>
      <c r="HM144" s="423">
        <f t="shared" ca="1" si="515"/>
        <v>0</v>
      </c>
      <c r="HN144" s="423">
        <f t="shared" ca="1" si="515"/>
        <v>0</v>
      </c>
      <c r="HO144" s="423">
        <f t="shared" ca="1" si="515"/>
        <v>0</v>
      </c>
      <c r="HP144" s="423">
        <f t="shared" ca="1" si="515"/>
        <v>0</v>
      </c>
      <c r="HQ144" s="423">
        <f t="shared" ca="1" si="515"/>
        <v>0</v>
      </c>
      <c r="HR144" s="423">
        <f t="shared" ca="1" si="515"/>
        <v>0</v>
      </c>
      <c r="HS144" s="423">
        <f t="shared" ca="1" si="515"/>
        <v>0</v>
      </c>
      <c r="HT144" s="423">
        <f t="shared" ca="1" si="515"/>
        <v>0</v>
      </c>
      <c r="HU144" s="423"/>
      <c r="HV144" s="423"/>
    </row>
    <row r="145" spans="1:230" ht="11.25" customHeight="1" x14ac:dyDescent="0.2">
      <c r="A145" s="62">
        <f t="shared" si="516"/>
        <v>134</v>
      </c>
      <c r="B145" s="60">
        <f>Spaces_Sum!C190</f>
        <v>0</v>
      </c>
      <c r="C145" s="62" t="str">
        <f>Spaces_Sum!D190</f>
        <v>0</v>
      </c>
      <c r="D145" s="62" t="e">
        <f ca="1">Spaces_Sum!I190</f>
        <v>#N/A</v>
      </c>
      <c r="F145" s="110" t="e">
        <f ca="1">Spaces_Sum!M190</f>
        <v>#N/A</v>
      </c>
      <c r="G145" s="110" t="e">
        <f ca="1">Spaces_Sum!J190</f>
        <v>#N/A</v>
      </c>
      <c r="H145" s="532"/>
      <c r="I145" s="185"/>
      <c r="J145" s="185"/>
      <c r="K145" s="186"/>
      <c r="L145" s="187"/>
      <c r="M145" s="188"/>
      <c r="N145" s="189"/>
      <c r="O145" s="186"/>
      <c r="P145" s="187"/>
      <c r="Q145" s="188"/>
      <c r="R145" s="189"/>
      <c r="S145" s="186"/>
      <c r="T145" s="187"/>
      <c r="U145" s="188"/>
      <c r="V145" s="189"/>
      <c r="W145" s="186"/>
      <c r="X145" s="187"/>
      <c r="Y145" s="188"/>
      <c r="Z145" s="189"/>
      <c r="AA145" s="186"/>
      <c r="AB145" s="187"/>
      <c r="AC145" s="188"/>
      <c r="AD145" s="189"/>
      <c r="AE145" s="186"/>
      <c r="AF145" s="187"/>
      <c r="AG145" s="188"/>
      <c r="AH145" s="189"/>
      <c r="AI145" s="186"/>
      <c r="AJ145" s="187"/>
      <c r="AK145" s="188"/>
      <c r="AL145" s="189"/>
      <c r="AM145" s="186"/>
      <c r="AN145" s="187"/>
      <c r="AO145" s="188"/>
      <c r="AP145" s="189"/>
      <c r="AQ145" s="186"/>
      <c r="AR145" s="187"/>
      <c r="AS145" s="188"/>
      <c r="AT145" s="189"/>
      <c r="AU145" s="186"/>
      <c r="AV145" s="187"/>
      <c r="AW145" s="188"/>
      <c r="AX145" s="189"/>
      <c r="AY145" s="186"/>
      <c r="AZ145" s="187"/>
      <c r="BA145" s="188"/>
      <c r="BB145" s="189"/>
      <c r="BC145" s="186"/>
      <c r="BD145" s="187"/>
      <c r="BE145" s="188"/>
      <c r="BF145" s="189"/>
      <c r="BG145" s="186"/>
      <c r="BH145" s="187"/>
      <c r="BI145" s="188"/>
      <c r="BJ145" s="189"/>
      <c r="BK145" s="186"/>
      <c r="BL145" s="187"/>
      <c r="BM145" s="188"/>
      <c r="BN145" s="189"/>
      <c r="BO145" s="186"/>
      <c r="BP145" s="187"/>
      <c r="BQ145" s="188"/>
      <c r="BR145" s="189"/>
      <c r="BS145" s="186"/>
      <c r="BT145" s="187"/>
      <c r="BU145" s="188"/>
      <c r="BV145" s="189"/>
      <c r="BW145" s="186"/>
      <c r="BX145" s="187"/>
      <c r="BY145" s="188"/>
      <c r="BZ145" s="189"/>
      <c r="CA145" s="186"/>
      <c r="CB145" s="190"/>
      <c r="CC145" s="190"/>
      <c r="CD145" s="82">
        <f t="shared" si="428"/>
        <v>0</v>
      </c>
      <c r="CE145" s="82">
        <f t="shared" si="429"/>
        <v>0</v>
      </c>
      <c r="CF145" s="82">
        <f t="shared" si="430"/>
        <v>0</v>
      </c>
      <c r="CG145" s="82">
        <f t="shared" si="431"/>
        <v>0</v>
      </c>
      <c r="CH145" s="82">
        <f t="shared" si="432"/>
        <v>0</v>
      </c>
      <c r="CI145" s="82">
        <f t="shared" si="433"/>
        <v>0</v>
      </c>
      <c r="CJ145" s="82">
        <f t="shared" si="434"/>
        <v>0</v>
      </c>
      <c r="CK145" s="82">
        <f t="shared" si="435"/>
        <v>0</v>
      </c>
      <c r="CL145" s="82">
        <f t="shared" si="436"/>
        <v>0</v>
      </c>
      <c r="CM145" s="82">
        <f t="shared" si="437"/>
        <v>0</v>
      </c>
      <c r="CN145" s="82">
        <f t="shared" si="438"/>
        <v>0</v>
      </c>
      <c r="CO145" s="82">
        <f t="shared" si="439"/>
        <v>0</v>
      </c>
      <c r="CP145" s="82">
        <f t="shared" si="440"/>
        <v>0</v>
      </c>
      <c r="CQ145" s="82">
        <f t="shared" si="441"/>
        <v>0</v>
      </c>
      <c r="CR145" s="82">
        <f t="shared" si="442"/>
        <v>0</v>
      </c>
      <c r="CS145" s="82">
        <f t="shared" si="443"/>
        <v>0</v>
      </c>
      <c r="CT145" s="82">
        <f t="shared" si="444"/>
        <v>0</v>
      </c>
      <c r="CU145" s="82">
        <f t="shared" si="445"/>
        <v>0</v>
      </c>
      <c r="CV145" s="82">
        <f t="shared" si="446"/>
        <v>0</v>
      </c>
      <c r="CW145" s="82">
        <f t="shared" si="447"/>
        <v>0</v>
      </c>
      <c r="CX145" s="82">
        <f t="shared" si="448"/>
        <v>0</v>
      </c>
      <c r="CY145" s="82">
        <f t="shared" si="449"/>
        <v>0</v>
      </c>
      <c r="CZ145" s="82">
        <f t="shared" si="450"/>
        <v>0</v>
      </c>
      <c r="DA145" s="82">
        <f t="shared" si="451"/>
        <v>0</v>
      </c>
      <c r="DB145" s="82">
        <f t="shared" si="452"/>
        <v>0</v>
      </c>
      <c r="DC145" s="82">
        <f t="shared" si="453"/>
        <v>0</v>
      </c>
      <c r="DD145" s="82">
        <f t="shared" si="454"/>
        <v>0</v>
      </c>
      <c r="DE145" s="82">
        <f t="shared" si="455"/>
        <v>0</v>
      </c>
      <c r="DF145" s="82">
        <f t="shared" si="456"/>
        <v>0</v>
      </c>
      <c r="DG145" s="82">
        <f t="shared" si="457"/>
        <v>0</v>
      </c>
      <c r="DH145" s="82">
        <f t="shared" si="458"/>
        <v>0</v>
      </c>
      <c r="DI145" s="82">
        <f t="shared" si="459"/>
        <v>0</v>
      </c>
      <c r="DJ145" s="82">
        <f t="shared" si="460"/>
        <v>0</v>
      </c>
      <c r="DK145" s="82">
        <f t="shared" si="461"/>
        <v>0</v>
      </c>
      <c r="DL145" s="82">
        <f t="shared" si="462"/>
        <v>0</v>
      </c>
      <c r="DM145" s="82">
        <f t="shared" si="463"/>
        <v>0</v>
      </c>
      <c r="DN145" s="82">
        <f t="shared" si="464"/>
        <v>0</v>
      </c>
      <c r="DO145" s="82">
        <f t="shared" si="465"/>
        <v>0</v>
      </c>
      <c r="DP145" s="82">
        <f t="shared" si="466"/>
        <v>0</v>
      </c>
      <c r="DQ145" s="82">
        <f t="shared" si="467"/>
        <v>0</v>
      </c>
      <c r="DR145" s="82">
        <f t="shared" si="468"/>
        <v>0</v>
      </c>
      <c r="DS145" s="82">
        <f t="shared" si="469"/>
        <v>0</v>
      </c>
      <c r="DT145" s="82">
        <f t="shared" si="470"/>
        <v>0</v>
      </c>
      <c r="DU145" s="82">
        <f t="shared" si="471"/>
        <v>0</v>
      </c>
      <c r="DV145" s="82">
        <f t="shared" si="472"/>
        <v>0</v>
      </c>
      <c r="DW145" s="82">
        <f t="shared" si="473"/>
        <v>0</v>
      </c>
      <c r="DX145" s="82">
        <f t="shared" si="474"/>
        <v>0</v>
      </c>
      <c r="DY145" s="82">
        <f t="shared" si="475"/>
        <v>0</v>
      </c>
      <c r="DZ145" s="82">
        <f t="shared" si="476"/>
        <v>0</v>
      </c>
      <c r="EA145" s="82">
        <f t="shared" si="477"/>
        <v>0</v>
      </c>
      <c r="EB145" s="82">
        <f t="shared" si="478"/>
        <v>0</v>
      </c>
      <c r="EC145" s="82">
        <f t="shared" si="479"/>
        <v>0</v>
      </c>
      <c r="ED145" s="82">
        <f t="shared" si="480"/>
        <v>0</v>
      </c>
      <c r="EE145" s="82">
        <f t="shared" si="481"/>
        <v>0</v>
      </c>
      <c r="EF145" s="82">
        <f t="shared" si="482"/>
        <v>0</v>
      </c>
      <c r="EG145" s="82">
        <f t="shared" si="483"/>
        <v>0</v>
      </c>
      <c r="EH145" s="82">
        <f t="shared" si="484"/>
        <v>0</v>
      </c>
      <c r="EI145" s="82">
        <f t="shared" si="485"/>
        <v>0</v>
      </c>
      <c r="EJ145" s="82">
        <f t="shared" si="486"/>
        <v>0</v>
      </c>
      <c r="EK145" s="82">
        <f t="shared" si="487"/>
        <v>0</v>
      </c>
      <c r="EL145" s="82">
        <f t="shared" si="488"/>
        <v>0</v>
      </c>
      <c r="EM145" s="82">
        <f t="shared" si="489"/>
        <v>0</v>
      </c>
      <c r="EN145" s="82">
        <f t="shared" si="490"/>
        <v>0</v>
      </c>
      <c r="EO145" s="82">
        <f t="shared" si="491"/>
        <v>0</v>
      </c>
      <c r="EP145" s="82">
        <f t="shared" si="492"/>
        <v>0</v>
      </c>
      <c r="EQ145" s="82">
        <f t="shared" si="493"/>
        <v>0</v>
      </c>
      <c r="ER145" s="82">
        <f t="shared" si="494"/>
        <v>0</v>
      </c>
      <c r="ES145" s="82">
        <f t="shared" si="495"/>
        <v>0</v>
      </c>
      <c r="ET145" s="82">
        <f t="shared" si="496"/>
        <v>0</v>
      </c>
      <c r="EU145" s="82">
        <f t="shared" si="497"/>
        <v>0</v>
      </c>
      <c r="EV145" s="82">
        <f t="shared" si="498"/>
        <v>0</v>
      </c>
      <c r="EW145" s="82">
        <f t="shared" si="499"/>
        <v>0</v>
      </c>
      <c r="EX145" s="82">
        <f t="shared" si="500"/>
        <v>0</v>
      </c>
      <c r="EY145" s="111">
        <f t="shared" si="501"/>
        <v>0</v>
      </c>
      <c r="EZ145" s="143" t="e">
        <f t="shared" ca="1" si="502"/>
        <v>#N/A</v>
      </c>
      <c r="FA145" s="112" t="e">
        <f t="shared" ca="1" si="503"/>
        <v>#N/A</v>
      </c>
      <c r="FB145" s="113" t="e">
        <f t="shared" ca="1" si="504"/>
        <v>#N/A</v>
      </c>
      <c r="FC145" s="114" t="e">
        <f t="shared" ca="1" si="505"/>
        <v>#N/A</v>
      </c>
      <c r="FD145" s="115">
        <f t="shared" ca="1" si="506"/>
        <v>0</v>
      </c>
      <c r="FE145" s="116" t="e">
        <f t="shared" ca="1" si="507"/>
        <v>#N/A</v>
      </c>
      <c r="FF145" s="117" t="e">
        <f t="shared" ca="1" si="508"/>
        <v>#N/A</v>
      </c>
      <c r="FG145" s="71">
        <f t="shared" si="509"/>
        <v>0</v>
      </c>
      <c r="FH145" s="530" t="e">
        <f t="shared" ca="1" si="510"/>
        <v>#N/A</v>
      </c>
      <c r="FI145" s="72"/>
      <c r="FJ145" s="72"/>
      <c r="FK145" s="72"/>
      <c r="FM145" s="421">
        <f t="shared" si="511"/>
        <v>0</v>
      </c>
      <c r="FN145" s="422" t="e">
        <f t="shared" ca="1" si="512"/>
        <v>#N/A</v>
      </c>
      <c r="FO145" s="423">
        <f t="shared" ca="1" si="517"/>
        <v>0</v>
      </c>
      <c r="FP145" s="423">
        <f t="shared" ca="1" si="517"/>
        <v>0</v>
      </c>
      <c r="FQ145" s="423">
        <f t="shared" ca="1" si="517"/>
        <v>0</v>
      </c>
      <c r="FR145" s="423">
        <f t="shared" ca="1" si="517"/>
        <v>0</v>
      </c>
      <c r="FS145" s="423">
        <f t="shared" ca="1" si="517"/>
        <v>0</v>
      </c>
      <c r="FT145" s="423">
        <f t="shared" ca="1" si="517"/>
        <v>0</v>
      </c>
      <c r="FU145" s="423">
        <f t="shared" ca="1" si="517"/>
        <v>0</v>
      </c>
      <c r="FV145" s="423">
        <f t="shared" ca="1" si="517"/>
        <v>0</v>
      </c>
      <c r="FW145" s="423">
        <f t="shared" ca="1" si="517"/>
        <v>0</v>
      </c>
      <c r="FX145" s="423">
        <f t="shared" ca="1" si="517"/>
        <v>0</v>
      </c>
      <c r="FY145" s="423">
        <f t="shared" ca="1" si="517"/>
        <v>0</v>
      </c>
      <c r="FZ145" s="423">
        <f t="shared" ca="1" si="517"/>
        <v>0</v>
      </c>
      <c r="GA145" s="423">
        <f t="shared" ca="1" si="517"/>
        <v>0</v>
      </c>
      <c r="GB145" s="423">
        <f t="shared" ca="1" si="517"/>
        <v>0</v>
      </c>
      <c r="GC145" s="423">
        <f t="shared" ca="1" si="517"/>
        <v>0</v>
      </c>
      <c r="GD145" s="423">
        <f t="shared" ca="1" si="513"/>
        <v>0</v>
      </c>
      <c r="GE145" s="423">
        <f t="shared" ca="1" si="513"/>
        <v>0</v>
      </c>
      <c r="GF145" s="423">
        <f t="shared" ca="1" si="513"/>
        <v>0</v>
      </c>
      <c r="GG145" s="423">
        <f t="shared" ca="1" si="513"/>
        <v>0</v>
      </c>
      <c r="GH145" s="423">
        <f t="shared" ca="1" si="513"/>
        <v>0</v>
      </c>
      <c r="GI145" s="423">
        <f t="shared" ca="1" si="513"/>
        <v>0</v>
      </c>
      <c r="GJ145" s="423">
        <f t="shared" ca="1" si="513"/>
        <v>0</v>
      </c>
      <c r="GK145" s="423">
        <f t="shared" ca="1" si="513"/>
        <v>0</v>
      </c>
      <c r="GL145" s="423">
        <f t="shared" ca="1" si="513"/>
        <v>0</v>
      </c>
      <c r="GM145" s="423">
        <f t="shared" ca="1" si="513"/>
        <v>0</v>
      </c>
      <c r="GN145" s="423">
        <f t="shared" ca="1" si="513"/>
        <v>0</v>
      </c>
      <c r="GO145" s="423">
        <f t="shared" ca="1" si="513"/>
        <v>0</v>
      </c>
      <c r="GP145" s="423">
        <f t="shared" ca="1" si="513"/>
        <v>0</v>
      </c>
      <c r="GQ145" s="423">
        <f t="shared" ca="1" si="513"/>
        <v>0</v>
      </c>
      <c r="GR145" s="423">
        <f t="shared" ca="1" si="513"/>
        <v>0</v>
      </c>
      <c r="GS145" s="423">
        <f t="shared" ca="1" si="513"/>
        <v>0</v>
      </c>
      <c r="GT145" s="423">
        <f t="shared" ca="1" si="514"/>
        <v>0</v>
      </c>
      <c r="GU145" s="423">
        <f t="shared" ca="1" si="427"/>
        <v>0</v>
      </c>
      <c r="GV145" s="423">
        <f t="shared" ca="1" si="427"/>
        <v>0</v>
      </c>
      <c r="GW145" s="423">
        <f t="shared" ca="1" si="427"/>
        <v>0</v>
      </c>
      <c r="GX145" s="423">
        <f t="shared" ca="1" si="427"/>
        <v>0</v>
      </c>
      <c r="GY145" s="423">
        <f t="shared" ca="1" si="427"/>
        <v>0</v>
      </c>
      <c r="GZ145" s="423">
        <f t="shared" ca="1" si="427"/>
        <v>0</v>
      </c>
      <c r="HA145" s="423">
        <f t="shared" ca="1" si="427"/>
        <v>0</v>
      </c>
      <c r="HB145" s="423">
        <f t="shared" ca="1" si="427"/>
        <v>0</v>
      </c>
      <c r="HC145" s="423">
        <f t="shared" ca="1" si="427"/>
        <v>0</v>
      </c>
      <c r="HD145" s="423">
        <f t="shared" ca="1" si="427"/>
        <v>0</v>
      </c>
      <c r="HE145" s="423">
        <f t="shared" ca="1" si="427"/>
        <v>0</v>
      </c>
      <c r="HF145" s="423">
        <f t="shared" ca="1" si="427"/>
        <v>0</v>
      </c>
      <c r="HG145" s="423">
        <f t="shared" ca="1" si="427"/>
        <v>0</v>
      </c>
      <c r="HH145" s="423">
        <f t="shared" ca="1" si="427"/>
        <v>0</v>
      </c>
      <c r="HI145" s="423">
        <f t="shared" ca="1" si="427"/>
        <v>0</v>
      </c>
      <c r="HJ145" s="423">
        <f t="shared" ca="1" si="427"/>
        <v>0</v>
      </c>
      <c r="HK145" s="423">
        <f t="shared" ca="1" si="515"/>
        <v>0</v>
      </c>
      <c r="HL145" s="423">
        <f t="shared" ca="1" si="515"/>
        <v>0</v>
      </c>
      <c r="HM145" s="423">
        <f t="shared" ca="1" si="515"/>
        <v>0</v>
      </c>
      <c r="HN145" s="423">
        <f t="shared" ca="1" si="515"/>
        <v>0</v>
      </c>
      <c r="HO145" s="423">
        <f t="shared" ca="1" si="515"/>
        <v>0</v>
      </c>
      <c r="HP145" s="423">
        <f t="shared" ca="1" si="515"/>
        <v>0</v>
      </c>
      <c r="HQ145" s="423">
        <f t="shared" ca="1" si="515"/>
        <v>0</v>
      </c>
      <c r="HR145" s="423">
        <f t="shared" ca="1" si="515"/>
        <v>0</v>
      </c>
      <c r="HS145" s="423">
        <f t="shared" ca="1" si="515"/>
        <v>0</v>
      </c>
      <c r="HT145" s="423">
        <f t="shared" ca="1" si="515"/>
        <v>0</v>
      </c>
      <c r="HU145" s="423"/>
      <c r="HV145" s="423"/>
    </row>
    <row r="146" spans="1:230" ht="11.25" customHeight="1" x14ac:dyDescent="0.2">
      <c r="A146" s="62">
        <f t="shared" si="516"/>
        <v>135</v>
      </c>
      <c r="B146" s="60">
        <f>Spaces_Sum!C191</f>
        <v>0</v>
      </c>
      <c r="C146" s="62" t="str">
        <f>Spaces_Sum!D191</f>
        <v>0</v>
      </c>
      <c r="D146" s="62" t="e">
        <f ca="1">Spaces_Sum!I191</f>
        <v>#N/A</v>
      </c>
      <c r="F146" s="110" t="e">
        <f ca="1">Spaces_Sum!M191</f>
        <v>#N/A</v>
      </c>
      <c r="G146" s="110" t="e">
        <f ca="1">Spaces_Sum!J191</f>
        <v>#N/A</v>
      </c>
      <c r="H146" s="532"/>
      <c r="I146" s="185"/>
      <c r="J146" s="185"/>
      <c r="K146" s="186"/>
      <c r="L146" s="187"/>
      <c r="M146" s="188"/>
      <c r="N146" s="189"/>
      <c r="O146" s="186"/>
      <c r="P146" s="187"/>
      <c r="Q146" s="188"/>
      <c r="R146" s="189"/>
      <c r="S146" s="186"/>
      <c r="T146" s="187"/>
      <c r="U146" s="188"/>
      <c r="V146" s="189"/>
      <c r="W146" s="186"/>
      <c r="X146" s="187"/>
      <c r="Y146" s="188"/>
      <c r="Z146" s="189"/>
      <c r="AA146" s="186"/>
      <c r="AB146" s="187"/>
      <c r="AC146" s="188"/>
      <c r="AD146" s="189"/>
      <c r="AE146" s="186"/>
      <c r="AF146" s="187"/>
      <c r="AG146" s="188"/>
      <c r="AH146" s="189"/>
      <c r="AI146" s="186"/>
      <c r="AJ146" s="187"/>
      <c r="AK146" s="188"/>
      <c r="AL146" s="189"/>
      <c r="AM146" s="186"/>
      <c r="AN146" s="187"/>
      <c r="AO146" s="188"/>
      <c r="AP146" s="189"/>
      <c r="AQ146" s="186"/>
      <c r="AR146" s="187"/>
      <c r="AS146" s="188"/>
      <c r="AT146" s="189"/>
      <c r="AU146" s="186"/>
      <c r="AV146" s="187"/>
      <c r="AW146" s="188"/>
      <c r="AX146" s="189"/>
      <c r="AY146" s="186"/>
      <c r="AZ146" s="187"/>
      <c r="BA146" s="188"/>
      <c r="BB146" s="189"/>
      <c r="BC146" s="186"/>
      <c r="BD146" s="187"/>
      <c r="BE146" s="188"/>
      <c r="BF146" s="189"/>
      <c r="BG146" s="186"/>
      <c r="BH146" s="187"/>
      <c r="BI146" s="188"/>
      <c r="BJ146" s="189"/>
      <c r="BK146" s="186"/>
      <c r="BL146" s="187"/>
      <c r="BM146" s="188"/>
      <c r="BN146" s="189"/>
      <c r="BO146" s="186"/>
      <c r="BP146" s="187"/>
      <c r="BQ146" s="188"/>
      <c r="BR146" s="189"/>
      <c r="BS146" s="186"/>
      <c r="BT146" s="187"/>
      <c r="BU146" s="188"/>
      <c r="BV146" s="189"/>
      <c r="BW146" s="186"/>
      <c r="BX146" s="187"/>
      <c r="BY146" s="188"/>
      <c r="BZ146" s="189"/>
      <c r="CA146" s="186"/>
      <c r="CB146" s="190"/>
      <c r="CC146" s="190"/>
      <c r="CD146" s="82">
        <f t="shared" si="428"/>
        <v>0</v>
      </c>
      <c r="CE146" s="82">
        <f t="shared" si="429"/>
        <v>0</v>
      </c>
      <c r="CF146" s="82">
        <f t="shared" si="430"/>
        <v>0</v>
      </c>
      <c r="CG146" s="82">
        <f t="shared" si="431"/>
        <v>0</v>
      </c>
      <c r="CH146" s="82">
        <f t="shared" si="432"/>
        <v>0</v>
      </c>
      <c r="CI146" s="82">
        <f t="shared" si="433"/>
        <v>0</v>
      </c>
      <c r="CJ146" s="82">
        <f t="shared" si="434"/>
        <v>0</v>
      </c>
      <c r="CK146" s="82">
        <f t="shared" si="435"/>
        <v>0</v>
      </c>
      <c r="CL146" s="82">
        <f t="shared" si="436"/>
        <v>0</v>
      </c>
      <c r="CM146" s="82">
        <f t="shared" si="437"/>
        <v>0</v>
      </c>
      <c r="CN146" s="82">
        <f t="shared" si="438"/>
        <v>0</v>
      </c>
      <c r="CO146" s="82">
        <f t="shared" si="439"/>
        <v>0</v>
      </c>
      <c r="CP146" s="82">
        <f t="shared" si="440"/>
        <v>0</v>
      </c>
      <c r="CQ146" s="82">
        <f t="shared" si="441"/>
        <v>0</v>
      </c>
      <c r="CR146" s="82">
        <f t="shared" si="442"/>
        <v>0</v>
      </c>
      <c r="CS146" s="82">
        <f t="shared" si="443"/>
        <v>0</v>
      </c>
      <c r="CT146" s="82">
        <f t="shared" si="444"/>
        <v>0</v>
      </c>
      <c r="CU146" s="82">
        <f t="shared" si="445"/>
        <v>0</v>
      </c>
      <c r="CV146" s="82">
        <f t="shared" si="446"/>
        <v>0</v>
      </c>
      <c r="CW146" s="82">
        <f t="shared" si="447"/>
        <v>0</v>
      </c>
      <c r="CX146" s="82">
        <f t="shared" si="448"/>
        <v>0</v>
      </c>
      <c r="CY146" s="82">
        <f t="shared" si="449"/>
        <v>0</v>
      </c>
      <c r="CZ146" s="82">
        <f t="shared" si="450"/>
        <v>0</v>
      </c>
      <c r="DA146" s="82">
        <f t="shared" si="451"/>
        <v>0</v>
      </c>
      <c r="DB146" s="82">
        <f t="shared" si="452"/>
        <v>0</v>
      </c>
      <c r="DC146" s="82">
        <f t="shared" si="453"/>
        <v>0</v>
      </c>
      <c r="DD146" s="82">
        <f t="shared" si="454"/>
        <v>0</v>
      </c>
      <c r="DE146" s="82">
        <f t="shared" si="455"/>
        <v>0</v>
      </c>
      <c r="DF146" s="82">
        <f t="shared" si="456"/>
        <v>0</v>
      </c>
      <c r="DG146" s="82">
        <f t="shared" si="457"/>
        <v>0</v>
      </c>
      <c r="DH146" s="82">
        <f t="shared" si="458"/>
        <v>0</v>
      </c>
      <c r="DI146" s="82">
        <f t="shared" si="459"/>
        <v>0</v>
      </c>
      <c r="DJ146" s="82">
        <f t="shared" si="460"/>
        <v>0</v>
      </c>
      <c r="DK146" s="82">
        <f t="shared" si="461"/>
        <v>0</v>
      </c>
      <c r="DL146" s="82">
        <f t="shared" si="462"/>
        <v>0</v>
      </c>
      <c r="DM146" s="82">
        <f t="shared" si="463"/>
        <v>0</v>
      </c>
      <c r="DN146" s="82">
        <f t="shared" si="464"/>
        <v>0</v>
      </c>
      <c r="DO146" s="82">
        <f t="shared" si="465"/>
        <v>0</v>
      </c>
      <c r="DP146" s="82">
        <f t="shared" si="466"/>
        <v>0</v>
      </c>
      <c r="DQ146" s="82">
        <f t="shared" si="467"/>
        <v>0</v>
      </c>
      <c r="DR146" s="82">
        <f t="shared" si="468"/>
        <v>0</v>
      </c>
      <c r="DS146" s="82">
        <f t="shared" si="469"/>
        <v>0</v>
      </c>
      <c r="DT146" s="82">
        <f t="shared" si="470"/>
        <v>0</v>
      </c>
      <c r="DU146" s="82">
        <f t="shared" si="471"/>
        <v>0</v>
      </c>
      <c r="DV146" s="82">
        <f t="shared" si="472"/>
        <v>0</v>
      </c>
      <c r="DW146" s="82">
        <f t="shared" si="473"/>
        <v>0</v>
      </c>
      <c r="DX146" s="82">
        <f t="shared" si="474"/>
        <v>0</v>
      </c>
      <c r="DY146" s="82">
        <f t="shared" si="475"/>
        <v>0</v>
      </c>
      <c r="DZ146" s="82">
        <f t="shared" si="476"/>
        <v>0</v>
      </c>
      <c r="EA146" s="82">
        <f t="shared" si="477"/>
        <v>0</v>
      </c>
      <c r="EB146" s="82">
        <f t="shared" si="478"/>
        <v>0</v>
      </c>
      <c r="EC146" s="82">
        <f t="shared" si="479"/>
        <v>0</v>
      </c>
      <c r="ED146" s="82">
        <f t="shared" si="480"/>
        <v>0</v>
      </c>
      <c r="EE146" s="82">
        <f t="shared" si="481"/>
        <v>0</v>
      </c>
      <c r="EF146" s="82">
        <f t="shared" si="482"/>
        <v>0</v>
      </c>
      <c r="EG146" s="82">
        <f t="shared" si="483"/>
        <v>0</v>
      </c>
      <c r="EH146" s="82">
        <f t="shared" si="484"/>
        <v>0</v>
      </c>
      <c r="EI146" s="82">
        <f t="shared" si="485"/>
        <v>0</v>
      </c>
      <c r="EJ146" s="82">
        <f t="shared" si="486"/>
        <v>0</v>
      </c>
      <c r="EK146" s="82">
        <f t="shared" si="487"/>
        <v>0</v>
      </c>
      <c r="EL146" s="82">
        <f t="shared" si="488"/>
        <v>0</v>
      </c>
      <c r="EM146" s="82">
        <f t="shared" si="489"/>
        <v>0</v>
      </c>
      <c r="EN146" s="82">
        <f t="shared" si="490"/>
        <v>0</v>
      </c>
      <c r="EO146" s="82">
        <f t="shared" si="491"/>
        <v>0</v>
      </c>
      <c r="EP146" s="82">
        <f t="shared" si="492"/>
        <v>0</v>
      </c>
      <c r="EQ146" s="82">
        <f t="shared" si="493"/>
        <v>0</v>
      </c>
      <c r="ER146" s="82">
        <f t="shared" si="494"/>
        <v>0</v>
      </c>
      <c r="ES146" s="82">
        <f t="shared" si="495"/>
        <v>0</v>
      </c>
      <c r="ET146" s="82">
        <f t="shared" si="496"/>
        <v>0</v>
      </c>
      <c r="EU146" s="82">
        <f t="shared" si="497"/>
        <v>0</v>
      </c>
      <c r="EV146" s="82">
        <f t="shared" si="498"/>
        <v>0</v>
      </c>
      <c r="EW146" s="82">
        <f t="shared" si="499"/>
        <v>0</v>
      </c>
      <c r="EX146" s="82">
        <f t="shared" si="500"/>
        <v>0</v>
      </c>
      <c r="EY146" s="111">
        <f t="shared" si="501"/>
        <v>0</v>
      </c>
      <c r="EZ146" s="143" t="e">
        <f t="shared" ca="1" si="502"/>
        <v>#N/A</v>
      </c>
      <c r="FA146" s="112" t="e">
        <f t="shared" ca="1" si="503"/>
        <v>#N/A</v>
      </c>
      <c r="FB146" s="113" t="e">
        <f t="shared" ca="1" si="504"/>
        <v>#N/A</v>
      </c>
      <c r="FC146" s="114" t="e">
        <f t="shared" ca="1" si="505"/>
        <v>#N/A</v>
      </c>
      <c r="FD146" s="115">
        <f t="shared" ca="1" si="506"/>
        <v>0</v>
      </c>
      <c r="FE146" s="116" t="e">
        <f t="shared" ca="1" si="507"/>
        <v>#N/A</v>
      </c>
      <c r="FF146" s="117" t="e">
        <f t="shared" ca="1" si="508"/>
        <v>#N/A</v>
      </c>
      <c r="FG146" s="71">
        <f t="shared" si="509"/>
        <v>0</v>
      </c>
      <c r="FH146" s="530" t="e">
        <f t="shared" ca="1" si="510"/>
        <v>#N/A</v>
      </c>
      <c r="FI146" s="72" t="e">
        <f ca="1">0.75*FB146</f>
        <v>#N/A</v>
      </c>
      <c r="FJ146" s="72" t="e">
        <f ca="1">FA146</f>
        <v>#N/A</v>
      </c>
      <c r="FK146" s="72" t="e">
        <f ca="1">SUM(FI146:FJ146)</f>
        <v>#N/A</v>
      </c>
      <c r="FM146" s="421">
        <f t="shared" si="511"/>
        <v>0</v>
      </c>
      <c r="FN146" s="422" t="e">
        <f t="shared" ca="1" si="512"/>
        <v>#N/A</v>
      </c>
      <c r="FO146" s="423">
        <f t="shared" ca="1" si="517"/>
        <v>0</v>
      </c>
      <c r="FP146" s="423">
        <f t="shared" ca="1" si="517"/>
        <v>0</v>
      </c>
      <c r="FQ146" s="423">
        <f t="shared" ca="1" si="517"/>
        <v>0</v>
      </c>
      <c r="FR146" s="423">
        <f t="shared" ca="1" si="517"/>
        <v>0</v>
      </c>
      <c r="FS146" s="423">
        <f t="shared" ca="1" si="517"/>
        <v>0</v>
      </c>
      <c r="FT146" s="423">
        <f t="shared" ca="1" si="517"/>
        <v>0</v>
      </c>
      <c r="FU146" s="423">
        <f t="shared" ca="1" si="517"/>
        <v>0</v>
      </c>
      <c r="FV146" s="423">
        <f t="shared" ca="1" si="517"/>
        <v>0</v>
      </c>
      <c r="FW146" s="423">
        <f t="shared" ca="1" si="517"/>
        <v>0</v>
      </c>
      <c r="FX146" s="423">
        <f t="shared" ca="1" si="517"/>
        <v>0</v>
      </c>
      <c r="FY146" s="423">
        <f t="shared" ca="1" si="517"/>
        <v>0</v>
      </c>
      <c r="FZ146" s="423">
        <f t="shared" ca="1" si="517"/>
        <v>0</v>
      </c>
      <c r="GA146" s="423">
        <f t="shared" ca="1" si="517"/>
        <v>0</v>
      </c>
      <c r="GB146" s="423">
        <f t="shared" ca="1" si="517"/>
        <v>0</v>
      </c>
      <c r="GC146" s="423">
        <f t="shared" ca="1" si="517"/>
        <v>0</v>
      </c>
      <c r="GD146" s="423">
        <f t="shared" ca="1" si="513"/>
        <v>0</v>
      </c>
      <c r="GE146" s="423">
        <f t="shared" ca="1" si="513"/>
        <v>0</v>
      </c>
      <c r="GF146" s="423">
        <f t="shared" ca="1" si="513"/>
        <v>0</v>
      </c>
      <c r="GG146" s="423">
        <f t="shared" ca="1" si="513"/>
        <v>0</v>
      </c>
      <c r="GH146" s="423">
        <f t="shared" ca="1" si="513"/>
        <v>0</v>
      </c>
      <c r="GI146" s="423">
        <f t="shared" ca="1" si="513"/>
        <v>0</v>
      </c>
      <c r="GJ146" s="423">
        <f t="shared" ca="1" si="513"/>
        <v>0</v>
      </c>
      <c r="GK146" s="423">
        <f t="shared" ca="1" si="513"/>
        <v>0</v>
      </c>
      <c r="GL146" s="423">
        <f t="shared" ca="1" si="513"/>
        <v>0</v>
      </c>
      <c r="GM146" s="423">
        <f t="shared" ca="1" si="513"/>
        <v>0</v>
      </c>
      <c r="GN146" s="423">
        <f t="shared" ca="1" si="513"/>
        <v>0</v>
      </c>
      <c r="GO146" s="423">
        <f t="shared" ca="1" si="513"/>
        <v>0</v>
      </c>
      <c r="GP146" s="423">
        <f t="shared" ca="1" si="513"/>
        <v>0</v>
      </c>
      <c r="GQ146" s="423">
        <f t="shared" ca="1" si="513"/>
        <v>0</v>
      </c>
      <c r="GR146" s="423">
        <f t="shared" ca="1" si="513"/>
        <v>0</v>
      </c>
      <c r="GS146" s="423">
        <f t="shared" ca="1" si="513"/>
        <v>0</v>
      </c>
      <c r="GT146" s="423">
        <f t="shared" ca="1" si="514"/>
        <v>0</v>
      </c>
      <c r="GU146" s="423">
        <f t="shared" ca="1" si="427"/>
        <v>0</v>
      </c>
      <c r="GV146" s="423">
        <f t="shared" ca="1" si="427"/>
        <v>0</v>
      </c>
      <c r="GW146" s="423">
        <f t="shared" ca="1" si="427"/>
        <v>0</v>
      </c>
      <c r="GX146" s="423">
        <f t="shared" ca="1" si="427"/>
        <v>0</v>
      </c>
      <c r="GY146" s="423">
        <f t="shared" ca="1" si="427"/>
        <v>0</v>
      </c>
      <c r="GZ146" s="423">
        <f t="shared" ca="1" si="427"/>
        <v>0</v>
      </c>
      <c r="HA146" s="423">
        <f t="shared" ca="1" si="427"/>
        <v>0</v>
      </c>
      <c r="HB146" s="423">
        <f t="shared" ca="1" si="427"/>
        <v>0</v>
      </c>
      <c r="HC146" s="423">
        <f t="shared" ca="1" si="427"/>
        <v>0</v>
      </c>
      <c r="HD146" s="423">
        <f t="shared" ca="1" si="427"/>
        <v>0</v>
      </c>
      <c r="HE146" s="423">
        <f t="shared" ca="1" si="427"/>
        <v>0</v>
      </c>
      <c r="HF146" s="423">
        <f t="shared" ca="1" si="427"/>
        <v>0</v>
      </c>
      <c r="HG146" s="423">
        <f t="shared" ca="1" si="427"/>
        <v>0</v>
      </c>
      <c r="HH146" s="423">
        <f t="shared" ca="1" si="427"/>
        <v>0</v>
      </c>
      <c r="HI146" s="423">
        <f t="shared" ca="1" si="427"/>
        <v>0</v>
      </c>
      <c r="HJ146" s="423">
        <f t="shared" ca="1" si="427"/>
        <v>0</v>
      </c>
      <c r="HK146" s="423">
        <f t="shared" ca="1" si="515"/>
        <v>0</v>
      </c>
      <c r="HL146" s="423">
        <f t="shared" ca="1" si="515"/>
        <v>0</v>
      </c>
      <c r="HM146" s="423">
        <f t="shared" ca="1" si="515"/>
        <v>0</v>
      </c>
      <c r="HN146" s="423">
        <f t="shared" ca="1" si="515"/>
        <v>0</v>
      </c>
      <c r="HO146" s="423">
        <f t="shared" ca="1" si="515"/>
        <v>0</v>
      </c>
      <c r="HP146" s="423">
        <f t="shared" ca="1" si="515"/>
        <v>0</v>
      </c>
      <c r="HQ146" s="423">
        <f t="shared" ca="1" si="515"/>
        <v>0</v>
      </c>
      <c r="HR146" s="423">
        <f t="shared" ca="1" si="515"/>
        <v>0</v>
      </c>
      <c r="HS146" s="423">
        <f t="shared" ca="1" si="515"/>
        <v>0</v>
      </c>
      <c r="HT146" s="423">
        <f t="shared" ca="1" si="515"/>
        <v>0</v>
      </c>
      <c r="HU146" s="423"/>
      <c r="HV146" s="423"/>
    </row>
    <row r="147" spans="1:230" ht="11.25" customHeight="1" x14ac:dyDescent="0.2">
      <c r="A147" s="62">
        <f t="shared" si="516"/>
        <v>136</v>
      </c>
      <c r="B147" s="60">
        <f>Spaces_Sum!C192</f>
        <v>0</v>
      </c>
      <c r="C147" s="62" t="str">
        <f>Spaces_Sum!D192</f>
        <v>0</v>
      </c>
      <c r="D147" s="62" t="e">
        <f ca="1">Spaces_Sum!I192</f>
        <v>#N/A</v>
      </c>
      <c r="F147" s="110" t="e">
        <f ca="1">Spaces_Sum!M192</f>
        <v>#N/A</v>
      </c>
      <c r="G147" s="110" t="e">
        <f ca="1">Spaces_Sum!J192</f>
        <v>#N/A</v>
      </c>
      <c r="H147" s="532"/>
      <c r="I147" s="185"/>
      <c r="J147" s="185"/>
      <c r="K147" s="186"/>
      <c r="L147" s="187"/>
      <c r="M147" s="188"/>
      <c r="N147" s="189"/>
      <c r="O147" s="186"/>
      <c r="P147" s="187"/>
      <c r="Q147" s="188"/>
      <c r="R147" s="189"/>
      <c r="S147" s="186"/>
      <c r="T147" s="187"/>
      <c r="U147" s="188"/>
      <c r="V147" s="189"/>
      <c r="W147" s="186"/>
      <c r="X147" s="187"/>
      <c r="Y147" s="188"/>
      <c r="Z147" s="189"/>
      <c r="AA147" s="186"/>
      <c r="AB147" s="187"/>
      <c r="AC147" s="188"/>
      <c r="AD147" s="189"/>
      <c r="AE147" s="186"/>
      <c r="AF147" s="187"/>
      <c r="AG147" s="188"/>
      <c r="AH147" s="189"/>
      <c r="AI147" s="186"/>
      <c r="AJ147" s="187"/>
      <c r="AK147" s="188"/>
      <c r="AL147" s="189"/>
      <c r="AM147" s="186"/>
      <c r="AN147" s="187"/>
      <c r="AO147" s="188"/>
      <c r="AP147" s="189"/>
      <c r="AQ147" s="186"/>
      <c r="AR147" s="187"/>
      <c r="AS147" s="188"/>
      <c r="AT147" s="189"/>
      <c r="AU147" s="186"/>
      <c r="AV147" s="187"/>
      <c r="AW147" s="188"/>
      <c r="AX147" s="189"/>
      <c r="AY147" s="186"/>
      <c r="AZ147" s="187"/>
      <c r="BA147" s="188"/>
      <c r="BB147" s="189"/>
      <c r="BC147" s="186"/>
      <c r="BD147" s="187"/>
      <c r="BE147" s="188"/>
      <c r="BF147" s="189"/>
      <c r="BG147" s="186"/>
      <c r="BH147" s="187"/>
      <c r="BI147" s="188"/>
      <c r="BJ147" s="189"/>
      <c r="BK147" s="186"/>
      <c r="BL147" s="187"/>
      <c r="BM147" s="188"/>
      <c r="BN147" s="189"/>
      <c r="BO147" s="186"/>
      <c r="BP147" s="187"/>
      <c r="BQ147" s="188"/>
      <c r="BR147" s="189"/>
      <c r="BS147" s="186"/>
      <c r="BT147" s="187"/>
      <c r="BU147" s="188"/>
      <c r="BV147" s="189"/>
      <c r="BW147" s="186"/>
      <c r="BX147" s="187"/>
      <c r="BY147" s="188"/>
      <c r="BZ147" s="189"/>
      <c r="CA147" s="186"/>
      <c r="CB147" s="190"/>
      <c r="CC147" s="190"/>
      <c r="CD147" s="82">
        <f t="shared" si="428"/>
        <v>0</v>
      </c>
      <c r="CE147" s="82">
        <f t="shared" si="429"/>
        <v>0</v>
      </c>
      <c r="CF147" s="82">
        <f t="shared" si="430"/>
        <v>0</v>
      </c>
      <c r="CG147" s="82">
        <f t="shared" si="431"/>
        <v>0</v>
      </c>
      <c r="CH147" s="82">
        <f t="shared" si="432"/>
        <v>0</v>
      </c>
      <c r="CI147" s="82">
        <f t="shared" si="433"/>
        <v>0</v>
      </c>
      <c r="CJ147" s="82">
        <f t="shared" si="434"/>
        <v>0</v>
      </c>
      <c r="CK147" s="82">
        <f t="shared" si="435"/>
        <v>0</v>
      </c>
      <c r="CL147" s="82">
        <f t="shared" si="436"/>
        <v>0</v>
      </c>
      <c r="CM147" s="82">
        <f t="shared" si="437"/>
        <v>0</v>
      </c>
      <c r="CN147" s="82">
        <f t="shared" si="438"/>
        <v>0</v>
      </c>
      <c r="CO147" s="82">
        <f t="shared" si="439"/>
        <v>0</v>
      </c>
      <c r="CP147" s="82">
        <f t="shared" si="440"/>
        <v>0</v>
      </c>
      <c r="CQ147" s="82">
        <f t="shared" si="441"/>
        <v>0</v>
      </c>
      <c r="CR147" s="82">
        <f t="shared" si="442"/>
        <v>0</v>
      </c>
      <c r="CS147" s="82">
        <f t="shared" si="443"/>
        <v>0</v>
      </c>
      <c r="CT147" s="82">
        <f t="shared" si="444"/>
        <v>0</v>
      </c>
      <c r="CU147" s="82">
        <f t="shared" si="445"/>
        <v>0</v>
      </c>
      <c r="CV147" s="82">
        <f t="shared" si="446"/>
        <v>0</v>
      </c>
      <c r="CW147" s="82">
        <f t="shared" si="447"/>
        <v>0</v>
      </c>
      <c r="CX147" s="82">
        <f t="shared" si="448"/>
        <v>0</v>
      </c>
      <c r="CY147" s="82">
        <f t="shared" si="449"/>
        <v>0</v>
      </c>
      <c r="CZ147" s="82">
        <f t="shared" si="450"/>
        <v>0</v>
      </c>
      <c r="DA147" s="82">
        <f t="shared" si="451"/>
        <v>0</v>
      </c>
      <c r="DB147" s="82">
        <f t="shared" si="452"/>
        <v>0</v>
      </c>
      <c r="DC147" s="82">
        <f t="shared" si="453"/>
        <v>0</v>
      </c>
      <c r="DD147" s="82">
        <f t="shared" si="454"/>
        <v>0</v>
      </c>
      <c r="DE147" s="82">
        <f t="shared" si="455"/>
        <v>0</v>
      </c>
      <c r="DF147" s="82">
        <f t="shared" si="456"/>
        <v>0</v>
      </c>
      <c r="DG147" s="82">
        <f t="shared" si="457"/>
        <v>0</v>
      </c>
      <c r="DH147" s="82">
        <f t="shared" si="458"/>
        <v>0</v>
      </c>
      <c r="DI147" s="82">
        <f t="shared" si="459"/>
        <v>0</v>
      </c>
      <c r="DJ147" s="82">
        <f t="shared" si="460"/>
        <v>0</v>
      </c>
      <c r="DK147" s="82">
        <f t="shared" si="461"/>
        <v>0</v>
      </c>
      <c r="DL147" s="82">
        <f t="shared" si="462"/>
        <v>0</v>
      </c>
      <c r="DM147" s="82">
        <f t="shared" si="463"/>
        <v>0</v>
      </c>
      <c r="DN147" s="82">
        <f t="shared" si="464"/>
        <v>0</v>
      </c>
      <c r="DO147" s="82">
        <f t="shared" si="465"/>
        <v>0</v>
      </c>
      <c r="DP147" s="82">
        <f t="shared" si="466"/>
        <v>0</v>
      </c>
      <c r="DQ147" s="82">
        <f t="shared" si="467"/>
        <v>0</v>
      </c>
      <c r="DR147" s="82">
        <f t="shared" si="468"/>
        <v>0</v>
      </c>
      <c r="DS147" s="82">
        <f t="shared" si="469"/>
        <v>0</v>
      </c>
      <c r="DT147" s="82">
        <f t="shared" si="470"/>
        <v>0</v>
      </c>
      <c r="DU147" s="82">
        <f t="shared" si="471"/>
        <v>0</v>
      </c>
      <c r="DV147" s="82">
        <f t="shared" si="472"/>
        <v>0</v>
      </c>
      <c r="DW147" s="82">
        <f t="shared" si="473"/>
        <v>0</v>
      </c>
      <c r="DX147" s="82">
        <f t="shared" si="474"/>
        <v>0</v>
      </c>
      <c r="DY147" s="82">
        <f t="shared" si="475"/>
        <v>0</v>
      </c>
      <c r="DZ147" s="82">
        <f t="shared" si="476"/>
        <v>0</v>
      </c>
      <c r="EA147" s="82">
        <f t="shared" si="477"/>
        <v>0</v>
      </c>
      <c r="EB147" s="82">
        <f t="shared" si="478"/>
        <v>0</v>
      </c>
      <c r="EC147" s="82">
        <f t="shared" si="479"/>
        <v>0</v>
      </c>
      <c r="ED147" s="82">
        <f t="shared" si="480"/>
        <v>0</v>
      </c>
      <c r="EE147" s="82">
        <f t="shared" si="481"/>
        <v>0</v>
      </c>
      <c r="EF147" s="82">
        <f t="shared" si="482"/>
        <v>0</v>
      </c>
      <c r="EG147" s="82">
        <f t="shared" si="483"/>
        <v>0</v>
      </c>
      <c r="EH147" s="82">
        <f t="shared" si="484"/>
        <v>0</v>
      </c>
      <c r="EI147" s="82">
        <f t="shared" si="485"/>
        <v>0</v>
      </c>
      <c r="EJ147" s="82">
        <f t="shared" si="486"/>
        <v>0</v>
      </c>
      <c r="EK147" s="82">
        <f t="shared" si="487"/>
        <v>0</v>
      </c>
      <c r="EL147" s="82">
        <f t="shared" si="488"/>
        <v>0</v>
      </c>
      <c r="EM147" s="82">
        <f t="shared" si="489"/>
        <v>0</v>
      </c>
      <c r="EN147" s="82">
        <f t="shared" si="490"/>
        <v>0</v>
      </c>
      <c r="EO147" s="82">
        <f t="shared" si="491"/>
        <v>0</v>
      </c>
      <c r="EP147" s="82">
        <f t="shared" si="492"/>
        <v>0</v>
      </c>
      <c r="EQ147" s="82">
        <f t="shared" si="493"/>
        <v>0</v>
      </c>
      <c r="ER147" s="82">
        <f t="shared" si="494"/>
        <v>0</v>
      </c>
      <c r="ES147" s="82">
        <f t="shared" si="495"/>
        <v>0</v>
      </c>
      <c r="ET147" s="82">
        <f t="shared" si="496"/>
        <v>0</v>
      </c>
      <c r="EU147" s="82">
        <f t="shared" si="497"/>
        <v>0</v>
      </c>
      <c r="EV147" s="82">
        <f t="shared" si="498"/>
        <v>0</v>
      </c>
      <c r="EW147" s="82">
        <f t="shared" si="499"/>
        <v>0</v>
      </c>
      <c r="EX147" s="82">
        <f t="shared" si="500"/>
        <v>0</v>
      </c>
      <c r="EY147" s="111">
        <f t="shared" si="501"/>
        <v>0</v>
      </c>
      <c r="EZ147" s="143" t="e">
        <f t="shared" ca="1" si="502"/>
        <v>#N/A</v>
      </c>
      <c r="FA147" s="112" t="e">
        <f t="shared" ca="1" si="503"/>
        <v>#N/A</v>
      </c>
      <c r="FB147" s="113" t="e">
        <f t="shared" ca="1" si="504"/>
        <v>#N/A</v>
      </c>
      <c r="FC147" s="114" t="e">
        <f t="shared" ca="1" si="505"/>
        <v>#N/A</v>
      </c>
      <c r="FD147" s="115">
        <f t="shared" ca="1" si="506"/>
        <v>0</v>
      </c>
      <c r="FE147" s="116" t="e">
        <f t="shared" ca="1" si="507"/>
        <v>#N/A</v>
      </c>
      <c r="FF147" s="117" t="e">
        <f t="shared" ca="1" si="508"/>
        <v>#N/A</v>
      </c>
      <c r="FG147" s="71">
        <f t="shared" si="509"/>
        <v>0</v>
      </c>
      <c r="FH147" s="530" t="e">
        <f t="shared" ca="1" si="510"/>
        <v>#N/A</v>
      </c>
      <c r="FI147" s="72"/>
      <c r="FJ147" s="72"/>
      <c r="FK147" s="72"/>
      <c r="FM147" s="421">
        <f t="shared" si="511"/>
        <v>0</v>
      </c>
      <c r="FN147" s="422" t="e">
        <f t="shared" ca="1" si="512"/>
        <v>#N/A</v>
      </c>
      <c r="FO147" s="423">
        <f t="shared" ca="1" si="517"/>
        <v>0</v>
      </c>
      <c r="FP147" s="423">
        <f t="shared" ca="1" si="517"/>
        <v>0</v>
      </c>
      <c r="FQ147" s="423">
        <f t="shared" ca="1" si="517"/>
        <v>0</v>
      </c>
      <c r="FR147" s="423">
        <f t="shared" ca="1" si="517"/>
        <v>0</v>
      </c>
      <c r="FS147" s="423">
        <f t="shared" ca="1" si="517"/>
        <v>0</v>
      </c>
      <c r="FT147" s="423">
        <f t="shared" ca="1" si="517"/>
        <v>0</v>
      </c>
      <c r="FU147" s="423">
        <f t="shared" ca="1" si="517"/>
        <v>0</v>
      </c>
      <c r="FV147" s="423">
        <f t="shared" ca="1" si="517"/>
        <v>0</v>
      </c>
      <c r="FW147" s="423">
        <f t="shared" ca="1" si="517"/>
        <v>0</v>
      </c>
      <c r="FX147" s="423">
        <f t="shared" ca="1" si="517"/>
        <v>0</v>
      </c>
      <c r="FY147" s="423">
        <f t="shared" ca="1" si="517"/>
        <v>0</v>
      </c>
      <c r="FZ147" s="423">
        <f t="shared" ca="1" si="517"/>
        <v>0</v>
      </c>
      <c r="GA147" s="423">
        <f t="shared" ca="1" si="517"/>
        <v>0</v>
      </c>
      <c r="GB147" s="423">
        <f t="shared" ca="1" si="517"/>
        <v>0</v>
      </c>
      <c r="GC147" s="423">
        <f t="shared" ca="1" si="517"/>
        <v>0</v>
      </c>
      <c r="GD147" s="423">
        <f t="shared" ca="1" si="513"/>
        <v>0</v>
      </c>
      <c r="GE147" s="423">
        <f t="shared" ca="1" si="513"/>
        <v>0</v>
      </c>
      <c r="GF147" s="423">
        <f t="shared" ca="1" si="513"/>
        <v>0</v>
      </c>
      <c r="GG147" s="423">
        <f t="shared" ca="1" si="513"/>
        <v>0</v>
      </c>
      <c r="GH147" s="423">
        <f t="shared" ca="1" si="513"/>
        <v>0</v>
      </c>
      <c r="GI147" s="423">
        <f t="shared" ca="1" si="513"/>
        <v>0</v>
      </c>
      <c r="GJ147" s="423">
        <f t="shared" ca="1" si="513"/>
        <v>0</v>
      </c>
      <c r="GK147" s="423">
        <f t="shared" ca="1" si="513"/>
        <v>0</v>
      </c>
      <c r="GL147" s="423">
        <f t="shared" ca="1" si="513"/>
        <v>0</v>
      </c>
      <c r="GM147" s="423">
        <f t="shared" ca="1" si="513"/>
        <v>0</v>
      </c>
      <c r="GN147" s="423">
        <f t="shared" ca="1" si="513"/>
        <v>0</v>
      </c>
      <c r="GO147" s="423">
        <f t="shared" ca="1" si="513"/>
        <v>0</v>
      </c>
      <c r="GP147" s="423">
        <f t="shared" ca="1" si="513"/>
        <v>0</v>
      </c>
      <c r="GQ147" s="423">
        <f t="shared" ca="1" si="513"/>
        <v>0</v>
      </c>
      <c r="GR147" s="423">
        <f t="shared" ca="1" si="513"/>
        <v>0</v>
      </c>
      <c r="GS147" s="423">
        <f t="shared" ca="1" si="513"/>
        <v>0</v>
      </c>
      <c r="GT147" s="423">
        <f t="shared" ca="1" si="514"/>
        <v>0</v>
      </c>
      <c r="GU147" s="423">
        <f t="shared" ca="1" si="427"/>
        <v>0</v>
      </c>
      <c r="GV147" s="423">
        <f t="shared" ca="1" si="427"/>
        <v>0</v>
      </c>
      <c r="GW147" s="423">
        <f t="shared" ca="1" si="427"/>
        <v>0</v>
      </c>
      <c r="GX147" s="423">
        <f t="shared" ca="1" si="427"/>
        <v>0</v>
      </c>
      <c r="GY147" s="423">
        <f t="shared" ca="1" si="427"/>
        <v>0</v>
      </c>
      <c r="GZ147" s="423">
        <f t="shared" ca="1" si="427"/>
        <v>0</v>
      </c>
      <c r="HA147" s="423">
        <f t="shared" ca="1" si="427"/>
        <v>0</v>
      </c>
      <c r="HB147" s="423">
        <f t="shared" ca="1" si="427"/>
        <v>0</v>
      </c>
      <c r="HC147" s="423">
        <f t="shared" ca="1" si="427"/>
        <v>0</v>
      </c>
      <c r="HD147" s="423">
        <f t="shared" ca="1" si="427"/>
        <v>0</v>
      </c>
      <c r="HE147" s="423">
        <f t="shared" ca="1" si="427"/>
        <v>0</v>
      </c>
      <c r="HF147" s="423">
        <f t="shared" ca="1" si="427"/>
        <v>0</v>
      </c>
      <c r="HG147" s="423">
        <f t="shared" ca="1" si="427"/>
        <v>0</v>
      </c>
      <c r="HH147" s="423">
        <f t="shared" ca="1" si="427"/>
        <v>0</v>
      </c>
      <c r="HI147" s="423">
        <f t="shared" ca="1" si="427"/>
        <v>0</v>
      </c>
      <c r="HJ147" s="423">
        <f t="shared" ca="1" si="427"/>
        <v>0</v>
      </c>
      <c r="HK147" s="423">
        <f t="shared" ca="1" si="515"/>
        <v>0</v>
      </c>
      <c r="HL147" s="423">
        <f t="shared" ca="1" si="515"/>
        <v>0</v>
      </c>
      <c r="HM147" s="423">
        <f t="shared" ca="1" si="515"/>
        <v>0</v>
      </c>
      <c r="HN147" s="423">
        <f t="shared" ca="1" si="515"/>
        <v>0</v>
      </c>
      <c r="HO147" s="423">
        <f t="shared" ca="1" si="515"/>
        <v>0</v>
      </c>
      <c r="HP147" s="423">
        <f t="shared" ca="1" si="515"/>
        <v>0</v>
      </c>
      <c r="HQ147" s="423">
        <f t="shared" ca="1" si="515"/>
        <v>0</v>
      </c>
      <c r="HR147" s="423">
        <f t="shared" ca="1" si="515"/>
        <v>0</v>
      </c>
      <c r="HS147" s="423">
        <f t="shared" ca="1" si="515"/>
        <v>0</v>
      </c>
      <c r="HT147" s="423">
        <f t="shared" ca="1" si="515"/>
        <v>0</v>
      </c>
      <c r="HU147" s="423"/>
      <c r="HV147" s="423"/>
    </row>
    <row r="148" spans="1:230" ht="11.25" customHeight="1" x14ac:dyDescent="0.2">
      <c r="A148" s="62">
        <f t="shared" si="516"/>
        <v>137</v>
      </c>
      <c r="B148" s="60">
        <f>Spaces_Sum!C193</f>
        <v>0</v>
      </c>
      <c r="C148" s="62" t="str">
        <f>Spaces_Sum!D193</f>
        <v>0</v>
      </c>
      <c r="D148" s="62" t="e">
        <f ca="1">Spaces_Sum!I193</f>
        <v>#N/A</v>
      </c>
      <c r="F148" s="110" t="e">
        <f ca="1">Spaces_Sum!M193</f>
        <v>#N/A</v>
      </c>
      <c r="G148" s="110" t="e">
        <f ca="1">Spaces_Sum!J193</f>
        <v>#N/A</v>
      </c>
      <c r="H148" s="532"/>
      <c r="I148" s="185"/>
      <c r="J148" s="185"/>
      <c r="K148" s="186"/>
      <c r="L148" s="187"/>
      <c r="M148" s="188"/>
      <c r="N148" s="189"/>
      <c r="O148" s="186"/>
      <c r="P148" s="187"/>
      <c r="Q148" s="188"/>
      <c r="R148" s="189"/>
      <c r="S148" s="186"/>
      <c r="T148" s="187"/>
      <c r="U148" s="188"/>
      <c r="V148" s="189"/>
      <c r="W148" s="186"/>
      <c r="X148" s="187"/>
      <c r="Y148" s="188"/>
      <c r="Z148" s="189"/>
      <c r="AA148" s="186"/>
      <c r="AB148" s="187"/>
      <c r="AC148" s="188"/>
      <c r="AD148" s="189"/>
      <c r="AE148" s="186"/>
      <c r="AF148" s="187"/>
      <c r="AG148" s="188"/>
      <c r="AH148" s="189"/>
      <c r="AI148" s="186"/>
      <c r="AJ148" s="187"/>
      <c r="AK148" s="188"/>
      <c r="AL148" s="189"/>
      <c r="AM148" s="186"/>
      <c r="AN148" s="187"/>
      <c r="AO148" s="188"/>
      <c r="AP148" s="189"/>
      <c r="AQ148" s="186"/>
      <c r="AR148" s="187"/>
      <c r="AS148" s="188"/>
      <c r="AT148" s="189"/>
      <c r="AU148" s="186"/>
      <c r="AV148" s="187"/>
      <c r="AW148" s="188"/>
      <c r="AX148" s="189"/>
      <c r="AY148" s="186"/>
      <c r="AZ148" s="187"/>
      <c r="BA148" s="188"/>
      <c r="BB148" s="189"/>
      <c r="BC148" s="186"/>
      <c r="BD148" s="187"/>
      <c r="BE148" s="188"/>
      <c r="BF148" s="189"/>
      <c r="BG148" s="186"/>
      <c r="BH148" s="187"/>
      <c r="BI148" s="188"/>
      <c r="BJ148" s="189"/>
      <c r="BK148" s="186"/>
      <c r="BL148" s="187"/>
      <c r="BM148" s="188"/>
      <c r="BN148" s="189"/>
      <c r="BO148" s="186"/>
      <c r="BP148" s="187"/>
      <c r="BQ148" s="188"/>
      <c r="BR148" s="189"/>
      <c r="BS148" s="186"/>
      <c r="BT148" s="187"/>
      <c r="BU148" s="188"/>
      <c r="BV148" s="189"/>
      <c r="BW148" s="186"/>
      <c r="BX148" s="187"/>
      <c r="BY148" s="188"/>
      <c r="BZ148" s="189"/>
      <c r="CA148" s="186"/>
      <c r="CB148" s="190"/>
      <c r="CC148" s="190"/>
      <c r="CD148" s="82">
        <f t="shared" si="428"/>
        <v>0</v>
      </c>
      <c r="CE148" s="82">
        <f t="shared" si="429"/>
        <v>0</v>
      </c>
      <c r="CF148" s="82">
        <f t="shared" si="430"/>
        <v>0</v>
      </c>
      <c r="CG148" s="82">
        <f t="shared" si="431"/>
        <v>0</v>
      </c>
      <c r="CH148" s="82">
        <f t="shared" si="432"/>
        <v>0</v>
      </c>
      <c r="CI148" s="82">
        <f t="shared" si="433"/>
        <v>0</v>
      </c>
      <c r="CJ148" s="82">
        <f t="shared" si="434"/>
        <v>0</v>
      </c>
      <c r="CK148" s="82">
        <f t="shared" si="435"/>
        <v>0</v>
      </c>
      <c r="CL148" s="82">
        <f t="shared" si="436"/>
        <v>0</v>
      </c>
      <c r="CM148" s="82">
        <f t="shared" si="437"/>
        <v>0</v>
      </c>
      <c r="CN148" s="82">
        <f t="shared" si="438"/>
        <v>0</v>
      </c>
      <c r="CO148" s="82">
        <f t="shared" si="439"/>
        <v>0</v>
      </c>
      <c r="CP148" s="82">
        <f t="shared" si="440"/>
        <v>0</v>
      </c>
      <c r="CQ148" s="82">
        <f t="shared" si="441"/>
        <v>0</v>
      </c>
      <c r="CR148" s="82">
        <f t="shared" si="442"/>
        <v>0</v>
      </c>
      <c r="CS148" s="82">
        <f t="shared" si="443"/>
        <v>0</v>
      </c>
      <c r="CT148" s="82">
        <f t="shared" si="444"/>
        <v>0</v>
      </c>
      <c r="CU148" s="82">
        <f t="shared" si="445"/>
        <v>0</v>
      </c>
      <c r="CV148" s="82">
        <f t="shared" si="446"/>
        <v>0</v>
      </c>
      <c r="CW148" s="82">
        <f t="shared" si="447"/>
        <v>0</v>
      </c>
      <c r="CX148" s="82">
        <f t="shared" si="448"/>
        <v>0</v>
      </c>
      <c r="CY148" s="82">
        <f t="shared" si="449"/>
        <v>0</v>
      </c>
      <c r="CZ148" s="82">
        <f t="shared" si="450"/>
        <v>0</v>
      </c>
      <c r="DA148" s="82">
        <f t="shared" si="451"/>
        <v>0</v>
      </c>
      <c r="DB148" s="82">
        <f t="shared" si="452"/>
        <v>0</v>
      </c>
      <c r="DC148" s="82">
        <f t="shared" si="453"/>
        <v>0</v>
      </c>
      <c r="DD148" s="82">
        <f t="shared" si="454"/>
        <v>0</v>
      </c>
      <c r="DE148" s="82">
        <f t="shared" si="455"/>
        <v>0</v>
      </c>
      <c r="DF148" s="82">
        <f t="shared" si="456"/>
        <v>0</v>
      </c>
      <c r="DG148" s="82">
        <f t="shared" si="457"/>
        <v>0</v>
      </c>
      <c r="DH148" s="82">
        <f t="shared" si="458"/>
        <v>0</v>
      </c>
      <c r="DI148" s="82">
        <f t="shared" si="459"/>
        <v>0</v>
      </c>
      <c r="DJ148" s="82">
        <f t="shared" si="460"/>
        <v>0</v>
      </c>
      <c r="DK148" s="82">
        <f t="shared" si="461"/>
        <v>0</v>
      </c>
      <c r="DL148" s="82">
        <f t="shared" si="462"/>
        <v>0</v>
      </c>
      <c r="DM148" s="82">
        <f t="shared" si="463"/>
        <v>0</v>
      </c>
      <c r="DN148" s="82">
        <f t="shared" si="464"/>
        <v>0</v>
      </c>
      <c r="DO148" s="82">
        <f t="shared" si="465"/>
        <v>0</v>
      </c>
      <c r="DP148" s="82">
        <f t="shared" si="466"/>
        <v>0</v>
      </c>
      <c r="DQ148" s="82">
        <f t="shared" si="467"/>
        <v>0</v>
      </c>
      <c r="DR148" s="82">
        <f t="shared" si="468"/>
        <v>0</v>
      </c>
      <c r="DS148" s="82">
        <f t="shared" si="469"/>
        <v>0</v>
      </c>
      <c r="DT148" s="82">
        <f t="shared" si="470"/>
        <v>0</v>
      </c>
      <c r="DU148" s="82">
        <f t="shared" si="471"/>
        <v>0</v>
      </c>
      <c r="DV148" s="82">
        <f t="shared" si="472"/>
        <v>0</v>
      </c>
      <c r="DW148" s="82">
        <f t="shared" si="473"/>
        <v>0</v>
      </c>
      <c r="DX148" s="82">
        <f t="shared" si="474"/>
        <v>0</v>
      </c>
      <c r="DY148" s="82">
        <f t="shared" si="475"/>
        <v>0</v>
      </c>
      <c r="DZ148" s="82">
        <f t="shared" si="476"/>
        <v>0</v>
      </c>
      <c r="EA148" s="82">
        <f t="shared" si="477"/>
        <v>0</v>
      </c>
      <c r="EB148" s="82">
        <f t="shared" si="478"/>
        <v>0</v>
      </c>
      <c r="EC148" s="82">
        <f t="shared" si="479"/>
        <v>0</v>
      </c>
      <c r="ED148" s="82">
        <f t="shared" si="480"/>
        <v>0</v>
      </c>
      <c r="EE148" s="82">
        <f t="shared" si="481"/>
        <v>0</v>
      </c>
      <c r="EF148" s="82">
        <f t="shared" si="482"/>
        <v>0</v>
      </c>
      <c r="EG148" s="82">
        <f t="shared" si="483"/>
        <v>0</v>
      </c>
      <c r="EH148" s="82">
        <f t="shared" si="484"/>
        <v>0</v>
      </c>
      <c r="EI148" s="82">
        <f t="shared" si="485"/>
        <v>0</v>
      </c>
      <c r="EJ148" s="82">
        <f t="shared" si="486"/>
        <v>0</v>
      </c>
      <c r="EK148" s="82">
        <f t="shared" si="487"/>
        <v>0</v>
      </c>
      <c r="EL148" s="82">
        <f t="shared" si="488"/>
        <v>0</v>
      </c>
      <c r="EM148" s="82">
        <f t="shared" si="489"/>
        <v>0</v>
      </c>
      <c r="EN148" s="82">
        <f t="shared" si="490"/>
        <v>0</v>
      </c>
      <c r="EO148" s="82">
        <f t="shared" si="491"/>
        <v>0</v>
      </c>
      <c r="EP148" s="82">
        <f t="shared" si="492"/>
        <v>0</v>
      </c>
      <c r="EQ148" s="82">
        <f t="shared" si="493"/>
        <v>0</v>
      </c>
      <c r="ER148" s="82">
        <f t="shared" si="494"/>
        <v>0</v>
      </c>
      <c r="ES148" s="82">
        <f t="shared" si="495"/>
        <v>0</v>
      </c>
      <c r="ET148" s="82">
        <f t="shared" si="496"/>
        <v>0</v>
      </c>
      <c r="EU148" s="82">
        <f t="shared" si="497"/>
        <v>0</v>
      </c>
      <c r="EV148" s="82">
        <f t="shared" si="498"/>
        <v>0</v>
      </c>
      <c r="EW148" s="82">
        <f t="shared" si="499"/>
        <v>0</v>
      </c>
      <c r="EX148" s="82">
        <f t="shared" si="500"/>
        <v>0</v>
      </c>
      <c r="EY148" s="111">
        <f t="shared" si="501"/>
        <v>0</v>
      </c>
      <c r="EZ148" s="143" t="e">
        <f t="shared" ca="1" si="502"/>
        <v>#N/A</v>
      </c>
      <c r="FA148" s="112" t="e">
        <f t="shared" ca="1" si="503"/>
        <v>#N/A</v>
      </c>
      <c r="FB148" s="113" t="e">
        <f t="shared" ca="1" si="504"/>
        <v>#N/A</v>
      </c>
      <c r="FC148" s="114" t="e">
        <f t="shared" ca="1" si="505"/>
        <v>#N/A</v>
      </c>
      <c r="FD148" s="115">
        <f t="shared" ca="1" si="506"/>
        <v>0</v>
      </c>
      <c r="FE148" s="116" t="e">
        <f t="shared" ca="1" si="507"/>
        <v>#N/A</v>
      </c>
      <c r="FF148" s="117" t="e">
        <f t="shared" ca="1" si="508"/>
        <v>#N/A</v>
      </c>
      <c r="FG148" s="71">
        <f t="shared" si="509"/>
        <v>0</v>
      </c>
      <c r="FH148" s="530" t="e">
        <f t="shared" ca="1" si="510"/>
        <v>#N/A</v>
      </c>
      <c r="FI148" s="72" t="e">
        <f ca="1">0.65*FB148</f>
        <v>#N/A</v>
      </c>
      <c r="FJ148" s="72" t="e">
        <f t="shared" ref="FJ148:FJ155" ca="1" si="518">FA148</f>
        <v>#N/A</v>
      </c>
      <c r="FK148" s="72" t="e">
        <f t="shared" ref="FK148:FK155" ca="1" si="519">SUM(FI148:FJ148)</f>
        <v>#N/A</v>
      </c>
      <c r="FM148" s="421">
        <f t="shared" si="511"/>
        <v>0</v>
      </c>
      <c r="FN148" s="422" t="e">
        <f t="shared" ca="1" si="512"/>
        <v>#N/A</v>
      </c>
      <c r="FO148" s="423">
        <f t="shared" ca="1" si="517"/>
        <v>0</v>
      </c>
      <c r="FP148" s="423">
        <f t="shared" ca="1" si="517"/>
        <v>0</v>
      </c>
      <c r="FQ148" s="423">
        <f t="shared" ca="1" si="517"/>
        <v>0</v>
      </c>
      <c r="FR148" s="423">
        <f t="shared" ca="1" si="517"/>
        <v>0</v>
      </c>
      <c r="FS148" s="423">
        <f t="shared" ca="1" si="517"/>
        <v>0</v>
      </c>
      <c r="FT148" s="423">
        <f t="shared" ca="1" si="517"/>
        <v>0</v>
      </c>
      <c r="FU148" s="423">
        <f t="shared" ca="1" si="517"/>
        <v>0</v>
      </c>
      <c r="FV148" s="423">
        <f t="shared" ca="1" si="517"/>
        <v>0</v>
      </c>
      <c r="FW148" s="423">
        <f t="shared" ca="1" si="517"/>
        <v>0</v>
      </c>
      <c r="FX148" s="423">
        <f t="shared" ca="1" si="517"/>
        <v>0</v>
      </c>
      <c r="FY148" s="423">
        <f t="shared" ca="1" si="517"/>
        <v>0</v>
      </c>
      <c r="FZ148" s="423">
        <f t="shared" ca="1" si="517"/>
        <v>0</v>
      </c>
      <c r="GA148" s="423">
        <f t="shared" ca="1" si="517"/>
        <v>0</v>
      </c>
      <c r="GB148" s="423">
        <f t="shared" ca="1" si="517"/>
        <v>0</v>
      </c>
      <c r="GC148" s="423">
        <f t="shared" ca="1" si="517"/>
        <v>0</v>
      </c>
      <c r="GD148" s="423">
        <f t="shared" ca="1" si="513"/>
        <v>0</v>
      </c>
      <c r="GE148" s="423">
        <f t="shared" ca="1" si="513"/>
        <v>0</v>
      </c>
      <c r="GF148" s="423">
        <f t="shared" ca="1" si="513"/>
        <v>0</v>
      </c>
      <c r="GG148" s="423">
        <f t="shared" ca="1" si="513"/>
        <v>0</v>
      </c>
      <c r="GH148" s="423">
        <f t="shared" ca="1" si="513"/>
        <v>0</v>
      </c>
      <c r="GI148" s="423">
        <f t="shared" ca="1" si="513"/>
        <v>0</v>
      </c>
      <c r="GJ148" s="423">
        <f t="shared" ca="1" si="513"/>
        <v>0</v>
      </c>
      <c r="GK148" s="423">
        <f t="shared" ca="1" si="513"/>
        <v>0</v>
      </c>
      <c r="GL148" s="423">
        <f t="shared" ca="1" si="513"/>
        <v>0</v>
      </c>
      <c r="GM148" s="423">
        <f t="shared" ca="1" si="513"/>
        <v>0</v>
      </c>
      <c r="GN148" s="423">
        <f t="shared" ca="1" si="513"/>
        <v>0</v>
      </c>
      <c r="GO148" s="423">
        <f t="shared" ca="1" si="513"/>
        <v>0</v>
      </c>
      <c r="GP148" s="423">
        <f t="shared" ca="1" si="513"/>
        <v>0</v>
      </c>
      <c r="GQ148" s="423">
        <f t="shared" ca="1" si="513"/>
        <v>0</v>
      </c>
      <c r="GR148" s="423">
        <f t="shared" ca="1" si="513"/>
        <v>0</v>
      </c>
      <c r="GS148" s="423">
        <f t="shared" ca="1" si="513"/>
        <v>0</v>
      </c>
      <c r="GT148" s="423">
        <f t="shared" ca="1" si="514"/>
        <v>0</v>
      </c>
      <c r="GU148" s="423">
        <f t="shared" ca="1" si="427"/>
        <v>0</v>
      </c>
      <c r="GV148" s="423">
        <f t="shared" ca="1" si="427"/>
        <v>0</v>
      </c>
      <c r="GW148" s="423">
        <f t="shared" ca="1" si="427"/>
        <v>0</v>
      </c>
      <c r="GX148" s="423">
        <f t="shared" ca="1" si="427"/>
        <v>0</v>
      </c>
      <c r="GY148" s="423">
        <f t="shared" ca="1" si="427"/>
        <v>0</v>
      </c>
      <c r="GZ148" s="423">
        <f t="shared" ca="1" si="427"/>
        <v>0</v>
      </c>
      <c r="HA148" s="423">
        <f t="shared" ca="1" si="427"/>
        <v>0</v>
      </c>
      <c r="HB148" s="423">
        <f t="shared" ca="1" si="427"/>
        <v>0</v>
      </c>
      <c r="HC148" s="423">
        <f t="shared" ca="1" si="427"/>
        <v>0</v>
      </c>
      <c r="HD148" s="423">
        <f t="shared" ca="1" si="427"/>
        <v>0</v>
      </c>
      <c r="HE148" s="423">
        <f t="shared" ca="1" si="427"/>
        <v>0</v>
      </c>
      <c r="HF148" s="423">
        <f t="shared" ca="1" si="427"/>
        <v>0</v>
      </c>
      <c r="HG148" s="423">
        <f t="shared" ca="1" si="427"/>
        <v>0</v>
      </c>
      <c r="HH148" s="423">
        <f t="shared" ca="1" si="427"/>
        <v>0</v>
      </c>
      <c r="HI148" s="423">
        <f t="shared" ca="1" si="427"/>
        <v>0</v>
      </c>
      <c r="HJ148" s="423">
        <f t="shared" ca="1" si="427"/>
        <v>0</v>
      </c>
      <c r="HK148" s="423">
        <f t="shared" ca="1" si="515"/>
        <v>0</v>
      </c>
      <c r="HL148" s="423">
        <f t="shared" ca="1" si="515"/>
        <v>0</v>
      </c>
      <c r="HM148" s="423">
        <f t="shared" ca="1" si="515"/>
        <v>0</v>
      </c>
      <c r="HN148" s="423">
        <f t="shared" ca="1" si="515"/>
        <v>0</v>
      </c>
      <c r="HO148" s="423">
        <f t="shared" ca="1" si="515"/>
        <v>0</v>
      </c>
      <c r="HP148" s="423">
        <f t="shared" ca="1" si="515"/>
        <v>0</v>
      </c>
      <c r="HQ148" s="423">
        <f t="shared" ca="1" si="515"/>
        <v>0</v>
      </c>
      <c r="HR148" s="423">
        <f t="shared" ca="1" si="515"/>
        <v>0</v>
      </c>
      <c r="HS148" s="423">
        <f t="shared" ca="1" si="515"/>
        <v>0</v>
      </c>
      <c r="HT148" s="423">
        <f t="shared" ca="1" si="515"/>
        <v>0</v>
      </c>
      <c r="HU148" s="423"/>
      <c r="HV148" s="423"/>
    </row>
    <row r="149" spans="1:230" ht="11.25" customHeight="1" x14ac:dyDescent="0.2">
      <c r="A149" s="62">
        <f t="shared" si="516"/>
        <v>138</v>
      </c>
      <c r="B149" s="60">
        <f>Spaces_Sum!C194</f>
        <v>0</v>
      </c>
      <c r="C149" s="62" t="str">
        <f>Spaces_Sum!D194</f>
        <v>0</v>
      </c>
      <c r="D149" s="62" t="e">
        <f ca="1">Spaces_Sum!I194</f>
        <v>#N/A</v>
      </c>
      <c r="F149" s="110" t="e">
        <f ca="1">Spaces_Sum!M194</f>
        <v>#N/A</v>
      </c>
      <c r="G149" s="110" t="e">
        <f ca="1">Spaces_Sum!J194</f>
        <v>#N/A</v>
      </c>
      <c r="H149" s="532"/>
      <c r="I149" s="185"/>
      <c r="J149" s="185"/>
      <c r="K149" s="186"/>
      <c r="L149" s="187"/>
      <c r="M149" s="188"/>
      <c r="N149" s="189"/>
      <c r="O149" s="186"/>
      <c r="P149" s="187"/>
      <c r="Q149" s="188"/>
      <c r="R149" s="189"/>
      <c r="S149" s="186"/>
      <c r="T149" s="187"/>
      <c r="U149" s="188"/>
      <c r="V149" s="189"/>
      <c r="W149" s="186"/>
      <c r="X149" s="187"/>
      <c r="Y149" s="188"/>
      <c r="Z149" s="189"/>
      <c r="AA149" s="186"/>
      <c r="AB149" s="187"/>
      <c r="AC149" s="188"/>
      <c r="AD149" s="189"/>
      <c r="AE149" s="186"/>
      <c r="AF149" s="187"/>
      <c r="AG149" s="188"/>
      <c r="AH149" s="189"/>
      <c r="AI149" s="186"/>
      <c r="AJ149" s="187"/>
      <c r="AK149" s="188"/>
      <c r="AL149" s="189"/>
      <c r="AM149" s="186"/>
      <c r="AN149" s="187"/>
      <c r="AO149" s="188"/>
      <c r="AP149" s="189"/>
      <c r="AQ149" s="186"/>
      <c r="AR149" s="187"/>
      <c r="AS149" s="188"/>
      <c r="AT149" s="189"/>
      <c r="AU149" s="186"/>
      <c r="AV149" s="187"/>
      <c r="AW149" s="188"/>
      <c r="AX149" s="189"/>
      <c r="AY149" s="186"/>
      <c r="AZ149" s="187"/>
      <c r="BA149" s="188"/>
      <c r="BB149" s="189"/>
      <c r="BC149" s="186"/>
      <c r="BD149" s="187"/>
      <c r="BE149" s="188"/>
      <c r="BF149" s="189"/>
      <c r="BG149" s="186"/>
      <c r="BH149" s="187"/>
      <c r="BI149" s="188"/>
      <c r="BJ149" s="189"/>
      <c r="BK149" s="186"/>
      <c r="BL149" s="187"/>
      <c r="BM149" s="188"/>
      <c r="BN149" s="189"/>
      <c r="BO149" s="186"/>
      <c r="BP149" s="187"/>
      <c r="BQ149" s="188"/>
      <c r="BR149" s="189"/>
      <c r="BS149" s="186"/>
      <c r="BT149" s="187"/>
      <c r="BU149" s="188"/>
      <c r="BV149" s="189"/>
      <c r="BW149" s="186"/>
      <c r="BX149" s="187"/>
      <c r="BY149" s="188"/>
      <c r="BZ149" s="189"/>
      <c r="CA149" s="186"/>
      <c r="CB149" s="190"/>
      <c r="CC149" s="190"/>
      <c r="CD149" s="82">
        <f t="shared" si="428"/>
        <v>0</v>
      </c>
      <c r="CE149" s="82">
        <f t="shared" si="429"/>
        <v>0</v>
      </c>
      <c r="CF149" s="82">
        <f t="shared" si="430"/>
        <v>0</v>
      </c>
      <c r="CG149" s="82">
        <f t="shared" si="431"/>
        <v>0</v>
      </c>
      <c r="CH149" s="82">
        <f t="shared" si="432"/>
        <v>0</v>
      </c>
      <c r="CI149" s="82">
        <f t="shared" si="433"/>
        <v>0</v>
      </c>
      <c r="CJ149" s="82">
        <f t="shared" si="434"/>
        <v>0</v>
      </c>
      <c r="CK149" s="82">
        <f t="shared" si="435"/>
        <v>0</v>
      </c>
      <c r="CL149" s="82">
        <f t="shared" si="436"/>
        <v>0</v>
      </c>
      <c r="CM149" s="82">
        <f t="shared" si="437"/>
        <v>0</v>
      </c>
      <c r="CN149" s="82">
        <f t="shared" si="438"/>
        <v>0</v>
      </c>
      <c r="CO149" s="82">
        <f t="shared" si="439"/>
        <v>0</v>
      </c>
      <c r="CP149" s="82">
        <f t="shared" si="440"/>
        <v>0</v>
      </c>
      <c r="CQ149" s="82">
        <f t="shared" si="441"/>
        <v>0</v>
      </c>
      <c r="CR149" s="82">
        <f t="shared" si="442"/>
        <v>0</v>
      </c>
      <c r="CS149" s="82">
        <f t="shared" si="443"/>
        <v>0</v>
      </c>
      <c r="CT149" s="82">
        <f t="shared" si="444"/>
        <v>0</v>
      </c>
      <c r="CU149" s="82">
        <f t="shared" si="445"/>
        <v>0</v>
      </c>
      <c r="CV149" s="82">
        <f t="shared" si="446"/>
        <v>0</v>
      </c>
      <c r="CW149" s="82">
        <f t="shared" si="447"/>
        <v>0</v>
      </c>
      <c r="CX149" s="82">
        <f t="shared" si="448"/>
        <v>0</v>
      </c>
      <c r="CY149" s="82">
        <f t="shared" si="449"/>
        <v>0</v>
      </c>
      <c r="CZ149" s="82">
        <f t="shared" si="450"/>
        <v>0</v>
      </c>
      <c r="DA149" s="82">
        <f t="shared" si="451"/>
        <v>0</v>
      </c>
      <c r="DB149" s="82">
        <f t="shared" si="452"/>
        <v>0</v>
      </c>
      <c r="DC149" s="82">
        <f t="shared" si="453"/>
        <v>0</v>
      </c>
      <c r="DD149" s="82">
        <f t="shared" si="454"/>
        <v>0</v>
      </c>
      <c r="DE149" s="82">
        <f t="shared" si="455"/>
        <v>0</v>
      </c>
      <c r="DF149" s="82">
        <f t="shared" si="456"/>
        <v>0</v>
      </c>
      <c r="DG149" s="82">
        <f t="shared" si="457"/>
        <v>0</v>
      </c>
      <c r="DH149" s="82">
        <f t="shared" si="458"/>
        <v>0</v>
      </c>
      <c r="DI149" s="82">
        <f t="shared" si="459"/>
        <v>0</v>
      </c>
      <c r="DJ149" s="82">
        <f t="shared" si="460"/>
        <v>0</v>
      </c>
      <c r="DK149" s="82">
        <f t="shared" si="461"/>
        <v>0</v>
      </c>
      <c r="DL149" s="82">
        <f t="shared" si="462"/>
        <v>0</v>
      </c>
      <c r="DM149" s="82">
        <f t="shared" si="463"/>
        <v>0</v>
      </c>
      <c r="DN149" s="82">
        <f t="shared" si="464"/>
        <v>0</v>
      </c>
      <c r="DO149" s="82">
        <f t="shared" si="465"/>
        <v>0</v>
      </c>
      <c r="DP149" s="82">
        <f t="shared" si="466"/>
        <v>0</v>
      </c>
      <c r="DQ149" s="82">
        <f t="shared" si="467"/>
        <v>0</v>
      </c>
      <c r="DR149" s="82">
        <f t="shared" si="468"/>
        <v>0</v>
      </c>
      <c r="DS149" s="82">
        <f t="shared" si="469"/>
        <v>0</v>
      </c>
      <c r="DT149" s="82">
        <f t="shared" si="470"/>
        <v>0</v>
      </c>
      <c r="DU149" s="82">
        <f t="shared" si="471"/>
        <v>0</v>
      </c>
      <c r="DV149" s="82">
        <f t="shared" si="472"/>
        <v>0</v>
      </c>
      <c r="DW149" s="82">
        <f t="shared" si="473"/>
        <v>0</v>
      </c>
      <c r="DX149" s="82">
        <f t="shared" si="474"/>
        <v>0</v>
      </c>
      <c r="DY149" s="82">
        <f t="shared" si="475"/>
        <v>0</v>
      </c>
      <c r="DZ149" s="82">
        <f t="shared" si="476"/>
        <v>0</v>
      </c>
      <c r="EA149" s="82">
        <f t="shared" si="477"/>
        <v>0</v>
      </c>
      <c r="EB149" s="82">
        <f t="shared" si="478"/>
        <v>0</v>
      </c>
      <c r="EC149" s="82">
        <f t="shared" si="479"/>
        <v>0</v>
      </c>
      <c r="ED149" s="82">
        <f t="shared" si="480"/>
        <v>0</v>
      </c>
      <c r="EE149" s="82">
        <f t="shared" si="481"/>
        <v>0</v>
      </c>
      <c r="EF149" s="82">
        <f t="shared" si="482"/>
        <v>0</v>
      </c>
      <c r="EG149" s="82">
        <f t="shared" si="483"/>
        <v>0</v>
      </c>
      <c r="EH149" s="82">
        <f t="shared" si="484"/>
        <v>0</v>
      </c>
      <c r="EI149" s="82">
        <f t="shared" si="485"/>
        <v>0</v>
      </c>
      <c r="EJ149" s="82">
        <f t="shared" si="486"/>
        <v>0</v>
      </c>
      <c r="EK149" s="82">
        <f t="shared" si="487"/>
        <v>0</v>
      </c>
      <c r="EL149" s="82">
        <f t="shared" si="488"/>
        <v>0</v>
      </c>
      <c r="EM149" s="82">
        <f t="shared" si="489"/>
        <v>0</v>
      </c>
      <c r="EN149" s="82">
        <f t="shared" si="490"/>
        <v>0</v>
      </c>
      <c r="EO149" s="82">
        <f t="shared" si="491"/>
        <v>0</v>
      </c>
      <c r="EP149" s="82">
        <f t="shared" si="492"/>
        <v>0</v>
      </c>
      <c r="EQ149" s="82">
        <f t="shared" si="493"/>
        <v>0</v>
      </c>
      <c r="ER149" s="82">
        <f t="shared" si="494"/>
        <v>0</v>
      </c>
      <c r="ES149" s="82">
        <f t="shared" si="495"/>
        <v>0</v>
      </c>
      <c r="ET149" s="82">
        <f t="shared" si="496"/>
        <v>0</v>
      </c>
      <c r="EU149" s="82">
        <f t="shared" si="497"/>
        <v>0</v>
      </c>
      <c r="EV149" s="82">
        <f t="shared" si="498"/>
        <v>0</v>
      </c>
      <c r="EW149" s="82">
        <f t="shared" si="499"/>
        <v>0</v>
      </c>
      <c r="EX149" s="82">
        <f t="shared" si="500"/>
        <v>0</v>
      </c>
      <c r="EY149" s="111">
        <f t="shared" si="501"/>
        <v>0</v>
      </c>
      <c r="EZ149" s="143" t="e">
        <f t="shared" ca="1" si="502"/>
        <v>#N/A</v>
      </c>
      <c r="FA149" s="112" t="e">
        <f t="shared" ca="1" si="503"/>
        <v>#N/A</v>
      </c>
      <c r="FB149" s="113" t="e">
        <f t="shared" ca="1" si="504"/>
        <v>#N/A</v>
      </c>
      <c r="FC149" s="114" t="e">
        <f t="shared" ca="1" si="505"/>
        <v>#N/A</v>
      </c>
      <c r="FD149" s="115">
        <f t="shared" ca="1" si="506"/>
        <v>0</v>
      </c>
      <c r="FE149" s="116" t="e">
        <f t="shared" ca="1" si="507"/>
        <v>#N/A</v>
      </c>
      <c r="FF149" s="117" t="e">
        <f t="shared" ca="1" si="508"/>
        <v>#N/A</v>
      </c>
      <c r="FG149" s="71">
        <f t="shared" si="509"/>
        <v>0</v>
      </c>
      <c r="FH149" s="530" t="e">
        <f t="shared" ca="1" si="510"/>
        <v>#N/A</v>
      </c>
      <c r="FI149" s="72"/>
      <c r="FJ149" s="72"/>
      <c r="FK149" s="72"/>
      <c r="FM149" s="421">
        <f t="shared" si="511"/>
        <v>0</v>
      </c>
      <c r="FN149" s="422" t="e">
        <f t="shared" ca="1" si="512"/>
        <v>#N/A</v>
      </c>
      <c r="FO149" s="423">
        <f t="shared" ca="1" si="517"/>
        <v>0</v>
      </c>
      <c r="FP149" s="423">
        <f t="shared" ca="1" si="517"/>
        <v>0</v>
      </c>
      <c r="FQ149" s="423">
        <f t="shared" ca="1" si="517"/>
        <v>0</v>
      </c>
      <c r="FR149" s="423">
        <f t="shared" ca="1" si="517"/>
        <v>0</v>
      </c>
      <c r="FS149" s="423">
        <f t="shared" ca="1" si="517"/>
        <v>0</v>
      </c>
      <c r="FT149" s="423">
        <f t="shared" ca="1" si="517"/>
        <v>0</v>
      </c>
      <c r="FU149" s="423">
        <f t="shared" ca="1" si="517"/>
        <v>0</v>
      </c>
      <c r="FV149" s="423">
        <f t="shared" ca="1" si="517"/>
        <v>0</v>
      </c>
      <c r="FW149" s="423">
        <f t="shared" ca="1" si="517"/>
        <v>0</v>
      </c>
      <c r="FX149" s="423">
        <f t="shared" ca="1" si="517"/>
        <v>0</v>
      </c>
      <c r="FY149" s="423">
        <f t="shared" ca="1" si="517"/>
        <v>0</v>
      </c>
      <c r="FZ149" s="423">
        <f t="shared" ca="1" si="517"/>
        <v>0</v>
      </c>
      <c r="GA149" s="423">
        <f t="shared" ca="1" si="517"/>
        <v>0</v>
      </c>
      <c r="GB149" s="423">
        <f t="shared" ca="1" si="517"/>
        <v>0</v>
      </c>
      <c r="GC149" s="423">
        <f t="shared" ca="1" si="517"/>
        <v>0</v>
      </c>
      <c r="GD149" s="423">
        <f t="shared" ca="1" si="513"/>
        <v>0</v>
      </c>
      <c r="GE149" s="423">
        <f t="shared" ca="1" si="513"/>
        <v>0</v>
      </c>
      <c r="GF149" s="423">
        <f t="shared" ca="1" si="513"/>
        <v>0</v>
      </c>
      <c r="GG149" s="423">
        <f t="shared" ca="1" si="513"/>
        <v>0</v>
      </c>
      <c r="GH149" s="423">
        <f t="shared" ca="1" si="513"/>
        <v>0</v>
      </c>
      <c r="GI149" s="423">
        <f t="shared" ca="1" si="513"/>
        <v>0</v>
      </c>
      <c r="GJ149" s="423">
        <f t="shared" ca="1" si="513"/>
        <v>0</v>
      </c>
      <c r="GK149" s="423">
        <f t="shared" ca="1" si="513"/>
        <v>0</v>
      </c>
      <c r="GL149" s="423">
        <f t="shared" ca="1" si="513"/>
        <v>0</v>
      </c>
      <c r="GM149" s="423">
        <f t="shared" ca="1" si="513"/>
        <v>0</v>
      </c>
      <c r="GN149" s="423">
        <f t="shared" ca="1" si="513"/>
        <v>0</v>
      </c>
      <c r="GO149" s="423">
        <f t="shared" ca="1" si="513"/>
        <v>0</v>
      </c>
      <c r="GP149" s="423">
        <f t="shared" ca="1" si="513"/>
        <v>0</v>
      </c>
      <c r="GQ149" s="423">
        <f t="shared" ca="1" si="513"/>
        <v>0</v>
      </c>
      <c r="GR149" s="423">
        <f t="shared" ca="1" si="513"/>
        <v>0</v>
      </c>
      <c r="GS149" s="423">
        <f t="shared" ca="1" si="513"/>
        <v>0</v>
      </c>
      <c r="GT149" s="423">
        <f t="shared" ca="1" si="514"/>
        <v>0</v>
      </c>
      <c r="GU149" s="423">
        <f t="shared" ca="1" si="427"/>
        <v>0</v>
      </c>
      <c r="GV149" s="423">
        <f t="shared" ca="1" si="427"/>
        <v>0</v>
      </c>
      <c r="GW149" s="423">
        <f t="shared" ca="1" si="427"/>
        <v>0</v>
      </c>
      <c r="GX149" s="423">
        <f t="shared" ca="1" si="427"/>
        <v>0</v>
      </c>
      <c r="GY149" s="423">
        <f t="shared" ca="1" si="427"/>
        <v>0</v>
      </c>
      <c r="GZ149" s="423">
        <f t="shared" ca="1" si="427"/>
        <v>0</v>
      </c>
      <c r="HA149" s="423">
        <f t="shared" ca="1" si="427"/>
        <v>0</v>
      </c>
      <c r="HB149" s="423">
        <f t="shared" ca="1" si="427"/>
        <v>0</v>
      </c>
      <c r="HC149" s="423">
        <f t="shared" ca="1" si="427"/>
        <v>0</v>
      </c>
      <c r="HD149" s="423">
        <f t="shared" ca="1" si="427"/>
        <v>0</v>
      </c>
      <c r="HE149" s="423">
        <f t="shared" ca="1" si="427"/>
        <v>0</v>
      </c>
      <c r="HF149" s="423">
        <f t="shared" ca="1" si="427"/>
        <v>0</v>
      </c>
      <c r="HG149" s="423">
        <f t="shared" ca="1" si="427"/>
        <v>0</v>
      </c>
      <c r="HH149" s="423">
        <f t="shared" ca="1" si="427"/>
        <v>0</v>
      </c>
      <c r="HI149" s="423">
        <f t="shared" ca="1" si="427"/>
        <v>0</v>
      </c>
      <c r="HJ149" s="423">
        <f t="shared" ca="1" si="427"/>
        <v>0</v>
      </c>
      <c r="HK149" s="423">
        <f t="shared" ca="1" si="515"/>
        <v>0</v>
      </c>
      <c r="HL149" s="423">
        <f t="shared" ca="1" si="515"/>
        <v>0</v>
      </c>
      <c r="HM149" s="423">
        <f t="shared" ca="1" si="515"/>
        <v>0</v>
      </c>
      <c r="HN149" s="423">
        <f t="shared" ca="1" si="515"/>
        <v>0</v>
      </c>
      <c r="HO149" s="423">
        <f t="shared" ca="1" si="515"/>
        <v>0</v>
      </c>
      <c r="HP149" s="423">
        <f t="shared" ca="1" si="515"/>
        <v>0</v>
      </c>
      <c r="HQ149" s="423">
        <f t="shared" ca="1" si="515"/>
        <v>0</v>
      </c>
      <c r="HR149" s="423">
        <f t="shared" ca="1" si="515"/>
        <v>0</v>
      </c>
      <c r="HS149" s="423">
        <f t="shared" ca="1" si="515"/>
        <v>0</v>
      </c>
      <c r="HT149" s="423">
        <f t="shared" ca="1" si="515"/>
        <v>0</v>
      </c>
      <c r="HU149" s="423"/>
      <c r="HV149" s="423"/>
    </row>
    <row r="150" spans="1:230" ht="11.25" customHeight="1" x14ac:dyDescent="0.2">
      <c r="A150" s="62">
        <f t="shared" si="516"/>
        <v>139</v>
      </c>
      <c r="B150" s="60">
        <f>Spaces_Sum!C195</f>
        <v>0</v>
      </c>
      <c r="C150" s="62" t="str">
        <f>Spaces_Sum!D195</f>
        <v>0</v>
      </c>
      <c r="D150" s="62" t="e">
        <f ca="1">Spaces_Sum!I195</f>
        <v>#N/A</v>
      </c>
      <c r="F150" s="110" t="e">
        <f ca="1">Spaces_Sum!M195</f>
        <v>#N/A</v>
      </c>
      <c r="G150" s="110" t="e">
        <f ca="1">Spaces_Sum!J195</f>
        <v>#N/A</v>
      </c>
      <c r="H150" s="532"/>
      <c r="I150" s="185"/>
      <c r="J150" s="185"/>
      <c r="K150" s="186"/>
      <c r="L150" s="187"/>
      <c r="M150" s="188"/>
      <c r="N150" s="189"/>
      <c r="O150" s="186"/>
      <c r="P150" s="187"/>
      <c r="Q150" s="188"/>
      <c r="R150" s="189"/>
      <c r="S150" s="186"/>
      <c r="T150" s="187"/>
      <c r="U150" s="188"/>
      <c r="V150" s="189"/>
      <c r="W150" s="186"/>
      <c r="X150" s="187"/>
      <c r="Y150" s="188"/>
      <c r="Z150" s="189"/>
      <c r="AA150" s="186"/>
      <c r="AB150" s="187"/>
      <c r="AC150" s="188"/>
      <c r="AD150" s="189"/>
      <c r="AE150" s="186"/>
      <c r="AF150" s="187"/>
      <c r="AG150" s="188"/>
      <c r="AH150" s="189"/>
      <c r="AI150" s="186"/>
      <c r="AJ150" s="187"/>
      <c r="AK150" s="188"/>
      <c r="AL150" s="189"/>
      <c r="AM150" s="186"/>
      <c r="AN150" s="187"/>
      <c r="AO150" s="188"/>
      <c r="AP150" s="189"/>
      <c r="AQ150" s="186"/>
      <c r="AR150" s="187"/>
      <c r="AS150" s="188"/>
      <c r="AT150" s="189"/>
      <c r="AU150" s="186"/>
      <c r="AV150" s="187"/>
      <c r="AW150" s="188"/>
      <c r="AX150" s="189"/>
      <c r="AY150" s="186"/>
      <c r="AZ150" s="187"/>
      <c r="BA150" s="188"/>
      <c r="BB150" s="189"/>
      <c r="BC150" s="186"/>
      <c r="BD150" s="187"/>
      <c r="BE150" s="188"/>
      <c r="BF150" s="189"/>
      <c r="BG150" s="186"/>
      <c r="BH150" s="187"/>
      <c r="BI150" s="188"/>
      <c r="BJ150" s="189"/>
      <c r="BK150" s="186"/>
      <c r="BL150" s="187"/>
      <c r="BM150" s="188"/>
      <c r="BN150" s="189"/>
      <c r="BO150" s="186"/>
      <c r="BP150" s="187"/>
      <c r="BQ150" s="188"/>
      <c r="BR150" s="189"/>
      <c r="BS150" s="186"/>
      <c r="BT150" s="187"/>
      <c r="BU150" s="188"/>
      <c r="BV150" s="189"/>
      <c r="BW150" s="186"/>
      <c r="BX150" s="187"/>
      <c r="BY150" s="188"/>
      <c r="BZ150" s="189"/>
      <c r="CA150" s="186"/>
      <c r="CB150" s="190"/>
      <c r="CC150" s="190"/>
      <c r="CD150" s="82">
        <f t="shared" si="428"/>
        <v>0</v>
      </c>
      <c r="CE150" s="82">
        <f t="shared" si="429"/>
        <v>0</v>
      </c>
      <c r="CF150" s="82">
        <f t="shared" si="430"/>
        <v>0</v>
      </c>
      <c r="CG150" s="82">
        <f t="shared" si="431"/>
        <v>0</v>
      </c>
      <c r="CH150" s="82">
        <f t="shared" si="432"/>
        <v>0</v>
      </c>
      <c r="CI150" s="82">
        <f t="shared" si="433"/>
        <v>0</v>
      </c>
      <c r="CJ150" s="82">
        <f t="shared" si="434"/>
        <v>0</v>
      </c>
      <c r="CK150" s="82">
        <f t="shared" si="435"/>
        <v>0</v>
      </c>
      <c r="CL150" s="82">
        <f t="shared" si="436"/>
        <v>0</v>
      </c>
      <c r="CM150" s="82">
        <f t="shared" si="437"/>
        <v>0</v>
      </c>
      <c r="CN150" s="82">
        <f t="shared" si="438"/>
        <v>0</v>
      </c>
      <c r="CO150" s="82">
        <f t="shared" si="439"/>
        <v>0</v>
      </c>
      <c r="CP150" s="82">
        <f t="shared" si="440"/>
        <v>0</v>
      </c>
      <c r="CQ150" s="82">
        <f t="shared" si="441"/>
        <v>0</v>
      </c>
      <c r="CR150" s="82">
        <f t="shared" si="442"/>
        <v>0</v>
      </c>
      <c r="CS150" s="82">
        <f t="shared" si="443"/>
        <v>0</v>
      </c>
      <c r="CT150" s="82">
        <f t="shared" si="444"/>
        <v>0</v>
      </c>
      <c r="CU150" s="82">
        <f t="shared" si="445"/>
        <v>0</v>
      </c>
      <c r="CV150" s="82">
        <f t="shared" si="446"/>
        <v>0</v>
      </c>
      <c r="CW150" s="82">
        <f t="shared" si="447"/>
        <v>0</v>
      </c>
      <c r="CX150" s="82">
        <f t="shared" si="448"/>
        <v>0</v>
      </c>
      <c r="CY150" s="82">
        <f t="shared" si="449"/>
        <v>0</v>
      </c>
      <c r="CZ150" s="82">
        <f t="shared" si="450"/>
        <v>0</v>
      </c>
      <c r="DA150" s="82">
        <f t="shared" si="451"/>
        <v>0</v>
      </c>
      <c r="DB150" s="82">
        <f t="shared" si="452"/>
        <v>0</v>
      </c>
      <c r="DC150" s="82">
        <f t="shared" si="453"/>
        <v>0</v>
      </c>
      <c r="DD150" s="82">
        <f t="shared" si="454"/>
        <v>0</v>
      </c>
      <c r="DE150" s="82">
        <f t="shared" si="455"/>
        <v>0</v>
      </c>
      <c r="DF150" s="82">
        <f t="shared" si="456"/>
        <v>0</v>
      </c>
      <c r="DG150" s="82">
        <f t="shared" si="457"/>
        <v>0</v>
      </c>
      <c r="DH150" s="82">
        <f t="shared" si="458"/>
        <v>0</v>
      </c>
      <c r="DI150" s="82">
        <f t="shared" si="459"/>
        <v>0</v>
      </c>
      <c r="DJ150" s="82">
        <f t="shared" si="460"/>
        <v>0</v>
      </c>
      <c r="DK150" s="82">
        <f t="shared" si="461"/>
        <v>0</v>
      </c>
      <c r="DL150" s="82">
        <f t="shared" si="462"/>
        <v>0</v>
      </c>
      <c r="DM150" s="82">
        <f t="shared" si="463"/>
        <v>0</v>
      </c>
      <c r="DN150" s="82">
        <f t="shared" si="464"/>
        <v>0</v>
      </c>
      <c r="DO150" s="82">
        <f t="shared" si="465"/>
        <v>0</v>
      </c>
      <c r="DP150" s="82">
        <f t="shared" si="466"/>
        <v>0</v>
      </c>
      <c r="DQ150" s="82">
        <f t="shared" si="467"/>
        <v>0</v>
      </c>
      <c r="DR150" s="82">
        <f t="shared" si="468"/>
        <v>0</v>
      </c>
      <c r="DS150" s="82">
        <f t="shared" si="469"/>
        <v>0</v>
      </c>
      <c r="DT150" s="82">
        <f t="shared" si="470"/>
        <v>0</v>
      </c>
      <c r="DU150" s="82">
        <f t="shared" si="471"/>
        <v>0</v>
      </c>
      <c r="DV150" s="82">
        <f t="shared" si="472"/>
        <v>0</v>
      </c>
      <c r="DW150" s="82">
        <f t="shared" si="473"/>
        <v>0</v>
      </c>
      <c r="DX150" s="82">
        <f t="shared" si="474"/>
        <v>0</v>
      </c>
      <c r="DY150" s="82">
        <f t="shared" si="475"/>
        <v>0</v>
      </c>
      <c r="DZ150" s="82">
        <f t="shared" si="476"/>
        <v>0</v>
      </c>
      <c r="EA150" s="82">
        <f t="shared" si="477"/>
        <v>0</v>
      </c>
      <c r="EB150" s="82">
        <f t="shared" si="478"/>
        <v>0</v>
      </c>
      <c r="EC150" s="82">
        <f t="shared" si="479"/>
        <v>0</v>
      </c>
      <c r="ED150" s="82">
        <f t="shared" si="480"/>
        <v>0</v>
      </c>
      <c r="EE150" s="82">
        <f t="shared" si="481"/>
        <v>0</v>
      </c>
      <c r="EF150" s="82">
        <f t="shared" si="482"/>
        <v>0</v>
      </c>
      <c r="EG150" s="82">
        <f t="shared" si="483"/>
        <v>0</v>
      </c>
      <c r="EH150" s="82">
        <f t="shared" si="484"/>
        <v>0</v>
      </c>
      <c r="EI150" s="82">
        <f t="shared" si="485"/>
        <v>0</v>
      </c>
      <c r="EJ150" s="82">
        <f t="shared" si="486"/>
        <v>0</v>
      </c>
      <c r="EK150" s="82">
        <f t="shared" si="487"/>
        <v>0</v>
      </c>
      <c r="EL150" s="82">
        <f t="shared" si="488"/>
        <v>0</v>
      </c>
      <c r="EM150" s="82">
        <f t="shared" si="489"/>
        <v>0</v>
      </c>
      <c r="EN150" s="82">
        <f t="shared" si="490"/>
        <v>0</v>
      </c>
      <c r="EO150" s="82">
        <f t="shared" si="491"/>
        <v>0</v>
      </c>
      <c r="EP150" s="82">
        <f t="shared" si="492"/>
        <v>0</v>
      </c>
      <c r="EQ150" s="82">
        <f t="shared" si="493"/>
        <v>0</v>
      </c>
      <c r="ER150" s="82">
        <f t="shared" si="494"/>
        <v>0</v>
      </c>
      <c r="ES150" s="82">
        <f t="shared" si="495"/>
        <v>0</v>
      </c>
      <c r="ET150" s="82">
        <f t="shared" si="496"/>
        <v>0</v>
      </c>
      <c r="EU150" s="82">
        <f t="shared" si="497"/>
        <v>0</v>
      </c>
      <c r="EV150" s="82">
        <f t="shared" si="498"/>
        <v>0</v>
      </c>
      <c r="EW150" s="82">
        <f t="shared" si="499"/>
        <v>0</v>
      </c>
      <c r="EX150" s="82">
        <f t="shared" si="500"/>
        <v>0</v>
      </c>
      <c r="EY150" s="111">
        <f t="shared" si="501"/>
        <v>0</v>
      </c>
      <c r="EZ150" s="143" t="e">
        <f t="shared" ca="1" si="502"/>
        <v>#N/A</v>
      </c>
      <c r="FA150" s="112" t="e">
        <f t="shared" ca="1" si="503"/>
        <v>#N/A</v>
      </c>
      <c r="FB150" s="113" t="e">
        <f t="shared" ca="1" si="504"/>
        <v>#N/A</v>
      </c>
      <c r="FC150" s="114" t="e">
        <f t="shared" ca="1" si="505"/>
        <v>#N/A</v>
      </c>
      <c r="FD150" s="115">
        <f t="shared" ca="1" si="506"/>
        <v>0</v>
      </c>
      <c r="FE150" s="116" t="e">
        <f t="shared" ca="1" si="507"/>
        <v>#N/A</v>
      </c>
      <c r="FF150" s="117" t="e">
        <f t="shared" ca="1" si="508"/>
        <v>#N/A</v>
      </c>
      <c r="FG150" s="71">
        <f t="shared" si="509"/>
        <v>0</v>
      </c>
      <c r="FH150" s="530" t="e">
        <f t="shared" ca="1" si="510"/>
        <v>#N/A</v>
      </c>
      <c r="FI150" s="72"/>
      <c r="FJ150" s="72"/>
      <c r="FK150" s="72"/>
      <c r="FM150" s="421">
        <f t="shared" si="511"/>
        <v>0</v>
      </c>
      <c r="FN150" s="422" t="e">
        <f t="shared" ca="1" si="512"/>
        <v>#N/A</v>
      </c>
      <c r="FO150" s="423">
        <f t="shared" ca="1" si="517"/>
        <v>0</v>
      </c>
      <c r="FP150" s="423">
        <f t="shared" ca="1" si="517"/>
        <v>0</v>
      </c>
      <c r="FQ150" s="423">
        <f t="shared" ca="1" si="517"/>
        <v>0</v>
      </c>
      <c r="FR150" s="423">
        <f t="shared" ca="1" si="517"/>
        <v>0</v>
      </c>
      <c r="FS150" s="423">
        <f t="shared" ca="1" si="517"/>
        <v>0</v>
      </c>
      <c r="FT150" s="423">
        <f t="shared" ca="1" si="517"/>
        <v>0</v>
      </c>
      <c r="FU150" s="423">
        <f t="shared" ca="1" si="517"/>
        <v>0</v>
      </c>
      <c r="FV150" s="423">
        <f t="shared" ca="1" si="517"/>
        <v>0</v>
      </c>
      <c r="FW150" s="423">
        <f t="shared" ca="1" si="517"/>
        <v>0</v>
      </c>
      <c r="FX150" s="423">
        <f t="shared" ca="1" si="517"/>
        <v>0</v>
      </c>
      <c r="FY150" s="423">
        <f t="shared" ca="1" si="517"/>
        <v>0</v>
      </c>
      <c r="FZ150" s="423">
        <f t="shared" ca="1" si="517"/>
        <v>0</v>
      </c>
      <c r="GA150" s="423">
        <f t="shared" ca="1" si="517"/>
        <v>0</v>
      </c>
      <c r="GB150" s="423">
        <f t="shared" ca="1" si="517"/>
        <v>0</v>
      </c>
      <c r="GC150" s="423">
        <f t="shared" ca="1" si="517"/>
        <v>0</v>
      </c>
      <c r="GD150" s="423">
        <f t="shared" ca="1" si="513"/>
        <v>0</v>
      </c>
      <c r="GE150" s="423">
        <f t="shared" ca="1" si="513"/>
        <v>0</v>
      </c>
      <c r="GF150" s="423">
        <f t="shared" ca="1" si="513"/>
        <v>0</v>
      </c>
      <c r="GG150" s="423">
        <f t="shared" ca="1" si="513"/>
        <v>0</v>
      </c>
      <c r="GH150" s="423">
        <f t="shared" ca="1" si="513"/>
        <v>0</v>
      </c>
      <c r="GI150" s="423">
        <f t="shared" ca="1" si="513"/>
        <v>0</v>
      </c>
      <c r="GJ150" s="423">
        <f t="shared" ca="1" si="513"/>
        <v>0</v>
      </c>
      <c r="GK150" s="423">
        <f t="shared" ca="1" si="513"/>
        <v>0</v>
      </c>
      <c r="GL150" s="423">
        <f t="shared" ca="1" si="513"/>
        <v>0</v>
      </c>
      <c r="GM150" s="423">
        <f t="shared" ca="1" si="513"/>
        <v>0</v>
      </c>
      <c r="GN150" s="423">
        <f t="shared" ca="1" si="513"/>
        <v>0</v>
      </c>
      <c r="GO150" s="423">
        <f t="shared" ca="1" si="513"/>
        <v>0</v>
      </c>
      <c r="GP150" s="423">
        <f t="shared" ca="1" si="513"/>
        <v>0</v>
      </c>
      <c r="GQ150" s="423">
        <f t="shared" ca="1" si="513"/>
        <v>0</v>
      </c>
      <c r="GR150" s="423">
        <f t="shared" ca="1" si="513"/>
        <v>0</v>
      </c>
      <c r="GS150" s="423">
        <f t="shared" ca="1" si="513"/>
        <v>0</v>
      </c>
      <c r="GT150" s="423">
        <f t="shared" ca="1" si="514"/>
        <v>0</v>
      </c>
      <c r="GU150" s="423">
        <f t="shared" ca="1" si="427"/>
        <v>0</v>
      </c>
      <c r="GV150" s="423">
        <f t="shared" ca="1" si="427"/>
        <v>0</v>
      </c>
      <c r="GW150" s="423">
        <f t="shared" ca="1" si="427"/>
        <v>0</v>
      </c>
      <c r="GX150" s="423">
        <f t="shared" ca="1" si="427"/>
        <v>0</v>
      </c>
      <c r="GY150" s="423">
        <f t="shared" ca="1" si="427"/>
        <v>0</v>
      </c>
      <c r="GZ150" s="423">
        <f t="shared" ca="1" si="427"/>
        <v>0</v>
      </c>
      <c r="HA150" s="423">
        <f t="shared" ca="1" si="427"/>
        <v>0</v>
      </c>
      <c r="HB150" s="423">
        <f t="shared" ca="1" si="427"/>
        <v>0</v>
      </c>
      <c r="HC150" s="423">
        <f t="shared" ca="1" si="427"/>
        <v>0</v>
      </c>
      <c r="HD150" s="423">
        <f t="shared" ca="1" si="427"/>
        <v>0</v>
      </c>
      <c r="HE150" s="423">
        <f t="shared" ca="1" si="427"/>
        <v>0</v>
      </c>
      <c r="HF150" s="423">
        <f t="shared" ca="1" si="427"/>
        <v>0</v>
      </c>
      <c r="HG150" s="423">
        <f t="shared" ca="1" si="427"/>
        <v>0</v>
      </c>
      <c r="HH150" s="423">
        <f t="shared" ca="1" si="427"/>
        <v>0</v>
      </c>
      <c r="HI150" s="423">
        <f t="shared" ca="1" si="427"/>
        <v>0</v>
      </c>
      <c r="HJ150" s="423">
        <f t="shared" ca="1" si="427"/>
        <v>0</v>
      </c>
      <c r="HK150" s="423">
        <f t="shared" ca="1" si="515"/>
        <v>0</v>
      </c>
      <c r="HL150" s="423">
        <f t="shared" ca="1" si="515"/>
        <v>0</v>
      </c>
      <c r="HM150" s="423">
        <f t="shared" ca="1" si="515"/>
        <v>0</v>
      </c>
      <c r="HN150" s="423">
        <f t="shared" ca="1" si="515"/>
        <v>0</v>
      </c>
      <c r="HO150" s="423">
        <f t="shared" ca="1" si="515"/>
        <v>0</v>
      </c>
      <c r="HP150" s="423">
        <f t="shared" ca="1" si="515"/>
        <v>0</v>
      </c>
      <c r="HQ150" s="423">
        <f t="shared" ca="1" si="515"/>
        <v>0</v>
      </c>
      <c r="HR150" s="423">
        <f t="shared" ca="1" si="515"/>
        <v>0</v>
      </c>
      <c r="HS150" s="423">
        <f t="shared" ca="1" si="515"/>
        <v>0</v>
      </c>
      <c r="HT150" s="423">
        <f t="shared" ca="1" si="515"/>
        <v>0</v>
      </c>
      <c r="HU150" s="423"/>
      <c r="HV150" s="423"/>
    </row>
    <row r="151" spans="1:230" ht="11.25" customHeight="1" x14ac:dyDescent="0.2">
      <c r="A151" s="62">
        <f t="shared" si="516"/>
        <v>140</v>
      </c>
      <c r="B151" s="60">
        <f>Spaces_Sum!C196</f>
        <v>0</v>
      </c>
      <c r="C151" s="62" t="str">
        <f>Spaces_Sum!D196</f>
        <v>0</v>
      </c>
      <c r="D151" s="62" t="e">
        <f ca="1">Spaces_Sum!I196</f>
        <v>#N/A</v>
      </c>
      <c r="F151" s="110" t="e">
        <f ca="1">Spaces_Sum!M196</f>
        <v>#N/A</v>
      </c>
      <c r="G151" s="110" t="e">
        <f ca="1">Spaces_Sum!J196</f>
        <v>#N/A</v>
      </c>
      <c r="H151" s="532"/>
      <c r="I151" s="185"/>
      <c r="J151" s="185"/>
      <c r="K151" s="186"/>
      <c r="L151" s="187"/>
      <c r="M151" s="188"/>
      <c r="N151" s="189"/>
      <c r="O151" s="186"/>
      <c r="P151" s="187"/>
      <c r="Q151" s="188"/>
      <c r="R151" s="189"/>
      <c r="S151" s="186"/>
      <c r="T151" s="187"/>
      <c r="U151" s="188"/>
      <c r="V151" s="189"/>
      <c r="W151" s="186"/>
      <c r="X151" s="187"/>
      <c r="Y151" s="188"/>
      <c r="Z151" s="189"/>
      <c r="AA151" s="186"/>
      <c r="AB151" s="187"/>
      <c r="AC151" s="188"/>
      <c r="AD151" s="189"/>
      <c r="AE151" s="186"/>
      <c r="AF151" s="187"/>
      <c r="AG151" s="188"/>
      <c r="AH151" s="189"/>
      <c r="AI151" s="186"/>
      <c r="AJ151" s="187"/>
      <c r="AK151" s="188"/>
      <c r="AL151" s="189"/>
      <c r="AM151" s="186"/>
      <c r="AN151" s="187"/>
      <c r="AO151" s="188"/>
      <c r="AP151" s="189"/>
      <c r="AQ151" s="186"/>
      <c r="AR151" s="187"/>
      <c r="AS151" s="188"/>
      <c r="AT151" s="189"/>
      <c r="AU151" s="186"/>
      <c r="AV151" s="187"/>
      <c r="AW151" s="188"/>
      <c r="AX151" s="189"/>
      <c r="AY151" s="186"/>
      <c r="AZ151" s="187"/>
      <c r="BA151" s="188"/>
      <c r="BB151" s="189"/>
      <c r="BC151" s="186"/>
      <c r="BD151" s="187"/>
      <c r="BE151" s="188"/>
      <c r="BF151" s="189"/>
      <c r="BG151" s="186"/>
      <c r="BH151" s="187"/>
      <c r="BI151" s="188"/>
      <c r="BJ151" s="189"/>
      <c r="BK151" s="186"/>
      <c r="BL151" s="187"/>
      <c r="BM151" s="188"/>
      <c r="BN151" s="189"/>
      <c r="BO151" s="186"/>
      <c r="BP151" s="187"/>
      <c r="BQ151" s="188"/>
      <c r="BR151" s="189"/>
      <c r="BS151" s="186"/>
      <c r="BT151" s="187"/>
      <c r="BU151" s="188"/>
      <c r="BV151" s="189"/>
      <c r="BW151" s="186"/>
      <c r="BX151" s="187"/>
      <c r="BY151" s="188"/>
      <c r="BZ151" s="189"/>
      <c r="CA151" s="186"/>
      <c r="CB151" s="190"/>
      <c r="CC151" s="190"/>
      <c r="CD151" s="82">
        <f t="shared" si="428"/>
        <v>0</v>
      </c>
      <c r="CE151" s="82">
        <f t="shared" si="429"/>
        <v>0</v>
      </c>
      <c r="CF151" s="82">
        <f t="shared" si="430"/>
        <v>0</v>
      </c>
      <c r="CG151" s="82">
        <f t="shared" si="431"/>
        <v>0</v>
      </c>
      <c r="CH151" s="82">
        <f t="shared" si="432"/>
        <v>0</v>
      </c>
      <c r="CI151" s="82">
        <f t="shared" si="433"/>
        <v>0</v>
      </c>
      <c r="CJ151" s="82">
        <f t="shared" si="434"/>
        <v>0</v>
      </c>
      <c r="CK151" s="82">
        <f t="shared" si="435"/>
        <v>0</v>
      </c>
      <c r="CL151" s="82">
        <f t="shared" si="436"/>
        <v>0</v>
      </c>
      <c r="CM151" s="82">
        <f t="shared" si="437"/>
        <v>0</v>
      </c>
      <c r="CN151" s="82">
        <f t="shared" si="438"/>
        <v>0</v>
      </c>
      <c r="CO151" s="82">
        <f t="shared" si="439"/>
        <v>0</v>
      </c>
      <c r="CP151" s="82">
        <f t="shared" si="440"/>
        <v>0</v>
      </c>
      <c r="CQ151" s="82">
        <f t="shared" si="441"/>
        <v>0</v>
      </c>
      <c r="CR151" s="82">
        <f t="shared" si="442"/>
        <v>0</v>
      </c>
      <c r="CS151" s="82">
        <f t="shared" si="443"/>
        <v>0</v>
      </c>
      <c r="CT151" s="82">
        <f t="shared" si="444"/>
        <v>0</v>
      </c>
      <c r="CU151" s="82">
        <f t="shared" si="445"/>
        <v>0</v>
      </c>
      <c r="CV151" s="82">
        <f t="shared" si="446"/>
        <v>0</v>
      </c>
      <c r="CW151" s="82">
        <f t="shared" si="447"/>
        <v>0</v>
      </c>
      <c r="CX151" s="82">
        <f t="shared" si="448"/>
        <v>0</v>
      </c>
      <c r="CY151" s="82">
        <f t="shared" si="449"/>
        <v>0</v>
      </c>
      <c r="CZ151" s="82">
        <f t="shared" si="450"/>
        <v>0</v>
      </c>
      <c r="DA151" s="82">
        <f t="shared" si="451"/>
        <v>0</v>
      </c>
      <c r="DB151" s="82">
        <f t="shared" si="452"/>
        <v>0</v>
      </c>
      <c r="DC151" s="82">
        <f t="shared" si="453"/>
        <v>0</v>
      </c>
      <c r="DD151" s="82">
        <f t="shared" si="454"/>
        <v>0</v>
      </c>
      <c r="DE151" s="82">
        <f t="shared" si="455"/>
        <v>0</v>
      </c>
      <c r="DF151" s="82">
        <f t="shared" si="456"/>
        <v>0</v>
      </c>
      <c r="DG151" s="82">
        <f t="shared" si="457"/>
        <v>0</v>
      </c>
      <c r="DH151" s="82">
        <f t="shared" si="458"/>
        <v>0</v>
      </c>
      <c r="DI151" s="82">
        <f t="shared" si="459"/>
        <v>0</v>
      </c>
      <c r="DJ151" s="82">
        <f t="shared" si="460"/>
        <v>0</v>
      </c>
      <c r="DK151" s="82">
        <f t="shared" si="461"/>
        <v>0</v>
      </c>
      <c r="DL151" s="82">
        <f t="shared" si="462"/>
        <v>0</v>
      </c>
      <c r="DM151" s="82">
        <f t="shared" si="463"/>
        <v>0</v>
      </c>
      <c r="DN151" s="82">
        <f t="shared" si="464"/>
        <v>0</v>
      </c>
      <c r="DO151" s="82">
        <f t="shared" si="465"/>
        <v>0</v>
      </c>
      <c r="DP151" s="82">
        <f t="shared" si="466"/>
        <v>0</v>
      </c>
      <c r="DQ151" s="82">
        <f t="shared" si="467"/>
        <v>0</v>
      </c>
      <c r="DR151" s="82">
        <f t="shared" si="468"/>
        <v>0</v>
      </c>
      <c r="DS151" s="82">
        <f t="shared" si="469"/>
        <v>0</v>
      </c>
      <c r="DT151" s="82">
        <f t="shared" si="470"/>
        <v>0</v>
      </c>
      <c r="DU151" s="82">
        <f t="shared" si="471"/>
        <v>0</v>
      </c>
      <c r="DV151" s="82">
        <f t="shared" si="472"/>
        <v>0</v>
      </c>
      <c r="DW151" s="82">
        <f t="shared" si="473"/>
        <v>0</v>
      </c>
      <c r="DX151" s="82">
        <f t="shared" si="474"/>
        <v>0</v>
      </c>
      <c r="DY151" s="82">
        <f t="shared" si="475"/>
        <v>0</v>
      </c>
      <c r="DZ151" s="82">
        <f t="shared" si="476"/>
        <v>0</v>
      </c>
      <c r="EA151" s="82">
        <f t="shared" si="477"/>
        <v>0</v>
      </c>
      <c r="EB151" s="82">
        <f t="shared" si="478"/>
        <v>0</v>
      </c>
      <c r="EC151" s="82">
        <f t="shared" si="479"/>
        <v>0</v>
      </c>
      <c r="ED151" s="82">
        <f t="shared" si="480"/>
        <v>0</v>
      </c>
      <c r="EE151" s="82">
        <f t="shared" si="481"/>
        <v>0</v>
      </c>
      <c r="EF151" s="82">
        <f t="shared" si="482"/>
        <v>0</v>
      </c>
      <c r="EG151" s="82">
        <f t="shared" si="483"/>
        <v>0</v>
      </c>
      <c r="EH151" s="82">
        <f t="shared" si="484"/>
        <v>0</v>
      </c>
      <c r="EI151" s="82">
        <f t="shared" si="485"/>
        <v>0</v>
      </c>
      <c r="EJ151" s="82">
        <f t="shared" si="486"/>
        <v>0</v>
      </c>
      <c r="EK151" s="82">
        <f t="shared" si="487"/>
        <v>0</v>
      </c>
      <c r="EL151" s="82">
        <f t="shared" si="488"/>
        <v>0</v>
      </c>
      <c r="EM151" s="82">
        <f t="shared" si="489"/>
        <v>0</v>
      </c>
      <c r="EN151" s="82">
        <f t="shared" si="490"/>
        <v>0</v>
      </c>
      <c r="EO151" s="82">
        <f t="shared" si="491"/>
        <v>0</v>
      </c>
      <c r="EP151" s="82">
        <f t="shared" si="492"/>
        <v>0</v>
      </c>
      <c r="EQ151" s="82">
        <f t="shared" si="493"/>
        <v>0</v>
      </c>
      <c r="ER151" s="82">
        <f t="shared" si="494"/>
        <v>0</v>
      </c>
      <c r="ES151" s="82">
        <f t="shared" si="495"/>
        <v>0</v>
      </c>
      <c r="ET151" s="82">
        <f t="shared" si="496"/>
        <v>0</v>
      </c>
      <c r="EU151" s="82">
        <f t="shared" si="497"/>
        <v>0</v>
      </c>
      <c r="EV151" s="82">
        <f t="shared" si="498"/>
        <v>0</v>
      </c>
      <c r="EW151" s="82">
        <f t="shared" si="499"/>
        <v>0</v>
      </c>
      <c r="EX151" s="82">
        <f t="shared" si="500"/>
        <v>0</v>
      </c>
      <c r="EY151" s="111">
        <f t="shared" si="501"/>
        <v>0</v>
      </c>
      <c r="EZ151" s="143" t="e">
        <f t="shared" ca="1" si="502"/>
        <v>#N/A</v>
      </c>
      <c r="FA151" s="112" t="e">
        <f t="shared" ca="1" si="503"/>
        <v>#N/A</v>
      </c>
      <c r="FB151" s="113" t="e">
        <f t="shared" ca="1" si="504"/>
        <v>#N/A</v>
      </c>
      <c r="FC151" s="114" t="e">
        <f t="shared" ca="1" si="505"/>
        <v>#N/A</v>
      </c>
      <c r="FD151" s="115">
        <f t="shared" ca="1" si="506"/>
        <v>0</v>
      </c>
      <c r="FE151" s="116" t="e">
        <f t="shared" ca="1" si="507"/>
        <v>#N/A</v>
      </c>
      <c r="FF151" s="117" t="e">
        <f t="shared" ca="1" si="508"/>
        <v>#N/A</v>
      </c>
      <c r="FG151" s="71">
        <f t="shared" si="509"/>
        <v>0</v>
      </c>
      <c r="FH151" s="530" t="e">
        <f t="shared" ca="1" si="510"/>
        <v>#N/A</v>
      </c>
      <c r="FI151" s="72"/>
      <c r="FJ151" s="72"/>
      <c r="FK151" s="72"/>
      <c r="FM151" s="421">
        <f t="shared" si="511"/>
        <v>0</v>
      </c>
      <c r="FN151" s="422" t="e">
        <f t="shared" ca="1" si="512"/>
        <v>#N/A</v>
      </c>
      <c r="FO151" s="423">
        <f t="shared" ca="1" si="517"/>
        <v>0</v>
      </c>
      <c r="FP151" s="423">
        <f t="shared" ca="1" si="517"/>
        <v>0</v>
      </c>
      <c r="FQ151" s="423">
        <f t="shared" ca="1" si="517"/>
        <v>0</v>
      </c>
      <c r="FR151" s="423">
        <f t="shared" ca="1" si="517"/>
        <v>0</v>
      </c>
      <c r="FS151" s="423">
        <f t="shared" ca="1" si="517"/>
        <v>0</v>
      </c>
      <c r="FT151" s="423">
        <f t="shared" ca="1" si="517"/>
        <v>0</v>
      </c>
      <c r="FU151" s="423">
        <f t="shared" ca="1" si="517"/>
        <v>0</v>
      </c>
      <c r="FV151" s="423">
        <f t="shared" ca="1" si="517"/>
        <v>0</v>
      </c>
      <c r="FW151" s="423">
        <f t="shared" ca="1" si="517"/>
        <v>0</v>
      </c>
      <c r="FX151" s="423">
        <f t="shared" ca="1" si="517"/>
        <v>0</v>
      </c>
      <c r="FY151" s="423">
        <f t="shared" ca="1" si="517"/>
        <v>0</v>
      </c>
      <c r="FZ151" s="423">
        <f t="shared" ca="1" si="517"/>
        <v>0</v>
      </c>
      <c r="GA151" s="423">
        <f t="shared" ca="1" si="517"/>
        <v>0</v>
      </c>
      <c r="GB151" s="423">
        <f t="shared" ca="1" si="517"/>
        <v>0</v>
      </c>
      <c r="GC151" s="423">
        <f t="shared" ca="1" si="517"/>
        <v>0</v>
      </c>
      <c r="GD151" s="423">
        <f t="shared" ca="1" si="513"/>
        <v>0</v>
      </c>
      <c r="GE151" s="423">
        <f t="shared" ca="1" si="513"/>
        <v>0</v>
      </c>
      <c r="GF151" s="423">
        <f t="shared" ca="1" si="513"/>
        <v>0</v>
      </c>
      <c r="GG151" s="423">
        <f t="shared" ca="1" si="513"/>
        <v>0</v>
      </c>
      <c r="GH151" s="423">
        <f t="shared" ca="1" si="513"/>
        <v>0</v>
      </c>
      <c r="GI151" s="423">
        <f t="shared" ca="1" si="513"/>
        <v>0</v>
      </c>
      <c r="GJ151" s="423">
        <f t="shared" ca="1" si="513"/>
        <v>0</v>
      </c>
      <c r="GK151" s="423">
        <f t="shared" ca="1" si="513"/>
        <v>0</v>
      </c>
      <c r="GL151" s="423">
        <f t="shared" ca="1" si="513"/>
        <v>0</v>
      </c>
      <c r="GM151" s="423">
        <f t="shared" ca="1" si="513"/>
        <v>0</v>
      </c>
      <c r="GN151" s="423">
        <f t="shared" ca="1" si="513"/>
        <v>0</v>
      </c>
      <c r="GO151" s="423">
        <f t="shared" ca="1" si="513"/>
        <v>0</v>
      </c>
      <c r="GP151" s="423">
        <f t="shared" ca="1" si="513"/>
        <v>0</v>
      </c>
      <c r="GQ151" s="423">
        <f t="shared" ca="1" si="513"/>
        <v>0</v>
      </c>
      <c r="GR151" s="423">
        <f t="shared" ca="1" si="513"/>
        <v>0</v>
      </c>
      <c r="GS151" s="423">
        <f t="shared" ca="1" si="513"/>
        <v>0</v>
      </c>
      <c r="GT151" s="423">
        <f t="shared" ca="1" si="514"/>
        <v>0</v>
      </c>
      <c r="GU151" s="423">
        <f t="shared" ca="1" si="427"/>
        <v>0</v>
      </c>
      <c r="GV151" s="423">
        <f t="shared" ca="1" si="427"/>
        <v>0</v>
      </c>
      <c r="GW151" s="423">
        <f t="shared" ca="1" si="427"/>
        <v>0</v>
      </c>
      <c r="GX151" s="423">
        <f t="shared" ca="1" si="427"/>
        <v>0</v>
      </c>
      <c r="GY151" s="423">
        <f t="shared" ca="1" si="427"/>
        <v>0</v>
      </c>
      <c r="GZ151" s="423">
        <f t="shared" ca="1" si="427"/>
        <v>0</v>
      </c>
      <c r="HA151" s="423">
        <f t="shared" ca="1" si="427"/>
        <v>0</v>
      </c>
      <c r="HB151" s="423">
        <f t="shared" ca="1" si="427"/>
        <v>0</v>
      </c>
      <c r="HC151" s="423">
        <f t="shared" ca="1" si="427"/>
        <v>0</v>
      </c>
      <c r="HD151" s="423">
        <f t="shared" ca="1" si="427"/>
        <v>0</v>
      </c>
      <c r="HE151" s="423">
        <f t="shared" ca="1" si="427"/>
        <v>0</v>
      </c>
      <c r="HF151" s="423">
        <f t="shared" ca="1" si="427"/>
        <v>0</v>
      </c>
      <c r="HG151" s="423">
        <f t="shared" ca="1" si="427"/>
        <v>0</v>
      </c>
      <c r="HH151" s="423">
        <f t="shared" ca="1" si="427"/>
        <v>0</v>
      </c>
      <c r="HI151" s="423">
        <f t="shared" ca="1" si="427"/>
        <v>0</v>
      </c>
      <c r="HJ151" s="423">
        <f t="shared" ca="1" si="427"/>
        <v>0</v>
      </c>
      <c r="HK151" s="423">
        <f t="shared" ca="1" si="515"/>
        <v>0</v>
      </c>
      <c r="HL151" s="423">
        <f t="shared" ca="1" si="515"/>
        <v>0</v>
      </c>
      <c r="HM151" s="423">
        <f t="shared" ca="1" si="515"/>
        <v>0</v>
      </c>
      <c r="HN151" s="423">
        <f t="shared" ca="1" si="515"/>
        <v>0</v>
      </c>
      <c r="HO151" s="423">
        <f t="shared" ca="1" si="515"/>
        <v>0</v>
      </c>
      <c r="HP151" s="423">
        <f t="shared" ca="1" si="515"/>
        <v>0</v>
      </c>
      <c r="HQ151" s="423">
        <f t="shared" ca="1" si="515"/>
        <v>0</v>
      </c>
      <c r="HR151" s="423">
        <f t="shared" ca="1" si="515"/>
        <v>0</v>
      </c>
      <c r="HS151" s="423">
        <f t="shared" ca="1" si="515"/>
        <v>0</v>
      </c>
      <c r="HT151" s="423">
        <f t="shared" ca="1" si="515"/>
        <v>0</v>
      </c>
      <c r="HU151" s="423"/>
      <c r="HV151" s="423"/>
    </row>
    <row r="152" spans="1:230" ht="11.25" customHeight="1" x14ac:dyDescent="0.2">
      <c r="A152" s="62">
        <f t="shared" si="516"/>
        <v>141</v>
      </c>
      <c r="B152" s="60">
        <f>Spaces_Sum!C197</f>
        <v>0</v>
      </c>
      <c r="C152" s="62" t="str">
        <f>Spaces_Sum!D197</f>
        <v>0</v>
      </c>
      <c r="D152" s="62" t="e">
        <f ca="1">Spaces_Sum!I197</f>
        <v>#N/A</v>
      </c>
      <c r="F152" s="110" t="e">
        <f ca="1">Spaces_Sum!M197</f>
        <v>#N/A</v>
      </c>
      <c r="G152" s="110" t="e">
        <f ca="1">Spaces_Sum!J197</f>
        <v>#N/A</v>
      </c>
      <c r="H152" s="532"/>
      <c r="I152" s="185"/>
      <c r="J152" s="185"/>
      <c r="K152" s="186"/>
      <c r="L152" s="187"/>
      <c r="M152" s="188"/>
      <c r="N152" s="189"/>
      <c r="O152" s="186"/>
      <c r="P152" s="187"/>
      <c r="Q152" s="188"/>
      <c r="R152" s="189"/>
      <c r="S152" s="186"/>
      <c r="T152" s="187"/>
      <c r="U152" s="188"/>
      <c r="V152" s="189"/>
      <c r="W152" s="186"/>
      <c r="X152" s="187"/>
      <c r="Y152" s="188"/>
      <c r="Z152" s="189"/>
      <c r="AA152" s="186"/>
      <c r="AB152" s="187"/>
      <c r="AC152" s="188"/>
      <c r="AD152" s="189"/>
      <c r="AE152" s="186"/>
      <c r="AF152" s="187"/>
      <c r="AG152" s="188"/>
      <c r="AH152" s="189"/>
      <c r="AI152" s="186"/>
      <c r="AJ152" s="187"/>
      <c r="AK152" s="188"/>
      <c r="AL152" s="189"/>
      <c r="AM152" s="186"/>
      <c r="AN152" s="187"/>
      <c r="AO152" s="188"/>
      <c r="AP152" s="189"/>
      <c r="AQ152" s="186"/>
      <c r="AR152" s="187"/>
      <c r="AS152" s="188"/>
      <c r="AT152" s="189"/>
      <c r="AU152" s="186"/>
      <c r="AV152" s="187"/>
      <c r="AW152" s="188"/>
      <c r="AX152" s="189"/>
      <c r="AY152" s="186"/>
      <c r="AZ152" s="187"/>
      <c r="BA152" s="188"/>
      <c r="BB152" s="189"/>
      <c r="BC152" s="186"/>
      <c r="BD152" s="187"/>
      <c r="BE152" s="188"/>
      <c r="BF152" s="189"/>
      <c r="BG152" s="186"/>
      <c r="BH152" s="187"/>
      <c r="BI152" s="188"/>
      <c r="BJ152" s="189"/>
      <c r="BK152" s="186"/>
      <c r="BL152" s="187"/>
      <c r="BM152" s="188"/>
      <c r="BN152" s="189"/>
      <c r="BO152" s="186"/>
      <c r="BP152" s="187"/>
      <c r="BQ152" s="188"/>
      <c r="BR152" s="189"/>
      <c r="BS152" s="186"/>
      <c r="BT152" s="187"/>
      <c r="BU152" s="188"/>
      <c r="BV152" s="189"/>
      <c r="BW152" s="186"/>
      <c r="BX152" s="187"/>
      <c r="BY152" s="188"/>
      <c r="BZ152" s="189"/>
      <c r="CA152" s="186"/>
      <c r="CB152" s="190"/>
      <c r="CC152" s="190"/>
      <c r="CD152" s="82">
        <f t="shared" si="428"/>
        <v>0</v>
      </c>
      <c r="CE152" s="82">
        <f t="shared" si="429"/>
        <v>0</v>
      </c>
      <c r="CF152" s="82">
        <f t="shared" si="430"/>
        <v>0</v>
      </c>
      <c r="CG152" s="82">
        <f t="shared" si="431"/>
        <v>0</v>
      </c>
      <c r="CH152" s="82">
        <f t="shared" si="432"/>
        <v>0</v>
      </c>
      <c r="CI152" s="82">
        <f t="shared" si="433"/>
        <v>0</v>
      </c>
      <c r="CJ152" s="82">
        <f t="shared" si="434"/>
        <v>0</v>
      </c>
      <c r="CK152" s="82">
        <f t="shared" si="435"/>
        <v>0</v>
      </c>
      <c r="CL152" s="82">
        <f t="shared" si="436"/>
        <v>0</v>
      </c>
      <c r="CM152" s="82">
        <f t="shared" si="437"/>
        <v>0</v>
      </c>
      <c r="CN152" s="82">
        <f t="shared" si="438"/>
        <v>0</v>
      </c>
      <c r="CO152" s="82">
        <f t="shared" si="439"/>
        <v>0</v>
      </c>
      <c r="CP152" s="82">
        <f t="shared" si="440"/>
        <v>0</v>
      </c>
      <c r="CQ152" s="82">
        <f t="shared" si="441"/>
        <v>0</v>
      </c>
      <c r="CR152" s="82">
        <f t="shared" si="442"/>
        <v>0</v>
      </c>
      <c r="CS152" s="82">
        <f t="shared" si="443"/>
        <v>0</v>
      </c>
      <c r="CT152" s="82">
        <f t="shared" si="444"/>
        <v>0</v>
      </c>
      <c r="CU152" s="82">
        <f t="shared" si="445"/>
        <v>0</v>
      </c>
      <c r="CV152" s="82">
        <f t="shared" si="446"/>
        <v>0</v>
      </c>
      <c r="CW152" s="82">
        <f t="shared" si="447"/>
        <v>0</v>
      </c>
      <c r="CX152" s="82">
        <f t="shared" si="448"/>
        <v>0</v>
      </c>
      <c r="CY152" s="82">
        <f t="shared" si="449"/>
        <v>0</v>
      </c>
      <c r="CZ152" s="82">
        <f t="shared" si="450"/>
        <v>0</v>
      </c>
      <c r="DA152" s="82">
        <f t="shared" si="451"/>
        <v>0</v>
      </c>
      <c r="DB152" s="82">
        <f t="shared" si="452"/>
        <v>0</v>
      </c>
      <c r="DC152" s="82">
        <f t="shared" si="453"/>
        <v>0</v>
      </c>
      <c r="DD152" s="82">
        <f t="shared" si="454"/>
        <v>0</v>
      </c>
      <c r="DE152" s="82">
        <f t="shared" si="455"/>
        <v>0</v>
      </c>
      <c r="DF152" s="82">
        <f t="shared" si="456"/>
        <v>0</v>
      </c>
      <c r="DG152" s="82">
        <f t="shared" si="457"/>
        <v>0</v>
      </c>
      <c r="DH152" s="82">
        <f t="shared" si="458"/>
        <v>0</v>
      </c>
      <c r="DI152" s="82">
        <f t="shared" si="459"/>
        <v>0</v>
      </c>
      <c r="DJ152" s="82">
        <f t="shared" si="460"/>
        <v>0</v>
      </c>
      <c r="DK152" s="82">
        <f t="shared" si="461"/>
        <v>0</v>
      </c>
      <c r="DL152" s="82">
        <f t="shared" si="462"/>
        <v>0</v>
      </c>
      <c r="DM152" s="82">
        <f t="shared" si="463"/>
        <v>0</v>
      </c>
      <c r="DN152" s="82">
        <f t="shared" si="464"/>
        <v>0</v>
      </c>
      <c r="DO152" s="82">
        <f t="shared" si="465"/>
        <v>0</v>
      </c>
      <c r="DP152" s="82">
        <f t="shared" si="466"/>
        <v>0</v>
      </c>
      <c r="DQ152" s="82">
        <f t="shared" si="467"/>
        <v>0</v>
      </c>
      <c r="DR152" s="82">
        <f t="shared" si="468"/>
        <v>0</v>
      </c>
      <c r="DS152" s="82">
        <f t="shared" si="469"/>
        <v>0</v>
      </c>
      <c r="DT152" s="82">
        <f t="shared" si="470"/>
        <v>0</v>
      </c>
      <c r="DU152" s="82">
        <f t="shared" si="471"/>
        <v>0</v>
      </c>
      <c r="DV152" s="82">
        <f t="shared" si="472"/>
        <v>0</v>
      </c>
      <c r="DW152" s="82">
        <f t="shared" si="473"/>
        <v>0</v>
      </c>
      <c r="DX152" s="82">
        <f t="shared" si="474"/>
        <v>0</v>
      </c>
      <c r="DY152" s="82">
        <f t="shared" si="475"/>
        <v>0</v>
      </c>
      <c r="DZ152" s="82">
        <f t="shared" si="476"/>
        <v>0</v>
      </c>
      <c r="EA152" s="82">
        <f t="shared" si="477"/>
        <v>0</v>
      </c>
      <c r="EB152" s="82">
        <f t="shared" si="478"/>
        <v>0</v>
      </c>
      <c r="EC152" s="82">
        <f t="shared" si="479"/>
        <v>0</v>
      </c>
      <c r="ED152" s="82">
        <f t="shared" si="480"/>
        <v>0</v>
      </c>
      <c r="EE152" s="82">
        <f t="shared" si="481"/>
        <v>0</v>
      </c>
      <c r="EF152" s="82">
        <f t="shared" si="482"/>
        <v>0</v>
      </c>
      <c r="EG152" s="82">
        <f t="shared" si="483"/>
        <v>0</v>
      </c>
      <c r="EH152" s="82">
        <f t="shared" si="484"/>
        <v>0</v>
      </c>
      <c r="EI152" s="82">
        <f t="shared" si="485"/>
        <v>0</v>
      </c>
      <c r="EJ152" s="82">
        <f t="shared" si="486"/>
        <v>0</v>
      </c>
      <c r="EK152" s="82">
        <f t="shared" si="487"/>
        <v>0</v>
      </c>
      <c r="EL152" s="82">
        <f t="shared" si="488"/>
        <v>0</v>
      </c>
      <c r="EM152" s="82">
        <f t="shared" si="489"/>
        <v>0</v>
      </c>
      <c r="EN152" s="82">
        <f t="shared" si="490"/>
        <v>0</v>
      </c>
      <c r="EO152" s="82">
        <f t="shared" si="491"/>
        <v>0</v>
      </c>
      <c r="EP152" s="82">
        <f t="shared" si="492"/>
        <v>0</v>
      </c>
      <c r="EQ152" s="82">
        <f t="shared" si="493"/>
        <v>0</v>
      </c>
      <c r="ER152" s="82">
        <f t="shared" si="494"/>
        <v>0</v>
      </c>
      <c r="ES152" s="82">
        <f t="shared" si="495"/>
        <v>0</v>
      </c>
      <c r="ET152" s="82">
        <f t="shared" si="496"/>
        <v>0</v>
      </c>
      <c r="EU152" s="82">
        <f t="shared" si="497"/>
        <v>0</v>
      </c>
      <c r="EV152" s="82">
        <f t="shared" si="498"/>
        <v>0</v>
      </c>
      <c r="EW152" s="82">
        <f t="shared" si="499"/>
        <v>0</v>
      </c>
      <c r="EX152" s="82">
        <f t="shared" si="500"/>
        <v>0</v>
      </c>
      <c r="EY152" s="111">
        <f t="shared" si="501"/>
        <v>0</v>
      </c>
      <c r="EZ152" s="143" t="e">
        <f t="shared" ca="1" si="502"/>
        <v>#N/A</v>
      </c>
      <c r="FA152" s="112" t="e">
        <f t="shared" ca="1" si="503"/>
        <v>#N/A</v>
      </c>
      <c r="FB152" s="113" t="e">
        <f t="shared" ca="1" si="504"/>
        <v>#N/A</v>
      </c>
      <c r="FC152" s="114" t="e">
        <f t="shared" ca="1" si="505"/>
        <v>#N/A</v>
      </c>
      <c r="FD152" s="115">
        <f t="shared" ca="1" si="506"/>
        <v>0</v>
      </c>
      <c r="FE152" s="116" t="e">
        <f t="shared" ca="1" si="507"/>
        <v>#N/A</v>
      </c>
      <c r="FF152" s="117" t="e">
        <f t="shared" ca="1" si="508"/>
        <v>#N/A</v>
      </c>
      <c r="FG152" s="71">
        <f t="shared" si="509"/>
        <v>0</v>
      </c>
      <c r="FH152" s="530" t="e">
        <f t="shared" ca="1" si="510"/>
        <v>#N/A</v>
      </c>
      <c r="FI152" s="72"/>
      <c r="FJ152" s="72"/>
      <c r="FK152" s="72"/>
      <c r="FM152" s="421">
        <f t="shared" si="511"/>
        <v>0</v>
      </c>
      <c r="FN152" s="422" t="e">
        <f t="shared" ca="1" si="512"/>
        <v>#N/A</v>
      </c>
      <c r="FO152" s="423">
        <f t="shared" ca="1" si="517"/>
        <v>0</v>
      </c>
      <c r="FP152" s="423">
        <f t="shared" ca="1" si="517"/>
        <v>0</v>
      </c>
      <c r="FQ152" s="423">
        <f t="shared" ca="1" si="517"/>
        <v>0</v>
      </c>
      <c r="FR152" s="423">
        <f t="shared" ca="1" si="517"/>
        <v>0</v>
      </c>
      <c r="FS152" s="423">
        <f t="shared" ca="1" si="517"/>
        <v>0</v>
      </c>
      <c r="FT152" s="423">
        <f t="shared" ca="1" si="517"/>
        <v>0</v>
      </c>
      <c r="FU152" s="423">
        <f t="shared" ca="1" si="517"/>
        <v>0</v>
      </c>
      <c r="FV152" s="423">
        <f t="shared" ca="1" si="517"/>
        <v>0</v>
      </c>
      <c r="FW152" s="423">
        <f t="shared" ca="1" si="517"/>
        <v>0</v>
      </c>
      <c r="FX152" s="423">
        <f t="shared" ca="1" si="517"/>
        <v>0</v>
      </c>
      <c r="FY152" s="423">
        <f t="shared" ca="1" si="517"/>
        <v>0</v>
      </c>
      <c r="FZ152" s="423">
        <f t="shared" ca="1" si="517"/>
        <v>0</v>
      </c>
      <c r="GA152" s="423">
        <f t="shared" ca="1" si="517"/>
        <v>0</v>
      </c>
      <c r="GB152" s="423">
        <f t="shared" ca="1" si="517"/>
        <v>0</v>
      </c>
      <c r="GC152" s="423">
        <f t="shared" ca="1" si="517"/>
        <v>0</v>
      </c>
      <c r="GD152" s="423">
        <f t="shared" ca="1" si="513"/>
        <v>0</v>
      </c>
      <c r="GE152" s="423">
        <f t="shared" ca="1" si="513"/>
        <v>0</v>
      </c>
      <c r="GF152" s="423">
        <f t="shared" ca="1" si="513"/>
        <v>0</v>
      </c>
      <c r="GG152" s="423">
        <f t="shared" ca="1" si="513"/>
        <v>0</v>
      </c>
      <c r="GH152" s="423">
        <f t="shared" ca="1" si="513"/>
        <v>0</v>
      </c>
      <c r="GI152" s="423">
        <f t="shared" ca="1" si="513"/>
        <v>0</v>
      </c>
      <c r="GJ152" s="423">
        <f t="shared" ca="1" si="513"/>
        <v>0</v>
      </c>
      <c r="GK152" s="423">
        <f t="shared" ca="1" si="513"/>
        <v>0</v>
      </c>
      <c r="GL152" s="423">
        <f t="shared" ca="1" si="513"/>
        <v>0</v>
      </c>
      <c r="GM152" s="423">
        <f t="shared" ca="1" si="513"/>
        <v>0</v>
      </c>
      <c r="GN152" s="423">
        <f t="shared" ca="1" si="513"/>
        <v>0</v>
      </c>
      <c r="GO152" s="423">
        <f t="shared" ca="1" si="513"/>
        <v>0</v>
      </c>
      <c r="GP152" s="423">
        <f t="shared" ca="1" si="513"/>
        <v>0</v>
      </c>
      <c r="GQ152" s="423">
        <f t="shared" ca="1" si="513"/>
        <v>0</v>
      </c>
      <c r="GR152" s="423">
        <f t="shared" ca="1" si="513"/>
        <v>0</v>
      </c>
      <c r="GS152" s="423">
        <f t="shared" ca="1" si="513"/>
        <v>0</v>
      </c>
      <c r="GT152" s="423">
        <f t="shared" ca="1" si="514"/>
        <v>0</v>
      </c>
      <c r="GU152" s="423">
        <f t="shared" ca="1" si="427"/>
        <v>0</v>
      </c>
      <c r="GV152" s="423">
        <f t="shared" ca="1" si="427"/>
        <v>0</v>
      </c>
      <c r="GW152" s="423">
        <f t="shared" ca="1" si="427"/>
        <v>0</v>
      </c>
      <c r="GX152" s="423">
        <f t="shared" ca="1" si="427"/>
        <v>0</v>
      </c>
      <c r="GY152" s="423">
        <f t="shared" ca="1" si="427"/>
        <v>0</v>
      </c>
      <c r="GZ152" s="423">
        <f t="shared" ca="1" si="427"/>
        <v>0</v>
      </c>
      <c r="HA152" s="423">
        <f t="shared" ca="1" si="427"/>
        <v>0</v>
      </c>
      <c r="HB152" s="423">
        <f t="shared" ca="1" si="427"/>
        <v>0</v>
      </c>
      <c r="HC152" s="423">
        <f t="shared" ca="1" si="427"/>
        <v>0</v>
      </c>
      <c r="HD152" s="423">
        <f t="shared" ca="1" si="427"/>
        <v>0</v>
      </c>
      <c r="HE152" s="423">
        <f t="shared" ca="1" si="427"/>
        <v>0</v>
      </c>
      <c r="HF152" s="423">
        <f t="shared" ca="1" si="427"/>
        <v>0</v>
      </c>
      <c r="HG152" s="423">
        <f t="shared" ca="1" si="427"/>
        <v>0</v>
      </c>
      <c r="HH152" s="423">
        <f t="shared" ca="1" si="427"/>
        <v>0</v>
      </c>
      <c r="HI152" s="423">
        <f t="shared" ca="1" si="427"/>
        <v>0</v>
      </c>
      <c r="HJ152" s="423">
        <f t="shared" ca="1" si="427"/>
        <v>0</v>
      </c>
      <c r="HK152" s="423">
        <f t="shared" ca="1" si="515"/>
        <v>0</v>
      </c>
      <c r="HL152" s="423">
        <f t="shared" ca="1" si="515"/>
        <v>0</v>
      </c>
      <c r="HM152" s="423">
        <f t="shared" ca="1" si="515"/>
        <v>0</v>
      </c>
      <c r="HN152" s="423">
        <f t="shared" ca="1" si="515"/>
        <v>0</v>
      </c>
      <c r="HO152" s="423">
        <f t="shared" ca="1" si="515"/>
        <v>0</v>
      </c>
      <c r="HP152" s="423">
        <f t="shared" ca="1" si="515"/>
        <v>0</v>
      </c>
      <c r="HQ152" s="423">
        <f t="shared" ca="1" si="515"/>
        <v>0</v>
      </c>
      <c r="HR152" s="423">
        <f t="shared" ca="1" si="515"/>
        <v>0</v>
      </c>
      <c r="HS152" s="423">
        <f t="shared" ca="1" si="515"/>
        <v>0</v>
      </c>
      <c r="HT152" s="423">
        <f t="shared" ca="1" si="515"/>
        <v>0</v>
      </c>
      <c r="HU152" s="423"/>
      <c r="HV152" s="423"/>
    </row>
    <row r="153" spans="1:230" ht="11.25" customHeight="1" x14ac:dyDescent="0.2">
      <c r="A153" s="62">
        <f t="shared" si="516"/>
        <v>142</v>
      </c>
      <c r="B153" s="60">
        <f>Spaces_Sum!C198</f>
        <v>0</v>
      </c>
      <c r="C153" s="62" t="str">
        <f>Spaces_Sum!D198</f>
        <v>0</v>
      </c>
      <c r="D153" s="62" t="e">
        <f ca="1">Spaces_Sum!I198</f>
        <v>#N/A</v>
      </c>
      <c r="F153" s="110" t="e">
        <f ca="1">Spaces_Sum!M198</f>
        <v>#N/A</v>
      </c>
      <c r="G153" s="110" t="e">
        <f ca="1">Spaces_Sum!J198</f>
        <v>#N/A</v>
      </c>
      <c r="H153" s="532"/>
      <c r="I153" s="185"/>
      <c r="J153" s="185"/>
      <c r="K153" s="186"/>
      <c r="L153" s="187"/>
      <c r="M153" s="188"/>
      <c r="N153" s="189"/>
      <c r="O153" s="186"/>
      <c r="P153" s="187"/>
      <c r="Q153" s="188"/>
      <c r="R153" s="189"/>
      <c r="S153" s="186"/>
      <c r="T153" s="187"/>
      <c r="U153" s="188"/>
      <c r="V153" s="189"/>
      <c r="W153" s="186"/>
      <c r="X153" s="187"/>
      <c r="Y153" s="188"/>
      <c r="Z153" s="189"/>
      <c r="AA153" s="186"/>
      <c r="AB153" s="187"/>
      <c r="AC153" s="188"/>
      <c r="AD153" s="189"/>
      <c r="AE153" s="186"/>
      <c r="AF153" s="187"/>
      <c r="AG153" s="188"/>
      <c r="AH153" s="189"/>
      <c r="AI153" s="186"/>
      <c r="AJ153" s="187"/>
      <c r="AK153" s="188"/>
      <c r="AL153" s="189"/>
      <c r="AM153" s="186"/>
      <c r="AN153" s="187"/>
      <c r="AO153" s="188"/>
      <c r="AP153" s="189"/>
      <c r="AQ153" s="186"/>
      <c r="AR153" s="187"/>
      <c r="AS153" s="188"/>
      <c r="AT153" s="189"/>
      <c r="AU153" s="186"/>
      <c r="AV153" s="187"/>
      <c r="AW153" s="188"/>
      <c r="AX153" s="189"/>
      <c r="AY153" s="186"/>
      <c r="AZ153" s="187"/>
      <c r="BA153" s="188"/>
      <c r="BB153" s="189"/>
      <c r="BC153" s="186"/>
      <c r="BD153" s="187"/>
      <c r="BE153" s="188"/>
      <c r="BF153" s="189"/>
      <c r="BG153" s="186"/>
      <c r="BH153" s="187"/>
      <c r="BI153" s="188"/>
      <c r="BJ153" s="189"/>
      <c r="BK153" s="186"/>
      <c r="BL153" s="187"/>
      <c r="BM153" s="188"/>
      <c r="BN153" s="189"/>
      <c r="BO153" s="186"/>
      <c r="BP153" s="187"/>
      <c r="BQ153" s="188"/>
      <c r="BR153" s="189"/>
      <c r="BS153" s="186"/>
      <c r="BT153" s="187"/>
      <c r="BU153" s="188"/>
      <c r="BV153" s="189"/>
      <c r="BW153" s="186"/>
      <c r="BX153" s="187"/>
      <c r="BY153" s="188"/>
      <c r="BZ153" s="189"/>
      <c r="CA153" s="186"/>
      <c r="CB153" s="190"/>
      <c r="CC153" s="190"/>
      <c r="CD153" s="82">
        <f t="shared" si="428"/>
        <v>0</v>
      </c>
      <c r="CE153" s="82">
        <f t="shared" si="429"/>
        <v>0</v>
      </c>
      <c r="CF153" s="82">
        <f t="shared" si="430"/>
        <v>0</v>
      </c>
      <c r="CG153" s="82">
        <f t="shared" si="431"/>
        <v>0</v>
      </c>
      <c r="CH153" s="82">
        <f t="shared" si="432"/>
        <v>0</v>
      </c>
      <c r="CI153" s="82">
        <f t="shared" si="433"/>
        <v>0</v>
      </c>
      <c r="CJ153" s="82">
        <f t="shared" si="434"/>
        <v>0</v>
      </c>
      <c r="CK153" s="82">
        <f t="shared" si="435"/>
        <v>0</v>
      </c>
      <c r="CL153" s="82">
        <f t="shared" si="436"/>
        <v>0</v>
      </c>
      <c r="CM153" s="82">
        <f t="shared" si="437"/>
        <v>0</v>
      </c>
      <c r="CN153" s="82">
        <f t="shared" si="438"/>
        <v>0</v>
      </c>
      <c r="CO153" s="82">
        <f t="shared" si="439"/>
        <v>0</v>
      </c>
      <c r="CP153" s="82">
        <f t="shared" si="440"/>
        <v>0</v>
      </c>
      <c r="CQ153" s="82">
        <f t="shared" si="441"/>
        <v>0</v>
      </c>
      <c r="CR153" s="82">
        <f t="shared" si="442"/>
        <v>0</v>
      </c>
      <c r="CS153" s="82">
        <f t="shared" si="443"/>
        <v>0</v>
      </c>
      <c r="CT153" s="82">
        <f t="shared" si="444"/>
        <v>0</v>
      </c>
      <c r="CU153" s="82">
        <f t="shared" si="445"/>
        <v>0</v>
      </c>
      <c r="CV153" s="82">
        <f t="shared" si="446"/>
        <v>0</v>
      </c>
      <c r="CW153" s="82">
        <f t="shared" si="447"/>
        <v>0</v>
      </c>
      <c r="CX153" s="82">
        <f t="shared" si="448"/>
        <v>0</v>
      </c>
      <c r="CY153" s="82">
        <f t="shared" si="449"/>
        <v>0</v>
      </c>
      <c r="CZ153" s="82">
        <f t="shared" si="450"/>
        <v>0</v>
      </c>
      <c r="DA153" s="82">
        <f t="shared" si="451"/>
        <v>0</v>
      </c>
      <c r="DB153" s="82">
        <f t="shared" si="452"/>
        <v>0</v>
      </c>
      <c r="DC153" s="82">
        <f t="shared" si="453"/>
        <v>0</v>
      </c>
      <c r="DD153" s="82">
        <f t="shared" si="454"/>
        <v>0</v>
      </c>
      <c r="DE153" s="82">
        <f t="shared" si="455"/>
        <v>0</v>
      </c>
      <c r="DF153" s="82">
        <f t="shared" si="456"/>
        <v>0</v>
      </c>
      <c r="DG153" s="82">
        <f t="shared" si="457"/>
        <v>0</v>
      </c>
      <c r="DH153" s="82">
        <f t="shared" si="458"/>
        <v>0</v>
      </c>
      <c r="DI153" s="82">
        <f t="shared" si="459"/>
        <v>0</v>
      </c>
      <c r="DJ153" s="82">
        <f t="shared" si="460"/>
        <v>0</v>
      </c>
      <c r="DK153" s="82">
        <f t="shared" si="461"/>
        <v>0</v>
      </c>
      <c r="DL153" s="82">
        <f t="shared" si="462"/>
        <v>0</v>
      </c>
      <c r="DM153" s="82">
        <f t="shared" si="463"/>
        <v>0</v>
      </c>
      <c r="DN153" s="82">
        <f t="shared" si="464"/>
        <v>0</v>
      </c>
      <c r="DO153" s="82">
        <f t="shared" si="465"/>
        <v>0</v>
      </c>
      <c r="DP153" s="82">
        <f t="shared" si="466"/>
        <v>0</v>
      </c>
      <c r="DQ153" s="82">
        <f t="shared" si="467"/>
        <v>0</v>
      </c>
      <c r="DR153" s="82">
        <f t="shared" si="468"/>
        <v>0</v>
      </c>
      <c r="DS153" s="82">
        <f t="shared" si="469"/>
        <v>0</v>
      </c>
      <c r="DT153" s="82">
        <f t="shared" si="470"/>
        <v>0</v>
      </c>
      <c r="DU153" s="82">
        <f t="shared" si="471"/>
        <v>0</v>
      </c>
      <c r="DV153" s="82">
        <f t="shared" si="472"/>
        <v>0</v>
      </c>
      <c r="DW153" s="82">
        <f t="shared" si="473"/>
        <v>0</v>
      </c>
      <c r="DX153" s="82">
        <f t="shared" si="474"/>
        <v>0</v>
      </c>
      <c r="DY153" s="82">
        <f t="shared" si="475"/>
        <v>0</v>
      </c>
      <c r="DZ153" s="82">
        <f t="shared" si="476"/>
        <v>0</v>
      </c>
      <c r="EA153" s="82">
        <f t="shared" si="477"/>
        <v>0</v>
      </c>
      <c r="EB153" s="82">
        <f t="shared" si="478"/>
        <v>0</v>
      </c>
      <c r="EC153" s="82">
        <f t="shared" si="479"/>
        <v>0</v>
      </c>
      <c r="ED153" s="82">
        <f t="shared" si="480"/>
        <v>0</v>
      </c>
      <c r="EE153" s="82">
        <f t="shared" si="481"/>
        <v>0</v>
      </c>
      <c r="EF153" s="82">
        <f t="shared" si="482"/>
        <v>0</v>
      </c>
      <c r="EG153" s="82">
        <f t="shared" si="483"/>
        <v>0</v>
      </c>
      <c r="EH153" s="82">
        <f t="shared" si="484"/>
        <v>0</v>
      </c>
      <c r="EI153" s="82">
        <f t="shared" si="485"/>
        <v>0</v>
      </c>
      <c r="EJ153" s="82">
        <f t="shared" si="486"/>
        <v>0</v>
      </c>
      <c r="EK153" s="82">
        <f t="shared" si="487"/>
        <v>0</v>
      </c>
      <c r="EL153" s="82">
        <f t="shared" si="488"/>
        <v>0</v>
      </c>
      <c r="EM153" s="82">
        <f t="shared" si="489"/>
        <v>0</v>
      </c>
      <c r="EN153" s="82">
        <f t="shared" si="490"/>
        <v>0</v>
      </c>
      <c r="EO153" s="82">
        <f t="shared" si="491"/>
        <v>0</v>
      </c>
      <c r="EP153" s="82">
        <f t="shared" si="492"/>
        <v>0</v>
      </c>
      <c r="EQ153" s="82">
        <f t="shared" si="493"/>
        <v>0</v>
      </c>
      <c r="ER153" s="82">
        <f t="shared" si="494"/>
        <v>0</v>
      </c>
      <c r="ES153" s="82">
        <f t="shared" si="495"/>
        <v>0</v>
      </c>
      <c r="ET153" s="82">
        <f t="shared" si="496"/>
        <v>0</v>
      </c>
      <c r="EU153" s="82">
        <f t="shared" si="497"/>
        <v>0</v>
      </c>
      <c r="EV153" s="82">
        <f t="shared" si="498"/>
        <v>0</v>
      </c>
      <c r="EW153" s="82">
        <f t="shared" si="499"/>
        <v>0</v>
      </c>
      <c r="EX153" s="82">
        <f t="shared" si="500"/>
        <v>0</v>
      </c>
      <c r="EY153" s="111">
        <f t="shared" si="501"/>
        <v>0</v>
      </c>
      <c r="EZ153" s="143" t="e">
        <f t="shared" ca="1" si="502"/>
        <v>#N/A</v>
      </c>
      <c r="FA153" s="112" t="e">
        <f t="shared" ca="1" si="503"/>
        <v>#N/A</v>
      </c>
      <c r="FB153" s="113" t="e">
        <f t="shared" ca="1" si="504"/>
        <v>#N/A</v>
      </c>
      <c r="FC153" s="114" t="e">
        <f t="shared" ca="1" si="505"/>
        <v>#N/A</v>
      </c>
      <c r="FD153" s="115">
        <f t="shared" ca="1" si="506"/>
        <v>0</v>
      </c>
      <c r="FE153" s="116" t="e">
        <f t="shared" ca="1" si="507"/>
        <v>#N/A</v>
      </c>
      <c r="FF153" s="117" t="e">
        <f t="shared" ca="1" si="508"/>
        <v>#N/A</v>
      </c>
      <c r="FG153" s="71">
        <f t="shared" si="509"/>
        <v>0</v>
      </c>
      <c r="FH153" s="530" t="e">
        <f t="shared" ca="1" si="510"/>
        <v>#N/A</v>
      </c>
      <c r="FI153" s="72" t="e">
        <f t="shared" ref="FI153" ca="1" si="520">0.65*FB153</f>
        <v>#N/A</v>
      </c>
      <c r="FJ153" s="72" t="e">
        <f t="shared" ca="1" si="518"/>
        <v>#N/A</v>
      </c>
      <c r="FK153" s="72" t="e">
        <f t="shared" ca="1" si="519"/>
        <v>#N/A</v>
      </c>
      <c r="FM153" s="421">
        <f t="shared" si="511"/>
        <v>0</v>
      </c>
      <c r="FN153" s="422" t="e">
        <f t="shared" ca="1" si="512"/>
        <v>#N/A</v>
      </c>
      <c r="FO153" s="423">
        <f t="shared" ca="1" si="517"/>
        <v>0</v>
      </c>
      <c r="FP153" s="423">
        <f t="shared" ca="1" si="517"/>
        <v>0</v>
      </c>
      <c r="FQ153" s="423">
        <f t="shared" ca="1" si="517"/>
        <v>0</v>
      </c>
      <c r="FR153" s="423">
        <f t="shared" ca="1" si="517"/>
        <v>0</v>
      </c>
      <c r="FS153" s="423">
        <f t="shared" ca="1" si="517"/>
        <v>0</v>
      </c>
      <c r="FT153" s="423">
        <f t="shared" ca="1" si="517"/>
        <v>0</v>
      </c>
      <c r="FU153" s="423">
        <f t="shared" ca="1" si="517"/>
        <v>0</v>
      </c>
      <c r="FV153" s="423">
        <f t="shared" ca="1" si="517"/>
        <v>0</v>
      </c>
      <c r="FW153" s="423">
        <f t="shared" ca="1" si="517"/>
        <v>0</v>
      </c>
      <c r="FX153" s="423">
        <f t="shared" ca="1" si="517"/>
        <v>0</v>
      </c>
      <c r="FY153" s="423">
        <f t="shared" ca="1" si="517"/>
        <v>0</v>
      </c>
      <c r="FZ153" s="423">
        <f t="shared" ca="1" si="517"/>
        <v>0</v>
      </c>
      <c r="GA153" s="423">
        <f t="shared" ca="1" si="517"/>
        <v>0</v>
      </c>
      <c r="GB153" s="423">
        <f t="shared" ca="1" si="517"/>
        <v>0</v>
      </c>
      <c r="GC153" s="423">
        <f t="shared" ca="1" si="517"/>
        <v>0</v>
      </c>
      <c r="GD153" s="423">
        <f t="shared" ca="1" si="513"/>
        <v>0</v>
      </c>
      <c r="GE153" s="423">
        <f t="shared" ca="1" si="513"/>
        <v>0</v>
      </c>
      <c r="GF153" s="423">
        <f t="shared" ca="1" si="513"/>
        <v>0</v>
      </c>
      <c r="GG153" s="423">
        <f t="shared" ca="1" si="513"/>
        <v>0</v>
      </c>
      <c r="GH153" s="423">
        <f t="shared" ca="1" si="513"/>
        <v>0</v>
      </c>
      <c r="GI153" s="423">
        <f t="shared" ca="1" si="513"/>
        <v>0</v>
      </c>
      <c r="GJ153" s="423">
        <f t="shared" ca="1" si="513"/>
        <v>0</v>
      </c>
      <c r="GK153" s="423">
        <f t="shared" ca="1" si="513"/>
        <v>0</v>
      </c>
      <c r="GL153" s="423">
        <f t="shared" ca="1" si="513"/>
        <v>0</v>
      </c>
      <c r="GM153" s="423">
        <f t="shared" ca="1" si="513"/>
        <v>0</v>
      </c>
      <c r="GN153" s="423">
        <f t="shared" ca="1" si="513"/>
        <v>0</v>
      </c>
      <c r="GO153" s="423">
        <f t="shared" ca="1" si="513"/>
        <v>0</v>
      </c>
      <c r="GP153" s="423">
        <f t="shared" ca="1" si="513"/>
        <v>0</v>
      </c>
      <c r="GQ153" s="423">
        <f t="shared" ca="1" si="513"/>
        <v>0</v>
      </c>
      <c r="GR153" s="423">
        <f t="shared" ca="1" si="513"/>
        <v>0</v>
      </c>
      <c r="GS153" s="423">
        <f t="shared" ca="1" si="513"/>
        <v>0</v>
      </c>
      <c r="GT153" s="423">
        <f t="shared" ca="1" si="514"/>
        <v>0</v>
      </c>
      <c r="GU153" s="423">
        <f t="shared" ca="1" si="427"/>
        <v>0</v>
      </c>
      <c r="GV153" s="423">
        <f t="shared" ca="1" si="427"/>
        <v>0</v>
      </c>
      <c r="GW153" s="423">
        <f t="shared" ca="1" si="427"/>
        <v>0</v>
      </c>
      <c r="GX153" s="423">
        <f t="shared" ca="1" si="427"/>
        <v>0</v>
      </c>
      <c r="GY153" s="423">
        <f t="shared" ca="1" si="427"/>
        <v>0</v>
      </c>
      <c r="GZ153" s="423">
        <f t="shared" ca="1" si="427"/>
        <v>0</v>
      </c>
      <c r="HA153" s="423">
        <f t="shared" ca="1" si="427"/>
        <v>0</v>
      </c>
      <c r="HB153" s="423">
        <f t="shared" ca="1" si="427"/>
        <v>0</v>
      </c>
      <c r="HC153" s="423">
        <f t="shared" ca="1" si="427"/>
        <v>0</v>
      </c>
      <c r="HD153" s="423">
        <f t="shared" ca="1" si="427"/>
        <v>0</v>
      </c>
      <c r="HE153" s="423">
        <f t="shared" ca="1" si="427"/>
        <v>0</v>
      </c>
      <c r="HF153" s="423">
        <f t="shared" ca="1" si="427"/>
        <v>0</v>
      </c>
      <c r="HG153" s="423">
        <f t="shared" ca="1" si="427"/>
        <v>0</v>
      </c>
      <c r="HH153" s="423">
        <f t="shared" ca="1" si="427"/>
        <v>0</v>
      </c>
      <c r="HI153" s="423">
        <f t="shared" ca="1" si="427"/>
        <v>0</v>
      </c>
      <c r="HJ153" s="423">
        <f t="shared" ca="1" si="427"/>
        <v>0</v>
      </c>
      <c r="HK153" s="423">
        <f t="shared" ca="1" si="515"/>
        <v>0</v>
      </c>
      <c r="HL153" s="423">
        <f t="shared" ca="1" si="515"/>
        <v>0</v>
      </c>
      <c r="HM153" s="423">
        <f t="shared" ca="1" si="515"/>
        <v>0</v>
      </c>
      <c r="HN153" s="423">
        <f t="shared" ca="1" si="515"/>
        <v>0</v>
      </c>
      <c r="HO153" s="423">
        <f t="shared" ca="1" si="515"/>
        <v>0</v>
      </c>
      <c r="HP153" s="423">
        <f t="shared" ca="1" si="515"/>
        <v>0</v>
      </c>
      <c r="HQ153" s="423">
        <f t="shared" ca="1" si="515"/>
        <v>0</v>
      </c>
      <c r="HR153" s="423">
        <f t="shared" ca="1" si="515"/>
        <v>0</v>
      </c>
      <c r="HS153" s="423">
        <f t="shared" ca="1" si="515"/>
        <v>0</v>
      </c>
      <c r="HT153" s="423">
        <f t="shared" ca="1" si="515"/>
        <v>0</v>
      </c>
      <c r="HU153" s="423"/>
      <c r="HV153" s="423"/>
    </row>
    <row r="154" spans="1:230" ht="11.25" customHeight="1" x14ac:dyDescent="0.2">
      <c r="A154" s="62">
        <f t="shared" si="516"/>
        <v>143</v>
      </c>
      <c r="B154" s="60">
        <f>Spaces_Sum!C199</f>
        <v>0</v>
      </c>
      <c r="C154" s="62" t="str">
        <f>Spaces_Sum!D199</f>
        <v>0</v>
      </c>
      <c r="D154" s="62" t="e">
        <f ca="1">Spaces_Sum!I199</f>
        <v>#N/A</v>
      </c>
      <c r="F154" s="110" t="e">
        <f ca="1">Spaces_Sum!M199</f>
        <v>#N/A</v>
      </c>
      <c r="G154" s="110" t="e">
        <f ca="1">Spaces_Sum!J199</f>
        <v>#N/A</v>
      </c>
      <c r="H154" s="532"/>
      <c r="I154" s="185"/>
      <c r="J154" s="185"/>
      <c r="K154" s="186"/>
      <c r="L154" s="187"/>
      <c r="M154" s="188"/>
      <c r="N154" s="189"/>
      <c r="O154" s="186"/>
      <c r="P154" s="187"/>
      <c r="Q154" s="188"/>
      <c r="R154" s="189"/>
      <c r="S154" s="186"/>
      <c r="T154" s="187"/>
      <c r="U154" s="188"/>
      <c r="V154" s="189"/>
      <c r="W154" s="186"/>
      <c r="X154" s="187"/>
      <c r="Y154" s="188"/>
      <c r="Z154" s="189"/>
      <c r="AA154" s="186"/>
      <c r="AB154" s="187"/>
      <c r="AC154" s="188"/>
      <c r="AD154" s="189"/>
      <c r="AE154" s="186"/>
      <c r="AF154" s="187"/>
      <c r="AG154" s="188"/>
      <c r="AH154" s="189"/>
      <c r="AI154" s="186"/>
      <c r="AJ154" s="187"/>
      <c r="AK154" s="188"/>
      <c r="AL154" s="189"/>
      <c r="AM154" s="186"/>
      <c r="AN154" s="187"/>
      <c r="AO154" s="188"/>
      <c r="AP154" s="189"/>
      <c r="AQ154" s="186"/>
      <c r="AR154" s="187"/>
      <c r="AS154" s="188"/>
      <c r="AT154" s="189"/>
      <c r="AU154" s="186"/>
      <c r="AV154" s="187"/>
      <c r="AW154" s="188"/>
      <c r="AX154" s="189"/>
      <c r="AY154" s="186"/>
      <c r="AZ154" s="187"/>
      <c r="BA154" s="188"/>
      <c r="BB154" s="189"/>
      <c r="BC154" s="186"/>
      <c r="BD154" s="187"/>
      <c r="BE154" s="188"/>
      <c r="BF154" s="189"/>
      <c r="BG154" s="186"/>
      <c r="BH154" s="187"/>
      <c r="BI154" s="188"/>
      <c r="BJ154" s="189"/>
      <c r="BK154" s="186"/>
      <c r="BL154" s="187"/>
      <c r="BM154" s="188"/>
      <c r="BN154" s="189"/>
      <c r="BO154" s="186"/>
      <c r="BP154" s="187"/>
      <c r="BQ154" s="188"/>
      <c r="BR154" s="189"/>
      <c r="BS154" s="186"/>
      <c r="BT154" s="187"/>
      <c r="BU154" s="188"/>
      <c r="BV154" s="189"/>
      <c r="BW154" s="186"/>
      <c r="BX154" s="187"/>
      <c r="BY154" s="188"/>
      <c r="BZ154" s="189"/>
      <c r="CA154" s="186"/>
      <c r="CB154" s="190"/>
      <c r="CC154" s="190"/>
      <c r="CD154" s="82">
        <f t="shared" si="428"/>
        <v>0</v>
      </c>
      <c r="CE154" s="82">
        <f t="shared" si="429"/>
        <v>0</v>
      </c>
      <c r="CF154" s="82">
        <f t="shared" si="430"/>
        <v>0</v>
      </c>
      <c r="CG154" s="82">
        <f t="shared" si="431"/>
        <v>0</v>
      </c>
      <c r="CH154" s="82">
        <f t="shared" si="432"/>
        <v>0</v>
      </c>
      <c r="CI154" s="82">
        <f t="shared" si="433"/>
        <v>0</v>
      </c>
      <c r="CJ154" s="82">
        <f t="shared" si="434"/>
        <v>0</v>
      </c>
      <c r="CK154" s="82">
        <f t="shared" si="435"/>
        <v>0</v>
      </c>
      <c r="CL154" s="82">
        <f t="shared" si="436"/>
        <v>0</v>
      </c>
      <c r="CM154" s="82">
        <f t="shared" si="437"/>
        <v>0</v>
      </c>
      <c r="CN154" s="82">
        <f t="shared" si="438"/>
        <v>0</v>
      </c>
      <c r="CO154" s="82">
        <f t="shared" si="439"/>
        <v>0</v>
      </c>
      <c r="CP154" s="82">
        <f t="shared" si="440"/>
        <v>0</v>
      </c>
      <c r="CQ154" s="82">
        <f t="shared" si="441"/>
        <v>0</v>
      </c>
      <c r="CR154" s="82">
        <f t="shared" si="442"/>
        <v>0</v>
      </c>
      <c r="CS154" s="82">
        <f t="shared" si="443"/>
        <v>0</v>
      </c>
      <c r="CT154" s="82">
        <f t="shared" si="444"/>
        <v>0</v>
      </c>
      <c r="CU154" s="82">
        <f t="shared" si="445"/>
        <v>0</v>
      </c>
      <c r="CV154" s="82">
        <f t="shared" si="446"/>
        <v>0</v>
      </c>
      <c r="CW154" s="82">
        <f t="shared" si="447"/>
        <v>0</v>
      </c>
      <c r="CX154" s="82">
        <f t="shared" si="448"/>
        <v>0</v>
      </c>
      <c r="CY154" s="82">
        <f t="shared" si="449"/>
        <v>0</v>
      </c>
      <c r="CZ154" s="82">
        <f t="shared" si="450"/>
        <v>0</v>
      </c>
      <c r="DA154" s="82">
        <f t="shared" si="451"/>
        <v>0</v>
      </c>
      <c r="DB154" s="82">
        <f t="shared" si="452"/>
        <v>0</v>
      </c>
      <c r="DC154" s="82">
        <f t="shared" si="453"/>
        <v>0</v>
      </c>
      <c r="DD154" s="82">
        <f t="shared" si="454"/>
        <v>0</v>
      </c>
      <c r="DE154" s="82">
        <f t="shared" si="455"/>
        <v>0</v>
      </c>
      <c r="DF154" s="82">
        <f t="shared" si="456"/>
        <v>0</v>
      </c>
      <c r="DG154" s="82">
        <f t="shared" si="457"/>
        <v>0</v>
      </c>
      <c r="DH154" s="82">
        <f t="shared" si="458"/>
        <v>0</v>
      </c>
      <c r="DI154" s="82">
        <f t="shared" si="459"/>
        <v>0</v>
      </c>
      <c r="DJ154" s="82">
        <f t="shared" si="460"/>
        <v>0</v>
      </c>
      <c r="DK154" s="82">
        <f t="shared" si="461"/>
        <v>0</v>
      </c>
      <c r="DL154" s="82">
        <f t="shared" si="462"/>
        <v>0</v>
      </c>
      <c r="DM154" s="82">
        <f t="shared" si="463"/>
        <v>0</v>
      </c>
      <c r="DN154" s="82">
        <f t="shared" si="464"/>
        <v>0</v>
      </c>
      <c r="DO154" s="82">
        <f t="shared" si="465"/>
        <v>0</v>
      </c>
      <c r="DP154" s="82">
        <f t="shared" si="466"/>
        <v>0</v>
      </c>
      <c r="DQ154" s="82">
        <f t="shared" si="467"/>
        <v>0</v>
      </c>
      <c r="DR154" s="82">
        <f t="shared" si="468"/>
        <v>0</v>
      </c>
      <c r="DS154" s="82">
        <f t="shared" si="469"/>
        <v>0</v>
      </c>
      <c r="DT154" s="82">
        <f t="shared" si="470"/>
        <v>0</v>
      </c>
      <c r="DU154" s="82">
        <f t="shared" si="471"/>
        <v>0</v>
      </c>
      <c r="DV154" s="82">
        <f t="shared" si="472"/>
        <v>0</v>
      </c>
      <c r="DW154" s="82">
        <f t="shared" si="473"/>
        <v>0</v>
      </c>
      <c r="DX154" s="82">
        <f t="shared" si="474"/>
        <v>0</v>
      </c>
      <c r="DY154" s="82">
        <f t="shared" si="475"/>
        <v>0</v>
      </c>
      <c r="DZ154" s="82">
        <f t="shared" si="476"/>
        <v>0</v>
      </c>
      <c r="EA154" s="82">
        <f t="shared" si="477"/>
        <v>0</v>
      </c>
      <c r="EB154" s="82">
        <f t="shared" si="478"/>
        <v>0</v>
      </c>
      <c r="EC154" s="82">
        <f t="shared" si="479"/>
        <v>0</v>
      </c>
      <c r="ED154" s="82">
        <f t="shared" si="480"/>
        <v>0</v>
      </c>
      <c r="EE154" s="82">
        <f t="shared" si="481"/>
        <v>0</v>
      </c>
      <c r="EF154" s="82">
        <f t="shared" si="482"/>
        <v>0</v>
      </c>
      <c r="EG154" s="82">
        <f t="shared" si="483"/>
        <v>0</v>
      </c>
      <c r="EH154" s="82">
        <f t="shared" si="484"/>
        <v>0</v>
      </c>
      <c r="EI154" s="82">
        <f t="shared" si="485"/>
        <v>0</v>
      </c>
      <c r="EJ154" s="82">
        <f t="shared" si="486"/>
        <v>0</v>
      </c>
      <c r="EK154" s="82">
        <f t="shared" si="487"/>
        <v>0</v>
      </c>
      <c r="EL154" s="82">
        <f t="shared" si="488"/>
        <v>0</v>
      </c>
      <c r="EM154" s="82">
        <f t="shared" si="489"/>
        <v>0</v>
      </c>
      <c r="EN154" s="82">
        <f t="shared" si="490"/>
        <v>0</v>
      </c>
      <c r="EO154" s="82">
        <f t="shared" si="491"/>
        <v>0</v>
      </c>
      <c r="EP154" s="82">
        <f t="shared" si="492"/>
        <v>0</v>
      </c>
      <c r="EQ154" s="82">
        <f t="shared" si="493"/>
        <v>0</v>
      </c>
      <c r="ER154" s="82">
        <f t="shared" si="494"/>
        <v>0</v>
      </c>
      <c r="ES154" s="82">
        <f t="shared" si="495"/>
        <v>0</v>
      </c>
      <c r="ET154" s="82">
        <f t="shared" si="496"/>
        <v>0</v>
      </c>
      <c r="EU154" s="82">
        <f t="shared" si="497"/>
        <v>0</v>
      </c>
      <c r="EV154" s="82">
        <f t="shared" si="498"/>
        <v>0</v>
      </c>
      <c r="EW154" s="82">
        <f t="shared" si="499"/>
        <v>0</v>
      </c>
      <c r="EX154" s="82">
        <f t="shared" si="500"/>
        <v>0</v>
      </c>
      <c r="EY154" s="111">
        <f t="shared" si="501"/>
        <v>0</v>
      </c>
      <c r="EZ154" s="143" t="e">
        <f t="shared" ca="1" si="502"/>
        <v>#N/A</v>
      </c>
      <c r="FA154" s="112" t="e">
        <f t="shared" ca="1" si="503"/>
        <v>#N/A</v>
      </c>
      <c r="FB154" s="113" t="e">
        <f t="shared" ca="1" si="504"/>
        <v>#N/A</v>
      </c>
      <c r="FC154" s="114" t="e">
        <f t="shared" ca="1" si="505"/>
        <v>#N/A</v>
      </c>
      <c r="FD154" s="115">
        <f t="shared" ca="1" si="506"/>
        <v>0</v>
      </c>
      <c r="FE154" s="116" t="e">
        <f t="shared" ca="1" si="507"/>
        <v>#N/A</v>
      </c>
      <c r="FF154" s="117" t="e">
        <f t="shared" ca="1" si="508"/>
        <v>#N/A</v>
      </c>
      <c r="FG154" s="71">
        <f t="shared" si="509"/>
        <v>0</v>
      </c>
      <c r="FH154" s="530" t="e">
        <f t="shared" ca="1" si="510"/>
        <v>#N/A</v>
      </c>
      <c r="FI154" s="72"/>
      <c r="FJ154" s="72"/>
      <c r="FK154" s="72"/>
      <c r="FM154" s="421">
        <f t="shared" si="511"/>
        <v>0</v>
      </c>
      <c r="FN154" s="422" t="e">
        <f t="shared" ca="1" si="512"/>
        <v>#N/A</v>
      </c>
      <c r="FO154" s="423">
        <f t="shared" ca="1" si="517"/>
        <v>0</v>
      </c>
      <c r="FP154" s="423">
        <f t="shared" ca="1" si="517"/>
        <v>0</v>
      </c>
      <c r="FQ154" s="423">
        <f t="shared" ca="1" si="517"/>
        <v>0</v>
      </c>
      <c r="FR154" s="423">
        <f t="shared" ca="1" si="517"/>
        <v>0</v>
      </c>
      <c r="FS154" s="423">
        <f t="shared" ca="1" si="517"/>
        <v>0</v>
      </c>
      <c r="FT154" s="423">
        <f t="shared" ca="1" si="517"/>
        <v>0</v>
      </c>
      <c r="FU154" s="423">
        <f t="shared" ca="1" si="517"/>
        <v>0</v>
      </c>
      <c r="FV154" s="423">
        <f t="shared" ca="1" si="517"/>
        <v>0</v>
      </c>
      <c r="FW154" s="423">
        <f t="shared" ca="1" si="517"/>
        <v>0</v>
      </c>
      <c r="FX154" s="423">
        <f t="shared" ca="1" si="517"/>
        <v>0</v>
      </c>
      <c r="FY154" s="423">
        <f t="shared" ca="1" si="517"/>
        <v>0</v>
      </c>
      <c r="FZ154" s="423">
        <f t="shared" ca="1" si="517"/>
        <v>0</v>
      </c>
      <c r="GA154" s="423">
        <f t="shared" ca="1" si="517"/>
        <v>0</v>
      </c>
      <c r="GB154" s="423">
        <f t="shared" ca="1" si="517"/>
        <v>0</v>
      </c>
      <c r="GC154" s="423">
        <f t="shared" ca="1" si="517"/>
        <v>0</v>
      </c>
      <c r="GD154" s="423">
        <f t="shared" ca="1" si="513"/>
        <v>0</v>
      </c>
      <c r="GE154" s="423">
        <f t="shared" ca="1" si="513"/>
        <v>0</v>
      </c>
      <c r="GF154" s="423">
        <f t="shared" ca="1" si="513"/>
        <v>0</v>
      </c>
      <c r="GG154" s="423">
        <f t="shared" ca="1" si="513"/>
        <v>0</v>
      </c>
      <c r="GH154" s="423">
        <f t="shared" ca="1" si="513"/>
        <v>0</v>
      </c>
      <c r="GI154" s="423">
        <f t="shared" ca="1" si="513"/>
        <v>0</v>
      </c>
      <c r="GJ154" s="423">
        <f t="shared" ca="1" si="513"/>
        <v>0</v>
      </c>
      <c r="GK154" s="423">
        <f t="shared" ca="1" si="513"/>
        <v>0</v>
      </c>
      <c r="GL154" s="423">
        <f t="shared" ca="1" si="513"/>
        <v>0</v>
      </c>
      <c r="GM154" s="423">
        <f t="shared" ca="1" si="513"/>
        <v>0</v>
      </c>
      <c r="GN154" s="423">
        <f t="shared" ca="1" si="513"/>
        <v>0</v>
      </c>
      <c r="GO154" s="423">
        <f t="shared" ca="1" si="513"/>
        <v>0</v>
      </c>
      <c r="GP154" s="423">
        <f t="shared" ca="1" si="513"/>
        <v>0</v>
      </c>
      <c r="GQ154" s="423">
        <f t="shared" ca="1" si="513"/>
        <v>0</v>
      </c>
      <c r="GR154" s="423">
        <f t="shared" ca="1" si="513"/>
        <v>0</v>
      </c>
      <c r="GS154" s="423">
        <f t="shared" ca="1" si="513"/>
        <v>0</v>
      </c>
      <c r="GT154" s="423">
        <f t="shared" ca="1" si="514"/>
        <v>0</v>
      </c>
      <c r="GU154" s="423">
        <f t="shared" ca="1" si="427"/>
        <v>0</v>
      </c>
      <c r="GV154" s="423">
        <f t="shared" ca="1" si="427"/>
        <v>0</v>
      </c>
      <c r="GW154" s="423">
        <f t="shared" ca="1" si="427"/>
        <v>0</v>
      </c>
      <c r="GX154" s="423">
        <f t="shared" ca="1" si="427"/>
        <v>0</v>
      </c>
      <c r="GY154" s="423">
        <f t="shared" ca="1" si="427"/>
        <v>0</v>
      </c>
      <c r="GZ154" s="423">
        <f t="shared" ca="1" si="427"/>
        <v>0</v>
      </c>
      <c r="HA154" s="423">
        <f t="shared" ca="1" si="427"/>
        <v>0</v>
      </c>
      <c r="HB154" s="423">
        <f t="shared" ca="1" si="427"/>
        <v>0</v>
      </c>
      <c r="HC154" s="423">
        <f t="shared" ca="1" si="427"/>
        <v>0</v>
      </c>
      <c r="HD154" s="423">
        <f t="shared" ca="1" si="427"/>
        <v>0</v>
      </c>
      <c r="HE154" s="423">
        <f t="shared" ca="1" si="427"/>
        <v>0</v>
      </c>
      <c r="HF154" s="423">
        <f t="shared" ca="1" si="427"/>
        <v>0</v>
      </c>
      <c r="HG154" s="423">
        <f t="shared" ca="1" si="427"/>
        <v>0</v>
      </c>
      <c r="HH154" s="423">
        <f t="shared" ca="1" si="427"/>
        <v>0</v>
      </c>
      <c r="HI154" s="423">
        <f t="shared" ca="1" si="427"/>
        <v>0</v>
      </c>
      <c r="HJ154" s="423">
        <f t="shared" ca="1" si="427"/>
        <v>0</v>
      </c>
      <c r="HK154" s="423">
        <f t="shared" ca="1" si="515"/>
        <v>0</v>
      </c>
      <c r="HL154" s="423">
        <f t="shared" ca="1" si="515"/>
        <v>0</v>
      </c>
      <c r="HM154" s="423">
        <f t="shared" ca="1" si="515"/>
        <v>0</v>
      </c>
      <c r="HN154" s="423">
        <f t="shared" ca="1" si="515"/>
        <v>0</v>
      </c>
      <c r="HO154" s="423">
        <f t="shared" ca="1" si="515"/>
        <v>0</v>
      </c>
      <c r="HP154" s="423">
        <f t="shared" ca="1" si="515"/>
        <v>0</v>
      </c>
      <c r="HQ154" s="423">
        <f t="shared" ca="1" si="515"/>
        <v>0</v>
      </c>
      <c r="HR154" s="423">
        <f t="shared" ca="1" si="515"/>
        <v>0</v>
      </c>
      <c r="HS154" s="423">
        <f t="shared" ca="1" si="515"/>
        <v>0</v>
      </c>
      <c r="HT154" s="423">
        <f t="shared" ca="1" si="515"/>
        <v>0</v>
      </c>
      <c r="HU154" s="423"/>
      <c r="HV154" s="423"/>
    </row>
    <row r="155" spans="1:230" ht="11.25" customHeight="1" x14ac:dyDescent="0.2">
      <c r="A155" s="62">
        <f t="shared" si="516"/>
        <v>144</v>
      </c>
      <c r="B155" s="60">
        <f>Spaces_Sum!C200</f>
        <v>0</v>
      </c>
      <c r="C155" s="62" t="str">
        <f>Spaces_Sum!D200</f>
        <v>0</v>
      </c>
      <c r="D155" s="62" t="e">
        <f ca="1">Spaces_Sum!I200</f>
        <v>#N/A</v>
      </c>
      <c r="F155" s="110" t="e">
        <f ca="1">Spaces_Sum!M200</f>
        <v>#N/A</v>
      </c>
      <c r="G155" s="110" t="e">
        <f ca="1">Spaces_Sum!J200</f>
        <v>#N/A</v>
      </c>
      <c r="H155" s="532"/>
      <c r="I155" s="185"/>
      <c r="J155" s="185"/>
      <c r="K155" s="186"/>
      <c r="L155" s="187"/>
      <c r="M155" s="188"/>
      <c r="N155" s="189"/>
      <c r="O155" s="186"/>
      <c r="P155" s="187"/>
      <c r="Q155" s="188"/>
      <c r="R155" s="189"/>
      <c r="S155" s="186"/>
      <c r="T155" s="187"/>
      <c r="U155" s="188"/>
      <c r="V155" s="189"/>
      <c r="W155" s="186"/>
      <c r="X155" s="187"/>
      <c r="Y155" s="188"/>
      <c r="Z155" s="189"/>
      <c r="AA155" s="186"/>
      <c r="AB155" s="187"/>
      <c r="AC155" s="188"/>
      <c r="AD155" s="189"/>
      <c r="AE155" s="186"/>
      <c r="AF155" s="187"/>
      <c r="AG155" s="188"/>
      <c r="AH155" s="189"/>
      <c r="AI155" s="186"/>
      <c r="AJ155" s="187"/>
      <c r="AK155" s="188"/>
      <c r="AL155" s="189"/>
      <c r="AM155" s="186"/>
      <c r="AN155" s="187"/>
      <c r="AO155" s="188"/>
      <c r="AP155" s="189"/>
      <c r="AQ155" s="186"/>
      <c r="AR155" s="187"/>
      <c r="AS155" s="188"/>
      <c r="AT155" s="189"/>
      <c r="AU155" s="186"/>
      <c r="AV155" s="187"/>
      <c r="AW155" s="188"/>
      <c r="AX155" s="189"/>
      <c r="AY155" s="186"/>
      <c r="AZ155" s="187"/>
      <c r="BA155" s="188"/>
      <c r="BB155" s="189"/>
      <c r="BC155" s="186"/>
      <c r="BD155" s="187"/>
      <c r="BE155" s="188"/>
      <c r="BF155" s="189"/>
      <c r="BG155" s="186"/>
      <c r="BH155" s="187"/>
      <c r="BI155" s="188"/>
      <c r="BJ155" s="189"/>
      <c r="BK155" s="186"/>
      <c r="BL155" s="187"/>
      <c r="BM155" s="188"/>
      <c r="BN155" s="189"/>
      <c r="BO155" s="186"/>
      <c r="BP155" s="187"/>
      <c r="BQ155" s="188"/>
      <c r="BR155" s="189"/>
      <c r="BS155" s="186"/>
      <c r="BT155" s="187"/>
      <c r="BU155" s="188"/>
      <c r="BV155" s="189"/>
      <c r="BW155" s="186"/>
      <c r="BX155" s="187"/>
      <c r="BY155" s="188"/>
      <c r="BZ155" s="189"/>
      <c r="CA155" s="186"/>
      <c r="CB155" s="190"/>
      <c r="CC155" s="190"/>
      <c r="CD155" s="82">
        <f t="shared" si="428"/>
        <v>0</v>
      </c>
      <c r="CE155" s="82">
        <f t="shared" si="429"/>
        <v>0</v>
      </c>
      <c r="CF155" s="82">
        <f t="shared" si="430"/>
        <v>0</v>
      </c>
      <c r="CG155" s="82">
        <f t="shared" si="431"/>
        <v>0</v>
      </c>
      <c r="CH155" s="82">
        <f t="shared" si="432"/>
        <v>0</v>
      </c>
      <c r="CI155" s="82">
        <f t="shared" si="433"/>
        <v>0</v>
      </c>
      <c r="CJ155" s="82">
        <f t="shared" si="434"/>
        <v>0</v>
      </c>
      <c r="CK155" s="82">
        <f t="shared" si="435"/>
        <v>0</v>
      </c>
      <c r="CL155" s="82">
        <f t="shared" si="436"/>
        <v>0</v>
      </c>
      <c r="CM155" s="82">
        <f t="shared" si="437"/>
        <v>0</v>
      </c>
      <c r="CN155" s="82">
        <f t="shared" si="438"/>
        <v>0</v>
      </c>
      <c r="CO155" s="82">
        <f t="shared" si="439"/>
        <v>0</v>
      </c>
      <c r="CP155" s="82">
        <f t="shared" si="440"/>
        <v>0</v>
      </c>
      <c r="CQ155" s="82">
        <f t="shared" si="441"/>
        <v>0</v>
      </c>
      <c r="CR155" s="82">
        <f t="shared" si="442"/>
        <v>0</v>
      </c>
      <c r="CS155" s="82">
        <f t="shared" si="443"/>
        <v>0</v>
      </c>
      <c r="CT155" s="82">
        <f t="shared" si="444"/>
        <v>0</v>
      </c>
      <c r="CU155" s="82">
        <f t="shared" si="445"/>
        <v>0</v>
      </c>
      <c r="CV155" s="82">
        <f t="shared" si="446"/>
        <v>0</v>
      </c>
      <c r="CW155" s="82">
        <f t="shared" si="447"/>
        <v>0</v>
      </c>
      <c r="CX155" s="82">
        <f t="shared" si="448"/>
        <v>0</v>
      </c>
      <c r="CY155" s="82">
        <f t="shared" si="449"/>
        <v>0</v>
      </c>
      <c r="CZ155" s="82">
        <f t="shared" si="450"/>
        <v>0</v>
      </c>
      <c r="DA155" s="82">
        <f t="shared" si="451"/>
        <v>0</v>
      </c>
      <c r="DB155" s="82">
        <f t="shared" si="452"/>
        <v>0</v>
      </c>
      <c r="DC155" s="82">
        <f t="shared" si="453"/>
        <v>0</v>
      </c>
      <c r="DD155" s="82">
        <f t="shared" si="454"/>
        <v>0</v>
      </c>
      <c r="DE155" s="82">
        <f t="shared" si="455"/>
        <v>0</v>
      </c>
      <c r="DF155" s="82">
        <f t="shared" si="456"/>
        <v>0</v>
      </c>
      <c r="DG155" s="82">
        <f t="shared" si="457"/>
        <v>0</v>
      </c>
      <c r="DH155" s="82">
        <f t="shared" si="458"/>
        <v>0</v>
      </c>
      <c r="DI155" s="82">
        <f t="shared" si="459"/>
        <v>0</v>
      </c>
      <c r="DJ155" s="82">
        <f t="shared" si="460"/>
        <v>0</v>
      </c>
      <c r="DK155" s="82">
        <f t="shared" si="461"/>
        <v>0</v>
      </c>
      <c r="DL155" s="82">
        <f t="shared" si="462"/>
        <v>0</v>
      </c>
      <c r="DM155" s="82">
        <f t="shared" si="463"/>
        <v>0</v>
      </c>
      <c r="DN155" s="82">
        <f t="shared" si="464"/>
        <v>0</v>
      </c>
      <c r="DO155" s="82">
        <f t="shared" si="465"/>
        <v>0</v>
      </c>
      <c r="DP155" s="82">
        <f t="shared" si="466"/>
        <v>0</v>
      </c>
      <c r="DQ155" s="82">
        <f t="shared" si="467"/>
        <v>0</v>
      </c>
      <c r="DR155" s="82">
        <f t="shared" si="468"/>
        <v>0</v>
      </c>
      <c r="DS155" s="82">
        <f t="shared" si="469"/>
        <v>0</v>
      </c>
      <c r="DT155" s="82">
        <f t="shared" si="470"/>
        <v>0</v>
      </c>
      <c r="DU155" s="82">
        <f t="shared" si="471"/>
        <v>0</v>
      </c>
      <c r="DV155" s="82">
        <f t="shared" si="472"/>
        <v>0</v>
      </c>
      <c r="DW155" s="82">
        <f t="shared" si="473"/>
        <v>0</v>
      </c>
      <c r="DX155" s="82">
        <f t="shared" si="474"/>
        <v>0</v>
      </c>
      <c r="DY155" s="82">
        <f t="shared" si="475"/>
        <v>0</v>
      </c>
      <c r="DZ155" s="82">
        <f t="shared" si="476"/>
        <v>0</v>
      </c>
      <c r="EA155" s="82">
        <f t="shared" si="477"/>
        <v>0</v>
      </c>
      <c r="EB155" s="82">
        <f t="shared" si="478"/>
        <v>0</v>
      </c>
      <c r="EC155" s="82">
        <f t="shared" si="479"/>
        <v>0</v>
      </c>
      <c r="ED155" s="82">
        <f t="shared" si="480"/>
        <v>0</v>
      </c>
      <c r="EE155" s="82">
        <f t="shared" si="481"/>
        <v>0</v>
      </c>
      <c r="EF155" s="82">
        <f t="shared" si="482"/>
        <v>0</v>
      </c>
      <c r="EG155" s="82">
        <f t="shared" si="483"/>
        <v>0</v>
      </c>
      <c r="EH155" s="82">
        <f t="shared" si="484"/>
        <v>0</v>
      </c>
      <c r="EI155" s="82">
        <f t="shared" si="485"/>
        <v>0</v>
      </c>
      <c r="EJ155" s="82">
        <f t="shared" si="486"/>
        <v>0</v>
      </c>
      <c r="EK155" s="82">
        <f t="shared" si="487"/>
        <v>0</v>
      </c>
      <c r="EL155" s="82">
        <f t="shared" si="488"/>
        <v>0</v>
      </c>
      <c r="EM155" s="82">
        <f t="shared" si="489"/>
        <v>0</v>
      </c>
      <c r="EN155" s="82">
        <f t="shared" si="490"/>
        <v>0</v>
      </c>
      <c r="EO155" s="82">
        <f t="shared" si="491"/>
        <v>0</v>
      </c>
      <c r="EP155" s="82">
        <f t="shared" si="492"/>
        <v>0</v>
      </c>
      <c r="EQ155" s="82">
        <f t="shared" si="493"/>
        <v>0</v>
      </c>
      <c r="ER155" s="82">
        <f t="shared" si="494"/>
        <v>0</v>
      </c>
      <c r="ES155" s="82">
        <f t="shared" si="495"/>
        <v>0</v>
      </c>
      <c r="ET155" s="82">
        <f t="shared" si="496"/>
        <v>0</v>
      </c>
      <c r="EU155" s="82">
        <f t="shared" si="497"/>
        <v>0</v>
      </c>
      <c r="EV155" s="82">
        <f t="shared" si="498"/>
        <v>0</v>
      </c>
      <c r="EW155" s="82">
        <f t="shared" si="499"/>
        <v>0</v>
      </c>
      <c r="EX155" s="82">
        <f t="shared" si="500"/>
        <v>0</v>
      </c>
      <c r="EY155" s="111">
        <f t="shared" si="501"/>
        <v>0</v>
      </c>
      <c r="EZ155" s="143" t="e">
        <f t="shared" ca="1" si="502"/>
        <v>#N/A</v>
      </c>
      <c r="FA155" s="112" t="e">
        <f t="shared" ca="1" si="503"/>
        <v>#N/A</v>
      </c>
      <c r="FB155" s="113" t="e">
        <f t="shared" ca="1" si="504"/>
        <v>#N/A</v>
      </c>
      <c r="FC155" s="114" t="e">
        <f t="shared" ca="1" si="505"/>
        <v>#N/A</v>
      </c>
      <c r="FD155" s="115">
        <f t="shared" ca="1" si="506"/>
        <v>0</v>
      </c>
      <c r="FE155" s="116" t="e">
        <f t="shared" ca="1" si="507"/>
        <v>#N/A</v>
      </c>
      <c r="FF155" s="117" t="e">
        <f t="shared" ca="1" si="508"/>
        <v>#N/A</v>
      </c>
      <c r="FG155" s="71">
        <f t="shared" si="509"/>
        <v>0</v>
      </c>
      <c r="FH155" s="530" t="e">
        <f t="shared" ca="1" si="510"/>
        <v>#N/A</v>
      </c>
      <c r="FI155" s="72" t="e">
        <f ca="1">0.75*FB155</f>
        <v>#N/A</v>
      </c>
      <c r="FJ155" s="72" t="e">
        <f t="shared" ca="1" si="518"/>
        <v>#N/A</v>
      </c>
      <c r="FK155" s="72" t="e">
        <f t="shared" ca="1" si="519"/>
        <v>#N/A</v>
      </c>
      <c r="FM155" s="421">
        <f t="shared" si="511"/>
        <v>0</v>
      </c>
      <c r="FN155" s="422" t="e">
        <f t="shared" ca="1" si="512"/>
        <v>#N/A</v>
      </c>
      <c r="FO155" s="423">
        <f t="shared" ca="1" si="517"/>
        <v>0</v>
      </c>
      <c r="FP155" s="423">
        <f t="shared" ca="1" si="517"/>
        <v>0</v>
      </c>
      <c r="FQ155" s="423">
        <f t="shared" ca="1" si="517"/>
        <v>0</v>
      </c>
      <c r="FR155" s="423">
        <f t="shared" ca="1" si="517"/>
        <v>0</v>
      </c>
      <c r="FS155" s="423">
        <f t="shared" ca="1" si="517"/>
        <v>0</v>
      </c>
      <c r="FT155" s="423">
        <f t="shared" ca="1" si="517"/>
        <v>0</v>
      </c>
      <c r="FU155" s="423">
        <f t="shared" ca="1" si="517"/>
        <v>0</v>
      </c>
      <c r="FV155" s="423">
        <f t="shared" ca="1" si="517"/>
        <v>0</v>
      </c>
      <c r="FW155" s="423">
        <f t="shared" ca="1" si="517"/>
        <v>0</v>
      </c>
      <c r="FX155" s="423">
        <f t="shared" ca="1" si="517"/>
        <v>0</v>
      </c>
      <c r="FY155" s="423">
        <f t="shared" ca="1" si="517"/>
        <v>0</v>
      </c>
      <c r="FZ155" s="423">
        <f t="shared" ca="1" si="517"/>
        <v>0</v>
      </c>
      <c r="GA155" s="423">
        <f t="shared" ca="1" si="517"/>
        <v>0</v>
      </c>
      <c r="GB155" s="423">
        <f t="shared" ca="1" si="517"/>
        <v>0</v>
      </c>
      <c r="GC155" s="423">
        <f t="shared" ca="1" si="517"/>
        <v>0</v>
      </c>
      <c r="GD155" s="423">
        <f t="shared" ca="1" si="513"/>
        <v>0</v>
      </c>
      <c r="GE155" s="423">
        <f t="shared" ca="1" si="513"/>
        <v>0</v>
      </c>
      <c r="GF155" s="423">
        <f t="shared" ca="1" si="513"/>
        <v>0</v>
      </c>
      <c r="GG155" s="423">
        <f t="shared" ca="1" si="513"/>
        <v>0</v>
      </c>
      <c r="GH155" s="423">
        <f t="shared" ca="1" si="513"/>
        <v>0</v>
      </c>
      <c r="GI155" s="423">
        <f t="shared" ca="1" si="513"/>
        <v>0</v>
      </c>
      <c r="GJ155" s="423">
        <f t="shared" ca="1" si="513"/>
        <v>0</v>
      </c>
      <c r="GK155" s="423">
        <f t="shared" ca="1" si="513"/>
        <v>0</v>
      </c>
      <c r="GL155" s="423">
        <f t="shared" ca="1" si="513"/>
        <v>0</v>
      </c>
      <c r="GM155" s="423">
        <f t="shared" ca="1" si="513"/>
        <v>0</v>
      </c>
      <c r="GN155" s="423">
        <f t="shared" ca="1" si="513"/>
        <v>0</v>
      </c>
      <c r="GO155" s="423">
        <f t="shared" ca="1" si="513"/>
        <v>0</v>
      </c>
      <c r="GP155" s="423">
        <f t="shared" ca="1" si="513"/>
        <v>0</v>
      </c>
      <c r="GQ155" s="423">
        <f t="shared" ca="1" si="513"/>
        <v>0</v>
      </c>
      <c r="GR155" s="423">
        <f t="shared" ca="1" si="513"/>
        <v>0</v>
      </c>
      <c r="GS155" s="423">
        <f t="shared" ref="GS155:HH170" ca="1" si="521">IFERROR(ROUNDDOWN(SUMIF($H155:$CC155,GS$11,$CD155:$EX155)/GS$10,0),0)</f>
        <v>0</v>
      </c>
      <c r="GT155" s="423">
        <f t="shared" ca="1" si="514"/>
        <v>0</v>
      </c>
      <c r="GU155" s="423">
        <f t="shared" ca="1" si="514"/>
        <v>0</v>
      </c>
      <c r="GV155" s="423">
        <f t="shared" ca="1" si="514"/>
        <v>0</v>
      </c>
      <c r="GW155" s="423">
        <f t="shared" ca="1" si="514"/>
        <v>0</v>
      </c>
      <c r="GX155" s="423">
        <f t="shared" ca="1" si="514"/>
        <v>0</v>
      </c>
      <c r="GY155" s="423">
        <f t="shared" ca="1" si="514"/>
        <v>0</v>
      </c>
      <c r="GZ155" s="423">
        <f t="shared" ca="1" si="514"/>
        <v>0</v>
      </c>
      <c r="HA155" s="423">
        <f t="shared" ca="1" si="514"/>
        <v>0</v>
      </c>
      <c r="HB155" s="423">
        <f t="shared" ca="1" si="514"/>
        <v>0</v>
      </c>
      <c r="HC155" s="423">
        <f t="shared" ca="1" si="514"/>
        <v>0</v>
      </c>
      <c r="HD155" s="423">
        <f t="shared" ca="1" si="514"/>
        <v>0</v>
      </c>
      <c r="HE155" s="423">
        <f t="shared" ca="1" si="514"/>
        <v>0</v>
      </c>
      <c r="HF155" s="423">
        <f t="shared" ca="1" si="514"/>
        <v>0</v>
      </c>
      <c r="HG155" s="423">
        <f t="shared" ca="1" si="514"/>
        <v>0</v>
      </c>
      <c r="HH155" s="423">
        <f t="shared" ca="1" si="514"/>
        <v>0</v>
      </c>
      <c r="HI155" s="423">
        <f t="shared" ca="1" si="514"/>
        <v>0</v>
      </c>
      <c r="HJ155" s="423">
        <f t="shared" ref="HJ155:HT170" ca="1" si="522">IFERROR(ROUNDDOWN(SUMIF($H155:$CC155,HJ$11,$CD155:$EX155)/HJ$10,0),0)</f>
        <v>0</v>
      </c>
      <c r="HK155" s="423">
        <f t="shared" ca="1" si="515"/>
        <v>0</v>
      </c>
      <c r="HL155" s="423">
        <f t="shared" ca="1" si="515"/>
        <v>0</v>
      </c>
      <c r="HM155" s="423">
        <f t="shared" ca="1" si="515"/>
        <v>0</v>
      </c>
      <c r="HN155" s="423">
        <f t="shared" ca="1" si="515"/>
        <v>0</v>
      </c>
      <c r="HO155" s="423">
        <f t="shared" ca="1" si="515"/>
        <v>0</v>
      </c>
      <c r="HP155" s="423">
        <f t="shared" ca="1" si="515"/>
        <v>0</v>
      </c>
      <c r="HQ155" s="423">
        <f t="shared" ca="1" si="515"/>
        <v>0</v>
      </c>
      <c r="HR155" s="423">
        <f t="shared" ca="1" si="515"/>
        <v>0</v>
      </c>
      <c r="HS155" s="423">
        <f t="shared" ca="1" si="515"/>
        <v>0</v>
      </c>
      <c r="HT155" s="423">
        <f t="shared" ca="1" si="515"/>
        <v>0</v>
      </c>
      <c r="HU155" s="423"/>
      <c r="HV155" s="423"/>
    </row>
    <row r="156" spans="1:230" ht="11.25" customHeight="1" x14ac:dyDescent="0.2">
      <c r="A156" s="62">
        <f t="shared" si="516"/>
        <v>145</v>
      </c>
      <c r="B156" s="60">
        <f>Spaces_Sum!C201</f>
        <v>0</v>
      </c>
      <c r="C156" s="62" t="str">
        <f>Spaces_Sum!D201</f>
        <v>0</v>
      </c>
      <c r="D156" s="62" t="e">
        <f ca="1">Spaces_Sum!I201</f>
        <v>#N/A</v>
      </c>
      <c r="F156" s="110" t="e">
        <f ca="1">Spaces_Sum!M201</f>
        <v>#N/A</v>
      </c>
      <c r="G156" s="110" t="e">
        <f ca="1">Spaces_Sum!J201</f>
        <v>#N/A</v>
      </c>
      <c r="H156" s="532"/>
      <c r="I156" s="185"/>
      <c r="J156" s="185"/>
      <c r="K156" s="186"/>
      <c r="L156" s="187"/>
      <c r="M156" s="188"/>
      <c r="N156" s="189"/>
      <c r="O156" s="186"/>
      <c r="P156" s="187"/>
      <c r="Q156" s="188"/>
      <c r="R156" s="189"/>
      <c r="S156" s="186"/>
      <c r="T156" s="187"/>
      <c r="U156" s="188"/>
      <c r="V156" s="189"/>
      <c r="W156" s="186"/>
      <c r="X156" s="187"/>
      <c r="Y156" s="188"/>
      <c r="Z156" s="189"/>
      <c r="AA156" s="186"/>
      <c r="AB156" s="187"/>
      <c r="AC156" s="188"/>
      <c r="AD156" s="189"/>
      <c r="AE156" s="186"/>
      <c r="AF156" s="187"/>
      <c r="AG156" s="188"/>
      <c r="AH156" s="189"/>
      <c r="AI156" s="186"/>
      <c r="AJ156" s="187"/>
      <c r="AK156" s="188"/>
      <c r="AL156" s="189"/>
      <c r="AM156" s="186"/>
      <c r="AN156" s="187"/>
      <c r="AO156" s="188"/>
      <c r="AP156" s="189"/>
      <c r="AQ156" s="186"/>
      <c r="AR156" s="187"/>
      <c r="AS156" s="188"/>
      <c r="AT156" s="189"/>
      <c r="AU156" s="186"/>
      <c r="AV156" s="187"/>
      <c r="AW156" s="188"/>
      <c r="AX156" s="189"/>
      <c r="AY156" s="186"/>
      <c r="AZ156" s="187"/>
      <c r="BA156" s="188"/>
      <c r="BB156" s="189"/>
      <c r="BC156" s="186"/>
      <c r="BD156" s="187"/>
      <c r="BE156" s="188"/>
      <c r="BF156" s="189"/>
      <c r="BG156" s="186"/>
      <c r="BH156" s="187"/>
      <c r="BI156" s="188"/>
      <c r="BJ156" s="189"/>
      <c r="BK156" s="186"/>
      <c r="BL156" s="187"/>
      <c r="BM156" s="188"/>
      <c r="BN156" s="189"/>
      <c r="BO156" s="186"/>
      <c r="BP156" s="187"/>
      <c r="BQ156" s="188"/>
      <c r="BR156" s="189"/>
      <c r="BS156" s="186"/>
      <c r="BT156" s="187"/>
      <c r="BU156" s="188"/>
      <c r="BV156" s="189"/>
      <c r="BW156" s="186"/>
      <c r="BX156" s="187"/>
      <c r="BY156" s="188"/>
      <c r="BZ156" s="189"/>
      <c r="CA156" s="186"/>
      <c r="CB156" s="190"/>
      <c r="CC156" s="190"/>
      <c r="CD156" s="82">
        <f t="shared" si="428"/>
        <v>0</v>
      </c>
      <c r="CE156" s="82">
        <f t="shared" si="429"/>
        <v>0</v>
      </c>
      <c r="CF156" s="82">
        <f t="shared" si="430"/>
        <v>0</v>
      </c>
      <c r="CG156" s="82">
        <f t="shared" si="431"/>
        <v>0</v>
      </c>
      <c r="CH156" s="82">
        <f t="shared" si="432"/>
        <v>0</v>
      </c>
      <c r="CI156" s="82">
        <f t="shared" si="433"/>
        <v>0</v>
      </c>
      <c r="CJ156" s="82">
        <f t="shared" si="434"/>
        <v>0</v>
      </c>
      <c r="CK156" s="82">
        <f t="shared" si="435"/>
        <v>0</v>
      </c>
      <c r="CL156" s="82">
        <f t="shared" si="436"/>
        <v>0</v>
      </c>
      <c r="CM156" s="82">
        <f t="shared" si="437"/>
        <v>0</v>
      </c>
      <c r="CN156" s="82">
        <f t="shared" si="438"/>
        <v>0</v>
      </c>
      <c r="CO156" s="82">
        <f t="shared" si="439"/>
        <v>0</v>
      </c>
      <c r="CP156" s="82">
        <f t="shared" si="440"/>
        <v>0</v>
      </c>
      <c r="CQ156" s="82">
        <f t="shared" si="441"/>
        <v>0</v>
      </c>
      <c r="CR156" s="82">
        <f t="shared" si="442"/>
        <v>0</v>
      </c>
      <c r="CS156" s="82">
        <f t="shared" si="443"/>
        <v>0</v>
      </c>
      <c r="CT156" s="82">
        <f t="shared" si="444"/>
        <v>0</v>
      </c>
      <c r="CU156" s="82">
        <f t="shared" si="445"/>
        <v>0</v>
      </c>
      <c r="CV156" s="82">
        <f t="shared" si="446"/>
        <v>0</v>
      </c>
      <c r="CW156" s="82">
        <f t="shared" si="447"/>
        <v>0</v>
      </c>
      <c r="CX156" s="82">
        <f t="shared" si="448"/>
        <v>0</v>
      </c>
      <c r="CY156" s="82">
        <f t="shared" si="449"/>
        <v>0</v>
      </c>
      <c r="CZ156" s="82">
        <f t="shared" si="450"/>
        <v>0</v>
      </c>
      <c r="DA156" s="82">
        <f t="shared" si="451"/>
        <v>0</v>
      </c>
      <c r="DB156" s="82">
        <f t="shared" si="452"/>
        <v>0</v>
      </c>
      <c r="DC156" s="82">
        <f t="shared" si="453"/>
        <v>0</v>
      </c>
      <c r="DD156" s="82">
        <f t="shared" si="454"/>
        <v>0</v>
      </c>
      <c r="DE156" s="82">
        <f t="shared" si="455"/>
        <v>0</v>
      </c>
      <c r="DF156" s="82">
        <f t="shared" si="456"/>
        <v>0</v>
      </c>
      <c r="DG156" s="82">
        <f t="shared" si="457"/>
        <v>0</v>
      </c>
      <c r="DH156" s="82">
        <f t="shared" si="458"/>
        <v>0</v>
      </c>
      <c r="DI156" s="82">
        <f t="shared" si="459"/>
        <v>0</v>
      </c>
      <c r="DJ156" s="82">
        <f t="shared" si="460"/>
        <v>0</v>
      </c>
      <c r="DK156" s="82">
        <f t="shared" si="461"/>
        <v>0</v>
      </c>
      <c r="DL156" s="82">
        <f t="shared" si="462"/>
        <v>0</v>
      </c>
      <c r="DM156" s="82">
        <f t="shared" si="463"/>
        <v>0</v>
      </c>
      <c r="DN156" s="82">
        <f t="shared" si="464"/>
        <v>0</v>
      </c>
      <c r="DO156" s="82">
        <f t="shared" si="465"/>
        <v>0</v>
      </c>
      <c r="DP156" s="82">
        <f t="shared" si="466"/>
        <v>0</v>
      </c>
      <c r="DQ156" s="82">
        <f t="shared" si="467"/>
        <v>0</v>
      </c>
      <c r="DR156" s="82">
        <f t="shared" si="468"/>
        <v>0</v>
      </c>
      <c r="DS156" s="82">
        <f t="shared" si="469"/>
        <v>0</v>
      </c>
      <c r="DT156" s="82">
        <f t="shared" si="470"/>
        <v>0</v>
      </c>
      <c r="DU156" s="82">
        <f t="shared" si="471"/>
        <v>0</v>
      </c>
      <c r="DV156" s="82">
        <f t="shared" si="472"/>
        <v>0</v>
      </c>
      <c r="DW156" s="82">
        <f t="shared" si="473"/>
        <v>0</v>
      </c>
      <c r="DX156" s="82">
        <f t="shared" si="474"/>
        <v>0</v>
      </c>
      <c r="DY156" s="82">
        <f t="shared" si="475"/>
        <v>0</v>
      </c>
      <c r="DZ156" s="82">
        <f t="shared" si="476"/>
        <v>0</v>
      </c>
      <c r="EA156" s="82">
        <f t="shared" si="477"/>
        <v>0</v>
      </c>
      <c r="EB156" s="82">
        <f t="shared" si="478"/>
        <v>0</v>
      </c>
      <c r="EC156" s="82">
        <f t="shared" si="479"/>
        <v>0</v>
      </c>
      <c r="ED156" s="82">
        <f t="shared" si="480"/>
        <v>0</v>
      </c>
      <c r="EE156" s="82">
        <f t="shared" si="481"/>
        <v>0</v>
      </c>
      <c r="EF156" s="82">
        <f t="shared" si="482"/>
        <v>0</v>
      </c>
      <c r="EG156" s="82">
        <f t="shared" si="483"/>
        <v>0</v>
      </c>
      <c r="EH156" s="82">
        <f t="shared" si="484"/>
        <v>0</v>
      </c>
      <c r="EI156" s="82">
        <f t="shared" si="485"/>
        <v>0</v>
      </c>
      <c r="EJ156" s="82">
        <f t="shared" si="486"/>
        <v>0</v>
      </c>
      <c r="EK156" s="82">
        <f t="shared" si="487"/>
        <v>0</v>
      </c>
      <c r="EL156" s="82">
        <f t="shared" si="488"/>
        <v>0</v>
      </c>
      <c r="EM156" s="82">
        <f t="shared" si="489"/>
        <v>0</v>
      </c>
      <c r="EN156" s="82">
        <f t="shared" si="490"/>
        <v>0</v>
      </c>
      <c r="EO156" s="82">
        <f t="shared" si="491"/>
        <v>0</v>
      </c>
      <c r="EP156" s="82">
        <f t="shared" si="492"/>
        <v>0</v>
      </c>
      <c r="EQ156" s="82">
        <f t="shared" si="493"/>
        <v>0</v>
      </c>
      <c r="ER156" s="82">
        <f t="shared" si="494"/>
        <v>0</v>
      </c>
      <c r="ES156" s="82">
        <f t="shared" si="495"/>
        <v>0</v>
      </c>
      <c r="ET156" s="82">
        <f t="shared" si="496"/>
        <v>0</v>
      </c>
      <c r="EU156" s="82">
        <f t="shared" si="497"/>
        <v>0</v>
      </c>
      <c r="EV156" s="82">
        <f t="shared" si="498"/>
        <v>0</v>
      </c>
      <c r="EW156" s="82">
        <f t="shared" si="499"/>
        <v>0</v>
      </c>
      <c r="EX156" s="82">
        <f t="shared" si="500"/>
        <v>0</v>
      </c>
      <c r="EY156" s="111">
        <f t="shared" si="501"/>
        <v>0</v>
      </c>
      <c r="EZ156" s="143" t="e">
        <f t="shared" ca="1" si="502"/>
        <v>#N/A</v>
      </c>
      <c r="FA156" s="112" t="e">
        <f t="shared" ca="1" si="503"/>
        <v>#N/A</v>
      </c>
      <c r="FB156" s="113" t="e">
        <f t="shared" ca="1" si="504"/>
        <v>#N/A</v>
      </c>
      <c r="FC156" s="114" t="e">
        <f t="shared" ca="1" si="505"/>
        <v>#N/A</v>
      </c>
      <c r="FD156" s="115">
        <f t="shared" ca="1" si="506"/>
        <v>0</v>
      </c>
      <c r="FE156" s="116" t="e">
        <f t="shared" ca="1" si="507"/>
        <v>#N/A</v>
      </c>
      <c r="FF156" s="117" t="e">
        <f t="shared" ca="1" si="508"/>
        <v>#N/A</v>
      </c>
      <c r="FG156" s="71">
        <f t="shared" si="509"/>
        <v>0</v>
      </c>
      <c r="FH156" s="530" t="e">
        <f t="shared" ca="1" si="510"/>
        <v>#N/A</v>
      </c>
      <c r="FI156" s="72"/>
      <c r="FJ156" s="72"/>
      <c r="FK156" s="72"/>
      <c r="FM156" s="421">
        <f t="shared" si="511"/>
        <v>0</v>
      </c>
      <c r="FN156" s="422" t="e">
        <f t="shared" ca="1" si="512"/>
        <v>#N/A</v>
      </c>
      <c r="FO156" s="423">
        <f t="shared" ca="1" si="517"/>
        <v>0</v>
      </c>
      <c r="FP156" s="423">
        <f t="shared" ca="1" si="517"/>
        <v>0</v>
      </c>
      <c r="FQ156" s="423">
        <f t="shared" ca="1" si="517"/>
        <v>0</v>
      </c>
      <c r="FR156" s="423">
        <f t="shared" ca="1" si="517"/>
        <v>0</v>
      </c>
      <c r="FS156" s="423">
        <f t="shared" ca="1" si="517"/>
        <v>0</v>
      </c>
      <c r="FT156" s="423">
        <f t="shared" ca="1" si="517"/>
        <v>0</v>
      </c>
      <c r="FU156" s="423">
        <f t="shared" ca="1" si="517"/>
        <v>0</v>
      </c>
      <c r="FV156" s="423">
        <f t="shared" ca="1" si="517"/>
        <v>0</v>
      </c>
      <c r="FW156" s="423">
        <f t="shared" ca="1" si="517"/>
        <v>0</v>
      </c>
      <c r="FX156" s="423">
        <f t="shared" ca="1" si="517"/>
        <v>0</v>
      </c>
      <c r="FY156" s="423">
        <f t="shared" ca="1" si="517"/>
        <v>0</v>
      </c>
      <c r="FZ156" s="423">
        <f t="shared" ca="1" si="517"/>
        <v>0</v>
      </c>
      <c r="GA156" s="423">
        <f t="shared" ca="1" si="517"/>
        <v>0</v>
      </c>
      <c r="GB156" s="423">
        <f t="shared" ca="1" si="517"/>
        <v>0</v>
      </c>
      <c r="GC156" s="423">
        <f t="shared" ca="1" si="517"/>
        <v>0</v>
      </c>
      <c r="GD156" s="423">
        <f t="shared" ca="1" si="517"/>
        <v>0</v>
      </c>
      <c r="GE156" s="423">
        <f t="shared" ref="GE156:GT171" ca="1" si="523">IFERROR(ROUNDDOWN(SUMIF($H156:$CC156,GE$11,$CD156:$EX156)/GE$10,0),0)</f>
        <v>0</v>
      </c>
      <c r="GF156" s="423">
        <f t="shared" ca="1" si="523"/>
        <v>0</v>
      </c>
      <c r="GG156" s="423">
        <f t="shared" ca="1" si="523"/>
        <v>0</v>
      </c>
      <c r="GH156" s="423">
        <f t="shared" ca="1" si="523"/>
        <v>0</v>
      </c>
      <c r="GI156" s="423">
        <f t="shared" ca="1" si="523"/>
        <v>0</v>
      </c>
      <c r="GJ156" s="423">
        <f t="shared" ca="1" si="523"/>
        <v>0</v>
      </c>
      <c r="GK156" s="423">
        <f t="shared" ca="1" si="523"/>
        <v>0</v>
      </c>
      <c r="GL156" s="423">
        <f t="shared" ca="1" si="523"/>
        <v>0</v>
      </c>
      <c r="GM156" s="423">
        <f t="shared" ca="1" si="523"/>
        <v>0</v>
      </c>
      <c r="GN156" s="423">
        <f t="shared" ca="1" si="523"/>
        <v>0</v>
      </c>
      <c r="GO156" s="423">
        <f t="shared" ca="1" si="523"/>
        <v>0</v>
      </c>
      <c r="GP156" s="423">
        <f t="shared" ca="1" si="523"/>
        <v>0</v>
      </c>
      <c r="GQ156" s="423">
        <f t="shared" ca="1" si="523"/>
        <v>0</v>
      </c>
      <c r="GR156" s="423">
        <f t="shared" ca="1" si="523"/>
        <v>0</v>
      </c>
      <c r="GS156" s="423">
        <f t="shared" ca="1" si="521"/>
        <v>0</v>
      </c>
      <c r="GT156" s="423">
        <f t="shared" ca="1" si="521"/>
        <v>0</v>
      </c>
      <c r="GU156" s="423">
        <f t="shared" ca="1" si="521"/>
        <v>0</v>
      </c>
      <c r="GV156" s="423">
        <f t="shared" ca="1" si="521"/>
        <v>0</v>
      </c>
      <c r="GW156" s="423">
        <f t="shared" ca="1" si="521"/>
        <v>0</v>
      </c>
      <c r="GX156" s="423">
        <f t="shared" ca="1" si="521"/>
        <v>0</v>
      </c>
      <c r="GY156" s="423">
        <f t="shared" ca="1" si="521"/>
        <v>0</v>
      </c>
      <c r="GZ156" s="423">
        <f t="shared" ca="1" si="521"/>
        <v>0</v>
      </c>
      <c r="HA156" s="423">
        <f t="shared" ca="1" si="521"/>
        <v>0</v>
      </c>
      <c r="HB156" s="423">
        <f t="shared" ca="1" si="521"/>
        <v>0</v>
      </c>
      <c r="HC156" s="423">
        <f t="shared" ca="1" si="521"/>
        <v>0</v>
      </c>
      <c r="HD156" s="423">
        <f t="shared" ca="1" si="521"/>
        <v>0</v>
      </c>
      <c r="HE156" s="423">
        <f t="shared" ca="1" si="521"/>
        <v>0</v>
      </c>
      <c r="HF156" s="423">
        <f t="shared" ca="1" si="521"/>
        <v>0</v>
      </c>
      <c r="HG156" s="423">
        <f t="shared" ca="1" si="521"/>
        <v>0</v>
      </c>
      <c r="HH156" s="423">
        <f t="shared" ca="1" si="521"/>
        <v>0</v>
      </c>
      <c r="HI156" s="423">
        <f t="shared" ref="HI156:HT171" ca="1" si="524">IFERROR(ROUNDDOWN(SUMIF($H156:$CC156,HI$11,$CD156:$EX156)/HI$10,0),0)</f>
        <v>0</v>
      </c>
      <c r="HJ156" s="423">
        <f t="shared" ca="1" si="522"/>
        <v>0</v>
      </c>
      <c r="HK156" s="423">
        <f t="shared" ca="1" si="522"/>
        <v>0</v>
      </c>
      <c r="HL156" s="423">
        <f t="shared" ca="1" si="522"/>
        <v>0</v>
      </c>
      <c r="HM156" s="423">
        <f t="shared" ca="1" si="522"/>
        <v>0</v>
      </c>
      <c r="HN156" s="423">
        <f t="shared" ca="1" si="522"/>
        <v>0</v>
      </c>
      <c r="HO156" s="423">
        <f t="shared" ca="1" si="522"/>
        <v>0</v>
      </c>
      <c r="HP156" s="423">
        <f t="shared" ca="1" si="522"/>
        <v>0</v>
      </c>
      <c r="HQ156" s="423">
        <f t="shared" ca="1" si="522"/>
        <v>0</v>
      </c>
      <c r="HR156" s="423">
        <f t="shared" ca="1" si="522"/>
        <v>0</v>
      </c>
      <c r="HS156" s="423">
        <f t="shared" ca="1" si="522"/>
        <v>0</v>
      </c>
      <c r="HT156" s="423">
        <f t="shared" ca="1" si="522"/>
        <v>0</v>
      </c>
      <c r="HU156" s="423"/>
      <c r="HV156" s="423"/>
    </row>
    <row r="157" spans="1:230" ht="11.25" customHeight="1" x14ac:dyDescent="0.2">
      <c r="A157" s="62">
        <f t="shared" si="516"/>
        <v>146</v>
      </c>
      <c r="B157" s="60">
        <f>Spaces_Sum!C202</f>
        <v>0</v>
      </c>
      <c r="C157" s="62" t="str">
        <f>Spaces_Sum!D202</f>
        <v>0</v>
      </c>
      <c r="D157" s="62" t="e">
        <f ca="1">Spaces_Sum!I202</f>
        <v>#N/A</v>
      </c>
      <c r="F157" s="110" t="e">
        <f ca="1">Spaces_Sum!M202</f>
        <v>#N/A</v>
      </c>
      <c r="G157" s="110" t="e">
        <f ca="1">Spaces_Sum!J202</f>
        <v>#N/A</v>
      </c>
      <c r="H157" s="532"/>
      <c r="I157" s="185"/>
      <c r="J157" s="185"/>
      <c r="K157" s="186"/>
      <c r="L157" s="187"/>
      <c r="M157" s="188"/>
      <c r="N157" s="189"/>
      <c r="O157" s="186"/>
      <c r="P157" s="187"/>
      <c r="Q157" s="188"/>
      <c r="R157" s="189"/>
      <c r="S157" s="186"/>
      <c r="T157" s="187"/>
      <c r="U157" s="188"/>
      <c r="V157" s="189"/>
      <c r="W157" s="186"/>
      <c r="X157" s="187"/>
      <c r="Y157" s="188"/>
      <c r="Z157" s="189"/>
      <c r="AA157" s="186"/>
      <c r="AB157" s="187"/>
      <c r="AC157" s="188"/>
      <c r="AD157" s="189"/>
      <c r="AE157" s="186"/>
      <c r="AF157" s="187"/>
      <c r="AG157" s="188"/>
      <c r="AH157" s="189"/>
      <c r="AI157" s="186"/>
      <c r="AJ157" s="187"/>
      <c r="AK157" s="188"/>
      <c r="AL157" s="189"/>
      <c r="AM157" s="186"/>
      <c r="AN157" s="187"/>
      <c r="AO157" s="188"/>
      <c r="AP157" s="189"/>
      <c r="AQ157" s="186"/>
      <c r="AR157" s="187"/>
      <c r="AS157" s="188"/>
      <c r="AT157" s="189"/>
      <c r="AU157" s="186"/>
      <c r="AV157" s="187"/>
      <c r="AW157" s="188"/>
      <c r="AX157" s="189"/>
      <c r="AY157" s="186"/>
      <c r="AZ157" s="187"/>
      <c r="BA157" s="188"/>
      <c r="BB157" s="189"/>
      <c r="BC157" s="186"/>
      <c r="BD157" s="187"/>
      <c r="BE157" s="188"/>
      <c r="BF157" s="189"/>
      <c r="BG157" s="186"/>
      <c r="BH157" s="187"/>
      <c r="BI157" s="188"/>
      <c r="BJ157" s="189"/>
      <c r="BK157" s="186"/>
      <c r="BL157" s="187"/>
      <c r="BM157" s="188"/>
      <c r="BN157" s="189"/>
      <c r="BO157" s="186"/>
      <c r="BP157" s="187"/>
      <c r="BQ157" s="188"/>
      <c r="BR157" s="189"/>
      <c r="BS157" s="186"/>
      <c r="BT157" s="187"/>
      <c r="BU157" s="188"/>
      <c r="BV157" s="189"/>
      <c r="BW157" s="186"/>
      <c r="BX157" s="187"/>
      <c r="BY157" s="188"/>
      <c r="BZ157" s="189"/>
      <c r="CA157" s="186"/>
      <c r="CB157" s="190"/>
      <c r="CC157" s="190"/>
      <c r="CD157" s="82">
        <f t="shared" si="428"/>
        <v>0</v>
      </c>
      <c r="CE157" s="82">
        <f t="shared" si="429"/>
        <v>0</v>
      </c>
      <c r="CF157" s="82">
        <f t="shared" si="430"/>
        <v>0</v>
      </c>
      <c r="CG157" s="82">
        <f t="shared" si="431"/>
        <v>0</v>
      </c>
      <c r="CH157" s="82">
        <f t="shared" si="432"/>
        <v>0</v>
      </c>
      <c r="CI157" s="82">
        <f t="shared" si="433"/>
        <v>0</v>
      </c>
      <c r="CJ157" s="82">
        <f t="shared" si="434"/>
        <v>0</v>
      </c>
      <c r="CK157" s="82">
        <f t="shared" si="435"/>
        <v>0</v>
      </c>
      <c r="CL157" s="82">
        <f t="shared" si="436"/>
        <v>0</v>
      </c>
      <c r="CM157" s="82">
        <f t="shared" si="437"/>
        <v>0</v>
      </c>
      <c r="CN157" s="82">
        <f t="shared" si="438"/>
        <v>0</v>
      </c>
      <c r="CO157" s="82">
        <f t="shared" si="439"/>
        <v>0</v>
      </c>
      <c r="CP157" s="82">
        <f t="shared" si="440"/>
        <v>0</v>
      </c>
      <c r="CQ157" s="82">
        <f t="shared" si="441"/>
        <v>0</v>
      </c>
      <c r="CR157" s="82">
        <f t="shared" si="442"/>
        <v>0</v>
      </c>
      <c r="CS157" s="82">
        <f t="shared" si="443"/>
        <v>0</v>
      </c>
      <c r="CT157" s="82">
        <f t="shared" si="444"/>
        <v>0</v>
      </c>
      <c r="CU157" s="82">
        <f t="shared" si="445"/>
        <v>0</v>
      </c>
      <c r="CV157" s="82">
        <f t="shared" si="446"/>
        <v>0</v>
      </c>
      <c r="CW157" s="82">
        <f t="shared" si="447"/>
        <v>0</v>
      </c>
      <c r="CX157" s="82">
        <f t="shared" si="448"/>
        <v>0</v>
      </c>
      <c r="CY157" s="82">
        <f t="shared" si="449"/>
        <v>0</v>
      </c>
      <c r="CZ157" s="82">
        <f t="shared" si="450"/>
        <v>0</v>
      </c>
      <c r="DA157" s="82">
        <f t="shared" si="451"/>
        <v>0</v>
      </c>
      <c r="DB157" s="82">
        <f t="shared" si="452"/>
        <v>0</v>
      </c>
      <c r="DC157" s="82">
        <f t="shared" si="453"/>
        <v>0</v>
      </c>
      <c r="DD157" s="82">
        <f t="shared" si="454"/>
        <v>0</v>
      </c>
      <c r="DE157" s="82">
        <f t="shared" si="455"/>
        <v>0</v>
      </c>
      <c r="DF157" s="82">
        <f t="shared" si="456"/>
        <v>0</v>
      </c>
      <c r="DG157" s="82">
        <f t="shared" si="457"/>
        <v>0</v>
      </c>
      <c r="DH157" s="82">
        <f t="shared" si="458"/>
        <v>0</v>
      </c>
      <c r="DI157" s="82">
        <f t="shared" si="459"/>
        <v>0</v>
      </c>
      <c r="DJ157" s="82">
        <f t="shared" si="460"/>
        <v>0</v>
      </c>
      <c r="DK157" s="82">
        <f t="shared" si="461"/>
        <v>0</v>
      </c>
      <c r="DL157" s="82">
        <f t="shared" si="462"/>
        <v>0</v>
      </c>
      <c r="DM157" s="82">
        <f t="shared" si="463"/>
        <v>0</v>
      </c>
      <c r="DN157" s="82">
        <f t="shared" si="464"/>
        <v>0</v>
      </c>
      <c r="DO157" s="82">
        <f t="shared" si="465"/>
        <v>0</v>
      </c>
      <c r="DP157" s="82">
        <f t="shared" si="466"/>
        <v>0</v>
      </c>
      <c r="DQ157" s="82">
        <f t="shared" si="467"/>
        <v>0</v>
      </c>
      <c r="DR157" s="82">
        <f t="shared" si="468"/>
        <v>0</v>
      </c>
      <c r="DS157" s="82">
        <f t="shared" si="469"/>
        <v>0</v>
      </c>
      <c r="DT157" s="82">
        <f t="shared" si="470"/>
        <v>0</v>
      </c>
      <c r="DU157" s="82">
        <f t="shared" si="471"/>
        <v>0</v>
      </c>
      <c r="DV157" s="82">
        <f t="shared" si="472"/>
        <v>0</v>
      </c>
      <c r="DW157" s="82">
        <f t="shared" si="473"/>
        <v>0</v>
      </c>
      <c r="DX157" s="82">
        <f t="shared" si="474"/>
        <v>0</v>
      </c>
      <c r="DY157" s="82">
        <f t="shared" si="475"/>
        <v>0</v>
      </c>
      <c r="DZ157" s="82">
        <f t="shared" si="476"/>
        <v>0</v>
      </c>
      <c r="EA157" s="82">
        <f t="shared" si="477"/>
        <v>0</v>
      </c>
      <c r="EB157" s="82">
        <f t="shared" si="478"/>
        <v>0</v>
      </c>
      <c r="EC157" s="82">
        <f t="shared" si="479"/>
        <v>0</v>
      </c>
      <c r="ED157" s="82">
        <f t="shared" si="480"/>
        <v>0</v>
      </c>
      <c r="EE157" s="82">
        <f t="shared" si="481"/>
        <v>0</v>
      </c>
      <c r="EF157" s="82">
        <f t="shared" si="482"/>
        <v>0</v>
      </c>
      <c r="EG157" s="82">
        <f t="shared" si="483"/>
        <v>0</v>
      </c>
      <c r="EH157" s="82">
        <f t="shared" si="484"/>
        <v>0</v>
      </c>
      <c r="EI157" s="82">
        <f t="shared" si="485"/>
        <v>0</v>
      </c>
      <c r="EJ157" s="82">
        <f t="shared" si="486"/>
        <v>0</v>
      </c>
      <c r="EK157" s="82">
        <f t="shared" si="487"/>
        <v>0</v>
      </c>
      <c r="EL157" s="82">
        <f t="shared" si="488"/>
        <v>0</v>
      </c>
      <c r="EM157" s="82">
        <f t="shared" si="489"/>
        <v>0</v>
      </c>
      <c r="EN157" s="82">
        <f t="shared" si="490"/>
        <v>0</v>
      </c>
      <c r="EO157" s="82">
        <f t="shared" si="491"/>
        <v>0</v>
      </c>
      <c r="EP157" s="82">
        <f t="shared" si="492"/>
        <v>0</v>
      </c>
      <c r="EQ157" s="82">
        <f t="shared" si="493"/>
        <v>0</v>
      </c>
      <c r="ER157" s="82">
        <f t="shared" si="494"/>
        <v>0</v>
      </c>
      <c r="ES157" s="82">
        <f t="shared" si="495"/>
        <v>0</v>
      </c>
      <c r="ET157" s="82">
        <f t="shared" si="496"/>
        <v>0</v>
      </c>
      <c r="EU157" s="82">
        <f t="shared" si="497"/>
        <v>0</v>
      </c>
      <c r="EV157" s="82">
        <f t="shared" si="498"/>
        <v>0</v>
      </c>
      <c r="EW157" s="82">
        <f t="shared" si="499"/>
        <v>0</v>
      </c>
      <c r="EX157" s="82">
        <f t="shared" si="500"/>
        <v>0</v>
      </c>
      <c r="EY157" s="111">
        <f t="shared" si="501"/>
        <v>0</v>
      </c>
      <c r="EZ157" s="143" t="e">
        <f t="shared" ca="1" si="502"/>
        <v>#N/A</v>
      </c>
      <c r="FA157" s="112" t="e">
        <f t="shared" ca="1" si="503"/>
        <v>#N/A</v>
      </c>
      <c r="FB157" s="113" t="e">
        <f t="shared" ca="1" si="504"/>
        <v>#N/A</v>
      </c>
      <c r="FC157" s="114" t="e">
        <f t="shared" ca="1" si="505"/>
        <v>#N/A</v>
      </c>
      <c r="FD157" s="115">
        <f t="shared" ca="1" si="506"/>
        <v>0</v>
      </c>
      <c r="FE157" s="116" t="e">
        <f t="shared" ca="1" si="507"/>
        <v>#N/A</v>
      </c>
      <c r="FF157" s="117" t="e">
        <f t="shared" ca="1" si="508"/>
        <v>#N/A</v>
      </c>
      <c r="FG157" s="71">
        <f t="shared" si="509"/>
        <v>0</v>
      </c>
      <c r="FH157" s="530" t="e">
        <f t="shared" ca="1" si="510"/>
        <v>#N/A</v>
      </c>
      <c r="FI157" s="72"/>
      <c r="FJ157" s="72"/>
      <c r="FK157" s="72"/>
      <c r="FM157" s="421">
        <f t="shared" si="511"/>
        <v>0</v>
      </c>
      <c r="FN157" s="422" t="e">
        <f t="shared" ca="1" si="512"/>
        <v>#N/A</v>
      </c>
      <c r="FO157" s="423">
        <f t="shared" ref="FO157:GD172" ca="1" si="525">IFERROR(ROUNDDOWN(SUMIF($H157:$CC157,FO$11,$CD157:$EX157)/FO$10,0),0)</f>
        <v>0</v>
      </c>
      <c r="FP157" s="423">
        <f t="shared" ca="1" si="525"/>
        <v>0</v>
      </c>
      <c r="FQ157" s="423">
        <f t="shared" ca="1" si="525"/>
        <v>0</v>
      </c>
      <c r="FR157" s="423">
        <f t="shared" ca="1" si="525"/>
        <v>0</v>
      </c>
      <c r="FS157" s="423">
        <f t="shared" ca="1" si="525"/>
        <v>0</v>
      </c>
      <c r="FT157" s="423">
        <f t="shared" ca="1" si="525"/>
        <v>0</v>
      </c>
      <c r="FU157" s="423">
        <f t="shared" ca="1" si="525"/>
        <v>0</v>
      </c>
      <c r="FV157" s="423">
        <f t="shared" ca="1" si="525"/>
        <v>0</v>
      </c>
      <c r="FW157" s="423">
        <f t="shared" ca="1" si="525"/>
        <v>0</v>
      </c>
      <c r="FX157" s="423">
        <f t="shared" ca="1" si="525"/>
        <v>0</v>
      </c>
      <c r="FY157" s="423">
        <f t="shared" ca="1" si="525"/>
        <v>0</v>
      </c>
      <c r="FZ157" s="423">
        <f t="shared" ca="1" si="525"/>
        <v>0</v>
      </c>
      <c r="GA157" s="423">
        <f t="shared" ca="1" si="525"/>
        <v>0</v>
      </c>
      <c r="GB157" s="423">
        <f t="shared" ca="1" si="525"/>
        <v>0</v>
      </c>
      <c r="GC157" s="423">
        <f t="shared" ca="1" si="525"/>
        <v>0</v>
      </c>
      <c r="GD157" s="423">
        <f t="shared" ca="1" si="525"/>
        <v>0</v>
      </c>
      <c r="GE157" s="423">
        <f t="shared" ca="1" si="523"/>
        <v>0</v>
      </c>
      <c r="GF157" s="423">
        <f t="shared" ca="1" si="523"/>
        <v>0</v>
      </c>
      <c r="GG157" s="423">
        <f t="shared" ca="1" si="523"/>
        <v>0</v>
      </c>
      <c r="GH157" s="423">
        <f t="shared" ca="1" si="523"/>
        <v>0</v>
      </c>
      <c r="GI157" s="423">
        <f t="shared" ca="1" si="523"/>
        <v>0</v>
      </c>
      <c r="GJ157" s="423">
        <f t="shared" ca="1" si="523"/>
        <v>0</v>
      </c>
      <c r="GK157" s="423">
        <f t="shared" ca="1" si="523"/>
        <v>0</v>
      </c>
      <c r="GL157" s="423">
        <f t="shared" ca="1" si="523"/>
        <v>0</v>
      </c>
      <c r="GM157" s="423">
        <f t="shared" ca="1" si="523"/>
        <v>0</v>
      </c>
      <c r="GN157" s="423">
        <f t="shared" ca="1" si="523"/>
        <v>0</v>
      </c>
      <c r="GO157" s="423">
        <f t="shared" ca="1" si="523"/>
        <v>0</v>
      </c>
      <c r="GP157" s="423">
        <f t="shared" ca="1" si="523"/>
        <v>0</v>
      </c>
      <c r="GQ157" s="423">
        <f t="shared" ca="1" si="523"/>
        <v>0</v>
      </c>
      <c r="GR157" s="423">
        <f t="shared" ca="1" si="523"/>
        <v>0</v>
      </c>
      <c r="GS157" s="423">
        <f t="shared" ca="1" si="521"/>
        <v>0</v>
      </c>
      <c r="GT157" s="423">
        <f t="shared" ca="1" si="521"/>
        <v>0</v>
      </c>
      <c r="GU157" s="423">
        <f t="shared" ca="1" si="521"/>
        <v>0</v>
      </c>
      <c r="GV157" s="423">
        <f t="shared" ca="1" si="521"/>
        <v>0</v>
      </c>
      <c r="GW157" s="423">
        <f t="shared" ca="1" si="521"/>
        <v>0</v>
      </c>
      <c r="GX157" s="423">
        <f t="shared" ca="1" si="521"/>
        <v>0</v>
      </c>
      <c r="GY157" s="423">
        <f t="shared" ca="1" si="521"/>
        <v>0</v>
      </c>
      <c r="GZ157" s="423">
        <f t="shared" ca="1" si="521"/>
        <v>0</v>
      </c>
      <c r="HA157" s="423">
        <f t="shared" ca="1" si="521"/>
        <v>0</v>
      </c>
      <c r="HB157" s="423">
        <f t="shared" ca="1" si="521"/>
        <v>0</v>
      </c>
      <c r="HC157" s="423">
        <f t="shared" ca="1" si="521"/>
        <v>0</v>
      </c>
      <c r="HD157" s="423">
        <f t="shared" ca="1" si="521"/>
        <v>0</v>
      </c>
      <c r="HE157" s="423">
        <f t="shared" ca="1" si="521"/>
        <v>0</v>
      </c>
      <c r="HF157" s="423">
        <f t="shared" ca="1" si="521"/>
        <v>0</v>
      </c>
      <c r="HG157" s="423">
        <f t="shared" ca="1" si="521"/>
        <v>0</v>
      </c>
      <c r="HH157" s="423">
        <f t="shared" ca="1" si="521"/>
        <v>0</v>
      </c>
      <c r="HI157" s="423">
        <f t="shared" ca="1" si="524"/>
        <v>0</v>
      </c>
      <c r="HJ157" s="423">
        <f t="shared" ca="1" si="522"/>
        <v>0</v>
      </c>
      <c r="HK157" s="423">
        <f t="shared" ca="1" si="522"/>
        <v>0</v>
      </c>
      <c r="HL157" s="423">
        <f t="shared" ca="1" si="522"/>
        <v>0</v>
      </c>
      <c r="HM157" s="423">
        <f t="shared" ca="1" si="522"/>
        <v>0</v>
      </c>
      <c r="HN157" s="423">
        <f t="shared" ca="1" si="522"/>
        <v>0</v>
      </c>
      <c r="HO157" s="423">
        <f t="shared" ca="1" si="522"/>
        <v>0</v>
      </c>
      <c r="HP157" s="423">
        <f t="shared" ca="1" si="522"/>
        <v>0</v>
      </c>
      <c r="HQ157" s="423">
        <f t="shared" ca="1" si="522"/>
        <v>0</v>
      </c>
      <c r="HR157" s="423">
        <f t="shared" ca="1" si="522"/>
        <v>0</v>
      </c>
      <c r="HS157" s="423">
        <f t="shared" ca="1" si="522"/>
        <v>0</v>
      </c>
      <c r="HT157" s="423">
        <f t="shared" ca="1" si="522"/>
        <v>0</v>
      </c>
      <c r="HU157" s="423"/>
      <c r="HV157" s="423"/>
    </row>
    <row r="158" spans="1:230" ht="11.25" customHeight="1" x14ac:dyDescent="0.2">
      <c r="A158" s="62">
        <f t="shared" si="516"/>
        <v>147</v>
      </c>
      <c r="B158" s="60">
        <f>Spaces_Sum!C203</f>
        <v>0</v>
      </c>
      <c r="C158" s="62" t="str">
        <f>Spaces_Sum!D203</f>
        <v>0</v>
      </c>
      <c r="D158" s="62" t="e">
        <f ca="1">Spaces_Sum!I203</f>
        <v>#N/A</v>
      </c>
      <c r="F158" s="110" t="e">
        <f ca="1">Spaces_Sum!M203</f>
        <v>#N/A</v>
      </c>
      <c r="G158" s="110" t="e">
        <f ca="1">Spaces_Sum!J203</f>
        <v>#N/A</v>
      </c>
      <c r="H158" s="532"/>
      <c r="I158" s="185"/>
      <c r="J158" s="185"/>
      <c r="K158" s="186"/>
      <c r="L158" s="187"/>
      <c r="M158" s="188"/>
      <c r="N158" s="189"/>
      <c r="O158" s="186"/>
      <c r="P158" s="187"/>
      <c r="Q158" s="188"/>
      <c r="R158" s="189"/>
      <c r="S158" s="186"/>
      <c r="T158" s="187"/>
      <c r="U158" s="188"/>
      <c r="V158" s="189"/>
      <c r="W158" s="186"/>
      <c r="X158" s="187"/>
      <c r="Y158" s="188"/>
      <c r="Z158" s="189"/>
      <c r="AA158" s="186"/>
      <c r="AB158" s="187"/>
      <c r="AC158" s="188"/>
      <c r="AD158" s="189"/>
      <c r="AE158" s="186"/>
      <c r="AF158" s="187"/>
      <c r="AG158" s="188"/>
      <c r="AH158" s="189"/>
      <c r="AI158" s="186"/>
      <c r="AJ158" s="187"/>
      <c r="AK158" s="188"/>
      <c r="AL158" s="189"/>
      <c r="AM158" s="186"/>
      <c r="AN158" s="187"/>
      <c r="AO158" s="188"/>
      <c r="AP158" s="189"/>
      <c r="AQ158" s="186"/>
      <c r="AR158" s="187"/>
      <c r="AS158" s="188"/>
      <c r="AT158" s="189"/>
      <c r="AU158" s="186"/>
      <c r="AV158" s="187"/>
      <c r="AW158" s="188"/>
      <c r="AX158" s="189"/>
      <c r="AY158" s="186"/>
      <c r="AZ158" s="187"/>
      <c r="BA158" s="188"/>
      <c r="BB158" s="189"/>
      <c r="BC158" s="186"/>
      <c r="BD158" s="187"/>
      <c r="BE158" s="188"/>
      <c r="BF158" s="189"/>
      <c r="BG158" s="186"/>
      <c r="BH158" s="187"/>
      <c r="BI158" s="188"/>
      <c r="BJ158" s="189"/>
      <c r="BK158" s="186"/>
      <c r="BL158" s="187"/>
      <c r="BM158" s="188"/>
      <c r="BN158" s="189"/>
      <c r="BO158" s="186"/>
      <c r="BP158" s="187"/>
      <c r="BQ158" s="188"/>
      <c r="BR158" s="189"/>
      <c r="BS158" s="186"/>
      <c r="BT158" s="187"/>
      <c r="BU158" s="188"/>
      <c r="BV158" s="189"/>
      <c r="BW158" s="186"/>
      <c r="BX158" s="187"/>
      <c r="BY158" s="188"/>
      <c r="BZ158" s="189"/>
      <c r="CA158" s="186"/>
      <c r="CB158" s="190"/>
      <c r="CC158" s="190"/>
      <c r="CD158" s="82">
        <f t="shared" si="428"/>
        <v>0</v>
      </c>
      <c r="CE158" s="82">
        <f t="shared" si="429"/>
        <v>0</v>
      </c>
      <c r="CF158" s="82">
        <f t="shared" si="430"/>
        <v>0</v>
      </c>
      <c r="CG158" s="82">
        <f t="shared" si="431"/>
        <v>0</v>
      </c>
      <c r="CH158" s="82">
        <f t="shared" si="432"/>
        <v>0</v>
      </c>
      <c r="CI158" s="82">
        <f t="shared" si="433"/>
        <v>0</v>
      </c>
      <c r="CJ158" s="82">
        <f t="shared" si="434"/>
        <v>0</v>
      </c>
      <c r="CK158" s="82">
        <f t="shared" si="435"/>
        <v>0</v>
      </c>
      <c r="CL158" s="82">
        <f t="shared" si="436"/>
        <v>0</v>
      </c>
      <c r="CM158" s="82">
        <f t="shared" si="437"/>
        <v>0</v>
      </c>
      <c r="CN158" s="82">
        <f t="shared" si="438"/>
        <v>0</v>
      </c>
      <c r="CO158" s="82">
        <f t="shared" si="439"/>
        <v>0</v>
      </c>
      <c r="CP158" s="82">
        <f t="shared" si="440"/>
        <v>0</v>
      </c>
      <c r="CQ158" s="82">
        <f t="shared" si="441"/>
        <v>0</v>
      </c>
      <c r="CR158" s="82">
        <f t="shared" si="442"/>
        <v>0</v>
      </c>
      <c r="CS158" s="82">
        <f t="shared" si="443"/>
        <v>0</v>
      </c>
      <c r="CT158" s="82">
        <f t="shared" si="444"/>
        <v>0</v>
      </c>
      <c r="CU158" s="82">
        <f t="shared" si="445"/>
        <v>0</v>
      </c>
      <c r="CV158" s="82">
        <f t="shared" si="446"/>
        <v>0</v>
      </c>
      <c r="CW158" s="82">
        <f t="shared" si="447"/>
        <v>0</v>
      </c>
      <c r="CX158" s="82">
        <f t="shared" si="448"/>
        <v>0</v>
      </c>
      <c r="CY158" s="82">
        <f t="shared" si="449"/>
        <v>0</v>
      </c>
      <c r="CZ158" s="82">
        <f t="shared" si="450"/>
        <v>0</v>
      </c>
      <c r="DA158" s="82">
        <f t="shared" si="451"/>
        <v>0</v>
      </c>
      <c r="DB158" s="82">
        <f t="shared" si="452"/>
        <v>0</v>
      </c>
      <c r="DC158" s="82">
        <f t="shared" si="453"/>
        <v>0</v>
      </c>
      <c r="DD158" s="82">
        <f t="shared" si="454"/>
        <v>0</v>
      </c>
      <c r="DE158" s="82">
        <f t="shared" si="455"/>
        <v>0</v>
      </c>
      <c r="DF158" s="82">
        <f t="shared" si="456"/>
        <v>0</v>
      </c>
      <c r="DG158" s="82">
        <f t="shared" si="457"/>
        <v>0</v>
      </c>
      <c r="DH158" s="82">
        <f t="shared" si="458"/>
        <v>0</v>
      </c>
      <c r="DI158" s="82">
        <f t="shared" si="459"/>
        <v>0</v>
      </c>
      <c r="DJ158" s="82">
        <f t="shared" si="460"/>
        <v>0</v>
      </c>
      <c r="DK158" s="82">
        <f t="shared" si="461"/>
        <v>0</v>
      </c>
      <c r="DL158" s="82">
        <f t="shared" si="462"/>
        <v>0</v>
      </c>
      <c r="DM158" s="82">
        <f t="shared" si="463"/>
        <v>0</v>
      </c>
      <c r="DN158" s="82">
        <f t="shared" si="464"/>
        <v>0</v>
      </c>
      <c r="DO158" s="82">
        <f t="shared" si="465"/>
        <v>0</v>
      </c>
      <c r="DP158" s="82">
        <f t="shared" si="466"/>
        <v>0</v>
      </c>
      <c r="DQ158" s="82">
        <f t="shared" si="467"/>
        <v>0</v>
      </c>
      <c r="DR158" s="82">
        <f t="shared" si="468"/>
        <v>0</v>
      </c>
      <c r="DS158" s="82">
        <f t="shared" si="469"/>
        <v>0</v>
      </c>
      <c r="DT158" s="82">
        <f t="shared" si="470"/>
        <v>0</v>
      </c>
      <c r="DU158" s="82">
        <f t="shared" si="471"/>
        <v>0</v>
      </c>
      <c r="DV158" s="82">
        <f t="shared" si="472"/>
        <v>0</v>
      </c>
      <c r="DW158" s="82">
        <f t="shared" si="473"/>
        <v>0</v>
      </c>
      <c r="DX158" s="82">
        <f t="shared" si="474"/>
        <v>0</v>
      </c>
      <c r="DY158" s="82">
        <f t="shared" si="475"/>
        <v>0</v>
      </c>
      <c r="DZ158" s="82">
        <f t="shared" si="476"/>
        <v>0</v>
      </c>
      <c r="EA158" s="82">
        <f t="shared" si="477"/>
        <v>0</v>
      </c>
      <c r="EB158" s="82">
        <f t="shared" si="478"/>
        <v>0</v>
      </c>
      <c r="EC158" s="82">
        <f t="shared" si="479"/>
        <v>0</v>
      </c>
      <c r="ED158" s="82">
        <f t="shared" si="480"/>
        <v>0</v>
      </c>
      <c r="EE158" s="82">
        <f t="shared" si="481"/>
        <v>0</v>
      </c>
      <c r="EF158" s="82">
        <f t="shared" si="482"/>
        <v>0</v>
      </c>
      <c r="EG158" s="82">
        <f t="shared" si="483"/>
        <v>0</v>
      </c>
      <c r="EH158" s="82">
        <f t="shared" si="484"/>
        <v>0</v>
      </c>
      <c r="EI158" s="82">
        <f t="shared" si="485"/>
        <v>0</v>
      </c>
      <c r="EJ158" s="82">
        <f t="shared" si="486"/>
        <v>0</v>
      </c>
      <c r="EK158" s="82">
        <f t="shared" si="487"/>
        <v>0</v>
      </c>
      <c r="EL158" s="82">
        <f t="shared" si="488"/>
        <v>0</v>
      </c>
      <c r="EM158" s="82">
        <f t="shared" si="489"/>
        <v>0</v>
      </c>
      <c r="EN158" s="82">
        <f t="shared" si="490"/>
        <v>0</v>
      </c>
      <c r="EO158" s="82">
        <f t="shared" si="491"/>
        <v>0</v>
      </c>
      <c r="EP158" s="82">
        <f t="shared" si="492"/>
        <v>0</v>
      </c>
      <c r="EQ158" s="82">
        <f t="shared" si="493"/>
        <v>0</v>
      </c>
      <c r="ER158" s="82">
        <f t="shared" si="494"/>
        <v>0</v>
      </c>
      <c r="ES158" s="82">
        <f t="shared" si="495"/>
        <v>0</v>
      </c>
      <c r="ET158" s="82">
        <f t="shared" si="496"/>
        <v>0</v>
      </c>
      <c r="EU158" s="82">
        <f t="shared" si="497"/>
        <v>0</v>
      </c>
      <c r="EV158" s="82">
        <f t="shared" si="498"/>
        <v>0</v>
      </c>
      <c r="EW158" s="82">
        <f t="shared" si="499"/>
        <v>0</v>
      </c>
      <c r="EX158" s="82">
        <f t="shared" si="500"/>
        <v>0</v>
      </c>
      <c r="EY158" s="111">
        <f t="shared" si="501"/>
        <v>0</v>
      </c>
      <c r="EZ158" s="143" t="e">
        <f t="shared" ca="1" si="502"/>
        <v>#N/A</v>
      </c>
      <c r="FA158" s="112" t="e">
        <f t="shared" ca="1" si="503"/>
        <v>#N/A</v>
      </c>
      <c r="FB158" s="113" t="e">
        <f t="shared" ca="1" si="504"/>
        <v>#N/A</v>
      </c>
      <c r="FC158" s="114" t="e">
        <f t="shared" ca="1" si="505"/>
        <v>#N/A</v>
      </c>
      <c r="FD158" s="115">
        <f t="shared" ca="1" si="506"/>
        <v>0</v>
      </c>
      <c r="FE158" s="116" t="e">
        <f t="shared" ca="1" si="507"/>
        <v>#N/A</v>
      </c>
      <c r="FF158" s="117" t="e">
        <f t="shared" ca="1" si="508"/>
        <v>#N/A</v>
      </c>
      <c r="FG158" s="71">
        <f t="shared" si="509"/>
        <v>0</v>
      </c>
      <c r="FH158" s="530" t="e">
        <f t="shared" ca="1" si="510"/>
        <v>#N/A</v>
      </c>
      <c r="FI158" s="72"/>
      <c r="FJ158" s="72"/>
      <c r="FK158" s="72"/>
      <c r="FM158" s="421">
        <f t="shared" si="511"/>
        <v>0</v>
      </c>
      <c r="FN158" s="422" t="e">
        <f t="shared" ca="1" si="512"/>
        <v>#N/A</v>
      </c>
      <c r="FO158" s="423">
        <f t="shared" ca="1" si="525"/>
        <v>0</v>
      </c>
      <c r="FP158" s="423">
        <f t="shared" ca="1" si="525"/>
        <v>0</v>
      </c>
      <c r="FQ158" s="423">
        <f t="shared" ca="1" si="525"/>
        <v>0</v>
      </c>
      <c r="FR158" s="423">
        <f t="shared" ca="1" si="525"/>
        <v>0</v>
      </c>
      <c r="FS158" s="423">
        <f t="shared" ca="1" si="525"/>
        <v>0</v>
      </c>
      <c r="FT158" s="423">
        <f t="shared" ca="1" si="525"/>
        <v>0</v>
      </c>
      <c r="FU158" s="423">
        <f t="shared" ca="1" si="525"/>
        <v>0</v>
      </c>
      <c r="FV158" s="423">
        <f t="shared" ca="1" si="525"/>
        <v>0</v>
      </c>
      <c r="FW158" s="423">
        <f t="shared" ca="1" si="525"/>
        <v>0</v>
      </c>
      <c r="FX158" s="423">
        <f t="shared" ca="1" si="525"/>
        <v>0</v>
      </c>
      <c r="FY158" s="423">
        <f t="shared" ca="1" si="525"/>
        <v>0</v>
      </c>
      <c r="FZ158" s="423">
        <f t="shared" ca="1" si="525"/>
        <v>0</v>
      </c>
      <c r="GA158" s="423">
        <f t="shared" ca="1" si="525"/>
        <v>0</v>
      </c>
      <c r="GB158" s="423">
        <f t="shared" ca="1" si="525"/>
        <v>0</v>
      </c>
      <c r="GC158" s="423">
        <f t="shared" ca="1" si="525"/>
        <v>0</v>
      </c>
      <c r="GD158" s="423">
        <f t="shared" ca="1" si="525"/>
        <v>0</v>
      </c>
      <c r="GE158" s="423">
        <f t="shared" ca="1" si="523"/>
        <v>0</v>
      </c>
      <c r="GF158" s="423">
        <f t="shared" ca="1" si="523"/>
        <v>0</v>
      </c>
      <c r="GG158" s="423">
        <f t="shared" ca="1" si="523"/>
        <v>0</v>
      </c>
      <c r="GH158" s="423">
        <f t="shared" ca="1" si="523"/>
        <v>0</v>
      </c>
      <c r="GI158" s="423">
        <f t="shared" ca="1" si="523"/>
        <v>0</v>
      </c>
      <c r="GJ158" s="423">
        <f t="shared" ca="1" si="523"/>
        <v>0</v>
      </c>
      <c r="GK158" s="423">
        <f t="shared" ca="1" si="523"/>
        <v>0</v>
      </c>
      <c r="GL158" s="423">
        <f t="shared" ca="1" si="523"/>
        <v>0</v>
      </c>
      <c r="GM158" s="423">
        <f t="shared" ca="1" si="523"/>
        <v>0</v>
      </c>
      <c r="GN158" s="423">
        <f t="shared" ca="1" si="523"/>
        <v>0</v>
      </c>
      <c r="GO158" s="423">
        <f t="shared" ca="1" si="523"/>
        <v>0</v>
      </c>
      <c r="GP158" s="423">
        <f t="shared" ca="1" si="523"/>
        <v>0</v>
      </c>
      <c r="GQ158" s="423">
        <f t="shared" ca="1" si="523"/>
        <v>0</v>
      </c>
      <c r="GR158" s="423">
        <f t="shared" ca="1" si="523"/>
        <v>0</v>
      </c>
      <c r="GS158" s="423">
        <f t="shared" ca="1" si="521"/>
        <v>0</v>
      </c>
      <c r="GT158" s="423">
        <f t="shared" ca="1" si="521"/>
        <v>0</v>
      </c>
      <c r="GU158" s="423">
        <f t="shared" ca="1" si="521"/>
        <v>0</v>
      </c>
      <c r="GV158" s="423">
        <f t="shared" ca="1" si="521"/>
        <v>0</v>
      </c>
      <c r="GW158" s="423">
        <f t="shared" ca="1" si="521"/>
        <v>0</v>
      </c>
      <c r="GX158" s="423">
        <f t="shared" ca="1" si="521"/>
        <v>0</v>
      </c>
      <c r="GY158" s="423">
        <f t="shared" ca="1" si="521"/>
        <v>0</v>
      </c>
      <c r="GZ158" s="423">
        <f t="shared" ca="1" si="521"/>
        <v>0</v>
      </c>
      <c r="HA158" s="423">
        <f t="shared" ca="1" si="521"/>
        <v>0</v>
      </c>
      <c r="HB158" s="423">
        <f t="shared" ca="1" si="521"/>
        <v>0</v>
      </c>
      <c r="HC158" s="423">
        <f t="shared" ca="1" si="521"/>
        <v>0</v>
      </c>
      <c r="HD158" s="423">
        <f t="shared" ca="1" si="521"/>
        <v>0</v>
      </c>
      <c r="HE158" s="423">
        <f t="shared" ca="1" si="521"/>
        <v>0</v>
      </c>
      <c r="HF158" s="423">
        <f t="shared" ca="1" si="521"/>
        <v>0</v>
      </c>
      <c r="HG158" s="423">
        <f t="shared" ca="1" si="521"/>
        <v>0</v>
      </c>
      <c r="HH158" s="423">
        <f t="shared" ca="1" si="521"/>
        <v>0</v>
      </c>
      <c r="HI158" s="423">
        <f t="shared" ca="1" si="524"/>
        <v>0</v>
      </c>
      <c r="HJ158" s="423">
        <f t="shared" ca="1" si="522"/>
        <v>0</v>
      </c>
      <c r="HK158" s="423">
        <f t="shared" ca="1" si="522"/>
        <v>0</v>
      </c>
      <c r="HL158" s="423">
        <f t="shared" ca="1" si="522"/>
        <v>0</v>
      </c>
      <c r="HM158" s="423">
        <f t="shared" ca="1" si="522"/>
        <v>0</v>
      </c>
      <c r="HN158" s="423">
        <f t="shared" ca="1" si="522"/>
        <v>0</v>
      </c>
      <c r="HO158" s="423">
        <f t="shared" ca="1" si="522"/>
        <v>0</v>
      </c>
      <c r="HP158" s="423">
        <f t="shared" ca="1" si="522"/>
        <v>0</v>
      </c>
      <c r="HQ158" s="423">
        <f t="shared" ca="1" si="522"/>
        <v>0</v>
      </c>
      <c r="HR158" s="423">
        <f t="shared" ca="1" si="522"/>
        <v>0</v>
      </c>
      <c r="HS158" s="423">
        <f t="shared" ca="1" si="522"/>
        <v>0</v>
      </c>
      <c r="HT158" s="423">
        <f t="shared" ca="1" si="522"/>
        <v>0</v>
      </c>
      <c r="HU158" s="423"/>
      <c r="HV158" s="423"/>
    </row>
    <row r="159" spans="1:230" ht="11.25" customHeight="1" x14ac:dyDescent="0.2">
      <c r="A159" s="62">
        <f t="shared" si="516"/>
        <v>148</v>
      </c>
      <c r="B159" s="60">
        <f>Spaces_Sum!C204</f>
        <v>0</v>
      </c>
      <c r="C159" s="62" t="str">
        <f>Spaces_Sum!D204</f>
        <v>0</v>
      </c>
      <c r="D159" s="62" t="e">
        <f ca="1">Spaces_Sum!I204</f>
        <v>#N/A</v>
      </c>
      <c r="F159" s="110" t="e">
        <f ca="1">Spaces_Sum!M204</f>
        <v>#N/A</v>
      </c>
      <c r="G159" s="110" t="e">
        <f ca="1">Spaces_Sum!J204</f>
        <v>#N/A</v>
      </c>
      <c r="H159" s="532"/>
      <c r="I159" s="185"/>
      <c r="J159" s="185"/>
      <c r="K159" s="186"/>
      <c r="L159" s="187"/>
      <c r="M159" s="188"/>
      <c r="N159" s="189"/>
      <c r="O159" s="186"/>
      <c r="P159" s="187"/>
      <c r="Q159" s="188"/>
      <c r="R159" s="189"/>
      <c r="S159" s="186"/>
      <c r="T159" s="187"/>
      <c r="U159" s="188"/>
      <c r="V159" s="189"/>
      <c r="W159" s="186"/>
      <c r="X159" s="187"/>
      <c r="Y159" s="188"/>
      <c r="Z159" s="189"/>
      <c r="AA159" s="186"/>
      <c r="AB159" s="187"/>
      <c r="AC159" s="188"/>
      <c r="AD159" s="189"/>
      <c r="AE159" s="186"/>
      <c r="AF159" s="187"/>
      <c r="AG159" s="188"/>
      <c r="AH159" s="189"/>
      <c r="AI159" s="186"/>
      <c r="AJ159" s="187"/>
      <c r="AK159" s="188"/>
      <c r="AL159" s="189"/>
      <c r="AM159" s="186"/>
      <c r="AN159" s="187"/>
      <c r="AO159" s="188"/>
      <c r="AP159" s="189"/>
      <c r="AQ159" s="186"/>
      <c r="AR159" s="187"/>
      <c r="AS159" s="188"/>
      <c r="AT159" s="189"/>
      <c r="AU159" s="186"/>
      <c r="AV159" s="187"/>
      <c r="AW159" s="188"/>
      <c r="AX159" s="189"/>
      <c r="AY159" s="186"/>
      <c r="AZ159" s="187"/>
      <c r="BA159" s="188"/>
      <c r="BB159" s="189"/>
      <c r="BC159" s="186"/>
      <c r="BD159" s="187"/>
      <c r="BE159" s="188"/>
      <c r="BF159" s="189"/>
      <c r="BG159" s="186"/>
      <c r="BH159" s="187"/>
      <c r="BI159" s="188"/>
      <c r="BJ159" s="189"/>
      <c r="BK159" s="186"/>
      <c r="BL159" s="187"/>
      <c r="BM159" s="188"/>
      <c r="BN159" s="189"/>
      <c r="BO159" s="186"/>
      <c r="BP159" s="187"/>
      <c r="BQ159" s="188"/>
      <c r="BR159" s="189"/>
      <c r="BS159" s="186"/>
      <c r="BT159" s="187"/>
      <c r="BU159" s="188"/>
      <c r="BV159" s="189"/>
      <c r="BW159" s="186"/>
      <c r="BX159" s="187"/>
      <c r="BY159" s="188"/>
      <c r="BZ159" s="189"/>
      <c r="CA159" s="186"/>
      <c r="CB159" s="190"/>
      <c r="CC159" s="190"/>
      <c r="CD159" s="82">
        <f t="shared" si="428"/>
        <v>0</v>
      </c>
      <c r="CE159" s="82">
        <f t="shared" si="429"/>
        <v>0</v>
      </c>
      <c r="CF159" s="82">
        <f t="shared" si="430"/>
        <v>0</v>
      </c>
      <c r="CG159" s="82">
        <f t="shared" si="431"/>
        <v>0</v>
      </c>
      <c r="CH159" s="82">
        <f t="shared" si="432"/>
        <v>0</v>
      </c>
      <c r="CI159" s="82">
        <f t="shared" si="433"/>
        <v>0</v>
      </c>
      <c r="CJ159" s="82">
        <f t="shared" si="434"/>
        <v>0</v>
      </c>
      <c r="CK159" s="82">
        <f t="shared" si="435"/>
        <v>0</v>
      </c>
      <c r="CL159" s="82">
        <f t="shared" si="436"/>
        <v>0</v>
      </c>
      <c r="CM159" s="82">
        <f t="shared" si="437"/>
        <v>0</v>
      </c>
      <c r="CN159" s="82">
        <f t="shared" si="438"/>
        <v>0</v>
      </c>
      <c r="CO159" s="82">
        <f t="shared" si="439"/>
        <v>0</v>
      </c>
      <c r="CP159" s="82">
        <f t="shared" si="440"/>
        <v>0</v>
      </c>
      <c r="CQ159" s="82">
        <f t="shared" si="441"/>
        <v>0</v>
      </c>
      <c r="CR159" s="82">
        <f t="shared" si="442"/>
        <v>0</v>
      </c>
      <c r="CS159" s="82">
        <f t="shared" si="443"/>
        <v>0</v>
      </c>
      <c r="CT159" s="82">
        <f t="shared" si="444"/>
        <v>0</v>
      </c>
      <c r="CU159" s="82">
        <f t="shared" si="445"/>
        <v>0</v>
      </c>
      <c r="CV159" s="82">
        <f t="shared" si="446"/>
        <v>0</v>
      </c>
      <c r="CW159" s="82">
        <f t="shared" si="447"/>
        <v>0</v>
      </c>
      <c r="CX159" s="82">
        <f t="shared" si="448"/>
        <v>0</v>
      </c>
      <c r="CY159" s="82">
        <f t="shared" si="449"/>
        <v>0</v>
      </c>
      <c r="CZ159" s="82">
        <f t="shared" si="450"/>
        <v>0</v>
      </c>
      <c r="DA159" s="82">
        <f t="shared" si="451"/>
        <v>0</v>
      </c>
      <c r="DB159" s="82">
        <f t="shared" si="452"/>
        <v>0</v>
      </c>
      <c r="DC159" s="82">
        <f t="shared" si="453"/>
        <v>0</v>
      </c>
      <c r="DD159" s="82">
        <f t="shared" si="454"/>
        <v>0</v>
      </c>
      <c r="DE159" s="82">
        <f t="shared" si="455"/>
        <v>0</v>
      </c>
      <c r="DF159" s="82">
        <f t="shared" si="456"/>
        <v>0</v>
      </c>
      <c r="DG159" s="82">
        <f t="shared" si="457"/>
        <v>0</v>
      </c>
      <c r="DH159" s="82">
        <f t="shared" si="458"/>
        <v>0</v>
      </c>
      <c r="DI159" s="82">
        <f t="shared" si="459"/>
        <v>0</v>
      </c>
      <c r="DJ159" s="82">
        <f t="shared" si="460"/>
        <v>0</v>
      </c>
      <c r="DK159" s="82">
        <f t="shared" si="461"/>
        <v>0</v>
      </c>
      <c r="DL159" s="82">
        <f t="shared" si="462"/>
        <v>0</v>
      </c>
      <c r="DM159" s="82">
        <f t="shared" si="463"/>
        <v>0</v>
      </c>
      <c r="DN159" s="82">
        <f t="shared" si="464"/>
        <v>0</v>
      </c>
      <c r="DO159" s="82">
        <f t="shared" si="465"/>
        <v>0</v>
      </c>
      <c r="DP159" s="82">
        <f t="shared" si="466"/>
        <v>0</v>
      </c>
      <c r="DQ159" s="82">
        <f t="shared" si="467"/>
        <v>0</v>
      </c>
      <c r="DR159" s="82">
        <f t="shared" si="468"/>
        <v>0</v>
      </c>
      <c r="DS159" s="82">
        <f t="shared" si="469"/>
        <v>0</v>
      </c>
      <c r="DT159" s="82">
        <f t="shared" si="470"/>
        <v>0</v>
      </c>
      <c r="DU159" s="82">
        <f t="shared" si="471"/>
        <v>0</v>
      </c>
      <c r="DV159" s="82">
        <f t="shared" si="472"/>
        <v>0</v>
      </c>
      <c r="DW159" s="82">
        <f t="shared" si="473"/>
        <v>0</v>
      </c>
      <c r="DX159" s="82">
        <f t="shared" si="474"/>
        <v>0</v>
      </c>
      <c r="DY159" s="82">
        <f t="shared" si="475"/>
        <v>0</v>
      </c>
      <c r="DZ159" s="82">
        <f t="shared" si="476"/>
        <v>0</v>
      </c>
      <c r="EA159" s="82">
        <f t="shared" si="477"/>
        <v>0</v>
      </c>
      <c r="EB159" s="82">
        <f t="shared" si="478"/>
        <v>0</v>
      </c>
      <c r="EC159" s="82">
        <f t="shared" si="479"/>
        <v>0</v>
      </c>
      <c r="ED159" s="82">
        <f t="shared" si="480"/>
        <v>0</v>
      </c>
      <c r="EE159" s="82">
        <f t="shared" si="481"/>
        <v>0</v>
      </c>
      <c r="EF159" s="82">
        <f t="shared" si="482"/>
        <v>0</v>
      </c>
      <c r="EG159" s="82">
        <f t="shared" si="483"/>
        <v>0</v>
      </c>
      <c r="EH159" s="82">
        <f t="shared" si="484"/>
        <v>0</v>
      </c>
      <c r="EI159" s="82">
        <f t="shared" si="485"/>
        <v>0</v>
      </c>
      <c r="EJ159" s="82">
        <f t="shared" si="486"/>
        <v>0</v>
      </c>
      <c r="EK159" s="82">
        <f t="shared" si="487"/>
        <v>0</v>
      </c>
      <c r="EL159" s="82">
        <f t="shared" si="488"/>
        <v>0</v>
      </c>
      <c r="EM159" s="82">
        <f t="shared" si="489"/>
        <v>0</v>
      </c>
      <c r="EN159" s="82">
        <f t="shared" si="490"/>
        <v>0</v>
      </c>
      <c r="EO159" s="82">
        <f t="shared" si="491"/>
        <v>0</v>
      </c>
      <c r="EP159" s="82">
        <f t="shared" si="492"/>
        <v>0</v>
      </c>
      <c r="EQ159" s="82">
        <f t="shared" si="493"/>
        <v>0</v>
      </c>
      <c r="ER159" s="82">
        <f t="shared" si="494"/>
        <v>0</v>
      </c>
      <c r="ES159" s="82">
        <f t="shared" si="495"/>
        <v>0</v>
      </c>
      <c r="ET159" s="82">
        <f t="shared" si="496"/>
        <v>0</v>
      </c>
      <c r="EU159" s="82">
        <f t="shared" si="497"/>
        <v>0</v>
      </c>
      <c r="EV159" s="82">
        <f t="shared" si="498"/>
        <v>0</v>
      </c>
      <c r="EW159" s="82">
        <f t="shared" si="499"/>
        <v>0</v>
      </c>
      <c r="EX159" s="82">
        <f t="shared" si="500"/>
        <v>0</v>
      </c>
      <c r="EY159" s="111">
        <f t="shared" si="501"/>
        <v>0</v>
      </c>
      <c r="EZ159" s="143" t="e">
        <f t="shared" ca="1" si="502"/>
        <v>#N/A</v>
      </c>
      <c r="FA159" s="112" t="e">
        <f t="shared" ca="1" si="503"/>
        <v>#N/A</v>
      </c>
      <c r="FB159" s="113" t="e">
        <f t="shared" ca="1" si="504"/>
        <v>#N/A</v>
      </c>
      <c r="FC159" s="114" t="e">
        <f t="shared" ca="1" si="505"/>
        <v>#N/A</v>
      </c>
      <c r="FD159" s="115">
        <f t="shared" ca="1" si="506"/>
        <v>0</v>
      </c>
      <c r="FE159" s="116" t="e">
        <f t="shared" ca="1" si="507"/>
        <v>#N/A</v>
      </c>
      <c r="FF159" s="117" t="e">
        <f t="shared" ca="1" si="508"/>
        <v>#N/A</v>
      </c>
      <c r="FG159" s="71">
        <f t="shared" si="509"/>
        <v>0</v>
      </c>
      <c r="FH159" s="530" t="e">
        <f t="shared" ca="1" si="510"/>
        <v>#N/A</v>
      </c>
      <c r="FI159" s="72"/>
      <c r="FJ159" s="72"/>
      <c r="FK159" s="72"/>
      <c r="FM159" s="421">
        <f t="shared" si="511"/>
        <v>0</v>
      </c>
      <c r="FN159" s="422" t="e">
        <f t="shared" ca="1" si="512"/>
        <v>#N/A</v>
      </c>
      <c r="FO159" s="423">
        <f t="shared" ca="1" si="525"/>
        <v>0</v>
      </c>
      <c r="FP159" s="423">
        <f t="shared" ca="1" si="525"/>
        <v>0</v>
      </c>
      <c r="FQ159" s="423">
        <f t="shared" ca="1" si="525"/>
        <v>0</v>
      </c>
      <c r="FR159" s="423">
        <f t="shared" ca="1" si="525"/>
        <v>0</v>
      </c>
      <c r="FS159" s="423">
        <f t="shared" ca="1" si="525"/>
        <v>0</v>
      </c>
      <c r="FT159" s="423">
        <f t="shared" ca="1" si="525"/>
        <v>0</v>
      </c>
      <c r="FU159" s="423">
        <f t="shared" ca="1" si="525"/>
        <v>0</v>
      </c>
      <c r="FV159" s="423">
        <f t="shared" ca="1" si="525"/>
        <v>0</v>
      </c>
      <c r="FW159" s="423">
        <f t="shared" ca="1" si="525"/>
        <v>0</v>
      </c>
      <c r="FX159" s="423">
        <f t="shared" ca="1" si="525"/>
        <v>0</v>
      </c>
      <c r="FY159" s="423">
        <f t="shared" ca="1" si="525"/>
        <v>0</v>
      </c>
      <c r="FZ159" s="423">
        <f t="shared" ca="1" si="525"/>
        <v>0</v>
      </c>
      <c r="GA159" s="423">
        <f t="shared" ca="1" si="525"/>
        <v>0</v>
      </c>
      <c r="GB159" s="423">
        <f t="shared" ca="1" si="525"/>
        <v>0</v>
      </c>
      <c r="GC159" s="423">
        <f t="shared" ca="1" si="525"/>
        <v>0</v>
      </c>
      <c r="GD159" s="423">
        <f t="shared" ca="1" si="525"/>
        <v>0</v>
      </c>
      <c r="GE159" s="423">
        <f t="shared" ca="1" si="523"/>
        <v>0</v>
      </c>
      <c r="GF159" s="423">
        <f t="shared" ca="1" si="523"/>
        <v>0</v>
      </c>
      <c r="GG159" s="423">
        <f t="shared" ca="1" si="523"/>
        <v>0</v>
      </c>
      <c r="GH159" s="423">
        <f t="shared" ca="1" si="523"/>
        <v>0</v>
      </c>
      <c r="GI159" s="423">
        <f t="shared" ca="1" si="523"/>
        <v>0</v>
      </c>
      <c r="GJ159" s="423">
        <f t="shared" ca="1" si="523"/>
        <v>0</v>
      </c>
      <c r="GK159" s="423">
        <f t="shared" ca="1" si="523"/>
        <v>0</v>
      </c>
      <c r="GL159" s="423">
        <f t="shared" ca="1" si="523"/>
        <v>0</v>
      </c>
      <c r="GM159" s="423">
        <f t="shared" ca="1" si="523"/>
        <v>0</v>
      </c>
      <c r="GN159" s="423">
        <f t="shared" ca="1" si="523"/>
        <v>0</v>
      </c>
      <c r="GO159" s="423">
        <f t="shared" ca="1" si="523"/>
        <v>0</v>
      </c>
      <c r="GP159" s="423">
        <f t="shared" ca="1" si="523"/>
        <v>0</v>
      </c>
      <c r="GQ159" s="423">
        <f t="shared" ca="1" si="523"/>
        <v>0</v>
      </c>
      <c r="GR159" s="423">
        <f t="shared" ca="1" si="523"/>
        <v>0</v>
      </c>
      <c r="GS159" s="423">
        <f t="shared" ca="1" si="521"/>
        <v>0</v>
      </c>
      <c r="GT159" s="423">
        <f t="shared" ca="1" si="521"/>
        <v>0</v>
      </c>
      <c r="GU159" s="423">
        <f t="shared" ca="1" si="521"/>
        <v>0</v>
      </c>
      <c r="GV159" s="423">
        <f t="shared" ca="1" si="521"/>
        <v>0</v>
      </c>
      <c r="GW159" s="423">
        <f t="shared" ca="1" si="521"/>
        <v>0</v>
      </c>
      <c r="GX159" s="423">
        <f t="shared" ca="1" si="521"/>
        <v>0</v>
      </c>
      <c r="GY159" s="423">
        <f t="shared" ca="1" si="521"/>
        <v>0</v>
      </c>
      <c r="GZ159" s="423">
        <f t="shared" ca="1" si="521"/>
        <v>0</v>
      </c>
      <c r="HA159" s="423">
        <f t="shared" ca="1" si="521"/>
        <v>0</v>
      </c>
      <c r="HB159" s="423">
        <f t="shared" ca="1" si="521"/>
        <v>0</v>
      </c>
      <c r="HC159" s="423">
        <f t="shared" ca="1" si="521"/>
        <v>0</v>
      </c>
      <c r="HD159" s="423">
        <f t="shared" ca="1" si="521"/>
        <v>0</v>
      </c>
      <c r="HE159" s="423">
        <f t="shared" ca="1" si="521"/>
        <v>0</v>
      </c>
      <c r="HF159" s="423">
        <f t="shared" ca="1" si="521"/>
        <v>0</v>
      </c>
      <c r="HG159" s="423">
        <f t="shared" ca="1" si="521"/>
        <v>0</v>
      </c>
      <c r="HH159" s="423">
        <f t="shared" ca="1" si="521"/>
        <v>0</v>
      </c>
      <c r="HI159" s="423">
        <f t="shared" ca="1" si="524"/>
        <v>0</v>
      </c>
      <c r="HJ159" s="423">
        <f t="shared" ca="1" si="522"/>
        <v>0</v>
      </c>
      <c r="HK159" s="423">
        <f t="shared" ca="1" si="522"/>
        <v>0</v>
      </c>
      <c r="HL159" s="423">
        <f t="shared" ca="1" si="522"/>
        <v>0</v>
      </c>
      <c r="HM159" s="423">
        <f t="shared" ca="1" si="522"/>
        <v>0</v>
      </c>
      <c r="HN159" s="423">
        <f t="shared" ca="1" si="522"/>
        <v>0</v>
      </c>
      <c r="HO159" s="423">
        <f t="shared" ca="1" si="522"/>
        <v>0</v>
      </c>
      <c r="HP159" s="423">
        <f t="shared" ca="1" si="522"/>
        <v>0</v>
      </c>
      <c r="HQ159" s="423">
        <f t="shared" ca="1" si="522"/>
        <v>0</v>
      </c>
      <c r="HR159" s="423">
        <f t="shared" ca="1" si="522"/>
        <v>0</v>
      </c>
      <c r="HS159" s="423">
        <f t="shared" ca="1" si="522"/>
        <v>0</v>
      </c>
      <c r="HT159" s="423">
        <f t="shared" ca="1" si="522"/>
        <v>0</v>
      </c>
      <c r="HU159" s="423"/>
      <c r="HV159" s="423"/>
    </row>
    <row r="160" spans="1:230" ht="11.25" customHeight="1" x14ac:dyDescent="0.2">
      <c r="A160" s="62">
        <f t="shared" si="516"/>
        <v>149</v>
      </c>
      <c r="B160" s="60">
        <f>Spaces_Sum!C205</f>
        <v>0</v>
      </c>
      <c r="C160" s="62" t="str">
        <f>Spaces_Sum!D205</f>
        <v>0</v>
      </c>
      <c r="D160" s="62" t="e">
        <f ca="1">Spaces_Sum!I205</f>
        <v>#N/A</v>
      </c>
      <c r="F160" s="110" t="e">
        <f ca="1">Spaces_Sum!M205</f>
        <v>#N/A</v>
      </c>
      <c r="G160" s="110" t="e">
        <f ca="1">Spaces_Sum!J205</f>
        <v>#N/A</v>
      </c>
      <c r="H160" s="532"/>
      <c r="I160" s="185"/>
      <c r="J160" s="185"/>
      <c r="K160" s="186"/>
      <c r="L160" s="187"/>
      <c r="M160" s="188"/>
      <c r="N160" s="189"/>
      <c r="O160" s="186"/>
      <c r="P160" s="187"/>
      <c r="Q160" s="188"/>
      <c r="R160" s="189"/>
      <c r="S160" s="186"/>
      <c r="T160" s="187"/>
      <c r="U160" s="188"/>
      <c r="V160" s="189"/>
      <c r="W160" s="186"/>
      <c r="X160" s="187"/>
      <c r="Y160" s="188"/>
      <c r="Z160" s="189"/>
      <c r="AA160" s="186"/>
      <c r="AB160" s="187"/>
      <c r="AC160" s="188"/>
      <c r="AD160" s="189"/>
      <c r="AE160" s="186"/>
      <c r="AF160" s="187"/>
      <c r="AG160" s="188"/>
      <c r="AH160" s="189"/>
      <c r="AI160" s="186"/>
      <c r="AJ160" s="187"/>
      <c r="AK160" s="188"/>
      <c r="AL160" s="189"/>
      <c r="AM160" s="186"/>
      <c r="AN160" s="187"/>
      <c r="AO160" s="188"/>
      <c r="AP160" s="189"/>
      <c r="AQ160" s="186"/>
      <c r="AR160" s="187"/>
      <c r="AS160" s="188"/>
      <c r="AT160" s="189"/>
      <c r="AU160" s="186"/>
      <c r="AV160" s="187"/>
      <c r="AW160" s="188"/>
      <c r="AX160" s="189"/>
      <c r="AY160" s="186"/>
      <c r="AZ160" s="187"/>
      <c r="BA160" s="188"/>
      <c r="BB160" s="189"/>
      <c r="BC160" s="186"/>
      <c r="BD160" s="187"/>
      <c r="BE160" s="188"/>
      <c r="BF160" s="189"/>
      <c r="BG160" s="186"/>
      <c r="BH160" s="187"/>
      <c r="BI160" s="188"/>
      <c r="BJ160" s="189"/>
      <c r="BK160" s="186"/>
      <c r="BL160" s="187"/>
      <c r="BM160" s="188"/>
      <c r="BN160" s="189"/>
      <c r="BO160" s="186"/>
      <c r="BP160" s="187"/>
      <c r="BQ160" s="188"/>
      <c r="BR160" s="189"/>
      <c r="BS160" s="186"/>
      <c r="BT160" s="187"/>
      <c r="BU160" s="188"/>
      <c r="BV160" s="189"/>
      <c r="BW160" s="186"/>
      <c r="BX160" s="187"/>
      <c r="BY160" s="188"/>
      <c r="BZ160" s="189"/>
      <c r="CA160" s="186"/>
      <c r="CB160" s="190"/>
      <c r="CC160" s="190"/>
      <c r="CD160" s="82">
        <f t="shared" si="428"/>
        <v>0</v>
      </c>
      <c r="CE160" s="82">
        <f t="shared" si="429"/>
        <v>0</v>
      </c>
      <c r="CF160" s="82">
        <f t="shared" si="430"/>
        <v>0</v>
      </c>
      <c r="CG160" s="82">
        <f t="shared" si="431"/>
        <v>0</v>
      </c>
      <c r="CH160" s="82">
        <f t="shared" si="432"/>
        <v>0</v>
      </c>
      <c r="CI160" s="82">
        <f t="shared" si="433"/>
        <v>0</v>
      </c>
      <c r="CJ160" s="82">
        <f t="shared" si="434"/>
        <v>0</v>
      </c>
      <c r="CK160" s="82">
        <f t="shared" si="435"/>
        <v>0</v>
      </c>
      <c r="CL160" s="82">
        <f t="shared" si="436"/>
        <v>0</v>
      </c>
      <c r="CM160" s="82">
        <f t="shared" si="437"/>
        <v>0</v>
      </c>
      <c r="CN160" s="82">
        <f t="shared" si="438"/>
        <v>0</v>
      </c>
      <c r="CO160" s="82">
        <f t="shared" si="439"/>
        <v>0</v>
      </c>
      <c r="CP160" s="82">
        <f t="shared" si="440"/>
        <v>0</v>
      </c>
      <c r="CQ160" s="82">
        <f t="shared" si="441"/>
        <v>0</v>
      </c>
      <c r="CR160" s="82">
        <f t="shared" si="442"/>
        <v>0</v>
      </c>
      <c r="CS160" s="82">
        <f t="shared" si="443"/>
        <v>0</v>
      </c>
      <c r="CT160" s="82">
        <f t="shared" si="444"/>
        <v>0</v>
      </c>
      <c r="CU160" s="82">
        <f t="shared" si="445"/>
        <v>0</v>
      </c>
      <c r="CV160" s="82">
        <f t="shared" si="446"/>
        <v>0</v>
      </c>
      <c r="CW160" s="82">
        <f t="shared" si="447"/>
        <v>0</v>
      </c>
      <c r="CX160" s="82">
        <f t="shared" si="448"/>
        <v>0</v>
      </c>
      <c r="CY160" s="82">
        <f t="shared" si="449"/>
        <v>0</v>
      </c>
      <c r="CZ160" s="82">
        <f t="shared" si="450"/>
        <v>0</v>
      </c>
      <c r="DA160" s="82">
        <f t="shared" si="451"/>
        <v>0</v>
      </c>
      <c r="DB160" s="82">
        <f t="shared" si="452"/>
        <v>0</v>
      </c>
      <c r="DC160" s="82">
        <f t="shared" si="453"/>
        <v>0</v>
      </c>
      <c r="DD160" s="82">
        <f t="shared" si="454"/>
        <v>0</v>
      </c>
      <c r="DE160" s="82">
        <f t="shared" si="455"/>
        <v>0</v>
      </c>
      <c r="DF160" s="82">
        <f t="shared" si="456"/>
        <v>0</v>
      </c>
      <c r="DG160" s="82">
        <f t="shared" si="457"/>
        <v>0</v>
      </c>
      <c r="DH160" s="82">
        <f t="shared" si="458"/>
        <v>0</v>
      </c>
      <c r="DI160" s="82">
        <f t="shared" si="459"/>
        <v>0</v>
      </c>
      <c r="DJ160" s="82">
        <f t="shared" si="460"/>
        <v>0</v>
      </c>
      <c r="DK160" s="82">
        <f t="shared" si="461"/>
        <v>0</v>
      </c>
      <c r="DL160" s="82">
        <f t="shared" si="462"/>
        <v>0</v>
      </c>
      <c r="DM160" s="82">
        <f t="shared" si="463"/>
        <v>0</v>
      </c>
      <c r="DN160" s="82">
        <f t="shared" si="464"/>
        <v>0</v>
      </c>
      <c r="DO160" s="82">
        <f t="shared" si="465"/>
        <v>0</v>
      </c>
      <c r="DP160" s="82">
        <f t="shared" si="466"/>
        <v>0</v>
      </c>
      <c r="DQ160" s="82">
        <f t="shared" si="467"/>
        <v>0</v>
      </c>
      <c r="DR160" s="82">
        <f t="shared" si="468"/>
        <v>0</v>
      </c>
      <c r="DS160" s="82">
        <f t="shared" si="469"/>
        <v>0</v>
      </c>
      <c r="DT160" s="82">
        <f t="shared" si="470"/>
        <v>0</v>
      </c>
      <c r="DU160" s="82">
        <f t="shared" si="471"/>
        <v>0</v>
      </c>
      <c r="DV160" s="82">
        <f t="shared" si="472"/>
        <v>0</v>
      </c>
      <c r="DW160" s="82">
        <f t="shared" si="473"/>
        <v>0</v>
      </c>
      <c r="DX160" s="82">
        <f t="shared" si="474"/>
        <v>0</v>
      </c>
      <c r="DY160" s="82">
        <f t="shared" si="475"/>
        <v>0</v>
      </c>
      <c r="DZ160" s="82">
        <f t="shared" si="476"/>
        <v>0</v>
      </c>
      <c r="EA160" s="82">
        <f t="shared" si="477"/>
        <v>0</v>
      </c>
      <c r="EB160" s="82">
        <f t="shared" si="478"/>
        <v>0</v>
      </c>
      <c r="EC160" s="82">
        <f t="shared" si="479"/>
        <v>0</v>
      </c>
      <c r="ED160" s="82">
        <f t="shared" si="480"/>
        <v>0</v>
      </c>
      <c r="EE160" s="82">
        <f t="shared" si="481"/>
        <v>0</v>
      </c>
      <c r="EF160" s="82">
        <f t="shared" si="482"/>
        <v>0</v>
      </c>
      <c r="EG160" s="82">
        <f t="shared" si="483"/>
        <v>0</v>
      </c>
      <c r="EH160" s="82">
        <f t="shared" si="484"/>
        <v>0</v>
      </c>
      <c r="EI160" s="82">
        <f t="shared" si="485"/>
        <v>0</v>
      </c>
      <c r="EJ160" s="82">
        <f t="shared" si="486"/>
        <v>0</v>
      </c>
      <c r="EK160" s="82">
        <f t="shared" si="487"/>
        <v>0</v>
      </c>
      <c r="EL160" s="82">
        <f t="shared" si="488"/>
        <v>0</v>
      </c>
      <c r="EM160" s="82">
        <f t="shared" si="489"/>
        <v>0</v>
      </c>
      <c r="EN160" s="82">
        <f t="shared" si="490"/>
        <v>0</v>
      </c>
      <c r="EO160" s="82">
        <f t="shared" si="491"/>
        <v>0</v>
      </c>
      <c r="EP160" s="82">
        <f t="shared" si="492"/>
        <v>0</v>
      </c>
      <c r="EQ160" s="82">
        <f t="shared" si="493"/>
        <v>0</v>
      </c>
      <c r="ER160" s="82">
        <f t="shared" si="494"/>
        <v>0</v>
      </c>
      <c r="ES160" s="82">
        <f t="shared" si="495"/>
        <v>0</v>
      </c>
      <c r="ET160" s="82">
        <f t="shared" si="496"/>
        <v>0</v>
      </c>
      <c r="EU160" s="82">
        <f t="shared" si="497"/>
        <v>0</v>
      </c>
      <c r="EV160" s="82">
        <f t="shared" si="498"/>
        <v>0</v>
      </c>
      <c r="EW160" s="82">
        <f t="shared" si="499"/>
        <v>0</v>
      </c>
      <c r="EX160" s="82">
        <f t="shared" si="500"/>
        <v>0</v>
      </c>
      <c r="EY160" s="111">
        <f t="shared" si="501"/>
        <v>0</v>
      </c>
      <c r="EZ160" s="143" t="e">
        <f t="shared" ca="1" si="502"/>
        <v>#N/A</v>
      </c>
      <c r="FA160" s="112" t="e">
        <f t="shared" ca="1" si="503"/>
        <v>#N/A</v>
      </c>
      <c r="FB160" s="113" t="e">
        <f t="shared" ca="1" si="504"/>
        <v>#N/A</v>
      </c>
      <c r="FC160" s="114" t="e">
        <f t="shared" ca="1" si="505"/>
        <v>#N/A</v>
      </c>
      <c r="FD160" s="115">
        <f t="shared" ca="1" si="506"/>
        <v>0</v>
      </c>
      <c r="FE160" s="116" t="e">
        <f t="shared" ca="1" si="507"/>
        <v>#N/A</v>
      </c>
      <c r="FF160" s="117" t="e">
        <f t="shared" ca="1" si="508"/>
        <v>#N/A</v>
      </c>
      <c r="FG160" s="71">
        <f t="shared" si="509"/>
        <v>0</v>
      </c>
      <c r="FH160" s="530" t="e">
        <f t="shared" ca="1" si="510"/>
        <v>#N/A</v>
      </c>
      <c r="FI160" s="72"/>
      <c r="FJ160" s="72"/>
      <c r="FK160" s="72"/>
      <c r="FM160" s="421">
        <f t="shared" si="511"/>
        <v>0</v>
      </c>
      <c r="FN160" s="422" t="e">
        <f t="shared" ca="1" si="512"/>
        <v>#N/A</v>
      </c>
      <c r="FO160" s="423">
        <f t="shared" ca="1" si="525"/>
        <v>0</v>
      </c>
      <c r="FP160" s="423">
        <f t="shared" ca="1" si="525"/>
        <v>0</v>
      </c>
      <c r="FQ160" s="423">
        <f t="shared" ca="1" si="525"/>
        <v>0</v>
      </c>
      <c r="FR160" s="423">
        <f t="shared" ca="1" si="525"/>
        <v>0</v>
      </c>
      <c r="FS160" s="423">
        <f t="shared" ca="1" si="525"/>
        <v>0</v>
      </c>
      <c r="FT160" s="423">
        <f t="shared" ca="1" si="525"/>
        <v>0</v>
      </c>
      <c r="FU160" s="423">
        <f t="shared" ca="1" si="525"/>
        <v>0</v>
      </c>
      <c r="FV160" s="423">
        <f t="shared" ca="1" si="525"/>
        <v>0</v>
      </c>
      <c r="FW160" s="423">
        <f t="shared" ca="1" si="525"/>
        <v>0</v>
      </c>
      <c r="FX160" s="423">
        <f t="shared" ca="1" si="525"/>
        <v>0</v>
      </c>
      <c r="FY160" s="423">
        <f t="shared" ca="1" si="525"/>
        <v>0</v>
      </c>
      <c r="FZ160" s="423">
        <f t="shared" ca="1" si="525"/>
        <v>0</v>
      </c>
      <c r="GA160" s="423">
        <f t="shared" ca="1" si="525"/>
        <v>0</v>
      </c>
      <c r="GB160" s="423">
        <f t="shared" ca="1" si="525"/>
        <v>0</v>
      </c>
      <c r="GC160" s="423">
        <f t="shared" ca="1" si="525"/>
        <v>0</v>
      </c>
      <c r="GD160" s="423">
        <f t="shared" ca="1" si="525"/>
        <v>0</v>
      </c>
      <c r="GE160" s="423">
        <f t="shared" ca="1" si="523"/>
        <v>0</v>
      </c>
      <c r="GF160" s="423">
        <f t="shared" ca="1" si="523"/>
        <v>0</v>
      </c>
      <c r="GG160" s="423">
        <f t="shared" ca="1" si="523"/>
        <v>0</v>
      </c>
      <c r="GH160" s="423">
        <f t="shared" ca="1" si="523"/>
        <v>0</v>
      </c>
      <c r="GI160" s="423">
        <f t="shared" ca="1" si="523"/>
        <v>0</v>
      </c>
      <c r="GJ160" s="423">
        <f t="shared" ca="1" si="523"/>
        <v>0</v>
      </c>
      <c r="GK160" s="423">
        <f t="shared" ca="1" si="523"/>
        <v>0</v>
      </c>
      <c r="GL160" s="423">
        <f t="shared" ca="1" si="523"/>
        <v>0</v>
      </c>
      <c r="GM160" s="423">
        <f t="shared" ca="1" si="523"/>
        <v>0</v>
      </c>
      <c r="GN160" s="423">
        <f t="shared" ca="1" si="523"/>
        <v>0</v>
      </c>
      <c r="GO160" s="423">
        <f t="shared" ca="1" si="523"/>
        <v>0</v>
      </c>
      <c r="GP160" s="423">
        <f t="shared" ca="1" si="523"/>
        <v>0</v>
      </c>
      <c r="GQ160" s="423">
        <f t="shared" ca="1" si="523"/>
        <v>0</v>
      </c>
      <c r="GR160" s="423">
        <f t="shared" ca="1" si="523"/>
        <v>0</v>
      </c>
      <c r="GS160" s="423">
        <f t="shared" ca="1" si="521"/>
        <v>0</v>
      </c>
      <c r="GT160" s="423">
        <f t="shared" ca="1" si="521"/>
        <v>0</v>
      </c>
      <c r="GU160" s="423">
        <f t="shared" ca="1" si="521"/>
        <v>0</v>
      </c>
      <c r="GV160" s="423">
        <f t="shared" ca="1" si="521"/>
        <v>0</v>
      </c>
      <c r="GW160" s="423">
        <f t="shared" ca="1" si="521"/>
        <v>0</v>
      </c>
      <c r="GX160" s="423">
        <f t="shared" ca="1" si="521"/>
        <v>0</v>
      </c>
      <c r="GY160" s="423">
        <f t="shared" ca="1" si="521"/>
        <v>0</v>
      </c>
      <c r="GZ160" s="423">
        <f t="shared" ca="1" si="521"/>
        <v>0</v>
      </c>
      <c r="HA160" s="423">
        <f t="shared" ca="1" si="521"/>
        <v>0</v>
      </c>
      <c r="HB160" s="423">
        <f t="shared" ca="1" si="521"/>
        <v>0</v>
      </c>
      <c r="HC160" s="423">
        <f t="shared" ca="1" si="521"/>
        <v>0</v>
      </c>
      <c r="HD160" s="423">
        <f t="shared" ca="1" si="521"/>
        <v>0</v>
      </c>
      <c r="HE160" s="423">
        <f t="shared" ca="1" si="521"/>
        <v>0</v>
      </c>
      <c r="HF160" s="423">
        <f t="shared" ca="1" si="521"/>
        <v>0</v>
      </c>
      <c r="HG160" s="423">
        <f t="shared" ca="1" si="521"/>
        <v>0</v>
      </c>
      <c r="HH160" s="423">
        <f t="shared" ca="1" si="521"/>
        <v>0</v>
      </c>
      <c r="HI160" s="423">
        <f t="shared" ca="1" si="524"/>
        <v>0</v>
      </c>
      <c r="HJ160" s="423">
        <f t="shared" ca="1" si="522"/>
        <v>0</v>
      </c>
      <c r="HK160" s="423">
        <f t="shared" ca="1" si="522"/>
        <v>0</v>
      </c>
      <c r="HL160" s="423">
        <f t="shared" ca="1" si="522"/>
        <v>0</v>
      </c>
      <c r="HM160" s="423">
        <f t="shared" ca="1" si="522"/>
        <v>0</v>
      </c>
      <c r="HN160" s="423">
        <f t="shared" ca="1" si="522"/>
        <v>0</v>
      </c>
      <c r="HO160" s="423">
        <f t="shared" ca="1" si="522"/>
        <v>0</v>
      </c>
      <c r="HP160" s="423">
        <f t="shared" ca="1" si="522"/>
        <v>0</v>
      </c>
      <c r="HQ160" s="423">
        <f t="shared" ca="1" si="522"/>
        <v>0</v>
      </c>
      <c r="HR160" s="423">
        <f t="shared" ca="1" si="522"/>
        <v>0</v>
      </c>
      <c r="HS160" s="423">
        <f t="shared" ca="1" si="522"/>
        <v>0</v>
      </c>
      <c r="HT160" s="423">
        <f t="shared" ca="1" si="522"/>
        <v>0</v>
      </c>
      <c r="HU160" s="423"/>
      <c r="HV160" s="423"/>
    </row>
    <row r="161" spans="1:230" ht="11.25" customHeight="1" x14ac:dyDescent="0.2">
      <c r="A161" s="62">
        <f t="shared" si="516"/>
        <v>150</v>
      </c>
      <c r="B161" s="60">
        <f>Spaces_Sum!C206</f>
        <v>0</v>
      </c>
      <c r="C161" s="62" t="str">
        <f>Spaces_Sum!D206</f>
        <v>0</v>
      </c>
      <c r="D161" s="62" t="e">
        <f ca="1">Spaces_Sum!I206</f>
        <v>#N/A</v>
      </c>
      <c r="F161" s="110" t="e">
        <f ca="1">Spaces_Sum!M206</f>
        <v>#N/A</v>
      </c>
      <c r="G161" s="110" t="e">
        <f ca="1">Spaces_Sum!J206</f>
        <v>#N/A</v>
      </c>
      <c r="H161" s="532"/>
      <c r="I161" s="185"/>
      <c r="J161" s="185"/>
      <c r="K161" s="186"/>
      <c r="L161" s="187"/>
      <c r="M161" s="188"/>
      <c r="N161" s="189"/>
      <c r="O161" s="186"/>
      <c r="P161" s="187"/>
      <c r="Q161" s="188"/>
      <c r="R161" s="189"/>
      <c r="S161" s="186"/>
      <c r="T161" s="187"/>
      <c r="U161" s="188"/>
      <c r="V161" s="189"/>
      <c r="W161" s="186"/>
      <c r="X161" s="187"/>
      <c r="Y161" s="188"/>
      <c r="Z161" s="189"/>
      <c r="AA161" s="186"/>
      <c r="AB161" s="187"/>
      <c r="AC161" s="188"/>
      <c r="AD161" s="189"/>
      <c r="AE161" s="186"/>
      <c r="AF161" s="187"/>
      <c r="AG161" s="188"/>
      <c r="AH161" s="189"/>
      <c r="AI161" s="186"/>
      <c r="AJ161" s="187"/>
      <c r="AK161" s="188"/>
      <c r="AL161" s="189"/>
      <c r="AM161" s="186"/>
      <c r="AN161" s="187"/>
      <c r="AO161" s="188"/>
      <c r="AP161" s="189"/>
      <c r="AQ161" s="186"/>
      <c r="AR161" s="187"/>
      <c r="AS161" s="188"/>
      <c r="AT161" s="189"/>
      <c r="AU161" s="186"/>
      <c r="AV161" s="187"/>
      <c r="AW161" s="188"/>
      <c r="AX161" s="189"/>
      <c r="AY161" s="186"/>
      <c r="AZ161" s="187"/>
      <c r="BA161" s="188"/>
      <c r="BB161" s="189"/>
      <c r="BC161" s="186"/>
      <c r="BD161" s="187"/>
      <c r="BE161" s="188"/>
      <c r="BF161" s="189"/>
      <c r="BG161" s="186"/>
      <c r="BH161" s="187"/>
      <c r="BI161" s="188"/>
      <c r="BJ161" s="189"/>
      <c r="BK161" s="186"/>
      <c r="BL161" s="187"/>
      <c r="BM161" s="188"/>
      <c r="BN161" s="189"/>
      <c r="BO161" s="186"/>
      <c r="BP161" s="187"/>
      <c r="BQ161" s="188"/>
      <c r="BR161" s="189"/>
      <c r="BS161" s="186"/>
      <c r="BT161" s="187"/>
      <c r="BU161" s="188"/>
      <c r="BV161" s="189"/>
      <c r="BW161" s="186"/>
      <c r="BX161" s="187"/>
      <c r="BY161" s="188"/>
      <c r="BZ161" s="189"/>
      <c r="CA161" s="186"/>
      <c r="CB161" s="190"/>
      <c r="CC161" s="190"/>
      <c r="CD161" s="82">
        <f t="shared" si="428"/>
        <v>0</v>
      </c>
      <c r="CE161" s="82">
        <f t="shared" si="429"/>
        <v>0</v>
      </c>
      <c r="CF161" s="82">
        <f t="shared" si="430"/>
        <v>0</v>
      </c>
      <c r="CG161" s="82">
        <f t="shared" si="431"/>
        <v>0</v>
      </c>
      <c r="CH161" s="82">
        <f t="shared" si="432"/>
        <v>0</v>
      </c>
      <c r="CI161" s="82">
        <f t="shared" si="433"/>
        <v>0</v>
      </c>
      <c r="CJ161" s="82">
        <f t="shared" si="434"/>
        <v>0</v>
      </c>
      <c r="CK161" s="82">
        <f t="shared" si="435"/>
        <v>0</v>
      </c>
      <c r="CL161" s="82">
        <f t="shared" si="436"/>
        <v>0</v>
      </c>
      <c r="CM161" s="82">
        <f t="shared" si="437"/>
        <v>0</v>
      </c>
      <c r="CN161" s="82">
        <f t="shared" si="438"/>
        <v>0</v>
      </c>
      <c r="CO161" s="82">
        <f t="shared" si="439"/>
        <v>0</v>
      </c>
      <c r="CP161" s="82">
        <f t="shared" si="440"/>
        <v>0</v>
      </c>
      <c r="CQ161" s="82">
        <f t="shared" si="441"/>
        <v>0</v>
      </c>
      <c r="CR161" s="82">
        <f t="shared" si="442"/>
        <v>0</v>
      </c>
      <c r="CS161" s="82">
        <f t="shared" si="443"/>
        <v>0</v>
      </c>
      <c r="CT161" s="82">
        <f t="shared" si="444"/>
        <v>0</v>
      </c>
      <c r="CU161" s="82">
        <f t="shared" si="445"/>
        <v>0</v>
      </c>
      <c r="CV161" s="82">
        <f t="shared" si="446"/>
        <v>0</v>
      </c>
      <c r="CW161" s="82">
        <f t="shared" si="447"/>
        <v>0</v>
      </c>
      <c r="CX161" s="82">
        <f t="shared" si="448"/>
        <v>0</v>
      </c>
      <c r="CY161" s="82">
        <f t="shared" si="449"/>
        <v>0</v>
      </c>
      <c r="CZ161" s="82">
        <f t="shared" si="450"/>
        <v>0</v>
      </c>
      <c r="DA161" s="82">
        <f t="shared" si="451"/>
        <v>0</v>
      </c>
      <c r="DB161" s="82">
        <f t="shared" si="452"/>
        <v>0</v>
      </c>
      <c r="DC161" s="82">
        <f t="shared" si="453"/>
        <v>0</v>
      </c>
      <c r="DD161" s="82">
        <f t="shared" si="454"/>
        <v>0</v>
      </c>
      <c r="DE161" s="82">
        <f t="shared" si="455"/>
        <v>0</v>
      </c>
      <c r="DF161" s="82">
        <f t="shared" si="456"/>
        <v>0</v>
      </c>
      <c r="DG161" s="82">
        <f t="shared" si="457"/>
        <v>0</v>
      </c>
      <c r="DH161" s="82">
        <f t="shared" si="458"/>
        <v>0</v>
      </c>
      <c r="DI161" s="82">
        <f t="shared" si="459"/>
        <v>0</v>
      </c>
      <c r="DJ161" s="82">
        <f t="shared" si="460"/>
        <v>0</v>
      </c>
      <c r="DK161" s="82">
        <f t="shared" si="461"/>
        <v>0</v>
      </c>
      <c r="DL161" s="82">
        <f t="shared" si="462"/>
        <v>0</v>
      </c>
      <c r="DM161" s="82">
        <f t="shared" si="463"/>
        <v>0</v>
      </c>
      <c r="DN161" s="82">
        <f t="shared" si="464"/>
        <v>0</v>
      </c>
      <c r="DO161" s="82">
        <f t="shared" si="465"/>
        <v>0</v>
      </c>
      <c r="DP161" s="82">
        <f t="shared" si="466"/>
        <v>0</v>
      </c>
      <c r="DQ161" s="82">
        <f t="shared" si="467"/>
        <v>0</v>
      </c>
      <c r="DR161" s="82">
        <f t="shared" si="468"/>
        <v>0</v>
      </c>
      <c r="DS161" s="82">
        <f t="shared" si="469"/>
        <v>0</v>
      </c>
      <c r="DT161" s="82">
        <f t="shared" si="470"/>
        <v>0</v>
      </c>
      <c r="DU161" s="82">
        <f t="shared" si="471"/>
        <v>0</v>
      </c>
      <c r="DV161" s="82">
        <f t="shared" si="472"/>
        <v>0</v>
      </c>
      <c r="DW161" s="82">
        <f t="shared" si="473"/>
        <v>0</v>
      </c>
      <c r="DX161" s="82">
        <f t="shared" si="474"/>
        <v>0</v>
      </c>
      <c r="DY161" s="82">
        <f t="shared" si="475"/>
        <v>0</v>
      </c>
      <c r="DZ161" s="82">
        <f t="shared" si="476"/>
        <v>0</v>
      </c>
      <c r="EA161" s="82">
        <f t="shared" si="477"/>
        <v>0</v>
      </c>
      <c r="EB161" s="82">
        <f t="shared" si="478"/>
        <v>0</v>
      </c>
      <c r="EC161" s="82">
        <f t="shared" si="479"/>
        <v>0</v>
      </c>
      <c r="ED161" s="82">
        <f t="shared" si="480"/>
        <v>0</v>
      </c>
      <c r="EE161" s="82">
        <f t="shared" si="481"/>
        <v>0</v>
      </c>
      <c r="EF161" s="82">
        <f t="shared" si="482"/>
        <v>0</v>
      </c>
      <c r="EG161" s="82">
        <f t="shared" si="483"/>
        <v>0</v>
      </c>
      <c r="EH161" s="82">
        <f t="shared" si="484"/>
        <v>0</v>
      </c>
      <c r="EI161" s="82">
        <f t="shared" si="485"/>
        <v>0</v>
      </c>
      <c r="EJ161" s="82">
        <f t="shared" si="486"/>
        <v>0</v>
      </c>
      <c r="EK161" s="82">
        <f t="shared" si="487"/>
        <v>0</v>
      </c>
      <c r="EL161" s="82">
        <f t="shared" si="488"/>
        <v>0</v>
      </c>
      <c r="EM161" s="82">
        <f t="shared" si="489"/>
        <v>0</v>
      </c>
      <c r="EN161" s="82">
        <f t="shared" si="490"/>
        <v>0</v>
      </c>
      <c r="EO161" s="82">
        <f t="shared" si="491"/>
        <v>0</v>
      </c>
      <c r="EP161" s="82">
        <f t="shared" si="492"/>
        <v>0</v>
      </c>
      <c r="EQ161" s="82">
        <f t="shared" si="493"/>
        <v>0</v>
      </c>
      <c r="ER161" s="82">
        <f t="shared" si="494"/>
        <v>0</v>
      </c>
      <c r="ES161" s="82">
        <f t="shared" si="495"/>
        <v>0</v>
      </c>
      <c r="ET161" s="82">
        <f t="shared" si="496"/>
        <v>0</v>
      </c>
      <c r="EU161" s="82">
        <f t="shared" si="497"/>
        <v>0</v>
      </c>
      <c r="EV161" s="82">
        <f t="shared" si="498"/>
        <v>0</v>
      </c>
      <c r="EW161" s="82">
        <f t="shared" si="499"/>
        <v>0</v>
      </c>
      <c r="EX161" s="82">
        <f t="shared" si="500"/>
        <v>0</v>
      </c>
      <c r="EY161" s="111">
        <f t="shared" si="501"/>
        <v>0</v>
      </c>
      <c r="EZ161" s="143" t="e">
        <f t="shared" ca="1" si="502"/>
        <v>#N/A</v>
      </c>
      <c r="FA161" s="112" t="e">
        <f t="shared" ca="1" si="503"/>
        <v>#N/A</v>
      </c>
      <c r="FB161" s="113" t="e">
        <f t="shared" ca="1" si="504"/>
        <v>#N/A</v>
      </c>
      <c r="FC161" s="114" t="e">
        <f t="shared" ca="1" si="505"/>
        <v>#N/A</v>
      </c>
      <c r="FD161" s="115">
        <f t="shared" ca="1" si="506"/>
        <v>0</v>
      </c>
      <c r="FE161" s="116" t="e">
        <f t="shared" ca="1" si="507"/>
        <v>#N/A</v>
      </c>
      <c r="FF161" s="117" t="e">
        <f t="shared" ca="1" si="508"/>
        <v>#N/A</v>
      </c>
      <c r="FG161" s="71">
        <f t="shared" si="509"/>
        <v>0</v>
      </c>
      <c r="FH161" s="530" t="e">
        <f t="shared" ca="1" si="510"/>
        <v>#N/A</v>
      </c>
      <c r="FI161" s="72"/>
      <c r="FJ161" s="72"/>
      <c r="FK161" s="72"/>
      <c r="FM161" s="421">
        <f t="shared" si="511"/>
        <v>0</v>
      </c>
      <c r="FN161" s="422" t="e">
        <f t="shared" ca="1" si="512"/>
        <v>#N/A</v>
      </c>
      <c r="FO161" s="423">
        <f t="shared" ca="1" si="525"/>
        <v>0</v>
      </c>
      <c r="FP161" s="423">
        <f t="shared" ca="1" si="525"/>
        <v>0</v>
      </c>
      <c r="FQ161" s="423">
        <f t="shared" ca="1" si="525"/>
        <v>0</v>
      </c>
      <c r="FR161" s="423">
        <f t="shared" ca="1" si="525"/>
        <v>0</v>
      </c>
      <c r="FS161" s="423">
        <f t="shared" ca="1" si="525"/>
        <v>0</v>
      </c>
      <c r="FT161" s="423">
        <f t="shared" ca="1" si="525"/>
        <v>0</v>
      </c>
      <c r="FU161" s="423">
        <f t="shared" ca="1" si="525"/>
        <v>0</v>
      </c>
      <c r="FV161" s="423">
        <f t="shared" ca="1" si="525"/>
        <v>0</v>
      </c>
      <c r="FW161" s="423">
        <f t="shared" ca="1" si="525"/>
        <v>0</v>
      </c>
      <c r="FX161" s="423">
        <f t="shared" ca="1" si="525"/>
        <v>0</v>
      </c>
      <c r="FY161" s="423">
        <f t="shared" ca="1" si="525"/>
        <v>0</v>
      </c>
      <c r="FZ161" s="423">
        <f t="shared" ca="1" si="525"/>
        <v>0</v>
      </c>
      <c r="GA161" s="423">
        <f t="shared" ca="1" si="525"/>
        <v>0</v>
      </c>
      <c r="GB161" s="423">
        <f t="shared" ca="1" si="525"/>
        <v>0</v>
      </c>
      <c r="GC161" s="423">
        <f t="shared" ca="1" si="525"/>
        <v>0</v>
      </c>
      <c r="GD161" s="423">
        <f t="shared" ca="1" si="525"/>
        <v>0</v>
      </c>
      <c r="GE161" s="423">
        <f t="shared" ca="1" si="523"/>
        <v>0</v>
      </c>
      <c r="GF161" s="423">
        <f t="shared" ca="1" si="523"/>
        <v>0</v>
      </c>
      <c r="GG161" s="423">
        <f t="shared" ca="1" si="523"/>
        <v>0</v>
      </c>
      <c r="GH161" s="423">
        <f t="shared" ca="1" si="523"/>
        <v>0</v>
      </c>
      <c r="GI161" s="423">
        <f t="shared" ca="1" si="523"/>
        <v>0</v>
      </c>
      <c r="GJ161" s="423">
        <f t="shared" ca="1" si="523"/>
        <v>0</v>
      </c>
      <c r="GK161" s="423">
        <f t="shared" ca="1" si="523"/>
        <v>0</v>
      </c>
      <c r="GL161" s="423">
        <f t="shared" ca="1" si="523"/>
        <v>0</v>
      </c>
      <c r="GM161" s="423">
        <f t="shared" ca="1" si="523"/>
        <v>0</v>
      </c>
      <c r="GN161" s="423">
        <f t="shared" ca="1" si="523"/>
        <v>0</v>
      </c>
      <c r="GO161" s="423">
        <f t="shared" ca="1" si="523"/>
        <v>0</v>
      </c>
      <c r="GP161" s="423">
        <f t="shared" ca="1" si="523"/>
        <v>0</v>
      </c>
      <c r="GQ161" s="423">
        <f t="shared" ca="1" si="523"/>
        <v>0</v>
      </c>
      <c r="GR161" s="423">
        <f t="shared" ca="1" si="523"/>
        <v>0</v>
      </c>
      <c r="GS161" s="423">
        <f t="shared" ca="1" si="521"/>
        <v>0</v>
      </c>
      <c r="GT161" s="423">
        <f t="shared" ca="1" si="521"/>
        <v>0</v>
      </c>
      <c r="GU161" s="423">
        <f t="shared" ca="1" si="521"/>
        <v>0</v>
      </c>
      <c r="GV161" s="423">
        <f t="shared" ca="1" si="521"/>
        <v>0</v>
      </c>
      <c r="GW161" s="423">
        <f t="shared" ca="1" si="521"/>
        <v>0</v>
      </c>
      <c r="GX161" s="423">
        <f t="shared" ca="1" si="521"/>
        <v>0</v>
      </c>
      <c r="GY161" s="423">
        <f t="shared" ca="1" si="521"/>
        <v>0</v>
      </c>
      <c r="GZ161" s="423">
        <f t="shared" ca="1" si="521"/>
        <v>0</v>
      </c>
      <c r="HA161" s="423">
        <f t="shared" ca="1" si="521"/>
        <v>0</v>
      </c>
      <c r="HB161" s="423">
        <f t="shared" ca="1" si="521"/>
        <v>0</v>
      </c>
      <c r="HC161" s="423">
        <f t="shared" ca="1" si="521"/>
        <v>0</v>
      </c>
      <c r="HD161" s="423">
        <f t="shared" ca="1" si="521"/>
        <v>0</v>
      </c>
      <c r="HE161" s="423">
        <f t="shared" ca="1" si="521"/>
        <v>0</v>
      </c>
      <c r="HF161" s="423">
        <f t="shared" ca="1" si="521"/>
        <v>0</v>
      </c>
      <c r="HG161" s="423">
        <f t="shared" ca="1" si="521"/>
        <v>0</v>
      </c>
      <c r="HH161" s="423">
        <f t="shared" ca="1" si="521"/>
        <v>0</v>
      </c>
      <c r="HI161" s="423">
        <f t="shared" ca="1" si="524"/>
        <v>0</v>
      </c>
      <c r="HJ161" s="423">
        <f t="shared" ca="1" si="522"/>
        <v>0</v>
      </c>
      <c r="HK161" s="423">
        <f t="shared" ca="1" si="522"/>
        <v>0</v>
      </c>
      <c r="HL161" s="423">
        <f t="shared" ca="1" si="522"/>
        <v>0</v>
      </c>
      <c r="HM161" s="423">
        <f t="shared" ca="1" si="522"/>
        <v>0</v>
      </c>
      <c r="HN161" s="423">
        <f t="shared" ca="1" si="522"/>
        <v>0</v>
      </c>
      <c r="HO161" s="423">
        <f t="shared" ca="1" si="522"/>
        <v>0</v>
      </c>
      <c r="HP161" s="423">
        <f t="shared" ca="1" si="522"/>
        <v>0</v>
      </c>
      <c r="HQ161" s="423">
        <f t="shared" ca="1" si="522"/>
        <v>0</v>
      </c>
      <c r="HR161" s="423">
        <f t="shared" ca="1" si="522"/>
        <v>0</v>
      </c>
      <c r="HS161" s="423">
        <f t="shared" ca="1" si="522"/>
        <v>0</v>
      </c>
      <c r="HT161" s="423">
        <f t="shared" ca="1" si="522"/>
        <v>0</v>
      </c>
      <c r="HU161" s="423"/>
      <c r="HV161" s="423"/>
    </row>
    <row r="162" spans="1:230" x14ac:dyDescent="0.2">
      <c r="A162" s="62">
        <f t="shared" si="516"/>
        <v>151</v>
      </c>
      <c r="B162" s="60">
        <f>Spaces_Sum!C207</f>
        <v>0</v>
      </c>
      <c r="C162" s="62" t="str">
        <f>Spaces_Sum!D207</f>
        <v>0</v>
      </c>
      <c r="D162" s="62" t="e">
        <f ca="1">Spaces_Sum!I207</f>
        <v>#N/A</v>
      </c>
      <c r="F162" s="110" t="e">
        <f ca="1">Spaces_Sum!M207</f>
        <v>#N/A</v>
      </c>
      <c r="G162" s="110" t="e">
        <f ca="1">Spaces_Sum!J207</f>
        <v>#N/A</v>
      </c>
      <c r="H162" s="532"/>
      <c r="I162" s="185"/>
      <c r="J162" s="185"/>
      <c r="K162" s="186"/>
      <c r="L162" s="187"/>
      <c r="M162" s="188"/>
      <c r="N162" s="189"/>
      <c r="O162" s="186"/>
      <c r="P162" s="187"/>
      <c r="Q162" s="188"/>
      <c r="R162" s="189"/>
      <c r="S162" s="186"/>
      <c r="T162" s="187"/>
      <c r="U162" s="188"/>
      <c r="V162" s="189"/>
      <c r="W162" s="186"/>
      <c r="X162" s="187"/>
      <c r="Y162" s="188"/>
      <c r="Z162" s="189"/>
      <c r="AA162" s="186"/>
      <c r="AB162" s="187"/>
      <c r="AC162" s="188"/>
      <c r="AD162" s="189"/>
      <c r="AE162" s="186"/>
      <c r="AF162" s="187"/>
      <c r="AG162" s="188"/>
      <c r="AH162" s="189"/>
      <c r="AI162" s="186"/>
      <c r="AJ162" s="187"/>
      <c r="AK162" s="188"/>
      <c r="AL162" s="189"/>
      <c r="AM162" s="186"/>
      <c r="AN162" s="187"/>
      <c r="AO162" s="188"/>
      <c r="AP162" s="189"/>
      <c r="AQ162" s="186"/>
      <c r="AR162" s="187"/>
      <c r="AS162" s="188"/>
      <c r="AT162" s="189"/>
      <c r="AU162" s="186"/>
      <c r="AV162" s="187"/>
      <c r="AW162" s="188"/>
      <c r="AX162" s="189"/>
      <c r="AY162" s="186"/>
      <c r="AZ162" s="187"/>
      <c r="BA162" s="188"/>
      <c r="BB162" s="189"/>
      <c r="BC162" s="186"/>
      <c r="BD162" s="187"/>
      <c r="BE162" s="188"/>
      <c r="BF162" s="189"/>
      <c r="BG162" s="186"/>
      <c r="BH162" s="187"/>
      <c r="BI162" s="188"/>
      <c r="BJ162" s="189"/>
      <c r="BK162" s="186"/>
      <c r="BL162" s="187"/>
      <c r="BM162" s="188"/>
      <c r="BN162" s="189"/>
      <c r="BO162" s="186"/>
      <c r="BP162" s="187"/>
      <c r="BQ162" s="188"/>
      <c r="BR162" s="189"/>
      <c r="BS162" s="186"/>
      <c r="BT162" s="187"/>
      <c r="BU162" s="188"/>
      <c r="BV162" s="189"/>
      <c r="BW162" s="186"/>
      <c r="BX162" s="187"/>
      <c r="BY162" s="188"/>
      <c r="BZ162" s="189"/>
      <c r="CA162" s="186"/>
      <c r="CB162" s="190"/>
      <c r="CC162" s="190"/>
      <c r="CD162" s="82">
        <f t="shared" si="428"/>
        <v>0</v>
      </c>
      <c r="CE162" s="82">
        <f t="shared" si="429"/>
        <v>0</v>
      </c>
      <c r="CF162" s="82">
        <f t="shared" si="430"/>
        <v>0</v>
      </c>
      <c r="CG162" s="82">
        <f t="shared" si="431"/>
        <v>0</v>
      </c>
      <c r="CH162" s="82">
        <f t="shared" si="432"/>
        <v>0</v>
      </c>
      <c r="CI162" s="82">
        <f t="shared" si="433"/>
        <v>0</v>
      </c>
      <c r="CJ162" s="82">
        <f t="shared" si="434"/>
        <v>0</v>
      </c>
      <c r="CK162" s="82">
        <f t="shared" si="435"/>
        <v>0</v>
      </c>
      <c r="CL162" s="82">
        <f t="shared" si="436"/>
        <v>0</v>
      </c>
      <c r="CM162" s="82">
        <f t="shared" si="437"/>
        <v>0</v>
      </c>
      <c r="CN162" s="82">
        <f t="shared" si="438"/>
        <v>0</v>
      </c>
      <c r="CO162" s="82">
        <f t="shared" si="439"/>
        <v>0</v>
      </c>
      <c r="CP162" s="82">
        <f t="shared" si="440"/>
        <v>0</v>
      </c>
      <c r="CQ162" s="82">
        <f t="shared" si="441"/>
        <v>0</v>
      </c>
      <c r="CR162" s="82">
        <f t="shared" si="442"/>
        <v>0</v>
      </c>
      <c r="CS162" s="82">
        <f t="shared" si="443"/>
        <v>0</v>
      </c>
      <c r="CT162" s="82">
        <f t="shared" si="444"/>
        <v>0</v>
      </c>
      <c r="CU162" s="82">
        <f t="shared" si="445"/>
        <v>0</v>
      </c>
      <c r="CV162" s="82">
        <f t="shared" si="446"/>
        <v>0</v>
      </c>
      <c r="CW162" s="82">
        <f t="shared" si="447"/>
        <v>0</v>
      </c>
      <c r="CX162" s="82">
        <f t="shared" si="448"/>
        <v>0</v>
      </c>
      <c r="CY162" s="82">
        <f t="shared" si="449"/>
        <v>0</v>
      </c>
      <c r="CZ162" s="82">
        <f t="shared" si="450"/>
        <v>0</v>
      </c>
      <c r="DA162" s="82">
        <f t="shared" si="451"/>
        <v>0</v>
      </c>
      <c r="DB162" s="82">
        <f t="shared" si="452"/>
        <v>0</v>
      </c>
      <c r="DC162" s="82">
        <f t="shared" si="453"/>
        <v>0</v>
      </c>
      <c r="DD162" s="82">
        <f t="shared" si="454"/>
        <v>0</v>
      </c>
      <c r="DE162" s="82">
        <f t="shared" si="455"/>
        <v>0</v>
      </c>
      <c r="DF162" s="82">
        <f t="shared" si="456"/>
        <v>0</v>
      </c>
      <c r="DG162" s="82">
        <f t="shared" si="457"/>
        <v>0</v>
      </c>
      <c r="DH162" s="82">
        <f t="shared" si="458"/>
        <v>0</v>
      </c>
      <c r="DI162" s="82">
        <f t="shared" si="459"/>
        <v>0</v>
      </c>
      <c r="DJ162" s="82">
        <f t="shared" si="460"/>
        <v>0</v>
      </c>
      <c r="DK162" s="82">
        <f t="shared" si="461"/>
        <v>0</v>
      </c>
      <c r="DL162" s="82">
        <f t="shared" si="462"/>
        <v>0</v>
      </c>
      <c r="DM162" s="82">
        <f t="shared" si="463"/>
        <v>0</v>
      </c>
      <c r="DN162" s="82">
        <f t="shared" si="464"/>
        <v>0</v>
      </c>
      <c r="DO162" s="82">
        <f t="shared" si="465"/>
        <v>0</v>
      </c>
      <c r="DP162" s="82">
        <f t="shared" si="466"/>
        <v>0</v>
      </c>
      <c r="DQ162" s="82">
        <f t="shared" si="467"/>
        <v>0</v>
      </c>
      <c r="DR162" s="82">
        <f t="shared" si="468"/>
        <v>0</v>
      </c>
      <c r="DS162" s="82">
        <f t="shared" si="469"/>
        <v>0</v>
      </c>
      <c r="DT162" s="82">
        <f t="shared" si="470"/>
        <v>0</v>
      </c>
      <c r="DU162" s="82">
        <f t="shared" si="471"/>
        <v>0</v>
      </c>
      <c r="DV162" s="82">
        <f t="shared" si="472"/>
        <v>0</v>
      </c>
      <c r="DW162" s="82">
        <f t="shared" si="473"/>
        <v>0</v>
      </c>
      <c r="DX162" s="82">
        <f t="shared" si="474"/>
        <v>0</v>
      </c>
      <c r="DY162" s="82">
        <f t="shared" si="475"/>
        <v>0</v>
      </c>
      <c r="DZ162" s="82">
        <f t="shared" si="476"/>
        <v>0</v>
      </c>
      <c r="EA162" s="82">
        <f t="shared" si="477"/>
        <v>0</v>
      </c>
      <c r="EB162" s="82">
        <f t="shared" si="478"/>
        <v>0</v>
      </c>
      <c r="EC162" s="82">
        <f t="shared" si="479"/>
        <v>0</v>
      </c>
      <c r="ED162" s="82">
        <f t="shared" si="480"/>
        <v>0</v>
      </c>
      <c r="EE162" s="82">
        <f t="shared" si="481"/>
        <v>0</v>
      </c>
      <c r="EF162" s="82">
        <f t="shared" si="482"/>
        <v>0</v>
      </c>
      <c r="EG162" s="82">
        <f t="shared" si="483"/>
        <v>0</v>
      </c>
      <c r="EH162" s="82">
        <f t="shared" si="484"/>
        <v>0</v>
      </c>
      <c r="EI162" s="82">
        <f t="shared" si="485"/>
        <v>0</v>
      </c>
      <c r="EJ162" s="82">
        <f t="shared" si="486"/>
        <v>0</v>
      </c>
      <c r="EK162" s="82">
        <f t="shared" si="487"/>
        <v>0</v>
      </c>
      <c r="EL162" s="82">
        <f t="shared" si="488"/>
        <v>0</v>
      </c>
      <c r="EM162" s="82">
        <f t="shared" si="489"/>
        <v>0</v>
      </c>
      <c r="EN162" s="82">
        <f t="shared" si="490"/>
        <v>0</v>
      </c>
      <c r="EO162" s="82">
        <f t="shared" si="491"/>
        <v>0</v>
      </c>
      <c r="EP162" s="82">
        <f t="shared" si="492"/>
        <v>0</v>
      </c>
      <c r="EQ162" s="82">
        <f t="shared" si="493"/>
        <v>0</v>
      </c>
      <c r="ER162" s="82">
        <f t="shared" si="494"/>
        <v>0</v>
      </c>
      <c r="ES162" s="82">
        <f t="shared" si="495"/>
        <v>0</v>
      </c>
      <c r="ET162" s="82">
        <f t="shared" si="496"/>
        <v>0</v>
      </c>
      <c r="EU162" s="82">
        <f t="shared" si="497"/>
        <v>0</v>
      </c>
      <c r="EV162" s="82">
        <f t="shared" si="498"/>
        <v>0</v>
      </c>
      <c r="EW162" s="82">
        <f t="shared" si="499"/>
        <v>0</v>
      </c>
      <c r="EX162" s="82">
        <f t="shared" si="500"/>
        <v>0</v>
      </c>
      <c r="EY162" s="111">
        <f t="shared" si="501"/>
        <v>0</v>
      </c>
      <c r="EZ162" s="143" t="e">
        <f t="shared" ca="1" si="502"/>
        <v>#N/A</v>
      </c>
      <c r="FA162" s="112" t="e">
        <f t="shared" ca="1" si="503"/>
        <v>#N/A</v>
      </c>
      <c r="FB162" s="113" t="e">
        <f t="shared" ca="1" si="504"/>
        <v>#N/A</v>
      </c>
      <c r="FC162" s="114" t="e">
        <f t="shared" ca="1" si="505"/>
        <v>#N/A</v>
      </c>
      <c r="FD162" s="115">
        <f t="shared" ca="1" si="506"/>
        <v>0</v>
      </c>
      <c r="FE162" s="116" t="e">
        <f t="shared" ca="1" si="507"/>
        <v>#N/A</v>
      </c>
      <c r="FF162" s="117" t="e">
        <f t="shared" ca="1" si="508"/>
        <v>#N/A</v>
      </c>
      <c r="FG162" s="71">
        <f t="shared" si="509"/>
        <v>0</v>
      </c>
      <c r="FH162" s="530" t="e">
        <f t="shared" ca="1" si="510"/>
        <v>#N/A</v>
      </c>
      <c r="FI162" s="72"/>
      <c r="FJ162" s="72"/>
      <c r="FK162" s="72"/>
      <c r="FM162" s="421">
        <f t="shared" si="511"/>
        <v>0</v>
      </c>
      <c r="FN162" s="422" t="e">
        <f t="shared" ca="1" si="512"/>
        <v>#N/A</v>
      </c>
      <c r="FO162" s="423">
        <f t="shared" ca="1" si="525"/>
        <v>0</v>
      </c>
      <c r="FP162" s="423">
        <f t="shared" ca="1" si="525"/>
        <v>0</v>
      </c>
      <c r="FQ162" s="423">
        <f t="shared" ca="1" si="525"/>
        <v>0</v>
      </c>
      <c r="FR162" s="423">
        <f t="shared" ca="1" si="525"/>
        <v>0</v>
      </c>
      <c r="FS162" s="423">
        <f t="shared" ca="1" si="525"/>
        <v>0</v>
      </c>
      <c r="FT162" s="423">
        <f t="shared" ca="1" si="525"/>
        <v>0</v>
      </c>
      <c r="FU162" s="423">
        <f t="shared" ca="1" si="525"/>
        <v>0</v>
      </c>
      <c r="FV162" s="423">
        <f t="shared" ca="1" si="525"/>
        <v>0</v>
      </c>
      <c r="FW162" s="423">
        <f t="shared" ca="1" si="525"/>
        <v>0</v>
      </c>
      <c r="FX162" s="423">
        <f t="shared" ca="1" si="525"/>
        <v>0</v>
      </c>
      <c r="FY162" s="423">
        <f t="shared" ca="1" si="525"/>
        <v>0</v>
      </c>
      <c r="FZ162" s="423">
        <f t="shared" ca="1" si="525"/>
        <v>0</v>
      </c>
      <c r="GA162" s="423">
        <f t="shared" ca="1" si="525"/>
        <v>0</v>
      </c>
      <c r="GB162" s="423">
        <f t="shared" ca="1" si="525"/>
        <v>0</v>
      </c>
      <c r="GC162" s="423">
        <f t="shared" ca="1" si="525"/>
        <v>0</v>
      </c>
      <c r="GD162" s="423">
        <f t="shared" ca="1" si="525"/>
        <v>0</v>
      </c>
      <c r="GE162" s="423">
        <f t="shared" ca="1" si="523"/>
        <v>0</v>
      </c>
      <c r="GF162" s="423">
        <f t="shared" ca="1" si="523"/>
        <v>0</v>
      </c>
      <c r="GG162" s="423">
        <f t="shared" ca="1" si="523"/>
        <v>0</v>
      </c>
      <c r="GH162" s="423">
        <f t="shared" ca="1" si="523"/>
        <v>0</v>
      </c>
      <c r="GI162" s="423">
        <f t="shared" ca="1" si="523"/>
        <v>0</v>
      </c>
      <c r="GJ162" s="423">
        <f t="shared" ca="1" si="523"/>
        <v>0</v>
      </c>
      <c r="GK162" s="423">
        <f t="shared" ca="1" si="523"/>
        <v>0</v>
      </c>
      <c r="GL162" s="423">
        <f t="shared" ca="1" si="523"/>
        <v>0</v>
      </c>
      <c r="GM162" s="423">
        <f t="shared" ca="1" si="523"/>
        <v>0</v>
      </c>
      <c r="GN162" s="423">
        <f t="shared" ca="1" si="523"/>
        <v>0</v>
      </c>
      <c r="GO162" s="423">
        <f t="shared" ca="1" si="523"/>
        <v>0</v>
      </c>
      <c r="GP162" s="423">
        <f t="shared" ca="1" si="523"/>
        <v>0</v>
      </c>
      <c r="GQ162" s="423">
        <f t="shared" ca="1" si="523"/>
        <v>0</v>
      </c>
      <c r="GR162" s="423">
        <f t="shared" ca="1" si="523"/>
        <v>0</v>
      </c>
      <c r="GS162" s="423">
        <f t="shared" ca="1" si="521"/>
        <v>0</v>
      </c>
      <c r="GT162" s="423">
        <f t="shared" ca="1" si="521"/>
        <v>0</v>
      </c>
      <c r="GU162" s="423">
        <f t="shared" ca="1" si="521"/>
        <v>0</v>
      </c>
      <c r="GV162" s="423">
        <f t="shared" ca="1" si="521"/>
        <v>0</v>
      </c>
      <c r="GW162" s="423">
        <f t="shared" ca="1" si="521"/>
        <v>0</v>
      </c>
      <c r="GX162" s="423">
        <f t="shared" ca="1" si="521"/>
        <v>0</v>
      </c>
      <c r="GY162" s="423">
        <f t="shared" ca="1" si="521"/>
        <v>0</v>
      </c>
      <c r="GZ162" s="423">
        <f t="shared" ca="1" si="521"/>
        <v>0</v>
      </c>
      <c r="HA162" s="423">
        <f t="shared" ca="1" si="521"/>
        <v>0</v>
      </c>
      <c r="HB162" s="423">
        <f t="shared" ca="1" si="521"/>
        <v>0</v>
      </c>
      <c r="HC162" s="423">
        <f t="shared" ca="1" si="521"/>
        <v>0</v>
      </c>
      <c r="HD162" s="423">
        <f t="shared" ca="1" si="521"/>
        <v>0</v>
      </c>
      <c r="HE162" s="423">
        <f t="shared" ca="1" si="521"/>
        <v>0</v>
      </c>
      <c r="HF162" s="423">
        <f t="shared" ca="1" si="521"/>
        <v>0</v>
      </c>
      <c r="HG162" s="423">
        <f t="shared" ca="1" si="521"/>
        <v>0</v>
      </c>
      <c r="HH162" s="423">
        <f t="shared" ca="1" si="521"/>
        <v>0</v>
      </c>
      <c r="HI162" s="423">
        <f t="shared" ca="1" si="524"/>
        <v>0</v>
      </c>
      <c r="HJ162" s="423">
        <f t="shared" ca="1" si="522"/>
        <v>0</v>
      </c>
      <c r="HK162" s="423">
        <f t="shared" ca="1" si="522"/>
        <v>0</v>
      </c>
      <c r="HL162" s="423">
        <f t="shared" ca="1" si="522"/>
        <v>0</v>
      </c>
      <c r="HM162" s="423">
        <f t="shared" ca="1" si="522"/>
        <v>0</v>
      </c>
      <c r="HN162" s="423">
        <f t="shared" ca="1" si="522"/>
        <v>0</v>
      </c>
      <c r="HO162" s="423">
        <f t="shared" ca="1" si="522"/>
        <v>0</v>
      </c>
      <c r="HP162" s="423">
        <f t="shared" ca="1" si="522"/>
        <v>0</v>
      </c>
      <c r="HQ162" s="423">
        <f t="shared" ca="1" si="522"/>
        <v>0</v>
      </c>
      <c r="HR162" s="423">
        <f t="shared" ca="1" si="522"/>
        <v>0</v>
      </c>
      <c r="HS162" s="423">
        <f t="shared" ca="1" si="522"/>
        <v>0</v>
      </c>
      <c r="HT162" s="423">
        <f t="shared" ca="1" si="522"/>
        <v>0</v>
      </c>
    </row>
    <row r="163" spans="1:230" x14ac:dyDescent="0.2">
      <c r="A163" s="62">
        <f t="shared" si="516"/>
        <v>152</v>
      </c>
      <c r="B163" s="60">
        <f>Spaces_Sum!C208</f>
        <v>0</v>
      </c>
      <c r="C163" s="62" t="str">
        <f>Spaces_Sum!D208</f>
        <v>0</v>
      </c>
      <c r="D163" s="62" t="e">
        <f ca="1">Spaces_Sum!I208</f>
        <v>#N/A</v>
      </c>
      <c r="F163" s="110" t="e">
        <f ca="1">Spaces_Sum!M208</f>
        <v>#N/A</v>
      </c>
      <c r="G163" s="110" t="e">
        <f ca="1">Spaces_Sum!J208</f>
        <v>#N/A</v>
      </c>
      <c r="H163" s="532"/>
      <c r="I163" s="185"/>
      <c r="J163" s="185"/>
      <c r="K163" s="186"/>
      <c r="L163" s="187"/>
      <c r="M163" s="188"/>
      <c r="N163" s="189"/>
      <c r="O163" s="186"/>
      <c r="P163" s="187"/>
      <c r="Q163" s="188"/>
      <c r="R163" s="189"/>
      <c r="S163" s="186"/>
      <c r="T163" s="187"/>
      <c r="U163" s="188"/>
      <c r="V163" s="189"/>
      <c r="W163" s="186"/>
      <c r="X163" s="187"/>
      <c r="Y163" s="188"/>
      <c r="Z163" s="189"/>
      <c r="AA163" s="186"/>
      <c r="AB163" s="187"/>
      <c r="AC163" s="188"/>
      <c r="AD163" s="189"/>
      <c r="AE163" s="186"/>
      <c r="AF163" s="187"/>
      <c r="AG163" s="188"/>
      <c r="AH163" s="189"/>
      <c r="AI163" s="186"/>
      <c r="AJ163" s="187"/>
      <c r="AK163" s="188"/>
      <c r="AL163" s="189"/>
      <c r="AM163" s="186"/>
      <c r="AN163" s="187"/>
      <c r="AO163" s="188"/>
      <c r="AP163" s="189"/>
      <c r="AQ163" s="186"/>
      <c r="AR163" s="187"/>
      <c r="AS163" s="188"/>
      <c r="AT163" s="189"/>
      <c r="AU163" s="186"/>
      <c r="AV163" s="187"/>
      <c r="AW163" s="188"/>
      <c r="AX163" s="189"/>
      <c r="AY163" s="186"/>
      <c r="AZ163" s="187"/>
      <c r="BA163" s="188"/>
      <c r="BB163" s="189"/>
      <c r="BC163" s="186"/>
      <c r="BD163" s="187"/>
      <c r="BE163" s="188"/>
      <c r="BF163" s="189"/>
      <c r="BG163" s="186"/>
      <c r="BH163" s="187"/>
      <c r="BI163" s="188"/>
      <c r="BJ163" s="189"/>
      <c r="BK163" s="186"/>
      <c r="BL163" s="187"/>
      <c r="BM163" s="188"/>
      <c r="BN163" s="189"/>
      <c r="BO163" s="186"/>
      <c r="BP163" s="187"/>
      <c r="BQ163" s="188"/>
      <c r="BR163" s="189"/>
      <c r="BS163" s="186"/>
      <c r="BT163" s="187"/>
      <c r="BU163" s="188"/>
      <c r="BV163" s="189"/>
      <c r="BW163" s="186"/>
      <c r="BX163" s="187"/>
      <c r="BY163" s="188"/>
      <c r="BZ163" s="189"/>
      <c r="CA163" s="186"/>
      <c r="CB163" s="190"/>
      <c r="CC163" s="190"/>
      <c r="CD163" s="82">
        <f t="shared" si="428"/>
        <v>0</v>
      </c>
      <c r="CE163" s="82">
        <f t="shared" si="429"/>
        <v>0</v>
      </c>
      <c r="CF163" s="82">
        <f t="shared" si="430"/>
        <v>0</v>
      </c>
      <c r="CG163" s="82">
        <f t="shared" si="431"/>
        <v>0</v>
      </c>
      <c r="CH163" s="82">
        <f t="shared" si="432"/>
        <v>0</v>
      </c>
      <c r="CI163" s="82">
        <f t="shared" si="433"/>
        <v>0</v>
      </c>
      <c r="CJ163" s="82">
        <f t="shared" si="434"/>
        <v>0</v>
      </c>
      <c r="CK163" s="82">
        <f t="shared" si="435"/>
        <v>0</v>
      </c>
      <c r="CL163" s="82">
        <f t="shared" si="436"/>
        <v>0</v>
      </c>
      <c r="CM163" s="82">
        <f t="shared" si="437"/>
        <v>0</v>
      </c>
      <c r="CN163" s="82">
        <f t="shared" si="438"/>
        <v>0</v>
      </c>
      <c r="CO163" s="82">
        <f t="shared" si="439"/>
        <v>0</v>
      </c>
      <c r="CP163" s="82">
        <f t="shared" si="440"/>
        <v>0</v>
      </c>
      <c r="CQ163" s="82">
        <f t="shared" si="441"/>
        <v>0</v>
      </c>
      <c r="CR163" s="82">
        <f t="shared" si="442"/>
        <v>0</v>
      </c>
      <c r="CS163" s="82">
        <f t="shared" si="443"/>
        <v>0</v>
      </c>
      <c r="CT163" s="82">
        <f t="shared" si="444"/>
        <v>0</v>
      </c>
      <c r="CU163" s="82">
        <f t="shared" si="445"/>
        <v>0</v>
      </c>
      <c r="CV163" s="82">
        <f t="shared" si="446"/>
        <v>0</v>
      </c>
      <c r="CW163" s="82">
        <f t="shared" si="447"/>
        <v>0</v>
      </c>
      <c r="CX163" s="82">
        <f t="shared" si="448"/>
        <v>0</v>
      </c>
      <c r="CY163" s="82">
        <f t="shared" si="449"/>
        <v>0</v>
      </c>
      <c r="CZ163" s="82">
        <f t="shared" si="450"/>
        <v>0</v>
      </c>
      <c r="DA163" s="82">
        <f t="shared" si="451"/>
        <v>0</v>
      </c>
      <c r="DB163" s="82">
        <f t="shared" si="452"/>
        <v>0</v>
      </c>
      <c r="DC163" s="82">
        <f t="shared" si="453"/>
        <v>0</v>
      </c>
      <c r="DD163" s="82">
        <f t="shared" si="454"/>
        <v>0</v>
      </c>
      <c r="DE163" s="82">
        <f t="shared" si="455"/>
        <v>0</v>
      </c>
      <c r="DF163" s="82">
        <f t="shared" si="456"/>
        <v>0</v>
      </c>
      <c r="DG163" s="82">
        <f t="shared" si="457"/>
        <v>0</v>
      </c>
      <c r="DH163" s="82">
        <f t="shared" si="458"/>
        <v>0</v>
      </c>
      <c r="DI163" s="82">
        <f t="shared" si="459"/>
        <v>0</v>
      </c>
      <c r="DJ163" s="82">
        <f t="shared" si="460"/>
        <v>0</v>
      </c>
      <c r="DK163" s="82">
        <f t="shared" si="461"/>
        <v>0</v>
      </c>
      <c r="DL163" s="82">
        <f t="shared" si="462"/>
        <v>0</v>
      </c>
      <c r="DM163" s="82">
        <f t="shared" si="463"/>
        <v>0</v>
      </c>
      <c r="DN163" s="82">
        <f t="shared" si="464"/>
        <v>0</v>
      </c>
      <c r="DO163" s="82">
        <f t="shared" si="465"/>
        <v>0</v>
      </c>
      <c r="DP163" s="82">
        <f t="shared" si="466"/>
        <v>0</v>
      </c>
      <c r="DQ163" s="82">
        <f t="shared" si="467"/>
        <v>0</v>
      </c>
      <c r="DR163" s="82">
        <f t="shared" si="468"/>
        <v>0</v>
      </c>
      <c r="DS163" s="82">
        <f t="shared" si="469"/>
        <v>0</v>
      </c>
      <c r="DT163" s="82">
        <f t="shared" si="470"/>
        <v>0</v>
      </c>
      <c r="DU163" s="82">
        <f t="shared" si="471"/>
        <v>0</v>
      </c>
      <c r="DV163" s="82">
        <f t="shared" si="472"/>
        <v>0</v>
      </c>
      <c r="DW163" s="82">
        <f t="shared" si="473"/>
        <v>0</v>
      </c>
      <c r="DX163" s="82">
        <f t="shared" si="474"/>
        <v>0</v>
      </c>
      <c r="DY163" s="82">
        <f t="shared" si="475"/>
        <v>0</v>
      </c>
      <c r="DZ163" s="82">
        <f t="shared" si="476"/>
        <v>0</v>
      </c>
      <c r="EA163" s="82">
        <f t="shared" si="477"/>
        <v>0</v>
      </c>
      <c r="EB163" s="82">
        <f t="shared" si="478"/>
        <v>0</v>
      </c>
      <c r="EC163" s="82">
        <f t="shared" si="479"/>
        <v>0</v>
      </c>
      <c r="ED163" s="82">
        <f t="shared" si="480"/>
        <v>0</v>
      </c>
      <c r="EE163" s="82">
        <f t="shared" si="481"/>
        <v>0</v>
      </c>
      <c r="EF163" s="82">
        <f t="shared" si="482"/>
        <v>0</v>
      </c>
      <c r="EG163" s="82">
        <f t="shared" si="483"/>
        <v>0</v>
      </c>
      <c r="EH163" s="82">
        <f t="shared" si="484"/>
        <v>0</v>
      </c>
      <c r="EI163" s="82">
        <f t="shared" si="485"/>
        <v>0</v>
      </c>
      <c r="EJ163" s="82">
        <f t="shared" si="486"/>
        <v>0</v>
      </c>
      <c r="EK163" s="82">
        <f t="shared" si="487"/>
        <v>0</v>
      </c>
      <c r="EL163" s="82">
        <f t="shared" si="488"/>
        <v>0</v>
      </c>
      <c r="EM163" s="82">
        <f t="shared" si="489"/>
        <v>0</v>
      </c>
      <c r="EN163" s="82">
        <f t="shared" si="490"/>
        <v>0</v>
      </c>
      <c r="EO163" s="82">
        <f t="shared" si="491"/>
        <v>0</v>
      </c>
      <c r="EP163" s="82">
        <f t="shared" si="492"/>
        <v>0</v>
      </c>
      <c r="EQ163" s="82">
        <f t="shared" si="493"/>
        <v>0</v>
      </c>
      <c r="ER163" s="82">
        <f t="shared" si="494"/>
        <v>0</v>
      </c>
      <c r="ES163" s="82">
        <f t="shared" si="495"/>
        <v>0</v>
      </c>
      <c r="ET163" s="82">
        <f t="shared" si="496"/>
        <v>0</v>
      </c>
      <c r="EU163" s="82">
        <f t="shared" si="497"/>
        <v>0</v>
      </c>
      <c r="EV163" s="82">
        <f t="shared" si="498"/>
        <v>0</v>
      </c>
      <c r="EW163" s="82">
        <f t="shared" si="499"/>
        <v>0</v>
      </c>
      <c r="EX163" s="82">
        <f t="shared" si="500"/>
        <v>0</v>
      </c>
      <c r="EY163" s="111">
        <f t="shared" si="501"/>
        <v>0</v>
      </c>
      <c r="EZ163" s="143" t="e">
        <f t="shared" ca="1" si="502"/>
        <v>#N/A</v>
      </c>
      <c r="FA163" s="112" t="e">
        <f t="shared" ca="1" si="503"/>
        <v>#N/A</v>
      </c>
      <c r="FB163" s="113" t="e">
        <f t="shared" ca="1" si="504"/>
        <v>#N/A</v>
      </c>
      <c r="FC163" s="114" t="e">
        <f t="shared" ca="1" si="505"/>
        <v>#N/A</v>
      </c>
      <c r="FD163" s="115">
        <f t="shared" ca="1" si="506"/>
        <v>0</v>
      </c>
      <c r="FE163" s="116" t="e">
        <f t="shared" ca="1" si="507"/>
        <v>#N/A</v>
      </c>
      <c r="FF163" s="117" t="e">
        <f t="shared" ca="1" si="508"/>
        <v>#N/A</v>
      </c>
      <c r="FG163" s="71">
        <f t="shared" si="509"/>
        <v>0</v>
      </c>
      <c r="FH163" s="530" t="e">
        <f t="shared" ca="1" si="510"/>
        <v>#N/A</v>
      </c>
      <c r="FI163" s="72"/>
      <c r="FJ163" s="72"/>
      <c r="FK163" s="72"/>
      <c r="FM163" s="421">
        <f t="shared" si="511"/>
        <v>0</v>
      </c>
      <c r="FN163" s="422" t="e">
        <f t="shared" ca="1" si="512"/>
        <v>#N/A</v>
      </c>
      <c r="FO163" s="423">
        <f t="shared" ca="1" si="525"/>
        <v>0</v>
      </c>
      <c r="FP163" s="423">
        <f t="shared" ca="1" si="525"/>
        <v>0</v>
      </c>
      <c r="FQ163" s="423">
        <f t="shared" ca="1" si="525"/>
        <v>0</v>
      </c>
      <c r="FR163" s="423">
        <f t="shared" ca="1" si="525"/>
        <v>0</v>
      </c>
      <c r="FS163" s="423">
        <f t="shared" ca="1" si="525"/>
        <v>0</v>
      </c>
      <c r="FT163" s="423">
        <f t="shared" ca="1" si="525"/>
        <v>0</v>
      </c>
      <c r="FU163" s="423">
        <f t="shared" ca="1" si="525"/>
        <v>0</v>
      </c>
      <c r="FV163" s="423">
        <f t="shared" ca="1" si="525"/>
        <v>0</v>
      </c>
      <c r="FW163" s="423">
        <f t="shared" ca="1" si="525"/>
        <v>0</v>
      </c>
      <c r="FX163" s="423">
        <f t="shared" ca="1" si="525"/>
        <v>0</v>
      </c>
      <c r="FY163" s="423">
        <f t="shared" ca="1" si="525"/>
        <v>0</v>
      </c>
      <c r="FZ163" s="423">
        <f t="shared" ca="1" si="525"/>
        <v>0</v>
      </c>
      <c r="GA163" s="423">
        <f t="shared" ca="1" si="525"/>
        <v>0</v>
      </c>
      <c r="GB163" s="423">
        <f t="shared" ca="1" si="525"/>
        <v>0</v>
      </c>
      <c r="GC163" s="423">
        <f t="shared" ca="1" si="525"/>
        <v>0</v>
      </c>
      <c r="GD163" s="423">
        <f t="shared" ca="1" si="525"/>
        <v>0</v>
      </c>
      <c r="GE163" s="423">
        <f t="shared" ca="1" si="523"/>
        <v>0</v>
      </c>
      <c r="GF163" s="423">
        <f t="shared" ca="1" si="523"/>
        <v>0</v>
      </c>
      <c r="GG163" s="423">
        <f t="shared" ca="1" si="523"/>
        <v>0</v>
      </c>
      <c r="GH163" s="423">
        <f t="shared" ca="1" si="523"/>
        <v>0</v>
      </c>
      <c r="GI163" s="423">
        <f t="shared" ca="1" si="523"/>
        <v>0</v>
      </c>
      <c r="GJ163" s="423">
        <f t="shared" ca="1" si="523"/>
        <v>0</v>
      </c>
      <c r="GK163" s="423">
        <f t="shared" ca="1" si="523"/>
        <v>0</v>
      </c>
      <c r="GL163" s="423">
        <f t="shared" ca="1" si="523"/>
        <v>0</v>
      </c>
      <c r="GM163" s="423">
        <f t="shared" ca="1" si="523"/>
        <v>0</v>
      </c>
      <c r="GN163" s="423">
        <f t="shared" ca="1" si="523"/>
        <v>0</v>
      </c>
      <c r="GO163" s="423">
        <f t="shared" ca="1" si="523"/>
        <v>0</v>
      </c>
      <c r="GP163" s="423">
        <f t="shared" ca="1" si="523"/>
        <v>0</v>
      </c>
      <c r="GQ163" s="423">
        <f t="shared" ca="1" si="523"/>
        <v>0</v>
      </c>
      <c r="GR163" s="423">
        <f t="shared" ca="1" si="523"/>
        <v>0</v>
      </c>
      <c r="GS163" s="423">
        <f t="shared" ca="1" si="521"/>
        <v>0</v>
      </c>
      <c r="GT163" s="423">
        <f t="shared" ca="1" si="521"/>
        <v>0</v>
      </c>
      <c r="GU163" s="423">
        <f t="shared" ca="1" si="521"/>
        <v>0</v>
      </c>
      <c r="GV163" s="423">
        <f t="shared" ca="1" si="521"/>
        <v>0</v>
      </c>
      <c r="GW163" s="423">
        <f t="shared" ca="1" si="521"/>
        <v>0</v>
      </c>
      <c r="GX163" s="423">
        <f t="shared" ca="1" si="521"/>
        <v>0</v>
      </c>
      <c r="GY163" s="423">
        <f t="shared" ca="1" si="521"/>
        <v>0</v>
      </c>
      <c r="GZ163" s="423">
        <f t="shared" ca="1" si="521"/>
        <v>0</v>
      </c>
      <c r="HA163" s="423">
        <f t="shared" ca="1" si="521"/>
        <v>0</v>
      </c>
      <c r="HB163" s="423">
        <f t="shared" ca="1" si="521"/>
        <v>0</v>
      </c>
      <c r="HC163" s="423">
        <f t="shared" ca="1" si="521"/>
        <v>0</v>
      </c>
      <c r="HD163" s="423">
        <f t="shared" ca="1" si="521"/>
        <v>0</v>
      </c>
      <c r="HE163" s="423">
        <f t="shared" ca="1" si="521"/>
        <v>0</v>
      </c>
      <c r="HF163" s="423">
        <f t="shared" ca="1" si="521"/>
        <v>0</v>
      </c>
      <c r="HG163" s="423">
        <f t="shared" ca="1" si="521"/>
        <v>0</v>
      </c>
      <c r="HH163" s="423">
        <f t="shared" ca="1" si="521"/>
        <v>0</v>
      </c>
      <c r="HI163" s="423">
        <f t="shared" ca="1" si="524"/>
        <v>0</v>
      </c>
      <c r="HJ163" s="423">
        <f t="shared" ca="1" si="522"/>
        <v>0</v>
      </c>
      <c r="HK163" s="423">
        <f t="shared" ca="1" si="522"/>
        <v>0</v>
      </c>
      <c r="HL163" s="423">
        <f t="shared" ca="1" si="522"/>
        <v>0</v>
      </c>
      <c r="HM163" s="423">
        <f t="shared" ca="1" si="522"/>
        <v>0</v>
      </c>
      <c r="HN163" s="423">
        <f t="shared" ca="1" si="522"/>
        <v>0</v>
      </c>
      <c r="HO163" s="423">
        <f t="shared" ca="1" si="522"/>
        <v>0</v>
      </c>
      <c r="HP163" s="423">
        <f t="shared" ca="1" si="522"/>
        <v>0</v>
      </c>
      <c r="HQ163" s="423">
        <f t="shared" ca="1" si="522"/>
        <v>0</v>
      </c>
      <c r="HR163" s="423">
        <f t="shared" ca="1" si="522"/>
        <v>0</v>
      </c>
      <c r="HS163" s="423">
        <f t="shared" ca="1" si="522"/>
        <v>0</v>
      </c>
      <c r="HT163" s="423">
        <f t="shared" ca="1" si="522"/>
        <v>0</v>
      </c>
    </row>
    <row r="164" spans="1:230" x14ac:dyDescent="0.2">
      <c r="A164" s="62">
        <f t="shared" si="516"/>
        <v>153</v>
      </c>
      <c r="B164" s="60">
        <f>Spaces_Sum!C209</f>
        <v>0</v>
      </c>
      <c r="C164" s="62" t="str">
        <f>Spaces_Sum!D209</f>
        <v>0</v>
      </c>
      <c r="D164" s="62" t="e">
        <f ca="1">Spaces_Sum!I209</f>
        <v>#N/A</v>
      </c>
      <c r="F164" s="110" t="e">
        <f ca="1">Spaces_Sum!M209</f>
        <v>#N/A</v>
      </c>
      <c r="G164" s="110" t="e">
        <f ca="1">Spaces_Sum!J209</f>
        <v>#N/A</v>
      </c>
      <c r="H164" s="532"/>
      <c r="I164" s="185"/>
      <c r="J164" s="185"/>
      <c r="K164" s="186"/>
      <c r="L164" s="187"/>
      <c r="M164" s="188"/>
      <c r="N164" s="189"/>
      <c r="O164" s="186"/>
      <c r="P164" s="187"/>
      <c r="Q164" s="188"/>
      <c r="R164" s="189"/>
      <c r="S164" s="186"/>
      <c r="T164" s="187"/>
      <c r="U164" s="188"/>
      <c r="V164" s="189"/>
      <c r="W164" s="186"/>
      <c r="X164" s="187"/>
      <c r="Y164" s="188"/>
      <c r="Z164" s="189"/>
      <c r="AA164" s="186"/>
      <c r="AB164" s="187"/>
      <c r="AC164" s="188"/>
      <c r="AD164" s="189"/>
      <c r="AE164" s="186"/>
      <c r="AF164" s="187"/>
      <c r="AG164" s="188"/>
      <c r="AH164" s="189"/>
      <c r="AI164" s="186"/>
      <c r="AJ164" s="187"/>
      <c r="AK164" s="188"/>
      <c r="AL164" s="189"/>
      <c r="AM164" s="186"/>
      <c r="AN164" s="187"/>
      <c r="AO164" s="188"/>
      <c r="AP164" s="189"/>
      <c r="AQ164" s="186"/>
      <c r="AR164" s="187"/>
      <c r="AS164" s="188"/>
      <c r="AT164" s="189"/>
      <c r="AU164" s="186"/>
      <c r="AV164" s="187"/>
      <c r="AW164" s="188"/>
      <c r="AX164" s="189"/>
      <c r="AY164" s="186"/>
      <c r="AZ164" s="187"/>
      <c r="BA164" s="188"/>
      <c r="BB164" s="189"/>
      <c r="BC164" s="186"/>
      <c r="BD164" s="187"/>
      <c r="BE164" s="188"/>
      <c r="BF164" s="189"/>
      <c r="BG164" s="186"/>
      <c r="BH164" s="187"/>
      <c r="BI164" s="188"/>
      <c r="BJ164" s="189"/>
      <c r="BK164" s="186"/>
      <c r="BL164" s="187"/>
      <c r="BM164" s="188"/>
      <c r="BN164" s="189"/>
      <c r="BO164" s="186"/>
      <c r="BP164" s="187"/>
      <c r="BQ164" s="188"/>
      <c r="BR164" s="189"/>
      <c r="BS164" s="186"/>
      <c r="BT164" s="187"/>
      <c r="BU164" s="188"/>
      <c r="BV164" s="189"/>
      <c r="BW164" s="186"/>
      <c r="BX164" s="187"/>
      <c r="BY164" s="188"/>
      <c r="BZ164" s="189"/>
      <c r="CA164" s="186"/>
      <c r="CB164" s="190"/>
      <c r="CC164" s="190"/>
      <c r="CD164" s="82">
        <f t="shared" si="428"/>
        <v>0</v>
      </c>
      <c r="CE164" s="82">
        <f t="shared" si="429"/>
        <v>0</v>
      </c>
      <c r="CF164" s="82">
        <f t="shared" si="430"/>
        <v>0</v>
      </c>
      <c r="CG164" s="82">
        <f t="shared" si="431"/>
        <v>0</v>
      </c>
      <c r="CH164" s="82">
        <f t="shared" si="432"/>
        <v>0</v>
      </c>
      <c r="CI164" s="82">
        <f t="shared" si="433"/>
        <v>0</v>
      </c>
      <c r="CJ164" s="82">
        <f t="shared" si="434"/>
        <v>0</v>
      </c>
      <c r="CK164" s="82">
        <f t="shared" si="435"/>
        <v>0</v>
      </c>
      <c r="CL164" s="82">
        <f t="shared" si="436"/>
        <v>0</v>
      </c>
      <c r="CM164" s="82">
        <f t="shared" si="437"/>
        <v>0</v>
      </c>
      <c r="CN164" s="82">
        <f t="shared" si="438"/>
        <v>0</v>
      </c>
      <c r="CO164" s="82">
        <f t="shared" si="439"/>
        <v>0</v>
      </c>
      <c r="CP164" s="82">
        <f t="shared" si="440"/>
        <v>0</v>
      </c>
      <c r="CQ164" s="82">
        <f t="shared" si="441"/>
        <v>0</v>
      </c>
      <c r="CR164" s="82">
        <f t="shared" si="442"/>
        <v>0</v>
      </c>
      <c r="CS164" s="82">
        <f t="shared" si="443"/>
        <v>0</v>
      </c>
      <c r="CT164" s="82">
        <f t="shared" si="444"/>
        <v>0</v>
      </c>
      <c r="CU164" s="82">
        <f t="shared" si="445"/>
        <v>0</v>
      </c>
      <c r="CV164" s="82">
        <f t="shared" si="446"/>
        <v>0</v>
      </c>
      <c r="CW164" s="82">
        <f t="shared" si="447"/>
        <v>0</v>
      </c>
      <c r="CX164" s="82">
        <f t="shared" si="448"/>
        <v>0</v>
      </c>
      <c r="CY164" s="82">
        <f t="shared" si="449"/>
        <v>0</v>
      </c>
      <c r="CZ164" s="82">
        <f t="shared" si="450"/>
        <v>0</v>
      </c>
      <c r="DA164" s="82">
        <f t="shared" si="451"/>
        <v>0</v>
      </c>
      <c r="DB164" s="82">
        <f t="shared" si="452"/>
        <v>0</v>
      </c>
      <c r="DC164" s="82">
        <f t="shared" si="453"/>
        <v>0</v>
      </c>
      <c r="DD164" s="82">
        <f t="shared" si="454"/>
        <v>0</v>
      </c>
      <c r="DE164" s="82">
        <f t="shared" si="455"/>
        <v>0</v>
      </c>
      <c r="DF164" s="82">
        <f t="shared" si="456"/>
        <v>0</v>
      </c>
      <c r="DG164" s="82">
        <f t="shared" si="457"/>
        <v>0</v>
      </c>
      <c r="DH164" s="82">
        <f t="shared" si="458"/>
        <v>0</v>
      </c>
      <c r="DI164" s="82">
        <f t="shared" si="459"/>
        <v>0</v>
      </c>
      <c r="DJ164" s="82">
        <f t="shared" si="460"/>
        <v>0</v>
      </c>
      <c r="DK164" s="82">
        <f t="shared" si="461"/>
        <v>0</v>
      </c>
      <c r="DL164" s="82">
        <f t="shared" si="462"/>
        <v>0</v>
      </c>
      <c r="DM164" s="82">
        <f t="shared" si="463"/>
        <v>0</v>
      </c>
      <c r="DN164" s="82">
        <f t="shared" si="464"/>
        <v>0</v>
      </c>
      <c r="DO164" s="82">
        <f t="shared" si="465"/>
        <v>0</v>
      </c>
      <c r="DP164" s="82">
        <f t="shared" si="466"/>
        <v>0</v>
      </c>
      <c r="DQ164" s="82">
        <f t="shared" si="467"/>
        <v>0</v>
      </c>
      <c r="DR164" s="82">
        <f t="shared" si="468"/>
        <v>0</v>
      </c>
      <c r="DS164" s="82">
        <f t="shared" si="469"/>
        <v>0</v>
      </c>
      <c r="DT164" s="82">
        <f t="shared" si="470"/>
        <v>0</v>
      </c>
      <c r="DU164" s="82">
        <f t="shared" si="471"/>
        <v>0</v>
      </c>
      <c r="DV164" s="82">
        <f t="shared" si="472"/>
        <v>0</v>
      </c>
      <c r="DW164" s="82">
        <f t="shared" si="473"/>
        <v>0</v>
      </c>
      <c r="DX164" s="82">
        <f t="shared" si="474"/>
        <v>0</v>
      </c>
      <c r="DY164" s="82">
        <f t="shared" si="475"/>
        <v>0</v>
      </c>
      <c r="DZ164" s="82">
        <f t="shared" si="476"/>
        <v>0</v>
      </c>
      <c r="EA164" s="82">
        <f t="shared" si="477"/>
        <v>0</v>
      </c>
      <c r="EB164" s="82">
        <f t="shared" si="478"/>
        <v>0</v>
      </c>
      <c r="EC164" s="82">
        <f t="shared" si="479"/>
        <v>0</v>
      </c>
      <c r="ED164" s="82">
        <f t="shared" si="480"/>
        <v>0</v>
      </c>
      <c r="EE164" s="82">
        <f t="shared" si="481"/>
        <v>0</v>
      </c>
      <c r="EF164" s="82">
        <f t="shared" si="482"/>
        <v>0</v>
      </c>
      <c r="EG164" s="82">
        <f t="shared" si="483"/>
        <v>0</v>
      </c>
      <c r="EH164" s="82">
        <f t="shared" si="484"/>
        <v>0</v>
      </c>
      <c r="EI164" s="82">
        <f t="shared" si="485"/>
        <v>0</v>
      </c>
      <c r="EJ164" s="82">
        <f t="shared" si="486"/>
        <v>0</v>
      </c>
      <c r="EK164" s="82">
        <f t="shared" si="487"/>
        <v>0</v>
      </c>
      <c r="EL164" s="82">
        <f t="shared" si="488"/>
        <v>0</v>
      </c>
      <c r="EM164" s="82">
        <f t="shared" si="489"/>
        <v>0</v>
      </c>
      <c r="EN164" s="82">
        <f t="shared" si="490"/>
        <v>0</v>
      </c>
      <c r="EO164" s="82">
        <f t="shared" si="491"/>
        <v>0</v>
      </c>
      <c r="EP164" s="82">
        <f t="shared" si="492"/>
        <v>0</v>
      </c>
      <c r="EQ164" s="82">
        <f t="shared" si="493"/>
        <v>0</v>
      </c>
      <c r="ER164" s="82">
        <f t="shared" si="494"/>
        <v>0</v>
      </c>
      <c r="ES164" s="82">
        <f t="shared" si="495"/>
        <v>0</v>
      </c>
      <c r="ET164" s="82">
        <f t="shared" si="496"/>
        <v>0</v>
      </c>
      <c r="EU164" s="82">
        <f t="shared" si="497"/>
        <v>0</v>
      </c>
      <c r="EV164" s="82">
        <f t="shared" si="498"/>
        <v>0</v>
      </c>
      <c r="EW164" s="82">
        <f t="shared" si="499"/>
        <v>0</v>
      </c>
      <c r="EX164" s="82">
        <f t="shared" si="500"/>
        <v>0</v>
      </c>
      <c r="EY164" s="111">
        <f t="shared" si="501"/>
        <v>0</v>
      </c>
      <c r="EZ164" s="143" t="e">
        <f t="shared" ca="1" si="502"/>
        <v>#N/A</v>
      </c>
      <c r="FA164" s="112" t="e">
        <f t="shared" ca="1" si="503"/>
        <v>#N/A</v>
      </c>
      <c r="FB164" s="113" t="e">
        <f t="shared" ca="1" si="504"/>
        <v>#N/A</v>
      </c>
      <c r="FC164" s="114" t="e">
        <f t="shared" ca="1" si="505"/>
        <v>#N/A</v>
      </c>
      <c r="FD164" s="115">
        <f t="shared" ca="1" si="506"/>
        <v>0</v>
      </c>
      <c r="FE164" s="116" t="e">
        <f t="shared" ca="1" si="507"/>
        <v>#N/A</v>
      </c>
      <c r="FF164" s="117" t="e">
        <f t="shared" ca="1" si="508"/>
        <v>#N/A</v>
      </c>
      <c r="FG164" s="71">
        <f t="shared" si="509"/>
        <v>0</v>
      </c>
      <c r="FH164" s="530" t="e">
        <f t="shared" ca="1" si="510"/>
        <v>#N/A</v>
      </c>
      <c r="FI164" s="72"/>
      <c r="FJ164" s="72"/>
      <c r="FK164" s="72"/>
      <c r="FM164" s="421">
        <f t="shared" si="511"/>
        <v>0</v>
      </c>
      <c r="FN164" s="422" t="e">
        <f t="shared" ca="1" si="512"/>
        <v>#N/A</v>
      </c>
      <c r="FO164" s="423">
        <f t="shared" ca="1" si="525"/>
        <v>0</v>
      </c>
      <c r="FP164" s="423">
        <f t="shared" ca="1" si="525"/>
        <v>0</v>
      </c>
      <c r="FQ164" s="423">
        <f t="shared" ca="1" si="525"/>
        <v>0</v>
      </c>
      <c r="FR164" s="423">
        <f t="shared" ca="1" si="525"/>
        <v>0</v>
      </c>
      <c r="FS164" s="423">
        <f t="shared" ca="1" si="525"/>
        <v>0</v>
      </c>
      <c r="FT164" s="423">
        <f t="shared" ca="1" si="525"/>
        <v>0</v>
      </c>
      <c r="FU164" s="423">
        <f t="shared" ca="1" si="525"/>
        <v>0</v>
      </c>
      <c r="FV164" s="423">
        <f t="shared" ca="1" si="525"/>
        <v>0</v>
      </c>
      <c r="FW164" s="423">
        <f t="shared" ca="1" si="525"/>
        <v>0</v>
      </c>
      <c r="FX164" s="423">
        <f t="shared" ca="1" si="525"/>
        <v>0</v>
      </c>
      <c r="FY164" s="423">
        <f t="shared" ca="1" si="525"/>
        <v>0</v>
      </c>
      <c r="FZ164" s="423">
        <f t="shared" ca="1" si="525"/>
        <v>0</v>
      </c>
      <c r="GA164" s="423">
        <f t="shared" ca="1" si="525"/>
        <v>0</v>
      </c>
      <c r="GB164" s="423">
        <f t="shared" ca="1" si="525"/>
        <v>0</v>
      </c>
      <c r="GC164" s="423">
        <f t="shared" ca="1" si="525"/>
        <v>0</v>
      </c>
      <c r="GD164" s="423">
        <f t="shared" ca="1" si="525"/>
        <v>0</v>
      </c>
      <c r="GE164" s="423">
        <f t="shared" ca="1" si="523"/>
        <v>0</v>
      </c>
      <c r="GF164" s="423">
        <f t="shared" ca="1" si="523"/>
        <v>0</v>
      </c>
      <c r="GG164" s="423">
        <f t="shared" ca="1" si="523"/>
        <v>0</v>
      </c>
      <c r="GH164" s="423">
        <f t="shared" ca="1" si="523"/>
        <v>0</v>
      </c>
      <c r="GI164" s="423">
        <f t="shared" ca="1" si="523"/>
        <v>0</v>
      </c>
      <c r="GJ164" s="423">
        <f t="shared" ca="1" si="523"/>
        <v>0</v>
      </c>
      <c r="GK164" s="423">
        <f t="shared" ca="1" si="523"/>
        <v>0</v>
      </c>
      <c r="GL164" s="423">
        <f t="shared" ca="1" si="523"/>
        <v>0</v>
      </c>
      <c r="GM164" s="423">
        <f t="shared" ca="1" si="523"/>
        <v>0</v>
      </c>
      <c r="GN164" s="423">
        <f t="shared" ca="1" si="523"/>
        <v>0</v>
      </c>
      <c r="GO164" s="423">
        <f t="shared" ca="1" si="523"/>
        <v>0</v>
      </c>
      <c r="GP164" s="423">
        <f t="shared" ca="1" si="523"/>
        <v>0</v>
      </c>
      <c r="GQ164" s="423">
        <f t="shared" ca="1" si="523"/>
        <v>0</v>
      </c>
      <c r="GR164" s="423">
        <f t="shared" ca="1" si="523"/>
        <v>0</v>
      </c>
      <c r="GS164" s="423">
        <f t="shared" ca="1" si="521"/>
        <v>0</v>
      </c>
      <c r="GT164" s="423">
        <f t="shared" ca="1" si="521"/>
        <v>0</v>
      </c>
      <c r="GU164" s="423">
        <f t="shared" ca="1" si="521"/>
        <v>0</v>
      </c>
      <c r="GV164" s="423">
        <f t="shared" ca="1" si="521"/>
        <v>0</v>
      </c>
      <c r="GW164" s="423">
        <f t="shared" ca="1" si="521"/>
        <v>0</v>
      </c>
      <c r="GX164" s="423">
        <f t="shared" ca="1" si="521"/>
        <v>0</v>
      </c>
      <c r="GY164" s="423">
        <f t="shared" ca="1" si="521"/>
        <v>0</v>
      </c>
      <c r="GZ164" s="423">
        <f t="shared" ca="1" si="521"/>
        <v>0</v>
      </c>
      <c r="HA164" s="423">
        <f t="shared" ca="1" si="521"/>
        <v>0</v>
      </c>
      <c r="HB164" s="423">
        <f t="shared" ca="1" si="521"/>
        <v>0</v>
      </c>
      <c r="HC164" s="423">
        <f t="shared" ca="1" si="521"/>
        <v>0</v>
      </c>
      <c r="HD164" s="423">
        <f t="shared" ca="1" si="521"/>
        <v>0</v>
      </c>
      <c r="HE164" s="423">
        <f t="shared" ca="1" si="521"/>
        <v>0</v>
      </c>
      <c r="HF164" s="423">
        <f t="shared" ca="1" si="521"/>
        <v>0</v>
      </c>
      <c r="HG164" s="423">
        <f t="shared" ca="1" si="521"/>
        <v>0</v>
      </c>
      <c r="HH164" s="423">
        <f t="shared" ca="1" si="521"/>
        <v>0</v>
      </c>
      <c r="HI164" s="423">
        <f t="shared" ca="1" si="524"/>
        <v>0</v>
      </c>
      <c r="HJ164" s="423">
        <f t="shared" ca="1" si="522"/>
        <v>0</v>
      </c>
      <c r="HK164" s="423">
        <f t="shared" ca="1" si="522"/>
        <v>0</v>
      </c>
      <c r="HL164" s="423">
        <f t="shared" ca="1" si="522"/>
        <v>0</v>
      </c>
      <c r="HM164" s="423">
        <f t="shared" ca="1" si="522"/>
        <v>0</v>
      </c>
      <c r="HN164" s="423">
        <f t="shared" ca="1" si="522"/>
        <v>0</v>
      </c>
      <c r="HO164" s="423">
        <f t="shared" ca="1" si="522"/>
        <v>0</v>
      </c>
      <c r="HP164" s="423">
        <f t="shared" ca="1" si="522"/>
        <v>0</v>
      </c>
      <c r="HQ164" s="423">
        <f t="shared" ca="1" si="522"/>
        <v>0</v>
      </c>
      <c r="HR164" s="423">
        <f t="shared" ca="1" si="522"/>
        <v>0</v>
      </c>
      <c r="HS164" s="423">
        <f t="shared" ca="1" si="522"/>
        <v>0</v>
      </c>
      <c r="HT164" s="423">
        <f t="shared" ca="1" si="522"/>
        <v>0</v>
      </c>
    </row>
    <row r="165" spans="1:230" x14ac:dyDescent="0.2">
      <c r="A165" s="62">
        <f t="shared" si="516"/>
        <v>154</v>
      </c>
      <c r="B165" s="60">
        <f>Spaces_Sum!C210</f>
        <v>0</v>
      </c>
      <c r="C165" s="62" t="str">
        <f>Spaces_Sum!D210</f>
        <v>0</v>
      </c>
      <c r="D165" s="62" t="e">
        <f ca="1">Spaces_Sum!I210</f>
        <v>#N/A</v>
      </c>
      <c r="F165" s="110" t="e">
        <f ca="1">Spaces_Sum!M210</f>
        <v>#N/A</v>
      </c>
      <c r="G165" s="110" t="e">
        <f ca="1">Spaces_Sum!J210</f>
        <v>#N/A</v>
      </c>
      <c r="H165" s="532"/>
      <c r="I165" s="185"/>
      <c r="J165" s="185"/>
      <c r="K165" s="186"/>
      <c r="L165" s="187"/>
      <c r="M165" s="188"/>
      <c r="N165" s="189"/>
      <c r="O165" s="186"/>
      <c r="P165" s="187"/>
      <c r="Q165" s="188"/>
      <c r="R165" s="189"/>
      <c r="S165" s="186"/>
      <c r="T165" s="187"/>
      <c r="U165" s="188"/>
      <c r="V165" s="189"/>
      <c r="W165" s="186"/>
      <c r="X165" s="187"/>
      <c r="Y165" s="188"/>
      <c r="Z165" s="189"/>
      <c r="AA165" s="186"/>
      <c r="AB165" s="187"/>
      <c r="AC165" s="188"/>
      <c r="AD165" s="189"/>
      <c r="AE165" s="186"/>
      <c r="AF165" s="187"/>
      <c r="AG165" s="188"/>
      <c r="AH165" s="189"/>
      <c r="AI165" s="186"/>
      <c r="AJ165" s="187"/>
      <c r="AK165" s="188"/>
      <c r="AL165" s="189"/>
      <c r="AM165" s="186"/>
      <c r="AN165" s="187"/>
      <c r="AO165" s="188"/>
      <c r="AP165" s="189"/>
      <c r="AQ165" s="186"/>
      <c r="AR165" s="187"/>
      <c r="AS165" s="188"/>
      <c r="AT165" s="189"/>
      <c r="AU165" s="186"/>
      <c r="AV165" s="187"/>
      <c r="AW165" s="188"/>
      <c r="AX165" s="189"/>
      <c r="AY165" s="186"/>
      <c r="AZ165" s="187"/>
      <c r="BA165" s="188"/>
      <c r="BB165" s="189"/>
      <c r="BC165" s="186"/>
      <c r="BD165" s="187"/>
      <c r="BE165" s="188"/>
      <c r="BF165" s="189"/>
      <c r="BG165" s="186"/>
      <c r="BH165" s="187"/>
      <c r="BI165" s="188"/>
      <c r="BJ165" s="189"/>
      <c r="BK165" s="186"/>
      <c r="BL165" s="187"/>
      <c r="BM165" s="188"/>
      <c r="BN165" s="189"/>
      <c r="BO165" s="186"/>
      <c r="BP165" s="187"/>
      <c r="BQ165" s="188"/>
      <c r="BR165" s="189"/>
      <c r="BS165" s="186"/>
      <c r="BT165" s="187"/>
      <c r="BU165" s="188"/>
      <c r="BV165" s="189"/>
      <c r="BW165" s="186"/>
      <c r="BX165" s="187"/>
      <c r="BY165" s="188"/>
      <c r="BZ165" s="189"/>
      <c r="CA165" s="186"/>
      <c r="CB165" s="190"/>
      <c r="CC165" s="190"/>
      <c r="CD165" s="82">
        <f t="shared" si="428"/>
        <v>0</v>
      </c>
      <c r="CE165" s="82">
        <f t="shared" si="429"/>
        <v>0</v>
      </c>
      <c r="CF165" s="82">
        <f t="shared" si="430"/>
        <v>0</v>
      </c>
      <c r="CG165" s="82">
        <f t="shared" si="431"/>
        <v>0</v>
      </c>
      <c r="CH165" s="82">
        <f t="shared" si="432"/>
        <v>0</v>
      </c>
      <c r="CI165" s="82">
        <f t="shared" si="433"/>
        <v>0</v>
      </c>
      <c r="CJ165" s="82">
        <f t="shared" si="434"/>
        <v>0</v>
      </c>
      <c r="CK165" s="82">
        <f t="shared" si="435"/>
        <v>0</v>
      </c>
      <c r="CL165" s="82">
        <f t="shared" si="436"/>
        <v>0</v>
      </c>
      <c r="CM165" s="82">
        <f t="shared" si="437"/>
        <v>0</v>
      </c>
      <c r="CN165" s="82">
        <f t="shared" si="438"/>
        <v>0</v>
      </c>
      <c r="CO165" s="82">
        <f t="shared" si="439"/>
        <v>0</v>
      </c>
      <c r="CP165" s="82">
        <f t="shared" si="440"/>
        <v>0</v>
      </c>
      <c r="CQ165" s="82">
        <f t="shared" si="441"/>
        <v>0</v>
      </c>
      <c r="CR165" s="82">
        <f t="shared" si="442"/>
        <v>0</v>
      </c>
      <c r="CS165" s="82">
        <f t="shared" si="443"/>
        <v>0</v>
      </c>
      <c r="CT165" s="82">
        <f t="shared" si="444"/>
        <v>0</v>
      </c>
      <c r="CU165" s="82">
        <f t="shared" si="445"/>
        <v>0</v>
      </c>
      <c r="CV165" s="82">
        <f t="shared" si="446"/>
        <v>0</v>
      </c>
      <c r="CW165" s="82">
        <f t="shared" si="447"/>
        <v>0</v>
      </c>
      <c r="CX165" s="82">
        <f t="shared" si="448"/>
        <v>0</v>
      </c>
      <c r="CY165" s="82">
        <f t="shared" si="449"/>
        <v>0</v>
      </c>
      <c r="CZ165" s="82">
        <f t="shared" si="450"/>
        <v>0</v>
      </c>
      <c r="DA165" s="82">
        <f t="shared" si="451"/>
        <v>0</v>
      </c>
      <c r="DB165" s="82">
        <f t="shared" si="452"/>
        <v>0</v>
      </c>
      <c r="DC165" s="82">
        <f t="shared" si="453"/>
        <v>0</v>
      </c>
      <c r="DD165" s="82">
        <f t="shared" si="454"/>
        <v>0</v>
      </c>
      <c r="DE165" s="82">
        <f t="shared" si="455"/>
        <v>0</v>
      </c>
      <c r="DF165" s="82">
        <f t="shared" si="456"/>
        <v>0</v>
      </c>
      <c r="DG165" s="82">
        <f t="shared" si="457"/>
        <v>0</v>
      </c>
      <c r="DH165" s="82">
        <f t="shared" si="458"/>
        <v>0</v>
      </c>
      <c r="DI165" s="82">
        <f t="shared" si="459"/>
        <v>0</v>
      </c>
      <c r="DJ165" s="82">
        <f t="shared" si="460"/>
        <v>0</v>
      </c>
      <c r="DK165" s="82">
        <f t="shared" si="461"/>
        <v>0</v>
      </c>
      <c r="DL165" s="82">
        <f t="shared" si="462"/>
        <v>0</v>
      </c>
      <c r="DM165" s="82">
        <f t="shared" si="463"/>
        <v>0</v>
      </c>
      <c r="DN165" s="82">
        <f t="shared" si="464"/>
        <v>0</v>
      </c>
      <c r="DO165" s="82">
        <f t="shared" si="465"/>
        <v>0</v>
      </c>
      <c r="DP165" s="82">
        <f t="shared" si="466"/>
        <v>0</v>
      </c>
      <c r="DQ165" s="82">
        <f t="shared" si="467"/>
        <v>0</v>
      </c>
      <c r="DR165" s="82">
        <f t="shared" si="468"/>
        <v>0</v>
      </c>
      <c r="DS165" s="82">
        <f t="shared" si="469"/>
        <v>0</v>
      </c>
      <c r="DT165" s="82">
        <f t="shared" si="470"/>
        <v>0</v>
      </c>
      <c r="DU165" s="82">
        <f t="shared" si="471"/>
        <v>0</v>
      </c>
      <c r="DV165" s="82">
        <f t="shared" si="472"/>
        <v>0</v>
      </c>
      <c r="DW165" s="82">
        <f t="shared" si="473"/>
        <v>0</v>
      </c>
      <c r="DX165" s="82">
        <f t="shared" si="474"/>
        <v>0</v>
      </c>
      <c r="DY165" s="82">
        <f t="shared" si="475"/>
        <v>0</v>
      </c>
      <c r="DZ165" s="82">
        <f t="shared" si="476"/>
        <v>0</v>
      </c>
      <c r="EA165" s="82">
        <f t="shared" si="477"/>
        <v>0</v>
      </c>
      <c r="EB165" s="82">
        <f t="shared" si="478"/>
        <v>0</v>
      </c>
      <c r="EC165" s="82">
        <f t="shared" si="479"/>
        <v>0</v>
      </c>
      <c r="ED165" s="82">
        <f t="shared" si="480"/>
        <v>0</v>
      </c>
      <c r="EE165" s="82">
        <f t="shared" si="481"/>
        <v>0</v>
      </c>
      <c r="EF165" s="82">
        <f t="shared" si="482"/>
        <v>0</v>
      </c>
      <c r="EG165" s="82">
        <f t="shared" si="483"/>
        <v>0</v>
      </c>
      <c r="EH165" s="82">
        <f t="shared" si="484"/>
        <v>0</v>
      </c>
      <c r="EI165" s="82">
        <f t="shared" si="485"/>
        <v>0</v>
      </c>
      <c r="EJ165" s="82">
        <f t="shared" si="486"/>
        <v>0</v>
      </c>
      <c r="EK165" s="82">
        <f t="shared" si="487"/>
        <v>0</v>
      </c>
      <c r="EL165" s="82">
        <f t="shared" si="488"/>
        <v>0</v>
      </c>
      <c r="EM165" s="82">
        <f t="shared" si="489"/>
        <v>0</v>
      </c>
      <c r="EN165" s="82">
        <f t="shared" si="490"/>
        <v>0</v>
      </c>
      <c r="EO165" s="82">
        <f t="shared" si="491"/>
        <v>0</v>
      </c>
      <c r="EP165" s="82">
        <f t="shared" si="492"/>
        <v>0</v>
      </c>
      <c r="EQ165" s="82">
        <f t="shared" si="493"/>
        <v>0</v>
      </c>
      <c r="ER165" s="82">
        <f t="shared" si="494"/>
        <v>0</v>
      </c>
      <c r="ES165" s="82">
        <f t="shared" si="495"/>
        <v>0</v>
      </c>
      <c r="ET165" s="82">
        <f t="shared" si="496"/>
        <v>0</v>
      </c>
      <c r="EU165" s="82">
        <f t="shared" si="497"/>
        <v>0</v>
      </c>
      <c r="EV165" s="82">
        <f t="shared" si="498"/>
        <v>0</v>
      </c>
      <c r="EW165" s="82">
        <f t="shared" si="499"/>
        <v>0</v>
      </c>
      <c r="EX165" s="82">
        <f t="shared" si="500"/>
        <v>0</v>
      </c>
      <c r="EY165" s="111">
        <f t="shared" si="501"/>
        <v>0</v>
      </c>
      <c r="EZ165" s="143" t="e">
        <f t="shared" ca="1" si="502"/>
        <v>#N/A</v>
      </c>
      <c r="FA165" s="112" t="e">
        <f t="shared" ca="1" si="503"/>
        <v>#N/A</v>
      </c>
      <c r="FB165" s="113" t="e">
        <f t="shared" ca="1" si="504"/>
        <v>#N/A</v>
      </c>
      <c r="FC165" s="114" t="e">
        <f t="shared" ca="1" si="505"/>
        <v>#N/A</v>
      </c>
      <c r="FD165" s="115">
        <f t="shared" ca="1" si="506"/>
        <v>0</v>
      </c>
      <c r="FE165" s="116" t="e">
        <f t="shared" ca="1" si="507"/>
        <v>#N/A</v>
      </c>
      <c r="FF165" s="117" t="e">
        <f t="shared" ca="1" si="508"/>
        <v>#N/A</v>
      </c>
      <c r="FG165" s="71">
        <f t="shared" si="509"/>
        <v>0</v>
      </c>
      <c r="FH165" s="530" t="e">
        <f t="shared" ca="1" si="510"/>
        <v>#N/A</v>
      </c>
      <c r="FI165" s="72"/>
      <c r="FJ165" s="72"/>
      <c r="FK165" s="72"/>
      <c r="FM165" s="421">
        <f t="shared" si="511"/>
        <v>0</v>
      </c>
      <c r="FN165" s="422" t="e">
        <f t="shared" ca="1" si="512"/>
        <v>#N/A</v>
      </c>
      <c r="FO165" s="423">
        <f t="shared" ca="1" si="525"/>
        <v>0</v>
      </c>
      <c r="FP165" s="423">
        <f t="shared" ca="1" si="525"/>
        <v>0</v>
      </c>
      <c r="FQ165" s="423">
        <f t="shared" ca="1" si="525"/>
        <v>0</v>
      </c>
      <c r="FR165" s="423">
        <f t="shared" ca="1" si="525"/>
        <v>0</v>
      </c>
      <c r="FS165" s="423">
        <f t="shared" ca="1" si="525"/>
        <v>0</v>
      </c>
      <c r="FT165" s="423">
        <f t="shared" ca="1" si="525"/>
        <v>0</v>
      </c>
      <c r="FU165" s="423">
        <f t="shared" ca="1" si="525"/>
        <v>0</v>
      </c>
      <c r="FV165" s="423">
        <f t="shared" ca="1" si="525"/>
        <v>0</v>
      </c>
      <c r="FW165" s="423">
        <f t="shared" ca="1" si="525"/>
        <v>0</v>
      </c>
      <c r="FX165" s="423">
        <f t="shared" ca="1" si="525"/>
        <v>0</v>
      </c>
      <c r="FY165" s="423">
        <f t="shared" ca="1" si="525"/>
        <v>0</v>
      </c>
      <c r="FZ165" s="423">
        <f t="shared" ca="1" si="525"/>
        <v>0</v>
      </c>
      <c r="GA165" s="423">
        <f t="shared" ca="1" si="525"/>
        <v>0</v>
      </c>
      <c r="GB165" s="423">
        <f t="shared" ca="1" si="525"/>
        <v>0</v>
      </c>
      <c r="GC165" s="423">
        <f t="shared" ca="1" si="525"/>
        <v>0</v>
      </c>
      <c r="GD165" s="423">
        <f t="shared" ca="1" si="525"/>
        <v>0</v>
      </c>
      <c r="GE165" s="423">
        <f t="shared" ca="1" si="523"/>
        <v>0</v>
      </c>
      <c r="GF165" s="423">
        <f t="shared" ca="1" si="523"/>
        <v>0</v>
      </c>
      <c r="GG165" s="423">
        <f t="shared" ca="1" si="523"/>
        <v>0</v>
      </c>
      <c r="GH165" s="423">
        <f t="shared" ca="1" si="523"/>
        <v>0</v>
      </c>
      <c r="GI165" s="423">
        <f t="shared" ca="1" si="523"/>
        <v>0</v>
      </c>
      <c r="GJ165" s="423">
        <f t="shared" ca="1" si="523"/>
        <v>0</v>
      </c>
      <c r="GK165" s="423">
        <f t="shared" ca="1" si="523"/>
        <v>0</v>
      </c>
      <c r="GL165" s="423">
        <f t="shared" ca="1" si="523"/>
        <v>0</v>
      </c>
      <c r="GM165" s="423">
        <f t="shared" ca="1" si="523"/>
        <v>0</v>
      </c>
      <c r="GN165" s="423">
        <f t="shared" ca="1" si="523"/>
        <v>0</v>
      </c>
      <c r="GO165" s="423">
        <f t="shared" ca="1" si="523"/>
        <v>0</v>
      </c>
      <c r="GP165" s="423">
        <f t="shared" ca="1" si="523"/>
        <v>0</v>
      </c>
      <c r="GQ165" s="423">
        <f t="shared" ca="1" si="523"/>
        <v>0</v>
      </c>
      <c r="GR165" s="423">
        <f t="shared" ca="1" si="523"/>
        <v>0</v>
      </c>
      <c r="GS165" s="423">
        <f t="shared" ca="1" si="521"/>
        <v>0</v>
      </c>
      <c r="GT165" s="423">
        <f t="shared" ca="1" si="521"/>
        <v>0</v>
      </c>
      <c r="GU165" s="423">
        <f t="shared" ca="1" si="521"/>
        <v>0</v>
      </c>
      <c r="GV165" s="423">
        <f t="shared" ca="1" si="521"/>
        <v>0</v>
      </c>
      <c r="GW165" s="423">
        <f t="shared" ca="1" si="521"/>
        <v>0</v>
      </c>
      <c r="GX165" s="423">
        <f t="shared" ca="1" si="521"/>
        <v>0</v>
      </c>
      <c r="GY165" s="423">
        <f t="shared" ca="1" si="521"/>
        <v>0</v>
      </c>
      <c r="GZ165" s="423">
        <f t="shared" ca="1" si="521"/>
        <v>0</v>
      </c>
      <c r="HA165" s="423">
        <f t="shared" ca="1" si="521"/>
        <v>0</v>
      </c>
      <c r="HB165" s="423">
        <f t="shared" ca="1" si="521"/>
        <v>0</v>
      </c>
      <c r="HC165" s="423">
        <f t="shared" ca="1" si="521"/>
        <v>0</v>
      </c>
      <c r="HD165" s="423">
        <f t="shared" ca="1" si="521"/>
        <v>0</v>
      </c>
      <c r="HE165" s="423">
        <f t="shared" ca="1" si="521"/>
        <v>0</v>
      </c>
      <c r="HF165" s="423">
        <f t="shared" ca="1" si="521"/>
        <v>0</v>
      </c>
      <c r="HG165" s="423">
        <f t="shared" ca="1" si="521"/>
        <v>0</v>
      </c>
      <c r="HH165" s="423">
        <f t="shared" ca="1" si="521"/>
        <v>0</v>
      </c>
      <c r="HI165" s="423">
        <f t="shared" ca="1" si="524"/>
        <v>0</v>
      </c>
      <c r="HJ165" s="423">
        <f t="shared" ca="1" si="522"/>
        <v>0</v>
      </c>
      <c r="HK165" s="423">
        <f t="shared" ca="1" si="522"/>
        <v>0</v>
      </c>
      <c r="HL165" s="423">
        <f t="shared" ca="1" si="522"/>
        <v>0</v>
      </c>
      <c r="HM165" s="423">
        <f t="shared" ca="1" si="522"/>
        <v>0</v>
      </c>
      <c r="HN165" s="423">
        <f t="shared" ca="1" si="522"/>
        <v>0</v>
      </c>
      <c r="HO165" s="423">
        <f t="shared" ca="1" si="522"/>
        <v>0</v>
      </c>
      <c r="HP165" s="423">
        <f t="shared" ca="1" si="522"/>
        <v>0</v>
      </c>
      <c r="HQ165" s="423">
        <f t="shared" ca="1" si="522"/>
        <v>0</v>
      </c>
      <c r="HR165" s="423">
        <f t="shared" ca="1" si="522"/>
        <v>0</v>
      </c>
      <c r="HS165" s="423">
        <f t="shared" ca="1" si="522"/>
        <v>0</v>
      </c>
      <c r="HT165" s="423">
        <f t="shared" ca="1" si="522"/>
        <v>0</v>
      </c>
    </row>
    <row r="166" spans="1:230" x14ac:dyDescent="0.2">
      <c r="A166" s="62">
        <f t="shared" si="516"/>
        <v>155</v>
      </c>
      <c r="B166" s="60">
        <f>Spaces_Sum!C211</f>
        <v>0</v>
      </c>
      <c r="C166" s="62" t="str">
        <f>Spaces_Sum!D211</f>
        <v>0</v>
      </c>
      <c r="D166" s="62" t="e">
        <f ca="1">Spaces_Sum!I211</f>
        <v>#N/A</v>
      </c>
      <c r="F166" s="110" t="e">
        <f ca="1">Spaces_Sum!M211</f>
        <v>#N/A</v>
      </c>
      <c r="G166" s="110" t="e">
        <f ca="1">Spaces_Sum!J211</f>
        <v>#N/A</v>
      </c>
      <c r="H166" s="532"/>
      <c r="I166" s="185"/>
      <c r="J166" s="185"/>
      <c r="K166" s="186"/>
      <c r="L166" s="187"/>
      <c r="M166" s="188"/>
      <c r="N166" s="189"/>
      <c r="O166" s="186"/>
      <c r="P166" s="187"/>
      <c r="Q166" s="188"/>
      <c r="R166" s="189"/>
      <c r="S166" s="186"/>
      <c r="T166" s="187"/>
      <c r="U166" s="188"/>
      <c r="V166" s="189"/>
      <c r="W166" s="186"/>
      <c r="X166" s="187"/>
      <c r="Y166" s="188"/>
      <c r="Z166" s="189"/>
      <c r="AA166" s="186"/>
      <c r="AB166" s="187"/>
      <c r="AC166" s="188"/>
      <c r="AD166" s="189"/>
      <c r="AE166" s="186"/>
      <c r="AF166" s="187"/>
      <c r="AG166" s="188"/>
      <c r="AH166" s="189"/>
      <c r="AI166" s="186"/>
      <c r="AJ166" s="187"/>
      <c r="AK166" s="188"/>
      <c r="AL166" s="189"/>
      <c r="AM166" s="186"/>
      <c r="AN166" s="187"/>
      <c r="AO166" s="188"/>
      <c r="AP166" s="189"/>
      <c r="AQ166" s="186"/>
      <c r="AR166" s="187"/>
      <c r="AS166" s="188"/>
      <c r="AT166" s="189"/>
      <c r="AU166" s="186"/>
      <c r="AV166" s="187"/>
      <c r="AW166" s="188"/>
      <c r="AX166" s="189"/>
      <c r="AY166" s="186"/>
      <c r="AZ166" s="187"/>
      <c r="BA166" s="188"/>
      <c r="BB166" s="189"/>
      <c r="BC166" s="186"/>
      <c r="BD166" s="187"/>
      <c r="BE166" s="188"/>
      <c r="BF166" s="189"/>
      <c r="BG166" s="186"/>
      <c r="BH166" s="187"/>
      <c r="BI166" s="188"/>
      <c r="BJ166" s="189"/>
      <c r="BK166" s="186"/>
      <c r="BL166" s="187"/>
      <c r="BM166" s="188"/>
      <c r="BN166" s="189"/>
      <c r="BO166" s="186"/>
      <c r="BP166" s="187"/>
      <c r="BQ166" s="188"/>
      <c r="BR166" s="189"/>
      <c r="BS166" s="186"/>
      <c r="BT166" s="187"/>
      <c r="BU166" s="188"/>
      <c r="BV166" s="189"/>
      <c r="BW166" s="186"/>
      <c r="BX166" s="187"/>
      <c r="BY166" s="188"/>
      <c r="BZ166" s="189"/>
      <c r="CA166" s="186"/>
      <c r="CB166" s="190"/>
      <c r="CC166" s="190"/>
      <c r="CD166" s="82">
        <f t="shared" si="428"/>
        <v>0</v>
      </c>
      <c r="CE166" s="82">
        <f t="shared" si="429"/>
        <v>0</v>
      </c>
      <c r="CF166" s="82">
        <f t="shared" si="430"/>
        <v>0</v>
      </c>
      <c r="CG166" s="82">
        <f t="shared" si="431"/>
        <v>0</v>
      </c>
      <c r="CH166" s="82">
        <f t="shared" si="432"/>
        <v>0</v>
      </c>
      <c r="CI166" s="82">
        <f t="shared" si="433"/>
        <v>0</v>
      </c>
      <c r="CJ166" s="82">
        <f t="shared" si="434"/>
        <v>0</v>
      </c>
      <c r="CK166" s="82">
        <f t="shared" si="435"/>
        <v>0</v>
      </c>
      <c r="CL166" s="82">
        <f t="shared" si="436"/>
        <v>0</v>
      </c>
      <c r="CM166" s="82">
        <f t="shared" si="437"/>
        <v>0</v>
      </c>
      <c r="CN166" s="82">
        <f t="shared" si="438"/>
        <v>0</v>
      </c>
      <c r="CO166" s="82">
        <f t="shared" si="439"/>
        <v>0</v>
      </c>
      <c r="CP166" s="82">
        <f t="shared" si="440"/>
        <v>0</v>
      </c>
      <c r="CQ166" s="82">
        <f t="shared" si="441"/>
        <v>0</v>
      </c>
      <c r="CR166" s="82">
        <f t="shared" si="442"/>
        <v>0</v>
      </c>
      <c r="CS166" s="82">
        <f t="shared" si="443"/>
        <v>0</v>
      </c>
      <c r="CT166" s="82">
        <f t="shared" si="444"/>
        <v>0</v>
      </c>
      <c r="CU166" s="82">
        <f t="shared" si="445"/>
        <v>0</v>
      </c>
      <c r="CV166" s="82">
        <f t="shared" si="446"/>
        <v>0</v>
      </c>
      <c r="CW166" s="82">
        <f t="shared" si="447"/>
        <v>0</v>
      </c>
      <c r="CX166" s="82">
        <f t="shared" si="448"/>
        <v>0</v>
      </c>
      <c r="CY166" s="82">
        <f t="shared" si="449"/>
        <v>0</v>
      </c>
      <c r="CZ166" s="82">
        <f t="shared" si="450"/>
        <v>0</v>
      </c>
      <c r="DA166" s="82">
        <f t="shared" si="451"/>
        <v>0</v>
      </c>
      <c r="DB166" s="82">
        <f t="shared" si="452"/>
        <v>0</v>
      </c>
      <c r="DC166" s="82">
        <f t="shared" si="453"/>
        <v>0</v>
      </c>
      <c r="DD166" s="82">
        <f t="shared" si="454"/>
        <v>0</v>
      </c>
      <c r="DE166" s="82">
        <f t="shared" si="455"/>
        <v>0</v>
      </c>
      <c r="DF166" s="82">
        <f t="shared" si="456"/>
        <v>0</v>
      </c>
      <c r="DG166" s="82">
        <f t="shared" si="457"/>
        <v>0</v>
      </c>
      <c r="DH166" s="82">
        <f t="shared" si="458"/>
        <v>0</v>
      </c>
      <c r="DI166" s="82">
        <f t="shared" si="459"/>
        <v>0</v>
      </c>
      <c r="DJ166" s="82">
        <f t="shared" si="460"/>
        <v>0</v>
      </c>
      <c r="DK166" s="82">
        <f t="shared" si="461"/>
        <v>0</v>
      </c>
      <c r="DL166" s="82">
        <f t="shared" si="462"/>
        <v>0</v>
      </c>
      <c r="DM166" s="82">
        <f t="shared" si="463"/>
        <v>0</v>
      </c>
      <c r="DN166" s="82">
        <f t="shared" si="464"/>
        <v>0</v>
      </c>
      <c r="DO166" s="82">
        <f t="shared" si="465"/>
        <v>0</v>
      </c>
      <c r="DP166" s="82">
        <f t="shared" si="466"/>
        <v>0</v>
      </c>
      <c r="DQ166" s="82">
        <f t="shared" si="467"/>
        <v>0</v>
      </c>
      <c r="DR166" s="82">
        <f t="shared" si="468"/>
        <v>0</v>
      </c>
      <c r="DS166" s="82">
        <f t="shared" si="469"/>
        <v>0</v>
      </c>
      <c r="DT166" s="82">
        <f t="shared" si="470"/>
        <v>0</v>
      </c>
      <c r="DU166" s="82">
        <f t="shared" si="471"/>
        <v>0</v>
      </c>
      <c r="DV166" s="82">
        <f t="shared" si="472"/>
        <v>0</v>
      </c>
      <c r="DW166" s="82">
        <f t="shared" si="473"/>
        <v>0</v>
      </c>
      <c r="DX166" s="82">
        <f t="shared" si="474"/>
        <v>0</v>
      </c>
      <c r="DY166" s="82">
        <f t="shared" si="475"/>
        <v>0</v>
      </c>
      <c r="DZ166" s="82">
        <f t="shared" si="476"/>
        <v>0</v>
      </c>
      <c r="EA166" s="82">
        <f t="shared" si="477"/>
        <v>0</v>
      </c>
      <c r="EB166" s="82">
        <f t="shared" si="478"/>
        <v>0</v>
      </c>
      <c r="EC166" s="82">
        <f t="shared" si="479"/>
        <v>0</v>
      </c>
      <c r="ED166" s="82">
        <f t="shared" si="480"/>
        <v>0</v>
      </c>
      <c r="EE166" s="82">
        <f t="shared" si="481"/>
        <v>0</v>
      </c>
      <c r="EF166" s="82">
        <f t="shared" si="482"/>
        <v>0</v>
      </c>
      <c r="EG166" s="82">
        <f t="shared" si="483"/>
        <v>0</v>
      </c>
      <c r="EH166" s="82">
        <f t="shared" si="484"/>
        <v>0</v>
      </c>
      <c r="EI166" s="82">
        <f t="shared" si="485"/>
        <v>0</v>
      </c>
      <c r="EJ166" s="82">
        <f t="shared" si="486"/>
        <v>0</v>
      </c>
      <c r="EK166" s="82">
        <f t="shared" si="487"/>
        <v>0</v>
      </c>
      <c r="EL166" s="82">
        <f t="shared" si="488"/>
        <v>0</v>
      </c>
      <c r="EM166" s="82">
        <f t="shared" si="489"/>
        <v>0</v>
      </c>
      <c r="EN166" s="82">
        <f t="shared" si="490"/>
        <v>0</v>
      </c>
      <c r="EO166" s="82">
        <f t="shared" si="491"/>
        <v>0</v>
      </c>
      <c r="EP166" s="82">
        <f t="shared" si="492"/>
        <v>0</v>
      </c>
      <c r="EQ166" s="82">
        <f t="shared" si="493"/>
        <v>0</v>
      </c>
      <c r="ER166" s="82">
        <f t="shared" si="494"/>
        <v>0</v>
      </c>
      <c r="ES166" s="82">
        <f t="shared" si="495"/>
        <v>0</v>
      </c>
      <c r="ET166" s="82">
        <f t="shared" si="496"/>
        <v>0</v>
      </c>
      <c r="EU166" s="82">
        <f t="shared" si="497"/>
        <v>0</v>
      </c>
      <c r="EV166" s="82">
        <f t="shared" si="498"/>
        <v>0</v>
      </c>
      <c r="EW166" s="82">
        <f t="shared" si="499"/>
        <v>0</v>
      </c>
      <c r="EX166" s="82">
        <f t="shared" si="500"/>
        <v>0</v>
      </c>
      <c r="EY166" s="111">
        <f t="shared" si="501"/>
        <v>0</v>
      </c>
      <c r="EZ166" s="143" t="e">
        <f t="shared" ca="1" si="502"/>
        <v>#N/A</v>
      </c>
      <c r="FA166" s="112" t="e">
        <f t="shared" ca="1" si="503"/>
        <v>#N/A</v>
      </c>
      <c r="FB166" s="113" t="e">
        <f t="shared" ca="1" si="504"/>
        <v>#N/A</v>
      </c>
      <c r="FC166" s="114" t="e">
        <f t="shared" ca="1" si="505"/>
        <v>#N/A</v>
      </c>
      <c r="FD166" s="115">
        <f t="shared" ca="1" si="506"/>
        <v>0</v>
      </c>
      <c r="FE166" s="116" t="e">
        <f t="shared" ca="1" si="507"/>
        <v>#N/A</v>
      </c>
      <c r="FF166" s="117" t="e">
        <f t="shared" ca="1" si="508"/>
        <v>#N/A</v>
      </c>
      <c r="FG166" s="71">
        <f t="shared" si="509"/>
        <v>0</v>
      </c>
      <c r="FH166" s="530" t="e">
        <f t="shared" ca="1" si="510"/>
        <v>#N/A</v>
      </c>
      <c r="FI166" s="72"/>
      <c r="FJ166" s="72"/>
      <c r="FK166" s="72"/>
      <c r="FM166" s="421">
        <f t="shared" si="511"/>
        <v>0</v>
      </c>
      <c r="FN166" s="422" t="e">
        <f t="shared" ca="1" si="512"/>
        <v>#N/A</v>
      </c>
      <c r="FO166" s="423">
        <f t="shared" ca="1" si="525"/>
        <v>0</v>
      </c>
      <c r="FP166" s="423">
        <f t="shared" ca="1" si="525"/>
        <v>0</v>
      </c>
      <c r="FQ166" s="423">
        <f t="shared" ca="1" si="525"/>
        <v>0</v>
      </c>
      <c r="FR166" s="423">
        <f t="shared" ca="1" si="525"/>
        <v>0</v>
      </c>
      <c r="FS166" s="423">
        <f t="shared" ca="1" si="525"/>
        <v>0</v>
      </c>
      <c r="FT166" s="423">
        <f t="shared" ca="1" si="525"/>
        <v>0</v>
      </c>
      <c r="FU166" s="423">
        <f t="shared" ca="1" si="525"/>
        <v>0</v>
      </c>
      <c r="FV166" s="423">
        <f t="shared" ca="1" si="525"/>
        <v>0</v>
      </c>
      <c r="FW166" s="423">
        <f t="shared" ca="1" si="525"/>
        <v>0</v>
      </c>
      <c r="FX166" s="423">
        <f t="shared" ca="1" si="525"/>
        <v>0</v>
      </c>
      <c r="FY166" s="423">
        <f t="shared" ca="1" si="525"/>
        <v>0</v>
      </c>
      <c r="FZ166" s="423">
        <f t="shared" ca="1" si="525"/>
        <v>0</v>
      </c>
      <c r="GA166" s="423">
        <f t="shared" ca="1" si="525"/>
        <v>0</v>
      </c>
      <c r="GB166" s="423">
        <f t="shared" ca="1" si="525"/>
        <v>0</v>
      </c>
      <c r="GC166" s="423">
        <f t="shared" ca="1" si="525"/>
        <v>0</v>
      </c>
      <c r="GD166" s="423">
        <f t="shared" ca="1" si="525"/>
        <v>0</v>
      </c>
      <c r="GE166" s="423">
        <f t="shared" ca="1" si="523"/>
        <v>0</v>
      </c>
      <c r="GF166" s="423">
        <f t="shared" ca="1" si="523"/>
        <v>0</v>
      </c>
      <c r="GG166" s="423">
        <f t="shared" ca="1" si="523"/>
        <v>0</v>
      </c>
      <c r="GH166" s="423">
        <f t="shared" ca="1" si="523"/>
        <v>0</v>
      </c>
      <c r="GI166" s="423">
        <f t="shared" ca="1" si="523"/>
        <v>0</v>
      </c>
      <c r="GJ166" s="423">
        <f t="shared" ca="1" si="523"/>
        <v>0</v>
      </c>
      <c r="GK166" s="423">
        <f t="shared" ca="1" si="523"/>
        <v>0</v>
      </c>
      <c r="GL166" s="423">
        <f t="shared" ca="1" si="523"/>
        <v>0</v>
      </c>
      <c r="GM166" s="423">
        <f t="shared" ca="1" si="523"/>
        <v>0</v>
      </c>
      <c r="GN166" s="423">
        <f t="shared" ca="1" si="523"/>
        <v>0</v>
      </c>
      <c r="GO166" s="423">
        <f t="shared" ca="1" si="523"/>
        <v>0</v>
      </c>
      <c r="GP166" s="423">
        <f t="shared" ca="1" si="523"/>
        <v>0</v>
      </c>
      <c r="GQ166" s="423">
        <f t="shared" ca="1" si="523"/>
        <v>0</v>
      </c>
      <c r="GR166" s="423">
        <f t="shared" ca="1" si="523"/>
        <v>0</v>
      </c>
      <c r="GS166" s="423">
        <f t="shared" ca="1" si="521"/>
        <v>0</v>
      </c>
      <c r="GT166" s="423">
        <f t="shared" ca="1" si="521"/>
        <v>0</v>
      </c>
      <c r="GU166" s="423">
        <f t="shared" ca="1" si="521"/>
        <v>0</v>
      </c>
      <c r="GV166" s="423">
        <f t="shared" ca="1" si="521"/>
        <v>0</v>
      </c>
      <c r="GW166" s="423">
        <f t="shared" ca="1" si="521"/>
        <v>0</v>
      </c>
      <c r="GX166" s="423">
        <f t="shared" ca="1" si="521"/>
        <v>0</v>
      </c>
      <c r="GY166" s="423">
        <f t="shared" ca="1" si="521"/>
        <v>0</v>
      </c>
      <c r="GZ166" s="423">
        <f t="shared" ca="1" si="521"/>
        <v>0</v>
      </c>
      <c r="HA166" s="423">
        <f t="shared" ca="1" si="521"/>
        <v>0</v>
      </c>
      <c r="HB166" s="423">
        <f t="shared" ca="1" si="521"/>
        <v>0</v>
      </c>
      <c r="HC166" s="423">
        <f t="shared" ca="1" si="521"/>
        <v>0</v>
      </c>
      <c r="HD166" s="423">
        <f t="shared" ca="1" si="521"/>
        <v>0</v>
      </c>
      <c r="HE166" s="423">
        <f t="shared" ca="1" si="521"/>
        <v>0</v>
      </c>
      <c r="HF166" s="423">
        <f t="shared" ca="1" si="521"/>
        <v>0</v>
      </c>
      <c r="HG166" s="423">
        <f t="shared" ca="1" si="521"/>
        <v>0</v>
      </c>
      <c r="HH166" s="423">
        <f t="shared" ca="1" si="521"/>
        <v>0</v>
      </c>
      <c r="HI166" s="423">
        <f t="shared" ca="1" si="524"/>
        <v>0</v>
      </c>
      <c r="HJ166" s="423">
        <f t="shared" ca="1" si="522"/>
        <v>0</v>
      </c>
      <c r="HK166" s="423">
        <f t="shared" ca="1" si="522"/>
        <v>0</v>
      </c>
      <c r="HL166" s="423">
        <f t="shared" ca="1" si="522"/>
        <v>0</v>
      </c>
      <c r="HM166" s="423">
        <f t="shared" ca="1" si="522"/>
        <v>0</v>
      </c>
      <c r="HN166" s="423">
        <f t="shared" ca="1" si="522"/>
        <v>0</v>
      </c>
      <c r="HO166" s="423">
        <f t="shared" ca="1" si="522"/>
        <v>0</v>
      </c>
      <c r="HP166" s="423">
        <f t="shared" ca="1" si="522"/>
        <v>0</v>
      </c>
      <c r="HQ166" s="423">
        <f t="shared" ca="1" si="522"/>
        <v>0</v>
      </c>
      <c r="HR166" s="423">
        <f t="shared" ca="1" si="522"/>
        <v>0</v>
      </c>
      <c r="HS166" s="423">
        <f t="shared" ca="1" si="522"/>
        <v>0</v>
      </c>
      <c r="HT166" s="423">
        <f t="shared" ca="1" si="522"/>
        <v>0</v>
      </c>
    </row>
    <row r="167" spans="1:230" x14ac:dyDescent="0.2">
      <c r="A167" s="62">
        <f t="shared" si="516"/>
        <v>156</v>
      </c>
      <c r="B167" s="60">
        <f>Spaces_Sum!C212</f>
        <v>0</v>
      </c>
      <c r="C167" s="62" t="str">
        <f>Spaces_Sum!D212</f>
        <v>0</v>
      </c>
      <c r="D167" s="62" t="e">
        <f ca="1">Spaces_Sum!I212</f>
        <v>#N/A</v>
      </c>
      <c r="F167" s="110" t="e">
        <f ca="1">Spaces_Sum!M212</f>
        <v>#N/A</v>
      </c>
      <c r="G167" s="110" t="e">
        <f ca="1">Spaces_Sum!J212</f>
        <v>#N/A</v>
      </c>
      <c r="H167" s="532"/>
      <c r="I167" s="185"/>
      <c r="J167" s="185"/>
      <c r="K167" s="186"/>
      <c r="L167" s="187"/>
      <c r="M167" s="188"/>
      <c r="N167" s="189"/>
      <c r="O167" s="186"/>
      <c r="P167" s="187"/>
      <c r="Q167" s="188"/>
      <c r="R167" s="189"/>
      <c r="S167" s="186"/>
      <c r="T167" s="187"/>
      <c r="U167" s="188"/>
      <c r="V167" s="189"/>
      <c r="W167" s="186"/>
      <c r="X167" s="187"/>
      <c r="Y167" s="188"/>
      <c r="Z167" s="189"/>
      <c r="AA167" s="186"/>
      <c r="AB167" s="187"/>
      <c r="AC167" s="188"/>
      <c r="AD167" s="189"/>
      <c r="AE167" s="186"/>
      <c r="AF167" s="187"/>
      <c r="AG167" s="188"/>
      <c r="AH167" s="189"/>
      <c r="AI167" s="186"/>
      <c r="AJ167" s="187"/>
      <c r="AK167" s="188"/>
      <c r="AL167" s="189"/>
      <c r="AM167" s="186"/>
      <c r="AN167" s="187"/>
      <c r="AO167" s="188"/>
      <c r="AP167" s="189"/>
      <c r="AQ167" s="186"/>
      <c r="AR167" s="187"/>
      <c r="AS167" s="188"/>
      <c r="AT167" s="189"/>
      <c r="AU167" s="186"/>
      <c r="AV167" s="187"/>
      <c r="AW167" s="188"/>
      <c r="AX167" s="189"/>
      <c r="AY167" s="186"/>
      <c r="AZ167" s="187"/>
      <c r="BA167" s="188"/>
      <c r="BB167" s="189"/>
      <c r="BC167" s="186"/>
      <c r="BD167" s="187"/>
      <c r="BE167" s="188"/>
      <c r="BF167" s="189"/>
      <c r="BG167" s="186"/>
      <c r="BH167" s="187"/>
      <c r="BI167" s="188"/>
      <c r="BJ167" s="189"/>
      <c r="BK167" s="186"/>
      <c r="BL167" s="187"/>
      <c r="BM167" s="188"/>
      <c r="BN167" s="189"/>
      <c r="BO167" s="186"/>
      <c r="BP167" s="187"/>
      <c r="BQ167" s="188"/>
      <c r="BR167" s="189"/>
      <c r="BS167" s="186"/>
      <c r="BT167" s="187"/>
      <c r="BU167" s="188"/>
      <c r="BV167" s="189"/>
      <c r="BW167" s="186"/>
      <c r="BX167" s="187"/>
      <c r="BY167" s="188"/>
      <c r="BZ167" s="189"/>
      <c r="CA167" s="186"/>
      <c r="CB167" s="190"/>
      <c r="CC167" s="190"/>
      <c r="CD167" s="82">
        <f t="shared" si="428"/>
        <v>0</v>
      </c>
      <c r="CE167" s="82">
        <f t="shared" si="429"/>
        <v>0</v>
      </c>
      <c r="CF167" s="82">
        <f t="shared" si="430"/>
        <v>0</v>
      </c>
      <c r="CG167" s="82">
        <f t="shared" si="431"/>
        <v>0</v>
      </c>
      <c r="CH167" s="82">
        <f t="shared" si="432"/>
        <v>0</v>
      </c>
      <c r="CI167" s="82">
        <f t="shared" si="433"/>
        <v>0</v>
      </c>
      <c r="CJ167" s="82">
        <f t="shared" si="434"/>
        <v>0</v>
      </c>
      <c r="CK167" s="82">
        <f t="shared" si="435"/>
        <v>0</v>
      </c>
      <c r="CL167" s="82">
        <f t="shared" si="436"/>
        <v>0</v>
      </c>
      <c r="CM167" s="82">
        <f t="shared" si="437"/>
        <v>0</v>
      </c>
      <c r="CN167" s="82">
        <f t="shared" si="438"/>
        <v>0</v>
      </c>
      <c r="CO167" s="82">
        <f t="shared" si="439"/>
        <v>0</v>
      </c>
      <c r="CP167" s="82">
        <f t="shared" si="440"/>
        <v>0</v>
      </c>
      <c r="CQ167" s="82">
        <f t="shared" si="441"/>
        <v>0</v>
      </c>
      <c r="CR167" s="82">
        <f t="shared" si="442"/>
        <v>0</v>
      </c>
      <c r="CS167" s="82">
        <f t="shared" si="443"/>
        <v>0</v>
      </c>
      <c r="CT167" s="82">
        <f t="shared" si="444"/>
        <v>0</v>
      </c>
      <c r="CU167" s="82">
        <f t="shared" si="445"/>
        <v>0</v>
      </c>
      <c r="CV167" s="82">
        <f t="shared" si="446"/>
        <v>0</v>
      </c>
      <c r="CW167" s="82">
        <f t="shared" si="447"/>
        <v>0</v>
      </c>
      <c r="CX167" s="82">
        <f t="shared" si="448"/>
        <v>0</v>
      </c>
      <c r="CY167" s="82">
        <f t="shared" si="449"/>
        <v>0</v>
      </c>
      <c r="CZ167" s="82">
        <f t="shared" si="450"/>
        <v>0</v>
      </c>
      <c r="DA167" s="82">
        <f t="shared" si="451"/>
        <v>0</v>
      </c>
      <c r="DB167" s="82">
        <f t="shared" si="452"/>
        <v>0</v>
      </c>
      <c r="DC167" s="82">
        <f t="shared" si="453"/>
        <v>0</v>
      </c>
      <c r="DD167" s="82">
        <f t="shared" si="454"/>
        <v>0</v>
      </c>
      <c r="DE167" s="82">
        <f t="shared" si="455"/>
        <v>0</v>
      </c>
      <c r="DF167" s="82">
        <f t="shared" si="456"/>
        <v>0</v>
      </c>
      <c r="DG167" s="82">
        <f t="shared" si="457"/>
        <v>0</v>
      </c>
      <c r="DH167" s="82">
        <f t="shared" si="458"/>
        <v>0</v>
      </c>
      <c r="DI167" s="82">
        <f t="shared" si="459"/>
        <v>0</v>
      </c>
      <c r="DJ167" s="82">
        <f t="shared" si="460"/>
        <v>0</v>
      </c>
      <c r="DK167" s="82">
        <f t="shared" si="461"/>
        <v>0</v>
      </c>
      <c r="DL167" s="82">
        <f t="shared" si="462"/>
        <v>0</v>
      </c>
      <c r="DM167" s="82">
        <f t="shared" si="463"/>
        <v>0</v>
      </c>
      <c r="DN167" s="82">
        <f t="shared" si="464"/>
        <v>0</v>
      </c>
      <c r="DO167" s="82">
        <f t="shared" si="465"/>
        <v>0</v>
      </c>
      <c r="DP167" s="82">
        <f t="shared" si="466"/>
        <v>0</v>
      </c>
      <c r="DQ167" s="82">
        <f t="shared" si="467"/>
        <v>0</v>
      </c>
      <c r="DR167" s="82">
        <f t="shared" si="468"/>
        <v>0</v>
      </c>
      <c r="DS167" s="82">
        <f t="shared" si="469"/>
        <v>0</v>
      </c>
      <c r="DT167" s="82">
        <f t="shared" si="470"/>
        <v>0</v>
      </c>
      <c r="DU167" s="82">
        <f t="shared" si="471"/>
        <v>0</v>
      </c>
      <c r="DV167" s="82">
        <f t="shared" si="472"/>
        <v>0</v>
      </c>
      <c r="DW167" s="82">
        <f t="shared" si="473"/>
        <v>0</v>
      </c>
      <c r="DX167" s="82">
        <f t="shared" si="474"/>
        <v>0</v>
      </c>
      <c r="DY167" s="82">
        <f t="shared" si="475"/>
        <v>0</v>
      </c>
      <c r="DZ167" s="82">
        <f t="shared" si="476"/>
        <v>0</v>
      </c>
      <c r="EA167" s="82">
        <f t="shared" si="477"/>
        <v>0</v>
      </c>
      <c r="EB167" s="82">
        <f t="shared" si="478"/>
        <v>0</v>
      </c>
      <c r="EC167" s="82">
        <f t="shared" si="479"/>
        <v>0</v>
      </c>
      <c r="ED167" s="82">
        <f t="shared" si="480"/>
        <v>0</v>
      </c>
      <c r="EE167" s="82">
        <f t="shared" si="481"/>
        <v>0</v>
      </c>
      <c r="EF167" s="82">
        <f t="shared" si="482"/>
        <v>0</v>
      </c>
      <c r="EG167" s="82">
        <f t="shared" si="483"/>
        <v>0</v>
      </c>
      <c r="EH167" s="82">
        <f t="shared" si="484"/>
        <v>0</v>
      </c>
      <c r="EI167" s="82">
        <f t="shared" si="485"/>
        <v>0</v>
      </c>
      <c r="EJ167" s="82">
        <f t="shared" si="486"/>
        <v>0</v>
      </c>
      <c r="EK167" s="82">
        <f t="shared" si="487"/>
        <v>0</v>
      </c>
      <c r="EL167" s="82">
        <f t="shared" si="488"/>
        <v>0</v>
      </c>
      <c r="EM167" s="82">
        <f t="shared" si="489"/>
        <v>0</v>
      </c>
      <c r="EN167" s="82">
        <f t="shared" si="490"/>
        <v>0</v>
      </c>
      <c r="EO167" s="82">
        <f t="shared" si="491"/>
        <v>0</v>
      </c>
      <c r="EP167" s="82">
        <f t="shared" si="492"/>
        <v>0</v>
      </c>
      <c r="EQ167" s="82">
        <f t="shared" si="493"/>
        <v>0</v>
      </c>
      <c r="ER167" s="82">
        <f t="shared" si="494"/>
        <v>0</v>
      </c>
      <c r="ES167" s="82">
        <f t="shared" si="495"/>
        <v>0</v>
      </c>
      <c r="ET167" s="82">
        <f t="shared" si="496"/>
        <v>0</v>
      </c>
      <c r="EU167" s="82">
        <f t="shared" si="497"/>
        <v>0</v>
      </c>
      <c r="EV167" s="82">
        <f t="shared" si="498"/>
        <v>0</v>
      </c>
      <c r="EW167" s="82">
        <f t="shared" si="499"/>
        <v>0</v>
      </c>
      <c r="EX167" s="82">
        <f t="shared" si="500"/>
        <v>0</v>
      </c>
      <c r="EY167" s="111">
        <f t="shared" si="501"/>
        <v>0</v>
      </c>
      <c r="EZ167" s="143" t="e">
        <f t="shared" ca="1" si="502"/>
        <v>#N/A</v>
      </c>
      <c r="FA167" s="112" t="e">
        <f t="shared" ca="1" si="503"/>
        <v>#N/A</v>
      </c>
      <c r="FB167" s="113" t="e">
        <f t="shared" ca="1" si="504"/>
        <v>#N/A</v>
      </c>
      <c r="FC167" s="114" t="e">
        <f t="shared" ca="1" si="505"/>
        <v>#N/A</v>
      </c>
      <c r="FD167" s="115">
        <f t="shared" ca="1" si="506"/>
        <v>0</v>
      </c>
      <c r="FE167" s="116" t="e">
        <f t="shared" ca="1" si="507"/>
        <v>#N/A</v>
      </c>
      <c r="FF167" s="117" t="e">
        <f t="shared" ca="1" si="508"/>
        <v>#N/A</v>
      </c>
      <c r="FG167" s="71">
        <f t="shared" si="509"/>
        <v>0</v>
      </c>
      <c r="FH167" s="530" t="e">
        <f t="shared" ca="1" si="510"/>
        <v>#N/A</v>
      </c>
      <c r="FI167" s="72"/>
      <c r="FJ167" s="72"/>
      <c r="FK167" s="72"/>
      <c r="FM167" s="421">
        <f t="shared" si="511"/>
        <v>0</v>
      </c>
      <c r="FN167" s="422" t="e">
        <f t="shared" ca="1" si="512"/>
        <v>#N/A</v>
      </c>
      <c r="FO167" s="423">
        <f t="shared" ca="1" si="525"/>
        <v>0</v>
      </c>
      <c r="FP167" s="423">
        <f t="shared" ca="1" si="525"/>
        <v>0</v>
      </c>
      <c r="FQ167" s="423">
        <f t="shared" ca="1" si="525"/>
        <v>0</v>
      </c>
      <c r="FR167" s="423">
        <f t="shared" ca="1" si="525"/>
        <v>0</v>
      </c>
      <c r="FS167" s="423">
        <f t="shared" ca="1" si="525"/>
        <v>0</v>
      </c>
      <c r="FT167" s="423">
        <f t="shared" ca="1" si="525"/>
        <v>0</v>
      </c>
      <c r="FU167" s="423">
        <f t="shared" ca="1" si="525"/>
        <v>0</v>
      </c>
      <c r="FV167" s="423">
        <f t="shared" ca="1" si="525"/>
        <v>0</v>
      </c>
      <c r="FW167" s="423">
        <f t="shared" ca="1" si="525"/>
        <v>0</v>
      </c>
      <c r="FX167" s="423">
        <f t="shared" ca="1" si="525"/>
        <v>0</v>
      </c>
      <c r="FY167" s="423">
        <f t="shared" ca="1" si="525"/>
        <v>0</v>
      </c>
      <c r="FZ167" s="423">
        <f t="shared" ca="1" si="525"/>
        <v>0</v>
      </c>
      <c r="GA167" s="423">
        <f t="shared" ca="1" si="525"/>
        <v>0</v>
      </c>
      <c r="GB167" s="423">
        <f t="shared" ca="1" si="525"/>
        <v>0</v>
      </c>
      <c r="GC167" s="423">
        <f t="shared" ca="1" si="525"/>
        <v>0</v>
      </c>
      <c r="GD167" s="423">
        <f t="shared" ca="1" si="525"/>
        <v>0</v>
      </c>
      <c r="GE167" s="423">
        <f t="shared" ca="1" si="523"/>
        <v>0</v>
      </c>
      <c r="GF167" s="423">
        <f t="shared" ca="1" si="523"/>
        <v>0</v>
      </c>
      <c r="GG167" s="423">
        <f t="shared" ca="1" si="523"/>
        <v>0</v>
      </c>
      <c r="GH167" s="423">
        <f t="shared" ca="1" si="523"/>
        <v>0</v>
      </c>
      <c r="GI167" s="423">
        <f t="shared" ca="1" si="523"/>
        <v>0</v>
      </c>
      <c r="GJ167" s="423">
        <f t="shared" ca="1" si="523"/>
        <v>0</v>
      </c>
      <c r="GK167" s="423">
        <f t="shared" ca="1" si="523"/>
        <v>0</v>
      </c>
      <c r="GL167" s="423">
        <f t="shared" ca="1" si="523"/>
        <v>0</v>
      </c>
      <c r="GM167" s="423">
        <f t="shared" ca="1" si="523"/>
        <v>0</v>
      </c>
      <c r="GN167" s="423">
        <f t="shared" ca="1" si="523"/>
        <v>0</v>
      </c>
      <c r="GO167" s="423">
        <f t="shared" ca="1" si="523"/>
        <v>0</v>
      </c>
      <c r="GP167" s="423">
        <f t="shared" ca="1" si="523"/>
        <v>0</v>
      </c>
      <c r="GQ167" s="423">
        <f t="shared" ca="1" si="523"/>
        <v>0</v>
      </c>
      <c r="GR167" s="423">
        <f t="shared" ca="1" si="523"/>
        <v>0</v>
      </c>
      <c r="GS167" s="423">
        <f t="shared" ca="1" si="521"/>
        <v>0</v>
      </c>
      <c r="GT167" s="423">
        <f t="shared" ca="1" si="521"/>
        <v>0</v>
      </c>
      <c r="GU167" s="423">
        <f t="shared" ca="1" si="521"/>
        <v>0</v>
      </c>
      <c r="GV167" s="423">
        <f t="shared" ca="1" si="521"/>
        <v>0</v>
      </c>
      <c r="GW167" s="423">
        <f t="shared" ca="1" si="521"/>
        <v>0</v>
      </c>
      <c r="GX167" s="423">
        <f t="shared" ca="1" si="521"/>
        <v>0</v>
      </c>
      <c r="GY167" s="423">
        <f t="shared" ca="1" si="521"/>
        <v>0</v>
      </c>
      <c r="GZ167" s="423">
        <f t="shared" ca="1" si="521"/>
        <v>0</v>
      </c>
      <c r="HA167" s="423">
        <f t="shared" ca="1" si="521"/>
        <v>0</v>
      </c>
      <c r="HB167" s="423">
        <f t="shared" ca="1" si="521"/>
        <v>0</v>
      </c>
      <c r="HC167" s="423">
        <f t="shared" ca="1" si="521"/>
        <v>0</v>
      </c>
      <c r="HD167" s="423">
        <f t="shared" ca="1" si="521"/>
        <v>0</v>
      </c>
      <c r="HE167" s="423">
        <f t="shared" ca="1" si="521"/>
        <v>0</v>
      </c>
      <c r="HF167" s="423">
        <f t="shared" ca="1" si="521"/>
        <v>0</v>
      </c>
      <c r="HG167" s="423">
        <f t="shared" ca="1" si="521"/>
        <v>0</v>
      </c>
      <c r="HH167" s="423">
        <f t="shared" ca="1" si="521"/>
        <v>0</v>
      </c>
      <c r="HI167" s="423">
        <f t="shared" ca="1" si="524"/>
        <v>0</v>
      </c>
      <c r="HJ167" s="423">
        <f t="shared" ca="1" si="522"/>
        <v>0</v>
      </c>
      <c r="HK167" s="423">
        <f t="shared" ca="1" si="522"/>
        <v>0</v>
      </c>
      <c r="HL167" s="423">
        <f t="shared" ca="1" si="522"/>
        <v>0</v>
      </c>
      <c r="HM167" s="423">
        <f t="shared" ca="1" si="522"/>
        <v>0</v>
      </c>
      <c r="HN167" s="423">
        <f t="shared" ca="1" si="522"/>
        <v>0</v>
      </c>
      <c r="HO167" s="423">
        <f t="shared" ca="1" si="522"/>
        <v>0</v>
      </c>
      <c r="HP167" s="423">
        <f t="shared" ca="1" si="522"/>
        <v>0</v>
      </c>
      <c r="HQ167" s="423">
        <f t="shared" ca="1" si="522"/>
        <v>0</v>
      </c>
      <c r="HR167" s="423">
        <f t="shared" ca="1" si="522"/>
        <v>0</v>
      </c>
      <c r="HS167" s="423">
        <f t="shared" ca="1" si="522"/>
        <v>0</v>
      </c>
      <c r="HT167" s="423">
        <f t="shared" ca="1" si="522"/>
        <v>0</v>
      </c>
    </row>
    <row r="168" spans="1:230" x14ac:dyDescent="0.2">
      <c r="A168" s="62">
        <f t="shared" si="516"/>
        <v>157</v>
      </c>
      <c r="B168" s="60">
        <f>Spaces_Sum!C213</f>
        <v>0</v>
      </c>
      <c r="C168" s="62" t="str">
        <f>Spaces_Sum!D213</f>
        <v>0</v>
      </c>
      <c r="D168" s="62" t="e">
        <f ca="1">Spaces_Sum!I213</f>
        <v>#N/A</v>
      </c>
      <c r="F168" s="110" t="e">
        <f ca="1">Spaces_Sum!M213</f>
        <v>#N/A</v>
      </c>
      <c r="G168" s="110" t="e">
        <f ca="1">Spaces_Sum!J213</f>
        <v>#N/A</v>
      </c>
      <c r="H168" s="532"/>
      <c r="I168" s="185"/>
      <c r="J168" s="185"/>
      <c r="K168" s="186"/>
      <c r="L168" s="187"/>
      <c r="M168" s="188"/>
      <c r="N168" s="189"/>
      <c r="O168" s="186"/>
      <c r="P168" s="187"/>
      <c r="Q168" s="188"/>
      <c r="R168" s="189"/>
      <c r="S168" s="186"/>
      <c r="T168" s="187"/>
      <c r="U168" s="188"/>
      <c r="V168" s="189"/>
      <c r="W168" s="186"/>
      <c r="X168" s="187"/>
      <c r="Y168" s="188"/>
      <c r="Z168" s="189"/>
      <c r="AA168" s="186"/>
      <c r="AB168" s="187"/>
      <c r="AC168" s="188"/>
      <c r="AD168" s="189"/>
      <c r="AE168" s="186"/>
      <c r="AF168" s="187"/>
      <c r="AG168" s="188"/>
      <c r="AH168" s="189"/>
      <c r="AI168" s="186"/>
      <c r="AJ168" s="187"/>
      <c r="AK168" s="188"/>
      <c r="AL168" s="189"/>
      <c r="AM168" s="186"/>
      <c r="AN168" s="187"/>
      <c r="AO168" s="188"/>
      <c r="AP168" s="189"/>
      <c r="AQ168" s="186"/>
      <c r="AR168" s="187"/>
      <c r="AS168" s="188"/>
      <c r="AT168" s="189"/>
      <c r="AU168" s="186"/>
      <c r="AV168" s="187"/>
      <c r="AW168" s="188"/>
      <c r="AX168" s="189"/>
      <c r="AY168" s="186"/>
      <c r="AZ168" s="187"/>
      <c r="BA168" s="188"/>
      <c r="BB168" s="189"/>
      <c r="BC168" s="186"/>
      <c r="BD168" s="187"/>
      <c r="BE168" s="188"/>
      <c r="BF168" s="189"/>
      <c r="BG168" s="186"/>
      <c r="BH168" s="187"/>
      <c r="BI168" s="188"/>
      <c r="BJ168" s="189"/>
      <c r="BK168" s="186"/>
      <c r="BL168" s="187"/>
      <c r="BM168" s="188"/>
      <c r="BN168" s="189"/>
      <c r="BO168" s="186"/>
      <c r="BP168" s="187"/>
      <c r="BQ168" s="188"/>
      <c r="BR168" s="189"/>
      <c r="BS168" s="186"/>
      <c r="BT168" s="187"/>
      <c r="BU168" s="188"/>
      <c r="BV168" s="189"/>
      <c r="BW168" s="186"/>
      <c r="BX168" s="187"/>
      <c r="BY168" s="188"/>
      <c r="BZ168" s="189"/>
      <c r="CA168" s="186"/>
      <c r="CB168" s="190"/>
      <c r="CC168" s="190"/>
      <c r="CD168" s="82">
        <f t="shared" si="428"/>
        <v>0</v>
      </c>
      <c r="CE168" s="82">
        <f t="shared" si="429"/>
        <v>0</v>
      </c>
      <c r="CF168" s="82">
        <f t="shared" si="430"/>
        <v>0</v>
      </c>
      <c r="CG168" s="82">
        <f t="shared" si="431"/>
        <v>0</v>
      </c>
      <c r="CH168" s="82">
        <f t="shared" si="432"/>
        <v>0</v>
      </c>
      <c r="CI168" s="82">
        <f t="shared" si="433"/>
        <v>0</v>
      </c>
      <c r="CJ168" s="82">
        <f t="shared" si="434"/>
        <v>0</v>
      </c>
      <c r="CK168" s="82">
        <f t="shared" si="435"/>
        <v>0</v>
      </c>
      <c r="CL168" s="82">
        <f t="shared" si="436"/>
        <v>0</v>
      </c>
      <c r="CM168" s="82">
        <f t="shared" si="437"/>
        <v>0</v>
      </c>
      <c r="CN168" s="82">
        <f t="shared" si="438"/>
        <v>0</v>
      </c>
      <c r="CO168" s="82">
        <f t="shared" si="439"/>
        <v>0</v>
      </c>
      <c r="CP168" s="82">
        <f t="shared" si="440"/>
        <v>0</v>
      </c>
      <c r="CQ168" s="82">
        <f t="shared" si="441"/>
        <v>0</v>
      </c>
      <c r="CR168" s="82">
        <f t="shared" si="442"/>
        <v>0</v>
      </c>
      <c r="CS168" s="82">
        <f t="shared" si="443"/>
        <v>0</v>
      </c>
      <c r="CT168" s="82">
        <f t="shared" si="444"/>
        <v>0</v>
      </c>
      <c r="CU168" s="82">
        <f t="shared" si="445"/>
        <v>0</v>
      </c>
      <c r="CV168" s="82">
        <f t="shared" si="446"/>
        <v>0</v>
      </c>
      <c r="CW168" s="82">
        <f t="shared" si="447"/>
        <v>0</v>
      </c>
      <c r="CX168" s="82">
        <f t="shared" si="448"/>
        <v>0</v>
      </c>
      <c r="CY168" s="82">
        <f t="shared" si="449"/>
        <v>0</v>
      </c>
      <c r="CZ168" s="82">
        <f t="shared" si="450"/>
        <v>0</v>
      </c>
      <c r="DA168" s="82">
        <f t="shared" si="451"/>
        <v>0</v>
      </c>
      <c r="DB168" s="82">
        <f t="shared" si="452"/>
        <v>0</v>
      </c>
      <c r="DC168" s="82">
        <f t="shared" si="453"/>
        <v>0</v>
      </c>
      <c r="DD168" s="82">
        <f t="shared" si="454"/>
        <v>0</v>
      </c>
      <c r="DE168" s="82">
        <f t="shared" si="455"/>
        <v>0</v>
      </c>
      <c r="DF168" s="82">
        <f t="shared" si="456"/>
        <v>0</v>
      </c>
      <c r="DG168" s="82">
        <f t="shared" si="457"/>
        <v>0</v>
      </c>
      <c r="DH168" s="82">
        <f t="shared" si="458"/>
        <v>0</v>
      </c>
      <c r="DI168" s="82">
        <f t="shared" si="459"/>
        <v>0</v>
      </c>
      <c r="DJ168" s="82">
        <f t="shared" si="460"/>
        <v>0</v>
      </c>
      <c r="DK168" s="82">
        <f t="shared" si="461"/>
        <v>0</v>
      </c>
      <c r="DL168" s="82">
        <f t="shared" si="462"/>
        <v>0</v>
      </c>
      <c r="DM168" s="82">
        <f t="shared" si="463"/>
        <v>0</v>
      </c>
      <c r="DN168" s="82">
        <f t="shared" si="464"/>
        <v>0</v>
      </c>
      <c r="DO168" s="82">
        <f t="shared" si="465"/>
        <v>0</v>
      </c>
      <c r="DP168" s="82">
        <f t="shared" si="466"/>
        <v>0</v>
      </c>
      <c r="DQ168" s="82">
        <f t="shared" si="467"/>
        <v>0</v>
      </c>
      <c r="DR168" s="82">
        <f t="shared" si="468"/>
        <v>0</v>
      </c>
      <c r="DS168" s="82">
        <f t="shared" si="469"/>
        <v>0</v>
      </c>
      <c r="DT168" s="82">
        <f t="shared" si="470"/>
        <v>0</v>
      </c>
      <c r="DU168" s="82">
        <f t="shared" si="471"/>
        <v>0</v>
      </c>
      <c r="DV168" s="82">
        <f t="shared" si="472"/>
        <v>0</v>
      </c>
      <c r="DW168" s="82">
        <f t="shared" si="473"/>
        <v>0</v>
      </c>
      <c r="DX168" s="82">
        <f t="shared" si="474"/>
        <v>0</v>
      </c>
      <c r="DY168" s="82">
        <f t="shared" si="475"/>
        <v>0</v>
      </c>
      <c r="DZ168" s="82">
        <f t="shared" si="476"/>
        <v>0</v>
      </c>
      <c r="EA168" s="82">
        <f t="shared" si="477"/>
        <v>0</v>
      </c>
      <c r="EB168" s="82">
        <f t="shared" si="478"/>
        <v>0</v>
      </c>
      <c r="EC168" s="82">
        <f t="shared" si="479"/>
        <v>0</v>
      </c>
      <c r="ED168" s="82">
        <f t="shared" si="480"/>
        <v>0</v>
      </c>
      <c r="EE168" s="82">
        <f t="shared" si="481"/>
        <v>0</v>
      </c>
      <c r="EF168" s="82">
        <f t="shared" si="482"/>
        <v>0</v>
      </c>
      <c r="EG168" s="82">
        <f t="shared" si="483"/>
        <v>0</v>
      </c>
      <c r="EH168" s="82">
        <f t="shared" si="484"/>
        <v>0</v>
      </c>
      <c r="EI168" s="82">
        <f t="shared" si="485"/>
        <v>0</v>
      </c>
      <c r="EJ168" s="82">
        <f t="shared" si="486"/>
        <v>0</v>
      </c>
      <c r="EK168" s="82">
        <f t="shared" si="487"/>
        <v>0</v>
      </c>
      <c r="EL168" s="82">
        <f t="shared" si="488"/>
        <v>0</v>
      </c>
      <c r="EM168" s="82">
        <f t="shared" si="489"/>
        <v>0</v>
      </c>
      <c r="EN168" s="82">
        <f t="shared" si="490"/>
        <v>0</v>
      </c>
      <c r="EO168" s="82">
        <f t="shared" si="491"/>
        <v>0</v>
      </c>
      <c r="EP168" s="82">
        <f t="shared" si="492"/>
        <v>0</v>
      </c>
      <c r="EQ168" s="82">
        <f t="shared" si="493"/>
        <v>0</v>
      </c>
      <c r="ER168" s="82">
        <f t="shared" si="494"/>
        <v>0</v>
      </c>
      <c r="ES168" s="82">
        <f t="shared" si="495"/>
        <v>0</v>
      </c>
      <c r="ET168" s="82">
        <f t="shared" si="496"/>
        <v>0</v>
      </c>
      <c r="EU168" s="82">
        <f t="shared" si="497"/>
        <v>0</v>
      </c>
      <c r="EV168" s="82">
        <f t="shared" si="498"/>
        <v>0</v>
      </c>
      <c r="EW168" s="82">
        <f t="shared" si="499"/>
        <v>0</v>
      </c>
      <c r="EX168" s="82">
        <f t="shared" si="500"/>
        <v>0</v>
      </c>
      <c r="EY168" s="111">
        <f t="shared" si="501"/>
        <v>0</v>
      </c>
      <c r="EZ168" s="143" t="e">
        <f t="shared" ca="1" si="502"/>
        <v>#N/A</v>
      </c>
      <c r="FA168" s="112" t="e">
        <f t="shared" ca="1" si="503"/>
        <v>#N/A</v>
      </c>
      <c r="FB168" s="113" t="e">
        <f t="shared" ca="1" si="504"/>
        <v>#N/A</v>
      </c>
      <c r="FC168" s="114" t="e">
        <f t="shared" ca="1" si="505"/>
        <v>#N/A</v>
      </c>
      <c r="FD168" s="115">
        <f t="shared" ca="1" si="506"/>
        <v>0</v>
      </c>
      <c r="FE168" s="116" t="e">
        <f t="shared" ca="1" si="507"/>
        <v>#N/A</v>
      </c>
      <c r="FF168" s="117" t="e">
        <f t="shared" ca="1" si="508"/>
        <v>#N/A</v>
      </c>
      <c r="FG168" s="71">
        <f t="shared" si="509"/>
        <v>0</v>
      </c>
      <c r="FH168" s="530" t="e">
        <f t="shared" ca="1" si="510"/>
        <v>#N/A</v>
      </c>
      <c r="FI168" s="72"/>
      <c r="FJ168" s="72"/>
      <c r="FK168" s="72"/>
      <c r="FM168" s="421">
        <f t="shared" si="511"/>
        <v>0</v>
      </c>
      <c r="FN168" s="422" t="e">
        <f t="shared" ca="1" si="512"/>
        <v>#N/A</v>
      </c>
      <c r="FO168" s="423">
        <f t="shared" ca="1" si="525"/>
        <v>0</v>
      </c>
      <c r="FP168" s="423">
        <f t="shared" ca="1" si="525"/>
        <v>0</v>
      </c>
      <c r="FQ168" s="423">
        <f t="shared" ca="1" si="525"/>
        <v>0</v>
      </c>
      <c r="FR168" s="423">
        <f t="shared" ca="1" si="525"/>
        <v>0</v>
      </c>
      <c r="FS168" s="423">
        <f t="shared" ca="1" si="525"/>
        <v>0</v>
      </c>
      <c r="FT168" s="423">
        <f t="shared" ca="1" si="525"/>
        <v>0</v>
      </c>
      <c r="FU168" s="423">
        <f t="shared" ca="1" si="525"/>
        <v>0</v>
      </c>
      <c r="FV168" s="423">
        <f t="shared" ca="1" si="525"/>
        <v>0</v>
      </c>
      <c r="FW168" s="423">
        <f t="shared" ca="1" si="525"/>
        <v>0</v>
      </c>
      <c r="FX168" s="423">
        <f t="shared" ca="1" si="525"/>
        <v>0</v>
      </c>
      <c r="FY168" s="423">
        <f t="shared" ca="1" si="525"/>
        <v>0</v>
      </c>
      <c r="FZ168" s="423">
        <f t="shared" ca="1" si="525"/>
        <v>0</v>
      </c>
      <c r="GA168" s="423">
        <f t="shared" ca="1" si="525"/>
        <v>0</v>
      </c>
      <c r="GB168" s="423">
        <f t="shared" ca="1" si="525"/>
        <v>0</v>
      </c>
      <c r="GC168" s="423">
        <f t="shared" ca="1" si="525"/>
        <v>0</v>
      </c>
      <c r="GD168" s="423">
        <f t="shared" ca="1" si="525"/>
        <v>0</v>
      </c>
      <c r="GE168" s="423">
        <f t="shared" ca="1" si="523"/>
        <v>0</v>
      </c>
      <c r="GF168" s="423">
        <f t="shared" ca="1" si="523"/>
        <v>0</v>
      </c>
      <c r="GG168" s="423">
        <f t="shared" ca="1" si="523"/>
        <v>0</v>
      </c>
      <c r="GH168" s="423">
        <f t="shared" ca="1" si="523"/>
        <v>0</v>
      </c>
      <c r="GI168" s="423">
        <f t="shared" ca="1" si="523"/>
        <v>0</v>
      </c>
      <c r="GJ168" s="423">
        <f t="shared" ca="1" si="523"/>
        <v>0</v>
      </c>
      <c r="GK168" s="423">
        <f t="shared" ca="1" si="523"/>
        <v>0</v>
      </c>
      <c r="GL168" s="423">
        <f t="shared" ca="1" si="523"/>
        <v>0</v>
      </c>
      <c r="GM168" s="423">
        <f t="shared" ca="1" si="523"/>
        <v>0</v>
      </c>
      <c r="GN168" s="423">
        <f t="shared" ca="1" si="523"/>
        <v>0</v>
      </c>
      <c r="GO168" s="423">
        <f t="shared" ca="1" si="523"/>
        <v>0</v>
      </c>
      <c r="GP168" s="423">
        <f t="shared" ca="1" si="523"/>
        <v>0</v>
      </c>
      <c r="GQ168" s="423">
        <f t="shared" ca="1" si="523"/>
        <v>0</v>
      </c>
      <c r="GR168" s="423">
        <f t="shared" ca="1" si="523"/>
        <v>0</v>
      </c>
      <c r="GS168" s="423">
        <f t="shared" ca="1" si="521"/>
        <v>0</v>
      </c>
      <c r="GT168" s="423">
        <f t="shared" ca="1" si="521"/>
        <v>0</v>
      </c>
      <c r="GU168" s="423">
        <f t="shared" ca="1" si="521"/>
        <v>0</v>
      </c>
      <c r="GV168" s="423">
        <f t="shared" ca="1" si="521"/>
        <v>0</v>
      </c>
      <c r="GW168" s="423">
        <f t="shared" ca="1" si="521"/>
        <v>0</v>
      </c>
      <c r="GX168" s="423">
        <f t="shared" ca="1" si="521"/>
        <v>0</v>
      </c>
      <c r="GY168" s="423">
        <f t="shared" ca="1" si="521"/>
        <v>0</v>
      </c>
      <c r="GZ168" s="423">
        <f t="shared" ca="1" si="521"/>
        <v>0</v>
      </c>
      <c r="HA168" s="423">
        <f t="shared" ca="1" si="521"/>
        <v>0</v>
      </c>
      <c r="HB168" s="423">
        <f t="shared" ca="1" si="521"/>
        <v>0</v>
      </c>
      <c r="HC168" s="423">
        <f t="shared" ca="1" si="521"/>
        <v>0</v>
      </c>
      <c r="HD168" s="423">
        <f t="shared" ca="1" si="521"/>
        <v>0</v>
      </c>
      <c r="HE168" s="423">
        <f t="shared" ca="1" si="521"/>
        <v>0</v>
      </c>
      <c r="HF168" s="423">
        <f t="shared" ca="1" si="521"/>
        <v>0</v>
      </c>
      <c r="HG168" s="423">
        <f t="shared" ca="1" si="521"/>
        <v>0</v>
      </c>
      <c r="HH168" s="423">
        <f t="shared" ca="1" si="521"/>
        <v>0</v>
      </c>
      <c r="HI168" s="423">
        <f t="shared" ca="1" si="524"/>
        <v>0</v>
      </c>
      <c r="HJ168" s="423">
        <f t="shared" ca="1" si="522"/>
        <v>0</v>
      </c>
      <c r="HK168" s="423">
        <f t="shared" ca="1" si="522"/>
        <v>0</v>
      </c>
      <c r="HL168" s="423">
        <f t="shared" ca="1" si="522"/>
        <v>0</v>
      </c>
      <c r="HM168" s="423">
        <f t="shared" ca="1" si="522"/>
        <v>0</v>
      </c>
      <c r="HN168" s="423">
        <f t="shared" ca="1" si="522"/>
        <v>0</v>
      </c>
      <c r="HO168" s="423">
        <f t="shared" ca="1" si="522"/>
        <v>0</v>
      </c>
      <c r="HP168" s="423">
        <f t="shared" ca="1" si="522"/>
        <v>0</v>
      </c>
      <c r="HQ168" s="423">
        <f t="shared" ca="1" si="522"/>
        <v>0</v>
      </c>
      <c r="HR168" s="423">
        <f t="shared" ca="1" si="522"/>
        <v>0</v>
      </c>
      <c r="HS168" s="423">
        <f t="shared" ca="1" si="522"/>
        <v>0</v>
      </c>
      <c r="HT168" s="423">
        <f t="shared" ca="1" si="522"/>
        <v>0</v>
      </c>
    </row>
    <row r="169" spans="1:230" x14ac:dyDescent="0.2">
      <c r="A169" s="62">
        <f t="shared" si="516"/>
        <v>158</v>
      </c>
      <c r="B169" s="60">
        <f>Spaces_Sum!C214</f>
        <v>0</v>
      </c>
      <c r="C169" s="62" t="str">
        <f>Spaces_Sum!D214</f>
        <v>0</v>
      </c>
      <c r="D169" s="62" t="e">
        <f ca="1">Spaces_Sum!I214</f>
        <v>#N/A</v>
      </c>
      <c r="F169" s="110" t="e">
        <f ca="1">Spaces_Sum!M214</f>
        <v>#N/A</v>
      </c>
      <c r="G169" s="110" t="e">
        <f ca="1">Spaces_Sum!J214</f>
        <v>#N/A</v>
      </c>
      <c r="H169" s="532"/>
      <c r="I169" s="185"/>
      <c r="J169" s="185"/>
      <c r="K169" s="186"/>
      <c r="L169" s="187"/>
      <c r="M169" s="188"/>
      <c r="N169" s="189"/>
      <c r="O169" s="186"/>
      <c r="P169" s="187"/>
      <c r="Q169" s="188"/>
      <c r="R169" s="189"/>
      <c r="S169" s="186"/>
      <c r="T169" s="187"/>
      <c r="U169" s="188"/>
      <c r="V169" s="189"/>
      <c r="W169" s="186"/>
      <c r="X169" s="187"/>
      <c r="Y169" s="188"/>
      <c r="Z169" s="189"/>
      <c r="AA169" s="186"/>
      <c r="AB169" s="187"/>
      <c r="AC169" s="188"/>
      <c r="AD169" s="189"/>
      <c r="AE169" s="186"/>
      <c r="AF169" s="187"/>
      <c r="AG169" s="188"/>
      <c r="AH169" s="189"/>
      <c r="AI169" s="186"/>
      <c r="AJ169" s="187"/>
      <c r="AK169" s="188"/>
      <c r="AL169" s="189"/>
      <c r="AM169" s="186"/>
      <c r="AN169" s="187"/>
      <c r="AO169" s="188"/>
      <c r="AP169" s="189"/>
      <c r="AQ169" s="186"/>
      <c r="AR169" s="187"/>
      <c r="AS169" s="188"/>
      <c r="AT169" s="189"/>
      <c r="AU169" s="186"/>
      <c r="AV169" s="187"/>
      <c r="AW169" s="188"/>
      <c r="AX169" s="189"/>
      <c r="AY169" s="186"/>
      <c r="AZ169" s="187"/>
      <c r="BA169" s="188"/>
      <c r="BB169" s="189"/>
      <c r="BC169" s="186"/>
      <c r="BD169" s="187"/>
      <c r="BE169" s="188"/>
      <c r="BF169" s="189"/>
      <c r="BG169" s="186"/>
      <c r="BH169" s="187"/>
      <c r="BI169" s="188"/>
      <c r="BJ169" s="189"/>
      <c r="BK169" s="186"/>
      <c r="BL169" s="187"/>
      <c r="BM169" s="188"/>
      <c r="BN169" s="189"/>
      <c r="BO169" s="186"/>
      <c r="BP169" s="187"/>
      <c r="BQ169" s="188"/>
      <c r="BR169" s="189"/>
      <c r="BS169" s="186"/>
      <c r="BT169" s="187"/>
      <c r="BU169" s="188"/>
      <c r="BV169" s="189"/>
      <c r="BW169" s="186"/>
      <c r="BX169" s="187"/>
      <c r="BY169" s="188"/>
      <c r="BZ169" s="189"/>
      <c r="CA169" s="186"/>
      <c r="CB169" s="190"/>
      <c r="CC169" s="190"/>
      <c r="CD169" s="82">
        <f t="shared" ref="CD169:CD221" si="526">IF(ISTEXT(H169),(IF(ISERROR(VLOOKUP(H169,Ltg_IFixtureSch_PROP,2,FALSE)),0.000001,VLOOKUP(H169,Ltg_IFixtureSch_PROP,2,FALSE)*I169)),0)</f>
        <v>0</v>
      </c>
      <c r="CE169" s="82">
        <f t="shared" ref="CE169:CE221" si="527">CD169-CF169</f>
        <v>0</v>
      </c>
      <c r="CF169" s="82">
        <f t="shared" ref="CF169:CF221" si="528">IF(ISTEXT(H169),(IF(ISERROR(VLOOKUP(H169,Ltg_IFixtureSch_PROP,2,FALSE)),0.000001,VLOOKUP(H169,Ltg_IFixtureSch_PROP,2,FALSE)*J169)),0)</f>
        <v>0</v>
      </c>
      <c r="CG169" s="82">
        <f t="shared" ref="CG169:CG221" si="529">IF(ISTEXT(H169),(IF(ISERROR(VLOOKUP(H169,Ltg_IFixtureSch_PROP,2,FALSE)),0.000001,VLOOKUP(H169,Ltg_IFixtureSch_PROP,2,FALSE)*K169)),0)</f>
        <v>0</v>
      </c>
      <c r="CH169" s="82">
        <f t="shared" ref="CH169:CH221" si="530">IF(ISTEXT(L169),(IF(ISERROR(VLOOKUP(L169,Ltg_IFixtureSch_PROP,2,FALSE)),0.000001,VLOOKUP(L169,Ltg_IFixtureSch_PROP,2,FALSE)*M169)),0)</f>
        <v>0</v>
      </c>
      <c r="CI169" s="82">
        <f t="shared" ref="CI169:CI221" si="531">CH169-CJ169</f>
        <v>0</v>
      </c>
      <c r="CJ169" s="82">
        <f t="shared" ref="CJ169:CJ221" si="532">IF(ISTEXT(L169),(IF(ISERROR(VLOOKUP(L169,Ltg_IFixtureSch_PROP,2,FALSE)),0.000001,VLOOKUP(L169,Ltg_IFixtureSch_PROP,2,FALSE)*N169)),0)</f>
        <v>0</v>
      </c>
      <c r="CK169" s="82">
        <f t="shared" ref="CK169:CK221" si="533">IF(ISTEXT(L169),(IF(ISERROR(VLOOKUP(L169,Ltg_IFixtureSch_PROP,2,FALSE)),0.000001,VLOOKUP(L169,Ltg_IFixtureSch_PROP,2,FALSE)*O169)),0)</f>
        <v>0</v>
      </c>
      <c r="CL169" s="82">
        <f t="shared" ref="CL169:CL221" si="534">IF(ISTEXT(P169),(IF(ISERROR(VLOOKUP(P169,Ltg_IFixtureSch_PROP,2,FALSE)),0.000001,VLOOKUP(P169,Ltg_IFixtureSch_PROP,2,FALSE)*Q169)),0)</f>
        <v>0</v>
      </c>
      <c r="CM169" s="82">
        <f t="shared" ref="CM169:CM221" si="535">CL169-CN169</f>
        <v>0</v>
      </c>
      <c r="CN169" s="82">
        <f t="shared" ref="CN169:CN221" si="536">IF(ISTEXT(P169),(IF(ISERROR(VLOOKUP(P169,Ltg_IFixtureSch_PROP,2,FALSE)),0.000001,VLOOKUP(P169,Ltg_IFixtureSch_PROP,2,FALSE)*R169)),0)</f>
        <v>0</v>
      </c>
      <c r="CO169" s="82">
        <f t="shared" ref="CO169:CO221" si="537">IF(ISTEXT(P169),(IF(ISERROR(VLOOKUP(P169,Ltg_IFixtureSch_PROP,2,FALSE)),0.000001,VLOOKUP(P169,Ltg_IFixtureSch_PROP,2,FALSE)*S169)),0)</f>
        <v>0</v>
      </c>
      <c r="CP169" s="82">
        <f t="shared" ref="CP169:CP221" si="538">IF(ISTEXT(T169),(IF(ISERROR(VLOOKUP(T169,Ltg_IFixtureSch_PROP,2,FALSE)),0.000001,VLOOKUP(T169,Ltg_IFixtureSch_PROP,2,FALSE)*U169)),0)</f>
        <v>0</v>
      </c>
      <c r="CQ169" s="82">
        <f t="shared" ref="CQ169:CQ221" si="539">CP169-CR169</f>
        <v>0</v>
      </c>
      <c r="CR169" s="82">
        <f t="shared" ref="CR169:CR221" si="540">IF(ISTEXT(T169),(IF(ISERROR(VLOOKUP(T169,Ltg_IFixtureSch_PROP,2,FALSE)),0.000001,VLOOKUP(T169,Ltg_IFixtureSch_PROP,2,FALSE)*V169)),0)</f>
        <v>0</v>
      </c>
      <c r="CS169" s="82">
        <f t="shared" ref="CS169:CS221" si="541">IF(ISTEXT(T169),(IF(ISERROR(VLOOKUP(T169,Ltg_IFixtureSch_PROP,2,FALSE)),0.000001,VLOOKUP(T169,Ltg_IFixtureSch_PROP,2,FALSE)*W169)),0)</f>
        <v>0</v>
      </c>
      <c r="CT169" s="82">
        <f t="shared" ref="CT169:CT221" si="542">IF(ISTEXT(X169),(IF(ISERROR(VLOOKUP(X169,Ltg_IFixtureSch_PROP,2,FALSE)),0.000001,VLOOKUP(X169,Ltg_IFixtureSch_PROP,2,FALSE)*Y169)),0)</f>
        <v>0</v>
      </c>
      <c r="CU169" s="82">
        <f t="shared" ref="CU169:CU221" si="543">CT169-CV169</f>
        <v>0</v>
      </c>
      <c r="CV169" s="82">
        <f t="shared" ref="CV169:CV221" si="544">IF(ISTEXT(X169),(IF(ISERROR(VLOOKUP(X169,Ltg_IFixtureSch_PROP,2,FALSE)),0.000001,VLOOKUP(X169,Ltg_IFixtureSch_PROP,2,FALSE)*Z169)),0)</f>
        <v>0</v>
      </c>
      <c r="CW169" s="82">
        <f t="shared" ref="CW169:CW221" si="545">IF(ISTEXT(X169),(IF(ISERROR(VLOOKUP(X169,Ltg_IFixtureSch_PROP,2,FALSE)),0.000001,VLOOKUP(X169,Ltg_IFixtureSch_PROP,2,FALSE)*AA169)),0)</f>
        <v>0</v>
      </c>
      <c r="CX169" s="82">
        <f t="shared" ref="CX169:CX221" si="546">IF(ISTEXT(AB169),(IF(ISERROR(VLOOKUP(AB169,Ltg_IFixtureSch_PROP,2,FALSE)),0.000001,VLOOKUP(AB169,Ltg_IFixtureSch_PROP,2,FALSE)*AC169)),0)</f>
        <v>0</v>
      </c>
      <c r="CY169" s="82">
        <f t="shared" ref="CY169:CY221" si="547">CX169-CZ169</f>
        <v>0</v>
      </c>
      <c r="CZ169" s="82">
        <f t="shared" ref="CZ169:CZ221" si="548">IF(ISTEXT(AB169),(IF(ISERROR(VLOOKUP(AB169,Ltg_IFixtureSch_PROP,2,FALSE)),0.000001,VLOOKUP(AB169,Ltg_IFixtureSch_PROP,2,FALSE)*AD169)),0)</f>
        <v>0</v>
      </c>
      <c r="DA169" s="82">
        <f t="shared" ref="DA169:DA221" si="549">IF(ISTEXT(AB169),(IF(ISERROR(VLOOKUP(AB169,Ltg_IFixtureSch_PROP,2,FALSE)),0.000001,VLOOKUP(AB169,Ltg_IFixtureSch_PROP,2,FALSE)*AE169)),0)</f>
        <v>0</v>
      </c>
      <c r="DB169" s="82">
        <f t="shared" ref="DB169:DB221" si="550">IF(ISTEXT(AF169),(IF(ISERROR(VLOOKUP(AF169,Ltg_IFixtureSch_PROP,2,FALSE)),0.000001,VLOOKUP(AF169,Ltg_IFixtureSch_PROP,2,FALSE)*AG169)),0)</f>
        <v>0</v>
      </c>
      <c r="DC169" s="82">
        <f t="shared" ref="DC169:DC221" si="551">DB169-DD169</f>
        <v>0</v>
      </c>
      <c r="DD169" s="82">
        <f t="shared" ref="DD169:DD221" si="552">IF(ISTEXT(AF169),(IF(ISERROR(VLOOKUP(AF169,Ltg_IFixtureSch_PROP,2,FALSE)),0.000001,VLOOKUP(AF169,Ltg_IFixtureSch_PROP,2,FALSE)*AH169)),0)</f>
        <v>0</v>
      </c>
      <c r="DE169" s="82">
        <f t="shared" ref="DE169:DE221" si="553">IF(ISTEXT(AF169),(IF(ISERROR(VLOOKUP(AF169,Ltg_IFixtureSch_PROP,2,FALSE)),0.000001,VLOOKUP(AF169,Ltg_IFixtureSch_PROP,2,FALSE)*AI169)),0)</f>
        <v>0</v>
      </c>
      <c r="DF169" s="82">
        <f t="shared" ref="DF169:DF221" si="554">IF(ISTEXT(AJ169),(IF(ISERROR(VLOOKUP(AJ169,Ltg_IFixtureSch_PROP,2,FALSE)),0.000001,VLOOKUP(AJ169,Ltg_IFixtureSch_PROP,2,FALSE)*AK169)),0)</f>
        <v>0</v>
      </c>
      <c r="DG169" s="82">
        <f t="shared" ref="DG169:DG221" si="555">DF169-DH169</f>
        <v>0</v>
      </c>
      <c r="DH169" s="82">
        <f t="shared" ref="DH169:DH221" si="556">IF(ISTEXT(AJ169),(IF(ISERROR(VLOOKUP(AJ169,Ltg_IFixtureSch_PROP,2,FALSE)),0.000001,VLOOKUP(AJ169,Ltg_IFixtureSch_PROP,2,FALSE)*AL169)),0)</f>
        <v>0</v>
      </c>
      <c r="DI169" s="82">
        <f t="shared" ref="DI169:DI221" si="557">IF(ISTEXT(AJ169),(IF(ISERROR(VLOOKUP(AJ169,Ltg_IFixtureSch_PROP,2,FALSE)),0.000001,VLOOKUP(AJ169,Ltg_IFixtureSch_PROP,2,FALSE)*AM169)),0)</f>
        <v>0</v>
      </c>
      <c r="DJ169" s="82">
        <f t="shared" ref="DJ169:DJ221" si="558">IF(ISTEXT(AN169),(IF(ISERROR(VLOOKUP(AN169,Ltg_IFixtureSch_PROP,2,FALSE)),0.000001,VLOOKUP(AN169,Ltg_IFixtureSch_PROP,2,FALSE)*AO169)),0)</f>
        <v>0</v>
      </c>
      <c r="DK169" s="82">
        <f t="shared" ref="DK169:DK221" si="559">DJ169-DL169</f>
        <v>0</v>
      </c>
      <c r="DL169" s="82">
        <f t="shared" ref="DL169:DL221" si="560">IF(ISTEXT(AN169),(IF(ISERROR(VLOOKUP(AN169,Ltg_IFixtureSch_PROP,2,FALSE)),0.000001,VLOOKUP(AN169,Ltg_IFixtureSch_PROP,2,FALSE)*AP169)),0)</f>
        <v>0</v>
      </c>
      <c r="DM169" s="82">
        <f t="shared" ref="DM169:DM221" si="561">IF(ISTEXT(AN169),(IF(ISERROR(VLOOKUP(AN169,Ltg_IFixtureSch_PROP,2,FALSE)),0.000001,VLOOKUP(AN169,Ltg_IFixtureSch_PROP,2,FALSE)*AQ169)),0)</f>
        <v>0</v>
      </c>
      <c r="DN169" s="82">
        <f t="shared" ref="DN169:DN221" si="562">IF(ISTEXT(AR169),(IF(ISERROR(VLOOKUP(AR169,Ltg_IFixtureSch_PROP,2,FALSE)),0.000001,VLOOKUP(AR169,Ltg_IFixtureSch_PROP,2,FALSE)*AS169)),0)</f>
        <v>0</v>
      </c>
      <c r="DO169" s="82">
        <f t="shared" ref="DO169:DO221" si="563">DN169-DP169</f>
        <v>0</v>
      </c>
      <c r="DP169" s="82">
        <f t="shared" ref="DP169:DP221" si="564">IF(ISTEXT(AR169),(IF(ISERROR(VLOOKUP(AR169,Ltg_IFixtureSch_PROP,2,FALSE)),0.000001,VLOOKUP(AR169,Ltg_IFixtureSch_PROP,2,FALSE)*AT169)),0)</f>
        <v>0</v>
      </c>
      <c r="DQ169" s="82">
        <f t="shared" ref="DQ169:DQ221" si="565">IF(ISTEXT(AR169),(IF(ISERROR(VLOOKUP(AR169,Ltg_IFixtureSch_PROP,2,FALSE)),0.000001,VLOOKUP(AR169,Ltg_IFixtureSch_PROP,2,FALSE)*AU169)),0)</f>
        <v>0</v>
      </c>
      <c r="DR169" s="82">
        <f t="shared" ref="DR169:DR221" si="566">IF(ISTEXT(AV169),(IF(ISERROR(VLOOKUP(AV169,Ltg_IFixtureSch_PROP,2,FALSE)),0.000001,VLOOKUP(AV169,Ltg_IFixtureSch_PROP,2,FALSE)*AW169)),0)</f>
        <v>0</v>
      </c>
      <c r="DS169" s="82">
        <f t="shared" ref="DS169:DS221" si="567">DR169-DT169</f>
        <v>0</v>
      </c>
      <c r="DT169" s="82">
        <f t="shared" ref="DT169:DT221" si="568">IF(ISTEXT(AV169),(IF(ISERROR(VLOOKUP(AV169,Ltg_IFixtureSch_PROP,2,FALSE)),0.000001,VLOOKUP(AV169,Ltg_IFixtureSch_PROP,2,FALSE)*AX169)),0)</f>
        <v>0</v>
      </c>
      <c r="DU169" s="82">
        <f t="shared" ref="DU169:DU221" si="569">IF(ISTEXT(AV169),(IF(ISERROR(VLOOKUP(AV169,Ltg_IFixtureSch_PROP,2,FALSE)),0.000001,VLOOKUP(AV169,Ltg_IFixtureSch_PROP,2,FALSE)*AY169)),0)</f>
        <v>0</v>
      </c>
      <c r="DV169" s="82">
        <f t="shared" ref="DV169:DV221" si="570">IF(ISTEXT(AZ169),(IF(ISERROR(VLOOKUP(AZ169,Ltg_IFixtureSch_PROP,2,FALSE)),0.000001,VLOOKUP(AZ169,Ltg_IFixtureSch_PROP,2,FALSE)*BA169)),0)</f>
        <v>0</v>
      </c>
      <c r="DW169" s="82">
        <f t="shared" ref="DW169:DW221" si="571">DV169-DX169</f>
        <v>0</v>
      </c>
      <c r="DX169" s="82">
        <f t="shared" ref="DX169:DX221" si="572">IF(ISTEXT(AZ169),(IF(ISERROR(VLOOKUP(AZ169,Ltg_IFixtureSch_PROP,2,FALSE)),0.000001,VLOOKUP(AZ169,Ltg_IFixtureSch_PROP,2,FALSE)*BB169)),0)</f>
        <v>0</v>
      </c>
      <c r="DY169" s="82">
        <f t="shared" ref="DY169:DY221" si="573">IF(ISTEXT(AZ169),(IF(ISERROR(VLOOKUP(AZ169,Ltg_IFixtureSch_PROP,2,FALSE)),0.000001,VLOOKUP(AZ169,Ltg_IFixtureSch_PROP,2,FALSE)*BC169)),0)</f>
        <v>0</v>
      </c>
      <c r="DZ169" s="82">
        <f t="shared" ref="DZ169:DZ221" si="574">IF(ISTEXT(BD169),(IF(ISERROR(VLOOKUP(BD169,Ltg_IFixtureSch_PROP,2,FALSE)),0.000001,VLOOKUP(BD169,Ltg_IFixtureSch_PROP,2,FALSE)*BE169)),0)</f>
        <v>0</v>
      </c>
      <c r="EA169" s="82">
        <f t="shared" ref="EA169:EA221" si="575">DZ169-EB169</f>
        <v>0</v>
      </c>
      <c r="EB169" s="82">
        <f t="shared" ref="EB169:EB221" si="576">IF(ISTEXT(BD169),(IF(ISERROR(VLOOKUP(BD169,Ltg_IFixtureSch_PROP,2,FALSE)),0.000001,VLOOKUP(BD169,Ltg_IFixtureSch_PROP,2,FALSE)*BF169)),0)</f>
        <v>0</v>
      </c>
      <c r="EC169" s="82">
        <f t="shared" ref="EC169:EC221" si="577">IF(ISTEXT(BD169),(IF(ISERROR(VLOOKUP(BD169,Ltg_IFixtureSch_PROP,2,FALSE)),0.000001,VLOOKUP(BD169,Ltg_IFixtureSch_PROP,2,FALSE)*BG169)),0)</f>
        <v>0</v>
      </c>
      <c r="ED169" s="82">
        <f t="shared" ref="ED169:ED221" si="578">IF(ISTEXT(BH169),(IF(ISERROR(VLOOKUP(BH169,Ltg_IFixtureSch_PROP,2,FALSE)),0.000001,VLOOKUP(BH169,Ltg_IFixtureSch_PROP,2,FALSE)*BI169)),0)</f>
        <v>0</v>
      </c>
      <c r="EE169" s="82">
        <f t="shared" ref="EE169:EE221" si="579">ED169-EF169</f>
        <v>0</v>
      </c>
      <c r="EF169" s="82">
        <f t="shared" ref="EF169:EF221" si="580">IF(ISTEXT(BH169),(IF(ISERROR(VLOOKUP(BH169,Ltg_IFixtureSch_PROP,2,FALSE)),0.000001,VLOOKUP(BH169,Ltg_IFixtureSch_PROP,2,FALSE)*BJ169)),0)</f>
        <v>0</v>
      </c>
      <c r="EG169" s="82">
        <f t="shared" ref="EG169:EG221" si="581">IF(ISTEXT(BH169),(IF(ISERROR(VLOOKUP(BH169,Ltg_IFixtureSch_PROP,2,FALSE)),0.000001,VLOOKUP(BH169,Ltg_IFixtureSch_PROP,2,FALSE)*BK169)),0)</f>
        <v>0</v>
      </c>
      <c r="EH169" s="82">
        <f t="shared" ref="EH169:EH221" si="582">IF(ISTEXT(BL169),(IF(ISERROR(VLOOKUP(BL169,Ltg_IFixtureSch_PROP,2,FALSE)),0.000001,VLOOKUP(BL169,Ltg_IFixtureSch_PROP,2,FALSE)*BM169)),0)</f>
        <v>0</v>
      </c>
      <c r="EI169" s="82">
        <f t="shared" ref="EI169:EI221" si="583">EH169-EJ169</f>
        <v>0</v>
      </c>
      <c r="EJ169" s="82">
        <f t="shared" ref="EJ169:EJ221" si="584">IF(ISTEXT(BL169),(IF(ISERROR(VLOOKUP(BL169,Ltg_IFixtureSch_PROP,2,FALSE)),0.000001,VLOOKUP(BL169,Ltg_IFixtureSch_PROP,2,FALSE)*BN169)),0)</f>
        <v>0</v>
      </c>
      <c r="EK169" s="82">
        <f t="shared" ref="EK169:EK221" si="585">IF(ISTEXT(BL169),(IF(ISERROR(VLOOKUP(BL169,Ltg_IFixtureSch_PROP,2,FALSE)),0.000001,VLOOKUP(BL169,Ltg_IFixtureSch_PROP,2,FALSE)*BO169)),0)</f>
        <v>0</v>
      </c>
      <c r="EL169" s="82">
        <f t="shared" ref="EL169:EL221" si="586">IF(ISTEXT(BP169),(IF(ISERROR(VLOOKUP(BP169,Ltg_IFixtureSch_PROP,2,FALSE)),0.000001,VLOOKUP(BP169,Ltg_IFixtureSch_PROP,2,FALSE)*BQ169)),0)</f>
        <v>0</v>
      </c>
      <c r="EM169" s="82">
        <f t="shared" ref="EM169:EM221" si="587">EL169-EN169</f>
        <v>0</v>
      </c>
      <c r="EN169" s="82">
        <f t="shared" ref="EN169:EN221" si="588">IF(ISTEXT(BP169),(IF(ISERROR(VLOOKUP(BP169,Ltg_IFixtureSch_PROP,2,FALSE)),0.000001,VLOOKUP(BP169,Ltg_IFixtureSch_PROP,2,FALSE)*BR169)),0)</f>
        <v>0</v>
      </c>
      <c r="EO169" s="82">
        <f t="shared" ref="EO169:EO221" si="589">IF(ISTEXT(BP169),(IF(ISERROR(VLOOKUP(BP169,Ltg_IFixtureSch_PROP,2,FALSE)),0.000001,VLOOKUP(BP169,Ltg_IFixtureSch_PROP,2,FALSE)*BS169)),0)</f>
        <v>0</v>
      </c>
      <c r="EP169" s="82">
        <f t="shared" ref="EP169:EP221" si="590">IF(ISTEXT(BT169),(IF(ISERROR(VLOOKUP(BT169,Ltg_IFixtureSch_PROP,2,FALSE)),0.000001,VLOOKUP(BT169,Ltg_IFixtureSch_PROP,2,FALSE)*BU169)),0)</f>
        <v>0</v>
      </c>
      <c r="EQ169" s="82">
        <f t="shared" ref="EQ169:EQ221" si="591">EP169-ER169</f>
        <v>0</v>
      </c>
      <c r="ER169" s="82">
        <f t="shared" ref="ER169:ER221" si="592">IF(ISTEXT(BT169),(IF(ISERROR(VLOOKUP(BT169,Ltg_IFixtureSch_PROP,2,FALSE)),0.000001,VLOOKUP(BT169,Ltg_IFixtureSch_PROP,2,FALSE)*BV169)),0)</f>
        <v>0</v>
      </c>
      <c r="ES169" s="82">
        <f t="shared" ref="ES169:ES221" si="593">IF(ISTEXT(BT169),(IF(ISERROR(VLOOKUP(BT169,Ltg_IFixtureSch_PROP,2,FALSE)),0.000001,VLOOKUP(BT169,Ltg_IFixtureSch_PROP,2,FALSE)*BW169)),0)</f>
        <v>0</v>
      </c>
      <c r="ET169" s="82">
        <f t="shared" ref="ET169:ET221" si="594">IF(ISTEXT(BX169),(IF(ISERROR(VLOOKUP(BX169,Ltg_IFixtureSch_PROP,2,FALSE)),0.000001,VLOOKUP(BX169,Ltg_IFixtureSch_PROP,2,FALSE)*BY169)),0)</f>
        <v>0</v>
      </c>
      <c r="EU169" s="82">
        <f t="shared" ref="EU169:EU221" si="595">ET169-EV169</f>
        <v>0</v>
      </c>
      <c r="EV169" s="82">
        <f t="shared" ref="EV169:EV221" si="596">IF(ISTEXT(BX169),(IF(ISERROR(VLOOKUP(BX169,Ltg_IFixtureSch_PROP,2,FALSE)),0.000001,VLOOKUP(BX169,Ltg_IFixtureSch_PROP,2,FALSE)*BZ169)),0)</f>
        <v>0</v>
      </c>
      <c r="EW169" s="82">
        <f t="shared" ref="EW169:EW221" si="597">IF(ISTEXT(BX169),(IF(ISERROR(VLOOKUP(BX169,Ltg_IFixtureSch_PROP,2,FALSE)),0.000001,VLOOKUP(BX169,Ltg_IFixtureSch_PROP,2,FALSE)*CA169)),0)</f>
        <v>0</v>
      </c>
      <c r="EX169" s="82">
        <f t="shared" ref="EX169:EX221" si="598">IF(ISTEXT(CB169),(IF(ISERROR(VLOOKUP(CB169,Ltg_IFixtureSch_PROP,2,FALSE)),0.000001,VLOOKUP(CB169,Ltg_IFixtureSch_PROP,2,FALSE)*CC169)),0)</f>
        <v>0</v>
      </c>
      <c r="EY169" s="111">
        <f t="shared" ref="EY169:EY221" si="599">SUM(CD169,CH169,CL169,CP169,CT169,CX169,DB169,DF169,DJ169,DN169,DR169,DV169,DZ169,ED169,EH169,EL169,EP169,ET169)</f>
        <v>0</v>
      </c>
      <c r="EZ169" s="143" t="e">
        <f t="shared" ref="EZ169:EZ221" ca="1" si="600">ROUND(EY169/F169,3)</f>
        <v>#N/A</v>
      </c>
      <c r="FA169" s="112" t="e">
        <f t="shared" ref="FA169:FA221" ca="1" si="601">EZ169-FB169</f>
        <v>#N/A</v>
      </c>
      <c r="FB169" s="113" t="e">
        <f t="shared" ref="FB169:FB221" ca="1" si="602">ROUND(SUM(CF169,CJ169,CN169,CR169,CV169,CZ169,DD169,DH169,DL169,DP169,DT169,DX169,EB169,EF169,EJ169,EN169,ER169,EV169)/F169,3)</f>
        <v>#N/A</v>
      </c>
      <c r="FC169" s="114" t="e">
        <f t="shared" ref="FC169:FC221" ca="1" si="603">ROUND(SUM(CG169,CK169,CO169,CS169,CW169,DA169,DE169,DI169,DM169,DQ169,DU169,DY169,EC169,EG169,EK169,EO169,ES169,EW169)/F169,3)</f>
        <v>#N/A</v>
      </c>
      <c r="FD169" s="115">
        <f t="shared" ref="FD169:FD221" ca="1" si="604">IF(ISERROR(FC169/EZ169),0,FC169/EZ169)</f>
        <v>0</v>
      </c>
      <c r="FE169" s="116" t="e">
        <f t="shared" ref="FE169:FE221" ca="1" si="605">FB169*F169</f>
        <v>#N/A</v>
      </c>
      <c r="FF169" s="117" t="e">
        <f t="shared" ref="FF169:FF221" ca="1" si="606">FC169*F169</f>
        <v>#N/A</v>
      </c>
      <c r="FG169" s="71">
        <f t="shared" ref="FG169:FG221" si="607">EX169</f>
        <v>0</v>
      </c>
      <c r="FH169" s="530" t="e">
        <f t="shared" ref="FH169:FH221" ca="1" si="608">(EY169+FG169)/F169</f>
        <v>#N/A</v>
      </c>
      <c r="FI169" s="72"/>
      <c r="FJ169" s="72"/>
      <c r="FK169" s="72"/>
      <c r="FM169" s="421">
        <f t="shared" ref="FM169:FM221" si="609">B169</f>
        <v>0</v>
      </c>
      <c r="FN169" s="422" t="e">
        <f t="shared" ref="FN169:FN221" ca="1" si="610">G169</f>
        <v>#N/A</v>
      </c>
      <c r="FO169" s="423">
        <f t="shared" ca="1" si="525"/>
        <v>0</v>
      </c>
      <c r="FP169" s="423">
        <f t="shared" ca="1" si="525"/>
        <v>0</v>
      </c>
      <c r="FQ169" s="423">
        <f t="shared" ca="1" si="525"/>
        <v>0</v>
      </c>
      <c r="FR169" s="423">
        <f t="shared" ca="1" si="525"/>
        <v>0</v>
      </c>
      <c r="FS169" s="423">
        <f t="shared" ca="1" si="525"/>
        <v>0</v>
      </c>
      <c r="FT169" s="423">
        <f t="shared" ca="1" si="525"/>
        <v>0</v>
      </c>
      <c r="FU169" s="423">
        <f t="shared" ca="1" si="525"/>
        <v>0</v>
      </c>
      <c r="FV169" s="423">
        <f t="shared" ca="1" si="525"/>
        <v>0</v>
      </c>
      <c r="FW169" s="423">
        <f t="shared" ca="1" si="525"/>
        <v>0</v>
      </c>
      <c r="FX169" s="423">
        <f t="shared" ca="1" si="525"/>
        <v>0</v>
      </c>
      <c r="FY169" s="423">
        <f t="shared" ca="1" si="525"/>
        <v>0</v>
      </c>
      <c r="FZ169" s="423">
        <f t="shared" ca="1" si="525"/>
        <v>0</v>
      </c>
      <c r="GA169" s="423">
        <f t="shared" ca="1" si="525"/>
        <v>0</v>
      </c>
      <c r="GB169" s="423">
        <f t="shared" ca="1" si="525"/>
        <v>0</v>
      </c>
      <c r="GC169" s="423">
        <f t="shared" ca="1" si="525"/>
        <v>0</v>
      </c>
      <c r="GD169" s="423">
        <f t="shared" ca="1" si="525"/>
        <v>0</v>
      </c>
      <c r="GE169" s="423">
        <f t="shared" ca="1" si="523"/>
        <v>0</v>
      </c>
      <c r="GF169" s="423">
        <f t="shared" ca="1" si="523"/>
        <v>0</v>
      </c>
      <c r="GG169" s="423">
        <f t="shared" ca="1" si="523"/>
        <v>0</v>
      </c>
      <c r="GH169" s="423">
        <f t="shared" ca="1" si="523"/>
        <v>0</v>
      </c>
      <c r="GI169" s="423">
        <f t="shared" ca="1" si="523"/>
        <v>0</v>
      </c>
      <c r="GJ169" s="423">
        <f t="shared" ca="1" si="523"/>
        <v>0</v>
      </c>
      <c r="GK169" s="423">
        <f t="shared" ca="1" si="523"/>
        <v>0</v>
      </c>
      <c r="GL169" s="423">
        <f t="shared" ca="1" si="523"/>
        <v>0</v>
      </c>
      <c r="GM169" s="423">
        <f t="shared" ca="1" si="523"/>
        <v>0</v>
      </c>
      <c r="GN169" s="423">
        <f t="shared" ca="1" si="523"/>
        <v>0</v>
      </c>
      <c r="GO169" s="423">
        <f t="shared" ca="1" si="523"/>
        <v>0</v>
      </c>
      <c r="GP169" s="423">
        <f t="shared" ca="1" si="523"/>
        <v>0</v>
      </c>
      <c r="GQ169" s="423">
        <f t="shared" ca="1" si="523"/>
        <v>0</v>
      </c>
      <c r="GR169" s="423">
        <f t="shared" ca="1" si="523"/>
        <v>0</v>
      </c>
      <c r="GS169" s="423">
        <f t="shared" ca="1" si="521"/>
        <v>0</v>
      </c>
      <c r="GT169" s="423">
        <f t="shared" ca="1" si="521"/>
        <v>0</v>
      </c>
      <c r="GU169" s="423">
        <f t="shared" ca="1" si="521"/>
        <v>0</v>
      </c>
      <c r="GV169" s="423">
        <f t="shared" ca="1" si="521"/>
        <v>0</v>
      </c>
      <c r="GW169" s="423">
        <f t="shared" ca="1" si="521"/>
        <v>0</v>
      </c>
      <c r="GX169" s="423">
        <f t="shared" ca="1" si="521"/>
        <v>0</v>
      </c>
      <c r="GY169" s="423">
        <f t="shared" ca="1" si="521"/>
        <v>0</v>
      </c>
      <c r="GZ169" s="423">
        <f t="shared" ca="1" si="521"/>
        <v>0</v>
      </c>
      <c r="HA169" s="423">
        <f t="shared" ca="1" si="521"/>
        <v>0</v>
      </c>
      <c r="HB169" s="423">
        <f t="shared" ca="1" si="521"/>
        <v>0</v>
      </c>
      <c r="HC169" s="423">
        <f t="shared" ca="1" si="521"/>
        <v>0</v>
      </c>
      <c r="HD169" s="423">
        <f t="shared" ca="1" si="521"/>
        <v>0</v>
      </c>
      <c r="HE169" s="423">
        <f t="shared" ca="1" si="521"/>
        <v>0</v>
      </c>
      <c r="HF169" s="423">
        <f t="shared" ca="1" si="521"/>
        <v>0</v>
      </c>
      <c r="HG169" s="423">
        <f t="shared" ca="1" si="521"/>
        <v>0</v>
      </c>
      <c r="HH169" s="423">
        <f t="shared" ca="1" si="521"/>
        <v>0</v>
      </c>
      <c r="HI169" s="423">
        <f t="shared" ca="1" si="524"/>
        <v>0</v>
      </c>
      <c r="HJ169" s="423">
        <f t="shared" ca="1" si="522"/>
        <v>0</v>
      </c>
      <c r="HK169" s="423">
        <f t="shared" ca="1" si="522"/>
        <v>0</v>
      </c>
      <c r="HL169" s="423">
        <f t="shared" ca="1" si="522"/>
        <v>0</v>
      </c>
      <c r="HM169" s="423">
        <f t="shared" ca="1" si="522"/>
        <v>0</v>
      </c>
      <c r="HN169" s="423">
        <f t="shared" ca="1" si="522"/>
        <v>0</v>
      </c>
      <c r="HO169" s="423">
        <f t="shared" ca="1" si="522"/>
        <v>0</v>
      </c>
      <c r="HP169" s="423">
        <f t="shared" ca="1" si="522"/>
        <v>0</v>
      </c>
      <c r="HQ169" s="423">
        <f t="shared" ca="1" si="522"/>
        <v>0</v>
      </c>
      <c r="HR169" s="423">
        <f t="shared" ca="1" si="522"/>
        <v>0</v>
      </c>
      <c r="HS169" s="423">
        <f t="shared" ca="1" si="522"/>
        <v>0</v>
      </c>
      <c r="HT169" s="423">
        <f t="shared" ca="1" si="522"/>
        <v>0</v>
      </c>
    </row>
    <row r="170" spans="1:230" x14ac:dyDescent="0.2">
      <c r="A170" s="62">
        <f t="shared" si="516"/>
        <v>159</v>
      </c>
      <c r="B170" s="60">
        <f>Spaces_Sum!C215</f>
        <v>0</v>
      </c>
      <c r="C170" s="62" t="str">
        <f>Spaces_Sum!D215</f>
        <v>0</v>
      </c>
      <c r="D170" s="62" t="e">
        <f ca="1">Spaces_Sum!I215</f>
        <v>#N/A</v>
      </c>
      <c r="F170" s="110" t="e">
        <f ca="1">Spaces_Sum!M215</f>
        <v>#N/A</v>
      </c>
      <c r="G170" s="110" t="e">
        <f ca="1">Spaces_Sum!J215</f>
        <v>#N/A</v>
      </c>
      <c r="H170" s="532"/>
      <c r="I170" s="185"/>
      <c r="J170" s="185"/>
      <c r="K170" s="186"/>
      <c r="L170" s="187"/>
      <c r="M170" s="188"/>
      <c r="N170" s="189"/>
      <c r="O170" s="186"/>
      <c r="P170" s="187"/>
      <c r="Q170" s="188"/>
      <c r="R170" s="189"/>
      <c r="S170" s="186"/>
      <c r="T170" s="187"/>
      <c r="U170" s="188"/>
      <c r="V170" s="189"/>
      <c r="W170" s="186"/>
      <c r="X170" s="187"/>
      <c r="Y170" s="188"/>
      <c r="Z170" s="189"/>
      <c r="AA170" s="186"/>
      <c r="AB170" s="187"/>
      <c r="AC170" s="188"/>
      <c r="AD170" s="189"/>
      <c r="AE170" s="186"/>
      <c r="AF170" s="187"/>
      <c r="AG170" s="188"/>
      <c r="AH170" s="189"/>
      <c r="AI170" s="186"/>
      <c r="AJ170" s="187"/>
      <c r="AK170" s="188"/>
      <c r="AL170" s="189"/>
      <c r="AM170" s="186"/>
      <c r="AN170" s="187"/>
      <c r="AO170" s="188"/>
      <c r="AP170" s="189"/>
      <c r="AQ170" s="186"/>
      <c r="AR170" s="187"/>
      <c r="AS170" s="188"/>
      <c r="AT170" s="189"/>
      <c r="AU170" s="186"/>
      <c r="AV170" s="187"/>
      <c r="AW170" s="188"/>
      <c r="AX170" s="189"/>
      <c r="AY170" s="186"/>
      <c r="AZ170" s="187"/>
      <c r="BA170" s="188"/>
      <c r="BB170" s="189"/>
      <c r="BC170" s="186"/>
      <c r="BD170" s="187"/>
      <c r="BE170" s="188"/>
      <c r="BF170" s="189"/>
      <c r="BG170" s="186"/>
      <c r="BH170" s="187"/>
      <c r="BI170" s="188"/>
      <c r="BJ170" s="189"/>
      <c r="BK170" s="186"/>
      <c r="BL170" s="187"/>
      <c r="BM170" s="188"/>
      <c r="BN170" s="189"/>
      <c r="BO170" s="186"/>
      <c r="BP170" s="187"/>
      <c r="BQ170" s="188"/>
      <c r="BR170" s="189"/>
      <c r="BS170" s="186"/>
      <c r="BT170" s="187"/>
      <c r="BU170" s="188"/>
      <c r="BV170" s="189"/>
      <c r="BW170" s="186"/>
      <c r="BX170" s="187"/>
      <c r="BY170" s="188"/>
      <c r="BZ170" s="189"/>
      <c r="CA170" s="186"/>
      <c r="CB170" s="190"/>
      <c r="CC170" s="190"/>
      <c r="CD170" s="82">
        <f t="shared" si="526"/>
        <v>0</v>
      </c>
      <c r="CE170" s="82">
        <f t="shared" si="527"/>
        <v>0</v>
      </c>
      <c r="CF170" s="82">
        <f t="shared" si="528"/>
        <v>0</v>
      </c>
      <c r="CG170" s="82">
        <f t="shared" si="529"/>
        <v>0</v>
      </c>
      <c r="CH170" s="82">
        <f t="shared" si="530"/>
        <v>0</v>
      </c>
      <c r="CI170" s="82">
        <f t="shared" si="531"/>
        <v>0</v>
      </c>
      <c r="CJ170" s="82">
        <f t="shared" si="532"/>
        <v>0</v>
      </c>
      <c r="CK170" s="82">
        <f t="shared" si="533"/>
        <v>0</v>
      </c>
      <c r="CL170" s="82">
        <f t="shared" si="534"/>
        <v>0</v>
      </c>
      <c r="CM170" s="82">
        <f t="shared" si="535"/>
        <v>0</v>
      </c>
      <c r="CN170" s="82">
        <f t="shared" si="536"/>
        <v>0</v>
      </c>
      <c r="CO170" s="82">
        <f t="shared" si="537"/>
        <v>0</v>
      </c>
      <c r="CP170" s="82">
        <f t="shared" si="538"/>
        <v>0</v>
      </c>
      <c r="CQ170" s="82">
        <f t="shared" si="539"/>
        <v>0</v>
      </c>
      <c r="CR170" s="82">
        <f t="shared" si="540"/>
        <v>0</v>
      </c>
      <c r="CS170" s="82">
        <f t="shared" si="541"/>
        <v>0</v>
      </c>
      <c r="CT170" s="82">
        <f t="shared" si="542"/>
        <v>0</v>
      </c>
      <c r="CU170" s="82">
        <f t="shared" si="543"/>
        <v>0</v>
      </c>
      <c r="CV170" s="82">
        <f t="shared" si="544"/>
        <v>0</v>
      </c>
      <c r="CW170" s="82">
        <f t="shared" si="545"/>
        <v>0</v>
      </c>
      <c r="CX170" s="82">
        <f t="shared" si="546"/>
        <v>0</v>
      </c>
      <c r="CY170" s="82">
        <f t="shared" si="547"/>
        <v>0</v>
      </c>
      <c r="CZ170" s="82">
        <f t="shared" si="548"/>
        <v>0</v>
      </c>
      <c r="DA170" s="82">
        <f t="shared" si="549"/>
        <v>0</v>
      </c>
      <c r="DB170" s="82">
        <f t="shared" si="550"/>
        <v>0</v>
      </c>
      <c r="DC170" s="82">
        <f t="shared" si="551"/>
        <v>0</v>
      </c>
      <c r="DD170" s="82">
        <f t="shared" si="552"/>
        <v>0</v>
      </c>
      <c r="DE170" s="82">
        <f t="shared" si="553"/>
        <v>0</v>
      </c>
      <c r="DF170" s="82">
        <f t="shared" si="554"/>
        <v>0</v>
      </c>
      <c r="DG170" s="82">
        <f t="shared" si="555"/>
        <v>0</v>
      </c>
      <c r="DH170" s="82">
        <f t="shared" si="556"/>
        <v>0</v>
      </c>
      <c r="DI170" s="82">
        <f t="shared" si="557"/>
        <v>0</v>
      </c>
      <c r="DJ170" s="82">
        <f t="shared" si="558"/>
        <v>0</v>
      </c>
      <c r="DK170" s="82">
        <f t="shared" si="559"/>
        <v>0</v>
      </c>
      <c r="DL170" s="82">
        <f t="shared" si="560"/>
        <v>0</v>
      </c>
      <c r="DM170" s="82">
        <f t="shared" si="561"/>
        <v>0</v>
      </c>
      <c r="DN170" s="82">
        <f t="shared" si="562"/>
        <v>0</v>
      </c>
      <c r="DO170" s="82">
        <f t="shared" si="563"/>
        <v>0</v>
      </c>
      <c r="DP170" s="82">
        <f t="shared" si="564"/>
        <v>0</v>
      </c>
      <c r="DQ170" s="82">
        <f t="shared" si="565"/>
        <v>0</v>
      </c>
      <c r="DR170" s="82">
        <f t="shared" si="566"/>
        <v>0</v>
      </c>
      <c r="DS170" s="82">
        <f t="shared" si="567"/>
        <v>0</v>
      </c>
      <c r="DT170" s="82">
        <f t="shared" si="568"/>
        <v>0</v>
      </c>
      <c r="DU170" s="82">
        <f t="shared" si="569"/>
        <v>0</v>
      </c>
      <c r="DV170" s="82">
        <f t="shared" si="570"/>
        <v>0</v>
      </c>
      <c r="DW170" s="82">
        <f t="shared" si="571"/>
        <v>0</v>
      </c>
      <c r="DX170" s="82">
        <f t="shared" si="572"/>
        <v>0</v>
      </c>
      <c r="DY170" s="82">
        <f t="shared" si="573"/>
        <v>0</v>
      </c>
      <c r="DZ170" s="82">
        <f t="shared" si="574"/>
        <v>0</v>
      </c>
      <c r="EA170" s="82">
        <f t="shared" si="575"/>
        <v>0</v>
      </c>
      <c r="EB170" s="82">
        <f t="shared" si="576"/>
        <v>0</v>
      </c>
      <c r="EC170" s="82">
        <f t="shared" si="577"/>
        <v>0</v>
      </c>
      <c r="ED170" s="82">
        <f t="shared" si="578"/>
        <v>0</v>
      </c>
      <c r="EE170" s="82">
        <f t="shared" si="579"/>
        <v>0</v>
      </c>
      <c r="EF170" s="82">
        <f t="shared" si="580"/>
        <v>0</v>
      </c>
      <c r="EG170" s="82">
        <f t="shared" si="581"/>
        <v>0</v>
      </c>
      <c r="EH170" s="82">
        <f t="shared" si="582"/>
        <v>0</v>
      </c>
      <c r="EI170" s="82">
        <f t="shared" si="583"/>
        <v>0</v>
      </c>
      <c r="EJ170" s="82">
        <f t="shared" si="584"/>
        <v>0</v>
      </c>
      <c r="EK170" s="82">
        <f t="shared" si="585"/>
        <v>0</v>
      </c>
      <c r="EL170" s="82">
        <f t="shared" si="586"/>
        <v>0</v>
      </c>
      <c r="EM170" s="82">
        <f t="shared" si="587"/>
        <v>0</v>
      </c>
      <c r="EN170" s="82">
        <f t="shared" si="588"/>
        <v>0</v>
      </c>
      <c r="EO170" s="82">
        <f t="shared" si="589"/>
        <v>0</v>
      </c>
      <c r="EP170" s="82">
        <f t="shared" si="590"/>
        <v>0</v>
      </c>
      <c r="EQ170" s="82">
        <f t="shared" si="591"/>
        <v>0</v>
      </c>
      <c r="ER170" s="82">
        <f t="shared" si="592"/>
        <v>0</v>
      </c>
      <c r="ES170" s="82">
        <f t="shared" si="593"/>
        <v>0</v>
      </c>
      <c r="ET170" s="82">
        <f t="shared" si="594"/>
        <v>0</v>
      </c>
      <c r="EU170" s="82">
        <f t="shared" si="595"/>
        <v>0</v>
      </c>
      <c r="EV170" s="82">
        <f t="shared" si="596"/>
        <v>0</v>
      </c>
      <c r="EW170" s="82">
        <f t="shared" si="597"/>
        <v>0</v>
      </c>
      <c r="EX170" s="82">
        <f t="shared" si="598"/>
        <v>0</v>
      </c>
      <c r="EY170" s="111">
        <f t="shared" si="599"/>
        <v>0</v>
      </c>
      <c r="EZ170" s="143" t="e">
        <f t="shared" ca="1" si="600"/>
        <v>#N/A</v>
      </c>
      <c r="FA170" s="112" t="e">
        <f t="shared" ca="1" si="601"/>
        <v>#N/A</v>
      </c>
      <c r="FB170" s="113" t="e">
        <f t="shared" ca="1" si="602"/>
        <v>#N/A</v>
      </c>
      <c r="FC170" s="114" t="e">
        <f t="shared" ca="1" si="603"/>
        <v>#N/A</v>
      </c>
      <c r="FD170" s="115">
        <f t="shared" ca="1" si="604"/>
        <v>0</v>
      </c>
      <c r="FE170" s="116" t="e">
        <f t="shared" ca="1" si="605"/>
        <v>#N/A</v>
      </c>
      <c r="FF170" s="117" t="e">
        <f t="shared" ca="1" si="606"/>
        <v>#N/A</v>
      </c>
      <c r="FG170" s="71">
        <f t="shared" si="607"/>
        <v>0</v>
      </c>
      <c r="FH170" s="530" t="e">
        <f t="shared" ca="1" si="608"/>
        <v>#N/A</v>
      </c>
      <c r="FI170" s="72"/>
      <c r="FJ170" s="72"/>
      <c r="FK170" s="72"/>
      <c r="FM170" s="421">
        <f t="shared" si="609"/>
        <v>0</v>
      </c>
      <c r="FN170" s="422" t="e">
        <f t="shared" ca="1" si="610"/>
        <v>#N/A</v>
      </c>
      <c r="FO170" s="423">
        <f t="shared" ca="1" si="525"/>
        <v>0</v>
      </c>
      <c r="FP170" s="423">
        <f t="shared" ca="1" si="525"/>
        <v>0</v>
      </c>
      <c r="FQ170" s="423">
        <f t="shared" ca="1" si="525"/>
        <v>0</v>
      </c>
      <c r="FR170" s="423">
        <f t="shared" ca="1" si="525"/>
        <v>0</v>
      </c>
      <c r="FS170" s="423">
        <f t="shared" ca="1" si="525"/>
        <v>0</v>
      </c>
      <c r="FT170" s="423">
        <f t="shared" ca="1" si="525"/>
        <v>0</v>
      </c>
      <c r="FU170" s="423">
        <f t="shared" ca="1" si="525"/>
        <v>0</v>
      </c>
      <c r="FV170" s="423">
        <f t="shared" ca="1" si="525"/>
        <v>0</v>
      </c>
      <c r="FW170" s="423">
        <f t="shared" ca="1" si="525"/>
        <v>0</v>
      </c>
      <c r="FX170" s="423">
        <f t="shared" ca="1" si="525"/>
        <v>0</v>
      </c>
      <c r="FY170" s="423">
        <f t="shared" ca="1" si="525"/>
        <v>0</v>
      </c>
      <c r="FZ170" s="423">
        <f t="shared" ca="1" si="525"/>
        <v>0</v>
      </c>
      <c r="GA170" s="423">
        <f t="shared" ca="1" si="525"/>
        <v>0</v>
      </c>
      <c r="GB170" s="423">
        <f t="shared" ca="1" si="525"/>
        <v>0</v>
      </c>
      <c r="GC170" s="423">
        <f t="shared" ca="1" si="525"/>
        <v>0</v>
      </c>
      <c r="GD170" s="423">
        <f t="shared" ca="1" si="525"/>
        <v>0</v>
      </c>
      <c r="GE170" s="423">
        <f t="shared" ca="1" si="523"/>
        <v>0</v>
      </c>
      <c r="GF170" s="423">
        <f t="shared" ca="1" si="523"/>
        <v>0</v>
      </c>
      <c r="GG170" s="423">
        <f t="shared" ca="1" si="523"/>
        <v>0</v>
      </c>
      <c r="GH170" s="423">
        <f t="shared" ca="1" si="523"/>
        <v>0</v>
      </c>
      <c r="GI170" s="423">
        <f t="shared" ca="1" si="523"/>
        <v>0</v>
      </c>
      <c r="GJ170" s="423">
        <f t="shared" ca="1" si="523"/>
        <v>0</v>
      </c>
      <c r="GK170" s="423">
        <f t="shared" ca="1" si="523"/>
        <v>0</v>
      </c>
      <c r="GL170" s="423">
        <f t="shared" ca="1" si="523"/>
        <v>0</v>
      </c>
      <c r="GM170" s="423">
        <f t="shared" ca="1" si="523"/>
        <v>0</v>
      </c>
      <c r="GN170" s="423">
        <f t="shared" ca="1" si="523"/>
        <v>0</v>
      </c>
      <c r="GO170" s="423">
        <f t="shared" ca="1" si="523"/>
        <v>0</v>
      </c>
      <c r="GP170" s="423">
        <f t="shared" ca="1" si="523"/>
        <v>0</v>
      </c>
      <c r="GQ170" s="423">
        <f t="shared" ca="1" si="523"/>
        <v>0</v>
      </c>
      <c r="GR170" s="423">
        <f t="shared" ca="1" si="523"/>
        <v>0</v>
      </c>
      <c r="GS170" s="423">
        <f t="shared" ca="1" si="521"/>
        <v>0</v>
      </c>
      <c r="GT170" s="423">
        <f t="shared" ca="1" si="521"/>
        <v>0</v>
      </c>
      <c r="GU170" s="423">
        <f t="shared" ca="1" si="521"/>
        <v>0</v>
      </c>
      <c r="GV170" s="423">
        <f t="shared" ca="1" si="521"/>
        <v>0</v>
      </c>
      <c r="GW170" s="423">
        <f t="shared" ca="1" si="521"/>
        <v>0</v>
      </c>
      <c r="GX170" s="423">
        <f t="shared" ca="1" si="521"/>
        <v>0</v>
      </c>
      <c r="GY170" s="423">
        <f t="shared" ca="1" si="521"/>
        <v>0</v>
      </c>
      <c r="GZ170" s="423">
        <f t="shared" ca="1" si="521"/>
        <v>0</v>
      </c>
      <c r="HA170" s="423">
        <f t="shared" ca="1" si="521"/>
        <v>0</v>
      </c>
      <c r="HB170" s="423">
        <f t="shared" ca="1" si="521"/>
        <v>0</v>
      </c>
      <c r="HC170" s="423">
        <f t="shared" ca="1" si="521"/>
        <v>0</v>
      </c>
      <c r="HD170" s="423">
        <f t="shared" ca="1" si="521"/>
        <v>0</v>
      </c>
      <c r="HE170" s="423">
        <f t="shared" ca="1" si="521"/>
        <v>0</v>
      </c>
      <c r="HF170" s="423">
        <f t="shared" ca="1" si="521"/>
        <v>0</v>
      </c>
      <c r="HG170" s="423">
        <f t="shared" ca="1" si="521"/>
        <v>0</v>
      </c>
      <c r="HH170" s="423">
        <f t="shared" ca="1" si="521"/>
        <v>0</v>
      </c>
      <c r="HI170" s="423">
        <f t="shared" ca="1" si="524"/>
        <v>0</v>
      </c>
      <c r="HJ170" s="423">
        <f t="shared" ca="1" si="522"/>
        <v>0</v>
      </c>
      <c r="HK170" s="423">
        <f t="shared" ca="1" si="522"/>
        <v>0</v>
      </c>
      <c r="HL170" s="423">
        <f t="shared" ca="1" si="522"/>
        <v>0</v>
      </c>
      <c r="HM170" s="423">
        <f t="shared" ca="1" si="522"/>
        <v>0</v>
      </c>
      <c r="HN170" s="423">
        <f t="shared" ca="1" si="522"/>
        <v>0</v>
      </c>
      <c r="HO170" s="423">
        <f t="shared" ca="1" si="522"/>
        <v>0</v>
      </c>
      <c r="HP170" s="423">
        <f t="shared" ca="1" si="522"/>
        <v>0</v>
      </c>
      <c r="HQ170" s="423">
        <f t="shared" ca="1" si="522"/>
        <v>0</v>
      </c>
      <c r="HR170" s="423">
        <f t="shared" ca="1" si="522"/>
        <v>0</v>
      </c>
      <c r="HS170" s="423">
        <f t="shared" ca="1" si="522"/>
        <v>0</v>
      </c>
      <c r="HT170" s="423">
        <f t="shared" ca="1" si="522"/>
        <v>0</v>
      </c>
    </row>
    <row r="171" spans="1:230" x14ac:dyDescent="0.2">
      <c r="A171" s="62">
        <f t="shared" si="516"/>
        <v>160</v>
      </c>
      <c r="B171" s="60">
        <f>Spaces_Sum!C216</f>
        <v>0</v>
      </c>
      <c r="C171" s="62" t="str">
        <f>Spaces_Sum!D216</f>
        <v>0</v>
      </c>
      <c r="D171" s="62" t="e">
        <f ca="1">Spaces_Sum!I216</f>
        <v>#N/A</v>
      </c>
      <c r="F171" s="110" t="e">
        <f ca="1">Spaces_Sum!M216</f>
        <v>#N/A</v>
      </c>
      <c r="G171" s="110" t="e">
        <f ca="1">Spaces_Sum!J216</f>
        <v>#N/A</v>
      </c>
      <c r="H171" s="532"/>
      <c r="I171" s="185"/>
      <c r="J171" s="185"/>
      <c r="K171" s="186"/>
      <c r="L171" s="187"/>
      <c r="M171" s="188"/>
      <c r="N171" s="189"/>
      <c r="O171" s="186"/>
      <c r="P171" s="187"/>
      <c r="Q171" s="188"/>
      <c r="R171" s="189"/>
      <c r="S171" s="186"/>
      <c r="T171" s="187"/>
      <c r="U171" s="188"/>
      <c r="V171" s="189"/>
      <c r="W171" s="186"/>
      <c r="X171" s="187"/>
      <c r="Y171" s="188"/>
      <c r="Z171" s="189"/>
      <c r="AA171" s="186"/>
      <c r="AB171" s="187"/>
      <c r="AC171" s="188"/>
      <c r="AD171" s="189"/>
      <c r="AE171" s="186"/>
      <c r="AF171" s="187"/>
      <c r="AG171" s="188"/>
      <c r="AH171" s="189"/>
      <c r="AI171" s="186"/>
      <c r="AJ171" s="187"/>
      <c r="AK171" s="188"/>
      <c r="AL171" s="189"/>
      <c r="AM171" s="186"/>
      <c r="AN171" s="187"/>
      <c r="AO171" s="188"/>
      <c r="AP171" s="189"/>
      <c r="AQ171" s="186"/>
      <c r="AR171" s="187"/>
      <c r="AS171" s="188"/>
      <c r="AT171" s="189"/>
      <c r="AU171" s="186"/>
      <c r="AV171" s="187"/>
      <c r="AW171" s="188"/>
      <c r="AX171" s="189"/>
      <c r="AY171" s="186"/>
      <c r="AZ171" s="187"/>
      <c r="BA171" s="188"/>
      <c r="BB171" s="189"/>
      <c r="BC171" s="186"/>
      <c r="BD171" s="187"/>
      <c r="BE171" s="188"/>
      <c r="BF171" s="189"/>
      <c r="BG171" s="186"/>
      <c r="BH171" s="187"/>
      <c r="BI171" s="188"/>
      <c r="BJ171" s="189"/>
      <c r="BK171" s="186"/>
      <c r="BL171" s="187"/>
      <c r="BM171" s="188"/>
      <c r="BN171" s="189"/>
      <c r="BO171" s="186"/>
      <c r="BP171" s="187"/>
      <c r="BQ171" s="188"/>
      <c r="BR171" s="189"/>
      <c r="BS171" s="186"/>
      <c r="BT171" s="187"/>
      <c r="BU171" s="188"/>
      <c r="BV171" s="189"/>
      <c r="BW171" s="186"/>
      <c r="BX171" s="187"/>
      <c r="BY171" s="188"/>
      <c r="BZ171" s="189"/>
      <c r="CA171" s="186"/>
      <c r="CB171" s="190"/>
      <c r="CC171" s="190"/>
      <c r="CD171" s="82">
        <f t="shared" si="526"/>
        <v>0</v>
      </c>
      <c r="CE171" s="82">
        <f t="shared" si="527"/>
        <v>0</v>
      </c>
      <c r="CF171" s="82">
        <f t="shared" si="528"/>
        <v>0</v>
      </c>
      <c r="CG171" s="82">
        <f t="shared" si="529"/>
        <v>0</v>
      </c>
      <c r="CH171" s="82">
        <f t="shared" si="530"/>
        <v>0</v>
      </c>
      <c r="CI171" s="82">
        <f t="shared" si="531"/>
        <v>0</v>
      </c>
      <c r="CJ171" s="82">
        <f t="shared" si="532"/>
        <v>0</v>
      </c>
      <c r="CK171" s="82">
        <f t="shared" si="533"/>
        <v>0</v>
      </c>
      <c r="CL171" s="82">
        <f t="shared" si="534"/>
        <v>0</v>
      </c>
      <c r="CM171" s="82">
        <f t="shared" si="535"/>
        <v>0</v>
      </c>
      <c r="CN171" s="82">
        <f t="shared" si="536"/>
        <v>0</v>
      </c>
      <c r="CO171" s="82">
        <f t="shared" si="537"/>
        <v>0</v>
      </c>
      <c r="CP171" s="82">
        <f t="shared" si="538"/>
        <v>0</v>
      </c>
      <c r="CQ171" s="82">
        <f t="shared" si="539"/>
        <v>0</v>
      </c>
      <c r="CR171" s="82">
        <f t="shared" si="540"/>
        <v>0</v>
      </c>
      <c r="CS171" s="82">
        <f t="shared" si="541"/>
        <v>0</v>
      </c>
      <c r="CT171" s="82">
        <f t="shared" si="542"/>
        <v>0</v>
      </c>
      <c r="CU171" s="82">
        <f t="shared" si="543"/>
        <v>0</v>
      </c>
      <c r="CV171" s="82">
        <f t="shared" si="544"/>
        <v>0</v>
      </c>
      <c r="CW171" s="82">
        <f t="shared" si="545"/>
        <v>0</v>
      </c>
      <c r="CX171" s="82">
        <f t="shared" si="546"/>
        <v>0</v>
      </c>
      <c r="CY171" s="82">
        <f t="shared" si="547"/>
        <v>0</v>
      </c>
      <c r="CZ171" s="82">
        <f t="shared" si="548"/>
        <v>0</v>
      </c>
      <c r="DA171" s="82">
        <f t="shared" si="549"/>
        <v>0</v>
      </c>
      <c r="DB171" s="82">
        <f t="shared" si="550"/>
        <v>0</v>
      </c>
      <c r="DC171" s="82">
        <f t="shared" si="551"/>
        <v>0</v>
      </c>
      <c r="DD171" s="82">
        <f t="shared" si="552"/>
        <v>0</v>
      </c>
      <c r="DE171" s="82">
        <f t="shared" si="553"/>
        <v>0</v>
      </c>
      <c r="DF171" s="82">
        <f t="shared" si="554"/>
        <v>0</v>
      </c>
      <c r="DG171" s="82">
        <f t="shared" si="555"/>
        <v>0</v>
      </c>
      <c r="DH171" s="82">
        <f t="shared" si="556"/>
        <v>0</v>
      </c>
      <c r="DI171" s="82">
        <f t="shared" si="557"/>
        <v>0</v>
      </c>
      <c r="DJ171" s="82">
        <f t="shared" si="558"/>
        <v>0</v>
      </c>
      <c r="DK171" s="82">
        <f t="shared" si="559"/>
        <v>0</v>
      </c>
      <c r="DL171" s="82">
        <f t="shared" si="560"/>
        <v>0</v>
      </c>
      <c r="DM171" s="82">
        <f t="shared" si="561"/>
        <v>0</v>
      </c>
      <c r="DN171" s="82">
        <f t="shared" si="562"/>
        <v>0</v>
      </c>
      <c r="DO171" s="82">
        <f t="shared" si="563"/>
        <v>0</v>
      </c>
      <c r="DP171" s="82">
        <f t="shared" si="564"/>
        <v>0</v>
      </c>
      <c r="DQ171" s="82">
        <f t="shared" si="565"/>
        <v>0</v>
      </c>
      <c r="DR171" s="82">
        <f t="shared" si="566"/>
        <v>0</v>
      </c>
      <c r="DS171" s="82">
        <f t="shared" si="567"/>
        <v>0</v>
      </c>
      <c r="DT171" s="82">
        <f t="shared" si="568"/>
        <v>0</v>
      </c>
      <c r="DU171" s="82">
        <f t="shared" si="569"/>
        <v>0</v>
      </c>
      <c r="DV171" s="82">
        <f t="shared" si="570"/>
        <v>0</v>
      </c>
      <c r="DW171" s="82">
        <f t="shared" si="571"/>
        <v>0</v>
      </c>
      <c r="DX171" s="82">
        <f t="shared" si="572"/>
        <v>0</v>
      </c>
      <c r="DY171" s="82">
        <f t="shared" si="573"/>
        <v>0</v>
      </c>
      <c r="DZ171" s="82">
        <f t="shared" si="574"/>
        <v>0</v>
      </c>
      <c r="EA171" s="82">
        <f t="shared" si="575"/>
        <v>0</v>
      </c>
      <c r="EB171" s="82">
        <f t="shared" si="576"/>
        <v>0</v>
      </c>
      <c r="EC171" s="82">
        <f t="shared" si="577"/>
        <v>0</v>
      </c>
      <c r="ED171" s="82">
        <f t="shared" si="578"/>
        <v>0</v>
      </c>
      <c r="EE171" s="82">
        <f t="shared" si="579"/>
        <v>0</v>
      </c>
      <c r="EF171" s="82">
        <f t="shared" si="580"/>
        <v>0</v>
      </c>
      <c r="EG171" s="82">
        <f t="shared" si="581"/>
        <v>0</v>
      </c>
      <c r="EH171" s="82">
        <f t="shared" si="582"/>
        <v>0</v>
      </c>
      <c r="EI171" s="82">
        <f t="shared" si="583"/>
        <v>0</v>
      </c>
      <c r="EJ171" s="82">
        <f t="shared" si="584"/>
        <v>0</v>
      </c>
      <c r="EK171" s="82">
        <f t="shared" si="585"/>
        <v>0</v>
      </c>
      <c r="EL171" s="82">
        <f t="shared" si="586"/>
        <v>0</v>
      </c>
      <c r="EM171" s="82">
        <f t="shared" si="587"/>
        <v>0</v>
      </c>
      <c r="EN171" s="82">
        <f t="shared" si="588"/>
        <v>0</v>
      </c>
      <c r="EO171" s="82">
        <f t="shared" si="589"/>
        <v>0</v>
      </c>
      <c r="EP171" s="82">
        <f t="shared" si="590"/>
        <v>0</v>
      </c>
      <c r="EQ171" s="82">
        <f t="shared" si="591"/>
        <v>0</v>
      </c>
      <c r="ER171" s="82">
        <f t="shared" si="592"/>
        <v>0</v>
      </c>
      <c r="ES171" s="82">
        <f t="shared" si="593"/>
        <v>0</v>
      </c>
      <c r="ET171" s="82">
        <f t="shared" si="594"/>
        <v>0</v>
      </c>
      <c r="EU171" s="82">
        <f t="shared" si="595"/>
        <v>0</v>
      </c>
      <c r="EV171" s="82">
        <f t="shared" si="596"/>
        <v>0</v>
      </c>
      <c r="EW171" s="82">
        <f t="shared" si="597"/>
        <v>0</v>
      </c>
      <c r="EX171" s="82">
        <f t="shared" si="598"/>
        <v>0</v>
      </c>
      <c r="EY171" s="111">
        <f t="shared" si="599"/>
        <v>0</v>
      </c>
      <c r="EZ171" s="143" t="e">
        <f t="shared" ca="1" si="600"/>
        <v>#N/A</v>
      </c>
      <c r="FA171" s="112" t="e">
        <f t="shared" ca="1" si="601"/>
        <v>#N/A</v>
      </c>
      <c r="FB171" s="113" t="e">
        <f t="shared" ca="1" si="602"/>
        <v>#N/A</v>
      </c>
      <c r="FC171" s="114" t="e">
        <f t="shared" ca="1" si="603"/>
        <v>#N/A</v>
      </c>
      <c r="FD171" s="115">
        <f t="shared" ca="1" si="604"/>
        <v>0</v>
      </c>
      <c r="FE171" s="116" t="e">
        <f t="shared" ca="1" si="605"/>
        <v>#N/A</v>
      </c>
      <c r="FF171" s="117" t="e">
        <f t="shared" ca="1" si="606"/>
        <v>#N/A</v>
      </c>
      <c r="FG171" s="71">
        <f t="shared" si="607"/>
        <v>0</v>
      </c>
      <c r="FH171" s="530" t="e">
        <f t="shared" ca="1" si="608"/>
        <v>#N/A</v>
      </c>
      <c r="FI171" s="72"/>
      <c r="FJ171" s="72"/>
      <c r="FK171" s="72"/>
      <c r="FM171" s="421">
        <f t="shared" si="609"/>
        <v>0</v>
      </c>
      <c r="FN171" s="422" t="e">
        <f t="shared" ca="1" si="610"/>
        <v>#N/A</v>
      </c>
      <c r="FO171" s="423">
        <f t="shared" ca="1" si="525"/>
        <v>0</v>
      </c>
      <c r="FP171" s="423">
        <f t="shared" ca="1" si="525"/>
        <v>0</v>
      </c>
      <c r="FQ171" s="423">
        <f t="shared" ca="1" si="525"/>
        <v>0</v>
      </c>
      <c r="FR171" s="423">
        <f t="shared" ca="1" si="525"/>
        <v>0</v>
      </c>
      <c r="FS171" s="423">
        <f t="shared" ca="1" si="525"/>
        <v>0</v>
      </c>
      <c r="FT171" s="423">
        <f t="shared" ca="1" si="525"/>
        <v>0</v>
      </c>
      <c r="FU171" s="423">
        <f t="shared" ca="1" si="525"/>
        <v>0</v>
      </c>
      <c r="FV171" s="423">
        <f t="shared" ca="1" si="525"/>
        <v>0</v>
      </c>
      <c r="FW171" s="423">
        <f t="shared" ca="1" si="525"/>
        <v>0</v>
      </c>
      <c r="FX171" s="423">
        <f t="shared" ca="1" si="525"/>
        <v>0</v>
      </c>
      <c r="FY171" s="423">
        <f t="shared" ca="1" si="525"/>
        <v>0</v>
      </c>
      <c r="FZ171" s="423">
        <f t="shared" ca="1" si="525"/>
        <v>0</v>
      </c>
      <c r="GA171" s="423">
        <f t="shared" ca="1" si="525"/>
        <v>0</v>
      </c>
      <c r="GB171" s="423">
        <f t="shared" ca="1" si="525"/>
        <v>0</v>
      </c>
      <c r="GC171" s="423">
        <f t="shared" ca="1" si="525"/>
        <v>0</v>
      </c>
      <c r="GD171" s="423">
        <f t="shared" ca="1" si="525"/>
        <v>0</v>
      </c>
      <c r="GE171" s="423">
        <f t="shared" ca="1" si="523"/>
        <v>0</v>
      </c>
      <c r="GF171" s="423">
        <f t="shared" ca="1" si="523"/>
        <v>0</v>
      </c>
      <c r="GG171" s="423">
        <f t="shared" ca="1" si="523"/>
        <v>0</v>
      </c>
      <c r="GH171" s="423">
        <f t="shared" ca="1" si="523"/>
        <v>0</v>
      </c>
      <c r="GI171" s="423">
        <f t="shared" ca="1" si="523"/>
        <v>0</v>
      </c>
      <c r="GJ171" s="423">
        <f t="shared" ca="1" si="523"/>
        <v>0</v>
      </c>
      <c r="GK171" s="423">
        <f t="shared" ca="1" si="523"/>
        <v>0</v>
      </c>
      <c r="GL171" s="423">
        <f t="shared" ca="1" si="523"/>
        <v>0</v>
      </c>
      <c r="GM171" s="423">
        <f t="shared" ca="1" si="523"/>
        <v>0</v>
      </c>
      <c r="GN171" s="423">
        <f t="shared" ca="1" si="523"/>
        <v>0</v>
      </c>
      <c r="GO171" s="423">
        <f t="shared" ca="1" si="523"/>
        <v>0</v>
      </c>
      <c r="GP171" s="423">
        <f t="shared" ca="1" si="523"/>
        <v>0</v>
      </c>
      <c r="GQ171" s="423">
        <f t="shared" ca="1" si="523"/>
        <v>0</v>
      </c>
      <c r="GR171" s="423">
        <f t="shared" ca="1" si="523"/>
        <v>0</v>
      </c>
      <c r="GS171" s="423">
        <f t="shared" ca="1" si="523"/>
        <v>0</v>
      </c>
      <c r="GT171" s="423">
        <f t="shared" ca="1" si="523"/>
        <v>0</v>
      </c>
      <c r="GU171" s="423">
        <f t="shared" ref="GU171:HJ186" ca="1" si="611">IFERROR(ROUNDDOWN(SUMIF($H171:$CC171,GU$11,$CD171:$EX171)/GU$10,0),0)</f>
        <v>0</v>
      </c>
      <c r="GV171" s="423">
        <f t="shared" ca="1" si="611"/>
        <v>0</v>
      </c>
      <c r="GW171" s="423">
        <f t="shared" ca="1" si="611"/>
        <v>0</v>
      </c>
      <c r="GX171" s="423">
        <f t="shared" ca="1" si="611"/>
        <v>0</v>
      </c>
      <c r="GY171" s="423">
        <f t="shared" ca="1" si="611"/>
        <v>0</v>
      </c>
      <c r="GZ171" s="423">
        <f t="shared" ca="1" si="611"/>
        <v>0</v>
      </c>
      <c r="HA171" s="423">
        <f t="shared" ca="1" si="611"/>
        <v>0</v>
      </c>
      <c r="HB171" s="423">
        <f t="shared" ca="1" si="611"/>
        <v>0</v>
      </c>
      <c r="HC171" s="423">
        <f t="shared" ca="1" si="611"/>
        <v>0</v>
      </c>
      <c r="HD171" s="423">
        <f t="shared" ca="1" si="611"/>
        <v>0</v>
      </c>
      <c r="HE171" s="423">
        <f t="shared" ca="1" si="611"/>
        <v>0</v>
      </c>
      <c r="HF171" s="423">
        <f t="shared" ca="1" si="611"/>
        <v>0</v>
      </c>
      <c r="HG171" s="423">
        <f t="shared" ca="1" si="611"/>
        <v>0</v>
      </c>
      <c r="HH171" s="423">
        <f t="shared" ca="1" si="611"/>
        <v>0</v>
      </c>
      <c r="HI171" s="423">
        <f t="shared" ca="1" si="524"/>
        <v>0</v>
      </c>
      <c r="HJ171" s="423">
        <f t="shared" ca="1" si="524"/>
        <v>0</v>
      </c>
      <c r="HK171" s="423">
        <f t="shared" ca="1" si="524"/>
        <v>0</v>
      </c>
      <c r="HL171" s="423">
        <f t="shared" ca="1" si="524"/>
        <v>0</v>
      </c>
      <c r="HM171" s="423">
        <f t="shared" ca="1" si="524"/>
        <v>0</v>
      </c>
      <c r="HN171" s="423">
        <f t="shared" ca="1" si="524"/>
        <v>0</v>
      </c>
      <c r="HO171" s="423">
        <f t="shared" ca="1" si="524"/>
        <v>0</v>
      </c>
      <c r="HP171" s="423">
        <f t="shared" ca="1" si="524"/>
        <v>0</v>
      </c>
      <c r="HQ171" s="423">
        <f t="shared" ca="1" si="524"/>
        <v>0</v>
      </c>
      <c r="HR171" s="423">
        <f t="shared" ca="1" si="524"/>
        <v>0</v>
      </c>
      <c r="HS171" s="423">
        <f t="shared" ca="1" si="524"/>
        <v>0</v>
      </c>
      <c r="HT171" s="423">
        <f t="shared" ca="1" si="524"/>
        <v>0</v>
      </c>
    </row>
    <row r="172" spans="1:230" x14ac:dyDescent="0.2">
      <c r="A172" s="62">
        <f t="shared" si="516"/>
        <v>161</v>
      </c>
      <c r="B172" s="60">
        <f>Spaces_Sum!C217</f>
        <v>0</v>
      </c>
      <c r="C172" s="62" t="str">
        <f>Spaces_Sum!D217</f>
        <v>0</v>
      </c>
      <c r="D172" s="62" t="e">
        <f ca="1">Spaces_Sum!I217</f>
        <v>#N/A</v>
      </c>
      <c r="F172" s="110" t="e">
        <f ca="1">Spaces_Sum!M217</f>
        <v>#N/A</v>
      </c>
      <c r="G172" s="110" t="e">
        <f ca="1">Spaces_Sum!J217</f>
        <v>#N/A</v>
      </c>
      <c r="H172" s="532"/>
      <c r="I172" s="185"/>
      <c r="J172" s="185"/>
      <c r="K172" s="186"/>
      <c r="L172" s="187"/>
      <c r="M172" s="188"/>
      <c r="N172" s="189"/>
      <c r="O172" s="186"/>
      <c r="P172" s="187"/>
      <c r="Q172" s="188"/>
      <c r="R172" s="189"/>
      <c r="S172" s="186"/>
      <c r="T172" s="187"/>
      <c r="U172" s="188"/>
      <c r="V172" s="189"/>
      <c r="W172" s="186"/>
      <c r="X172" s="187"/>
      <c r="Y172" s="188"/>
      <c r="Z172" s="189"/>
      <c r="AA172" s="186"/>
      <c r="AB172" s="187"/>
      <c r="AC172" s="188"/>
      <c r="AD172" s="189"/>
      <c r="AE172" s="186"/>
      <c r="AF172" s="187"/>
      <c r="AG172" s="188"/>
      <c r="AH172" s="189"/>
      <c r="AI172" s="186"/>
      <c r="AJ172" s="187"/>
      <c r="AK172" s="188"/>
      <c r="AL172" s="189"/>
      <c r="AM172" s="186"/>
      <c r="AN172" s="187"/>
      <c r="AO172" s="188"/>
      <c r="AP172" s="189"/>
      <c r="AQ172" s="186"/>
      <c r="AR172" s="187"/>
      <c r="AS172" s="188"/>
      <c r="AT172" s="189"/>
      <c r="AU172" s="186"/>
      <c r="AV172" s="187"/>
      <c r="AW172" s="188"/>
      <c r="AX172" s="189"/>
      <c r="AY172" s="186"/>
      <c r="AZ172" s="187"/>
      <c r="BA172" s="188"/>
      <c r="BB172" s="189"/>
      <c r="BC172" s="186"/>
      <c r="BD172" s="187"/>
      <c r="BE172" s="188"/>
      <c r="BF172" s="189"/>
      <c r="BG172" s="186"/>
      <c r="BH172" s="187"/>
      <c r="BI172" s="188"/>
      <c r="BJ172" s="189"/>
      <c r="BK172" s="186"/>
      <c r="BL172" s="187"/>
      <c r="BM172" s="188"/>
      <c r="BN172" s="189"/>
      <c r="BO172" s="186"/>
      <c r="BP172" s="187"/>
      <c r="BQ172" s="188"/>
      <c r="BR172" s="189"/>
      <c r="BS172" s="186"/>
      <c r="BT172" s="187"/>
      <c r="BU172" s="188"/>
      <c r="BV172" s="189"/>
      <c r="BW172" s="186"/>
      <c r="BX172" s="187"/>
      <c r="BY172" s="188"/>
      <c r="BZ172" s="189"/>
      <c r="CA172" s="186"/>
      <c r="CB172" s="190"/>
      <c r="CC172" s="190"/>
      <c r="CD172" s="82">
        <f t="shared" si="526"/>
        <v>0</v>
      </c>
      <c r="CE172" s="82">
        <f t="shared" si="527"/>
        <v>0</v>
      </c>
      <c r="CF172" s="82">
        <f t="shared" si="528"/>
        <v>0</v>
      </c>
      <c r="CG172" s="82">
        <f t="shared" si="529"/>
        <v>0</v>
      </c>
      <c r="CH172" s="82">
        <f t="shared" si="530"/>
        <v>0</v>
      </c>
      <c r="CI172" s="82">
        <f t="shared" si="531"/>
        <v>0</v>
      </c>
      <c r="CJ172" s="82">
        <f t="shared" si="532"/>
        <v>0</v>
      </c>
      <c r="CK172" s="82">
        <f t="shared" si="533"/>
        <v>0</v>
      </c>
      <c r="CL172" s="82">
        <f t="shared" si="534"/>
        <v>0</v>
      </c>
      <c r="CM172" s="82">
        <f t="shared" si="535"/>
        <v>0</v>
      </c>
      <c r="CN172" s="82">
        <f t="shared" si="536"/>
        <v>0</v>
      </c>
      <c r="CO172" s="82">
        <f t="shared" si="537"/>
        <v>0</v>
      </c>
      <c r="CP172" s="82">
        <f t="shared" si="538"/>
        <v>0</v>
      </c>
      <c r="CQ172" s="82">
        <f t="shared" si="539"/>
        <v>0</v>
      </c>
      <c r="CR172" s="82">
        <f t="shared" si="540"/>
        <v>0</v>
      </c>
      <c r="CS172" s="82">
        <f t="shared" si="541"/>
        <v>0</v>
      </c>
      <c r="CT172" s="82">
        <f t="shared" si="542"/>
        <v>0</v>
      </c>
      <c r="CU172" s="82">
        <f t="shared" si="543"/>
        <v>0</v>
      </c>
      <c r="CV172" s="82">
        <f t="shared" si="544"/>
        <v>0</v>
      </c>
      <c r="CW172" s="82">
        <f t="shared" si="545"/>
        <v>0</v>
      </c>
      <c r="CX172" s="82">
        <f t="shared" si="546"/>
        <v>0</v>
      </c>
      <c r="CY172" s="82">
        <f t="shared" si="547"/>
        <v>0</v>
      </c>
      <c r="CZ172" s="82">
        <f t="shared" si="548"/>
        <v>0</v>
      </c>
      <c r="DA172" s="82">
        <f t="shared" si="549"/>
        <v>0</v>
      </c>
      <c r="DB172" s="82">
        <f t="shared" si="550"/>
        <v>0</v>
      </c>
      <c r="DC172" s="82">
        <f t="shared" si="551"/>
        <v>0</v>
      </c>
      <c r="DD172" s="82">
        <f t="shared" si="552"/>
        <v>0</v>
      </c>
      <c r="DE172" s="82">
        <f t="shared" si="553"/>
        <v>0</v>
      </c>
      <c r="DF172" s="82">
        <f t="shared" si="554"/>
        <v>0</v>
      </c>
      <c r="DG172" s="82">
        <f t="shared" si="555"/>
        <v>0</v>
      </c>
      <c r="DH172" s="82">
        <f t="shared" si="556"/>
        <v>0</v>
      </c>
      <c r="DI172" s="82">
        <f t="shared" si="557"/>
        <v>0</v>
      </c>
      <c r="DJ172" s="82">
        <f t="shared" si="558"/>
        <v>0</v>
      </c>
      <c r="DK172" s="82">
        <f t="shared" si="559"/>
        <v>0</v>
      </c>
      <c r="DL172" s="82">
        <f t="shared" si="560"/>
        <v>0</v>
      </c>
      <c r="DM172" s="82">
        <f t="shared" si="561"/>
        <v>0</v>
      </c>
      <c r="DN172" s="82">
        <f t="shared" si="562"/>
        <v>0</v>
      </c>
      <c r="DO172" s="82">
        <f t="shared" si="563"/>
        <v>0</v>
      </c>
      <c r="DP172" s="82">
        <f t="shared" si="564"/>
        <v>0</v>
      </c>
      <c r="DQ172" s="82">
        <f t="shared" si="565"/>
        <v>0</v>
      </c>
      <c r="DR172" s="82">
        <f t="shared" si="566"/>
        <v>0</v>
      </c>
      <c r="DS172" s="82">
        <f t="shared" si="567"/>
        <v>0</v>
      </c>
      <c r="DT172" s="82">
        <f t="shared" si="568"/>
        <v>0</v>
      </c>
      <c r="DU172" s="82">
        <f t="shared" si="569"/>
        <v>0</v>
      </c>
      <c r="DV172" s="82">
        <f t="shared" si="570"/>
        <v>0</v>
      </c>
      <c r="DW172" s="82">
        <f t="shared" si="571"/>
        <v>0</v>
      </c>
      <c r="DX172" s="82">
        <f t="shared" si="572"/>
        <v>0</v>
      </c>
      <c r="DY172" s="82">
        <f t="shared" si="573"/>
        <v>0</v>
      </c>
      <c r="DZ172" s="82">
        <f t="shared" si="574"/>
        <v>0</v>
      </c>
      <c r="EA172" s="82">
        <f t="shared" si="575"/>
        <v>0</v>
      </c>
      <c r="EB172" s="82">
        <f t="shared" si="576"/>
        <v>0</v>
      </c>
      <c r="EC172" s="82">
        <f t="shared" si="577"/>
        <v>0</v>
      </c>
      <c r="ED172" s="82">
        <f t="shared" si="578"/>
        <v>0</v>
      </c>
      <c r="EE172" s="82">
        <f t="shared" si="579"/>
        <v>0</v>
      </c>
      <c r="EF172" s="82">
        <f t="shared" si="580"/>
        <v>0</v>
      </c>
      <c r="EG172" s="82">
        <f t="shared" si="581"/>
        <v>0</v>
      </c>
      <c r="EH172" s="82">
        <f t="shared" si="582"/>
        <v>0</v>
      </c>
      <c r="EI172" s="82">
        <f t="shared" si="583"/>
        <v>0</v>
      </c>
      <c r="EJ172" s="82">
        <f t="shared" si="584"/>
        <v>0</v>
      </c>
      <c r="EK172" s="82">
        <f t="shared" si="585"/>
        <v>0</v>
      </c>
      <c r="EL172" s="82">
        <f t="shared" si="586"/>
        <v>0</v>
      </c>
      <c r="EM172" s="82">
        <f t="shared" si="587"/>
        <v>0</v>
      </c>
      <c r="EN172" s="82">
        <f t="shared" si="588"/>
        <v>0</v>
      </c>
      <c r="EO172" s="82">
        <f t="shared" si="589"/>
        <v>0</v>
      </c>
      <c r="EP172" s="82">
        <f t="shared" si="590"/>
        <v>0</v>
      </c>
      <c r="EQ172" s="82">
        <f t="shared" si="591"/>
        <v>0</v>
      </c>
      <c r="ER172" s="82">
        <f t="shared" si="592"/>
        <v>0</v>
      </c>
      <c r="ES172" s="82">
        <f t="shared" si="593"/>
        <v>0</v>
      </c>
      <c r="ET172" s="82">
        <f t="shared" si="594"/>
        <v>0</v>
      </c>
      <c r="EU172" s="82">
        <f t="shared" si="595"/>
        <v>0</v>
      </c>
      <c r="EV172" s="82">
        <f t="shared" si="596"/>
        <v>0</v>
      </c>
      <c r="EW172" s="82">
        <f t="shared" si="597"/>
        <v>0</v>
      </c>
      <c r="EX172" s="82">
        <f t="shared" si="598"/>
        <v>0</v>
      </c>
      <c r="EY172" s="111">
        <f t="shared" si="599"/>
        <v>0</v>
      </c>
      <c r="EZ172" s="143" t="e">
        <f t="shared" ca="1" si="600"/>
        <v>#N/A</v>
      </c>
      <c r="FA172" s="112" t="e">
        <f t="shared" ca="1" si="601"/>
        <v>#N/A</v>
      </c>
      <c r="FB172" s="113" t="e">
        <f t="shared" ca="1" si="602"/>
        <v>#N/A</v>
      </c>
      <c r="FC172" s="114" t="e">
        <f t="shared" ca="1" si="603"/>
        <v>#N/A</v>
      </c>
      <c r="FD172" s="115">
        <f t="shared" ca="1" si="604"/>
        <v>0</v>
      </c>
      <c r="FE172" s="116" t="e">
        <f t="shared" ca="1" si="605"/>
        <v>#N/A</v>
      </c>
      <c r="FF172" s="117" t="e">
        <f t="shared" ca="1" si="606"/>
        <v>#N/A</v>
      </c>
      <c r="FG172" s="71">
        <f t="shared" si="607"/>
        <v>0</v>
      </c>
      <c r="FH172" s="530" t="e">
        <f t="shared" ca="1" si="608"/>
        <v>#N/A</v>
      </c>
      <c r="FI172" s="72"/>
      <c r="FJ172" s="72"/>
      <c r="FK172" s="72"/>
      <c r="FM172" s="421">
        <f t="shared" si="609"/>
        <v>0</v>
      </c>
      <c r="FN172" s="422" t="e">
        <f t="shared" ca="1" si="610"/>
        <v>#N/A</v>
      </c>
      <c r="FO172" s="423">
        <f t="shared" ca="1" si="525"/>
        <v>0</v>
      </c>
      <c r="FP172" s="423">
        <f t="shared" ca="1" si="525"/>
        <v>0</v>
      </c>
      <c r="FQ172" s="423">
        <f t="shared" ca="1" si="525"/>
        <v>0</v>
      </c>
      <c r="FR172" s="423">
        <f t="shared" ca="1" si="525"/>
        <v>0</v>
      </c>
      <c r="FS172" s="423">
        <f t="shared" ca="1" si="525"/>
        <v>0</v>
      </c>
      <c r="FT172" s="423">
        <f t="shared" ca="1" si="525"/>
        <v>0</v>
      </c>
      <c r="FU172" s="423">
        <f t="shared" ca="1" si="525"/>
        <v>0</v>
      </c>
      <c r="FV172" s="423">
        <f t="shared" ca="1" si="525"/>
        <v>0</v>
      </c>
      <c r="FW172" s="423">
        <f t="shared" ca="1" si="525"/>
        <v>0</v>
      </c>
      <c r="FX172" s="423">
        <f t="shared" ca="1" si="525"/>
        <v>0</v>
      </c>
      <c r="FY172" s="423">
        <f t="shared" ca="1" si="525"/>
        <v>0</v>
      </c>
      <c r="FZ172" s="423">
        <f t="shared" ca="1" si="525"/>
        <v>0</v>
      </c>
      <c r="GA172" s="423">
        <f t="shared" ca="1" si="525"/>
        <v>0</v>
      </c>
      <c r="GB172" s="423">
        <f t="shared" ca="1" si="525"/>
        <v>0</v>
      </c>
      <c r="GC172" s="423">
        <f t="shared" ca="1" si="525"/>
        <v>0</v>
      </c>
      <c r="GD172" s="423">
        <f t="shared" ref="GD172:GS187" ca="1" si="612">IFERROR(ROUNDDOWN(SUMIF($H172:$CC172,GD$11,$CD172:$EX172)/GD$10,0),0)</f>
        <v>0</v>
      </c>
      <c r="GE172" s="423">
        <f t="shared" ca="1" si="612"/>
        <v>0</v>
      </c>
      <c r="GF172" s="423">
        <f t="shared" ca="1" si="612"/>
        <v>0</v>
      </c>
      <c r="GG172" s="423">
        <f t="shared" ca="1" si="612"/>
        <v>0</v>
      </c>
      <c r="GH172" s="423">
        <f t="shared" ca="1" si="612"/>
        <v>0</v>
      </c>
      <c r="GI172" s="423">
        <f t="shared" ca="1" si="612"/>
        <v>0</v>
      </c>
      <c r="GJ172" s="423">
        <f t="shared" ca="1" si="612"/>
        <v>0</v>
      </c>
      <c r="GK172" s="423">
        <f t="shared" ca="1" si="612"/>
        <v>0</v>
      </c>
      <c r="GL172" s="423">
        <f t="shared" ca="1" si="612"/>
        <v>0</v>
      </c>
      <c r="GM172" s="423">
        <f t="shared" ca="1" si="612"/>
        <v>0</v>
      </c>
      <c r="GN172" s="423">
        <f t="shared" ca="1" si="612"/>
        <v>0</v>
      </c>
      <c r="GO172" s="423">
        <f t="shared" ca="1" si="612"/>
        <v>0</v>
      </c>
      <c r="GP172" s="423">
        <f t="shared" ca="1" si="612"/>
        <v>0</v>
      </c>
      <c r="GQ172" s="423">
        <f t="shared" ca="1" si="612"/>
        <v>0</v>
      </c>
      <c r="GR172" s="423">
        <f t="shared" ca="1" si="612"/>
        <v>0</v>
      </c>
      <c r="GS172" s="423">
        <f t="shared" ca="1" si="612"/>
        <v>0</v>
      </c>
      <c r="GT172" s="423">
        <f t="shared" ref="GT172:HI187" ca="1" si="613">IFERROR(ROUNDDOWN(SUMIF($H172:$CC172,GT$11,$CD172:$EX172)/GT$10,0),0)</f>
        <v>0</v>
      </c>
      <c r="GU172" s="423">
        <f t="shared" ca="1" si="611"/>
        <v>0</v>
      </c>
      <c r="GV172" s="423">
        <f t="shared" ca="1" si="611"/>
        <v>0</v>
      </c>
      <c r="GW172" s="423">
        <f t="shared" ca="1" si="611"/>
        <v>0</v>
      </c>
      <c r="GX172" s="423">
        <f t="shared" ca="1" si="611"/>
        <v>0</v>
      </c>
      <c r="GY172" s="423">
        <f t="shared" ca="1" si="611"/>
        <v>0</v>
      </c>
      <c r="GZ172" s="423">
        <f t="shared" ca="1" si="611"/>
        <v>0</v>
      </c>
      <c r="HA172" s="423">
        <f t="shared" ca="1" si="611"/>
        <v>0</v>
      </c>
      <c r="HB172" s="423">
        <f t="shared" ca="1" si="611"/>
        <v>0</v>
      </c>
      <c r="HC172" s="423">
        <f t="shared" ca="1" si="611"/>
        <v>0</v>
      </c>
      <c r="HD172" s="423">
        <f t="shared" ca="1" si="611"/>
        <v>0</v>
      </c>
      <c r="HE172" s="423">
        <f t="shared" ca="1" si="611"/>
        <v>0</v>
      </c>
      <c r="HF172" s="423">
        <f t="shared" ca="1" si="611"/>
        <v>0</v>
      </c>
      <c r="HG172" s="423">
        <f t="shared" ca="1" si="611"/>
        <v>0</v>
      </c>
      <c r="HH172" s="423">
        <f t="shared" ca="1" si="611"/>
        <v>0</v>
      </c>
      <c r="HI172" s="423">
        <f t="shared" ca="1" si="611"/>
        <v>0</v>
      </c>
      <c r="HJ172" s="423">
        <f t="shared" ca="1" si="611"/>
        <v>0</v>
      </c>
      <c r="HK172" s="423">
        <f t="shared" ref="HK172:HT187" ca="1" si="614">IFERROR(ROUNDDOWN(SUMIF($H172:$CC172,HK$11,$CD172:$EX172)/HK$10,0),0)</f>
        <v>0</v>
      </c>
      <c r="HL172" s="423">
        <f t="shared" ca="1" si="614"/>
        <v>0</v>
      </c>
      <c r="HM172" s="423">
        <f t="shared" ca="1" si="614"/>
        <v>0</v>
      </c>
      <c r="HN172" s="423">
        <f t="shared" ca="1" si="614"/>
        <v>0</v>
      </c>
      <c r="HO172" s="423">
        <f t="shared" ca="1" si="614"/>
        <v>0</v>
      </c>
      <c r="HP172" s="423">
        <f t="shared" ca="1" si="614"/>
        <v>0</v>
      </c>
      <c r="HQ172" s="423">
        <f t="shared" ca="1" si="614"/>
        <v>0</v>
      </c>
      <c r="HR172" s="423">
        <f t="shared" ca="1" si="614"/>
        <v>0</v>
      </c>
      <c r="HS172" s="423">
        <f t="shared" ca="1" si="614"/>
        <v>0</v>
      </c>
      <c r="HT172" s="423">
        <f t="shared" ca="1" si="614"/>
        <v>0</v>
      </c>
    </row>
    <row r="173" spans="1:230" x14ac:dyDescent="0.2">
      <c r="A173" s="62">
        <f t="shared" si="516"/>
        <v>162</v>
      </c>
      <c r="B173" s="60">
        <f>Spaces_Sum!C218</f>
        <v>0</v>
      </c>
      <c r="C173" s="62" t="str">
        <f>Spaces_Sum!D218</f>
        <v>0</v>
      </c>
      <c r="D173" s="62" t="e">
        <f ca="1">Spaces_Sum!I218</f>
        <v>#N/A</v>
      </c>
      <c r="F173" s="110" t="e">
        <f ca="1">Spaces_Sum!M218</f>
        <v>#N/A</v>
      </c>
      <c r="G173" s="110" t="e">
        <f ca="1">Spaces_Sum!J218</f>
        <v>#N/A</v>
      </c>
      <c r="H173" s="532"/>
      <c r="I173" s="185"/>
      <c r="J173" s="185"/>
      <c r="K173" s="186"/>
      <c r="L173" s="187"/>
      <c r="M173" s="188"/>
      <c r="N173" s="189"/>
      <c r="O173" s="186"/>
      <c r="P173" s="187"/>
      <c r="Q173" s="188"/>
      <c r="R173" s="189"/>
      <c r="S173" s="186"/>
      <c r="T173" s="187"/>
      <c r="U173" s="188"/>
      <c r="V173" s="189"/>
      <c r="W173" s="186"/>
      <c r="X173" s="187"/>
      <c r="Y173" s="188"/>
      <c r="Z173" s="189"/>
      <c r="AA173" s="186"/>
      <c r="AB173" s="187"/>
      <c r="AC173" s="188"/>
      <c r="AD173" s="189"/>
      <c r="AE173" s="186"/>
      <c r="AF173" s="187"/>
      <c r="AG173" s="188"/>
      <c r="AH173" s="189"/>
      <c r="AI173" s="186"/>
      <c r="AJ173" s="187"/>
      <c r="AK173" s="188"/>
      <c r="AL173" s="189"/>
      <c r="AM173" s="186"/>
      <c r="AN173" s="187"/>
      <c r="AO173" s="188"/>
      <c r="AP173" s="189"/>
      <c r="AQ173" s="186"/>
      <c r="AR173" s="187"/>
      <c r="AS173" s="188"/>
      <c r="AT173" s="189"/>
      <c r="AU173" s="186"/>
      <c r="AV173" s="187"/>
      <c r="AW173" s="188"/>
      <c r="AX173" s="189"/>
      <c r="AY173" s="186"/>
      <c r="AZ173" s="187"/>
      <c r="BA173" s="188"/>
      <c r="BB173" s="189"/>
      <c r="BC173" s="186"/>
      <c r="BD173" s="187"/>
      <c r="BE173" s="188"/>
      <c r="BF173" s="189"/>
      <c r="BG173" s="186"/>
      <c r="BH173" s="187"/>
      <c r="BI173" s="188"/>
      <c r="BJ173" s="189"/>
      <c r="BK173" s="186"/>
      <c r="BL173" s="187"/>
      <c r="BM173" s="188"/>
      <c r="BN173" s="189"/>
      <c r="BO173" s="186"/>
      <c r="BP173" s="187"/>
      <c r="BQ173" s="188"/>
      <c r="BR173" s="189"/>
      <c r="BS173" s="186"/>
      <c r="BT173" s="187"/>
      <c r="BU173" s="188"/>
      <c r="BV173" s="189"/>
      <c r="BW173" s="186"/>
      <c r="BX173" s="187"/>
      <c r="BY173" s="188"/>
      <c r="BZ173" s="189"/>
      <c r="CA173" s="186"/>
      <c r="CB173" s="190"/>
      <c r="CC173" s="190"/>
      <c r="CD173" s="82">
        <f t="shared" si="526"/>
        <v>0</v>
      </c>
      <c r="CE173" s="82">
        <f t="shared" si="527"/>
        <v>0</v>
      </c>
      <c r="CF173" s="82">
        <f t="shared" si="528"/>
        <v>0</v>
      </c>
      <c r="CG173" s="82">
        <f t="shared" si="529"/>
        <v>0</v>
      </c>
      <c r="CH173" s="82">
        <f t="shared" si="530"/>
        <v>0</v>
      </c>
      <c r="CI173" s="82">
        <f t="shared" si="531"/>
        <v>0</v>
      </c>
      <c r="CJ173" s="82">
        <f t="shared" si="532"/>
        <v>0</v>
      </c>
      <c r="CK173" s="82">
        <f t="shared" si="533"/>
        <v>0</v>
      </c>
      <c r="CL173" s="82">
        <f t="shared" si="534"/>
        <v>0</v>
      </c>
      <c r="CM173" s="82">
        <f t="shared" si="535"/>
        <v>0</v>
      </c>
      <c r="CN173" s="82">
        <f t="shared" si="536"/>
        <v>0</v>
      </c>
      <c r="CO173" s="82">
        <f t="shared" si="537"/>
        <v>0</v>
      </c>
      <c r="CP173" s="82">
        <f t="shared" si="538"/>
        <v>0</v>
      </c>
      <c r="CQ173" s="82">
        <f t="shared" si="539"/>
        <v>0</v>
      </c>
      <c r="CR173" s="82">
        <f t="shared" si="540"/>
        <v>0</v>
      </c>
      <c r="CS173" s="82">
        <f t="shared" si="541"/>
        <v>0</v>
      </c>
      <c r="CT173" s="82">
        <f t="shared" si="542"/>
        <v>0</v>
      </c>
      <c r="CU173" s="82">
        <f t="shared" si="543"/>
        <v>0</v>
      </c>
      <c r="CV173" s="82">
        <f t="shared" si="544"/>
        <v>0</v>
      </c>
      <c r="CW173" s="82">
        <f t="shared" si="545"/>
        <v>0</v>
      </c>
      <c r="CX173" s="82">
        <f t="shared" si="546"/>
        <v>0</v>
      </c>
      <c r="CY173" s="82">
        <f t="shared" si="547"/>
        <v>0</v>
      </c>
      <c r="CZ173" s="82">
        <f t="shared" si="548"/>
        <v>0</v>
      </c>
      <c r="DA173" s="82">
        <f t="shared" si="549"/>
        <v>0</v>
      </c>
      <c r="DB173" s="82">
        <f t="shared" si="550"/>
        <v>0</v>
      </c>
      <c r="DC173" s="82">
        <f t="shared" si="551"/>
        <v>0</v>
      </c>
      <c r="DD173" s="82">
        <f t="shared" si="552"/>
        <v>0</v>
      </c>
      <c r="DE173" s="82">
        <f t="shared" si="553"/>
        <v>0</v>
      </c>
      <c r="DF173" s="82">
        <f t="shared" si="554"/>
        <v>0</v>
      </c>
      <c r="DG173" s="82">
        <f t="shared" si="555"/>
        <v>0</v>
      </c>
      <c r="DH173" s="82">
        <f t="shared" si="556"/>
        <v>0</v>
      </c>
      <c r="DI173" s="82">
        <f t="shared" si="557"/>
        <v>0</v>
      </c>
      <c r="DJ173" s="82">
        <f t="shared" si="558"/>
        <v>0</v>
      </c>
      <c r="DK173" s="82">
        <f t="shared" si="559"/>
        <v>0</v>
      </c>
      <c r="DL173" s="82">
        <f t="shared" si="560"/>
        <v>0</v>
      </c>
      <c r="DM173" s="82">
        <f t="shared" si="561"/>
        <v>0</v>
      </c>
      <c r="DN173" s="82">
        <f t="shared" si="562"/>
        <v>0</v>
      </c>
      <c r="DO173" s="82">
        <f t="shared" si="563"/>
        <v>0</v>
      </c>
      <c r="DP173" s="82">
        <f t="shared" si="564"/>
        <v>0</v>
      </c>
      <c r="DQ173" s="82">
        <f t="shared" si="565"/>
        <v>0</v>
      </c>
      <c r="DR173" s="82">
        <f t="shared" si="566"/>
        <v>0</v>
      </c>
      <c r="DS173" s="82">
        <f t="shared" si="567"/>
        <v>0</v>
      </c>
      <c r="DT173" s="82">
        <f t="shared" si="568"/>
        <v>0</v>
      </c>
      <c r="DU173" s="82">
        <f t="shared" si="569"/>
        <v>0</v>
      </c>
      <c r="DV173" s="82">
        <f t="shared" si="570"/>
        <v>0</v>
      </c>
      <c r="DW173" s="82">
        <f t="shared" si="571"/>
        <v>0</v>
      </c>
      <c r="DX173" s="82">
        <f t="shared" si="572"/>
        <v>0</v>
      </c>
      <c r="DY173" s="82">
        <f t="shared" si="573"/>
        <v>0</v>
      </c>
      <c r="DZ173" s="82">
        <f t="shared" si="574"/>
        <v>0</v>
      </c>
      <c r="EA173" s="82">
        <f t="shared" si="575"/>
        <v>0</v>
      </c>
      <c r="EB173" s="82">
        <f t="shared" si="576"/>
        <v>0</v>
      </c>
      <c r="EC173" s="82">
        <f t="shared" si="577"/>
        <v>0</v>
      </c>
      <c r="ED173" s="82">
        <f t="shared" si="578"/>
        <v>0</v>
      </c>
      <c r="EE173" s="82">
        <f t="shared" si="579"/>
        <v>0</v>
      </c>
      <c r="EF173" s="82">
        <f t="shared" si="580"/>
        <v>0</v>
      </c>
      <c r="EG173" s="82">
        <f t="shared" si="581"/>
        <v>0</v>
      </c>
      <c r="EH173" s="82">
        <f t="shared" si="582"/>
        <v>0</v>
      </c>
      <c r="EI173" s="82">
        <f t="shared" si="583"/>
        <v>0</v>
      </c>
      <c r="EJ173" s="82">
        <f t="shared" si="584"/>
        <v>0</v>
      </c>
      <c r="EK173" s="82">
        <f t="shared" si="585"/>
        <v>0</v>
      </c>
      <c r="EL173" s="82">
        <f t="shared" si="586"/>
        <v>0</v>
      </c>
      <c r="EM173" s="82">
        <f t="shared" si="587"/>
        <v>0</v>
      </c>
      <c r="EN173" s="82">
        <f t="shared" si="588"/>
        <v>0</v>
      </c>
      <c r="EO173" s="82">
        <f t="shared" si="589"/>
        <v>0</v>
      </c>
      <c r="EP173" s="82">
        <f t="shared" si="590"/>
        <v>0</v>
      </c>
      <c r="EQ173" s="82">
        <f t="shared" si="591"/>
        <v>0</v>
      </c>
      <c r="ER173" s="82">
        <f t="shared" si="592"/>
        <v>0</v>
      </c>
      <c r="ES173" s="82">
        <f t="shared" si="593"/>
        <v>0</v>
      </c>
      <c r="ET173" s="82">
        <f t="shared" si="594"/>
        <v>0</v>
      </c>
      <c r="EU173" s="82">
        <f t="shared" si="595"/>
        <v>0</v>
      </c>
      <c r="EV173" s="82">
        <f t="shared" si="596"/>
        <v>0</v>
      </c>
      <c r="EW173" s="82">
        <f t="shared" si="597"/>
        <v>0</v>
      </c>
      <c r="EX173" s="82">
        <f t="shared" si="598"/>
        <v>0</v>
      </c>
      <c r="EY173" s="111">
        <f t="shared" si="599"/>
        <v>0</v>
      </c>
      <c r="EZ173" s="143" t="e">
        <f t="shared" ca="1" si="600"/>
        <v>#N/A</v>
      </c>
      <c r="FA173" s="112" t="e">
        <f t="shared" ca="1" si="601"/>
        <v>#N/A</v>
      </c>
      <c r="FB173" s="113" t="e">
        <f t="shared" ca="1" si="602"/>
        <v>#N/A</v>
      </c>
      <c r="FC173" s="114" t="e">
        <f t="shared" ca="1" si="603"/>
        <v>#N/A</v>
      </c>
      <c r="FD173" s="115">
        <f t="shared" ca="1" si="604"/>
        <v>0</v>
      </c>
      <c r="FE173" s="116" t="e">
        <f t="shared" ca="1" si="605"/>
        <v>#N/A</v>
      </c>
      <c r="FF173" s="117" t="e">
        <f t="shared" ca="1" si="606"/>
        <v>#N/A</v>
      </c>
      <c r="FG173" s="71">
        <f t="shared" si="607"/>
        <v>0</v>
      </c>
      <c r="FH173" s="530" t="e">
        <f t="shared" ca="1" si="608"/>
        <v>#N/A</v>
      </c>
      <c r="FI173" s="72"/>
      <c r="FJ173" s="72"/>
      <c r="FK173" s="72"/>
      <c r="FM173" s="421">
        <f t="shared" si="609"/>
        <v>0</v>
      </c>
      <c r="FN173" s="422" t="e">
        <f t="shared" ca="1" si="610"/>
        <v>#N/A</v>
      </c>
      <c r="FO173" s="423">
        <f t="shared" ref="FO173:GD188" ca="1" si="615">IFERROR(ROUNDDOWN(SUMIF($H173:$CC173,FO$11,$CD173:$EX173)/FO$10,0),0)</f>
        <v>0</v>
      </c>
      <c r="FP173" s="423">
        <f t="shared" ca="1" si="615"/>
        <v>0</v>
      </c>
      <c r="FQ173" s="423">
        <f t="shared" ca="1" si="615"/>
        <v>0</v>
      </c>
      <c r="FR173" s="423">
        <f t="shared" ca="1" si="615"/>
        <v>0</v>
      </c>
      <c r="FS173" s="423">
        <f t="shared" ca="1" si="615"/>
        <v>0</v>
      </c>
      <c r="FT173" s="423">
        <f t="shared" ca="1" si="615"/>
        <v>0</v>
      </c>
      <c r="FU173" s="423">
        <f t="shared" ca="1" si="615"/>
        <v>0</v>
      </c>
      <c r="FV173" s="423">
        <f t="shared" ca="1" si="615"/>
        <v>0</v>
      </c>
      <c r="FW173" s="423">
        <f t="shared" ca="1" si="615"/>
        <v>0</v>
      </c>
      <c r="FX173" s="423">
        <f t="shared" ca="1" si="615"/>
        <v>0</v>
      </c>
      <c r="FY173" s="423">
        <f t="shared" ca="1" si="615"/>
        <v>0</v>
      </c>
      <c r="FZ173" s="423">
        <f t="shared" ca="1" si="615"/>
        <v>0</v>
      </c>
      <c r="GA173" s="423">
        <f t="shared" ca="1" si="615"/>
        <v>0</v>
      </c>
      <c r="GB173" s="423">
        <f t="shared" ca="1" si="615"/>
        <v>0</v>
      </c>
      <c r="GC173" s="423">
        <f t="shared" ca="1" si="615"/>
        <v>0</v>
      </c>
      <c r="GD173" s="423">
        <f t="shared" ca="1" si="612"/>
        <v>0</v>
      </c>
      <c r="GE173" s="423">
        <f t="shared" ca="1" si="612"/>
        <v>0</v>
      </c>
      <c r="GF173" s="423">
        <f t="shared" ca="1" si="612"/>
        <v>0</v>
      </c>
      <c r="GG173" s="423">
        <f t="shared" ca="1" si="612"/>
        <v>0</v>
      </c>
      <c r="GH173" s="423">
        <f t="shared" ca="1" si="612"/>
        <v>0</v>
      </c>
      <c r="GI173" s="423">
        <f t="shared" ca="1" si="612"/>
        <v>0</v>
      </c>
      <c r="GJ173" s="423">
        <f t="shared" ca="1" si="612"/>
        <v>0</v>
      </c>
      <c r="GK173" s="423">
        <f t="shared" ca="1" si="612"/>
        <v>0</v>
      </c>
      <c r="GL173" s="423">
        <f t="shared" ca="1" si="612"/>
        <v>0</v>
      </c>
      <c r="GM173" s="423">
        <f t="shared" ca="1" si="612"/>
        <v>0</v>
      </c>
      <c r="GN173" s="423">
        <f t="shared" ca="1" si="612"/>
        <v>0</v>
      </c>
      <c r="GO173" s="423">
        <f t="shared" ca="1" si="612"/>
        <v>0</v>
      </c>
      <c r="GP173" s="423">
        <f t="shared" ca="1" si="612"/>
        <v>0</v>
      </c>
      <c r="GQ173" s="423">
        <f t="shared" ca="1" si="612"/>
        <v>0</v>
      </c>
      <c r="GR173" s="423">
        <f t="shared" ca="1" si="612"/>
        <v>0</v>
      </c>
      <c r="GS173" s="423">
        <f t="shared" ca="1" si="612"/>
        <v>0</v>
      </c>
      <c r="GT173" s="423">
        <f t="shared" ca="1" si="613"/>
        <v>0</v>
      </c>
      <c r="GU173" s="423">
        <f t="shared" ca="1" si="611"/>
        <v>0</v>
      </c>
      <c r="GV173" s="423">
        <f t="shared" ca="1" si="611"/>
        <v>0</v>
      </c>
      <c r="GW173" s="423">
        <f t="shared" ca="1" si="611"/>
        <v>0</v>
      </c>
      <c r="GX173" s="423">
        <f t="shared" ca="1" si="611"/>
        <v>0</v>
      </c>
      <c r="GY173" s="423">
        <f t="shared" ca="1" si="611"/>
        <v>0</v>
      </c>
      <c r="GZ173" s="423">
        <f t="shared" ca="1" si="611"/>
        <v>0</v>
      </c>
      <c r="HA173" s="423">
        <f t="shared" ca="1" si="611"/>
        <v>0</v>
      </c>
      <c r="HB173" s="423">
        <f t="shared" ca="1" si="611"/>
        <v>0</v>
      </c>
      <c r="HC173" s="423">
        <f t="shared" ca="1" si="611"/>
        <v>0</v>
      </c>
      <c r="HD173" s="423">
        <f t="shared" ca="1" si="611"/>
        <v>0</v>
      </c>
      <c r="HE173" s="423">
        <f t="shared" ca="1" si="611"/>
        <v>0</v>
      </c>
      <c r="HF173" s="423">
        <f t="shared" ca="1" si="611"/>
        <v>0</v>
      </c>
      <c r="HG173" s="423">
        <f t="shared" ca="1" si="611"/>
        <v>0</v>
      </c>
      <c r="HH173" s="423">
        <f t="shared" ca="1" si="611"/>
        <v>0</v>
      </c>
      <c r="HI173" s="423">
        <f t="shared" ca="1" si="611"/>
        <v>0</v>
      </c>
      <c r="HJ173" s="423">
        <f t="shared" ca="1" si="611"/>
        <v>0</v>
      </c>
      <c r="HK173" s="423">
        <f t="shared" ca="1" si="614"/>
        <v>0</v>
      </c>
      <c r="HL173" s="423">
        <f t="shared" ca="1" si="614"/>
        <v>0</v>
      </c>
      <c r="HM173" s="423">
        <f t="shared" ca="1" si="614"/>
        <v>0</v>
      </c>
      <c r="HN173" s="423">
        <f t="shared" ca="1" si="614"/>
        <v>0</v>
      </c>
      <c r="HO173" s="423">
        <f t="shared" ca="1" si="614"/>
        <v>0</v>
      </c>
      <c r="HP173" s="423">
        <f t="shared" ca="1" si="614"/>
        <v>0</v>
      </c>
      <c r="HQ173" s="423">
        <f t="shared" ca="1" si="614"/>
        <v>0</v>
      </c>
      <c r="HR173" s="423">
        <f t="shared" ca="1" si="614"/>
        <v>0</v>
      </c>
      <c r="HS173" s="423">
        <f t="shared" ca="1" si="614"/>
        <v>0</v>
      </c>
      <c r="HT173" s="423">
        <f t="shared" ca="1" si="614"/>
        <v>0</v>
      </c>
    </row>
    <row r="174" spans="1:230" x14ac:dyDescent="0.2">
      <c r="A174" s="62">
        <f t="shared" si="516"/>
        <v>163</v>
      </c>
      <c r="B174" s="60">
        <f>Spaces_Sum!C219</f>
        <v>0</v>
      </c>
      <c r="C174" s="62" t="str">
        <f>Spaces_Sum!D219</f>
        <v>0</v>
      </c>
      <c r="D174" s="62" t="e">
        <f ca="1">Spaces_Sum!I219</f>
        <v>#N/A</v>
      </c>
      <c r="F174" s="110" t="e">
        <f ca="1">Spaces_Sum!M219</f>
        <v>#N/A</v>
      </c>
      <c r="G174" s="110" t="e">
        <f ca="1">Spaces_Sum!J219</f>
        <v>#N/A</v>
      </c>
      <c r="H174" s="532"/>
      <c r="I174" s="185"/>
      <c r="J174" s="185"/>
      <c r="K174" s="186"/>
      <c r="L174" s="187"/>
      <c r="M174" s="188"/>
      <c r="N174" s="189"/>
      <c r="O174" s="186"/>
      <c r="P174" s="187"/>
      <c r="Q174" s="188"/>
      <c r="R174" s="189"/>
      <c r="S174" s="186"/>
      <c r="T174" s="187"/>
      <c r="U174" s="188"/>
      <c r="V174" s="189"/>
      <c r="W174" s="186"/>
      <c r="X174" s="187"/>
      <c r="Y174" s="188"/>
      <c r="Z174" s="189"/>
      <c r="AA174" s="186"/>
      <c r="AB174" s="187"/>
      <c r="AC174" s="188"/>
      <c r="AD174" s="189"/>
      <c r="AE174" s="186"/>
      <c r="AF174" s="187"/>
      <c r="AG174" s="188"/>
      <c r="AH174" s="189"/>
      <c r="AI174" s="186"/>
      <c r="AJ174" s="187"/>
      <c r="AK174" s="188"/>
      <c r="AL174" s="189"/>
      <c r="AM174" s="186"/>
      <c r="AN174" s="187"/>
      <c r="AO174" s="188"/>
      <c r="AP174" s="189"/>
      <c r="AQ174" s="186"/>
      <c r="AR174" s="187"/>
      <c r="AS174" s="188"/>
      <c r="AT174" s="189"/>
      <c r="AU174" s="186"/>
      <c r="AV174" s="187"/>
      <c r="AW174" s="188"/>
      <c r="AX174" s="189"/>
      <c r="AY174" s="186"/>
      <c r="AZ174" s="187"/>
      <c r="BA174" s="188"/>
      <c r="BB174" s="189"/>
      <c r="BC174" s="186"/>
      <c r="BD174" s="187"/>
      <c r="BE174" s="188"/>
      <c r="BF174" s="189"/>
      <c r="BG174" s="186"/>
      <c r="BH174" s="187"/>
      <c r="BI174" s="188"/>
      <c r="BJ174" s="189"/>
      <c r="BK174" s="186"/>
      <c r="BL174" s="187"/>
      <c r="BM174" s="188"/>
      <c r="BN174" s="189"/>
      <c r="BO174" s="186"/>
      <c r="BP174" s="187"/>
      <c r="BQ174" s="188"/>
      <c r="BR174" s="189"/>
      <c r="BS174" s="186"/>
      <c r="BT174" s="187"/>
      <c r="BU174" s="188"/>
      <c r="BV174" s="189"/>
      <c r="BW174" s="186"/>
      <c r="BX174" s="187"/>
      <c r="BY174" s="188"/>
      <c r="BZ174" s="189"/>
      <c r="CA174" s="186"/>
      <c r="CB174" s="190"/>
      <c r="CC174" s="190"/>
      <c r="CD174" s="82">
        <f t="shared" si="526"/>
        <v>0</v>
      </c>
      <c r="CE174" s="82">
        <f t="shared" si="527"/>
        <v>0</v>
      </c>
      <c r="CF174" s="82">
        <f t="shared" si="528"/>
        <v>0</v>
      </c>
      <c r="CG174" s="82">
        <f t="shared" si="529"/>
        <v>0</v>
      </c>
      <c r="CH174" s="82">
        <f t="shared" si="530"/>
        <v>0</v>
      </c>
      <c r="CI174" s="82">
        <f t="shared" si="531"/>
        <v>0</v>
      </c>
      <c r="CJ174" s="82">
        <f t="shared" si="532"/>
        <v>0</v>
      </c>
      <c r="CK174" s="82">
        <f t="shared" si="533"/>
        <v>0</v>
      </c>
      <c r="CL174" s="82">
        <f t="shared" si="534"/>
        <v>0</v>
      </c>
      <c r="CM174" s="82">
        <f t="shared" si="535"/>
        <v>0</v>
      </c>
      <c r="CN174" s="82">
        <f t="shared" si="536"/>
        <v>0</v>
      </c>
      <c r="CO174" s="82">
        <f t="shared" si="537"/>
        <v>0</v>
      </c>
      <c r="CP174" s="82">
        <f t="shared" si="538"/>
        <v>0</v>
      </c>
      <c r="CQ174" s="82">
        <f t="shared" si="539"/>
        <v>0</v>
      </c>
      <c r="CR174" s="82">
        <f t="shared" si="540"/>
        <v>0</v>
      </c>
      <c r="CS174" s="82">
        <f t="shared" si="541"/>
        <v>0</v>
      </c>
      <c r="CT174" s="82">
        <f t="shared" si="542"/>
        <v>0</v>
      </c>
      <c r="CU174" s="82">
        <f t="shared" si="543"/>
        <v>0</v>
      </c>
      <c r="CV174" s="82">
        <f t="shared" si="544"/>
        <v>0</v>
      </c>
      <c r="CW174" s="82">
        <f t="shared" si="545"/>
        <v>0</v>
      </c>
      <c r="CX174" s="82">
        <f t="shared" si="546"/>
        <v>0</v>
      </c>
      <c r="CY174" s="82">
        <f t="shared" si="547"/>
        <v>0</v>
      </c>
      <c r="CZ174" s="82">
        <f t="shared" si="548"/>
        <v>0</v>
      </c>
      <c r="DA174" s="82">
        <f t="shared" si="549"/>
        <v>0</v>
      </c>
      <c r="DB174" s="82">
        <f t="shared" si="550"/>
        <v>0</v>
      </c>
      <c r="DC174" s="82">
        <f t="shared" si="551"/>
        <v>0</v>
      </c>
      <c r="DD174" s="82">
        <f t="shared" si="552"/>
        <v>0</v>
      </c>
      <c r="DE174" s="82">
        <f t="shared" si="553"/>
        <v>0</v>
      </c>
      <c r="DF174" s="82">
        <f t="shared" si="554"/>
        <v>0</v>
      </c>
      <c r="DG174" s="82">
        <f t="shared" si="555"/>
        <v>0</v>
      </c>
      <c r="DH174" s="82">
        <f t="shared" si="556"/>
        <v>0</v>
      </c>
      <c r="DI174" s="82">
        <f t="shared" si="557"/>
        <v>0</v>
      </c>
      <c r="DJ174" s="82">
        <f t="shared" si="558"/>
        <v>0</v>
      </c>
      <c r="DK174" s="82">
        <f t="shared" si="559"/>
        <v>0</v>
      </c>
      <c r="DL174" s="82">
        <f t="shared" si="560"/>
        <v>0</v>
      </c>
      <c r="DM174" s="82">
        <f t="shared" si="561"/>
        <v>0</v>
      </c>
      <c r="DN174" s="82">
        <f t="shared" si="562"/>
        <v>0</v>
      </c>
      <c r="DO174" s="82">
        <f t="shared" si="563"/>
        <v>0</v>
      </c>
      <c r="DP174" s="82">
        <f t="shared" si="564"/>
        <v>0</v>
      </c>
      <c r="DQ174" s="82">
        <f t="shared" si="565"/>
        <v>0</v>
      </c>
      <c r="DR174" s="82">
        <f t="shared" si="566"/>
        <v>0</v>
      </c>
      <c r="DS174" s="82">
        <f t="shared" si="567"/>
        <v>0</v>
      </c>
      <c r="DT174" s="82">
        <f t="shared" si="568"/>
        <v>0</v>
      </c>
      <c r="DU174" s="82">
        <f t="shared" si="569"/>
        <v>0</v>
      </c>
      <c r="DV174" s="82">
        <f t="shared" si="570"/>
        <v>0</v>
      </c>
      <c r="DW174" s="82">
        <f t="shared" si="571"/>
        <v>0</v>
      </c>
      <c r="DX174" s="82">
        <f t="shared" si="572"/>
        <v>0</v>
      </c>
      <c r="DY174" s="82">
        <f t="shared" si="573"/>
        <v>0</v>
      </c>
      <c r="DZ174" s="82">
        <f t="shared" si="574"/>
        <v>0</v>
      </c>
      <c r="EA174" s="82">
        <f t="shared" si="575"/>
        <v>0</v>
      </c>
      <c r="EB174" s="82">
        <f t="shared" si="576"/>
        <v>0</v>
      </c>
      <c r="EC174" s="82">
        <f t="shared" si="577"/>
        <v>0</v>
      </c>
      <c r="ED174" s="82">
        <f t="shared" si="578"/>
        <v>0</v>
      </c>
      <c r="EE174" s="82">
        <f t="shared" si="579"/>
        <v>0</v>
      </c>
      <c r="EF174" s="82">
        <f t="shared" si="580"/>
        <v>0</v>
      </c>
      <c r="EG174" s="82">
        <f t="shared" si="581"/>
        <v>0</v>
      </c>
      <c r="EH174" s="82">
        <f t="shared" si="582"/>
        <v>0</v>
      </c>
      <c r="EI174" s="82">
        <f t="shared" si="583"/>
        <v>0</v>
      </c>
      <c r="EJ174" s="82">
        <f t="shared" si="584"/>
        <v>0</v>
      </c>
      <c r="EK174" s="82">
        <f t="shared" si="585"/>
        <v>0</v>
      </c>
      <c r="EL174" s="82">
        <f t="shared" si="586"/>
        <v>0</v>
      </c>
      <c r="EM174" s="82">
        <f t="shared" si="587"/>
        <v>0</v>
      </c>
      <c r="EN174" s="82">
        <f t="shared" si="588"/>
        <v>0</v>
      </c>
      <c r="EO174" s="82">
        <f t="shared" si="589"/>
        <v>0</v>
      </c>
      <c r="EP174" s="82">
        <f t="shared" si="590"/>
        <v>0</v>
      </c>
      <c r="EQ174" s="82">
        <f t="shared" si="591"/>
        <v>0</v>
      </c>
      <c r="ER174" s="82">
        <f t="shared" si="592"/>
        <v>0</v>
      </c>
      <c r="ES174" s="82">
        <f t="shared" si="593"/>
        <v>0</v>
      </c>
      <c r="ET174" s="82">
        <f t="shared" si="594"/>
        <v>0</v>
      </c>
      <c r="EU174" s="82">
        <f t="shared" si="595"/>
        <v>0</v>
      </c>
      <c r="EV174" s="82">
        <f t="shared" si="596"/>
        <v>0</v>
      </c>
      <c r="EW174" s="82">
        <f t="shared" si="597"/>
        <v>0</v>
      </c>
      <c r="EX174" s="82">
        <f t="shared" si="598"/>
        <v>0</v>
      </c>
      <c r="EY174" s="111">
        <f t="shared" si="599"/>
        <v>0</v>
      </c>
      <c r="EZ174" s="143" t="e">
        <f t="shared" ca="1" si="600"/>
        <v>#N/A</v>
      </c>
      <c r="FA174" s="112" t="e">
        <f t="shared" ca="1" si="601"/>
        <v>#N/A</v>
      </c>
      <c r="FB174" s="113" t="e">
        <f t="shared" ca="1" si="602"/>
        <v>#N/A</v>
      </c>
      <c r="FC174" s="114" t="e">
        <f t="shared" ca="1" si="603"/>
        <v>#N/A</v>
      </c>
      <c r="FD174" s="115">
        <f t="shared" ca="1" si="604"/>
        <v>0</v>
      </c>
      <c r="FE174" s="116" t="e">
        <f t="shared" ca="1" si="605"/>
        <v>#N/A</v>
      </c>
      <c r="FF174" s="117" t="e">
        <f t="shared" ca="1" si="606"/>
        <v>#N/A</v>
      </c>
      <c r="FG174" s="71">
        <f t="shared" si="607"/>
        <v>0</v>
      </c>
      <c r="FH174" s="530" t="e">
        <f t="shared" ca="1" si="608"/>
        <v>#N/A</v>
      </c>
      <c r="FI174" s="72"/>
      <c r="FJ174" s="72"/>
      <c r="FK174" s="72"/>
      <c r="FM174" s="421">
        <f t="shared" si="609"/>
        <v>0</v>
      </c>
      <c r="FN174" s="422" t="e">
        <f t="shared" ca="1" si="610"/>
        <v>#N/A</v>
      </c>
      <c r="FO174" s="423">
        <f t="shared" ca="1" si="615"/>
        <v>0</v>
      </c>
      <c r="FP174" s="423">
        <f t="shared" ca="1" si="615"/>
        <v>0</v>
      </c>
      <c r="FQ174" s="423">
        <f t="shared" ca="1" si="615"/>
        <v>0</v>
      </c>
      <c r="FR174" s="423">
        <f t="shared" ca="1" si="615"/>
        <v>0</v>
      </c>
      <c r="FS174" s="423">
        <f t="shared" ca="1" si="615"/>
        <v>0</v>
      </c>
      <c r="FT174" s="423">
        <f t="shared" ca="1" si="615"/>
        <v>0</v>
      </c>
      <c r="FU174" s="423">
        <f t="shared" ca="1" si="615"/>
        <v>0</v>
      </c>
      <c r="FV174" s="423">
        <f t="shared" ca="1" si="615"/>
        <v>0</v>
      </c>
      <c r="FW174" s="423">
        <f t="shared" ca="1" si="615"/>
        <v>0</v>
      </c>
      <c r="FX174" s="423">
        <f t="shared" ca="1" si="615"/>
        <v>0</v>
      </c>
      <c r="FY174" s="423">
        <f t="shared" ca="1" si="615"/>
        <v>0</v>
      </c>
      <c r="FZ174" s="423">
        <f t="shared" ca="1" si="615"/>
        <v>0</v>
      </c>
      <c r="GA174" s="423">
        <f t="shared" ca="1" si="615"/>
        <v>0</v>
      </c>
      <c r="GB174" s="423">
        <f t="shared" ca="1" si="615"/>
        <v>0</v>
      </c>
      <c r="GC174" s="423">
        <f t="shared" ca="1" si="615"/>
        <v>0</v>
      </c>
      <c r="GD174" s="423">
        <f t="shared" ca="1" si="612"/>
        <v>0</v>
      </c>
      <c r="GE174" s="423">
        <f t="shared" ca="1" si="612"/>
        <v>0</v>
      </c>
      <c r="GF174" s="423">
        <f t="shared" ca="1" si="612"/>
        <v>0</v>
      </c>
      <c r="GG174" s="423">
        <f t="shared" ca="1" si="612"/>
        <v>0</v>
      </c>
      <c r="GH174" s="423">
        <f t="shared" ca="1" si="612"/>
        <v>0</v>
      </c>
      <c r="GI174" s="423">
        <f t="shared" ca="1" si="612"/>
        <v>0</v>
      </c>
      <c r="GJ174" s="423">
        <f t="shared" ca="1" si="612"/>
        <v>0</v>
      </c>
      <c r="GK174" s="423">
        <f t="shared" ca="1" si="612"/>
        <v>0</v>
      </c>
      <c r="GL174" s="423">
        <f t="shared" ca="1" si="612"/>
        <v>0</v>
      </c>
      <c r="GM174" s="423">
        <f t="shared" ca="1" si="612"/>
        <v>0</v>
      </c>
      <c r="GN174" s="423">
        <f t="shared" ca="1" si="612"/>
        <v>0</v>
      </c>
      <c r="GO174" s="423">
        <f t="shared" ca="1" si="612"/>
        <v>0</v>
      </c>
      <c r="GP174" s="423">
        <f t="shared" ca="1" si="612"/>
        <v>0</v>
      </c>
      <c r="GQ174" s="423">
        <f t="shared" ca="1" si="612"/>
        <v>0</v>
      </c>
      <c r="GR174" s="423">
        <f t="shared" ca="1" si="612"/>
        <v>0</v>
      </c>
      <c r="GS174" s="423">
        <f t="shared" ca="1" si="612"/>
        <v>0</v>
      </c>
      <c r="GT174" s="423">
        <f t="shared" ca="1" si="613"/>
        <v>0</v>
      </c>
      <c r="GU174" s="423">
        <f t="shared" ca="1" si="611"/>
        <v>0</v>
      </c>
      <c r="GV174" s="423">
        <f t="shared" ca="1" si="611"/>
        <v>0</v>
      </c>
      <c r="GW174" s="423">
        <f t="shared" ca="1" si="611"/>
        <v>0</v>
      </c>
      <c r="GX174" s="423">
        <f t="shared" ca="1" si="611"/>
        <v>0</v>
      </c>
      <c r="GY174" s="423">
        <f t="shared" ca="1" si="611"/>
        <v>0</v>
      </c>
      <c r="GZ174" s="423">
        <f t="shared" ca="1" si="611"/>
        <v>0</v>
      </c>
      <c r="HA174" s="423">
        <f t="shared" ca="1" si="611"/>
        <v>0</v>
      </c>
      <c r="HB174" s="423">
        <f t="shared" ca="1" si="611"/>
        <v>0</v>
      </c>
      <c r="HC174" s="423">
        <f t="shared" ca="1" si="611"/>
        <v>0</v>
      </c>
      <c r="HD174" s="423">
        <f t="shared" ca="1" si="611"/>
        <v>0</v>
      </c>
      <c r="HE174" s="423">
        <f t="shared" ca="1" si="611"/>
        <v>0</v>
      </c>
      <c r="HF174" s="423">
        <f t="shared" ca="1" si="611"/>
        <v>0</v>
      </c>
      <c r="HG174" s="423">
        <f t="shared" ca="1" si="611"/>
        <v>0</v>
      </c>
      <c r="HH174" s="423">
        <f t="shared" ca="1" si="611"/>
        <v>0</v>
      </c>
      <c r="HI174" s="423">
        <f t="shared" ca="1" si="611"/>
        <v>0</v>
      </c>
      <c r="HJ174" s="423">
        <f t="shared" ca="1" si="611"/>
        <v>0</v>
      </c>
      <c r="HK174" s="423">
        <f t="shared" ca="1" si="614"/>
        <v>0</v>
      </c>
      <c r="HL174" s="423">
        <f t="shared" ca="1" si="614"/>
        <v>0</v>
      </c>
      <c r="HM174" s="423">
        <f t="shared" ca="1" si="614"/>
        <v>0</v>
      </c>
      <c r="HN174" s="423">
        <f t="shared" ca="1" si="614"/>
        <v>0</v>
      </c>
      <c r="HO174" s="423">
        <f t="shared" ca="1" si="614"/>
        <v>0</v>
      </c>
      <c r="HP174" s="423">
        <f t="shared" ca="1" si="614"/>
        <v>0</v>
      </c>
      <c r="HQ174" s="423">
        <f t="shared" ca="1" si="614"/>
        <v>0</v>
      </c>
      <c r="HR174" s="423">
        <f t="shared" ca="1" si="614"/>
        <v>0</v>
      </c>
      <c r="HS174" s="423">
        <f t="shared" ca="1" si="614"/>
        <v>0</v>
      </c>
      <c r="HT174" s="423">
        <f t="shared" ca="1" si="614"/>
        <v>0</v>
      </c>
    </row>
    <row r="175" spans="1:230" x14ac:dyDescent="0.2">
      <c r="A175" s="62">
        <f t="shared" si="516"/>
        <v>164</v>
      </c>
      <c r="B175" s="60">
        <f>Spaces_Sum!C220</f>
        <v>0</v>
      </c>
      <c r="C175" s="62" t="str">
        <f>Spaces_Sum!D220</f>
        <v>0</v>
      </c>
      <c r="D175" s="62" t="e">
        <f ca="1">Spaces_Sum!I220</f>
        <v>#N/A</v>
      </c>
      <c r="F175" s="110" t="e">
        <f ca="1">Spaces_Sum!M220</f>
        <v>#N/A</v>
      </c>
      <c r="G175" s="110" t="e">
        <f ca="1">Spaces_Sum!J220</f>
        <v>#N/A</v>
      </c>
      <c r="H175" s="532"/>
      <c r="I175" s="185"/>
      <c r="J175" s="185"/>
      <c r="K175" s="186"/>
      <c r="L175" s="187"/>
      <c r="M175" s="188"/>
      <c r="N175" s="189"/>
      <c r="O175" s="186"/>
      <c r="P175" s="187"/>
      <c r="Q175" s="188"/>
      <c r="R175" s="189"/>
      <c r="S175" s="186"/>
      <c r="T175" s="187"/>
      <c r="U175" s="188"/>
      <c r="V175" s="189"/>
      <c r="W175" s="186"/>
      <c r="X175" s="187"/>
      <c r="Y175" s="188"/>
      <c r="Z175" s="189"/>
      <c r="AA175" s="186"/>
      <c r="AB175" s="187"/>
      <c r="AC175" s="188"/>
      <c r="AD175" s="189"/>
      <c r="AE175" s="186"/>
      <c r="AF175" s="187"/>
      <c r="AG175" s="188"/>
      <c r="AH175" s="189"/>
      <c r="AI175" s="186"/>
      <c r="AJ175" s="187"/>
      <c r="AK175" s="188"/>
      <c r="AL175" s="189"/>
      <c r="AM175" s="186"/>
      <c r="AN175" s="187"/>
      <c r="AO175" s="188"/>
      <c r="AP175" s="189"/>
      <c r="AQ175" s="186"/>
      <c r="AR175" s="187"/>
      <c r="AS175" s="188"/>
      <c r="AT175" s="189"/>
      <c r="AU175" s="186"/>
      <c r="AV175" s="187"/>
      <c r="AW175" s="188"/>
      <c r="AX175" s="189"/>
      <c r="AY175" s="186"/>
      <c r="AZ175" s="187"/>
      <c r="BA175" s="188"/>
      <c r="BB175" s="189"/>
      <c r="BC175" s="186"/>
      <c r="BD175" s="187"/>
      <c r="BE175" s="188"/>
      <c r="BF175" s="189"/>
      <c r="BG175" s="186"/>
      <c r="BH175" s="187"/>
      <c r="BI175" s="188"/>
      <c r="BJ175" s="189"/>
      <c r="BK175" s="186"/>
      <c r="BL175" s="187"/>
      <c r="BM175" s="188"/>
      <c r="BN175" s="189"/>
      <c r="BO175" s="186"/>
      <c r="BP175" s="187"/>
      <c r="BQ175" s="188"/>
      <c r="BR175" s="189"/>
      <c r="BS175" s="186"/>
      <c r="BT175" s="187"/>
      <c r="BU175" s="188"/>
      <c r="BV175" s="189"/>
      <c r="BW175" s="186"/>
      <c r="BX175" s="187"/>
      <c r="BY175" s="188"/>
      <c r="BZ175" s="189"/>
      <c r="CA175" s="186"/>
      <c r="CB175" s="190"/>
      <c r="CC175" s="190"/>
      <c r="CD175" s="82">
        <f t="shared" si="526"/>
        <v>0</v>
      </c>
      <c r="CE175" s="82">
        <f t="shared" si="527"/>
        <v>0</v>
      </c>
      <c r="CF175" s="82">
        <f t="shared" si="528"/>
        <v>0</v>
      </c>
      <c r="CG175" s="82">
        <f t="shared" si="529"/>
        <v>0</v>
      </c>
      <c r="CH175" s="82">
        <f t="shared" si="530"/>
        <v>0</v>
      </c>
      <c r="CI175" s="82">
        <f t="shared" si="531"/>
        <v>0</v>
      </c>
      <c r="CJ175" s="82">
        <f t="shared" si="532"/>
        <v>0</v>
      </c>
      <c r="CK175" s="82">
        <f t="shared" si="533"/>
        <v>0</v>
      </c>
      <c r="CL175" s="82">
        <f t="shared" si="534"/>
        <v>0</v>
      </c>
      <c r="CM175" s="82">
        <f t="shared" si="535"/>
        <v>0</v>
      </c>
      <c r="CN175" s="82">
        <f t="shared" si="536"/>
        <v>0</v>
      </c>
      <c r="CO175" s="82">
        <f t="shared" si="537"/>
        <v>0</v>
      </c>
      <c r="CP175" s="82">
        <f t="shared" si="538"/>
        <v>0</v>
      </c>
      <c r="CQ175" s="82">
        <f t="shared" si="539"/>
        <v>0</v>
      </c>
      <c r="CR175" s="82">
        <f t="shared" si="540"/>
        <v>0</v>
      </c>
      <c r="CS175" s="82">
        <f t="shared" si="541"/>
        <v>0</v>
      </c>
      <c r="CT175" s="82">
        <f t="shared" si="542"/>
        <v>0</v>
      </c>
      <c r="CU175" s="82">
        <f t="shared" si="543"/>
        <v>0</v>
      </c>
      <c r="CV175" s="82">
        <f t="shared" si="544"/>
        <v>0</v>
      </c>
      <c r="CW175" s="82">
        <f t="shared" si="545"/>
        <v>0</v>
      </c>
      <c r="CX175" s="82">
        <f t="shared" si="546"/>
        <v>0</v>
      </c>
      <c r="CY175" s="82">
        <f t="shared" si="547"/>
        <v>0</v>
      </c>
      <c r="CZ175" s="82">
        <f t="shared" si="548"/>
        <v>0</v>
      </c>
      <c r="DA175" s="82">
        <f t="shared" si="549"/>
        <v>0</v>
      </c>
      <c r="DB175" s="82">
        <f t="shared" si="550"/>
        <v>0</v>
      </c>
      <c r="DC175" s="82">
        <f t="shared" si="551"/>
        <v>0</v>
      </c>
      <c r="DD175" s="82">
        <f t="shared" si="552"/>
        <v>0</v>
      </c>
      <c r="DE175" s="82">
        <f t="shared" si="553"/>
        <v>0</v>
      </c>
      <c r="DF175" s="82">
        <f t="shared" si="554"/>
        <v>0</v>
      </c>
      <c r="DG175" s="82">
        <f t="shared" si="555"/>
        <v>0</v>
      </c>
      <c r="DH175" s="82">
        <f t="shared" si="556"/>
        <v>0</v>
      </c>
      <c r="DI175" s="82">
        <f t="shared" si="557"/>
        <v>0</v>
      </c>
      <c r="DJ175" s="82">
        <f t="shared" si="558"/>
        <v>0</v>
      </c>
      <c r="DK175" s="82">
        <f t="shared" si="559"/>
        <v>0</v>
      </c>
      <c r="DL175" s="82">
        <f t="shared" si="560"/>
        <v>0</v>
      </c>
      <c r="DM175" s="82">
        <f t="shared" si="561"/>
        <v>0</v>
      </c>
      <c r="DN175" s="82">
        <f t="shared" si="562"/>
        <v>0</v>
      </c>
      <c r="DO175" s="82">
        <f t="shared" si="563"/>
        <v>0</v>
      </c>
      <c r="DP175" s="82">
        <f t="shared" si="564"/>
        <v>0</v>
      </c>
      <c r="DQ175" s="82">
        <f t="shared" si="565"/>
        <v>0</v>
      </c>
      <c r="DR175" s="82">
        <f t="shared" si="566"/>
        <v>0</v>
      </c>
      <c r="DS175" s="82">
        <f t="shared" si="567"/>
        <v>0</v>
      </c>
      <c r="DT175" s="82">
        <f t="shared" si="568"/>
        <v>0</v>
      </c>
      <c r="DU175" s="82">
        <f t="shared" si="569"/>
        <v>0</v>
      </c>
      <c r="DV175" s="82">
        <f t="shared" si="570"/>
        <v>0</v>
      </c>
      <c r="DW175" s="82">
        <f t="shared" si="571"/>
        <v>0</v>
      </c>
      <c r="DX175" s="82">
        <f t="shared" si="572"/>
        <v>0</v>
      </c>
      <c r="DY175" s="82">
        <f t="shared" si="573"/>
        <v>0</v>
      </c>
      <c r="DZ175" s="82">
        <f t="shared" si="574"/>
        <v>0</v>
      </c>
      <c r="EA175" s="82">
        <f t="shared" si="575"/>
        <v>0</v>
      </c>
      <c r="EB175" s="82">
        <f t="shared" si="576"/>
        <v>0</v>
      </c>
      <c r="EC175" s="82">
        <f t="shared" si="577"/>
        <v>0</v>
      </c>
      <c r="ED175" s="82">
        <f t="shared" si="578"/>
        <v>0</v>
      </c>
      <c r="EE175" s="82">
        <f t="shared" si="579"/>
        <v>0</v>
      </c>
      <c r="EF175" s="82">
        <f t="shared" si="580"/>
        <v>0</v>
      </c>
      <c r="EG175" s="82">
        <f t="shared" si="581"/>
        <v>0</v>
      </c>
      <c r="EH175" s="82">
        <f t="shared" si="582"/>
        <v>0</v>
      </c>
      <c r="EI175" s="82">
        <f t="shared" si="583"/>
        <v>0</v>
      </c>
      <c r="EJ175" s="82">
        <f t="shared" si="584"/>
        <v>0</v>
      </c>
      <c r="EK175" s="82">
        <f t="shared" si="585"/>
        <v>0</v>
      </c>
      <c r="EL175" s="82">
        <f t="shared" si="586"/>
        <v>0</v>
      </c>
      <c r="EM175" s="82">
        <f t="shared" si="587"/>
        <v>0</v>
      </c>
      <c r="EN175" s="82">
        <f t="shared" si="588"/>
        <v>0</v>
      </c>
      <c r="EO175" s="82">
        <f t="shared" si="589"/>
        <v>0</v>
      </c>
      <c r="EP175" s="82">
        <f t="shared" si="590"/>
        <v>0</v>
      </c>
      <c r="EQ175" s="82">
        <f t="shared" si="591"/>
        <v>0</v>
      </c>
      <c r="ER175" s="82">
        <f t="shared" si="592"/>
        <v>0</v>
      </c>
      <c r="ES175" s="82">
        <f t="shared" si="593"/>
        <v>0</v>
      </c>
      <c r="ET175" s="82">
        <f t="shared" si="594"/>
        <v>0</v>
      </c>
      <c r="EU175" s="82">
        <f t="shared" si="595"/>
        <v>0</v>
      </c>
      <c r="EV175" s="82">
        <f t="shared" si="596"/>
        <v>0</v>
      </c>
      <c r="EW175" s="82">
        <f t="shared" si="597"/>
        <v>0</v>
      </c>
      <c r="EX175" s="82">
        <f t="shared" si="598"/>
        <v>0</v>
      </c>
      <c r="EY175" s="111">
        <f t="shared" si="599"/>
        <v>0</v>
      </c>
      <c r="EZ175" s="143" t="e">
        <f t="shared" ca="1" si="600"/>
        <v>#N/A</v>
      </c>
      <c r="FA175" s="112" t="e">
        <f t="shared" ca="1" si="601"/>
        <v>#N/A</v>
      </c>
      <c r="FB175" s="113" t="e">
        <f t="shared" ca="1" si="602"/>
        <v>#N/A</v>
      </c>
      <c r="FC175" s="114" t="e">
        <f t="shared" ca="1" si="603"/>
        <v>#N/A</v>
      </c>
      <c r="FD175" s="115">
        <f t="shared" ca="1" si="604"/>
        <v>0</v>
      </c>
      <c r="FE175" s="116" t="e">
        <f t="shared" ca="1" si="605"/>
        <v>#N/A</v>
      </c>
      <c r="FF175" s="117" t="e">
        <f t="shared" ca="1" si="606"/>
        <v>#N/A</v>
      </c>
      <c r="FG175" s="71">
        <f t="shared" si="607"/>
        <v>0</v>
      </c>
      <c r="FH175" s="530" t="e">
        <f t="shared" ca="1" si="608"/>
        <v>#N/A</v>
      </c>
      <c r="FI175" s="72"/>
      <c r="FJ175" s="72"/>
      <c r="FK175" s="72"/>
      <c r="FM175" s="421">
        <f t="shared" si="609"/>
        <v>0</v>
      </c>
      <c r="FN175" s="422" t="e">
        <f t="shared" ca="1" si="610"/>
        <v>#N/A</v>
      </c>
      <c r="FO175" s="423">
        <f t="shared" ca="1" si="615"/>
        <v>0</v>
      </c>
      <c r="FP175" s="423">
        <f t="shared" ca="1" si="615"/>
        <v>0</v>
      </c>
      <c r="FQ175" s="423">
        <f t="shared" ca="1" si="615"/>
        <v>0</v>
      </c>
      <c r="FR175" s="423">
        <f t="shared" ca="1" si="615"/>
        <v>0</v>
      </c>
      <c r="FS175" s="423">
        <f t="shared" ca="1" si="615"/>
        <v>0</v>
      </c>
      <c r="FT175" s="423">
        <f t="shared" ca="1" si="615"/>
        <v>0</v>
      </c>
      <c r="FU175" s="423">
        <f t="shared" ca="1" si="615"/>
        <v>0</v>
      </c>
      <c r="FV175" s="423">
        <f t="shared" ca="1" si="615"/>
        <v>0</v>
      </c>
      <c r="FW175" s="423">
        <f t="shared" ca="1" si="615"/>
        <v>0</v>
      </c>
      <c r="FX175" s="423">
        <f t="shared" ca="1" si="615"/>
        <v>0</v>
      </c>
      <c r="FY175" s="423">
        <f t="shared" ca="1" si="615"/>
        <v>0</v>
      </c>
      <c r="FZ175" s="423">
        <f t="shared" ca="1" si="615"/>
        <v>0</v>
      </c>
      <c r="GA175" s="423">
        <f t="shared" ca="1" si="615"/>
        <v>0</v>
      </c>
      <c r="GB175" s="423">
        <f t="shared" ca="1" si="615"/>
        <v>0</v>
      </c>
      <c r="GC175" s="423">
        <f t="shared" ca="1" si="615"/>
        <v>0</v>
      </c>
      <c r="GD175" s="423">
        <f t="shared" ca="1" si="612"/>
        <v>0</v>
      </c>
      <c r="GE175" s="423">
        <f t="shared" ca="1" si="612"/>
        <v>0</v>
      </c>
      <c r="GF175" s="423">
        <f t="shared" ca="1" si="612"/>
        <v>0</v>
      </c>
      <c r="GG175" s="423">
        <f t="shared" ca="1" si="612"/>
        <v>0</v>
      </c>
      <c r="GH175" s="423">
        <f t="shared" ca="1" si="612"/>
        <v>0</v>
      </c>
      <c r="GI175" s="423">
        <f t="shared" ca="1" si="612"/>
        <v>0</v>
      </c>
      <c r="GJ175" s="423">
        <f t="shared" ca="1" si="612"/>
        <v>0</v>
      </c>
      <c r="GK175" s="423">
        <f t="shared" ca="1" si="612"/>
        <v>0</v>
      </c>
      <c r="GL175" s="423">
        <f t="shared" ca="1" si="612"/>
        <v>0</v>
      </c>
      <c r="GM175" s="423">
        <f t="shared" ca="1" si="612"/>
        <v>0</v>
      </c>
      <c r="GN175" s="423">
        <f t="shared" ca="1" si="612"/>
        <v>0</v>
      </c>
      <c r="GO175" s="423">
        <f t="shared" ca="1" si="612"/>
        <v>0</v>
      </c>
      <c r="GP175" s="423">
        <f t="shared" ca="1" si="612"/>
        <v>0</v>
      </c>
      <c r="GQ175" s="423">
        <f t="shared" ca="1" si="612"/>
        <v>0</v>
      </c>
      <c r="GR175" s="423">
        <f t="shared" ca="1" si="612"/>
        <v>0</v>
      </c>
      <c r="GS175" s="423">
        <f t="shared" ca="1" si="612"/>
        <v>0</v>
      </c>
      <c r="GT175" s="423">
        <f t="shared" ca="1" si="613"/>
        <v>0</v>
      </c>
      <c r="GU175" s="423">
        <f t="shared" ca="1" si="611"/>
        <v>0</v>
      </c>
      <c r="GV175" s="423">
        <f t="shared" ca="1" si="611"/>
        <v>0</v>
      </c>
      <c r="GW175" s="423">
        <f t="shared" ca="1" si="611"/>
        <v>0</v>
      </c>
      <c r="GX175" s="423">
        <f t="shared" ca="1" si="611"/>
        <v>0</v>
      </c>
      <c r="GY175" s="423">
        <f t="shared" ca="1" si="611"/>
        <v>0</v>
      </c>
      <c r="GZ175" s="423">
        <f t="shared" ca="1" si="611"/>
        <v>0</v>
      </c>
      <c r="HA175" s="423">
        <f t="shared" ca="1" si="611"/>
        <v>0</v>
      </c>
      <c r="HB175" s="423">
        <f t="shared" ca="1" si="611"/>
        <v>0</v>
      </c>
      <c r="HC175" s="423">
        <f t="shared" ca="1" si="611"/>
        <v>0</v>
      </c>
      <c r="HD175" s="423">
        <f t="shared" ca="1" si="611"/>
        <v>0</v>
      </c>
      <c r="HE175" s="423">
        <f t="shared" ca="1" si="611"/>
        <v>0</v>
      </c>
      <c r="HF175" s="423">
        <f t="shared" ca="1" si="611"/>
        <v>0</v>
      </c>
      <c r="HG175" s="423">
        <f t="shared" ca="1" si="611"/>
        <v>0</v>
      </c>
      <c r="HH175" s="423">
        <f t="shared" ca="1" si="611"/>
        <v>0</v>
      </c>
      <c r="HI175" s="423">
        <f t="shared" ca="1" si="611"/>
        <v>0</v>
      </c>
      <c r="HJ175" s="423">
        <f t="shared" ca="1" si="611"/>
        <v>0</v>
      </c>
      <c r="HK175" s="423">
        <f t="shared" ca="1" si="614"/>
        <v>0</v>
      </c>
      <c r="HL175" s="423">
        <f t="shared" ca="1" si="614"/>
        <v>0</v>
      </c>
      <c r="HM175" s="423">
        <f t="shared" ca="1" si="614"/>
        <v>0</v>
      </c>
      <c r="HN175" s="423">
        <f t="shared" ca="1" si="614"/>
        <v>0</v>
      </c>
      <c r="HO175" s="423">
        <f t="shared" ca="1" si="614"/>
        <v>0</v>
      </c>
      <c r="HP175" s="423">
        <f t="shared" ca="1" si="614"/>
        <v>0</v>
      </c>
      <c r="HQ175" s="423">
        <f t="shared" ca="1" si="614"/>
        <v>0</v>
      </c>
      <c r="HR175" s="423">
        <f t="shared" ca="1" si="614"/>
        <v>0</v>
      </c>
      <c r="HS175" s="423">
        <f t="shared" ca="1" si="614"/>
        <v>0</v>
      </c>
      <c r="HT175" s="423">
        <f t="shared" ca="1" si="614"/>
        <v>0</v>
      </c>
    </row>
    <row r="176" spans="1:230" x14ac:dyDescent="0.2">
      <c r="A176" s="62">
        <f t="shared" si="516"/>
        <v>165</v>
      </c>
      <c r="B176" s="60">
        <f>Spaces_Sum!C221</f>
        <v>0</v>
      </c>
      <c r="C176" s="62" t="str">
        <f>Spaces_Sum!D221</f>
        <v>0</v>
      </c>
      <c r="D176" s="62" t="e">
        <f ca="1">Spaces_Sum!I221</f>
        <v>#N/A</v>
      </c>
      <c r="F176" s="110" t="e">
        <f ca="1">Spaces_Sum!M221</f>
        <v>#N/A</v>
      </c>
      <c r="G176" s="110" t="e">
        <f ca="1">Spaces_Sum!J221</f>
        <v>#N/A</v>
      </c>
      <c r="H176" s="532"/>
      <c r="I176" s="185"/>
      <c r="J176" s="185"/>
      <c r="K176" s="186"/>
      <c r="L176" s="187"/>
      <c r="M176" s="188"/>
      <c r="N176" s="189"/>
      <c r="O176" s="186"/>
      <c r="P176" s="187"/>
      <c r="Q176" s="188"/>
      <c r="R176" s="189"/>
      <c r="S176" s="186"/>
      <c r="T176" s="187"/>
      <c r="U176" s="188"/>
      <c r="V176" s="189"/>
      <c r="W176" s="186"/>
      <c r="X176" s="187"/>
      <c r="Y176" s="188"/>
      <c r="Z176" s="189"/>
      <c r="AA176" s="186"/>
      <c r="AB176" s="187"/>
      <c r="AC176" s="188"/>
      <c r="AD176" s="189"/>
      <c r="AE176" s="186"/>
      <c r="AF176" s="187"/>
      <c r="AG176" s="188"/>
      <c r="AH176" s="189"/>
      <c r="AI176" s="186"/>
      <c r="AJ176" s="187"/>
      <c r="AK176" s="188"/>
      <c r="AL176" s="189"/>
      <c r="AM176" s="186"/>
      <c r="AN176" s="187"/>
      <c r="AO176" s="188"/>
      <c r="AP176" s="189"/>
      <c r="AQ176" s="186"/>
      <c r="AR176" s="187"/>
      <c r="AS176" s="188"/>
      <c r="AT176" s="189"/>
      <c r="AU176" s="186"/>
      <c r="AV176" s="187"/>
      <c r="AW176" s="188"/>
      <c r="AX176" s="189"/>
      <c r="AY176" s="186"/>
      <c r="AZ176" s="187"/>
      <c r="BA176" s="188"/>
      <c r="BB176" s="189"/>
      <c r="BC176" s="186"/>
      <c r="BD176" s="187"/>
      <c r="BE176" s="188"/>
      <c r="BF176" s="189"/>
      <c r="BG176" s="186"/>
      <c r="BH176" s="187"/>
      <c r="BI176" s="188"/>
      <c r="BJ176" s="189"/>
      <c r="BK176" s="186"/>
      <c r="BL176" s="187"/>
      <c r="BM176" s="188"/>
      <c r="BN176" s="189"/>
      <c r="BO176" s="186"/>
      <c r="BP176" s="187"/>
      <c r="BQ176" s="188"/>
      <c r="BR176" s="189"/>
      <c r="BS176" s="186"/>
      <c r="BT176" s="187"/>
      <c r="BU176" s="188"/>
      <c r="BV176" s="189"/>
      <c r="BW176" s="186"/>
      <c r="BX176" s="187"/>
      <c r="BY176" s="188"/>
      <c r="BZ176" s="189"/>
      <c r="CA176" s="186"/>
      <c r="CB176" s="190"/>
      <c r="CC176" s="190"/>
      <c r="CD176" s="82">
        <f t="shared" si="526"/>
        <v>0</v>
      </c>
      <c r="CE176" s="82">
        <f t="shared" si="527"/>
        <v>0</v>
      </c>
      <c r="CF176" s="82">
        <f t="shared" si="528"/>
        <v>0</v>
      </c>
      <c r="CG176" s="82">
        <f t="shared" si="529"/>
        <v>0</v>
      </c>
      <c r="CH176" s="82">
        <f t="shared" si="530"/>
        <v>0</v>
      </c>
      <c r="CI176" s="82">
        <f t="shared" si="531"/>
        <v>0</v>
      </c>
      <c r="CJ176" s="82">
        <f t="shared" si="532"/>
        <v>0</v>
      </c>
      <c r="CK176" s="82">
        <f t="shared" si="533"/>
        <v>0</v>
      </c>
      <c r="CL176" s="82">
        <f t="shared" si="534"/>
        <v>0</v>
      </c>
      <c r="CM176" s="82">
        <f t="shared" si="535"/>
        <v>0</v>
      </c>
      <c r="CN176" s="82">
        <f t="shared" si="536"/>
        <v>0</v>
      </c>
      <c r="CO176" s="82">
        <f t="shared" si="537"/>
        <v>0</v>
      </c>
      <c r="CP176" s="82">
        <f t="shared" si="538"/>
        <v>0</v>
      </c>
      <c r="CQ176" s="82">
        <f t="shared" si="539"/>
        <v>0</v>
      </c>
      <c r="CR176" s="82">
        <f t="shared" si="540"/>
        <v>0</v>
      </c>
      <c r="CS176" s="82">
        <f t="shared" si="541"/>
        <v>0</v>
      </c>
      <c r="CT176" s="82">
        <f t="shared" si="542"/>
        <v>0</v>
      </c>
      <c r="CU176" s="82">
        <f t="shared" si="543"/>
        <v>0</v>
      </c>
      <c r="CV176" s="82">
        <f t="shared" si="544"/>
        <v>0</v>
      </c>
      <c r="CW176" s="82">
        <f t="shared" si="545"/>
        <v>0</v>
      </c>
      <c r="CX176" s="82">
        <f t="shared" si="546"/>
        <v>0</v>
      </c>
      <c r="CY176" s="82">
        <f t="shared" si="547"/>
        <v>0</v>
      </c>
      <c r="CZ176" s="82">
        <f t="shared" si="548"/>
        <v>0</v>
      </c>
      <c r="DA176" s="82">
        <f t="shared" si="549"/>
        <v>0</v>
      </c>
      <c r="DB176" s="82">
        <f t="shared" si="550"/>
        <v>0</v>
      </c>
      <c r="DC176" s="82">
        <f t="shared" si="551"/>
        <v>0</v>
      </c>
      <c r="DD176" s="82">
        <f t="shared" si="552"/>
        <v>0</v>
      </c>
      <c r="DE176" s="82">
        <f t="shared" si="553"/>
        <v>0</v>
      </c>
      <c r="DF176" s="82">
        <f t="shared" si="554"/>
        <v>0</v>
      </c>
      <c r="DG176" s="82">
        <f t="shared" si="555"/>
        <v>0</v>
      </c>
      <c r="DH176" s="82">
        <f t="shared" si="556"/>
        <v>0</v>
      </c>
      <c r="DI176" s="82">
        <f t="shared" si="557"/>
        <v>0</v>
      </c>
      <c r="DJ176" s="82">
        <f t="shared" si="558"/>
        <v>0</v>
      </c>
      <c r="DK176" s="82">
        <f t="shared" si="559"/>
        <v>0</v>
      </c>
      <c r="DL176" s="82">
        <f t="shared" si="560"/>
        <v>0</v>
      </c>
      <c r="DM176" s="82">
        <f t="shared" si="561"/>
        <v>0</v>
      </c>
      <c r="DN176" s="82">
        <f t="shared" si="562"/>
        <v>0</v>
      </c>
      <c r="DO176" s="82">
        <f t="shared" si="563"/>
        <v>0</v>
      </c>
      <c r="DP176" s="82">
        <f t="shared" si="564"/>
        <v>0</v>
      </c>
      <c r="DQ176" s="82">
        <f t="shared" si="565"/>
        <v>0</v>
      </c>
      <c r="DR176" s="82">
        <f t="shared" si="566"/>
        <v>0</v>
      </c>
      <c r="DS176" s="82">
        <f t="shared" si="567"/>
        <v>0</v>
      </c>
      <c r="DT176" s="82">
        <f t="shared" si="568"/>
        <v>0</v>
      </c>
      <c r="DU176" s="82">
        <f t="shared" si="569"/>
        <v>0</v>
      </c>
      <c r="DV176" s="82">
        <f t="shared" si="570"/>
        <v>0</v>
      </c>
      <c r="DW176" s="82">
        <f t="shared" si="571"/>
        <v>0</v>
      </c>
      <c r="DX176" s="82">
        <f t="shared" si="572"/>
        <v>0</v>
      </c>
      <c r="DY176" s="82">
        <f t="shared" si="573"/>
        <v>0</v>
      </c>
      <c r="DZ176" s="82">
        <f t="shared" si="574"/>
        <v>0</v>
      </c>
      <c r="EA176" s="82">
        <f t="shared" si="575"/>
        <v>0</v>
      </c>
      <c r="EB176" s="82">
        <f t="shared" si="576"/>
        <v>0</v>
      </c>
      <c r="EC176" s="82">
        <f t="shared" si="577"/>
        <v>0</v>
      </c>
      <c r="ED176" s="82">
        <f t="shared" si="578"/>
        <v>0</v>
      </c>
      <c r="EE176" s="82">
        <f t="shared" si="579"/>
        <v>0</v>
      </c>
      <c r="EF176" s="82">
        <f t="shared" si="580"/>
        <v>0</v>
      </c>
      <c r="EG176" s="82">
        <f t="shared" si="581"/>
        <v>0</v>
      </c>
      <c r="EH176" s="82">
        <f t="shared" si="582"/>
        <v>0</v>
      </c>
      <c r="EI176" s="82">
        <f t="shared" si="583"/>
        <v>0</v>
      </c>
      <c r="EJ176" s="82">
        <f t="shared" si="584"/>
        <v>0</v>
      </c>
      <c r="EK176" s="82">
        <f t="shared" si="585"/>
        <v>0</v>
      </c>
      <c r="EL176" s="82">
        <f t="shared" si="586"/>
        <v>0</v>
      </c>
      <c r="EM176" s="82">
        <f t="shared" si="587"/>
        <v>0</v>
      </c>
      <c r="EN176" s="82">
        <f t="shared" si="588"/>
        <v>0</v>
      </c>
      <c r="EO176" s="82">
        <f t="shared" si="589"/>
        <v>0</v>
      </c>
      <c r="EP176" s="82">
        <f t="shared" si="590"/>
        <v>0</v>
      </c>
      <c r="EQ176" s="82">
        <f t="shared" si="591"/>
        <v>0</v>
      </c>
      <c r="ER176" s="82">
        <f t="shared" si="592"/>
        <v>0</v>
      </c>
      <c r="ES176" s="82">
        <f t="shared" si="593"/>
        <v>0</v>
      </c>
      <c r="ET176" s="82">
        <f t="shared" si="594"/>
        <v>0</v>
      </c>
      <c r="EU176" s="82">
        <f t="shared" si="595"/>
        <v>0</v>
      </c>
      <c r="EV176" s="82">
        <f t="shared" si="596"/>
        <v>0</v>
      </c>
      <c r="EW176" s="82">
        <f t="shared" si="597"/>
        <v>0</v>
      </c>
      <c r="EX176" s="82">
        <f t="shared" si="598"/>
        <v>0</v>
      </c>
      <c r="EY176" s="111">
        <f t="shared" si="599"/>
        <v>0</v>
      </c>
      <c r="EZ176" s="143" t="e">
        <f t="shared" ca="1" si="600"/>
        <v>#N/A</v>
      </c>
      <c r="FA176" s="112" t="e">
        <f t="shared" ca="1" si="601"/>
        <v>#N/A</v>
      </c>
      <c r="FB176" s="113" t="e">
        <f t="shared" ca="1" si="602"/>
        <v>#N/A</v>
      </c>
      <c r="FC176" s="114" t="e">
        <f t="shared" ca="1" si="603"/>
        <v>#N/A</v>
      </c>
      <c r="FD176" s="115">
        <f t="shared" ca="1" si="604"/>
        <v>0</v>
      </c>
      <c r="FE176" s="116" t="e">
        <f t="shared" ca="1" si="605"/>
        <v>#N/A</v>
      </c>
      <c r="FF176" s="117" t="e">
        <f t="shared" ca="1" si="606"/>
        <v>#N/A</v>
      </c>
      <c r="FG176" s="71">
        <f t="shared" si="607"/>
        <v>0</v>
      </c>
      <c r="FH176" s="530" t="e">
        <f t="shared" ca="1" si="608"/>
        <v>#N/A</v>
      </c>
      <c r="FI176" s="72"/>
      <c r="FJ176" s="72"/>
      <c r="FK176" s="72"/>
      <c r="FM176" s="421">
        <f t="shared" si="609"/>
        <v>0</v>
      </c>
      <c r="FN176" s="422" t="e">
        <f t="shared" ca="1" si="610"/>
        <v>#N/A</v>
      </c>
      <c r="FO176" s="423">
        <f t="shared" ca="1" si="615"/>
        <v>0</v>
      </c>
      <c r="FP176" s="423">
        <f t="shared" ca="1" si="615"/>
        <v>0</v>
      </c>
      <c r="FQ176" s="423">
        <f t="shared" ca="1" si="615"/>
        <v>0</v>
      </c>
      <c r="FR176" s="423">
        <f t="shared" ca="1" si="615"/>
        <v>0</v>
      </c>
      <c r="FS176" s="423">
        <f t="shared" ca="1" si="615"/>
        <v>0</v>
      </c>
      <c r="FT176" s="423">
        <f t="shared" ca="1" si="615"/>
        <v>0</v>
      </c>
      <c r="FU176" s="423">
        <f t="shared" ca="1" si="615"/>
        <v>0</v>
      </c>
      <c r="FV176" s="423">
        <f t="shared" ca="1" si="615"/>
        <v>0</v>
      </c>
      <c r="FW176" s="423">
        <f t="shared" ca="1" si="615"/>
        <v>0</v>
      </c>
      <c r="FX176" s="423">
        <f t="shared" ca="1" si="615"/>
        <v>0</v>
      </c>
      <c r="FY176" s="423">
        <f t="shared" ca="1" si="615"/>
        <v>0</v>
      </c>
      <c r="FZ176" s="423">
        <f t="shared" ca="1" si="615"/>
        <v>0</v>
      </c>
      <c r="GA176" s="423">
        <f t="shared" ca="1" si="615"/>
        <v>0</v>
      </c>
      <c r="GB176" s="423">
        <f t="shared" ca="1" si="615"/>
        <v>0</v>
      </c>
      <c r="GC176" s="423">
        <f t="shared" ca="1" si="615"/>
        <v>0</v>
      </c>
      <c r="GD176" s="423">
        <f t="shared" ca="1" si="612"/>
        <v>0</v>
      </c>
      <c r="GE176" s="423">
        <f t="shared" ca="1" si="612"/>
        <v>0</v>
      </c>
      <c r="GF176" s="423">
        <f t="shared" ca="1" si="612"/>
        <v>0</v>
      </c>
      <c r="GG176" s="423">
        <f t="shared" ca="1" si="612"/>
        <v>0</v>
      </c>
      <c r="GH176" s="423">
        <f t="shared" ca="1" si="612"/>
        <v>0</v>
      </c>
      <c r="GI176" s="423">
        <f t="shared" ca="1" si="612"/>
        <v>0</v>
      </c>
      <c r="GJ176" s="423">
        <f t="shared" ca="1" si="612"/>
        <v>0</v>
      </c>
      <c r="GK176" s="423">
        <f t="shared" ca="1" si="612"/>
        <v>0</v>
      </c>
      <c r="GL176" s="423">
        <f t="shared" ca="1" si="612"/>
        <v>0</v>
      </c>
      <c r="GM176" s="423">
        <f t="shared" ca="1" si="612"/>
        <v>0</v>
      </c>
      <c r="GN176" s="423">
        <f t="shared" ca="1" si="612"/>
        <v>0</v>
      </c>
      <c r="GO176" s="423">
        <f t="shared" ca="1" si="612"/>
        <v>0</v>
      </c>
      <c r="GP176" s="423">
        <f t="shared" ca="1" si="612"/>
        <v>0</v>
      </c>
      <c r="GQ176" s="423">
        <f t="shared" ca="1" si="612"/>
        <v>0</v>
      </c>
      <c r="GR176" s="423">
        <f t="shared" ca="1" si="612"/>
        <v>0</v>
      </c>
      <c r="GS176" s="423">
        <f t="shared" ca="1" si="612"/>
        <v>0</v>
      </c>
      <c r="GT176" s="423">
        <f t="shared" ca="1" si="613"/>
        <v>0</v>
      </c>
      <c r="GU176" s="423">
        <f t="shared" ca="1" si="611"/>
        <v>0</v>
      </c>
      <c r="GV176" s="423">
        <f t="shared" ca="1" si="611"/>
        <v>0</v>
      </c>
      <c r="GW176" s="423">
        <f t="shared" ca="1" si="611"/>
        <v>0</v>
      </c>
      <c r="GX176" s="423">
        <f t="shared" ca="1" si="611"/>
        <v>0</v>
      </c>
      <c r="GY176" s="423">
        <f t="shared" ca="1" si="611"/>
        <v>0</v>
      </c>
      <c r="GZ176" s="423">
        <f t="shared" ca="1" si="611"/>
        <v>0</v>
      </c>
      <c r="HA176" s="423">
        <f t="shared" ca="1" si="611"/>
        <v>0</v>
      </c>
      <c r="HB176" s="423">
        <f t="shared" ca="1" si="611"/>
        <v>0</v>
      </c>
      <c r="HC176" s="423">
        <f t="shared" ca="1" si="611"/>
        <v>0</v>
      </c>
      <c r="HD176" s="423">
        <f t="shared" ca="1" si="611"/>
        <v>0</v>
      </c>
      <c r="HE176" s="423">
        <f t="shared" ca="1" si="611"/>
        <v>0</v>
      </c>
      <c r="HF176" s="423">
        <f t="shared" ca="1" si="611"/>
        <v>0</v>
      </c>
      <c r="HG176" s="423">
        <f t="shared" ca="1" si="611"/>
        <v>0</v>
      </c>
      <c r="HH176" s="423">
        <f t="shared" ca="1" si="611"/>
        <v>0</v>
      </c>
      <c r="HI176" s="423">
        <f t="shared" ca="1" si="611"/>
        <v>0</v>
      </c>
      <c r="HJ176" s="423">
        <f t="shared" ca="1" si="611"/>
        <v>0</v>
      </c>
      <c r="HK176" s="423">
        <f t="shared" ca="1" si="614"/>
        <v>0</v>
      </c>
      <c r="HL176" s="423">
        <f t="shared" ca="1" si="614"/>
        <v>0</v>
      </c>
      <c r="HM176" s="423">
        <f t="shared" ca="1" si="614"/>
        <v>0</v>
      </c>
      <c r="HN176" s="423">
        <f t="shared" ca="1" si="614"/>
        <v>0</v>
      </c>
      <c r="HO176" s="423">
        <f t="shared" ca="1" si="614"/>
        <v>0</v>
      </c>
      <c r="HP176" s="423">
        <f t="shared" ca="1" si="614"/>
        <v>0</v>
      </c>
      <c r="HQ176" s="423">
        <f t="shared" ca="1" si="614"/>
        <v>0</v>
      </c>
      <c r="HR176" s="423">
        <f t="shared" ca="1" si="614"/>
        <v>0</v>
      </c>
      <c r="HS176" s="423">
        <f t="shared" ca="1" si="614"/>
        <v>0</v>
      </c>
      <c r="HT176" s="423">
        <f t="shared" ca="1" si="614"/>
        <v>0</v>
      </c>
    </row>
    <row r="177" spans="1:228" x14ac:dyDescent="0.2">
      <c r="A177" s="62">
        <f t="shared" si="516"/>
        <v>166</v>
      </c>
      <c r="B177" s="60">
        <f>Spaces_Sum!C222</f>
        <v>0</v>
      </c>
      <c r="C177" s="62" t="str">
        <f>Spaces_Sum!D222</f>
        <v>0</v>
      </c>
      <c r="D177" s="62" t="e">
        <f ca="1">Spaces_Sum!I222</f>
        <v>#N/A</v>
      </c>
      <c r="F177" s="110" t="e">
        <f ca="1">Spaces_Sum!M222</f>
        <v>#N/A</v>
      </c>
      <c r="G177" s="110" t="e">
        <f ca="1">Spaces_Sum!J222</f>
        <v>#N/A</v>
      </c>
      <c r="H177" s="532"/>
      <c r="I177" s="185"/>
      <c r="J177" s="185"/>
      <c r="K177" s="186"/>
      <c r="L177" s="187"/>
      <c r="M177" s="188"/>
      <c r="N177" s="189"/>
      <c r="O177" s="186"/>
      <c r="P177" s="187"/>
      <c r="Q177" s="188"/>
      <c r="R177" s="189"/>
      <c r="S177" s="186"/>
      <c r="T177" s="187"/>
      <c r="U177" s="188"/>
      <c r="V177" s="189"/>
      <c r="W177" s="186"/>
      <c r="X177" s="187"/>
      <c r="Y177" s="188"/>
      <c r="Z177" s="189"/>
      <c r="AA177" s="186"/>
      <c r="AB177" s="187"/>
      <c r="AC177" s="188"/>
      <c r="AD177" s="189"/>
      <c r="AE177" s="186"/>
      <c r="AF177" s="187"/>
      <c r="AG177" s="188"/>
      <c r="AH177" s="189"/>
      <c r="AI177" s="186"/>
      <c r="AJ177" s="187"/>
      <c r="AK177" s="188"/>
      <c r="AL177" s="189"/>
      <c r="AM177" s="186"/>
      <c r="AN177" s="187"/>
      <c r="AO177" s="188"/>
      <c r="AP177" s="189"/>
      <c r="AQ177" s="186"/>
      <c r="AR177" s="187"/>
      <c r="AS177" s="188"/>
      <c r="AT177" s="189"/>
      <c r="AU177" s="186"/>
      <c r="AV177" s="187"/>
      <c r="AW177" s="188"/>
      <c r="AX177" s="189"/>
      <c r="AY177" s="186"/>
      <c r="AZ177" s="187"/>
      <c r="BA177" s="188"/>
      <c r="BB177" s="189"/>
      <c r="BC177" s="186"/>
      <c r="BD177" s="187"/>
      <c r="BE177" s="188"/>
      <c r="BF177" s="189"/>
      <c r="BG177" s="186"/>
      <c r="BH177" s="187"/>
      <c r="BI177" s="188"/>
      <c r="BJ177" s="189"/>
      <c r="BK177" s="186"/>
      <c r="BL177" s="187"/>
      <c r="BM177" s="188"/>
      <c r="BN177" s="189"/>
      <c r="BO177" s="186"/>
      <c r="BP177" s="187"/>
      <c r="BQ177" s="188"/>
      <c r="BR177" s="189"/>
      <c r="BS177" s="186"/>
      <c r="BT177" s="187"/>
      <c r="BU177" s="188"/>
      <c r="BV177" s="189"/>
      <c r="BW177" s="186"/>
      <c r="BX177" s="187"/>
      <c r="BY177" s="188"/>
      <c r="BZ177" s="189"/>
      <c r="CA177" s="186"/>
      <c r="CB177" s="190"/>
      <c r="CC177" s="190"/>
      <c r="CD177" s="82">
        <f t="shared" si="526"/>
        <v>0</v>
      </c>
      <c r="CE177" s="82">
        <f t="shared" si="527"/>
        <v>0</v>
      </c>
      <c r="CF177" s="82">
        <f t="shared" si="528"/>
        <v>0</v>
      </c>
      <c r="CG177" s="82">
        <f t="shared" si="529"/>
        <v>0</v>
      </c>
      <c r="CH177" s="82">
        <f t="shared" si="530"/>
        <v>0</v>
      </c>
      <c r="CI177" s="82">
        <f t="shared" si="531"/>
        <v>0</v>
      </c>
      <c r="CJ177" s="82">
        <f t="shared" si="532"/>
        <v>0</v>
      </c>
      <c r="CK177" s="82">
        <f t="shared" si="533"/>
        <v>0</v>
      </c>
      <c r="CL177" s="82">
        <f t="shared" si="534"/>
        <v>0</v>
      </c>
      <c r="CM177" s="82">
        <f t="shared" si="535"/>
        <v>0</v>
      </c>
      <c r="CN177" s="82">
        <f t="shared" si="536"/>
        <v>0</v>
      </c>
      <c r="CO177" s="82">
        <f t="shared" si="537"/>
        <v>0</v>
      </c>
      <c r="CP177" s="82">
        <f t="shared" si="538"/>
        <v>0</v>
      </c>
      <c r="CQ177" s="82">
        <f t="shared" si="539"/>
        <v>0</v>
      </c>
      <c r="CR177" s="82">
        <f t="shared" si="540"/>
        <v>0</v>
      </c>
      <c r="CS177" s="82">
        <f t="shared" si="541"/>
        <v>0</v>
      </c>
      <c r="CT177" s="82">
        <f t="shared" si="542"/>
        <v>0</v>
      </c>
      <c r="CU177" s="82">
        <f t="shared" si="543"/>
        <v>0</v>
      </c>
      <c r="CV177" s="82">
        <f t="shared" si="544"/>
        <v>0</v>
      </c>
      <c r="CW177" s="82">
        <f t="shared" si="545"/>
        <v>0</v>
      </c>
      <c r="CX177" s="82">
        <f t="shared" si="546"/>
        <v>0</v>
      </c>
      <c r="CY177" s="82">
        <f t="shared" si="547"/>
        <v>0</v>
      </c>
      <c r="CZ177" s="82">
        <f t="shared" si="548"/>
        <v>0</v>
      </c>
      <c r="DA177" s="82">
        <f t="shared" si="549"/>
        <v>0</v>
      </c>
      <c r="DB177" s="82">
        <f t="shared" si="550"/>
        <v>0</v>
      </c>
      <c r="DC177" s="82">
        <f t="shared" si="551"/>
        <v>0</v>
      </c>
      <c r="DD177" s="82">
        <f t="shared" si="552"/>
        <v>0</v>
      </c>
      <c r="DE177" s="82">
        <f t="shared" si="553"/>
        <v>0</v>
      </c>
      <c r="DF177" s="82">
        <f t="shared" si="554"/>
        <v>0</v>
      </c>
      <c r="DG177" s="82">
        <f t="shared" si="555"/>
        <v>0</v>
      </c>
      <c r="DH177" s="82">
        <f t="shared" si="556"/>
        <v>0</v>
      </c>
      <c r="DI177" s="82">
        <f t="shared" si="557"/>
        <v>0</v>
      </c>
      <c r="DJ177" s="82">
        <f t="shared" si="558"/>
        <v>0</v>
      </c>
      <c r="DK177" s="82">
        <f t="shared" si="559"/>
        <v>0</v>
      </c>
      <c r="DL177" s="82">
        <f t="shared" si="560"/>
        <v>0</v>
      </c>
      <c r="DM177" s="82">
        <f t="shared" si="561"/>
        <v>0</v>
      </c>
      <c r="DN177" s="82">
        <f t="shared" si="562"/>
        <v>0</v>
      </c>
      <c r="DO177" s="82">
        <f t="shared" si="563"/>
        <v>0</v>
      </c>
      <c r="DP177" s="82">
        <f t="shared" si="564"/>
        <v>0</v>
      </c>
      <c r="DQ177" s="82">
        <f t="shared" si="565"/>
        <v>0</v>
      </c>
      <c r="DR177" s="82">
        <f t="shared" si="566"/>
        <v>0</v>
      </c>
      <c r="DS177" s="82">
        <f t="shared" si="567"/>
        <v>0</v>
      </c>
      <c r="DT177" s="82">
        <f t="shared" si="568"/>
        <v>0</v>
      </c>
      <c r="DU177" s="82">
        <f t="shared" si="569"/>
        <v>0</v>
      </c>
      <c r="DV177" s="82">
        <f t="shared" si="570"/>
        <v>0</v>
      </c>
      <c r="DW177" s="82">
        <f t="shared" si="571"/>
        <v>0</v>
      </c>
      <c r="DX177" s="82">
        <f t="shared" si="572"/>
        <v>0</v>
      </c>
      <c r="DY177" s="82">
        <f t="shared" si="573"/>
        <v>0</v>
      </c>
      <c r="DZ177" s="82">
        <f t="shared" si="574"/>
        <v>0</v>
      </c>
      <c r="EA177" s="82">
        <f t="shared" si="575"/>
        <v>0</v>
      </c>
      <c r="EB177" s="82">
        <f t="shared" si="576"/>
        <v>0</v>
      </c>
      <c r="EC177" s="82">
        <f t="shared" si="577"/>
        <v>0</v>
      </c>
      <c r="ED177" s="82">
        <f t="shared" si="578"/>
        <v>0</v>
      </c>
      <c r="EE177" s="82">
        <f t="shared" si="579"/>
        <v>0</v>
      </c>
      <c r="EF177" s="82">
        <f t="shared" si="580"/>
        <v>0</v>
      </c>
      <c r="EG177" s="82">
        <f t="shared" si="581"/>
        <v>0</v>
      </c>
      <c r="EH177" s="82">
        <f t="shared" si="582"/>
        <v>0</v>
      </c>
      <c r="EI177" s="82">
        <f t="shared" si="583"/>
        <v>0</v>
      </c>
      <c r="EJ177" s="82">
        <f t="shared" si="584"/>
        <v>0</v>
      </c>
      <c r="EK177" s="82">
        <f t="shared" si="585"/>
        <v>0</v>
      </c>
      <c r="EL177" s="82">
        <f t="shared" si="586"/>
        <v>0</v>
      </c>
      <c r="EM177" s="82">
        <f t="shared" si="587"/>
        <v>0</v>
      </c>
      <c r="EN177" s="82">
        <f t="shared" si="588"/>
        <v>0</v>
      </c>
      <c r="EO177" s="82">
        <f t="shared" si="589"/>
        <v>0</v>
      </c>
      <c r="EP177" s="82">
        <f t="shared" si="590"/>
        <v>0</v>
      </c>
      <c r="EQ177" s="82">
        <f t="shared" si="591"/>
        <v>0</v>
      </c>
      <c r="ER177" s="82">
        <f t="shared" si="592"/>
        <v>0</v>
      </c>
      <c r="ES177" s="82">
        <f t="shared" si="593"/>
        <v>0</v>
      </c>
      <c r="ET177" s="82">
        <f t="shared" si="594"/>
        <v>0</v>
      </c>
      <c r="EU177" s="82">
        <f t="shared" si="595"/>
        <v>0</v>
      </c>
      <c r="EV177" s="82">
        <f t="shared" si="596"/>
        <v>0</v>
      </c>
      <c r="EW177" s="82">
        <f t="shared" si="597"/>
        <v>0</v>
      </c>
      <c r="EX177" s="82">
        <f t="shared" si="598"/>
        <v>0</v>
      </c>
      <c r="EY177" s="111">
        <f t="shared" si="599"/>
        <v>0</v>
      </c>
      <c r="EZ177" s="143" t="e">
        <f t="shared" ca="1" si="600"/>
        <v>#N/A</v>
      </c>
      <c r="FA177" s="112" t="e">
        <f t="shared" ca="1" si="601"/>
        <v>#N/A</v>
      </c>
      <c r="FB177" s="113" t="e">
        <f t="shared" ca="1" si="602"/>
        <v>#N/A</v>
      </c>
      <c r="FC177" s="114" t="e">
        <f t="shared" ca="1" si="603"/>
        <v>#N/A</v>
      </c>
      <c r="FD177" s="115">
        <f t="shared" ca="1" si="604"/>
        <v>0</v>
      </c>
      <c r="FE177" s="116" t="e">
        <f t="shared" ca="1" si="605"/>
        <v>#N/A</v>
      </c>
      <c r="FF177" s="117" t="e">
        <f t="shared" ca="1" si="606"/>
        <v>#N/A</v>
      </c>
      <c r="FG177" s="71">
        <f t="shared" si="607"/>
        <v>0</v>
      </c>
      <c r="FH177" s="530" t="e">
        <f t="shared" ca="1" si="608"/>
        <v>#N/A</v>
      </c>
      <c r="FI177" s="72"/>
      <c r="FJ177" s="72"/>
      <c r="FK177" s="72"/>
      <c r="FM177" s="421">
        <f t="shared" si="609"/>
        <v>0</v>
      </c>
      <c r="FN177" s="422" t="e">
        <f t="shared" ca="1" si="610"/>
        <v>#N/A</v>
      </c>
      <c r="FO177" s="423">
        <f t="shared" ca="1" si="615"/>
        <v>0</v>
      </c>
      <c r="FP177" s="423">
        <f t="shared" ca="1" si="615"/>
        <v>0</v>
      </c>
      <c r="FQ177" s="423">
        <f t="shared" ca="1" si="615"/>
        <v>0</v>
      </c>
      <c r="FR177" s="423">
        <f t="shared" ca="1" si="615"/>
        <v>0</v>
      </c>
      <c r="FS177" s="423">
        <f t="shared" ca="1" si="615"/>
        <v>0</v>
      </c>
      <c r="FT177" s="423">
        <f t="shared" ca="1" si="615"/>
        <v>0</v>
      </c>
      <c r="FU177" s="423">
        <f t="shared" ca="1" si="615"/>
        <v>0</v>
      </c>
      <c r="FV177" s="423">
        <f t="shared" ca="1" si="615"/>
        <v>0</v>
      </c>
      <c r="FW177" s="423">
        <f t="shared" ca="1" si="615"/>
        <v>0</v>
      </c>
      <c r="FX177" s="423">
        <f t="shared" ca="1" si="615"/>
        <v>0</v>
      </c>
      <c r="FY177" s="423">
        <f t="shared" ca="1" si="615"/>
        <v>0</v>
      </c>
      <c r="FZ177" s="423">
        <f t="shared" ca="1" si="615"/>
        <v>0</v>
      </c>
      <c r="GA177" s="423">
        <f t="shared" ca="1" si="615"/>
        <v>0</v>
      </c>
      <c r="GB177" s="423">
        <f t="shared" ca="1" si="615"/>
        <v>0</v>
      </c>
      <c r="GC177" s="423">
        <f t="shared" ca="1" si="615"/>
        <v>0</v>
      </c>
      <c r="GD177" s="423">
        <f t="shared" ca="1" si="612"/>
        <v>0</v>
      </c>
      <c r="GE177" s="423">
        <f t="shared" ca="1" si="612"/>
        <v>0</v>
      </c>
      <c r="GF177" s="423">
        <f t="shared" ca="1" si="612"/>
        <v>0</v>
      </c>
      <c r="GG177" s="423">
        <f t="shared" ca="1" si="612"/>
        <v>0</v>
      </c>
      <c r="GH177" s="423">
        <f t="shared" ca="1" si="612"/>
        <v>0</v>
      </c>
      <c r="GI177" s="423">
        <f t="shared" ca="1" si="612"/>
        <v>0</v>
      </c>
      <c r="GJ177" s="423">
        <f t="shared" ca="1" si="612"/>
        <v>0</v>
      </c>
      <c r="GK177" s="423">
        <f t="shared" ca="1" si="612"/>
        <v>0</v>
      </c>
      <c r="GL177" s="423">
        <f t="shared" ca="1" si="612"/>
        <v>0</v>
      </c>
      <c r="GM177" s="423">
        <f t="shared" ca="1" si="612"/>
        <v>0</v>
      </c>
      <c r="GN177" s="423">
        <f t="shared" ca="1" si="612"/>
        <v>0</v>
      </c>
      <c r="GO177" s="423">
        <f t="shared" ca="1" si="612"/>
        <v>0</v>
      </c>
      <c r="GP177" s="423">
        <f t="shared" ca="1" si="612"/>
        <v>0</v>
      </c>
      <c r="GQ177" s="423">
        <f t="shared" ca="1" si="612"/>
        <v>0</v>
      </c>
      <c r="GR177" s="423">
        <f t="shared" ca="1" si="612"/>
        <v>0</v>
      </c>
      <c r="GS177" s="423">
        <f t="shared" ca="1" si="612"/>
        <v>0</v>
      </c>
      <c r="GT177" s="423">
        <f t="shared" ca="1" si="613"/>
        <v>0</v>
      </c>
      <c r="GU177" s="423">
        <f t="shared" ca="1" si="611"/>
        <v>0</v>
      </c>
      <c r="GV177" s="423">
        <f t="shared" ca="1" si="611"/>
        <v>0</v>
      </c>
      <c r="GW177" s="423">
        <f t="shared" ca="1" si="611"/>
        <v>0</v>
      </c>
      <c r="GX177" s="423">
        <f t="shared" ca="1" si="611"/>
        <v>0</v>
      </c>
      <c r="GY177" s="423">
        <f t="shared" ca="1" si="611"/>
        <v>0</v>
      </c>
      <c r="GZ177" s="423">
        <f t="shared" ca="1" si="611"/>
        <v>0</v>
      </c>
      <c r="HA177" s="423">
        <f t="shared" ca="1" si="611"/>
        <v>0</v>
      </c>
      <c r="HB177" s="423">
        <f t="shared" ca="1" si="611"/>
        <v>0</v>
      </c>
      <c r="HC177" s="423">
        <f t="shared" ca="1" si="611"/>
        <v>0</v>
      </c>
      <c r="HD177" s="423">
        <f t="shared" ca="1" si="611"/>
        <v>0</v>
      </c>
      <c r="HE177" s="423">
        <f t="shared" ca="1" si="611"/>
        <v>0</v>
      </c>
      <c r="HF177" s="423">
        <f t="shared" ca="1" si="611"/>
        <v>0</v>
      </c>
      <c r="HG177" s="423">
        <f t="shared" ca="1" si="611"/>
        <v>0</v>
      </c>
      <c r="HH177" s="423">
        <f t="shared" ca="1" si="611"/>
        <v>0</v>
      </c>
      <c r="HI177" s="423">
        <f t="shared" ca="1" si="611"/>
        <v>0</v>
      </c>
      <c r="HJ177" s="423">
        <f t="shared" ca="1" si="611"/>
        <v>0</v>
      </c>
      <c r="HK177" s="423">
        <f t="shared" ca="1" si="614"/>
        <v>0</v>
      </c>
      <c r="HL177" s="423">
        <f t="shared" ca="1" si="614"/>
        <v>0</v>
      </c>
      <c r="HM177" s="423">
        <f t="shared" ca="1" si="614"/>
        <v>0</v>
      </c>
      <c r="HN177" s="423">
        <f t="shared" ca="1" si="614"/>
        <v>0</v>
      </c>
      <c r="HO177" s="423">
        <f t="shared" ca="1" si="614"/>
        <v>0</v>
      </c>
      <c r="HP177" s="423">
        <f t="shared" ca="1" si="614"/>
        <v>0</v>
      </c>
      <c r="HQ177" s="423">
        <f t="shared" ca="1" si="614"/>
        <v>0</v>
      </c>
      <c r="HR177" s="423">
        <f t="shared" ca="1" si="614"/>
        <v>0</v>
      </c>
      <c r="HS177" s="423">
        <f t="shared" ca="1" si="614"/>
        <v>0</v>
      </c>
      <c r="HT177" s="423">
        <f t="shared" ca="1" si="614"/>
        <v>0</v>
      </c>
    </row>
    <row r="178" spans="1:228" x14ac:dyDescent="0.2">
      <c r="A178" s="62">
        <f t="shared" si="516"/>
        <v>167</v>
      </c>
      <c r="B178" s="60">
        <f>Spaces_Sum!C223</f>
        <v>0</v>
      </c>
      <c r="C178" s="62" t="str">
        <f>Spaces_Sum!D223</f>
        <v>0</v>
      </c>
      <c r="D178" s="62" t="e">
        <f ca="1">Spaces_Sum!I223</f>
        <v>#N/A</v>
      </c>
      <c r="F178" s="110" t="e">
        <f ca="1">Spaces_Sum!M223</f>
        <v>#N/A</v>
      </c>
      <c r="G178" s="110" t="e">
        <f ca="1">Spaces_Sum!J223</f>
        <v>#N/A</v>
      </c>
      <c r="H178" s="532"/>
      <c r="I178" s="185"/>
      <c r="J178" s="185"/>
      <c r="K178" s="186"/>
      <c r="L178" s="187"/>
      <c r="M178" s="188"/>
      <c r="N178" s="189"/>
      <c r="O178" s="186"/>
      <c r="P178" s="187"/>
      <c r="Q178" s="188"/>
      <c r="R178" s="189"/>
      <c r="S178" s="186"/>
      <c r="T178" s="187"/>
      <c r="U178" s="188"/>
      <c r="V178" s="189"/>
      <c r="W178" s="186"/>
      <c r="X178" s="187"/>
      <c r="Y178" s="188"/>
      <c r="Z178" s="189"/>
      <c r="AA178" s="186"/>
      <c r="AB178" s="187"/>
      <c r="AC178" s="188"/>
      <c r="AD178" s="189"/>
      <c r="AE178" s="186"/>
      <c r="AF178" s="187"/>
      <c r="AG178" s="188"/>
      <c r="AH178" s="189"/>
      <c r="AI178" s="186"/>
      <c r="AJ178" s="187"/>
      <c r="AK178" s="188"/>
      <c r="AL178" s="189"/>
      <c r="AM178" s="186"/>
      <c r="AN178" s="187"/>
      <c r="AO178" s="188"/>
      <c r="AP178" s="189"/>
      <c r="AQ178" s="186"/>
      <c r="AR178" s="187"/>
      <c r="AS178" s="188"/>
      <c r="AT178" s="189"/>
      <c r="AU178" s="186"/>
      <c r="AV178" s="187"/>
      <c r="AW178" s="188"/>
      <c r="AX178" s="189"/>
      <c r="AY178" s="186"/>
      <c r="AZ178" s="187"/>
      <c r="BA178" s="188"/>
      <c r="BB178" s="189"/>
      <c r="BC178" s="186"/>
      <c r="BD178" s="187"/>
      <c r="BE178" s="188"/>
      <c r="BF178" s="189"/>
      <c r="BG178" s="186"/>
      <c r="BH178" s="187"/>
      <c r="BI178" s="188"/>
      <c r="BJ178" s="189"/>
      <c r="BK178" s="186"/>
      <c r="BL178" s="187"/>
      <c r="BM178" s="188"/>
      <c r="BN178" s="189"/>
      <c r="BO178" s="186"/>
      <c r="BP178" s="187"/>
      <c r="BQ178" s="188"/>
      <c r="BR178" s="189"/>
      <c r="BS178" s="186"/>
      <c r="BT178" s="187"/>
      <c r="BU178" s="188"/>
      <c r="BV178" s="189"/>
      <c r="BW178" s="186"/>
      <c r="BX178" s="187"/>
      <c r="BY178" s="188"/>
      <c r="BZ178" s="189"/>
      <c r="CA178" s="186"/>
      <c r="CB178" s="190"/>
      <c r="CC178" s="190"/>
      <c r="CD178" s="82">
        <f t="shared" si="526"/>
        <v>0</v>
      </c>
      <c r="CE178" s="82">
        <f t="shared" si="527"/>
        <v>0</v>
      </c>
      <c r="CF178" s="82">
        <f t="shared" si="528"/>
        <v>0</v>
      </c>
      <c r="CG178" s="82">
        <f t="shared" si="529"/>
        <v>0</v>
      </c>
      <c r="CH178" s="82">
        <f t="shared" si="530"/>
        <v>0</v>
      </c>
      <c r="CI178" s="82">
        <f t="shared" si="531"/>
        <v>0</v>
      </c>
      <c r="CJ178" s="82">
        <f t="shared" si="532"/>
        <v>0</v>
      </c>
      <c r="CK178" s="82">
        <f t="shared" si="533"/>
        <v>0</v>
      </c>
      <c r="CL178" s="82">
        <f t="shared" si="534"/>
        <v>0</v>
      </c>
      <c r="CM178" s="82">
        <f t="shared" si="535"/>
        <v>0</v>
      </c>
      <c r="CN178" s="82">
        <f t="shared" si="536"/>
        <v>0</v>
      </c>
      <c r="CO178" s="82">
        <f t="shared" si="537"/>
        <v>0</v>
      </c>
      <c r="CP178" s="82">
        <f t="shared" si="538"/>
        <v>0</v>
      </c>
      <c r="CQ178" s="82">
        <f t="shared" si="539"/>
        <v>0</v>
      </c>
      <c r="CR178" s="82">
        <f t="shared" si="540"/>
        <v>0</v>
      </c>
      <c r="CS178" s="82">
        <f t="shared" si="541"/>
        <v>0</v>
      </c>
      <c r="CT178" s="82">
        <f t="shared" si="542"/>
        <v>0</v>
      </c>
      <c r="CU178" s="82">
        <f t="shared" si="543"/>
        <v>0</v>
      </c>
      <c r="CV178" s="82">
        <f t="shared" si="544"/>
        <v>0</v>
      </c>
      <c r="CW178" s="82">
        <f t="shared" si="545"/>
        <v>0</v>
      </c>
      <c r="CX178" s="82">
        <f t="shared" si="546"/>
        <v>0</v>
      </c>
      <c r="CY178" s="82">
        <f t="shared" si="547"/>
        <v>0</v>
      </c>
      <c r="CZ178" s="82">
        <f t="shared" si="548"/>
        <v>0</v>
      </c>
      <c r="DA178" s="82">
        <f t="shared" si="549"/>
        <v>0</v>
      </c>
      <c r="DB178" s="82">
        <f t="shared" si="550"/>
        <v>0</v>
      </c>
      <c r="DC178" s="82">
        <f t="shared" si="551"/>
        <v>0</v>
      </c>
      <c r="DD178" s="82">
        <f t="shared" si="552"/>
        <v>0</v>
      </c>
      <c r="DE178" s="82">
        <f t="shared" si="553"/>
        <v>0</v>
      </c>
      <c r="DF178" s="82">
        <f t="shared" si="554"/>
        <v>0</v>
      </c>
      <c r="DG178" s="82">
        <f t="shared" si="555"/>
        <v>0</v>
      </c>
      <c r="DH178" s="82">
        <f t="shared" si="556"/>
        <v>0</v>
      </c>
      <c r="DI178" s="82">
        <f t="shared" si="557"/>
        <v>0</v>
      </c>
      <c r="DJ178" s="82">
        <f t="shared" si="558"/>
        <v>0</v>
      </c>
      <c r="DK178" s="82">
        <f t="shared" si="559"/>
        <v>0</v>
      </c>
      <c r="DL178" s="82">
        <f t="shared" si="560"/>
        <v>0</v>
      </c>
      <c r="DM178" s="82">
        <f t="shared" si="561"/>
        <v>0</v>
      </c>
      <c r="DN178" s="82">
        <f t="shared" si="562"/>
        <v>0</v>
      </c>
      <c r="DO178" s="82">
        <f t="shared" si="563"/>
        <v>0</v>
      </c>
      <c r="DP178" s="82">
        <f t="shared" si="564"/>
        <v>0</v>
      </c>
      <c r="DQ178" s="82">
        <f t="shared" si="565"/>
        <v>0</v>
      </c>
      <c r="DR178" s="82">
        <f t="shared" si="566"/>
        <v>0</v>
      </c>
      <c r="DS178" s="82">
        <f t="shared" si="567"/>
        <v>0</v>
      </c>
      <c r="DT178" s="82">
        <f t="shared" si="568"/>
        <v>0</v>
      </c>
      <c r="DU178" s="82">
        <f t="shared" si="569"/>
        <v>0</v>
      </c>
      <c r="DV178" s="82">
        <f t="shared" si="570"/>
        <v>0</v>
      </c>
      <c r="DW178" s="82">
        <f t="shared" si="571"/>
        <v>0</v>
      </c>
      <c r="DX178" s="82">
        <f t="shared" si="572"/>
        <v>0</v>
      </c>
      <c r="DY178" s="82">
        <f t="shared" si="573"/>
        <v>0</v>
      </c>
      <c r="DZ178" s="82">
        <f t="shared" si="574"/>
        <v>0</v>
      </c>
      <c r="EA178" s="82">
        <f t="shared" si="575"/>
        <v>0</v>
      </c>
      <c r="EB178" s="82">
        <f t="shared" si="576"/>
        <v>0</v>
      </c>
      <c r="EC178" s="82">
        <f t="shared" si="577"/>
        <v>0</v>
      </c>
      <c r="ED178" s="82">
        <f t="shared" si="578"/>
        <v>0</v>
      </c>
      <c r="EE178" s="82">
        <f t="shared" si="579"/>
        <v>0</v>
      </c>
      <c r="EF178" s="82">
        <f t="shared" si="580"/>
        <v>0</v>
      </c>
      <c r="EG178" s="82">
        <f t="shared" si="581"/>
        <v>0</v>
      </c>
      <c r="EH178" s="82">
        <f t="shared" si="582"/>
        <v>0</v>
      </c>
      <c r="EI178" s="82">
        <f t="shared" si="583"/>
        <v>0</v>
      </c>
      <c r="EJ178" s="82">
        <f t="shared" si="584"/>
        <v>0</v>
      </c>
      <c r="EK178" s="82">
        <f t="shared" si="585"/>
        <v>0</v>
      </c>
      <c r="EL178" s="82">
        <f t="shared" si="586"/>
        <v>0</v>
      </c>
      <c r="EM178" s="82">
        <f t="shared" si="587"/>
        <v>0</v>
      </c>
      <c r="EN178" s="82">
        <f t="shared" si="588"/>
        <v>0</v>
      </c>
      <c r="EO178" s="82">
        <f t="shared" si="589"/>
        <v>0</v>
      </c>
      <c r="EP178" s="82">
        <f t="shared" si="590"/>
        <v>0</v>
      </c>
      <c r="EQ178" s="82">
        <f t="shared" si="591"/>
        <v>0</v>
      </c>
      <c r="ER178" s="82">
        <f t="shared" si="592"/>
        <v>0</v>
      </c>
      <c r="ES178" s="82">
        <f t="shared" si="593"/>
        <v>0</v>
      </c>
      <c r="ET178" s="82">
        <f t="shared" si="594"/>
        <v>0</v>
      </c>
      <c r="EU178" s="82">
        <f t="shared" si="595"/>
        <v>0</v>
      </c>
      <c r="EV178" s="82">
        <f t="shared" si="596"/>
        <v>0</v>
      </c>
      <c r="EW178" s="82">
        <f t="shared" si="597"/>
        <v>0</v>
      </c>
      <c r="EX178" s="82">
        <f t="shared" si="598"/>
        <v>0</v>
      </c>
      <c r="EY178" s="111">
        <f t="shared" si="599"/>
        <v>0</v>
      </c>
      <c r="EZ178" s="143" t="e">
        <f t="shared" ca="1" si="600"/>
        <v>#N/A</v>
      </c>
      <c r="FA178" s="112" t="e">
        <f t="shared" ca="1" si="601"/>
        <v>#N/A</v>
      </c>
      <c r="FB178" s="113" t="e">
        <f t="shared" ca="1" si="602"/>
        <v>#N/A</v>
      </c>
      <c r="FC178" s="114" t="e">
        <f t="shared" ca="1" si="603"/>
        <v>#N/A</v>
      </c>
      <c r="FD178" s="115">
        <f t="shared" ca="1" si="604"/>
        <v>0</v>
      </c>
      <c r="FE178" s="116" t="e">
        <f t="shared" ca="1" si="605"/>
        <v>#N/A</v>
      </c>
      <c r="FF178" s="117" t="e">
        <f t="shared" ca="1" si="606"/>
        <v>#N/A</v>
      </c>
      <c r="FG178" s="71">
        <f t="shared" si="607"/>
        <v>0</v>
      </c>
      <c r="FH178" s="530" t="e">
        <f t="shared" ca="1" si="608"/>
        <v>#N/A</v>
      </c>
      <c r="FI178" s="72"/>
      <c r="FJ178" s="72"/>
      <c r="FK178" s="72"/>
      <c r="FM178" s="421">
        <f t="shared" si="609"/>
        <v>0</v>
      </c>
      <c r="FN178" s="422" t="e">
        <f t="shared" ca="1" si="610"/>
        <v>#N/A</v>
      </c>
      <c r="FO178" s="423">
        <f t="shared" ca="1" si="615"/>
        <v>0</v>
      </c>
      <c r="FP178" s="423">
        <f t="shared" ca="1" si="615"/>
        <v>0</v>
      </c>
      <c r="FQ178" s="423">
        <f t="shared" ca="1" si="615"/>
        <v>0</v>
      </c>
      <c r="FR178" s="423">
        <f t="shared" ca="1" si="615"/>
        <v>0</v>
      </c>
      <c r="FS178" s="423">
        <f t="shared" ca="1" si="615"/>
        <v>0</v>
      </c>
      <c r="FT178" s="423">
        <f t="shared" ca="1" si="615"/>
        <v>0</v>
      </c>
      <c r="FU178" s="423">
        <f t="shared" ca="1" si="615"/>
        <v>0</v>
      </c>
      <c r="FV178" s="423">
        <f t="shared" ca="1" si="615"/>
        <v>0</v>
      </c>
      <c r="FW178" s="423">
        <f t="shared" ca="1" si="615"/>
        <v>0</v>
      </c>
      <c r="FX178" s="423">
        <f t="shared" ca="1" si="615"/>
        <v>0</v>
      </c>
      <c r="FY178" s="423">
        <f t="shared" ca="1" si="615"/>
        <v>0</v>
      </c>
      <c r="FZ178" s="423">
        <f t="shared" ca="1" si="615"/>
        <v>0</v>
      </c>
      <c r="GA178" s="423">
        <f t="shared" ca="1" si="615"/>
        <v>0</v>
      </c>
      <c r="GB178" s="423">
        <f t="shared" ca="1" si="615"/>
        <v>0</v>
      </c>
      <c r="GC178" s="423">
        <f t="shared" ca="1" si="615"/>
        <v>0</v>
      </c>
      <c r="GD178" s="423">
        <f t="shared" ca="1" si="612"/>
        <v>0</v>
      </c>
      <c r="GE178" s="423">
        <f t="shared" ca="1" si="612"/>
        <v>0</v>
      </c>
      <c r="GF178" s="423">
        <f t="shared" ca="1" si="612"/>
        <v>0</v>
      </c>
      <c r="GG178" s="423">
        <f t="shared" ca="1" si="612"/>
        <v>0</v>
      </c>
      <c r="GH178" s="423">
        <f t="shared" ca="1" si="612"/>
        <v>0</v>
      </c>
      <c r="GI178" s="423">
        <f t="shared" ca="1" si="612"/>
        <v>0</v>
      </c>
      <c r="GJ178" s="423">
        <f t="shared" ca="1" si="612"/>
        <v>0</v>
      </c>
      <c r="GK178" s="423">
        <f t="shared" ca="1" si="612"/>
        <v>0</v>
      </c>
      <c r="GL178" s="423">
        <f t="shared" ca="1" si="612"/>
        <v>0</v>
      </c>
      <c r="GM178" s="423">
        <f t="shared" ca="1" si="612"/>
        <v>0</v>
      </c>
      <c r="GN178" s="423">
        <f t="shared" ca="1" si="612"/>
        <v>0</v>
      </c>
      <c r="GO178" s="423">
        <f t="shared" ca="1" si="612"/>
        <v>0</v>
      </c>
      <c r="GP178" s="423">
        <f t="shared" ca="1" si="612"/>
        <v>0</v>
      </c>
      <c r="GQ178" s="423">
        <f t="shared" ca="1" si="612"/>
        <v>0</v>
      </c>
      <c r="GR178" s="423">
        <f t="shared" ca="1" si="612"/>
        <v>0</v>
      </c>
      <c r="GS178" s="423">
        <f t="shared" ca="1" si="612"/>
        <v>0</v>
      </c>
      <c r="GT178" s="423">
        <f t="shared" ca="1" si="613"/>
        <v>0</v>
      </c>
      <c r="GU178" s="423">
        <f t="shared" ca="1" si="611"/>
        <v>0</v>
      </c>
      <c r="GV178" s="423">
        <f t="shared" ca="1" si="611"/>
        <v>0</v>
      </c>
      <c r="GW178" s="423">
        <f t="shared" ca="1" si="611"/>
        <v>0</v>
      </c>
      <c r="GX178" s="423">
        <f t="shared" ca="1" si="611"/>
        <v>0</v>
      </c>
      <c r="GY178" s="423">
        <f t="shared" ca="1" si="611"/>
        <v>0</v>
      </c>
      <c r="GZ178" s="423">
        <f t="shared" ca="1" si="611"/>
        <v>0</v>
      </c>
      <c r="HA178" s="423">
        <f t="shared" ca="1" si="611"/>
        <v>0</v>
      </c>
      <c r="HB178" s="423">
        <f t="shared" ca="1" si="611"/>
        <v>0</v>
      </c>
      <c r="HC178" s="423">
        <f t="shared" ca="1" si="611"/>
        <v>0</v>
      </c>
      <c r="HD178" s="423">
        <f t="shared" ca="1" si="611"/>
        <v>0</v>
      </c>
      <c r="HE178" s="423">
        <f t="shared" ca="1" si="611"/>
        <v>0</v>
      </c>
      <c r="HF178" s="423">
        <f t="shared" ca="1" si="611"/>
        <v>0</v>
      </c>
      <c r="HG178" s="423">
        <f t="shared" ca="1" si="611"/>
        <v>0</v>
      </c>
      <c r="HH178" s="423">
        <f t="shared" ca="1" si="611"/>
        <v>0</v>
      </c>
      <c r="HI178" s="423">
        <f t="shared" ca="1" si="611"/>
        <v>0</v>
      </c>
      <c r="HJ178" s="423">
        <f t="shared" ca="1" si="611"/>
        <v>0</v>
      </c>
      <c r="HK178" s="423">
        <f t="shared" ca="1" si="614"/>
        <v>0</v>
      </c>
      <c r="HL178" s="423">
        <f t="shared" ca="1" si="614"/>
        <v>0</v>
      </c>
      <c r="HM178" s="423">
        <f t="shared" ca="1" si="614"/>
        <v>0</v>
      </c>
      <c r="HN178" s="423">
        <f t="shared" ca="1" si="614"/>
        <v>0</v>
      </c>
      <c r="HO178" s="423">
        <f t="shared" ca="1" si="614"/>
        <v>0</v>
      </c>
      <c r="HP178" s="423">
        <f t="shared" ca="1" si="614"/>
        <v>0</v>
      </c>
      <c r="HQ178" s="423">
        <f t="shared" ca="1" si="614"/>
        <v>0</v>
      </c>
      <c r="HR178" s="423">
        <f t="shared" ca="1" si="614"/>
        <v>0</v>
      </c>
      <c r="HS178" s="423">
        <f t="shared" ca="1" si="614"/>
        <v>0</v>
      </c>
      <c r="HT178" s="423">
        <f t="shared" ca="1" si="614"/>
        <v>0</v>
      </c>
    </row>
    <row r="179" spans="1:228" x14ac:dyDescent="0.2">
      <c r="A179" s="62">
        <f t="shared" si="516"/>
        <v>168</v>
      </c>
      <c r="B179" s="60">
        <f>Spaces_Sum!C224</f>
        <v>0</v>
      </c>
      <c r="C179" s="62" t="str">
        <f>Spaces_Sum!D224</f>
        <v>0</v>
      </c>
      <c r="D179" s="62" t="e">
        <f ca="1">Spaces_Sum!I224</f>
        <v>#N/A</v>
      </c>
      <c r="F179" s="110" t="e">
        <f ca="1">Spaces_Sum!M224</f>
        <v>#N/A</v>
      </c>
      <c r="G179" s="110" t="e">
        <f ca="1">Spaces_Sum!J224</f>
        <v>#N/A</v>
      </c>
      <c r="H179" s="532"/>
      <c r="I179" s="185"/>
      <c r="J179" s="185"/>
      <c r="K179" s="186"/>
      <c r="L179" s="187"/>
      <c r="M179" s="188"/>
      <c r="N179" s="189"/>
      <c r="O179" s="186"/>
      <c r="P179" s="187"/>
      <c r="Q179" s="188"/>
      <c r="R179" s="189"/>
      <c r="S179" s="186"/>
      <c r="T179" s="187"/>
      <c r="U179" s="188"/>
      <c r="V179" s="189"/>
      <c r="W179" s="186"/>
      <c r="X179" s="187"/>
      <c r="Y179" s="188"/>
      <c r="Z179" s="189"/>
      <c r="AA179" s="186"/>
      <c r="AB179" s="187"/>
      <c r="AC179" s="188"/>
      <c r="AD179" s="189"/>
      <c r="AE179" s="186"/>
      <c r="AF179" s="187"/>
      <c r="AG179" s="188"/>
      <c r="AH179" s="189"/>
      <c r="AI179" s="186"/>
      <c r="AJ179" s="187"/>
      <c r="AK179" s="188"/>
      <c r="AL179" s="189"/>
      <c r="AM179" s="186"/>
      <c r="AN179" s="187"/>
      <c r="AO179" s="188"/>
      <c r="AP179" s="189"/>
      <c r="AQ179" s="186"/>
      <c r="AR179" s="187"/>
      <c r="AS179" s="188"/>
      <c r="AT179" s="189"/>
      <c r="AU179" s="186"/>
      <c r="AV179" s="187"/>
      <c r="AW179" s="188"/>
      <c r="AX179" s="189"/>
      <c r="AY179" s="186"/>
      <c r="AZ179" s="187"/>
      <c r="BA179" s="188"/>
      <c r="BB179" s="189"/>
      <c r="BC179" s="186"/>
      <c r="BD179" s="187"/>
      <c r="BE179" s="188"/>
      <c r="BF179" s="189"/>
      <c r="BG179" s="186"/>
      <c r="BH179" s="187"/>
      <c r="BI179" s="188"/>
      <c r="BJ179" s="189"/>
      <c r="BK179" s="186"/>
      <c r="BL179" s="187"/>
      <c r="BM179" s="188"/>
      <c r="BN179" s="189"/>
      <c r="BO179" s="186"/>
      <c r="BP179" s="187"/>
      <c r="BQ179" s="188"/>
      <c r="BR179" s="189"/>
      <c r="BS179" s="186"/>
      <c r="BT179" s="187"/>
      <c r="BU179" s="188"/>
      <c r="BV179" s="189"/>
      <c r="BW179" s="186"/>
      <c r="BX179" s="187"/>
      <c r="BY179" s="188"/>
      <c r="BZ179" s="189"/>
      <c r="CA179" s="186"/>
      <c r="CB179" s="190"/>
      <c r="CC179" s="190"/>
      <c r="CD179" s="82">
        <f t="shared" si="526"/>
        <v>0</v>
      </c>
      <c r="CE179" s="82">
        <f t="shared" si="527"/>
        <v>0</v>
      </c>
      <c r="CF179" s="82">
        <f t="shared" si="528"/>
        <v>0</v>
      </c>
      <c r="CG179" s="82">
        <f t="shared" si="529"/>
        <v>0</v>
      </c>
      <c r="CH179" s="82">
        <f t="shared" si="530"/>
        <v>0</v>
      </c>
      <c r="CI179" s="82">
        <f t="shared" si="531"/>
        <v>0</v>
      </c>
      <c r="CJ179" s="82">
        <f t="shared" si="532"/>
        <v>0</v>
      </c>
      <c r="CK179" s="82">
        <f t="shared" si="533"/>
        <v>0</v>
      </c>
      <c r="CL179" s="82">
        <f t="shared" si="534"/>
        <v>0</v>
      </c>
      <c r="CM179" s="82">
        <f t="shared" si="535"/>
        <v>0</v>
      </c>
      <c r="CN179" s="82">
        <f t="shared" si="536"/>
        <v>0</v>
      </c>
      <c r="CO179" s="82">
        <f t="shared" si="537"/>
        <v>0</v>
      </c>
      <c r="CP179" s="82">
        <f t="shared" si="538"/>
        <v>0</v>
      </c>
      <c r="CQ179" s="82">
        <f t="shared" si="539"/>
        <v>0</v>
      </c>
      <c r="CR179" s="82">
        <f t="shared" si="540"/>
        <v>0</v>
      </c>
      <c r="CS179" s="82">
        <f t="shared" si="541"/>
        <v>0</v>
      </c>
      <c r="CT179" s="82">
        <f t="shared" si="542"/>
        <v>0</v>
      </c>
      <c r="CU179" s="82">
        <f t="shared" si="543"/>
        <v>0</v>
      </c>
      <c r="CV179" s="82">
        <f t="shared" si="544"/>
        <v>0</v>
      </c>
      <c r="CW179" s="82">
        <f t="shared" si="545"/>
        <v>0</v>
      </c>
      <c r="CX179" s="82">
        <f t="shared" si="546"/>
        <v>0</v>
      </c>
      <c r="CY179" s="82">
        <f t="shared" si="547"/>
        <v>0</v>
      </c>
      <c r="CZ179" s="82">
        <f t="shared" si="548"/>
        <v>0</v>
      </c>
      <c r="DA179" s="82">
        <f t="shared" si="549"/>
        <v>0</v>
      </c>
      <c r="DB179" s="82">
        <f t="shared" si="550"/>
        <v>0</v>
      </c>
      <c r="DC179" s="82">
        <f t="shared" si="551"/>
        <v>0</v>
      </c>
      <c r="DD179" s="82">
        <f t="shared" si="552"/>
        <v>0</v>
      </c>
      <c r="DE179" s="82">
        <f t="shared" si="553"/>
        <v>0</v>
      </c>
      <c r="DF179" s="82">
        <f t="shared" si="554"/>
        <v>0</v>
      </c>
      <c r="DG179" s="82">
        <f t="shared" si="555"/>
        <v>0</v>
      </c>
      <c r="DH179" s="82">
        <f t="shared" si="556"/>
        <v>0</v>
      </c>
      <c r="DI179" s="82">
        <f t="shared" si="557"/>
        <v>0</v>
      </c>
      <c r="DJ179" s="82">
        <f t="shared" si="558"/>
        <v>0</v>
      </c>
      <c r="DK179" s="82">
        <f t="shared" si="559"/>
        <v>0</v>
      </c>
      <c r="DL179" s="82">
        <f t="shared" si="560"/>
        <v>0</v>
      </c>
      <c r="DM179" s="82">
        <f t="shared" si="561"/>
        <v>0</v>
      </c>
      <c r="DN179" s="82">
        <f t="shared" si="562"/>
        <v>0</v>
      </c>
      <c r="DO179" s="82">
        <f t="shared" si="563"/>
        <v>0</v>
      </c>
      <c r="DP179" s="82">
        <f t="shared" si="564"/>
        <v>0</v>
      </c>
      <c r="DQ179" s="82">
        <f t="shared" si="565"/>
        <v>0</v>
      </c>
      <c r="DR179" s="82">
        <f t="shared" si="566"/>
        <v>0</v>
      </c>
      <c r="DS179" s="82">
        <f t="shared" si="567"/>
        <v>0</v>
      </c>
      <c r="DT179" s="82">
        <f t="shared" si="568"/>
        <v>0</v>
      </c>
      <c r="DU179" s="82">
        <f t="shared" si="569"/>
        <v>0</v>
      </c>
      <c r="DV179" s="82">
        <f t="shared" si="570"/>
        <v>0</v>
      </c>
      <c r="DW179" s="82">
        <f t="shared" si="571"/>
        <v>0</v>
      </c>
      <c r="DX179" s="82">
        <f t="shared" si="572"/>
        <v>0</v>
      </c>
      <c r="DY179" s="82">
        <f t="shared" si="573"/>
        <v>0</v>
      </c>
      <c r="DZ179" s="82">
        <f t="shared" si="574"/>
        <v>0</v>
      </c>
      <c r="EA179" s="82">
        <f t="shared" si="575"/>
        <v>0</v>
      </c>
      <c r="EB179" s="82">
        <f t="shared" si="576"/>
        <v>0</v>
      </c>
      <c r="EC179" s="82">
        <f t="shared" si="577"/>
        <v>0</v>
      </c>
      <c r="ED179" s="82">
        <f t="shared" si="578"/>
        <v>0</v>
      </c>
      <c r="EE179" s="82">
        <f t="shared" si="579"/>
        <v>0</v>
      </c>
      <c r="EF179" s="82">
        <f t="shared" si="580"/>
        <v>0</v>
      </c>
      <c r="EG179" s="82">
        <f t="shared" si="581"/>
        <v>0</v>
      </c>
      <c r="EH179" s="82">
        <f t="shared" si="582"/>
        <v>0</v>
      </c>
      <c r="EI179" s="82">
        <f t="shared" si="583"/>
        <v>0</v>
      </c>
      <c r="EJ179" s="82">
        <f t="shared" si="584"/>
        <v>0</v>
      </c>
      <c r="EK179" s="82">
        <f t="shared" si="585"/>
        <v>0</v>
      </c>
      <c r="EL179" s="82">
        <f t="shared" si="586"/>
        <v>0</v>
      </c>
      <c r="EM179" s="82">
        <f t="shared" si="587"/>
        <v>0</v>
      </c>
      <c r="EN179" s="82">
        <f t="shared" si="588"/>
        <v>0</v>
      </c>
      <c r="EO179" s="82">
        <f t="shared" si="589"/>
        <v>0</v>
      </c>
      <c r="EP179" s="82">
        <f t="shared" si="590"/>
        <v>0</v>
      </c>
      <c r="EQ179" s="82">
        <f t="shared" si="591"/>
        <v>0</v>
      </c>
      <c r="ER179" s="82">
        <f t="shared" si="592"/>
        <v>0</v>
      </c>
      <c r="ES179" s="82">
        <f t="shared" si="593"/>
        <v>0</v>
      </c>
      <c r="ET179" s="82">
        <f t="shared" si="594"/>
        <v>0</v>
      </c>
      <c r="EU179" s="82">
        <f t="shared" si="595"/>
        <v>0</v>
      </c>
      <c r="EV179" s="82">
        <f t="shared" si="596"/>
        <v>0</v>
      </c>
      <c r="EW179" s="82">
        <f t="shared" si="597"/>
        <v>0</v>
      </c>
      <c r="EX179" s="82">
        <f t="shared" si="598"/>
        <v>0</v>
      </c>
      <c r="EY179" s="111">
        <f t="shared" si="599"/>
        <v>0</v>
      </c>
      <c r="EZ179" s="143" t="e">
        <f t="shared" ca="1" si="600"/>
        <v>#N/A</v>
      </c>
      <c r="FA179" s="112" t="e">
        <f t="shared" ca="1" si="601"/>
        <v>#N/A</v>
      </c>
      <c r="FB179" s="113" t="e">
        <f t="shared" ca="1" si="602"/>
        <v>#N/A</v>
      </c>
      <c r="FC179" s="114" t="e">
        <f t="shared" ca="1" si="603"/>
        <v>#N/A</v>
      </c>
      <c r="FD179" s="115">
        <f t="shared" ca="1" si="604"/>
        <v>0</v>
      </c>
      <c r="FE179" s="116" t="e">
        <f t="shared" ca="1" si="605"/>
        <v>#N/A</v>
      </c>
      <c r="FF179" s="117" t="e">
        <f t="shared" ca="1" si="606"/>
        <v>#N/A</v>
      </c>
      <c r="FG179" s="71">
        <f t="shared" si="607"/>
        <v>0</v>
      </c>
      <c r="FH179" s="530" t="e">
        <f t="shared" ca="1" si="608"/>
        <v>#N/A</v>
      </c>
      <c r="FI179" s="72"/>
      <c r="FJ179" s="72"/>
      <c r="FK179" s="72"/>
      <c r="FM179" s="421">
        <f t="shared" si="609"/>
        <v>0</v>
      </c>
      <c r="FN179" s="422" t="e">
        <f t="shared" ca="1" si="610"/>
        <v>#N/A</v>
      </c>
      <c r="FO179" s="423">
        <f t="shared" ca="1" si="615"/>
        <v>0</v>
      </c>
      <c r="FP179" s="423">
        <f t="shared" ca="1" si="615"/>
        <v>0</v>
      </c>
      <c r="FQ179" s="423">
        <f t="shared" ca="1" si="615"/>
        <v>0</v>
      </c>
      <c r="FR179" s="423">
        <f t="shared" ca="1" si="615"/>
        <v>0</v>
      </c>
      <c r="FS179" s="423">
        <f t="shared" ca="1" si="615"/>
        <v>0</v>
      </c>
      <c r="FT179" s="423">
        <f t="shared" ca="1" si="615"/>
        <v>0</v>
      </c>
      <c r="FU179" s="423">
        <f t="shared" ca="1" si="615"/>
        <v>0</v>
      </c>
      <c r="FV179" s="423">
        <f t="shared" ca="1" si="615"/>
        <v>0</v>
      </c>
      <c r="FW179" s="423">
        <f t="shared" ca="1" si="615"/>
        <v>0</v>
      </c>
      <c r="FX179" s="423">
        <f t="shared" ca="1" si="615"/>
        <v>0</v>
      </c>
      <c r="FY179" s="423">
        <f t="shared" ca="1" si="615"/>
        <v>0</v>
      </c>
      <c r="FZ179" s="423">
        <f t="shared" ca="1" si="615"/>
        <v>0</v>
      </c>
      <c r="GA179" s="423">
        <f t="shared" ca="1" si="615"/>
        <v>0</v>
      </c>
      <c r="GB179" s="423">
        <f t="shared" ca="1" si="615"/>
        <v>0</v>
      </c>
      <c r="GC179" s="423">
        <f t="shared" ca="1" si="615"/>
        <v>0</v>
      </c>
      <c r="GD179" s="423">
        <f t="shared" ca="1" si="612"/>
        <v>0</v>
      </c>
      <c r="GE179" s="423">
        <f t="shared" ca="1" si="612"/>
        <v>0</v>
      </c>
      <c r="GF179" s="423">
        <f t="shared" ca="1" si="612"/>
        <v>0</v>
      </c>
      <c r="GG179" s="423">
        <f t="shared" ca="1" si="612"/>
        <v>0</v>
      </c>
      <c r="GH179" s="423">
        <f t="shared" ca="1" si="612"/>
        <v>0</v>
      </c>
      <c r="GI179" s="423">
        <f t="shared" ca="1" si="612"/>
        <v>0</v>
      </c>
      <c r="GJ179" s="423">
        <f t="shared" ca="1" si="612"/>
        <v>0</v>
      </c>
      <c r="GK179" s="423">
        <f t="shared" ca="1" si="612"/>
        <v>0</v>
      </c>
      <c r="GL179" s="423">
        <f t="shared" ca="1" si="612"/>
        <v>0</v>
      </c>
      <c r="GM179" s="423">
        <f t="shared" ca="1" si="612"/>
        <v>0</v>
      </c>
      <c r="GN179" s="423">
        <f t="shared" ca="1" si="612"/>
        <v>0</v>
      </c>
      <c r="GO179" s="423">
        <f t="shared" ca="1" si="612"/>
        <v>0</v>
      </c>
      <c r="GP179" s="423">
        <f t="shared" ca="1" si="612"/>
        <v>0</v>
      </c>
      <c r="GQ179" s="423">
        <f t="shared" ca="1" si="612"/>
        <v>0</v>
      </c>
      <c r="GR179" s="423">
        <f t="shared" ca="1" si="612"/>
        <v>0</v>
      </c>
      <c r="GS179" s="423">
        <f t="shared" ca="1" si="612"/>
        <v>0</v>
      </c>
      <c r="GT179" s="423">
        <f t="shared" ca="1" si="613"/>
        <v>0</v>
      </c>
      <c r="GU179" s="423">
        <f t="shared" ca="1" si="611"/>
        <v>0</v>
      </c>
      <c r="GV179" s="423">
        <f t="shared" ca="1" si="611"/>
        <v>0</v>
      </c>
      <c r="GW179" s="423">
        <f t="shared" ca="1" si="611"/>
        <v>0</v>
      </c>
      <c r="GX179" s="423">
        <f t="shared" ca="1" si="611"/>
        <v>0</v>
      </c>
      <c r="GY179" s="423">
        <f t="shared" ca="1" si="611"/>
        <v>0</v>
      </c>
      <c r="GZ179" s="423">
        <f t="shared" ca="1" si="611"/>
        <v>0</v>
      </c>
      <c r="HA179" s="423">
        <f t="shared" ca="1" si="611"/>
        <v>0</v>
      </c>
      <c r="HB179" s="423">
        <f t="shared" ca="1" si="611"/>
        <v>0</v>
      </c>
      <c r="HC179" s="423">
        <f t="shared" ca="1" si="611"/>
        <v>0</v>
      </c>
      <c r="HD179" s="423">
        <f t="shared" ca="1" si="611"/>
        <v>0</v>
      </c>
      <c r="HE179" s="423">
        <f t="shared" ca="1" si="611"/>
        <v>0</v>
      </c>
      <c r="HF179" s="423">
        <f t="shared" ca="1" si="611"/>
        <v>0</v>
      </c>
      <c r="HG179" s="423">
        <f t="shared" ca="1" si="611"/>
        <v>0</v>
      </c>
      <c r="HH179" s="423">
        <f t="shared" ca="1" si="611"/>
        <v>0</v>
      </c>
      <c r="HI179" s="423">
        <f t="shared" ca="1" si="611"/>
        <v>0</v>
      </c>
      <c r="HJ179" s="423">
        <f t="shared" ca="1" si="611"/>
        <v>0</v>
      </c>
      <c r="HK179" s="423">
        <f t="shared" ca="1" si="614"/>
        <v>0</v>
      </c>
      <c r="HL179" s="423">
        <f t="shared" ca="1" si="614"/>
        <v>0</v>
      </c>
      <c r="HM179" s="423">
        <f t="shared" ca="1" si="614"/>
        <v>0</v>
      </c>
      <c r="HN179" s="423">
        <f t="shared" ca="1" si="614"/>
        <v>0</v>
      </c>
      <c r="HO179" s="423">
        <f t="shared" ca="1" si="614"/>
        <v>0</v>
      </c>
      <c r="HP179" s="423">
        <f t="shared" ca="1" si="614"/>
        <v>0</v>
      </c>
      <c r="HQ179" s="423">
        <f t="shared" ca="1" si="614"/>
        <v>0</v>
      </c>
      <c r="HR179" s="423">
        <f t="shared" ca="1" si="614"/>
        <v>0</v>
      </c>
      <c r="HS179" s="423">
        <f t="shared" ca="1" si="614"/>
        <v>0</v>
      </c>
      <c r="HT179" s="423">
        <f t="shared" ca="1" si="614"/>
        <v>0</v>
      </c>
    </row>
    <row r="180" spans="1:228" x14ac:dyDescent="0.2">
      <c r="A180" s="62">
        <f t="shared" si="516"/>
        <v>169</v>
      </c>
      <c r="B180" s="60">
        <f>Spaces_Sum!C225</f>
        <v>0</v>
      </c>
      <c r="C180" s="62" t="str">
        <f>Spaces_Sum!D225</f>
        <v>0</v>
      </c>
      <c r="D180" s="62" t="e">
        <f ca="1">Spaces_Sum!I225</f>
        <v>#N/A</v>
      </c>
      <c r="F180" s="110" t="e">
        <f ca="1">Spaces_Sum!M225</f>
        <v>#N/A</v>
      </c>
      <c r="G180" s="110" t="e">
        <f ca="1">Spaces_Sum!J225</f>
        <v>#N/A</v>
      </c>
      <c r="H180" s="532"/>
      <c r="I180" s="185"/>
      <c r="J180" s="185"/>
      <c r="K180" s="186"/>
      <c r="L180" s="187"/>
      <c r="M180" s="188"/>
      <c r="N180" s="189"/>
      <c r="O180" s="186"/>
      <c r="P180" s="187"/>
      <c r="Q180" s="188"/>
      <c r="R180" s="189"/>
      <c r="S180" s="186"/>
      <c r="T180" s="187"/>
      <c r="U180" s="188"/>
      <c r="V180" s="189"/>
      <c r="W180" s="186"/>
      <c r="X180" s="187"/>
      <c r="Y180" s="188"/>
      <c r="Z180" s="189"/>
      <c r="AA180" s="186"/>
      <c r="AB180" s="187"/>
      <c r="AC180" s="188"/>
      <c r="AD180" s="189"/>
      <c r="AE180" s="186"/>
      <c r="AF180" s="187"/>
      <c r="AG180" s="188"/>
      <c r="AH180" s="189"/>
      <c r="AI180" s="186"/>
      <c r="AJ180" s="187"/>
      <c r="AK180" s="188"/>
      <c r="AL180" s="189"/>
      <c r="AM180" s="186"/>
      <c r="AN180" s="187"/>
      <c r="AO180" s="188"/>
      <c r="AP180" s="189"/>
      <c r="AQ180" s="186"/>
      <c r="AR180" s="187"/>
      <c r="AS180" s="188"/>
      <c r="AT180" s="189"/>
      <c r="AU180" s="186"/>
      <c r="AV180" s="187"/>
      <c r="AW180" s="188"/>
      <c r="AX180" s="189"/>
      <c r="AY180" s="186"/>
      <c r="AZ180" s="187"/>
      <c r="BA180" s="188"/>
      <c r="BB180" s="189"/>
      <c r="BC180" s="186"/>
      <c r="BD180" s="187"/>
      <c r="BE180" s="188"/>
      <c r="BF180" s="189"/>
      <c r="BG180" s="186"/>
      <c r="BH180" s="187"/>
      <c r="BI180" s="188"/>
      <c r="BJ180" s="189"/>
      <c r="BK180" s="186"/>
      <c r="BL180" s="187"/>
      <c r="BM180" s="188"/>
      <c r="BN180" s="189"/>
      <c r="BO180" s="186"/>
      <c r="BP180" s="187"/>
      <c r="BQ180" s="188"/>
      <c r="BR180" s="189"/>
      <c r="BS180" s="186"/>
      <c r="BT180" s="187"/>
      <c r="BU180" s="188"/>
      <c r="BV180" s="189"/>
      <c r="BW180" s="186"/>
      <c r="BX180" s="187"/>
      <c r="BY180" s="188"/>
      <c r="BZ180" s="189"/>
      <c r="CA180" s="186"/>
      <c r="CB180" s="190"/>
      <c r="CC180" s="190"/>
      <c r="CD180" s="82">
        <f t="shared" si="526"/>
        <v>0</v>
      </c>
      <c r="CE180" s="82">
        <f t="shared" si="527"/>
        <v>0</v>
      </c>
      <c r="CF180" s="82">
        <f t="shared" si="528"/>
        <v>0</v>
      </c>
      <c r="CG180" s="82">
        <f t="shared" si="529"/>
        <v>0</v>
      </c>
      <c r="CH180" s="82">
        <f t="shared" si="530"/>
        <v>0</v>
      </c>
      <c r="CI180" s="82">
        <f t="shared" si="531"/>
        <v>0</v>
      </c>
      <c r="CJ180" s="82">
        <f t="shared" si="532"/>
        <v>0</v>
      </c>
      <c r="CK180" s="82">
        <f t="shared" si="533"/>
        <v>0</v>
      </c>
      <c r="CL180" s="82">
        <f t="shared" si="534"/>
        <v>0</v>
      </c>
      <c r="CM180" s="82">
        <f t="shared" si="535"/>
        <v>0</v>
      </c>
      <c r="CN180" s="82">
        <f t="shared" si="536"/>
        <v>0</v>
      </c>
      <c r="CO180" s="82">
        <f t="shared" si="537"/>
        <v>0</v>
      </c>
      <c r="CP180" s="82">
        <f t="shared" si="538"/>
        <v>0</v>
      </c>
      <c r="CQ180" s="82">
        <f t="shared" si="539"/>
        <v>0</v>
      </c>
      <c r="CR180" s="82">
        <f t="shared" si="540"/>
        <v>0</v>
      </c>
      <c r="CS180" s="82">
        <f t="shared" si="541"/>
        <v>0</v>
      </c>
      <c r="CT180" s="82">
        <f t="shared" si="542"/>
        <v>0</v>
      </c>
      <c r="CU180" s="82">
        <f t="shared" si="543"/>
        <v>0</v>
      </c>
      <c r="CV180" s="82">
        <f t="shared" si="544"/>
        <v>0</v>
      </c>
      <c r="CW180" s="82">
        <f t="shared" si="545"/>
        <v>0</v>
      </c>
      <c r="CX180" s="82">
        <f t="shared" si="546"/>
        <v>0</v>
      </c>
      <c r="CY180" s="82">
        <f t="shared" si="547"/>
        <v>0</v>
      </c>
      <c r="CZ180" s="82">
        <f t="shared" si="548"/>
        <v>0</v>
      </c>
      <c r="DA180" s="82">
        <f t="shared" si="549"/>
        <v>0</v>
      </c>
      <c r="DB180" s="82">
        <f t="shared" si="550"/>
        <v>0</v>
      </c>
      <c r="DC180" s="82">
        <f t="shared" si="551"/>
        <v>0</v>
      </c>
      <c r="DD180" s="82">
        <f t="shared" si="552"/>
        <v>0</v>
      </c>
      <c r="DE180" s="82">
        <f t="shared" si="553"/>
        <v>0</v>
      </c>
      <c r="DF180" s="82">
        <f t="shared" si="554"/>
        <v>0</v>
      </c>
      <c r="DG180" s="82">
        <f t="shared" si="555"/>
        <v>0</v>
      </c>
      <c r="DH180" s="82">
        <f t="shared" si="556"/>
        <v>0</v>
      </c>
      <c r="DI180" s="82">
        <f t="shared" si="557"/>
        <v>0</v>
      </c>
      <c r="DJ180" s="82">
        <f t="shared" si="558"/>
        <v>0</v>
      </c>
      <c r="DK180" s="82">
        <f t="shared" si="559"/>
        <v>0</v>
      </c>
      <c r="DL180" s="82">
        <f t="shared" si="560"/>
        <v>0</v>
      </c>
      <c r="DM180" s="82">
        <f t="shared" si="561"/>
        <v>0</v>
      </c>
      <c r="DN180" s="82">
        <f t="shared" si="562"/>
        <v>0</v>
      </c>
      <c r="DO180" s="82">
        <f t="shared" si="563"/>
        <v>0</v>
      </c>
      <c r="DP180" s="82">
        <f t="shared" si="564"/>
        <v>0</v>
      </c>
      <c r="DQ180" s="82">
        <f t="shared" si="565"/>
        <v>0</v>
      </c>
      <c r="DR180" s="82">
        <f t="shared" si="566"/>
        <v>0</v>
      </c>
      <c r="DS180" s="82">
        <f t="shared" si="567"/>
        <v>0</v>
      </c>
      <c r="DT180" s="82">
        <f t="shared" si="568"/>
        <v>0</v>
      </c>
      <c r="DU180" s="82">
        <f t="shared" si="569"/>
        <v>0</v>
      </c>
      <c r="DV180" s="82">
        <f t="shared" si="570"/>
        <v>0</v>
      </c>
      <c r="DW180" s="82">
        <f t="shared" si="571"/>
        <v>0</v>
      </c>
      <c r="DX180" s="82">
        <f t="shared" si="572"/>
        <v>0</v>
      </c>
      <c r="DY180" s="82">
        <f t="shared" si="573"/>
        <v>0</v>
      </c>
      <c r="DZ180" s="82">
        <f t="shared" si="574"/>
        <v>0</v>
      </c>
      <c r="EA180" s="82">
        <f t="shared" si="575"/>
        <v>0</v>
      </c>
      <c r="EB180" s="82">
        <f t="shared" si="576"/>
        <v>0</v>
      </c>
      <c r="EC180" s="82">
        <f t="shared" si="577"/>
        <v>0</v>
      </c>
      <c r="ED180" s="82">
        <f t="shared" si="578"/>
        <v>0</v>
      </c>
      <c r="EE180" s="82">
        <f t="shared" si="579"/>
        <v>0</v>
      </c>
      <c r="EF180" s="82">
        <f t="shared" si="580"/>
        <v>0</v>
      </c>
      <c r="EG180" s="82">
        <f t="shared" si="581"/>
        <v>0</v>
      </c>
      <c r="EH180" s="82">
        <f t="shared" si="582"/>
        <v>0</v>
      </c>
      <c r="EI180" s="82">
        <f t="shared" si="583"/>
        <v>0</v>
      </c>
      <c r="EJ180" s="82">
        <f t="shared" si="584"/>
        <v>0</v>
      </c>
      <c r="EK180" s="82">
        <f t="shared" si="585"/>
        <v>0</v>
      </c>
      <c r="EL180" s="82">
        <f t="shared" si="586"/>
        <v>0</v>
      </c>
      <c r="EM180" s="82">
        <f t="shared" si="587"/>
        <v>0</v>
      </c>
      <c r="EN180" s="82">
        <f t="shared" si="588"/>
        <v>0</v>
      </c>
      <c r="EO180" s="82">
        <f t="shared" si="589"/>
        <v>0</v>
      </c>
      <c r="EP180" s="82">
        <f t="shared" si="590"/>
        <v>0</v>
      </c>
      <c r="EQ180" s="82">
        <f t="shared" si="591"/>
        <v>0</v>
      </c>
      <c r="ER180" s="82">
        <f t="shared" si="592"/>
        <v>0</v>
      </c>
      <c r="ES180" s="82">
        <f t="shared" si="593"/>
        <v>0</v>
      </c>
      <c r="ET180" s="82">
        <f t="shared" si="594"/>
        <v>0</v>
      </c>
      <c r="EU180" s="82">
        <f t="shared" si="595"/>
        <v>0</v>
      </c>
      <c r="EV180" s="82">
        <f t="shared" si="596"/>
        <v>0</v>
      </c>
      <c r="EW180" s="82">
        <f t="shared" si="597"/>
        <v>0</v>
      </c>
      <c r="EX180" s="82">
        <f t="shared" si="598"/>
        <v>0</v>
      </c>
      <c r="EY180" s="111">
        <f t="shared" si="599"/>
        <v>0</v>
      </c>
      <c r="EZ180" s="143" t="e">
        <f t="shared" ca="1" si="600"/>
        <v>#N/A</v>
      </c>
      <c r="FA180" s="112" t="e">
        <f t="shared" ca="1" si="601"/>
        <v>#N/A</v>
      </c>
      <c r="FB180" s="113" t="e">
        <f t="shared" ca="1" si="602"/>
        <v>#N/A</v>
      </c>
      <c r="FC180" s="114" t="e">
        <f t="shared" ca="1" si="603"/>
        <v>#N/A</v>
      </c>
      <c r="FD180" s="115">
        <f t="shared" ca="1" si="604"/>
        <v>0</v>
      </c>
      <c r="FE180" s="116" t="e">
        <f t="shared" ca="1" si="605"/>
        <v>#N/A</v>
      </c>
      <c r="FF180" s="117" t="e">
        <f t="shared" ca="1" si="606"/>
        <v>#N/A</v>
      </c>
      <c r="FG180" s="71">
        <f t="shared" si="607"/>
        <v>0</v>
      </c>
      <c r="FH180" s="530" t="e">
        <f t="shared" ca="1" si="608"/>
        <v>#N/A</v>
      </c>
      <c r="FI180" s="72"/>
      <c r="FJ180" s="72"/>
      <c r="FK180" s="72"/>
      <c r="FM180" s="421">
        <f t="shared" si="609"/>
        <v>0</v>
      </c>
      <c r="FN180" s="422" t="e">
        <f t="shared" ca="1" si="610"/>
        <v>#N/A</v>
      </c>
      <c r="FO180" s="423">
        <f t="shared" ca="1" si="615"/>
        <v>0</v>
      </c>
      <c r="FP180" s="423">
        <f t="shared" ca="1" si="615"/>
        <v>0</v>
      </c>
      <c r="FQ180" s="423">
        <f t="shared" ca="1" si="615"/>
        <v>0</v>
      </c>
      <c r="FR180" s="423">
        <f t="shared" ca="1" si="615"/>
        <v>0</v>
      </c>
      <c r="FS180" s="423">
        <f t="shared" ca="1" si="615"/>
        <v>0</v>
      </c>
      <c r="FT180" s="423">
        <f t="shared" ca="1" si="615"/>
        <v>0</v>
      </c>
      <c r="FU180" s="423">
        <f t="shared" ca="1" si="615"/>
        <v>0</v>
      </c>
      <c r="FV180" s="423">
        <f t="shared" ca="1" si="615"/>
        <v>0</v>
      </c>
      <c r="FW180" s="423">
        <f t="shared" ca="1" si="615"/>
        <v>0</v>
      </c>
      <c r="FX180" s="423">
        <f t="shared" ca="1" si="615"/>
        <v>0</v>
      </c>
      <c r="FY180" s="423">
        <f t="shared" ca="1" si="615"/>
        <v>0</v>
      </c>
      <c r="FZ180" s="423">
        <f t="shared" ca="1" si="615"/>
        <v>0</v>
      </c>
      <c r="GA180" s="423">
        <f t="shared" ca="1" si="615"/>
        <v>0</v>
      </c>
      <c r="GB180" s="423">
        <f t="shared" ca="1" si="615"/>
        <v>0</v>
      </c>
      <c r="GC180" s="423">
        <f t="shared" ca="1" si="615"/>
        <v>0</v>
      </c>
      <c r="GD180" s="423">
        <f t="shared" ca="1" si="612"/>
        <v>0</v>
      </c>
      <c r="GE180" s="423">
        <f t="shared" ca="1" si="612"/>
        <v>0</v>
      </c>
      <c r="GF180" s="423">
        <f t="shared" ca="1" si="612"/>
        <v>0</v>
      </c>
      <c r="GG180" s="423">
        <f t="shared" ca="1" si="612"/>
        <v>0</v>
      </c>
      <c r="GH180" s="423">
        <f t="shared" ca="1" si="612"/>
        <v>0</v>
      </c>
      <c r="GI180" s="423">
        <f t="shared" ca="1" si="612"/>
        <v>0</v>
      </c>
      <c r="GJ180" s="423">
        <f t="shared" ca="1" si="612"/>
        <v>0</v>
      </c>
      <c r="GK180" s="423">
        <f t="shared" ca="1" si="612"/>
        <v>0</v>
      </c>
      <c r="GL180" s="423">
        <f t="shared" ca="1" si="612"/>
        <v>0</v>
      </c>
      <c r="GM180" s="423">
        <f t="shared" ca="1" si="612"/>
        <v>0</v>
      </c>
      <c r="GN180" s="423">
        <f t="shared" ca="1" si="612"/>
        <v>0</v>
      </c>
      <c r="GO180" s="423">
        <f t="shared" ca="1" si="612"/>
        <v>0</v>
      </c>
      <c r="GP180" s="423">
        <f t="shared" ca="1" si="612"/>
        <v>0</v>
      </c>
      <c r="GQ180" s="423">
        <f t="shared" ca="1" si="612"/>
        <v>0</v>
      </c>
      <c r="GR180" s="423">
        <f t="shared" ca="1" si="612"/>
        <v>0</v>
      </c>
      <c r="GS180" s="423">
        <f t="shared" ca="1" si="612"/>
        <v>0</v>
      </c>
      <c r="GT180" s="423">
        <f t="shared" ca="1" si="613"/>
        <v>0</v>
      </c>
      <c r="GU180" s="423">
        <f t="shared" ca="1" si="611"/>
        <v>0</v>
      </c>
      <c r="GV180" s="423">
        <f t="shared" ca="1" si="611"/>
        <v>0</v>
      </c>
      <c r="GW180" s="423">
        <f t="shared" ca="1" si="611"/>
        <v>0</v>
      </c>
      <c r="GX180" s="423">
        <f t="shared" ca="1" si="611"/>
        <v>0</v>
      </c>
      <c r="GY180" s="423">
        <f t="shared" ca="1" si="611"/>
        <v>0</v>
      </c>
      <c r="GZ180" s="423">
        <f t="shared" ca="1" si="611"/>
        <v>0</v>
      </c>
      <c r="HA180" s="423">
        <f t="shared" ca="1" si="611"/>
        <v>0</v>
      </c>
      <c r="HB180" s="423">
        <f t="shared" ca="1" si="611"/>
        <v>0</v>
      </c>
      <c r="HC180" s="423">
        <f t="shared" ca="1" si="611"/>
        <v>0</v>
      </c>
      <c r="HD180" s="423">
        <f t="shared" ca="1" si="611"/>
        <v>0</v>
      </c>
      <c r="HE180" s="423">
        <f t="shared" ca="1" si="611"/>
        <v>0</v>
      </c>
      <c r="HF180" s="423">
        <f t="shared" ca="1" si="611"/>
        <v>0</v>
      </c>
      <c r="HG180" s="423">
        <f t="shared" ca="1" si="611"/>
        <v>0</v>
      </c>
      <c r="HH180" s="423">
        <f t="shared" ca="1" si="611"/>
        <v>0</v>
      </c>
      <c r="HI180" s="423">
        <f t="shared" ca="1" si="611"/>
        <v>0</v>
      </c>
      <c r="HJ180" s="423">
        <f t="shared" ca="1" si="611"/>
        <v>0</v>
      </c>
      <c r="HK180" s="423">
        <f t="shared" ca="1" si="614"/>
        <v>0</v>
      </c>
      <c r="HL180" s="423">
        <f t="shared" ca="1" si="614"/>
        <v>0</v>
      </c>
      <c r="HM180" s="423">
        <f t="shared" ca="1" si="614"/>
        <v>0</v>
      </c>
      <c r="HN180" s="423">
        <f t="shared" ca="1" si="614"/>
        <v>0</v>
      </c>
      <c r="HO180" s="423">
        <f t="shared" ca="1" si="614"/>
        <v>0</v>
      </c>
      <c r="HP180" s="423">
        <f t="shared" ca="1" si="614"/>
        <v>0</v>
      </c>
      <c r="HQ180" s="423">
        <f t="shared" ca="1" si="614"/>
        <v>0</v>
      </c>
      <c r="HR180" s="423">
        <f t="shared" ca="1" si="614"/>
        <v>0</v>
      </c>
      <c r="HS180" s="423">
        <f t="shared" ca="1" si="614"/>
        <v>0</v>
      </c>
      <c r="HT180" s="423">
        <f t="shared" ca="1" si="614"/>
        <v>0</v>
      </c>
    </row>
    <row r="181" spans="1:228" x14ac:dyDescent="0.2">
      <c r="A181" s="62">
        <f t="shared" si="516"/>
        <v>170</v>
      </c>
      <c r="B181" s="60">
        <f>Spaces_Sum!C226</f>
        <v>0</v>
      </c>
      <c r="C181" s="62" t="str">
        <f>Spaces_Sum!D226</f>
        <v>0</v>
      </c>
      <c r="D181" s="62" t="e">
        <f ca="1">Spaces_Sum!I226</f>
        <v>#N/A</v>
      </c>
      <c r="F181" s="110" t="e">
        <f ca="1">Spaces_Sum!M226</f>
        <v>#N/A</v>
      </c>
      <c r="G181" s="110" t="e">
        <f ca="1">Spaces_Sum!J226</f>
        <v>#N/A</v>
      </c>
      <c r="H181" s="532"/>
      <c r="I181" s="185"/>
      <c r="J181" s="185"/>
      <c r="K181" s="186"/>
      <c r="L181" s="187"/>
      <c r="M181" s="188"/>
      <c r="N181" s="189"/>
      <c r="O181" s="186"/>
      <c r="P181" s="187"/>
      <c r="Q181" s="188"/>
      <c r="R181" s="189"/>
      <c r="S181" s="186"/>
      <c r="T181" s="187"/>
      <c r="U181" s="188"/>
      <c r="V181" s="189"/>
      <c r="W181" s="186"/>
      <c r="X181" s="187"/>
      <c r="Y181" s="188"/>
      <c r="Z181" s="189"/>
      <c r="AA181" s="186"/>
      <c r="AB181" s="187"/>
      <c r="AC181" s="188"/>
      <c r="AD181" s="189"/>
      <c r="AE181" s="186"/>
      <c r="AF181" s="187"/>
      <c r="AG181" s="188"/>
      <c r="AH181" s="189"/>
      <c r="AI181" s="186"/>
      <c r="AJ181" s="187"/>
      <c r="AK181" s="188"/>
      <c r="AL181" s="189"/>
      <c r="AM181" s="186"/>
      <c r="AN181" s="187"/>
      <c r="AO181" s="188"/>
      <c r="AP181" s="189"/>
      <c r="AQ181" s="186"/>
      <c r="AR181" s="187"/>
      <c r="AS181" s="188"/>
      <c r="AT181" s="189"/>
      <c r="AU181" s="186"/>
      <c r="AV181" s="187"/>
      <c r="AW181" s="188"/>
      <c r="AX181" s="189"/>
      <c r="AY181" s="186"/>
      <c r="AZ181" s="187"/>
      <c r="BA181" s="188"/>
      <c r="BB181" s="189"/>
      <c r="BC181" s="186"/>
      <c r="BD181" s="187"/>
      <c r="BE181" s="188"/>
      <c r="BF181" s="189"/>
      <c r="BG181" s="186"/>
      <c r="BH181" s="187"/>
      <c r="BI181" s="188"/>
      <c r="BJ181" s="189"/>
      <c r="BK181" s="186"/>
      <c r="BL181" s="187"/>
      <c r="BM181" s="188"/>
      <c r="BN181" s="189"/>
      <c r="BO181" s="186"/>
      <c r="BP181" s="187"/>
      <c r="BQ181" s="188"/>
      <c r="BR181" s="189"/>
      <c r="BS181" s="186"/>
      <c r="BT181" s="187"/>
      <c r="BU181" s="188"/>
      <c r="BV181" s="189"/>
      <c r="BW181" s="186"/>
      <c r="BX181" s="187"/>
      <c r="BY181" s="188"/>
      <c r="BZ181" s="189"/>
      <c r="CA181" s="186"/>
      <c r="CB181" s="190"/>
      <c r="CC181" s="190"/>
      <c r="CD181" s="82">
        <f t="shared" si="526"/>
        <v>0</v>
      </c>
      <c r="CE181" s="82">
        <f t="shared" si="527"/>
        <v>0</v>
      </c>
      <c r="CF181" s="82">
        <f t="shared" si="528"/>
        <v>0</v>
      </c>
      <c r="CG181" s="82">
        <f t="shared" si="529"/>
        <v>0</v>
      </c>
      <c r="CH181" s="82">
        <f t="shared" si="530"/>
        <v>0</v>
      </c>
      <c r="CI181" s="82">
        <f t="shared" si="531"/>
        <v>0</v>
      </c>
      <c r="CJ181" s="82">
        <f t="shared" si="532"/>
        <v>0</v>
      </c>
      <c r="CK181" s="82">
        <f t="shared" si="533"/>
        <v>0</v>
      </c>
      <c r="CL181" s="82">
        <f t="shared" si="534"/>
        <v>0</v>
      </c>
      <c r="CM181" s="82">
        <f t="shared" si="535"/>
        <v>0</v>
      </c>
      <c r="CN181" s="82">
        <f t="shared" si="536"/>
        <v>0</v>
      </c>
      <c r="CO181" s="82">
        <f t="shared" si="537"/>
        <v>0</v>
      </c>
      <c r="CP181" s="82">
        <f t="shared" si="538"/>
        <v>0</v>
      </c>
      <c r="CQ181" s="82">
        <f t="shared" si="539"/>
        <v>0</v>
      </c>
      <c r="CR181" s="82">
        <f t="shared" si="540"/>
        <v>0</v>
      </c>
      <c r="CS181" s="82">
        <f t="shared" si="541"/>
        <v>0</v>
      </c>
      <c r="CT181" s="82">
        <f t="shared" si="542"/>
        <v>0</v>
      </c>
      <c r="CU181" s="82">
        <f t="shared" si="543"/>
        <v>0</v>
      </c>
      <c r="CV181" s="82">
        <f t="shared" si="544"/>
        <v>0</v>
      </c>
      <c r="CW181" s="82">
        <f t="shared" si="545"/>
        <v>0</v>
      </c>
      <c r="CX181" s="82">
        <f t="shared" si="546"/>
        <v>0</v>
      </c>
      <c r="CY181" s="82">
        <f t="shared" si="547"/>
        <v>0</v>
      </c>
      <c r="CZ181" s="82">
        <f t="shared" si="548"/>
        <v>0</v>
      </c>
      <c r="DA181" s="82">
        <f t="shared" si="549"/>
        <v>0</v>
      </c>
      <c r="DB181" s="82">
        <f t="shared" si="550"/>
        <v>0</v>
      </c>
      <c r="DC181" s="82">
        <f t="shared" si="551"/>
        <v>0</v>
      </c>
      <c r="DD181" s="82">
        <f t="shared" si="552"/>
        <v>0</v>
      </c>
      <c r="DE181" s="82">
        <f t="shared" si="553"/>
        <v>0</v>
      </c>
      <c r="DF181" s="82">
        <f t="shared" si="554"/>
        <v>0</v>
      </c>
      <c r="DG181" s="82">
        <f t="shared" si="555"/>
        <v>0</v>
      </c>
      <c r="DH181" s="82">
        <f t="shared" si="556"/>
        <v>0</v>
      </c>
      <c r="DI181" s="82">
        <f t="shared" si="557"/>
        <v>0</v>
      </c>
      <c r="DJ181" s="82">
        <f t="shared" si="558"/>
        <v>0</v>
      </c>
      <c r="DK181" s="82">
        <f t="shared" si="559"/>
        <v>0</v>
      </c>
      <c r="DL181" s="82">
        <f t="shared" si="560"/>
        <v>0</v>
      </c>
      <c r="DM181" s="82">
        <f t="shared" si="561"/>
        <v>0</v>
      </c>
      <c r="DN181" s="82">
        <f t="shared" si="562"/>
        <v>0</v>
      </c>
      <c r="DO181" s="82">
        <f t="shared" si="563"/>
        <v>0</v>
      </c>
      <c r="DP181" s="82">
        <f t="shared" si="564"/>
        <v>0</v>
      </c>
      <c r="DQ181" s="82">
        <f t="shared" si="565"/>
        <v>0</v>
      </c>
      <c r="DR181" s="82">
        <f t="shared" si="566"/>
        <v>0</v>
      </c>
      <c r="DS181" s="82">
        <f t="shared" si="567"/>
        <v>0</v>
      </c>
      <c r="DT181" s="82">
        <f t="shared" si="568"/>
        <v>0</v>
      </c>
      <c r="DU181" s="82">
        <f t="shared" si="569"/>
        <v>0</v>
      </c>
      <c r="DV181" s="82">
        <f t="shared" si="570"/>
        <v>0</v>
      </c>
      <c r="DW181" s="82">
        <f t="shared" si="571"/>
        <v>0</v>
      </c>
      <c r="DX181" s="82">
        <f t="shared" si="572"/>
        <v>0</v>
      </c>
      <c r="DY181" s="82">
        <f t="shared" si="573"/>
        <v>0</v>
      </c>
      <c r="DZ181" s="82">
        <f t="shared" si="574"/>
        <v>0</v>
      </c>
      <c r="EA181" s="82">
        <f t="shared" si="575"/>
        <v>0</v>
      </c>
      <c r="EB181" s="82">
        <f t="shared" si="576"/>
        <v>0</v>
      </c>
      <c r="EC181" s="82">
        <f t="shared" si="577"/>
        <v>0</v>
      </c>
      <c r="ED181" s="82">
        <f t="shared" si="578"/>
        <v>0</v>
      </c>
      <c r="EE181" s="82">
        <f t="shared" si="579"/>
        <v>0</v>
      </c>
      <c r="EF181" s="82">
        <f t="shared" si="580"/>
        <v>0</v>
      </c>
      <c r="EG181" s="82">
        <f t="shared" si="581"/>
        <v>0</v>
      </c>
      <c r="EH181" s="82">
        <f t="shared" si="582"/>
        <v>0</v>
      </c>
      <c r="EI181" s="82">
        <f t="shared" si="583"/>
        <v>0</v>
      </c>
      <c r="EJ181" s="82">
        <f t="shared" si="584"/>
        <v>0</v>
      </c>
      <c r="EK181" s="82">
        <f t="shared" si="585"/>
        <v>0</v>
      </c>
      <c r="EL181" s="82">
        <f t="shared" si="586"/>
        <v>0</v>
      </c>
      <c r="EM181" s="82">
        <f t="shared" si="587"/>
        <v>0</v>
      </c>
      <c r="EN181" s="82">
        <f t="shared" si="588"/>
        <v>0</v>
      </c>
      <c r="EO181" s="82">
        <f t="shared" si="589"/>
        <v>0</v>
      </c>
      <c r="EP181" s="82">
        <f t="shared" si="590"/>
        <v>0</v>
      </c>
      <c r="EQ181" s="82">
        <f t="shared" si="591"/>
        <v>0</v>
      </c>
      <c r="ER181" s="82">
        <f t="shared" si="592"/>
        <v>0</v>
      </c>
      <c r="ES181" s="82">
        <f t="shared" si="593"/>
        <v>0</v>
      </c>
      <c r="ET181" s="82">
        <f t="shared" si="594"/>
        <v>0</v>
      </c>
      <c r="EU181" s="82">
        <f t="shared" si="595"/>
        <v>0</v>
      </c>
      <c r="EV181" s="82">
        <f t="shared" si="596"/>
        <v>0</v>
      </c>
      <c r="EW181" s="82">
        <f t="shared" si="597"/>
        <v>0</v>
      </c>
      <c r="EX181" s="82">
        <f t="shared" si="598"/>
        <v>0</v>
      </c>
      <c r="EY181" s="111">
        <f t="shared" si="599"/>
        <v>0</v>
      </c>
      <c r="EZ181" s="143" t="e">
        <f t="shared" ca="1" si="600"/>
        <v>#N/A</v>
      </c>
      <c r="FA181" s="112" t="e">
        <f t="shared" ca="1" si="601"/>
        <v>#N/A</v>
      </c>
      <c r="FB181" s="113" t="e">
        <f t="shared" ca="1" si="602"/>
        <v>#N/A</v>
      </c>
      <c r="FC181" s="114" t="e">
        <f t="shared" ca="1" si="603"/>
        <v>#N/A</v>
      </c>
      <c r="FD181" s="115">
        <f t="shared" ca="1" si="604"/>
        <v>0</v>
      </c>
      <c r="FE181" s="116" t="e">
        <f t="shared" ca="1" si="605"/>
        <v>#N/A</v>
      </c>
      <c r="FF181" s="117" t="e">
        <f t="shared" ca="1" si="606"/>
        <v>#N/A</v>
      </c>
      <c r="FG181" s="71">
        <f t="shared" si="607"/>
        <v>0</v>
      </c>
      <c r="FH181" s="530" t="e">
        <f t="shared" ca="1" si="608"/>
        <v>#N/A</v>
      </c>
      <c r="FI181" s="72"/>
      <c r="FJ181" s="72"/>
      <c r="FK181" s="72"/>
      <c r="FM181" s="421">
        <f t="shared" si="609"/>
        <v>0</v>
      </c>
      <c r="FN181" s="422" t="e">
        <f t="shared" ca="1" si="610"/>
        <v>#N/A</v>
      </c>
      <c r="FO181" s="423">
        <f t="shared" ca="1" si="615"/>
        <v>0</v>
      </c>
      <c r="FP181" s="423">
        <f t="shared" ca="1" si="615"/>
        <v>0</v>
      </c>
      <c r="FQ181" s="423">
        <f t="shared" ca="1" si="615"/>
        <v>0</v>
      </c>
      <c r="FR181" s="423">
        <f t="shared" ca="1" si="615"/>
        <v>0</v>
      </c>
      <c r="FS181" s="423">
        <f t="shared" ca="1" si="615"/>
        <v>0</v>
      </c>
      <c r="FT181" s="423">
        <f t="shared" ca="1" si="615"/>
        <v>0</v>
      </c>
      <c r="FU181" s="423">
        <f t="shared" ca="1" si="615"/>
        <v>0</v>
      </c>
      <c r="FV181" s="423">
        <f t="shared" ca="1" si="615"/>
        <v>0</v>
      </c>
      <c r="FW181" s="423">
        <f t="shared" ca="1" si="615"/>
        <v>0</v>
      </c>
      <c r="FX181" s="423">
        <f t="shared" ca="1" si="615"/>
        <v>0</v>
      </c>
      <c r="FY181" s="423">
        <f t="shared" ca="1" si="615"/>
        <v>0</v>
      </c>
      <c r="FZ181" s="423">
        <f t="shared" ca="1" si="615"/>
        <v>0</v>
      </c>
      <c r="GA181" s="423">
        <f t="shared" ca="1" si="615"/>
        <v>0</v>
      </c>
      <c r="GB181" s="423">
        <f t="shared" ca="1" si="615"/>
        <v>0</v>
      </c>
      <c r="GC181" s="423">
        <f t="shared" ca="1" si="615"/>
        <v>0</v>
      </c>
      <c r="GD181" s="423">
        <f t="shared" ca="1" si="612"/>
        <v>0</v>
      </c>
      <c r="GE181" s="423">
        <f t="shared" ca="1" si="612"/>
        <v>0</v>
      </c>
      <c r="GF181" s="423">
        <f t="shared" ca="1" si="612"/>
        <v>0</v>
      </c>
      <c r="GG181" s="423">
        <f t="shared" ca="1" si="612"/>
        <v>0</v>
      </c>
      <c r="GH181" s="423">
        <f t="shared" ca="1" si="612"/>
        <v>0</v>
      </c>
      <c r="GI181" s="423">
        <f t="shared" ca="1" si="612"/>
        <v>0</v>
      </c>
      <c r="GJ181" s="423">
        <f t="shared" ca="1" si="612"/>
        <v>0</v>
      </c>
      <c r="GK181" s="423">
        <f t="shared" ca="1" si="612"/>
        <v>0</v>
      </c>
      <c r="GL181" s="423">
        <f t="shared" ca="1" si="612"/>
        <v>0</v>
      </c>
      <c r="GM181" s="423">
        <f t="shared" ca="1" si="612"/>
        <v>0</v>
      </c>
      <c r="GN181" s="423">
        <f t="shared" ca="1" si="612"/>
        <v>0</v>
      </c>
      <c r="GO181" s="423">
        <f t="shared" ca="1" si="612"/>
        <v>0</v>
      </c>
      <c r="GP181" s="423">
        <f t="shared" ca="1" si="612"/>
        <v>0</v>
      </c>
      <c r="GQ181" s="423">
        <f t="shared" ca="1" si="612"/>
        <v>0</v>
      </c>
      <c r="GR181" s="423">
        <f t="shared" ca="1" si="612"/>
        <v>0</v>
      </c>
      <c r="GS181" s="423">
        <f t="shared" ca="1" si="612"/>
        <v>0</v>
      </c>
      <c r="GT181" s="423">
        <f t="shared" ca="1" si="613"/>
        <v>0</v>
      </c>
      <c r="GU181" s="423">
        <f t="shared" ca="1" si="611"/>
        <v>0</v>
      </c>
      <c r="GV181" s="423">
        <f t="shared" ca="1" si="611"/>
        <v>0</v>
      </c>
      <c r="GW181" s="423">
        <f t="shared" ca="1" si="611"/>
        <v>0</v>
      </c>
      <c r="GX181" s="423">
        <f t="shared" ca="1" si="611"/>
        <v>0</v>
      </c>
      <c r="GY181" s="423">
        <f t="shared" ca="1" si="611"/>
        <v>0</v>
      </c>
      <c r="GZ181" s="423">
        <f t="shared" ca="1" si="611"/>
        <v>0</v>
      </c>
      <c r="HA181" s="423">
        <f t="shared" ca="1" si="611"/>
        <v>0</v>
      </c>
      <c r="HB181" s="423">
        <f t="shared" ca="1" si="611"/>
        <v>0</v>
      </c>
      <c r="HC181" s="423">
        <f t="shared" ca="1" si="611"/>
        <v>0</v>
      </c>
      <c r="HD181" s="423">
        <f t="shared" ca="1" si="611"/>
        <v>0</v>
      </c>
      <c r="HE181" s="423">
        <f t="shared" ca="1" si="611"/>
        <v>0</v>
      </c>
      <c r="HF181" s="423">
        <f t="shared" ca="1" si="611"/>
        <v>0</v>
      </c>
      <c r="HG181" s="423">
        <f t="shared" ca="1" si="611"/>
        <v>0</v>
      </c>
      <c r="HH181" s="423">
        <f t="shared" ca="1" si="611"/>
        <v>0</v>
      </c>
      <c r="HI181" s="423">
        <f t="shared" ca="1" si="611"/>
        <v>0</v>
      </c>
      <c r="HJ181" s="423">
        <f t="shared" ca="1" si="611"/>
        <v>0</v>
      </c>
      <c r="HK181" s="423">
        <f t="shared" ca="1" si="614"/>
        <v>0</v>
      </c>
      <c r="HL181" s="423">
        <f t="shared" ca="1" si="614"/>
        <v>0</v>
      </c>
      <c r="HM181" s="423">
        <f t="shared" ca="1" si="614"/>
        <v>0</v>
      </c>
      <c r="HN181" s="423">
        <f t="shared" ca="1" si="614"/>
        <v>0</v>
      </c>
      <c r="HO181" s="423">
        <f t="shared" ca="1" si="614"/>
        <v>0</v>
      </c>
      <c r="HP181" s="423">
        <f t="shared" ca="1" si="614"/>
        <v>0</v>
      </c>
      <c r="HQ181" s="423">
        <f t="shared" ca="1" si="614"/>
        <v>0</v>
      </c>
      <c r="HR181" s="423">
        <f t="shared" ca="1" si="614"/>
        <v>0</v>
      </c>
      <c r="HS181" s="423">
        <f t="shared" ca="1" si="614"/>
        <v>0</v>
      </c>
      <c r="HT181" s="423">
        <f t="shared" ca="1" si="614"/>
        <v>0</v>
      </c>
    </row>
    <row r="182" spans="1:228" x14ac:dyDescent="0.2">
      <c r="A182" s="62">
        <f t="shared" si="516"/>
        <v>171</v>
      </c>
      <c r="B182" s="60">
        <f>Spaces_Sum!C227</f>
        <v>0</v>
      </c>
      <c r="C182" s="62" t="str">
        <f>Spaces_Sum!D227</f>
        <v>0</v>
      </c>
      <c r="D182" s="62" t="e">
        <f ca="1">Spaces_Sum!I227</f>
        <v>#N/A</v>
      </c>
      <c r="F182" s="110" t="e">
        <f ca="1">Spaces_Sum!M227</f>
        <v>#N/A</v>
      </c>
      <c r="G182" s="110" t="e">
        <f ca="1">Spaces_Sum!J227</f>
        <v>#N/A</v>
      </c>
      <c r="H182" s="532"/>
      <c r="I182" s="185"/>
      <c r="J182" s="185"/>
      <c r="K182" s="186"/>
      <c r="L182" s="187"/>
      <c r="M182" s="188"/>
      <c r="N182" s="189"/>
      <c r="O182" s="186"/>
      <c r="P182" s="187"/>
      <c r="Q182" s="188"/>
      <c r="R182" s="189"/>
      <c r="S182" s="186"/>
      <c r="T182" s="187"/>
      <c r="U182" s="188"/>
      <c r="V182" s="189"/>
      <c r="W182" s="186"/>
      <c r="X182" s="187"/>
      <c r="Y182" s="188"/>
      <c r="Z182" s="189"/>
      <c r="AA182" s="186"/>
      <c r="AB182" s="187"/>
      <c r="AC182" s="188"/>
      <c r="AD182" s="189"/>
      <c r="AE182" s="186"/>
      <c r="AF182" s="187"/>
      <c r="AG182" s="188"/>
      <c r="AH182" s="189"/>
      <c r="AI182" s="186"/>
      <c r="AJ182" s="187"/>
      <c r="AK182" s="188"/>
      <c r="AL182" s="189"/>
      <c r="AM182" s="186"/>
      <c r="AN182" s="187"/>
      <c r="AO182" s="188"/>
      <c r="AP182" s="189"/>
      <c r="AQ182" s="186"/>
      <c r="AR182" s="187"/>
      <c r="AS182" s="188"/>
      <c r="AT182" s="189"/>
      <c r="AU182" s="186"/>
      <c r="AV182" s="187"/>
      <c r="AW182" s="188"/>
      <c r="AX182" s="189"/>
      <c r="AY182" s="186"/>
      <c r="AZ182" s="187"/>
      <c r="BA182" s="188"/>
      <c r="BB182" s="189"/>
      <c r="BC182" s="186"/>
      <c r="BD182" s="187"/>
      <c r="BE182" s="188"/>
      <c r="BF182" s="189"/>
      <c r="BG182" s="186"/>
      <c r="BH182" s="187"/>
      <c r="BI182" s="188"/>
      <c r="BJ182" s="189"/>
      <c r="BK182" s="186"/>
      <c r="BL182" s="187"/>
      <c r="BM182" s="188"/>
      <c r="BN182" s="189"/>
      <c r="BO182" s="186"/>
      <c r="BP182" s="187"/>
      <c r="BQ182" s="188"/>
      <c r="BR182" s="189"/>
      <c r="BS182" s="186"/>
      <c r="BT182" s="187"/>
      <c r="BU182" s="188"/>
      <c r="BV182" s="189"/>
      <c r="BW182" s="186"/>
      <c r="BX182" s="187"/>
      <c r="BY182" s="188"/>
      <c r="BZ182" s="189"/>
      <c r="CA182" s="186"/>
      <c r="CB182" s="190"/>
      <c r="CC182" s="190"/>
      <c r="CD182" s="82">
        <f t="shared" si="526"/>
        <v>0</v>
      </c>
      <c r="CE182" s="82">
        <f t="shared" si="527"/>
        <v>0</v>
      </c>
      <c r="CF182" s="82">
        <f t="shared" si="528"/>
        <v>0</v>
      </c>
      <c r="CG182" s="82">
        <f t="shared" si="529"/>
        <v>0</v>
      </c>
      <c r="CH182" s="82">
        <f t="shared" si="530"/>
        <v>0</v>
      </c>
      <c r="CI182" s="82">
        <f t="shared" si="531"/>
        <v>0</v>
      </c>
      <c r="CJ182" s="82">
        <f t="shared" si="532"/>
        <v>0</v>
      </c>
      <c r="CK182" s="82">
        <f t="shared" si="533"/>
        <v>0</v>
      </c>
      <c r="CL182" s="82">
        <f t="shared" si="534"/>
        <v>0</v>
      </c>
      <c r="CM182" s="82">
        <f t="shared" si="535"/>
        <v>0</v>
      </c>
      <c r="CN182" s="82">
        <f t="shared" si="536"/>
        <v>0</v>
      </c>
      <c r="CO182" s="82">
        <f t="shared" si="537"/>
        <v>0</v>
      </c>
      <c r="CP182" s="82">
        <f t="shared" si="538"/>
        <v>0</v>
      </c>
      <c r="CQ182" s="82">
        <f t="shared" si="539"/>
        <v>0</v>
      </c>
      <c r="CR182" s="82">
        <f t="shared" si="540"/>
        <v>0</v>
      </c>
      <c r="CS182" s="82">
        <f t="shared" si="541"/>
        <v>0</v>
      </c>
      <c r="CT182" s="82">
        <f t="shared" si="542"/>
        <v>0</v>
      </c>
      <c r="CU182" s="82">
        <f t="shared" si="543"/>
        <v>0</v>
      </c>
      <c r="CV182" s="82">
        <f t="shared" si="544"/>
        <v>0</v>
      </c>
      <c r="CW182" s="82">
        <f t="shared" si="545"/>
        <v>0</v>
      </c>
      <c r="CX182" s="82">
        <f t="shared" si="546"/>
        <v>0</v>
      </c>
      <c r="CY182" s="82">
        <f t="shared" si="547"/>
        <v>0</v>
      </c>
      <c r="CZ182" s="82">
        <f t="shared" si="548"/>
        <v>0</v>
      </c>
      <c r="DA182" s="82">
        <f t="shared" si="549"/>
        <v>0</v>
      </c>
      <c r="DB182" s="82">
        <f t="shared" si="550"/>
        <v>0</v>
      </c>
      <c r="DC182" s="82">
        <f t="shared" si="551"/>
        <v>0</v>
      </c>
      <c r="DD182" s="82">
        <f t="shared" si="552"/>
        <v>0</v>
      </c>
      <c r="DE182" s="82">
        <f t="shared" si="553"/>
        <v>0</v>
      </c>
      <c r="DF182" s="82">
        <f t="shared" si="554"/>
        <v>0</v>
      </c>
      <c r="DG182" s="82">
        <f t="shared" si="555"/>
        <v>0</v>
      </c>
      <c r="DH182" s="82">
        <f t="shared" si="556"/>
        <v>0</v>
      </c>
      <c r="DI182" s="82">
        <f t="shared" si="557"/>
        <v>0</v>
      </c>
      <c r="DJ182" s="82">
        <f t="shared" si="558"/>
        <v>0</v>
      </c>
      <c r="DK182" s="82">
        <f t="shared" si="559"/>
        <v>0</v>
      </c>
      <c r="DL182" s="82">
        <f t="shared" si="560"/>
        <v>0</v>
      </c>
      <c r="DM182" s="82">
        <f t="shared" si="561"/>
        <v>0</v>
      </c>
      <c r="DN182" s="82">
        <f t="shared" si="562"/>
        <v>0</v>
      </c>
      <c r="DO182" s="82">
        <f t="shared" si="563"/>
        <v>0</v>
      </c>
      <c r="DP182" s="82">
        <f t="shared" si="564"/>
        <v>0</v>
      </c>
      <c r="DQ182" s="82">
        <f t="shared" si="565"/>
        <v>0</v>
      </c>
      <c r="DR182" s="82">
        <f t="shared" si="566"/>
        <v>0</v>
      </c>
      <c r="DS182" s="82">
        <f t="shared" si="567"/>
        <v>0</v>
      </c>
      <c r="DT182" s="82">
        <f t="shared" si="568"/>
        <v>0</v>
      </c>
      <c r="DU182" s="82">
        <f t="shared" si="569"/>
        <v>0</v>
      </c>
      <c r="DV182" s="82">
        <f t="shared" si="570"/>
        <v>0</v>
      </c>
      <c r="DW182" s="82">
        <f t="shared" si="571"/>
        <v>0</v>
      </c>
      <c r="DX182" s="82">
        <f t="shared" si="572"/>
        <v>0</v>
      </c>
      <c r="DY182" s="82">
        <f t="shared" si="573"/>
        <v>0</v>
      </c>
      <c r="DZ182" s="82">
        <f t="shared" si="574"/>
        <v>0</v>
      </c>
      <c r="EA182" s="82">
        <f t="shared" si="575"/>
        <v>0</v>
      </c>
      <c r="EB182" s="82">
        <f t="shared" si="576"/>
        <v>0</v>
      </c>
      <c r="EC182" s="82">
        <f t="shared" si="577"/>
        <v>0</v>
      </c>
      <c r="ED182" s="82">
        <f t="shared" si="578"/>
        <v>0</v>
      </c>
      <c r="EE182" s="82">
        <f t="shared" si="579"/>
        <v>0</v>
      </c>
      <c r="EF182" s="82">
        <f t="shared" si="580"/>
        <v>0</v>
      </c>
      <c r="EG182" s="82">
        <f t="shared" si="581"/>
        <v>0</v>
      </c>
      <c r="EH182" s="82">
        <f t="shared" si="582"/>
        <v>0</v>
      </c>
      <c r="EI182" s="82">
        <f t="shared" si="583"/>
        <v>0</v>
      </c>
      <c r="EJ182" s="82">
        <f t="shared" si="584"/>
        <v>0</v>
      </c>
      <c r="EK182" s="82">
        <f t="shared" si="585"/>
        <v>0</v>
      </c>
      <c r="EL182" s="82">
        <f t="shared" si="586"/>
        <v>0</v>
      </c>
      <c r="EM182" s="82">
        <f t="shared" si="587"/>
        <v>0</v>
      </c>
      <c r="EN182" s="82">
        <f t="shared" si="588"/>
        <v>0</v>
      </c>
      <c r="EO182" s="82">
        <f t="shared" si="589"/>
        <v>0</v>
      </c>
      <c r="EP182" s="82">
        <f t="shared" si="590"/>
        <v>0</v>
      </c>
      <c r="EQ182" s="82">
        <f t="shared" si="591"/>
        <v>0</v>
      </c>
      <c r="ER182" s="82">
        <f t="shared" si="592"/>
        <v>0</v>
      </c>
      <c r="ES182" s="82">
        <f t="shared" si="593"/>
        <v>0</v>
      </c>
      <c r="ET182" s="82">
        <f t="shared" si="594"/>
        <v>0</v>
      </c>
      <c r="EU182" s="82">
        <f t="shared" si="595"/>
        <v>0</v>
      </c>
      <c r="EV182" s="82">
        <f t="shared" si="596"/>
        <v>0</v>
      </c>
      <c r="EW182" s="82">
        <f t="shared" si="597"/>
        <v>0</v>
      </c>
      <c r="EX182" s="82">
        <f t="shared" si="598"/>
        <v>0</v>
      </c>
      <c r="EY182" s="111">
        <f t="shared" si="599"/>
        <v>0</v>
      </c>
      <c r="EZ182" s="143" t="e">
        <f t="shared" ca="1" si="600"/>
        <v>#N/A</v>
      </c>
      <c r="FA182" s="112" t="e">
        <f t="shared" ca="1" si="601"/>
        <v>#N/A</v>
      </c>
      <c r="FB182" s="113" t="e">
        <f t="shared" ca="1" si="602"/>
        <v>#N/A</v>
      </c>
      <c r="FC182" s="114" t="e">
        <f t="shared" ca="1" si="603"/>
        <v>#N/A</v>
      </c>
      <c r="FD182" s="115">
        <f t="shared" ca="1" si="604"/>
        <v>0</v>
      </c>
      <c r="FE182" s="116" t="e">
        <f t="shared" ca="1" si="605"/>
        <v>#N/A</v>
      </c>
      <c r="FF182" s="117" t="e">
        <f t="shared" ca="1" si="606"/>
        <v>#N/A</v>
      </c>
      <c r="FG182" s="71">
        <f t="shared" si="607"/>
        <v>0</v>
      </c>
      <c r="FH182" s="530" t="e">
        <f t="shared" ca="1" si="608"/>
        <v>#N/A</v>
      </c>
      <c r="FI182" s="72"/>
      <c r="FJ182" s="72"/>
      <c r="FK182" s="72"/>
      <c r="FM182" s="421">
        <f t="shared" si="609"/>
        <v>0</v>
      </c>
      <c r="FN182" s="422" t="e">
        <f t="shared" ca="1" si="610"/>
        <v>#N/A</v>
      </c>
      <c r="FO182" s="423">
        <f t="shared" ca="1" si="615"/>
        <v>0</v>
      </c>
      <c r="FP182" s="423">
        <f t="shared" ca="1" si="615"/>
        <v>0</v>
      </c>
      <c r="FQ182" s="423">
        <f t="shared" ca="1" si="615"/>
        <v>0</v>
      </c>
      <c r="FR182" s="423">
        <f t="shared" ca="1" si="615"/>
        <v>0</v>
      </c>
      <c r="FS182" s="423">
        <f t="shared" ca="1" si="615"/>
        <v>0</v>
      </c>
      <c r="FT182" s="423">
        <f t="shared" ca="1" si="615"/>
        <v>0</v>
      </c>
      <c r="FU182" s="423">
        <f t="shared" ca="1" si="615"/>
        <v>0</v>
      </c>
      <c r="FV182" s="423">
        <f t="shared" ca="1" si="615"/>
        <v>0</v>
      </c>
      <c r="FW182" s="423">
        <f t="shared" ca="1" si="615"/>
        <v>0</v>
      </c>
      <c r="FX182" s="423">
        <f t="shared" ca="1" si="615"/>
        <v>0</v>
      </c>
      <c r="FY182" s="423">
        <f t="shared" ca="1" si="615"/>
        <v>0</v>
      </c>
      <c r="FZ182" s="423">
        <f t="shared" ca="1" si="615"/>
        <v>0</v>
      </c>
      <c r="GA182" s="423">
        <f t="shared" ca="1" si="615"/>
        <v>0</v>
      </c>
      <c r="GB182" s="423">
        <f t="shared" ca="1" si="615"/>
        <v>0</v>
      </c>
      <c r="GC182" s="423">
        <f t="shared" ca="1" si="615"/>
        <v>0</v>
      </c>
      <c r="GD182" s="423">
        <f t="shared" ca="1" si="612"/>
        <v>0</v>
      </c>
      <c r="GE182" s="423">
        <f t="shared" ca="1" si="612"/>
        <v>0</v>
      </c>
      <c r="GF182" s="423">
        <f t="shared" ca="1" si="612"/>
        <v>0</v>
      </c>
      <c r="GG182" s="423">
        <f t="shared" ca="1" si="612"/>
        <v>0</v>
      </c>
      <c r="GH182" s="423">
        <f t="shared" ca="1" si="612"/>
        <v>0</v>
      </c>
      <c r="GI182" s="423">
        <f t="shared" ca="1" si="612"/>
        <v>0</v>
      </c>
      <c r="GJ182" s="423">
        <f t="shared" ca="1" si="612"/>
        <v>0</v>
      </c>
      <c r="GK182" s="423">
        <f t="shared" ca="1" si="612"/>
        <v>0</v>
      </c>
      <c r="GL182" s="423">
        <f t="shared" ca="1" si="612"/>
        <v>0</v>
      </c>
      <c r="GM182" s="423">
        <f t="shared" ca="1" si="612"/>
        <v>0</v>
      </c>
      <c r="GN182" s="423">
        <f t="shared" ca="1" si="612"/>
        <v>0</v>
      </c>
      <c r="GO182" s="423">
        <f t="shared" ca="1" si="612"/>
        <v>0</v>
      </c>
      <c r="GP182" s="423">
        <f t="shared" ca="1" si="612"/>
        <v>0</v>
      </c>
      <c r="GQ182" s="423">
        <f t="shared" ca="1" si="612"/>
        <v>0</v>
      </c>
      <c r="GR182" s="423">
        <f t="shared" ca="1" si="612"/>
        <v>0</v>
      </c>
      <c r="GS182" s="423">
        <f t="shared" ca="1" si="612"/>
        <v>0</v>
      </c>
      <c r="GT182" s="423">
        <f t="shared" ca="1" si="613"/>
        <v>0</v>
      </c>
      <c r="GU182" s="423">
        <f t="shared" ca="1" si="611"/>
        <v>0</v>
      </c>
      <c r="GV182" s="423">
        <f t="shared" ca="1" si="611"/>
        <v>0</v>
      </c>
      <c r="GW182" s="423">
        <f t="shared" ca="1" si="611"/>
        <v>0</v>
      </c>
      <c r="GX182" s="423">
        <f t="shared" ca="1" si="611"/>
        <v>0</v>
      </c>
      <c r="GY182" s="423">
        <f t="shared" ca="1" si="611"/>
        <v>0</v>
      </c>
      <c r="GZ182" s="423">
        <f t="shared" ca="1" si="611"/>
        <v>0</v>
      </c>
      <c r="HA182" s="423">
        <f t="shared" ca="1" si="611"/>
        <v>0</v>
      </c>
      <c r="HB182" s="423">
        <f t="shared" ca="1" si="611"/>
        <v>0</v>
      </c>
      <c r="HC182" s="423">
        <f t="shared" ca="1" si="611"/>
        <v>0</v>
      </c>
      <c r="HD182" s="423">
        <f t="shared" ca="1" si="611"/>
        <v>0</v>
      </c>
      <c r="HE182" s="423">
        <f t="shared" ca="1" si="611"/>
        <v>0</v>
      </c>
      <c r="HF182" s="423">
        <f t="shared" ca="1" si="611"/>
        <v>0</v>
      </c>
      <c r="HG182" s="423">
        <f t="shared" ca="1" si="611"/>
        <v>0</v>
      </c>
      <c r="HH182" s="423">
        <f t="shared" ca="1" si="611"/>
        <v>0</v>
      </c>
      <c r="HI182" s="423">
        <f t="shared" ca="1" si="611"/>
        <v>0</v>
      </c>
      <c r="HJ182" s="423">
        <f t="shared" ca="1" si="611"/>
        <v>0</v>
      </c>
      <c r="HK182" s="423">
        <f t="shared" ca="1" si="614"/>
        <v>0</v>
      </c>
      <c r="HL182" s="423">
        <f t="shared" ca="1" si="614"/>
        <v>0</v>
      </c>
      <c r="HM182" s="423">
        <f t="shared" ca="1" si="614"/>
        <v>0</v>
      </c>
      <c r="HN182" s="423">
        <f t="shared" ca="1" si="614"/>
        <v>0</v>
      </c>
      <c r="HO182" s="423">
        <f t="shared" ca="1" si="614"/>
        <v>0</v>
      </c>
      <c r="HP182" s="423">
        <f t="shared" ca="1" si="614"/>
        <v>0</v>
      </c>
      <c r="HQ182" s="423">
        <f t="shared" ca="1" si="614"/>
        <v>0</v>
      </c>
      <c r="HR182" s="423">
        <f t="shared" ca="1" si="614"/>
        <v>0</v>
      </c>
      <c r="HS182" s="423">
        <f t="shared" ca="1" si="614"/>
        <v>0</v>
      </c>
      <c r="HT182" s="423">
        <f t="shared" ca="1" si="614"/>
        <v>0</v>
      </c>
    </row>
    <row r="183" spans="1:228" x14ac:dyDescent="0.2">
      <c r="A183" s="62">
        <f t="shared" si="516"/>
        <v>172</v>
      </c>
      <c r="B183" s="60">
        <f>Spaces_Sum!C228</f>
        <v>0</v>
      </c>
      <c r="C183" s="62" t="str">
        <f>Spaces_Sum!D228</f>
        <v>0</v>
      </c>
      <c r="D183" s="62" t="e">
        <f ca="1">Spaces_Sum!I228</f>
        <v>#N/A</v>
      </c>
      <c r="F183" s="110" t="e">
        <f ca="1">Spaces_Sum!M228</f>
        <v>#N/A</v>
      </c>
      <c r="G183" s="110" t="e">
        <f ca="1">Spaces_Sum!J228</f>
        <v>#N/A</v>
      </c>
      <c r="H183" s="532"/>
      <c r="I183" s="185"/>
      <c r="J183" s="185"/>
      <c r="K183" s="186"/>
      <c r="L183" s="187"/>
      <c r="M183" s="188"/>
      <c r="N183" s="189"/>
      <c r="O183" s="186"/>
      <c r="P183" s="187"/>
      <c r="Q183" s="188"/>
      <c r="R183" s="189"/>
      <c r="S183" s="186"/>
      <c r="T183" s="187"/>
      <c r="U183" s="188"/>
      <c r="V183" s="189"/>
      <c r="W183" s="186"/>
      <c r="X183" s="187"/>
      <c r="Y183" s="188"/>
      <c r="Z183" s="189"/>
      <c r="AA183" s="186"/>
      <c r="AB183" s="187"/>
      <c r="AC183" s="188"/>
      <c r="AD183" s="189"/>
      <c r="AE183" s="186"/>
      <c r="AF183" s="187"/>
      <c r="AG183" s="188"/>
      <c r="AH183" s="189"/>
      <c r="AI183" s="186"/>
      <c r="AJ183" s="187"/>
      <c r="AK183" s="188"/>
      <c r="AL183" s="189"/>
      <c r="AM183" s="186"/>
      <c r="AN183" s="187"/>
      <c r="AO183" s="188"/>
      <c r="AP183" s="189"/>
      <c r="AQ183" s="186"/>
      <c r="AR183" s="187"/>
      <c r="AS183" s="188"/>
      <c r="AT183" s="189"/>
      <c r="AU183" s="186"/>
      <c r="AV183" s="187"/>
      <c r="AW183" s="188"/>
      <c r="AX183" s="189"/>
      <c r="AY183" s="186"/>
      <c r="AZ183" s="187"/>
      <c r="BA183" s="188"/>
      <c r="BB183" s="189"/>
      <c r="BC183" s="186"/>
      <c r="BD183" s="187"/>
      <c r="BE183" s="188"/>
      <c r="BF183" s="189"/>
      <c r="BG183" s="186"/>
      <c r="BH183" s="187"/>
      <c r="BI183" s="188"/>
      <c r="BJ183" s="189"/>
      <c r="BK183" s="186"/>
      <c r="BL183" s="187"/>
      <c r="BM183" s="188"/>
      <c r="BN183" s="189"/>
      <c r="BO183" s="186"/>
      <c r="BP183" s="187"/>
      <c r="BQ183" s="188"/>
      <c r="BR183" s="189"/>
      <c r="BS183" s="186"/>
      <c r="BT183" s="187"/>
      <c r="BU183" s="188"/>
      <c r="BV183" s="189"/>
      <c r="BW183" s="186"/>
      <c r="BX183" s="187"/>
      <c r="BY183" s="188"/>
      <c r="BZ183" s="189"/>
      <c r="CA183" s="186"/>
      <c r="CB183" s="190"/>
      <c r="CC183" s="190"/>
      <c r="CD183" s="82">
        <f t="shared" si="526"/>
        <v>0</v>
      </c>
      <c r="CE183" s="82">
        <f t="shared" si="527"/>
        <v>0</v>
      </c>
      <c r="CF183" s="82">
        <f t="shared" si="528"/>
        <v>0</v>
      </c>
      <c r="CG183" s="82">
        <f t="shared" si="529"/>
        <v>0</v>
      </c>
      <c r="CH183" s="82">
        <f t="shared" si="530"/>
        <v>0</v>
      </c>
      <c r="CI183" s="82">
        <f t="shared" si="531"/>
        <v>0</v>
      </c>
      <c r="CJ183" s="82">
        <f t="shared" si="532"/>
        <v>0</v>
      </c>
      <c r="CK183" s="82">
        <f t="shared" si="533"/>
        <v>0</v>
      </c>
      <c r="CL183" s="82">
        <f t="shared" si="534"/>
        <v>0</v>
      </c>
      <c r="CM183" s="82">
        <f t="shared" si="535"/>
        <v>0</v>
      </c>
      <c r="CN183" s="82">
        <f t="shared" si="536"/>
        <v>0</v>
      </c>
      <c r="CO183" s="82">
        <f t="shared" si="537"/>
        <v>0</v>
      </c>
      <c r="CP183" s="82">
        <f t="shared" si="538"/>
        <v>0</v>
      </c>
      <c r="CQ183" s="82">
        <f t="shared" si="539"/>
        <v>0</v>
      </c>
      <c r="CR183" s="82">
        <f t="shared" si="540"/>
        <v>0</v>
      </c>
      <c r="CS183" s="82">
        <f t="shared" si="541"/>
        <v>0</v>
      </c>
      <c r="CT183" s="82">
        <f t="shared" si="542"/>
        <v>0</v>
      </c>
      <c r="CU183" s="82">
        <f t="shared" si="543"/>
        <v>0</v>
      </c>
      <c r="CV183" s="82">
        <f t="shared" si="544"/>
        <v>0</v>
      </c>
      <c r="CW183" s="82">
        <f t="shared" si="545"/>
        <v>0</v>
      </c>
      <c r="CX183" s="82">
        <f t="shared" si="546"/>
        <v>0</v>
      </c>
      <c r="CY183" s="82">
        <f t="shared" si="547"/>
        <v>0</v>
      </c>
      <c r="CZ183" s="82">
        <f t="shared" si="548"/>
        <v>0</v>
      </c>
      <c r="DA183" s="82">
        <f t="shared" si="549"/>
        <v>0</v>
      </c>
      <c r="DB183" s="82">
        <f t="shared" si="550"/>
        <v>0</v>
      </c>
      <c r="DC183" s="82">
        <f t="shared" si="551"/>
        <v>0</v>
      </c>
      <c r="DD183" s="82">
        <f t="shared" si="552"/>
        <v>0</v>
      </c>
      <c r="DE183" s="82">
        <f t="shared" si="553"/>
        <v>0</v>
      </c>
      <c r="DF183" s="82">
        <f t="shared" si="554"/>
        <v>0</v>
      </c>
      <c r="DG183" s="82">
        <f t="shared" si="555"/>
        <v>0</v>
      </c>
      <c r="DH183" s="82">
        <f t="shared" si="556"/>
        <v>0</v>
      </c>
      <c r="DI183" s="82">
        <f t="shared" si="557"/>
        <v>0</v>
      </c>
      <c r="DJ183" s="82">
        <f t="shared" si="558"/>
        <v>0</v>
      </c>
      <c r="DK183" s="82">
        <f t="shared" si="559"/>
        <v>0</v>
      </c>
      <c r="DL183" s="82">
        <f t="shared" si="560"/>
        <v>0</v>
      </c>
      <c r="DM183" s="82">
        <f t="shared" si="561"/>
        <v>0</v>
      </c>
      <c r="DN183" s="82">
        <f t="shared" si="562"/>
        <v>0</v>
      </c>
      <c r="DO183" s="82">
        <f t="shared" si="563"/>
        <v>0</v>
      </c>
      <c r="DP183" s="82">
        <f t="shared" si="564"/>
        <v>0</v>
      </c>
      <c r="DQ183" s="82">
        <f t="shared" si="565"/>
        <v>0</v>
      </c>
      <c r="DR183" s="82">
        <f t="shared" si="566"/>
        <v>0</v>
      </c>
      <c r="DS183" s="82">
        <f t="shared" si="567"/>
        <v>0</v>
      </c>
      <c r="DT183" s="82">
        <f t="shared" si="568"/>
        <v>0</v>
      </c>
      <c r="DU183" s="82">
        <f t="shared" si="569"/>
        <v>0</v>
      </c>
      <c r="DV183" s="82">
        <f t="shared" si="570"/>
        <v>0</v>
      </c>
      <c r="DW183" s="82">
        <f t="shared" si="571"/>
        <v>0</v>
      </c>
      <c r="DX183" s="82">
        <f t="shared" si="572"/>
        <v>0</v>
      </c>
      <c r="DY183" s="82">
        <f t="shared" si="573"/>
        <v>0</v>
      </c>
      <c r="DZ183" s="82">
        <f t="shared" si="574"/>
        <v>0</v>
      </c>
      <c r="EA183" s="82">
        <f t="shared" si="575"/>
        <v>0</v>
      </c>
      <c r="EB183" s="82">
        <f t="shared" si="576"/>
        <v>0</v>
      </c>
      <c r="EC183" s="82">
        <f t="shared" si="577"/>
        <v>0</v>
      </c>
      <c r="ED183" s="82">
        <f t="shared" si="578"/>
        <v>0</v>
      </c>
      <c r="EE183" s="82">
        <f t="shared" si="579"/>
        <v>0</v>
      </c>
      <c r="EF183" s="82">
        <f t="shared" si="580"/>
        <v>0</v>
      </c>
      <c r="EG183" s="82">
        <f t="shared" si="581"/>
        <v>0</v>
      </c>
      <c r="EH183" s="82">
        <f t="shared" si="582"/>
        <v>0</v>
      </c>
      <c r="EI183" s="82">
        <f t="shared" si="583"/>
        <v>0</v>
      </c>
      <c r="EJ183" s="82">
        <f t="shared" si="584"/>
        <v>0</v>
      </c>
      <c r="EK183" s="82">
        <f t="shared" si="585"/>
        <v>0</v>
      </c>
      <c r="EL183" s="82">
        <f t="shared" si="586"/>
        <v>0</v>
      </c>
      <c r="EM183" s="82">
        <f t="shared" si="587"/>
        <v>0</v>
      </c>
      <c r="EN183" s="82">
        <f t="shared" si="588"/>
        <v>0</v>
      </c>
      <c r="EO183" s="82">
        <f t="shared" si="589"/>
        <v>0</v>
      </c>
      <c r="EP183" s="82">
        <f t="shared" si="590"/>
        <v>0</v>
      </c>
      <c r="EQ183" s="82">
        <f t="shared" si="591"/>
        <v>0</v>
      </c>
      <c r="ER183" s="82">
        <f t="shared" si="592"/>
        <v>0</v>
      </c>
      <c r="ES183" s="82">
        <f t="shared" si="593"/>
        <v>0</v>
      </c>
      <c r="ET183" s="82">
        <f t="shared" si="594"/>
        <v>0</v>
      </c>
      <c r="EU183" s="82">
        <f t="shared" si="595"/>
        <v>0</v>
      </c>
      <c r="EV183" s="82">
        <f t="shared" si="596"/>
        <v>0</v>
      </c>
      <c r="EW183" s="82">
        <f t="shared" si="597"/>
        <v>0</v>
      </c>
      <c r="EX183" s="82">
        <f t="shared" si="598"/>
        <v>0</v>
      </c>
      <c r="EY183" s="111">
        <f t="shared" si="599"/>
        <v>0</v>
      </c>
      <c r="EZ183" s="143" t="e">
        <f t="shared" ca="1" si="600"/>
        <v>#N/A</v>
      </c>
      <c r="FA183" s="112" t="e">
        <f t="shared" ca="1" si="601"/>
        <v>#N/A</v>
      </c>
      <c r="FB183" s="113" t="e">
        <f t="shared" ca="1" si="602"/>
        <v>#N/A</v>
      </c>
      <c r="FC183" s="114" t="e">
        <f t="shared" ca="1" si="603"/>
        <v>#N/A</v>
      </c>
      <c r="FD183" s="115">
        <f t="shared" ca="1" si="604"/>
        <v>0</v>
      </c>
      <c r="FE183" s="116" t="e">
        <f t="shared" ca="1" si="605"/>
        <v>#N/A</v>
      </c>
      <c r="FF183" s="117" t="e">
        <f t="shared" ca="1" si="606"/>
        <v>#N/A</v>
      </c>
      <c r="FG183" s="71">
        <f t="shared" si="607"/>
        <v>0</v>
      </c>
      <c r="FH183" s="530" t="e">
        <f t="shared" ca="1" si="608"/>
        <v>#N/A</v>
      </c>
      <c r="FI183" s="72"/>
      <c r="FJ183" s="72"/>
      <c r="FK183" s="72"/>
      <c r="FM183" s="421">
        <f t="shared" si="609"/>
        <v>0</v>
      </c>
      <c r="FN183" s="422" t="e">
        <f t="shared" ca="1" si="610"/>
        <v>#N/A</v>
      </c>
      <c r="FO183" s="423">
        <f t="shared" ca="1" si="615"/>
        <v>0</v>
      </c>
      <c r="FP183" s="423">
        <f t="shared" ca="1" si="615"/>
        <v>0</v>
      </c>
      <c r="FQ183" s="423">
        <f t="shared" ca="1" si="615"/>
        <v>0</v>
      </c>
      <c r="FR183" s="423">
        <f t="shared" ca="1" si="615"/>
        <v>0</v>
      </c>
      <c r="FS183" s="423">
        <f t="shared" ca="1" si="615"/>
        <v>0</v>
      </c>
      <c r="FT183" s="423">
        <f t="shared" ca="1" si="615"/>
        <v>0</v>
      </c>
      <c r="FU183" s="423">
        <f t="shared" ca="1" si="615"/>
        <v>0</v>
      </c>
      <c r="FV183" s="423">
        <f t="shared" ca="1" si="615"/>
        <v>0</v>
      </c>
      <c r="FW183" s="423">
        <f t="shared" ca="1" si="615"/>
        <v>0</v>
      </c>
      <c r="FX183" s="423">
        <f t="shared" ca="1" si="615"/>
        <v>0</v>
      </c>
      <c r="FY183" s="423">
        <f t="shared" ca="1" si="615"/>
        <v>0</v>
      </c>
      <c r="FZ183" s="423">
        <f t="shared" ca="1" si="615"/>
        <v>0</v>
      </c>
      <c r="GA183" s="423">
        <f t="shared" ca="1" si="615"/>
        <v>0</v>
      </c>
      <c r="GB183" s="423">
        <f t="shared" ca="1" si="615"/>
        <v>0</v>
      </c>
      <c r="GC183" s="423">
        <f t="shared" ca="1" si="615"/>
        <v>0</v>
      </c>
      <c r="GD183" s="423">
        <f t="shared" ca="1" si="612"/>
        <v>0</v>
      </c>
      <c r="GE183" s="423">
        <f t="shared" ca="1" si="612"/>
        <v>0</v>
      </c>
      <c r="GF183" s="423">
        <f t="shared" ca="1" si="612"/>
        <v>0</v>
      </c>
      <c r="GG183" s="423">
        <f t="shared" ca="1" si="612"/>
        <v>0</v>
      </c>
      <c r="GH183" s="423">
        <f t="shared" ca="1" si="612"/>
        <v>0</v>
      </c>
      <c r="GI183" s="423">
        <f t="shared" ca="1" si="612"/>
        <v>0</v>
      </c>
      <c r="GJ183" s="423">
        <f t="shared" ca="1" si="612"/>
        <v>0</v>
      </c>
      <c r="GK183" s="423">
        <f t="shared" ca="1" si="612"/>
        <v>0</v>
      </c>
      <c r="GL183" s="423">
        <f t="shared" ca="1" si="612"/>
        <v>0</v>
      </c>
      <c r="GM183" s="423">
        <f t="shared" ca="1" si="612"/>
        <v>0</v>
      </c>
      <c r="GN183" s="423">
        <f t="shared" ca="1" si="612"/>
        <v>0</v>
      </c>
      <c r="GO183" s="423">
        <f t="shared" ca="1" si="612"/>
        <v>0</v>
      </c>
      <c r="GP183" s="423">
        <f t="shared" ca="1" si="612"/>
        <v>0</v>
      </c>
      <c r="GQ183" s="423">
        <f t="shared" ca="1" si="612"/>
        <v>0</v>
      </c>
      <c r="GR183" s="423">
        <f t="shared" ca="1" si="612"/>
        <v>0</v>
      </c>
      <c r="GS183" s="423">
        <f t="shared" ca="1" si="612"/>
        <v>0</v>
      </c>
      <c r="GT183" s="423">
        <f t="shared" ca="1" si="613"/>
        <v>0</v>
      </c>
      <c r="GU183" s="423">
        <f t="shared" ca="1" si="611"/>
        <v>0</v>
      </c>
      <c r="GV183" s="423">
        <f t="shared" ca="1" si="611"/>
        <v>0</v>
      </c>
      <c r="GW183" s="423">
        <f t="shared" ca="1" si="611"/>
        <v>0</v>
      </c>
      <c r="GX183" s="423">
        <f t="shared" ca="1" si="611"/>
        <v>0</v>
      </c>
      <c r="GY183" s="423">
        <f t="shared" ca="1" si="611"/>
        <v>0</v>
      </c>
      <c r="GZ183" s="423">
        <f t="shared" ca="1" si="611"/>
        <v>0</v>
      </c>
      <c r="HA183" s="423">
        <f t="shared" ca="1" si="611"/>
        <v>0</v>
      </c>
      <c r="HB183" s="423">
        <f t="shared" ca="1" si="611"/>
        <v>0</v>
      </c>
      <c r="HC183" s="423">
        <f t="shared" ca="1" si="611"/>
        <v>0</v>
      </c>
      <c r="HD183" s="423">
        <f t="shared" ca="1" si="611"/>
        <v>0</v>
      </c>
      <c r="HE183" s="423">
        <f t="shared" ca="1" si="611"/>
        <v>0</v>
      </c>
      <c r="HF183" s="423">
        <f t="shared" ca="1" si="611"/>
        <v>0</v>
      </c>
      <c r="HG183" s="423">
        <f t="shared" ca="1" si="611"/>
        <v>0</v>
      </c>
      <c r="HH183" s="423">
        <f t="shared" ca="1" si="611"/>
        <v>0</v>
      </c>
      <c r="HI183" s="423">
        <f t="shared" ca="1" si="611"/>
        <v>0</v>
      </c>
      <c r="HJ183" s="423">
        <f t="shared" ca="1" si="611"/>
        <v>0</v>
      </c>
      <c r="HK183" s="423">
        <f t="shared" ca="1" si="614"/>
        <v>0</v>
      </c>
      <c r="HL183" s="423">
        <f t="shared" ca="1" si="614"/>
        <v>0</v>
      </c>
      <c r="HM183" s="423">
        <f t="shared" ca="1" si="614"/>
        <v>0</v>
      </c>
      <c r="HN183" s="423">
        <f t="shared" ca="1" si="614"/>
        <v>0</v>
      </c>
      <c r="HO183" s="423">
        <f t="shared" ca="1" si="614"/>
        <v>0</v>
      </c>
      <c r="HP183" s="423">
        <f t="shared" ca="1" si="614"/>
        <v>0</v>
      </c>
      <c r="HQ183" s="423">
        <f t="shared" ca="1" si="614"/>
        <v>0</v>
      </c>
      <c r="HR183" s="423">
        <f t="shared" ca="1" si="614"/>
        <v>0</v>
      </c>
      <c r="HS183" s="423">
        <f t="shared" ca="1" si="614"/>
        <v>0</v>
      </c>
      <c r="HT183" s="423">
        <f t="shared" ca="1" si="614"/>
        <v>0</v>
      </c>
    </row>
    <row r="184" spans="1:228" x14ac:dyDescent="0.2">
      <c r="A184" s="62">
        <f t="shared" si="516"/>
        <v>173</v>
      </c>
      <c r="B184" s="60">
        <f>Spaces_Sum!C229</f>
        <v>0</v>
      </c>
      <c r="C184" s="62" t="str">
        <f>Spaces_Sum!D229</f>
        <v>0</v>
      </c>
      <c r="D184" s="62" t="e">
        <f ca="1">Spaces_Sum!I229</f>
        <v>#N/A</v>
      </c>
      <c r="F184" s="110" t="e">
        <f ca="1">Spaces_Sum!M229</f>
        <v>#N/A</v>
      </c>
      <c r="G184" s="110" t="e">
        <f ca="1">Spaces_Sum!J229</f>
        <v>#N/A</v>
      </c>
      <c r="H184" s="532"/>
      <c r="I184" s="185"/>
      <c r="J184" s="185"/>
      <c r="K184" s="186"/>
      <c r="L184" s="187"/>
      <c r="M184" s="188"/>
      <c r="N184" s="189"/>
      <c r="O184" s="186"/>
      <c r="P184" s="187"/>
      <c r="Q184" s="188"/>
      <c r="R184" s="189"/>
      <c r="S184" s="186"/>
      <c r="T184" s="187"/>
      <c r="U184" s="188"/>
      <c r="V184" s="189"/>
      <c r="W184" s="186"/>
      <c r="X184" s="187"/>
      <c r="Y184" s="188"/>
      <c r="Z184" s="189"/>
      <c r="AA184" s="186"/>
      <c r="AB184" s="187"/>
      <c r="AC184" s="188"/>
      <c r="AD184" s="189"/>
      <c r="AE184" s="186"/>
      <c r="AF184" s="187"/>
      <c r="AG184" s="188"/>
      <c r="AH184" s="189"/>
      <c r="AI184" s="186"/>
      <c r="AJ184" s="187"/>
      <c r="AK184" s="188"/>
      <c r="AL184" s="189"/>
      <c r="AM184" s="186"/>
      <c r="AN184" s="187"/>
      <c r="AO184" s="188"/>
      <c r="AP184" s="189"/>
      <c r="AQ184" s="186"/>
      <c r="AR184" s="187"/>
      <c r="AS184" s="188"/>
      <c r="AT184" s="189"/>
      <c r="AU184" s="186"/>
      <c r="AV184" s="187"/>
      <c r="AW184" s="188"/>
      <c r="AX184" s="189"/>
      <c r="AY184" s="186"/>
      <c r="AZ184" s="187"/>
      <c r="BA184" s="188"/>
      <c r="BB184" s="189"/>
      <c r="BC184" s="186"/>
      <c r="BD184" s="187"/>
      <c r="BE184" s="188"/>
      <c r="BF184" s="189"/>
      <c r="BG184" s="186"/>
      <c r="BH184" s="187"/>
      <c r="BI184" s="188"/>
      <c r="BJ184" s="189"/>
      <c r="BK184" s="186"/>
      <c r="BL184" s="187"/>
      <c r="BM184" s="188"/>
      <c r="BN184" s="189"/>
      <c r="BO184" s="186"/>
      <c r="BP184" s="187"/>
      <c r="BQ184" s="188"/>
      <c r="BR184" s="189"/>
      <c r="BS184" s="186"/>
      <c r="BT184" s="187"/>
      <c r="BU184" s="188"/>
      <c r="BV184" s="189"/>
      <c r="BW184" s="186"/>
      <c r="BX184" s="187"/>
      <c r="BY184" s="188"/>
      <c r="BZ184" s="189"/>
      <c r="CA184" s="186"/>
      <c r="CB184" s="190"/>
      <c r="CC184" s="190"/>
      <c r="CD184" s="82">
        <f t="shared" si="526"/>
        <v>0</v>
      </c>
      <c r="CE184" s="82">
        <f t="shared" si="527"/>
        <v>0</v>
      </c>
      <c r="CF184" s="82">
        <f t="shared" si="528"/>
        <v>0</v>
      </c>
      <c r="CG184" s="82">
        <f t="shared" si="529"/>
        <v>0</v>
      </c>
      <c r="CH184" s="82">
        <f t="shared" si="530"/>
        <v>0</v>
      </c>
      <c r="CI184" s="82">
        <f t="shared" si="531"/>
        <v>0</v>
      </c>
      <c r="CJ184" s="82">
        <f t="shared" si="532"/>
        <v>0</v>
      </c>
      <c r="CK184" s="82">
        <f t="shared" si="533"/>
        <v>0</v>
      </c>
      <c r="CL184" s="82">
        <f t="shared" si="534"/>
        <v>0</v>
      </c>
      <c r="CM184" s="82">
        <f t="shared" si="535"/>
        <v>0</v>
      </c>
      <c r="CN184" s="82">
        <f t="shared" si="536"/>
        <v>0</v>
      </c>
      <c r="CO184" s="82">
        <f t="shared" si="537"/>
        <v>0</v>
      </c>
      <c r="CP184" s="82">
        <f t="shared" si="538"/>
        <v>0</v>
      </c>
      <c r="CQ184" s="82">
        <f t="shared" si="539"/>
        <v>0</v>
      </c>
      <c r="CR184" s="82">
        <f t="shared" si="540"/>
        <v>0</v>
      </c>
      <c r="CS184" s="82">
        <f t="shared" si="541"/>
        <v>0</v>
      </c>
      <c r="CT184" s="82">
        <f t="shared" si="542"/>
        <v>0</v>
      </c>
      <c r="CU184" s="82">
        <f t="shared" si="543"/>
        <v>0</v>
      </c>
      <c r="CV184" s="82">
        <f t="shared" si="544"/>
        <v>0</v>
      </c>
      <c r="CW184" s="82">
        <f t="shared" si="545"/>
        <v>0</v>
      </c>
      <c r="CX184" s="82">
        <f t="shared" si="546"/>
        <v>0</v>
      </c>
      <c r="CY184" s="82">
        <f t="shared" si="547"/>
        <v>0</v>
      </c>
      <c r="CZ184" s="82">
        <f t="shared" si="548"/>
        <v>0</v>
      </c>
      <c r="DA184" s="82">
        <f t="shared" si="549"/>
        <v>0</v>
      </c>
      <c r="DB184" s="82">
        <f t="shared" si="550"/>
        <v>0</v>
      </c>
      <c r="DC184" s="82">
        <f t="shared" si="551"/>
        <v>0</v>
      </c>
      <c r="DD184" s="82">
        <f t="shared" si="552"/>
        <v>0</v>
      </c>
      <c r="DE184" s="82">
        <f t="shared" si="553"/>
        <v>0</v>
      </c>
      <c r="DF184" s="82">
        <f t="shared" si="554"/>
        <v>0</v>
      </c>
      <c r="DG184" s="82">
        <f t="shared" si="555"/>
        <v>0</v>
      </c>
      <c r="DH184" s="82">
        <f t="shared" si="556"/>
        <v>0</v>
      </c>
      <c r="DI184" s="82">
        <f t="shared" si="557"/>
        <v>0</v>
      </c>
      <c r="DJ184" s="82">
        <f t="shared" si="558"/>
        <v>0</v>
      </c>
      <c r="DK184" s="82">
        <f t="shared" si="559"/>
        <v>0</v>
      </c>
      <c r="DL184" s="82">
        <f t="shared" si="560"/>
        <v>0</v>
      </c>
      <c r="DM184" s="82">
        <f t="shared" si="561"/>
        <v>0</v>
      </c>
      <c r="DN184" s="82">
        <f t="shared" si="562"/>
        <v>0</v>
      </c>
      <c r="DO184" s="82">
        <f t="shared" si="563"/>
        <v>0</v>
      </c>
      <c r="DP184" s="82">
        <f t="shared" si="564"/>
        <v>0</v>
      </c>
      <c r="DQ184" s="82">
        <f t="shared" si="565"/>
        <v>0</v>
      </c>
      <c r="DR184" s="82">
        <f t="shared" si="566"/>
        <v>0</v>
      </c>
      <c r="DS184" s="82">
        <f t="shared" si="567"/>
        <v>0</v>
      </c>
      <c r="DT184" s="82">
        <f t="shared" si="568"/>
        <v>0</v>
      </c>
      <c r="DU184" s="82">
        <f t="shared" si="569"/>
        <v>0</v>
      </c>
      <c r="DV184" s="82">
        <f t="shared" si="570"/>
        <v>0</v>
      </c>
      <c r="DW184" s="82">
        <f t="shared" si="571"/>
        <v>0</v>
      </c>
      <c r="DX184" s="82">
        <f t="shared" si="572"/>
        <v>0</v>
      </c>
      <c r="DY184" s="82">
        <f t="shared" si="573"/>
        <v>0</v>
      </c>
      <c r="DZ184" s="82">
        <f t="shared" si="574"/>
        <v>0</v>
      </c>
      <c r="EA184" s="82">
        <f t="shared" si="575"/>
        <v>0</v>
      </c>
      <c r="EB184" s="82">
        <f t="shared" si="576"/>
        <v>0</v>
      </c>
      <c r="EC184" s="82">
        <f t="shared" si="577"/>
        <v>0</v>
      </c>
      <c r="ED184" s="82">
        <f t="shared" si="578"/>
        <v>0</v>
      </c>
      <c r="EE184" s="82">
        <f t="shared" si="579"/>
        <v>0</v>
      </c>
      <c r="EF184" s="82">
        <f t="shared" si="580"/>
        <v>0</v>
      </c>
      <c r="EG184" s="82">
        <f t="shared" si="581"/>
        <v>0</v>
      </c>
      <c r="EH184" s="82">
        <f t="shared" si="582"/>
        <v>0</v>
      </c>
      <c r="EI184" s="82">
        <f t="shared" si="583"/>
        <v>0</v>
      </c>
      <c r="EJ184" s="82">
        <f t="shared" si="584"/>
        <v>0</v>
      </c>
      <c r="EK184" s="82">
        <f t="shared" si="585"/>
        <v>0</v>
      </c>
      <c r="EL184" s="82">
        <f t="shared" si="586"/>
        <v>0</v>
      </c>
      <c r="EM184" s="82">
        <f t="shared" si="587"/>
        <v>0</v>
      </c>
      <c r="EN184" s="82">
        <f t="shared" si="588"/>
        <v>0</v>
      </c>
      <c r="EO184" s="82">
        <f t="shared" si="589"/>
        <v>0</v>
      </c>
      <c r="EP184" s="82">
        <f t="shared" si="590"/>
        <v>0</v>
      </c>
      <c r="EQ184" s="82">
        <f t="shared" si="591"/>
        <v>0</v>
      </c>
      <c r="ER184" s="82">
        <f t="shared" si="592"/>
        <v>0</v>
      </c>
      <c r="ES184" s="82">
        <f t="shared" si="593"/>
        <v>0</v>
      </c>
      <c r="ET184" s="82">
        <f t="shared" si="594"/>
        <v>0</v>
      </c>
      <c r="EU184" s="82">
        <f t="shared" si="595"/>
        <v>0</v>
      </c>
      <c r="EV184" s="82">
        <f t="shared" si="596"/>
        <v>0</v>
      </c>
      <c r="EW184" s="82">
        <f t="shared" si="597"/>
        <v>0</v>
      </c>
      <c r="EX184" s="82">
        <f t="shared" si="598"/>
        <v>0</v>
      </c>
      <c r="EY184" s="111">
        <f t="shared" si="599"/>
        <v>0</v>
      </c>
      <c r="EZ184" s="143" t="e">
        <f t="shared" ca="1" si="600"/>
        <v>#N/A</v>
      </c>
      <c r="FA184" s="112" t="e">
        <f t="shared" ca="1" si="601"/>
        <v>#N/A</v>
      </c>
      <c r="FB184" s="113" t="e">
        <f t="shared" ca="1" si="602"/>
        <v>#N/A</v>
      </c>
      <c r="FC184" s="114" t="e">
        <f t="shared" ca="1" si="603"/>
        <v>#N/A</v>
      </c>
      <c r="FD184" s="115">
        <f t="shared" ca="1" si="604"/>
        <v>0</v>
      </c>
      <c r="FE184" s="116" t="e">
        <f t="shared" ca="1" si="605"/>
        <v>#N/A</v>
      </c>
      <c r="FF184" s="117" t="e">
        <f t="shared" ca="1" si="606"/>
        <v>#N/A</v>
      </c>
      <c r="FG184" s="71">
        <f t="shared" si="607"/>
        <v>0</v>
      </c>
      <c r="FH184" s="530" t="e">
        <f t="shared" ca="1" si="608"/>
        <v>#N/A</v>
      </c>
      <c r="FI184" s="72"/>
      <c r="FJ184" s="72"/>
      <c r="FK184" s="72"/>
      <c r="FM184" s="421">
        <f t="shared" si="609"/>
        <v>0</v>
      </c>
      <c r="FN184" s="422" t="e">
        <f t="shared" ca="1" si="610"/>
        <v>#N/A</v>
      </c>
      <c r="FO184" s="423">
        <f t="shared" ca="1" si="615"/>
        <v>0</v>
      </c>
      <c r="FP184" s="423">
        <f t="shared" ca="1" si="615"/>
        <v>0</v>
      </c>
      <c r="FQ184" s="423">
        <f t="shared" ca="1" si="615"/>
        <v>0</v>
      </c>
      <c r="FR184" s="423">
        <f t="shared" ca="1" si="615"/>
        <v>0</v>
      </c>
      <c r="FS184" s="423">
        <f t="shared" ca="1" si="615"/>
        <v>0</v>
      </c>
      <c r="FT184" s="423">
        <f t="shared" ca="1" si="615"/>
        <v>0</v>
      </c>
      <c r="FU184" s="423">
        <f t="shared" ca="1" si="615"/>
        <v>0</v>
      </c>
      <c r="FV184" s="423">
        <f t="shared" ca="1" si="615"/>
        <v>0</v>
      </c>
      <c r="FW184" s="423">
        <f t="shared" ca="1" si="615"/>
        <v>0</v>
      </c>
      <c r="FX184" s="423">
        <f t="shared" ca="1" si="615"/>
        <v>0</v>
      </c>
      <c r="FY184" s="423">
        <f t="shared" ca="1" si="615"/>
        <v>0</v>
      </c>
      <c r="FZ184" s="423">
        <f t="shared" ca="1" si="615"/>
        <v>0</v>
      </c>
      <c r="GA184" s="423">
        <f t="shared" ca="1" si="615"/>
        <v>0</v>
      </c>
      <c r="GB184" s="423">
        <f t="shared" ca="1" si="615"/>
        <v>0</v>
      </c>
      <c r="GC184" s="423">
        <f t="shared" ca="1" si="615"/>
        <v>0</v>
      </c>
      <c r="GD184" s="423">
        <f t="shared" ca="1" si="612"/>
        <v>0</v>
      </c>
      <c r="GE184" s="423">
        <f t="shared" ca="1" si="612"/>
        <v>0</v>
      </c>
      <c r="GF184" s="423">
        <f t="shared" ca="1" si="612"/>
        <v>0</v>
      </c>
      <c r="GG184" s="423">
        <f t="shared" ca="1" si="612"/>
        <v>0</v>
      </c>
      <c r="GH184" s="423">
        <f t="shared" ca="1" si="612"/>
        <v>0</v>
      </c>
      <c r="GI184" s="423">
        <f t="shared" ca="1" si="612"/>
        <v>0</v>
      </c>
      <c r="GJ184" s="423">
        <f t="shared" ca="1" si="612"/>
        <v>0</v>
      </c>
      <c r="GK184" s="423">
        <f t="shared" ca="1" si="612"/>
        <v>0</v>
      </c>
      <c r="GL184" s="423">
        <f t="shared" ca="1" si="612"/>
        <v>0</v>
      </c>
      <c r="GM184" s="423">
        <f t="shared" ca="1" si="612"/>
        <v>0</v>
      </c>
      <c r="GN184" s="423">
        <f t="shared" ca="1" si="612"/>
        <v>0</v>
      </c>
      <c r="GO184" s="423">
        <f t="shared" ca="1" si="612"/>
        <v>0</v>
      </c>
      <c r="GP184" s="423">
        <f t="shared" ca="1" si="612"/>
        <v>0</v>
      </c>
      <c r="GQ184" s="423">
        <f t="shared" ca="1" si="612"/>
        <v>0</v>
      </c>
      <c r="GR184" s="423">
        <f t="shared" ca="1" si="612"/>
        <v>0</v>
      </c>
      <c r="GS184" s="423">
        <f t="shared" ca="1" si="612"/>
        <v>0</v>
      </c>
      <c r="GT184" s="423">
        <f t="shared" ca="1" si="613"/>
        <v>0</v>
      </c>
      <c r="GU184" s="423">
        <f t="shared" ca="1" si="611"/>
        <v>0</v>
      </c>
      <c r="GV184" s="423">
        <f t="shared" ca="1" si="611"/>
        <v>0</v>
      </c>
      <c r="GW184" s="423">
        <f t="shared" ca="1" si="611"/>
        <v>0</v>
      </c>
      <c r="GX184" s="423">
        <f t="shared" ca="1" si="611"/>
        <v>0</v>
      </c>
      <c r="GY184" s="423">
        <f t="shared" ca="1" si="611"/>
        <v>0</v>
      </c>
      <c r="GZ184" s="423">
        <f t="shared" ca="1" si="611"/>
        <v>0</v>
      </c>
      <c r="HA184" s="423">
        <f t="shared" ca="1" si="611"/>
        <v>0</v>
      </c>
      <c r="HB184" s="423">
        <f t="shared" ca="1" si="611"/>
        <v>0</v>
      </c>
      <c r="HC184" s="423">
        <f t="shared" ca="1" si="611"/>
        <v>0</v>
      </c>
      <c r="HD184" s="423">
        <f t="shared" ca="1" si="611"/>
        <v>0</v>
      </c>
      <c r="HE184" s="423">
        <f t="shared" ca="1" si="611"/>
        <v>0</v>
      </c>
      <c r="HF184" s="423">
        <f t="shared" ca="1" si="611"/>
        <v>0</v>
      </c>
      <c r="HG184" s="423">
        <f t="shared" ca="1" si="611"/>
        <v>0</v>
      </c>
      <c r="HH184" s="423">
        <f t="shared" ca="1" si="611"/>
        <v>0</v>
      </c>
      <c r="HI184" s="423">
        <f t="shared" ca="1" si="611"/>
        <v>0</v>
      </c>
      <c r="HJ184" s="423">
        <f t="shared" ca="1" si="611"/>
        <v>0</v>
      </c>
      <c r="HK184" s="423">
        <f t="shared" ca="1" si="614"/>
        <v>0</v>
      </c>
      <c r="HL184" s="423">
        <f t="shared" ca="1" si="614"/>
        <v>0</v>
      </c>
      <c r="HM184" s="423">
        <f t="shared" ca="1" si="614"/>
        <v>0</v>
      </c>
      <c r="HN184" s="423">
        <f t="shared" ca="1" si="614"/>
        <v>0</v>
      </c>
      <c r="HO184" s="423">
        <f t="shared" ca="1" si="614"/>
        <v>0</v>
      </c>
      <c r="HP184" s="423">
        <f t="shared" ca="1" si="614"/>
        <v>0</v>
      </c>
      <c r="HQ184" s="423">
        <f t="shared" ca="1" si="614"/>
        <v>0</v>
      </c>
      <c r="HR184" s="423">
        <f t="shared" ca="1" si="614"/>
        <v>0</v>
      </c>
      <c r="HS184" s="423">
        <f t="shared" ca="1" si="614"/>
        <v>0</v>
      </c>
      <c r="HT184" s="423">
        <f t="shared" ca="1" si="614"/>
        <v>0</v>
      </c>
    </row>
    <row r="185" spans="1:228" x14ac:dyDescent="0.2">
      <c r="A185" s="62">
        <f t="shared" si="516"/>
        <v>174</v>
      </c>
      <c r="B185" s="60">
        <f>Spaces_Sum!C230</f>
        <v>0</v>
      </c>
      <c r="C185" s="62" t="str">
        <f>Spaces_Sum!D230</f>
        <v>0</v>
      </c>
      <c r="D185" s="62" t="e">
        <f ca="1">Spaces_Sum!I230</f>
        <v>#N/A</v>
      </c>
      <c r="F185" s="110" t="e">
        <f ca="1">Spaces_Sum!M230</f>
        <v>#N/A</v>
      </c>
      <c r="G185" s="110" t="e">
        <f ca="1">Spaces_Sum!J230</f>
        <v>#N/A</v>
      </c>
      <c r="H185" s="532"/>
      <c r="I185" s="185"/>
      <c r="J185" s="185"/>
      <c r="K185" s="186"/>
      <c r="L185" s="187"/>
      <c r="M185" s="188"/>
      <c r="N185" s="189"/>
      <c r="O185" s="186"/>
      <c r="P185" s="187"/>
      <c r="Q185" s="188"/>
      <c r="R185" s="189"/>
      <c r="S185" s="186"/>
      <c r="T185" s="187"/>
      <c r="U185" s="188"/>
      <c r="V185" s="189"/>
      <c r="W185" s="186"/>
      <c r="X185" s="187"/>
      <c r="Y185" s="188"/>
      <c r="Z185" s="189"/>
      <c r="AA185" s="186"/>
      <c r="AB185" s="187"/>
      <c r="AC185" s="188"/>
      <c r="AD185" s="189"/>
      <c r="AE185" s="186"/>
      <c r="AF185" s="187"/>
      <c r="AG185" s="188"/>
      <c r="AH185" s="189"/>
      <c r="AI185" s="186"/>
      <c r="AJ185" s="187"/>
      <c r="AK185" s="188"/>
      <c r="AL185" s="189"/>
      <c r="AM185" s="186"/>
      <c r="AN185" s="187"/>
      <c r="AO185" s="188"/>
      <c r="AP185" s="189"/>
      <c r="AQ185" s="186"/>
      <c r="AR185" s="187"/>
      <c r="AS185" s="188"/>
      <c r="AT185" s="189"/>
      <c r="AU185" s="186"/>
      <c r="AV185" s="187"/>
      <c r="AW185" s="188"/>
      <c r="AX185" s="189"/>
      <c r="AY185" s="186"/>
      <c r="AZ185" s="187"/>
      <c r="BA185" s="188"/>
      <c r="BB185" s="189"/>
      <c r="BC185" s="186"/>
      <c r="BD185" s="187"/>
      <c r="BE185" s="188"/>
      <c r="BF185" s="189"/>
      <c r="BG185" s="186"/>
      <c r="BH185" s="187"/>
      <c r="BI185" s="188"/>
      <c r="BJ185" s="189"/>
      <c r="BK185" s="186"/>
      <c r="BL185" s="187"/>
      <c r="BM185" s="188"/>
      <c r="BN185" s="189"/>
      <c r="BO185" s="186"/>
      <c r="BP185" s="187"/>
      <c r="BQ185" s="188"/>
      <c r="BR185" s="189"/>
      <c r="BS185" s="186"/>
      <c r="BT185" s="187"/>
      <c r="BU185" s="188"/>
      <c r="BV185" s="189"/>
      <c r="BW185" s="186"/>
      <c r="BX185" s="187"/>
      <c r="BY185" s="188"/>
      <c r="BZ185" s="189"/>
      <c r="CA185" s="186"/>
      <c r="CB185" s="190"/>
      <c r="CC185" s="190"/>
      <c r="CD185" s="82">
        <f t="shared" si="526"/>
        <v>0</v>
      </c>
      <c r="CE185" s="82">
        <f t="shared" si="527"/>
        <v>0</v>
      </c>
      <c r="CF185" s="82">
        <f t="shared" si="528"/>
        <v>0</v>
      </c>
      <c r="CG185" s="82">
        <f t="shared" si="529"/>
        <v>0</v>
      </c>
      <c r="CH185" s="82">
        <f t="shared" si="530"/>
        <v>0</v>
      </c>
      <c r="CI185" s="82">
        <f t="shared" si="531"/>
        <v>0</v>
      </c>
      <c r="CJ185" s="82">
        <f t="shared" si="532"/>
        <v>0</v>
      </c>
      <c r="CK185" s="82">
        <f t="shared" si="533"/>
        <v>0</v>
      </c>
      <c r="CL185" s="82">
        <f t="shared" si="534"/>
        <v>0</v>
      </c>
      <c r="CM185" s="82">
        <f t="shared" si="535"/>
        <v>0</v>
      </c>
      <c r="CN185" s="82">
        <f t="shared" si="536"/>
        <v>0</v>
      </c>
      <c r="CO185" s="82">
        <f t="shared" si="537"/>
        <v>0</v>
      </c>
      <c r="CP185" s="82">
        <f t="shared" si="538"/>
        <v>0</v>
      </c>
      <c r="CQ185" s="82">
        <f t="shared" si="539"/>
        <v>0</v>
      </c>
      <c r="CR185" s="82">
        <f t="shared" si="540"/>
        <v>0</v>
      </c>
      <c r="CS185" s="82">
        <f t="shared" si="541"/>
        <v>0</v>
      </c>
      <c r="CT185" s="82">
        <f t="shared" si="542"/>
        <v>0</v>
      </c>
      <c r="CU185" s="82">
        <f t="shared" si="543"/>
        <v>0</v>
      </c>
      <c r="CV185" s="82">
        <f t="shared" si="544"/>
        <v>0</v>
      </c>
      <c r="CW185" s="82">
        <f t="shared" si="545"/>
        <v>0</v>
      </c>
      <c r="CX185" s="82">
        <f t="shared" si="546"/>
        <v>0</v>
      </c>
      <c r="CY185" s="82">
        <f t="shared" si="547"/>
        <v>0</v>
      </c>
      <c r="CZ185" s="82">
        <f t="shared" si="548"/>
        <v>0</v>
      </c>
      <c r="DA185" s="82">
        <f t="shared" si="549"/>
        <v>0</v>
      </c>
      <c r="DB185" s="82">
        <f t="shared" si="550"/>
        <v>0</v>
      </c>
      <c r="DC185" s="82">
        <f t="shared" si="551"/>
        <v>0</v>
      </c>
      <c r="DD185" s="82">
        <f t="shared" si="552"/>
        <v>0</v>
      </c>
      <c r="DE185" s="82">
        <f t="shared" si="553"/>
        <v>0</v>
      </c>
      <c r="DF185" s="82">
        <f t="shared" si="554"/>
        <v>0</v>
      </c>
      <c r="DG185" s="82">
        <f t="shared" si="555"/>
        <v>0</v>
      </c>
      <c r="DH185" s="82">
        <f t="shared" si="556"/>
        <v>0</v>
      </c>
      <c r="DI185" s="82">
        <f t="shared" si="557"/>
        <v>0</v>
      </c>
      <c r="DJ185" s="82">
        <f t="shared" si="558"/>
        <v>0</v>
      </c>
      <c r="DK185" s="82">
        <f t="shared" si="559"/>
        <v>0</v>
      </c>
      <c r="DL185" s="82">
        <f t="shared" si="560"/>
        <v>0</v>
      </c>
      <c r="DM185" s="82">
        <f t="shared" si="561"/>
        <v>0</v>
      </c>
      <c r="DN185" s="82">
        <f t="shared" si="562"/>
        <v>0</v>
      </c>
      <c r="DO185" s="82">
        <f t="shared" si="563"/>
        <v>0</v>
      </c>
      <c r="DP185" s="82">
        <f t="shared" si="564"/>
        <v>0</v>
      </c>
      <c r="DQ185" s="82">
        <f t="shared" si="565"/>
        <v>0</v>
      </c>
      <c r="DR185" s="82">
        <f t="shared" si="566"/>
        <v>0</v>
      </c>
      <c r="DS185" s="82">
        <f t="shared" si="567"/>
        <v>0</v>
      </c>
      <c r="DT185" s="82">
        <f t="shared" si="568"/>
        <v>0</v>
      </c>
      <c r="DU185" s="82">
        <f t="shared" si="569"/>
        <v>0</v>
      </c>
      <c r="DV185" s="82">
        <f t="shared" si="570"/>
        <v>0</v>
      </c>
      <c r="DW185" s="82">
        <f t="shared" si="571"/>
        <v>0</v>
      </c>
      <c r="DX185" s="82">
        <f t="shared" si="572"/>
        <v>0</v>
      </c>
      <c r="DY185" s="82">
        <f t="shared" si="573"/>
        <v>0</v>
      </c>
      <c r="DZ185" s="82">
        <f t="shared" si="574"/>
        <v>0</v>
      </c>
      <c r="EA185" s="82">
        <f t="shared" si="575"/>
        <v>0</v>
      </c>
      <c r="EB185" s="82">
        <f t="shared" si="576"/>
        <v>0</v>
      </c>
      <c r="EC185" s="82">
        <f t="shared" si="577"/>
        <v>0</v>
      </c>
      <c r="ED185" s="82">
        <f t="shared" si="578"/>
        <v>0</v>
      </c>
      <c r="EE185" s="82">
        <f t="shared" si="579"/>
        <v>0</v>
      </c>
      <c r="EF185" s="82">
        <f t="shared" si="580"/>
        <v>0</v>
      </c>
      <c r="EG185" s="82">
        <f t="shared" si="581"/>
        <v>0</v>
      </c>
      <c r="EH185" s="82">
        <f t="shared" si="582"/>
        <v>0</v>
      </c>
      <c r="EI185" s="82">
        <f t="shared" si="583"/>
        <v>0</v>
      </c>
      <c r="EJ185" s="82">
        <f t="shared" si="584"/>
        <v>0</v>
      </c>
      <c r="EK185" s="82">
        <f t="shared" si="585"/>
        <v>0</v>
      </c>
      <c r="EL185" s="82">
        <f t="shared" si="586"/>
        <v>0</v>
      </c>
      <c r="EM185" s="82">
        <f t="shared" si="587"/>
        <v>0</v>
      </c>
      <c r="EN185" s="82">
        <f t="shared" si="588"/>
        <v>0</v>
      </c>
      <c r="EO185" s="82">
        <f t="shared" si="589"/>
        <v>0</v>
      </c>
      <c r="EP185" s="82">
        <f t="shared" si="590"/>
        <v>0</v>
      </c>
      <c r="EQ185" s="82">
        <f t="shared" si="591"/>
        <v>0</v>
      </c>
      <c r="ER185" s="82">
        <f t="shared" si="592"/>
        <v>0</v>
      </c>
      <c r="ES185" s="82">
        <f t="shared" si="593"/>
        <v>0</v>
      </c>
      <c r="ET185" s="82">
        <f t="shared" si="594"/>
        <v>0</v>
      </c>
      <c r="EU185" s="82">
        <f t="shared" si="595"/>
        <v>0</v>
      </c>
      <c r="EV185" s="82">
        <f t="shared" si="596"/>
        <v>0</v>
      </c>
      <c r="EW185" s="82">
        <f t="shared" si="597"/>
        <v>0</v>
      </c>
      <c r="EX185" s="82">
        <f t="shared" si="598"/>
        <v>0</v>
      </c>
      <c r="EY185" s="111">
        <f t="shared" si="599"/>
        <v>0</v>
      </c>
      <c r="EZ185" s="143" t="e">
        <f t="shared" ca="1" si="600"/>
        <v>#N/A</v>
      </c>
      <c r="FA185" s="112" t="e">
        <f t="shared" ca="1" si="601"/>
        <v>#N/A</v>
      </c>
      <c r="FB185" s="113" t="e">
        <f t="shared" ca="1" si="602"/>
        <v>#N/A</v>
      </c>
      <c r="FC185" s="114" t="e">
        <f t="shared" ca="1" si="603"/>
        <v>#N/A</v>
      </c>
      <c r="FD185" s="115">
        <f t="shared" ca="1" si="604"/>
        <v>0</v>
      </c>
      <c r="FE185" s="116" t="e">
        <f t="shared" ca="1" si="605"/>
        <v>#N/A</v>
      </c>
      <c r="FF185" s="117" t="e">
        <f t="shared" ca="1" si="606"/>
        <v>#N/A</v>
      </c>
      <c r="FG185" s="71">
        <f t="shared" si="607"/>
        <v>0</v>
      </c>
      <c r="FH185" s="530" t="e">
        <f t="shared" ca="1" si="608"/>
        <v>#N/A</v>
      </c>
      <c r="FI185" s="72"/>
      <c r="FJ185" s="72"/>
      <c r="FK185" s="72"/>
      <c r="FM185" s="421">
        <f t="shared" si="609"/>
        <v>0</v>
      </c>
      <c r="FN185" s="422" t="e">
        <f t="shared" ca="1" si="610"/>
        <v>#N/A</v>
      </c>
      <c r="FO185" s="423">
        <f t="shared" ca="1" si="615"/>
        <v>0</v>
      </c>
      <c r="FP185" s="423">
        <f t="shared" ca="1" si="615"/>
        <v>0</v>
      </c>
      <c r="FQ185" s="423">
        <f t="shared" ca="1" si="615"/>
        <v>0</v>
      </c>
      <c r="FR185" s="423">
        <f t="shared" ca="1" si="615"/>
        <v>0</v>
      </c>
      <c r="FS185" s="423">
        <f t="shared" ca="1" si="615"/>
        <v>0</v>
      </c>
      <c r="FT185" s="423">
        <f t="shared" ca="1" si="615"/>
        <v>0</v>
      </c>
      <c r="FU185" s="423">
        <f t="shared" ca="1" si="615"/>
        <v>0</v>
      </c>
      <c r="FV185" s="423">
        <f t="shared" ca="1" si="615"/>
        <v>0</v>
      </c>
      <c r="FW185" s="423">
        <f t="shared" ca="1" si="615"/>
        <v>0</v>
      </c>
      <c r="FX185" s="423">
        <f t="shared" ca="1" si="615"/>
        <v>0</v>
      </c>
      <c r="FY185" s="423">
        <f t="shared" ca="1" si="615"/>
        <v>0</v>
      </c>
      <c r="FZ185" s="423">
        <f t="shared" ca="1" si="615"/>
        <v>0</v>
      </c>
      <c r="GA185" s="423">
        <f t="shared" ca="1" si="615"/>
        <v>0</v>
      </c>
      <c r="GB185" s="423">
        <f t="shared" ca="1" si="615"/>
        <v>0</v>
      </c>
      <c r="GC185" s="423">
        <f t="shared" ca="1" si="615"/>
        <v>0</v>
      </c>
      <c r="GD185" s="423">
        <f t="shared" ca="1" si="612"/>
        <v>0</v>
      </c>
      <c r="GE185" s="423">
        <f t="shared" ca="1" si="612"/>
        <v>0</v>
      </c>
      <c r="GF185" s="423">
        <f t="shared" ca="1" si="612"/>
        <v>0</v>
      </c>
      <c r="GG185" s="423">
        <f t="shared" ca="1" si="612"/>
        <v>0</v>
      </c>
      <c r="GH185" s="423">
        <f t="shared" ca="1" si="612"/>
        <v>0</v>
      </c>
      <c r="GI185" s="423">
        <f t="shared" ca="1" si="612"/>
        <v>0</v>
      </c>
      <c r="GJ185" s="423">
        <f t="shared" ca="1" si="612"/>
        <v>0</v>
      </c>
      <c r="GK185" s="423">
        <f t="shared" ca="1" si="612"/>
        <v>0</v>
      </c>
      <c r="GL185" s="423">
        <f t="shared" ca="1" si="612"/>
        <v>0</v>
      </c>
      <c r="GM185" s="423">
        <f t="shared" ca="1" si="612"/>
        <v>0</v>
      </c>
      <c r="GN185" s="423">
        <f t="shared" ca="1" si="612"/>
        <v>0</v>
      </c>
      <c r="GO185" s="423">
        <f t="shared" ca="1" si="612"/>
        <v>0</v>
      </c>
      <c r="GP185" s="423">
        <f t="shared" ca="1" si="612"/>
        <v>0</v>
      </c>
      <c r="GQ185" s="423">
        <f t="shared" ca="1" si="612"/>
        <v>0</v>
      </c>
      <c r="GR185" s="423">
        <f t="shared" ca="1" si="612"/>
        <v>0</v>
      </c>
      <c r="GS185" s="423">
        <f t="shared" ca="1" si="612"/>
        <v>0</v>
      </c>
      <c r="GT185" s="423">
        <f t="shared" ca="1" si="613"/>
        <v>0</v>
      </c>
      <c r="GU185" s="423">
        <f t="shared" ca="1" si="611"/>
        <v>0</v>
      </c>
      <c r="GV185" s="423">
        <f t="shared" ca="1" si="611"/>
        <v>0</v>
      </c>
      <c r="GW185" s="423">
        <f t="shared" ca="1" si="611"/>
        <v>0</v>
      </c>
      <c r="GX185" s="423">
        <f t="shared" ca="1" si="611"/>
        <v>0</v>
      </c>
      <c r="GY185" s="423">
        <f t="shared" ca="1" si="611"/>
        <v>0</v>
      </c>
      <c r="GZ185" s="423">
        <f t="shared" ca="1" si="611"/>
        <v>0</v>
      </c>
      <c r="HA185" s="423">
        <f t="shared" ca="1" si="611"/>
        <v>0</v>
      </c>
      <c r="HB185" s="423">
        <f t="shared" ca="1" si="611"/>
        <v>0</v>
      </c>
      <c r="HC185" s="423">
        <f t="shared" ca="1" si="611"/>
        <v>0</v>
      </c>
      <c r="HD185" s="423">
        <f t="shared" ca="1" si="611"/>
        <v>0</v>
      </c>
      <c r="HE185" s="423">
        <f t="shared" ca="1" si="611"/>
        <v>0</v>
      </c>
      <c r="HF185" s="423">
        <f t="shared" ca="1" si="611"/>
        <v>0</v>
      </c>
      <c r="HG185" s="423">
        <f t="shared" ca="1" si="611"/>
        <v>0</v>
      </c>
      <c r="HH185" s="423">
        <f t="shared" ca="1" si="611"/>
        <v>0</v>
      </c>
      <c r="HI185" s="423">
        <f t="shared" ca="1" si="611"/>
        <v>0</v>
      </c>
      <c r="HJ185" s="423">
        <f t="shared" ca="1" si="611"/>
        <v>0</v>
      </c>
      <c r="HK185" s="423">
        <f t="shared" ca="1" si="614"/>
        <v>0</v>
      </c>
      <c r="HL185" s="423">
        <f t="shared" ca="1" si="614"/>
        <v>0</v>
      </c>
      <c r="HM185" s="423">
        <f t="shared" ca="1" si="614"/>
        <v>0</v>
      </c>
      <c r="HN185" s="423">
        <f t="shared" ca="1" si="614"/>
        <v>0</v>
      </c>
      <c r="HO185" s="423">
        <f t="shared" ca="1" si="614"/>
        <v>0</v>
      </c>
      <c r="HP185" s="423">
        <f t="shared" ca="1" si="614"/>
        <v>0</v>
      </c>
      <c r="HQ185" s="423">
        <f t="shared" ca="1" si="614"/>
        <v>0</v>
      </c>
      <c r="HR185" s="423">
        <f t="shared" ca="1" si="614"/>
        <v>0</v>
      </c>
      <c r="HS185" s="423">
        <f t="shared" ca="1" si="614"/>
        <v>0</v>
      </c>
      <c r="HT185" s="423">
        <f t="shared" ca="1" si="614"/>
        <v>0</v>
      </c>
    </row>
    <row r="186" spans="1:228" x14ac:dyDescent="0.2">
      <c r="A186" s="62">
        <f t="shared" si="516"/>
        <v>175</v>
      </c>
      <c r="B186" s="60">
        <f>Spaces_Sum!C231</f>
        <v>0</v>
      </c>
      <c r="C186" s="62" t="str">
        <f>Spaces_Sum!D231</f>
        <v>0</v>
      </c>
      <c r="D186" s="62" t="e">
        <f ca="1">Spaces_Sum!I231</f>
        <v>#N/A</v>
      </c>
      <c r="F186" s="110" t="e">
        <f ca="1">Spaces_Sum!M231</f>
        <v>#N/A</v>
      </c>
      <c r="G186" s="110" t="e">
        <f ca="1">Spaces_Sum!J231</f>
        <v>#N/A</v>
      </c>
      <c r="H186" s="532"/>
      <c r="I186" s="185"/>
      <c r="J186" s="185"/>
      <c r="K186" s="186"/>
      <c r="L186" s="187"/>
      <c r="M186" s="188"/>
      <c r="N186" s="189"/>
      <c r="O186" s="186"/>
      <c r="P186" s="187"/>
      <c r="Q186" s="188"/>
      <c r="R186" s="189"/>
      <c r="S186" s="186"/>
      <c r="T186" s="187"/>
      <c r="U186" s="188"/>
      <c r="V186" s="189"/>
      <c r="W186" s="186"/>
      <c r="X186" s="187"/>
      <c r="Y186" s="188"/>
      <c r="Z186" s="189"/>
      <c r="AA186" s="186"/>
      <c r="AB186" s="187"/>
      <c r="AC186" s="188"/>
      <c r="AD186" s="189"/>
      <c r="AE186" s="186"/>
      <c r="AF186" s="187"/>
      <c r="AG186" s="188"/>
      <c r="AH186" s="189"/>
      <c r="AI186" s="186"/>
      <c r="AJ186" s="187"/>
      <c r="AK186" s="188"/>
      <c r="AL186" s="189"/>
      <c r="AM186" s="186"/>
      <c r="AN186" s="187"/>
      <c r="AO186" s="188"/>
      <c r="AP186" s="189"/>
      <c r="AQ186" s="186"/>
      <c r="AR186" s="187"/>
      <c r="AS186" s="188"/>
      <c r="AT186" s="189"/>
      <c r="AU186" s="186"/>
      <c r="AV186" s="187"/>
      <c r="AW186" s="188"/>
      <c r="AX186" s="189"/>
      <c r="AY186" s="186"/>
      <c r="AZ186" s="187"/>
      <c r="BA186" s="188"/>
      <c r="BB186" s="189"/>
      <c r="BC186" s="186"/>
      <c r="BD186" s="187"/>
      <c r="BE186" s="188"/>
      <c r="BF186" s="189"/>
      <c r="BG186" s="186"/>
      <c r="BH186" s="187"/>
      <c r="BI186" s="188"/>
      <c r="BJ186" s="189"/>
      <c r="BK186" s="186"/>
      <c r="BL186" s="187"/>
      <c r="BM186" s="188"/>
      <c r="BN186" s="189"/>
      <c r="BO186" s="186"/>
      <c r="BP186" s="187"/>
      <c r="BQ186" s="188"/>
      <c r="BR186" s="189"/>
      <c r="BS186" s="186"/>
      <c r="BT186" s="187"/>
      <c r="BU186" s="188"/>
      <c r="BV186" s="189"/>
      <c r="BW186" s="186"/>
      <c r="BX186" s="187"/>
      <c r="BY186" s="188"/>
      <c r="BZ186" s="189"/>
      <c r="CA186" s="186"/>
      <c r="CB186" s="190"/>
      <c r="CC186" s="190"/>
      <c r="CD186" s="82">
        <f t="shared" si="526"/>
        <v>0</v>
      </c>
      <c r="CE186" s="82">
        <f t="shared" si="527"/>
        <v>0</v>
      </c>
      <c r="CF186" s="82">
        <f t="shared" si="528"/>
        <v>0</v>
      </c>
      <c r="CG186" s="82">
        <f t="shared" si="529"/>
        <v>0</v>
      </c>
      <c r="CH186" s="82">
        <f t="shared" si="530"/>
        <v>0</v>
      </c>
      <c r="CI186" s="82">
        <f t="shared" si="531"/>
        <v>0</v>
      </c>
      <c r="CJ186" s="82">
        <f t="shared" si="532"/>
        <v>0</v>
      </c>
      <c r="CK186" s="82">
        <f t="shared" si="533"/>
        <v>0</v>
      </c>
      <c r="CL186" s="82">
        <f t="shared" si="534"/>
        <v>0</v>
      </c>
      <c r="CM186" s="82">
        <f t="shared" si="535"/>
        <v>0</v>
      </c>
      <c r="CN186" s="82">
        <f t="shared" si="536"/>
        <v>0</v>
      </c>
      <c r="CO186" s="82">
        <f t="shared" si="537"/>
        <v>0</v>
      </c>
      <c r="CP186" s="82">
        <f t="shared" si="538"/>
        <v>0</v>
      </c>
      <c r="CQ186" s="82">
        <f t="shared" si="539"/>
        <v>0</v>
      </c>
      <c r="CR186" s="82">
        <f t="shared" si="540"/>
        <v>0</v>
      </c>
      <c r="CS186" s="82">
        <f t="shared" si="541"/>
        <v>0</v>
      </c>
      <c r="CT186" s="82">
        <f t="shared" si="542"/>
        <v>0</v>
      </c>
      <c r="CU186" s="82">
        <f t="shared" si="543"/>
        <v>0</v>
      </c>
      <c r="CV186" s="82">
        <f t="shared" si="544"/>
        <v>0</v>
      </c>
      <c r="CW186" s="82">
        <f t="shared" si="545"/>
        <v>0</v>
      </c>
      <c r="CX186" s="82">
        <f t="shared" si="546"/>
        <v>0</v>
      </c>
      <c r="CY186" s="82">
        <f t="shared" si="547"/>
        <v>0</v>
      </c>
      <c r="CZ186" s="82">
        <f t="shared" si="548"/>
        <v>0</v>
      </c>
      <c r="DA186" s="82">
        <f t="shared" si="549"/>
        <v>0</v>
      </c>
      <c r="DB186" s="82">
        <f t="shared" si="550"/>
        <v>0</v>
      </c>
      <c r="DC186" s="82">
        <f t="shared" si="551"/>
        <v>0</v>
      </c>
      <c r="DD186" s="82">
        <f t="shared" si="552"/>
        <v>0</v>
      </c>
      <c r="DE186" s="82">
        <f t="shared" si="553"/>
        <v>0</v>
      </c>
      <c r="DF186" s="82">
        <f t="shared" si="554"/>
        <v>0</v>
      </c>
      <c r="DG186" s="82">
        <f t="shared" si="555"/>
        <v>0</v>
      </c>
      <c r="DH186" s="82">
        <f t="shared" si="556"/>
        <v>0</v>
      </c>
      <c r="DI186" s="82">
        <f t="shared" si="557"/>
        <v>0</v>
      </c>
      <c r="DJ186" s="82">
        <f t="shared" si="558"/>
        <v>0</v>
      </c>
      <c r="DK186" s="82">
        <f t="shared" si="559"/>
        <v>0</v>
      </c>
      <c r="DL186" s="82">
        <f t="shared" si="560"/>
        <v>0</v>
      </c>
      <c r="DM186" s="82">
        <f t="shared" si="561"/>
        <v>0</v>
      </c>
      <c r="DN186" s="82">
        <f t="shared" si="562"/>
        <v>0</v>
      </c>
      <c r="DO186" s="82">
        <f t="shared" si="563"/>
        <v>0</v>
      </c>
      <c r="DP186" s="82">
        <f t="shared" si="564"/>
        <v>0</v>
      </c>
      <c r="DQ186" s="82">
        <f t="shared" si="565"/>
        <v>0</v>
      </c>
      <c r="DR186" s="82">
        <f t="shared" si="566"/>
        <v>0</v>
      </c>
      <c r="DS186" s="82">
        <f t="shared" si="567"/>
        <v>0</v>
      </c>
      <c r="DT186" s="82">
        <f t="shared" si="568"/>
        <v>0</v>
      </c>
      <c r="DU186" s="82">
        <f t="shared" si="569"/>
        <v>0</v>
      </c>
      <c r="DV186" s="82">
        <f t="shared" si="570"/>
        <v>0</v>
      </c>
      <c r="DW186" s="82">
        <f t="shared" si="571"/>
        <v>0</v>
      </c>
      <c r="DX186" s="82">
        <f t="shared" si="572"/>
        <v>0</v>
      </c>
      <c r="DY186" s="82">
        <f t="shared" si="573"/>
        <v>0</v>
      </c>
      <c r="DZ186" s="82">
        <f t="shared" si="574"/>
        <v>0</v>
      </c>
      <c r="EA186" s="82">
        <f t="shared" si="575"/>
        <v>0</v>
      </c>
      <c r="EB186" s="82">
        <f t="shared" si="576"/>
        <v>0</v>
      </c>
      <c r="EC186" s="82">
        <f t="shared" si="577"/>
        <v>0</v>
      </c>
      <c r="ED186" s="82">
        <f t="shared" si="578"/>
        <v>0</v>
      </c>
      <c r="EE186" s="82">
        <f t="shared" si="579"/>
        <v>0</v>
      </c>
      <c r="EF186" s="82">
        <f t="shared" si="580"/>
        <v>0</v>
      </c>
      <c r="EG186" s="82">
        <f t="shared" si="581"/>
        <v>0</v>
      </c>
      <c r="EH186" s="82">
        <f t="shared" si="582"/>
        <v>0</v>
      </c>
      <c r="EI186" s="82">
        <f t="shared" si="583"/>
        <v>0</v>
      </c>
      <c r="EJ186" s="82">
        <f t="shared" si="584"/>
        <v>0</v>
      </c>
      <c r="EK186" s="82">
        <f t="shared" si="585"/>
        <v>0</v>
      </c>
      <c r="EL186" s="82">
        <f t="shared" si="586"/>
        <v>0</v>
      </c>
      <c r="EM186" s="82">
        <f t="shared" si="587"/>
        <v>0</v>
      </c>
      <c r="EN186" s="82">
        <f t="shared" si="588"/>
        <v>0</v>
      </c>
      <c r="EO186" s="82">
        <f t="shared" si="589"/>
        <v>0</v>
      </c>
      <c r="EP186" s="82">
        <f t="shared" si="590"/>
        <v>0</v>
      </c>
      <c r="EQ186" s="82">
        <f t="shared" si="591"/>
        <v>0</v>
      </c>
      <c r="ER186" s="82">
        <f t="shared" si="592"/>
        <v>0</v>
      </c>
      <c r="ES186" s="82">
        <f t="shared" si="593"/>
        <v>0</v>
      </c>
      <c r="ET186" s="82">
        <f t="shared" si="594"/>
        <v>0</v>
      </c>
      <c r="EU186" s="82">
        <f t="shared" si="595"/>
        <v>0</v>
      </c>
      <c r="EV186" s="82">
        <f t="shared" si="596"/>
        <v>0</v>
      </c>
      <c r="EW186" s="82">
        <f t="shared" si="597"/>
        <v>0</v>
      </c>
      <c r="EX186" s="82">
        <f t="shared" si="598"/>
        <v>0</v>
      </c>
      <c r="EY186" s="111">
        <f t="shared" si="599"/>
        <v>0</v>
      </c>
      <c r="EZ186" s="143" t="e">
        <f t="shared" ca="1" si="600"/>
        <v>#N/A</v>
      </c>
      <c r="FA186" s="112" t="e">
        <f t="shared" ca="1" si="601"/>
        <v>#N/A</v>
      </c>
      <c r="FB186" s="113" t="e">
        <f t="shared" ca="1" si="602"/>
        <v>#N/A</v>
      </c>
      <c r="FC186" s="114" t="e">
        <f t="shared" ca="1" si="603"/>
        <v>#N/A</v>
      </c>
      <c r="FD186" s="115">
        <f t="shared" ca="1" si="604"/>
        <v>0</v>
      </c>
      <c r="FE186" s="116" t="e">
        <f t="shared" ca="1" si="605"/>
        <v>#N/A</v>
      </c>
      <c r="FF186" s="117" t="e">
        <f t="shared" ca="1" si="606"/>
        <v>#N/A</v>
      </c>
      <c r="FG186" s="71">
        <f t="shared" si="607"/>
        <v>0</v>
      </c>
      <c r="FH186" s="530" t="e">
        <f t="shared" ca="1" si="608"/>
        <v>#N/A</v>
      </c>
      <c r="FI186" s="72"/>
      <c r="FJ186" s="72"/>
      <c r="FK186" s="72"/>
      <c r="FM186" s="421">
        <f t="shared" si="609"/>
        <v>0</v>
      </c>
      <c r="FN186" s="422" t="e">
        <f t="shared" ca="1" si="610"/>
        <v>#N/A</v>
      </c>
      <c r="FO186" s="423">
        <f t="shared" ca="1" si="615"/>
        <v>0</v>
      </c>
      <c r="FP186" s="423">
        <f t="shared" ca="1" si="615"/>
        <v>0</v>
      </c>
      <c r="FQ186" s="423">
        <f t="shared" ca="1" si="615"/>
        <v>0</v>
      </c>
      <c r="FR186" s="423">
        <f t="shared" ca="1" si="615"/>
        <v>0</v>
      </c>
      <c r="FS186" s="423">
        <f t="shared" ca="1" si="615"/>
        <v>0</v>
      </c>
      <c r="FT186" s="423">
        <f t="shared" ca="1" si="615"/>
        <v>0</v>
      </c>
      <c r="FU186" s="423">
        <f t="shared" ca="1" si="615"/>
        <v>0</v>
      </c>
      <c r="FV186" s="423">
        <f t="shared" ca="1" si="615"/>
        <v>0</v>
      </c>
      <c r="FW186" s="423">
        <f t="shared" ca="1" si="615"/>
        <v>0</v>
      </c>
      <c r="FX186" s="423">
        <f t="shared" ca="1" si="615"/>
        <v>0</v>
      </c>
      <c r="FY186" s="423">
        <f t="shared" ca="1" si="615"/>
        <v>0</v>
      </c>
      <c r="FZ186" s="423">
        <f t="shared" ca="1" si="615"/>
        <v>0</v>
      </c>
      <c r="GA186" s="423">
        <f t="shared" ca="1" si="615"/>
        <v>0</v>
      </c>
      <c r="GB186" s="423">
        <f t="shared" ca="1" si="615"/>
        <v>0</v>
      </c>
      <c r="GC186" s="423">
        <f t="shared" ca="1" si="615"/>
        <v>0</v>
      </c>
      <c r="GD186" s="423">
        <f t="shared" ca="1" si="612"/>
        <v>0</v>
      </c>
      <c r="GE186" s="423">
        <f t="shared" ca="1" si="612"/>
        <v>0</v>
      </c>
      <c r="GF186" s="423">
        <f t="shared" ca="1" si="612"/>
        <v>0</v>
      </c>
      <c r="GG186" s="423">
        <f t="shared" ca="1" si="612"/>
        <v>0</v>
      </c>
      <c r="GH186" s="423">
        <f t="shared" ca="1" si="612"/>
        <v>0</v>
      </c>
      <c r="GI186" s="423">
        <f t="shared" ca="1" si="612"/>
        <v>0</v>
      </c>
      <c r="GJ186" s="423">
        <f t="shared" ca="1" si="612"/>
        <v>0</v>
      </c>
      <c r="GK186" s="423">
        <f t="shared" ca="1" si="612"/>
        <v>0</v>
      </c>
      <c r="GL186" s="423">
        <f t="shared" ca="1" si="612"/>
        <v>0</v>
      </c>
      <c r="GM186" s="423">
        <f t="shared" ca="1" si="612"/>
        <v>0</v>
      </c>
      <c r="GN186" s="423">
        <f t="shared" ca="1" si="612"/>
        <v>0</v>
      </c>
      <c r="GO186" s="423">
        <f t="shared" ca="1" si="612"/>
        <v>0</v>
      </c>
      <c r="GP186" s="423">
        <f t="shared" ca="1" si="612"/>
        <v>0</v>
      </c>
      <c r="GQ186" s="423">
        <f t="shared" ca="1" si="612"/>
        <v>0</v>
      </c>
      <c r="GR186" s="423">
        <f t="shared" ca="1" si="612"/>
        <v>0</v>
      </c>
      <c r="GS186" s="423">
        <f t="shared" ca="1" si="612"/>
        <v>0</v>
      </c>
      <c r="GT186" s="423">
        <f t="shared" ca="1" si="613"/>
        <v>0</v>
      </c>
      <c r="GU186" s="423">
        <f t="shared" ca="1" si="611"/>
        <v>0</v>
      </c>
      <c r="GV186" s="423">
        <f t="shared" ca="1" si="611"/>
        <v>0</v>
      </c>
      <c r="GW186" s="423">
        <f t="shared" ca="1" si="611"/>
        <v>0</v>
      </c>
      <c r="GX186" s="423">
        <f t="shared" ca="1" si="611"/>
        <v>0</v>
      </c>
      <c r="GY186" s="423">
        <f t="shared" ca="1" si="611"/>
        <v>0</v>
      </c>
      <c r="GZ186" s="423">
        <f t="shared" ca="1" si="611"/>
        <v>0</v>
      </c>
      <c r="HA186" s="423">
        <f t="shared" ca="1" si="611"/>
        <v>0</v>
      </c>
      <c r="HB186" s="423">
        <f t="shared" ca="1" si="611"/>
        <v>0</v>
      </c>
      <c r="HC186" s="423">
        <f t="shared" ca="1" si="611"/>
        <v>0</v>
      </c>
      <c r="HD186" s="423">
        <f t="shared" ca="1" si="611"/>
        <v>0</v>
      </c>
      <c r="HE186" s="423">
        <f t="shared" ca="1" si="611"/>
        <v>0</v>
      </c>
      <c r="HF186" s="423">
        <f t="shared" ca="1" si="611"/>
        <v>0</v>
      </c>
      <c r="HG186" s="423">
        <f t="shared" ca="1" si="611"/>
        <v>0</v>
      </c>
      <c r="HH186" s="423">
        <f t="shared" ca="1" si="611"/>
        <v>0</v>
      </c>
      <c r="HI186" s="423">
        <f t="shared" ca="1" si="611"/>
        <v>0</v>
      </c>
      <c r="HJ186" s="423">
        <f t="shared" ca="1" si="611"/>
        <v>0</v>
      </c>
      <c r="HK186" s="423">
        <f t="shared" ca="1" si="614"/>
        <v>0</v>
      </c>
      <c r="HL186" s="423">
        <f t="shared" ca="1" si="614"/>
        <v>0</v>
      </c>
      <c r="HM186" s="423">
        <f t="shared" ca="1" si="614"/>
        <v>0</v>
      </c>
      <c r="HN186" s="423">
        <f t="shared" ca="1" si="614"/>
        <v>0</v>
      </c>
      <c r="HO186" s="423">
        <f t="shared" ca="1" si="614"/>
        <v>0</v>
      </c>
      <c r="HP186" s="423">
        <f t="shared" ca="1" si="614"/>
        <v>0</v>
      </c>
      <c r="HQ186" s="423">
        <f t="shared" ca="1" si="614"/>
        <v>0</v>
      </c>
      <c r="HR186" s="423">
        <f t="shared" ca="1" si="614"/>
        <v>0</v>
      </c>
      <c r="HS186" s="423">
        <f t="shared" ca="1" si="614"/>
        <v>0</v>
      </c>
      <c r="HT186" s="423">
        <f t="shared" ca="1" si="614"/>
        <v>0</v>
      </c>
    </row>
    <row r="187" spans="1:228" x14ac:dyDescent="0.2">
      <c r="A187" s="62">
        <f t="shared" si="516"/>
        <v>176</v>
      </c>
      <c r="B187" s="60">
        <f>Spaces_Sum!C232</f>
        <v>0</v>
      </c>
      <c r="C187" s="62" t="str">
        <f>Spaces_Sum!D232</f>
        <v>0</v>
      </c>
      <c r="D187" s="62" t="e">
        <f ca="1">Spaces_Sum!I232</f>
        <v>#N/A</v>
      </c>
      <c r="F187" s="110" t="e">
        <f ca="1">Spaces_Sum!M232</f>
        <v>#N/A</v>
      </c>
      <c r="G187" s="110" t="e">
        <f ca="1">Spaces_Sum!J232</f>
        <v>#N/A</v>
      </c>
      <c r="H187" s="532"/>
      <c r="I187" s="185"/>
      <c r="J187" s="185"/>
      <c r="K187" s="186"/>
      <c r="L187" s="187"/>
      <c r="M187" s="188"/>
      <c r="N187" s="189"/>
      <c r="O187" s="186"/>
      <c r="P187" s="187"/>
      <c r="Q187" s="188"/>
      <c r="R187" s="189"/>
      <c r="S187" s="186"/>
      <c r="T187" s="187"/>
      <c r="U187" s="188"/>
      <c r="V187" s="189"/>
      <c r="W187" s="186"/>
      <c r="X187" s="187"/>
      <c r="Y187" s="188"/>
      <c r="Z187" s="189"/>
      <c r="AA187" s="186"/>
      <c r="AB187" s="187"/>
      <c r="AC187" s="188"/>
      <c r="AD187" s="189"/>
      <c r="AE187" s="186"/>
      <c r="AF187" s="187"/>
      <c r="AG187" s="188"/>
      <c r="AH187" s="189"/>
      <c r="AI187" s="186"/>
      <c r="AJ187" s="187"/>
      <c r="AK187" s="188"/>
      <c r="AL187" s="189"/>
      <c r="AM187" s="186"/>
      <c r="AN187" s="187"/>
      <c r="AO187" s="188"/>
      <c r="AP187" s="189"/>
      <c r="AQ187" s="186"/>
      <c r="AR187" s="187"/>
      <c r="AS187" s="188"/>
      <c r="AT187" s="189"/>
      <c r="AU187" s="186"/>
      <c r="AV187" s="187"/>
      <c r="AW187" s="188"/>
      <c r="AX187" s="189"/>
      <c r="AY187" s="186"/>
      <c r="AZ187" s="187"/>
      <c r="BA187" s="188"/>
      <c r="BB187" s="189"/>
      <c r="BC187" s="186"/>
      <c r="BD187" s="187"/>
      <c r="BE187" s="188"/>
      <c r="BF187" s="189"/>
      <c r="BG187" s="186"/>
      <c r="BH187" s="187"/>
      <c r="BI187" s="188"/>
      <c r="BJ187" s="189"/>
      <c r="BK187" s="186"/>
      <c r="BL187" s="187"/>
      <c r="BM187" s="188"/>
      <c r="BN187" s="189"/>
      <c r="BO187" s="186"/>
      <c r="BP187" s="187"/>
      <c r="BQ187" s="188"/>
      <c r="BR187" s="189"/>
      <c r="BS187" s="186"/>
      <c r="BT187" s="187"/>
      <c r="BU187" s="188"/>
      <c r="BV187" s="189"/>
      <c r="BW187" s="186"/>
      <c r="BX187" s="187"/>
      <c r="BY187" s="188"/>
      <c r="BZ187" s="189"/>
      <c r="CA187" s="186"/>
      <c r="CB187" s="190"/>
      <c r="CC187" s="190"/>
      <c r="CD187" s="82">
        <f t="shared" si="526"/>
        <v>0</v>
      </c>
      <c r="CE187" s="82">
        <f t="shared" si="527"/>
        <v>0</v>
      </c>
      <c r="CF187" s="82">
        <f t="shared" si="528"/>
        <v>0</v>
      </c>
      <c r="CG187" s="82">
        <f t="shared" si="529"/>
        <v>0</v>
      </c>
      <c r="CH187" s="82">
        <f t="shared" si="530"/>
        <v>0</v>
      </c>
      <c r="CI187" s="82">
        <f t="shared" si="531"/>
        <v>0</v>
      </c>
      <c r="CJ187" s="82">
        <f t="shared" si="532"/>
        <v>0</v>
      </c>
      <c r="CK187" s="82">
        <f t="shared" si="533"/>
        <v>0</v>
      </c>
      <c r="CL187" s="82">
        <f t="shared" si="534"/>
        <v>0</v>
      </c>
      <c r="CM187" s="82">
        <f t="shared" si="535"/>
        <v>0</v>
      </c>
      <c r="CN187" s="82">
        <f t="shared" si="536"/>
        <v>0</v>
      </c>
      <c r="CO187" s="82">
        <f t="shared" si="537"/>
        <v>0</v>
      </c>
      <c r="CP187" s="82">
        <f t="shared" si="538"/>
        <v>0</v>
      </c>
      <c r="CQ187" s="82">
        <f t="shared" si="539"/>
        <v>0</v>
      </c>
      <c r="CR187" s="82">
        <f t="shared" si="540"/>
        <v>0</v>
      </c>
      <c r="CS187" s="82">
        <f t="shared" si="541"/>
        <v>0</v>
      </c>
      <c r="CT187" s="82">
        <f t="shared" si="542"/>
        <v>0</v>
      </c>
      <c r="CU187" s="82">
        <f t="shared" si="543"/>
        <v>0</v>
      </c>
      <c r="CV187" s="82">
        <f t="shared" si="544"/>
        <v>0</v>
      </c>
      <c r="CW187" s="82">
        <f t="shared" si="545"/>
        <v>0</v>
      </c>
      <c r="CX187" s="82">
        <f t="shared" si="546"/>
        <v>0</v>
      </c>
      <c r="CY187" s="82">
        <f t="shared" si="547"/>
        <v>0</v>
      </c>
      <c r="CZ187" s="82">
        <f t="shared" si="548"/>
        <v>0</v>
      </c>
      <c r="DA187" s="82">
        <f t="shared" si="549"/>
        <v>0</v>
      </c>
      <c r="DB187" s="82">
        <f t="shared" si="550"/>
        <v>0</v>
      </c>
      <c r="DC187" s="82">
        <f t="shared" si="551"/>
        <v>0</v>
      </c>
      <c r="DD187" s="82">
        <f t="shared" si="552"/>
        <v>0</v>
      </c>
      <c r="DE187" s="82">
        <f t="shared" si="553"/>
        <v>0</v>
      </c>
      <c r="DF187" s="82">
        <f t="shared" si="554"/>
        <v>0</v>
      </c>
      <c r="DG187" s="82">
        <f t="shared" si="555"/>
        <v>0</v>
      </c>
      <c r="DH187" s="82">
        <f t="shared" si="556"/>
        <v>0</v>
      </c>
      <c r="DI187" s="82">
        <f t="shared" si="557"/>
        <v>0</v>
      </c>
      <c r="DJ187" s="82">
        <f t="shared" si="558"/>
        <v>0</v>
      </c>
      <c r="DK187" s="82">
        <f t="shared" si="559"/>
        <v>0</v>
      </c>
      <c r="DL187" s="82">
        <f t="shared" si="560"/>
        <v>0</v>
      </c>
      <c r="DM187" s="82">
        <f t="shared" si="561"/>
        <v>0</v>
      </c>
      <c r="DN187" s="82">
        <f t="shared" si="562"/>
        <v>0</v>
      </c>
      <c r="DO187" s="82">
        <f t="shared" si="563"/>
        <v>0</v>
      </c>
      <c r="DP187" s="82">
        <f t="shared" si="564"/>
        <v>0</v>
      </c>
      <c r="DQ187" s="82">
        <f t="shared" si="565"/>
        <v>0</v>
      </c>
      <c r="DR187" s="82">
        <f t="shared" si="566"/>
        <v>0</v>
      </c>
      <c r="DS187" s="82">
        <f t="shared" si="567"/>
        <v>0</v>
      </c>
      <c r="DT187" s="82">
        <f t="shared" si="568"/>
        <v>0</v>
      </c>
      <c r="DU187" s="82">
        <f t="shared" si="569"/>
        <v>0</v>
      </c>
      <c r="DV187" s="82">
        <f t="shared" si="570"/>
        <v>0</v>
      </c>
      <c r="DW187" s="82">
        <f t="shared" si="571"/>
        <v>0</v>
      </c>
      <c r="DX187" s="82">
        <f t="shared" si="572"/>
        <v>0</v>
      </c>
      <c r="DY187" s="82">
        <f t="shared" si="573"/>
        <v>0</v>
      </c>
      <c r="DZ187" s="82">
        <f t="shared" si="574"/>
        <v>0</v>
      </c>
      <c r="EA187" s="82">
        <f t="shared" si="575"/>
        <v>0</v>
      </c>
      <c r="EB187" s="82">
        <f t="shared" si="576"/>
        <v>0</v>
      </c>
      <c r="EC187" s="82">
        <f t="shared" si="577"/>
        <v>0</v>
      </c>
      <c r="ED187" s="82">
        <f t="shared" si="578"/>
        <v>0</v>
      </c>
      <c r="EE187" s="82">
        <f t="shared" si="579"/>
        <v>0</v>
      </c>
      <c r="EF187" s="82">
        <f t="shared" si="580"/>
        <v>0</v>
      </c>
      <c r="EG187" s="82">
        <f t="shared" si="581"/>
        <v>0</v>
      </c>
      <c r="EH187" s="82">
        <f t="shared" si="582"/>
        <v>0</v>
      </c>
      <c r="EI187" s="82">
        <f t="shared" si="583"/>
        <v>0</v>
      </c>
      <c r="EJ187" s="82">
        <f t="shared" si="584"/>
        <v>0</v>
      </c>
      <c r="EK187" s="82">
        <f t="shared" si="585"/>
        <v>0</v>
      </c>
      <c r="EL187" s="82">
        <f t="shared" si="586"/>
        <v>0</v>
      </c>
      <c r="EM187" s="82">
        <f t="shared" si="587"/>
        <v>0</v>
      </c>
      <c r="EN187" s="82">
        <f t="shared" si="588"/>
        <v>0</v>
      </c>
      <c r="EO187" s="82">
        <f t="shared" si="589"/>
        <v>0</v>
      </c>
      <c r="EP187" s="82">
        <f t="shared" si="590"/>
        <v>0</v>
      </c>
      <c r="EQ187" s="82">
        <f t="shared" si="591"/>
        <v>0</v>
      </c>
      <c r="ER187" s="82">
        <f t="shared" si="592"/>
        <v>0</v>
      </c>
      <c r="ES187" s="82">
        <f t="shared" si="593"/>
        <v>0</v>
      </c>
      <c r="ET187" s="82">
        <f t="shared" si="594"/>
        <v>0</v>
      </c>
      <c r="EU187" s="82">
        <f t="shared" si="595"/>
        <v>0</v>
      </c>
      <c r="EV187" s="82">
        <f t="shared" si="596"/>
        <v>0</v>
      </c>
      <c r="EW187" s="82">
        <f t="shared" si="597"/>
        <v>0</v>
      </c>
      <c r="EX187" s="82">
        <f t="shared" si="598"/>
        <v>0</v>
      </c>
      <c r="EY187" s="111">
        <f t="shared" si="599"/>
        <v>0</v>
      </c>
      <c r="EZ187" s="143" t="e">
        <f t="shared" ca="1" si="600"/>
        <v>#N/A</v>
      </c>
      <c r="FA187" s="112" t="e">
        <f t="shared" ca="1" si="601"/>
        <v>#N/A</v>
      </c>
      <c r="FB187" s="113" t="e">
        <f t="shared" ca="1" si="602"/>
        <v>#N/A</v>
      </c>
      <c r="FC187" s="114" t="e">
        <f t="shared" ca="1" si="603"/>
        <v>#N/A</v>
      </c>
      <c r="FD187" s="115">
        <f t="shared" ca="1" si="604"/>
        <v>0</v>
      </c>
      <c r="FE187" s="116" t="e">
        <f t="shared" ca="1" si="605"/>
        <v>#N/A</v>
      </c>
      <c r="FF187" s="117" t="e">
        <f t="shared" ca="1" si="606"/>
        <v>#N/A</v>
      </c>
      <c r="FG187" s="71">
        <f t="shared" si="607"/>
        <v>0</v>
      </c>
      <c r="FH187" s="530" t="e">
        <f t="shared" ca="1" si="608"/>
        <v>#N/A</v>
      </c>
      <c r="FI187" s="72"/>
      <c r="FJ187" s="72"/>
      <c r="FK187" s="72"/>
      <c r="FM187" s="421">
        <f t="shared" si="609"/>
        <v>0</v>
      </c>
      <c r="FN187" s="422" t="e">
        <f t="shared" ca="1" si="610"/>
        <v>#N/A</v>
      </c>
      <c r="FO187" s="423">
        <f t="shared" ca="1" si="615"/>
        <v>0</v>
      </c>
      <c r="FP187" s="423">
        <f t="shared" ca="1" si="615"/>
        <v>0</v>
      </c>
      <c r="FQ187" s="423">
        <f t="shared" ca="1" si="615"/>
        <v>0</v>
      </c>
      <c r="FR187" s="423">
        <f t="shared" ca="1" si="615"/>
        <v>0</v>
      </c>
      <c r="FS187" s="423">
        <f t="shared" ca="1" si="615"/>
        <v>0</v>
      </c>
      <c r="FT187" s="423">
        <f t="shared" ca="1" si="615"/>
        <v>0</v>
      </c>
      <c r="FU187" s="423">
        <f t="shared" ca="1" si="615"/>
        <v>0</v>
      </c>
      <c r="FV187" s="423">
        <f t="shared" ca="1" si="615"/>
        <v>0</v>
      </c>
      <c r="FW187" s="423">
        <f t="shared" ca="1" si="615"/>
        <v>0</v>
      </c>
      <c r="FX187" s="423">
        <f t="shared" ca="1" si="615"/>
        <v>0</v>
      </c>
      <c r="FY187" s="423">
        <f t="shared" ca="1" si="615"/>
        <v>0</v>
      </c>
      <c r="FZ187" s="423">
        <f t="shared" ca="1" si="615"/>
        <v>0</v>
      </c>
      <c r="GA187" s="423">
        <f t="shared" ca="1" si="615"/>
        <v>0</v>
      </c>
      <c r="GB187" s="423">
        <f t="shared" ca="1" si="615"/>
        <v>0</v>
      </c>
      <c r="GC187" s="423">
        <f t="shared" ca="1" si="615"/>
        <v>0</v>
      </c>
      <c r="GD187" s="423">
        <f t="shared" ca="1" si="612"/>
        <v>0</v>
      </c>
      <c r="GE187" s="423">
        <f t="shared" ca="1" si="612"/>
        <v>0</v>
      </c>
      <c r="GF187" s="423">
        <f t="shared" ca="1" si="612"/>
        <v>0</v>
      </c>
      <c r="GG187" s="423">
        <f t="shared" ca="1" si="612"/>
        <v>0</v>
      </c>
      <c r="GH187" s="423">
        <f t="shared" ca="1" si="612"/>
        <v>0</v>
      </c>
      <c r="GI187" s="423">
        <f t="shared" ca="1" si="612"/>
        <v>0</v>
      </c>
      <c r="GJ187" s="423">
        <f t="shared" ca="1" si="612"/>
        <v>0</v>
      </c>
      <c r="GK187" s="423">
        <f t="shared" ca="1" si="612"/>
        <v>0</v>
      </c>
      <c r="GL187" s="423">
        <f t="shared" ca="1" si="612"/>
        <v>0</v>
      </c>
      <c r="GM187" s="423">
        <f t="shared" ca="1" si="612"/>
        <v>0</v>
      </c>
      <c r="GN187" s="423">
        <f t="shared" ca="1" si="612"/>
        <v>0</v>
      </c>
      <c r="GO187" s="423">
        <f t="shared" ca="1" si="612"/>
        <v>0</v>
      </c>
      <c r="GP187" s="423">
        <f t="shared" ca="1" si="612"/>
        <v>0</v>
      </c>
      <c r="GQ187" s="423">
        <f t="shared" ca="1" si="612"/>
        <v>0</v>
      </c>
      <c r="GR187" s="423">
        <f t="shared" ca="1" si="612"/>
        <v>0</v>
      </c>
      <c r="GS187" s="423">
        <f t="shared" ref="GS187:HH202" ca="1" si="616">IFERROR(ROUNDDOWN(SUMIF($H187:$CC187,GS$11,$CD187:$EX187)/GS$10,0),0)</f>
        <v>0</v>
      </c>
      <c r="GT187" s="423">
        <f t="shared" ca="1" si="613"/>
        <v>0</v>
      </c>
      <c r="GU187" s="423">
        <f t="shared" ca="1" si="613"/>
        <v>0</v>
      </c>
      <c r="GV187" s="423">
        <f t="shared" ca="1" si="613"/>
        <v>0</v>
      </c>
      <c r="GW187" s="423">
        <f t="shared" ca="1" si="613"/>
        <v>0</v>
      </c>
      <c r="GX187" s="423">
        <f t="shared" ca="1" si="613"/>
        <v>0</v>
      </c>
      <c r="GY187" s="423">
        <f t="shared" ca="1" si="613"/>
        <v>0</v>
      </c>
      <c r="GZ187" s="423">
        <f t="shared" ca="1" si="613"/>
        <v>0</v>
      </c>
      <c r="HA187" s="423">
        <f t="shared" ca="1" si="613"/>
        <v>0</v>
      </c>
      <c r="HB187" s="423">
        <f t="shared" ca="1" si="613"/>
        <v>0</v>
      </c>
      <c r="HC187" s="423">
        <f t="shared" ca="1" si="613"/>
        <v>0</v>
      </c>
      <c r="HD187" s="423">
        <f t="shared" ca="1" si="613"/>
        <v>0</v>
      </c>
      <c r="HE187" s="423">
        <f t="shared" ca="1" si="613"/>
        <v>0</v>
      </c>
      <c r="HF187" s="423">
        <f t="shared" ca="1" si="613"/>
        <v>0</v>
      </c>
      <c r="HG187" s="423">
        <f t="shared" ca="1" si="613"/>
        <v>0</v>
      </c>
      <c r="HH187" s="423">
        <f t="shared" ca="1" si="613"/>
        <v>0</v>
      </c>
      <c r="HI187" s="423">
        <f t="shared" ca="1" si="613"/>
        <v>0</v>
      </c>
      <c r="HJ187" s="423">
        <f t="shared" ref="HJ187:HT202" ca="1" si="617">IFERROR(ROUNDDOWN(SUMIF($H187:$CC187,HJ$11,$CD187:$EX187)/HJ$10,0),0)</f>
        <v>0</v>
      </c>
      <c r="HK187" s="423">
        <f t="shared" ca="1" si="614"/>
        <v>0</v>
      </c>
      <c r="HL187" s="423">
        <f t="shared" ca="1" si="614"/>
        <v>0</v>
      </c>
      <c r="HM187" s="423">
        <f t="shared" ca="1" si="614"/>
        <v>0</v>
      </c>
      <c r="HN187" s="423">
        <f t="shared" ca="1" si="614"/>
        <v>0</v>
      </c>
      <c r="HO187" s="423">
        <f t="shared" ca="1" si="614"/>
        <v>0</v>
      </c>
      <c r="HP187" s="423">
        <f t="shared" ca="1" si="614"/>
        <v>0</v>
      </c>
      <c r="HQ187" s="423">
        <f t="shared" ca="1" si="614"/>
        <v>0</v>
      </c>
      <c r="HR187" s="423">
        <f t="shared" ca="1" si="614"/>
        <v>0</v>
      </c>
      <c r="HS187" s="423">
        <f t="shared" ca="1" si="614"/>
        <v>0</v>
      </c>
      <c r="HT187" s="423">
        <f t="shared" ca="1" si="614"/>
        <v>0</v>
      </c>
    </row>
    <row r="188" spans="1:228" x14ac:dyDescent="0.2">
      <c r="A188" s="62">
        <f t="shared" si="516"/>
        <v>177</v>
      </c>
      <c r="B188" s="60">
        <f>Spaces_Sum!C233</f>
        <v>0</v>
      </c>
      <c r="C188" s="62" t="str">
        <f>Spaces_Sum!D233</f>
        <v>0</v>
      </c>
      <c r="D188" s="62" t="e">
        <f ca="1">Spaces_Sum!I233</f>
        <v>#N/A</v>
      </c>
      <c r="F188" s="110" t="e">
        <f ca="1">Spaces_Sum!M233</f>
        <v>#N/A</v>
      </c>
      <c r="G188" s="110" t="e">
        <f ca="1">Spaces_Sum!J233</f>
        <v>#N/A</v>
      </c>
      <c r="H188" s="532"/>
      <c r="I188" s="185"/>
      <c r="J188" s="185"/>
      <c r="K188" s="186"/>
      <c r="L188" s="187"/>
      <c r="M188" s="188"/>
      <c r="N188" s="189"/>
      <c r="O188" s="186"/>
      <c r="P188" s="187"/>
      <c r="Q188" s="188"/>
      <c r="R188" s="189"/>
      <c r="S188" s="186"/>
      <c r="T188" s="187"/>
      <c r="U188" s="188"/>
      <c r="V188" s="189"/>
      <c r="W188" s="186"/>
      <c r="X188" s="187"/>
      <c r="Y188" s="188"/>
      <c r="Z188" s="189"/>
      <c r="AA188" s="186"/>
      <c r="AB188" s="187"/>
      <c r="AC188" s="188"/>
      <c r="AD188" s="189"/>
      <c r="AE188" s="186"/>
      <c r="AF188" s="187"/>
      <c r="AG188" s="188"/>
      <c r="AH188" s="189"/>
      <c r="AI188" s="186"/>
      <c r="AJ188" s="187"/>
      <c r="AK188" s="188"/>
      <c r="AL188" s="189"/>
      <c r="AM188" s="186"/>
      <c r="AN188" s="187"/>
      <c r="AO188" s="188"/>
      <c r="AP188" s="189"/>
      <c r="AQ188" s="186"/>
      <c r="AR188" s="187"/>
      <c r="AS188" s="188"/>
      <c r="AT188" s="189"/>
      <c r="AU188" s="186"/>
      <c r="AV188" s="187"/>
      <c r="AW188" s="188"/>
      <c r="AX188" s="189"/>
      <c r="AY188" s="186"/>
      <c r="AZ188" s="187"/>
      <c r="BA188" s="188"/>
      <c r="BB188" s="189"/>
      <c r="BC188" s="186"/>
      <c r="BD188" s="187"/>
      <c r="BE188" s="188"/>
      <c r="BF188" s="189"/>
      <c r="BG188" s="186"/>
      <c r="BH188" s="187"/>
      <c r="BI188" s="188"/>
      <c r="BJ188" s="189"/>
      <c r="BK188" s="186"/>
      <c r="BL188" s="187"/>
      <c r="BM188" s="188"/>
      <c r="BN188" s="189"/>
      <c r="BO188" s="186"/>
      <c r="BP188" s="187"/>
      <c r="BQ188" s="188"/>
      <c r="BR188" s="189"/>
      <c r="BS188" s="186"/>
      <c r="BT188" s="187"/>
      <c r="BU188" s="188"/>
      <c r="BV188" s="189"/>
      <c r="BW188" s="186"/>
      <c r="BX188" s="187"/>
      <c r="BY188" s="188"/>
      <c r="BZ188" s="189"/>
      <c r="CA188" s="186"/>
      <c r="CB188" s="190"/>
      <c r="CC188" s="190"/>
      <c r="CD188" s="82">
        <f t="shared" si="526"/>
        <v>0</v>
      </c>
      <c r="CE188" s="82">
        <f t="shared" si="527"/>
        <v>0</v>
      </c>
      <c r="CF188" s="82">
        <f t="shared" si="528"/>
        <v>0</v>
      </c>
      <c r="CG188" s="82">
        <f t="shared" si="529"/>
        <v>0</v>
      </c>
      <c r="CH188" s="82">
        <f t="shared" si="530"/>
        <v>0</v>
      </c>
      <c r="CI188" s="82">
        <f t="shared" si="531"/>
        <v>0</v>
      </c>
      <c r="CJ188" s="82">
        <f t="shared" si="532"/>
        <v>0</v>
      </c>
      <c r="CK188" s="82">
        <f t="shared" si="533"/>
        <v>0</v>
      </c>
      <c r="CL188" s="82">
        <f t="shared" si="534"/>
        <v>0</v>
      </c>
      <c r="CM188" s="82">
        <f t="shared" si="535"/>
        <v>0</v>
      </c>
      <c r="CN188" s="82">
        <f t="shared" si="536"/>
        <v>0</v>
      </c>
      <c r="CO188" s="82">
        <f t="shared" si="537"/>
        <v>0</v>
      </c>
      <c r="CP188" s="82">
        <f t="shared" si="538"/>
        <v>0</v>
      </c>
      <c r="CQ188" s="82">
        <f t="shared" si="539"/>
        <v>0</v>
      </c>
      <c r="CR188" s="82">
        <f t="shared" si="540"/>
        <v>0</v>
      </c>
      <c r="CS188" s="82">
        <f t="shared" si="541"/>
        <v>0</v>
      </c>
      <c r="CT188" s="82">
        <f t="shared" si="542"/>
        <v>0</v>
      </c>
      <c r="CU188" s="82">
        <f t="shared" si="543"/>
        <v>0</v>
      </c>
      <c r="CV188" s="82">
        <f t="shared" si="544"/>
        <v>0</v>
      </c>
      <c r="CW188" s="82">
        <f t="shared" si="545"/>
        <v>0</v>
      </c>
      <c r="CX188" s="82">
        <f t="shared" si="546"/>
        <v>0</v>
      </c>
      <c r="CY188" s="82">
        <f t="shared" si="547"/>
        <v>0</v>
      </c>
      <c r="CZ188" s="82">
        <f t="shared" si="548"/>
        <v>0</v>
      </c>
      <c r="DA188" s="82">
        <f t="shared" si="549"/>
        <v>0</v>
      </c>
      <c r="DB188" s="82">
        <f t="shared" si="550"/>
        <v>0</v>
      </c>
      <c r="DC188" s="82">
        <f t="shared" si="551"/>
        <v>0</v>
      </c>
      <c r="DD188" s="82">
        <f t="shared" si="552"/>
        <v>0</v>
      </c>
      <c r="DE188" s="82">
        <f t="shared" si="553"/>
        <v>0</v>
      </c>
      <c r="DF188" s="82">
        <f t="shared" si="554"/>
        <v>0</v>
      </c>
      <c r="DG188" s="82">
        <f t="shared" si="555"/>
        <v>0</v>
      </c>
      <c r="DH188" s="82">
        <f t="shared" si="556"/>
        <v>0</v>
      </c>
      <c r="DI188" s="82">
        <f t="shared" si="557"/>
        <v>0</v>
      </c>
      <c r="DJ188" s="82">
        <f t="shared" si="558"/>
        <v>0</v>
      </c>
      <c r="DK188" s="82">
        <f t="shared" si="559"/>
        <v>0</v>
      </c>
      <c r="DL188" s="82">
        <f t="shared" si="560"/>
        <v>0</v>
      </c>
      <c r="DM188" s="82">
        <f t="shared" si="561"/>
        <v>0</v>
      </c>
      <c r="DN188" s="82">
        <f t="shared" si="562"/>
        <v>0</v>
      </c>
      <c r="DO188" s="82">
        <f t="shared" si="563"/>
        <v>0</v>
      </c>
      <c r="DP188" s="82">
        <f t="shared" si="564"/>
        <v>0</v>
      </c>
      <c r="DQ188" s="82">
        <f t="shared" si="565"/>
        <v>0</v>
      </c>
      <c r="DR188" s="82">
        <f t="shared" si="566"/>
        <v>0</v>
      </c>
      <c r="DS188" s="82">
        <f t="shared" si="567"/>
        <v>0</v>
      </c>
      <c r="DT188" s="82">
        <f t="shared" si="568"/>
        <v>0</v>
      </c>
      <c r="DU188" s="82">
        <f t="shared" si="569"/>
        <v>0</v>
      </c>
      <c r="DV188" s="82">
        <f t="shared" si="570"/>
        <v>0</v>
      </c>
      <c r="DW188" s="82">
        <f t="shared" si="571"/>
        <v>0</v>
      </c>
      <c r="DX188" s="82">
        <f t="shared" si="572"/>
        <v>0</v>
      </c>
      <c r="DY188" s="82">
        <f t="shared" si="573"/>
        <v>0</v>
      </c>
      <c r="DZ188" s="82">
        <f t="shared" si="574"/>
        <v>0</v>
      </c>
      <c r="EA188" s="82">
        <f t="shared" si="575"/>
        <v>0</v>
      </c>
      <c r="EB188" s="82">
        <f t="shared" si="576"/>
        <v>0</v>
      </c>
      <c r="EC188" s="82">
        <f t="shared" si="577"/>
        <v>0</v>
      </c>
      <c r="ED188" s="82">
        <f t="shared" si="578"/>
        <v>0</v>
      </c>
      <c r="EE188" s="82">
        <f t="shared" si="579"/>
        <v>0</v>
      </c>
      <c r="EF188" s="82">
        <f t="shared" si="580"/>
        <v>0</v>
      </c>
      <c r="EG188" s="82">
        <f t="shared" si="581"/>
        <v>0</v>
      </c>
      <c r="EH188" s="82">
        <f t="shared" si="582"/>
        <v>0</v>
      </c>
      <c r="EI188" s="82">
        <f t="shared" si="583"/>
        <v>0</v>
      </c>
      <c r="EJ188" s="82">
        <f t="shared" si="584"/>
        <v>0</v>
      </c>
      <c r="EK188" s="82">
        <f t="shared" si="585"/>
        <v>0</v>
      </c>
      <c r="EL188" s="82">
        <f t="shared" si="586"/>
        <v>0</v>
      </c>
      <c r="EM188" s="82">
        <f t="shared" si="587"/>
        <v>0</v>
      </c>
      <c r="EN188" s="82">
        <f t="shared" si="588"/>
        <v>0</v>
      </c>
      <c r="EO188" s="82">
        <f t="shared" si="589"/>
        <v>0</v>
      </c>
      <c r="EP188" s="82">
        <f t="shared" si="590"/>
        <v>0</v>
      </c>
      <c r="EQ188" s="82">
        <f t="shared" si="591"/>
        <v>0</v>
      </c>
      <c r="ER188" s="82">
        <f t="shared" si="592"/>
        <v>0</v>
      </c>
      <c r="ES188" s="82">
        <f t="shared" si="593"/>
        <v>0</v>
      </c>
      <c r="ET188" s="82">
        <f t="shared" si="594"/>
        <v>0</v>
      </c>
      <c r="EU188" s="82">
        <f t="shared" si="595"/>
        <v>0</v>
      </c>
      <c r="EV188" s="82">
        <f t="shared" si="596"/>
        <v>0</v>
      </c>
      <c r="EW188" s="82">
        <f t="shared" si="597"/>
        <v>0</v>
      </c>
      <c r="EX188" s="82">
        <f t="shared" si="598"/>
        <v>0</v>
      </c>
      <c r="EY188" s="111">
        <f t="shared" si="599"/>
        <v>0</v>
      </c>
      <c r="EZ188" s="143" t="e">
        <f t="shared" ca="1" si="600"/>
        <v>#N/A</v>
      </c>
      <c r="FA188" s="112" t="e">
        <f t="shared" ca="1" si="601"/>
        <v>#N/A</v>
      </c>
      <c r="FB188" s="113" t="e">
        <f t="shared" ca="1" si="602"/>
        <v>#N/A</v>
      </c>
      <c r="FC188" s="114" t="e">
        <f t="shared" ca="1" si="603"/>
        <v>#N/A</v>
      </c>
      <c r="FD188" s="115">
        <f t="shared" ca="1" si="604"/>
        <v>0</v>
      </c>
      <c r="FE188" s="116" t="e">
        <f t="shared" ca="1" si="605"/>
        <v>#N/A</v>
      </c>
      <c r="FF188" s="117" t="e">
        <f t="shared" ca="1" si="606"/>
        <v>#N/A</v>
      </c>
      <c r="FG188" s="71">
        <f t="shared" si="607"/>
        <v>0</v>
      </c>
      <c r="FH188" s="530" t="e">
        <f t="shared" ca="1" si="608"/>
        <v>#N/A</v>
      </c>
      <c r="FI188" s="72"/>
      <c r="FJ188" s="72"/>
      <c r="FK188" s="72"/>
      <c r="FM188" s="421">
        <f t="shared" si="609"/>
        <v>0</v>
      </c>
      <c r="FN188" s="422" t="e">
        <f t="shared" ca="1" si="610"/>
        <v>#N/A</v>
      </c>
      <c r="FO188" s="423">
        <f t="shared" ca="1" si="615"/>
        <v>0</v>
      </c>
      <c r="FP188" s="423">
        <f t="shared" ca="1" si="615"/>
        <v>0</v>
      </c>
      <c r="FQ188" s="423">
        <f t="shared" ca="1" si="615"/>
        <v>0</v>
      </c>
      <c r="FR188" s="423">
        <f t="shared" ca="1" si="615"/>
        <v>0</v>
      </c>
      <c r="FS188" s="423">
        <f t="shared" ca="1" si="615"/>
        <v>0</v>
      </c>
      <c r="FT188" s="423">
        <f t="shared" ca="1" si="615"/>
        <v>0</v>
      </c>
      <c r="FU188" s="423">
        <f t="shared" ca="1" si="615"/>
        <v>0</v>
      </c>
      <c r="FV188" s="423">
        <f t="shared" ca="1" si="615"/>
        <v>0</v>
      </c>
      <c r="FW188" s="423">
        <f t="shared" ca="1" si="615"/>
        <v>0</v>
      </c>
      <c r="FX188" s="423">
        <f t="shared" ca="1" si="615"/>
        <v>0</v>
      </c>
      <c r="FY188" s="423">
        <f t="shared" ca="1" si="615"/>
        <v>0</v>
      </c>
      <c r="FZ188" s="423">
        <f t="shared" ca="1" si="615"/>
        <v>0</v>
      </c>
      <c r="GA188" s="423">
        <f t="shared" ca="1" si="615"/>
        <v>0</v>
      </c>
      <c r="GB188" s="423">
        <f t="shared" ca="1" si="615"/>
        <v>0</v>
      </c>
      <c r="GC188" s="423">
        <f t="shared" ca="1" si="615"/>
        <v>0</v>
      </c>
      <c r="GD188" s="423">
        <f t="shared" ca="1" si="615"/>
        <v>0</v>
      </c>
      <c r="GE188" s="423">
        <f t="shared" ref="GE188:GT203" ca="1" si="618">IFERROR(ROUNDDOWN(SUMIF($H188:$CC188,GE$11,$CD188:$EX188)/GE$10,0),0)</f>
        <v>0</v>
      </c>
      <c r="GF188" s="423">
        <f t="shared" ca="1" si="618"/>
        <v>0</v>
      </c>
      <c r="GG188" s="423">
        <f t="shared" ca="1" si="618"/>
        <v>0</v>
      </c>
      <c r="GH188" s="423">
        <f t="shared" ca="1" si="618"/>
        <v>0</v>
      </c>
      <c r="GI188" s="423">
        <f t="shared" ca="1" si="618"/>
        <v>0</v>
      </c>
      <c r="GJ188" s="423">
        <f t="shared" ca="1" si="618"/>
        <v>0</v>
      </c>
      <c r="GK188" s="423">
        <f t="shared" ca="1" si="618"/>
        <v>0</v>
      </c>
      <c r="GL188" s="423">
        <f t="shared" ca="1" si="618"/>
        <v>0</v>
      </c>
      <c r="GM188" s="423">
        <f t="shared" ca="1" si="618"/>
        <v>0</v>
      </c>
      <c r="GN188" s="423">
        <f t="shared" ca="1" si="618"/>
        <v>0</v>
      </c>
      <c r="GO188" s="423">
        <f t="shared" ca="1" si="618"/>
        <v>0</v>
      </c>
      <c r="GP188" s="423">
        <f t="shared" ca="1" si="618"/>
        <v>0</v>
      </c>
      <c r="GQ188" s="423">
        <f t="shared" ca="1" si="618"/>
        <v>0</v>
      </c>
      <c r="GR188" s="423">
        <f t="shared" ca="1" si="618"/>
        <v>0</v>
      </c>
      <c r="GS188" s="423">
        <f t="shared" ca="1" si="616"/>
        <v>0</v>
      </c>
      <c r="GT188" s="423">
        <f t="shared" ca="1" si="616"/>
        <v>0</v>
      </c>
      <c r="GU188" s="423">
        <f t="shared" ca="1" si="616"/>
        <v>0</v>
      </c>
      <c r="GV188" s="423">
        <f t="shared" ca="1" si="616"/>
        <v>0</v>
      </c>
      <c r="GW188" s="423">
        <f t="shared" ca="1" si="616"/>
        <v>0</v>
      </c>
      <c r="GX188" s="423">
        <f t="shared" ca="1" si="616"/>
        <v>0</v>
      </c>
      <c r="GY188" s="423">
        <f t="shared" ca="1" si="616"/>
        <v>0</v>
      </c>
      <c r="GZ188" s="423">
        <f t="shared" ca="1" si="616"/>
        <v>0</v>
      </c>
      <c r="HA188" s="423">
        <f t="shared" ca="1" si="616"/>
        <v>0</v>
      </c>
      <c r="HB188" s="423">
        <f t="shared" ca="1" si="616"/>
        <v>0</v>
      </c>
      <c r="HC188" s="423">
        <f t="shared" ca="1" si="616"/>
        <v>0</v>
      </c>
      <c r="HD188" s="423">
        <f t="shared" ca="1" si="616"/>
        <v>0</v>
      </c>
      <c r="HE188" s="423">
        <f t="shared" ca="1" si="616"/>
        <v>0</v>
      </c>
      <c r="HF188" s="423">
        <f t="shared" ca="1" si="616"/>
        <v>0</v>
      </c>
      <c r="HG188" s="423">
        <f t="shared" ca="1" si="616"/>
        <v>0</v>
      </c>
      <c r="HH188" s="423">
        <f t="shared" ca="1" si="616"/>
        <v>0</v>
      </c>
      <c r="HI188" s="423">
        <f t="shared" ref="HI188:HT203" ca="1" si="619">IFERROR(ROUNDDOWN(SUMIF($H188:$CC188,HI$11,$CD188:$EX188)/HI$10,0),0)</f>
        <v>0</v>
      </c>
      <c r="HJ188" s="423">
        <f t="shared" ca="1" si="617"/>
        <v>0</v>
      </c>
      <c r="HK188" s="423">
        <f t="shared" ca="1" si="617"/>
        <v>0</v>
      </c>
      <c r="HL188" s="423">
        <f t="shared" ca="1" si="617"/>
        <v>0</v>
      </c>
      <c r="HM188" s="423">
        <f t="shared" ca="1" si="617"/>
        <v>0</v>
      </c>
      <c r="HN188" s="423">
        <f t="shared" ca="1" si="617"/>
        <v>0</v>
      </c>
      <c r="HO188" s="423">
        <f t="shared" ca="1" si="617"/>
        <v>0</v>
      </c>
      <c r="HP188" s="423">
        <f t="shared" ca="1" si="617"/>
        <v>0</v>
      </c>
      <c r="HQ188" s="423">
        <f t="shared" ca="1" si="617"/>
        <v>0</v>
      </c>
      <c r="HR188" s="423">
        <f t="shared" ca="1" si="617"/>
        <v>0</v>
      </c>
      <c r="HS188" s="423">
        <f t="shared" ca="1" si="617"/>
        <v>0</v>
      </c>
      <c r="HT188" s="423">
        <f t="shared" ca="1" si="617"/>
        <v>0</v>
      </c>
    </row>
    <row r="189" spans="1:228" x14ac:dyDescent="0.2">
      <c r="A189" s="62">
        <f t="shared" si="516"/>
        <v>178</v>
      </c>
      <c r="B189" s="60">
        <f>Spaces_Sum!C234</f>
        <v>0</v>
      </c>
      <c r="C189" s="62" t="str">
        <f>Spaces_Sum!D234</f>
        <v>0</v>
      </c>
      <c r="D189" s="62" t="e">
        <f ca="1">Spaces_Sum!I234</f>
        <v>#N/A</v>
      </c>
      <c r="F189" s="110" t="e">
        <f ca="1">Spaces_Sum!M234</f>
        <v>#N/A</v>
      </c>
      <c r="G189" s="110" t="e">
        <f ca="1">Spaces_Sum!J234</f>
        <v>#N/A</v>
      </c>
      <c r="H189" s="532"/>
      <c r="I189" s="185"/>
      <c r="J189" s="185"/>
      <c r="K189" s="186"/>
      <c r="L189" s="187"/>
      <c r="M189" s="188"/>
      <c r="N189" s="189"/>
      <c r="O189" s="186"/>
      <c r="P189" s="187"/>
      <c r="Q189" s="188"/>
      <c r="R189" s="189"/>
      <c r="S189" s="186"/>
      <c r="T189" s="187"/>
      <c r="U189" s="188"/>
      <c r="V189" s="189"/>
      <c r="W189" s="186"/>
      <c r="X189" s="187"/>
      <c r="Y189" s="188"/>
      <c r="Z189" s="189"/>
      <c r="AA189" s="186"/>
      <c r="AB189" s="187"/>
      <c r="AC189" s="188"/>
      <c r="AD189" s="189"/>
      <c r="AE189" s="186"/>
      <c r="AF189" s="187"/>
      <c r="AG189" s="188"/>
      <c r="AH189" s="189"/>
      <c r="AI189" s="186"/>
      <c r="AJ189" s="187"/>
      <c r="AK189" s="188"/>
      <c r="AL189" s="189"/>
      <c r="AM189" s="186"/>
      <c r="AN189" s="187"/>
      <c r="AO189" s="188"/>
      <c r="AP189" s="189"/>
      <c r="AQ189" s="186"/>
      <c r="AR189" s="187"/>
      <c r="AS189" s="188"/>
      <c r="AT189" s="189"/>
      <c r="AU189" s="186"/>
      <c r="AV189" s="187"/>
      <c r="AW189" s="188"/>
      <c r="AX189" s="189"/>
      <c r="AY189" s="186"/>
      <c r="AZ189" s="187"/>
      <c r="BA189" s="188"/>
      <c r="BB189" s="189"/>
      <c r="BC189" s="186"/>
      <c r="BD189" s="187"/>
      <c r="BE189" s="188"/>
      <c r="BF189" s="189"/>
      <c r="BG189" s="186"/>
      <c r="BH189" s="187"/>
      <c r="BI189" s="188"/>
      <c r="BJ189" s="189"/>
      <c r="BK189" s="186"/>
      <c r="BL189" s="187"/>
      <c r="BM189" s="188"/>
      <c r="BN189" s="189"/>
      <c r="BO189" s="186"/>
      <c r="BP189" s="187"/>
      <c r="BQ189" s="188"/>
      <c r="BR189" s="189"/>
      <c r="BS189" s="186"/>
      <c r="BT189" s="187"/>
      <c r="BU189" s="188"/>
      <c r="BV189" s="189"/>
      <c r="BW189" s="186"/>
      <c r="BX189" s="187"/>
      <c r="BY189" s="188"/>
      <c r="BZ189" s="189"/>
      <c r="CA189" s="186"/>
      <c r="CB189" s="190"/>
      <c r="CC189" s="190"/>
      <c r="CD189" s="82">
        <f t="shared" si="526"/>
        <v>0</v>
      </c>
      <c r="CE189" s="82">
        <f t="shared" si="527"/>
        <v>0</v>
      </c>
      <c r="CF189" s="82">
        <f t="shared" si="528"/>
        <v>0</v>
      </c>
      <c r="CG189" s="82">
        <f t="shared" si="529"/>
        <v>0</v>
      </c>
      <c r="CH189" s="82">
        <f t="shared" si="530"/>
        <v>0</v>
      </c>
      <c r="CI189" s="82">
        <f t="shared" si="531"/>
        <v>0</v>
      </c>
      <c r="CJ189" s="82">
        <f t="shared" si="532"/>
        <v>0</v>
      </c>
      <c r="CK189" s="82">
        <f t="shared" si="533"/>
        <v>0</v>
      </c>
      <c r="CL189" s="82">
        <f t="shared" si="534"/>
        <v>0</v>
      </c>
      <c r="CM189" s="82">
        <f t="shared" si="535"/>
        <v>0</v>
      </c>
      <c r="CN189" s="82">
        <f t="shared" si="536"/>
        <v>0</v>
      </c>
      <c r="CO189" s="82">
        <f t="shared" si="537"/>
        <v>0</v>
      </c>
      <c r="CP189" s="82">
        <f t="shared" si="538"/>
        <v>0</v>
      </c>
      <c r="CQ189" s="82">
        <f t="shared" si="539"/>
        <v>0</v>
      </c>
      <c r="CR189" s="82">
        <f t="shared" si="540"/>
        <v>0</v>
      </c>
      <c r="CS189" s="82">
        <f t="shared" si="541"/>
        <v>0</v>
      </c>
      <c r="CT189" s="82">
        <f t="shared" si="542"/>
        <v>0</v>
      </c>
      <c r="CU189" s="82">
        <f t="shared" si="543"/>
        <v>0</v>
      </c>
      <c r="CV189" s="82">
        <f t="shared" si="544"/>
        <v>0</v>
      </c>
      <c r="CW189" s="82">
        <f t="shared" si="545"/>
        <v>0</v>
      </c>
      <c r="CX189" s="82">
        <f t="shared" si="546"/>
        <v>0</v>
      </c>
      <c r="CY189" s="82">
        <f t="shared" si="547"/>
        <v>0</v>
      </c>
      <c r="CZ189" s="82">
        <f t="shared" si="548"/>
        <v>0</v>
      </c>
      <c r="DA189" s="82">
        <f t="shared" si="549"/>
        <v>0</v>
      </c>
      <c r="DB189" s="82">
        <f t="shared" si="550"/>
        <v>0</v>
      </c>
      <c r="DC189" s="82">
        <f t="shared" si="551"/>
        <v>0</v>
      </c>
      <c r="DD189" s="82">
        <f t="shared" si="552"/>
        <v>0</v>
      </c>
      <c r="DE189" s="82">
        <f t="shared" si="553"/>
        <v>0</v>
      </c>
      <c r="DF189" s="82">
        <f t="shared" si="554"/>
        <v>0</v>
      </c>
      <c r="DG189" s="82">
        <f t="shared" si="555"/>
        <v>0</v>
      </c>
      <c r="DH189" s="82">
        <f t="shared" si="556"/>
        <v>0</v>
      </c>
      <c r="DI189" s="82">
        <f t="shared" si="557"/>
        <v>0</v>
      </c>
      <c r="DJ189" s="82">
        <f t="shared" si="558"/>
        <v>0</v>
      </c>
      <c r="DK189" s="82">
        <f t="shared" si="559"/>
        <v>0</v>
      </c>
      <c r="DL189" s="82">
        <f t="shared" si="560"/>
        <v>0</v>
      </c>
      <c r="DM189" s="82">
        <f t="shared" si="561"/>
        <v>0</v>
      </c>
      <c r="DN189" s="82">
        <f t="shared" si="562"/>
        <v>0</v>
      </c>
      <c r="DO189" s="82">
        <f t="shared" si="563"/>
        <v>0</v>
      </c>
      <c r="DP189" s="82">
        <f t="shared" si="564"/>
        <v>0</v>
      </c>
      <c r="DQ189" s="82">
        <f t="shared" si="565"/>
        <v>0</v>
      </c>
      <c r="DR189" s="82">
        <f t="shared" si="566"/>
        <v>0</v>
      </c>
      <c r="DS189" s="82">
        <f t="shared" si="567"/>
        <v>0</v>
      </c>
      <c r="DT189" s="82">
        <f t="shared" si="568"/>
        <v>0</v>
      </c>
      <c r="DU189" s="82">
        <f t="shared" si="569"/>
        <v>0</v>
      </c>
      <c r="DV189" s="82">
        <f t="shared" si="570"/>
        <v>0</v>
      </c>
      <c r="DW189" s="82">
        <f t="shared" si="571"/>
        <v>0</v>
      </c>
      <c r="DX189" s="82">
        <f t="shared" si="572"/>
        <v>0</v>
      </c>
      <c r="DY189" s="82">
        <f t="shared" si="573"/>
        <v>0</v>
      </c>
      <c r="DZ189" s="82">
        <f t="shared" si="574"/>
        <v>0</v>
      </c>
      <c r="EA189" s="82">
        <f t="shared" si="575"/>
        <v>0</v>
      </c>
      <c r="EB189" s="82">
        <f t="shared" si="576"/>
        <v>0</v>
      </c>
      <c r="EC189" s="82">
        <f t="shared" si="577"/>
        <v>0</v>
      </c>
      <c r="ED189" s="82">
        <f t="shared" si="578"/>
        <v>0</v>
      </c>
      <c r="EE189" s="82">
        <f t="shared" si="579"/>
        <v>0</v>
      </c>
      <c r="EF189" s="82">
        <f t="shared" si="580"/>
        <v>0</v>
      </c>
      <c r="EG189" s="82">
        <f t="shared" si="581"/>
        <v>0</v>
      </c>
      <c r="EH189" s="82">
        <f t="shared" si="582"/>
        <v>0</v>
      </c>
      <c r="EI189" s="82">
        <f t="shared" si="583"/>
        <v>0</v>
      </c>
      <c r="EJ189" s="82">
        <f t="shared" si="584"/>
        <v>0</v>
      </c>
      <c r="EK189" s="82">
        <f t="shared" si="585"/>
        <v>0</v>
      </c>
      <c r="EL189" s="82">
        <f t="shared" si="586"/>
        <v>0</v>
      </c>
      <c r="EM189" s="82">
        <f t="shared" si="587"/>
        <v>0</v>
      </c>
      <c r="EN189" s="82">
        <f t="shared" si="588"/>
        <v>0</v>
      </c>
      <c r="EO189" s="82">
        <f t="shared" si="589"/>
        <v>0</v>
      </c>
      <c r="EP189" s="82">
        <f t="shared" si="590"/>
        <v>0</v>
      </c>
      <c r="EQ189" s="82">
        <f t="shared" si="591"/>
        <v>0</v>
      </c>
      <c r="ER189" s="82">
        <f t="shared" si="592"/>
        <v>0</v>
      </c>
      <c r="ES189" s="82">
        <f t="shared" si="593"/>
        <v>0</v>
      </c>
      <c r="ET189" s="82">
        <f t="shared" si="594"/>
        <v>0</v>
      </c>
      <c r="EU189" s="82">
        <f t="shared" si="595"/>
        <v>0</v>
      </c>
      <c r="EV189" s="82">
        <f t="shared" si="596"/>
        <v>0</v>
      </c>
      <c r="EW189" s="82">
        <f t="shared" si="597"/>
        <v>0</v>
      </c>
      <c r="EX189" s="82">
        <f t="shared" si="598"/>
        <v>0</v>
      </c>
      <c r="EY189" s="111">
        <f t="shared" si="599"/>
        <v>0</v>
      </c>
      <c r="EZ189" s="143" t="e">
        <f t="shared" ca="1" si="600"/>
        <v>#N/A</v>
      </c>
      <c r="FA189" s="112" t="e">
        <f t="shared" ca="1" si="601"/>
        <v>#N/A</v>
      </c>
      <c r="FB189" s="113" t="e">
        <f t="shared" ca="1" si="602"/>
        <v>#N/A</v>
      </c>
      <c r="FC189" s="114" t="e">
        <f t="shared" ca="1" si="603"/>
        <v>#N/A</v>
      </c>
      <c r="FD189" s="115">
        <f t="shared" ca="1" si="604"/>
        <v>0</v>
      </c>
      <c r="FE189" s="116" t="e">
        <f t="shared" ca="1" si="605"/>
        <v>#N/A</v>
      </c>
      <c r="FF189" s="117" t="e">
        <f t="shared" ca="1" si="606"/>
        <v>#N/A</v>
      </c>
      <c r="FG189" s="71">
        <f t="shared" si="607"/>
        <v>0</v>
      </c>
      <c r="FH189" s="530" t="e">
        <f t="shared" ca="1" si="608"/>
        <v>#N/A</v>
      </c>
      <c r="FI189" s="72"/>
      <c r="FJ189" s="72"/>
      <c r="FK189" s="72"/>
      <c r="FM189" s="421">
        <f t="shared" si="609"/>
        <v>0</v>
      </c>
      <c r="FN189" s="422" t="e">
        <f t="shared" ca="1" si="610"/>
        <v>#N/A</v>
      </c>
      <c r="FO189" s="423">
        <f t="shared" ref="FO189:GD204" ca="1" si="620">IFERROR(ROUNDDOWN(SUMIF($H189:$CC189,FO$11,$CD189:$EX189)/FO$10,0),0)</f>
        <v>0</v>
      </c>
      <c r="FP189" s="423">
        <f t="shared" ca="1" si="620"/>
        <v>0</v>
      </c>
      <c r="FQ189" s="423">
        <f t="shared" ca="1" si="620"/>
        <v>0</v>
      </c>
      <c r="FR189" s="423">
        <f t="shared" ca="1" si="620"/>
        <v>0</v>
      </c>
      <c r="FS189" s="423">
        <f t="shared" ca="1" si="620"/>
        <v>0</v>
      </c>
      <c r="FT189" s="423">
        <f t="shared" ca="1" si="620"/>
        <v>0</v>
      </c>
      <c r="FU189" s="423">
        <f t="shared" ca="1" si="620"/>
        <v>0</v>
      </c>
      <c r="FV189" s="423">
        <f t="shared" ca="1" si="620"/>
        <v>0</v>
      </c>
      <c r="FW189" s="423">
        <f t="shared" ca="1" si="620"/>
        <v>0</v>
      </c>
      <c r="FX189" s="423">
        <f t="shared" ca="1" si="620"/>
        <v>0</v>
      </c>
      <c r="FY189" s="423">
        <f t="shared" ca="1" si="620"/>
        <v>0</v>
      </c>
      <c r="FZ189" s="423">
        <f t="shared" ca="1" si="620"/>
        <v>0</v>
      </c>
      <c r="GA189" s="423">
        <f t="shared" ca="1" si="620"/>
        <v>0</v>
      </c>
      <c r="GB189" s="423">
        <f t="shared" ca="1" si="620"/>
        <v>0</v>
      </c>
      <c r="GC189" s="423">
        <f t="shared" ca="1" si="620"/>
        <v>0</v>
      </c>
      <c r="GD189" s="423">
        <f t="shared" ca="1" si="620"/>
        <v>0</v>
      </c>
      <c r="GE189" s="423">
        <f t="shared" ca="1" si="618"/>
        <v>0</v>
      </c>
      <c r="GF189" s="423">
        <f t="shared" ca="1" si="618"/>
        <v>0</v>
      </c>
      <c r="GG189" s="423">
        <f t="shared" ca="1" si="618"/>
        <v>0</v>
      </c>
      <c r="GH189" s="423">
        <f t="shared" ca="1" si="618"/>
        <v>0</v>
      </c>
      <c r="GI189" s="423">
        <f t="shared" ca="1" si="618"/>
        <v>0</v>
      </c>
      <c r="GJ189" s="423">
        <f t="shared" ca="1" si="618"/>
        <v>0</v>
      </c>
      <c r="GK189" s="423">
        <f t="shared" ca="1" si="618"/>
        <v>0</v>
      </c>
      <c r="GL189" s="423">
        <f t="shared" ca="1" si="618"/>
        <v>0</v>
      </c>
      <c r="GM189" s="423">
        <f t="shared" ca="1" si="618"/>
        <v>0</v>
      </c>
      <c r="GN189" s="423">
        <f t="shared" ca="1" si="618"/>
        <v>0</v>
      </c>
      <c r="GO189" s="423">
        <f t="shared" ca="1" si="618"/>
        <v>0</v>
      </c>
      <c r="GP189" s="423">
        <f t="shared" ca="1" si="618"/>
        <v>0</v>
      </c>
      <c r="GQ189" s="423">
        <f t="shared" ca="1" si="618"/>
        <v>0</v>
      </c>
      <c r="GR189" s="423">
        <f t="shared" ca="1" si="618"/>
        <v>0</v>
      </c>
      <c r="GS189" s="423">
        <f t="shared" ca="1" si="616"/>
        <v>0</v>
      </c>
      <c r="GT189" s="423">
        <f t="shared" ca="1" si="616"/>
        <v>0</v>
      </c>
      <c r="GU189" s="423">
        <f t="shared" ca="1" si="616"/>
        <v>0</v>
      </c>
      <c r="GV189" s="423">
        <f t="shared" ca="1" si="616"/>
        <v>0</v>
      </c>
      <c r="GW189" s="423">
        <f t="shared" ca="1" si="616"/>
        <v>0</v>
      </c>
      <c r="GX189" s="423">
        <f t="shared" ca="1" si="616"/>
        <v>0</v>
      </c>
      <c r="GY189" s="423">
        <f t="shared" ca="1" si="616"/>
        <v>0</v>
      </c>
      <c r="GZ189" s="423">
        <f t="shared" ca="1" si="616"/>
        <v>0</v>
      </c>
      <c r="HA189" s="423">
        <f t="shared" ca="1" si="616"/>
        <v>0</v>
      </c>
      <c r="HB189" s="423">
        <f t="shared" ca="1" si="616"/>
        <v>0</v>
      </c>
      <c r="HC189" s="423">
        <f t="shared" ca="1" si="616"/>
        <v>0</v>
      </c>
      <c r="HD189" s="423">
        <f t="shared" ca="1" si="616"/>
        <v>0</v>
      </c>
      <c r="HE189" s="423">
        <f t="shared" ca="1" si="616"/>
        <v>0</v>
      </c>
      <c r="HF189" s="423">
        <f t="shared" ca="1" si="616"/>
        <v>0</v>
      </c>
      <c r="HG189" s="423">
        <f t="shared" ca="1" si="616"/>
        <v>0</v>
      </c>
      <c r="HH189" s="423">
        <f t="shared" ca="1" si="616"/>
        <v>0</v>
      </c>
      <c r="HI189" s="423">
        <f t="shared" ca="1" si="619"/>
        <v>0</v>
      </c>
      <c r="HJ189" s="423">
        <f t="shared" ca="1" si="617"/>
        <v>0</v>
      </c>
      <c r="HK189" s="423">
        <f t="shared" ca="1" si="617"/>
        <v>0</v>
      </c>
      <c r="HL189" s="423">
        <f t="shared" ca="1" si="617"/>
        <v>0</v>
      </c>
      <c r="HM189" s="423">
        <f t="shared" ca="1" si="617"/>
        <v>0</v>
      </c>
      <c r="HN189" s="423">
        <f t="shared" ca="1" si="617"/>
        <v>0</v>
      </c>
      <c r="HO189" s="423">
        <f t="shared" ca="1" si="617"/>
        <v>0</v>
      </c>
      <c r="HP189" s="423">
        <f t="shared" ca="1" si="617"/>
        <v>0</v>
      </c>
      <c r="HQ189" s="423">
        <f t="shared" ca="1" si="617"/>
        <v>0</v>
      </c>
      <c r="HR189" s="423">
        <f t="shared" ca="1" si="617"/>
        <v>0</v>
      </c>
      <c r="HS189" s="423">
        <f t="shared" ca="1" si="617"/>
        <v>0</v>
      </c>
      <c r="HT189" s="423">
        <f t="shared" ca="1" si="617"/>
        <v>0</v>
      </c>
    </row>
    <row r="190" spans="1:228" x14ac:dyDescent="0.2">
      <c r="A190" s="62">
        <f t="shared" si="516"/>
        <v>179</v>
      </c>
      <c r="B190" s="60">
        <f>Spaces_Sum!C235</f>
        <v>0</v>
      </c>
      <c r="C190" s="62" t="str">
        <f>Spaces_Sum!D235</f>
        <v>0</v>
      </c>
      <c r="D190" s="62" t="e">
        <f ca="1">Spaces_Sum!I235</f>
        <v>#N/A</v>
      </c>
      <c r="F190" s="110" t="e">
        <f ca="1">Spaces_Sum!M235</f>
        <v>#N/A</v>
      </c>
      <c r="G190" s="110" t="e">
        <f ca="1">Spaces_Sum!J235</f>
        <v>#N/A</v>
      </c>
      <c r="H190" s="532"/>
      <c r="I190" s="185"/>
      <c r="J190" s="185"/>
      <c r="K190" s="186"/>
      <c r="L190" s="187"/>
      <c r="M190" s="188"/>
      <c r="N190" s="189"/>
      <c r="O190" s="186"/>
      <c r="P190" s="187"/>
      <c r="Q190" s="188"/>
      <c r="R190" s="189"/>
      <c r="S190" s="186"/>
      <c r="T190" s="187"/>
      <c r="U190" s="188"/>
      <c r="V190" s="189"/>
      <c r="W190" s="186"/>
      <c r="X190" s="187"/>
      <c r="Y190" s="188"/>
      <c r="Z190" s="189"/>
      <c r="AA190" s="186"/>
      <c r="AB190" s="187"/>
      <c r="AC190" s="188"/>
      <c r="AD190" s="189"/>
      <c r="AE190" s="186"/>
      <c r="AF190" s="187"/>
      <c r="AG190" s="188"/>
      <c r="AH190" s="189"/>
      <c r="AI190" s="186"/>
      <c r="AJ190" s="187"/>
      <c r="AK190" s="188"/>
      <c r="AL190" s="189"/>
      <c r="AM190" s="186"/>
      <c r="AN190" s="187"/>
      <c r="AO190" s="188"/>
      <c r="AP190" s="189"/>
      <c r="AQ190" s="186"/>
      <c r="AR190" s="187"/>
      <c r="AS190" s="188"/>
      <c r="AT190" s="189"/>
      <c r="AU190" s="186"/>
      <c r="AV190" s="187"/>
      <c r="AW190" s="188"/>
      <c r="AX190" s="189"/>
      <c r="AY190" s="186"/>
      <c r="AZ190" s="187"/>
      <c r="BA190" s="188"/>
      <c r="BB190" s="189"/>
      <c r="BC190" s="186"/>
      <c r="BD190" s="187"/>
      <c r="BE190" s="188"/>
      <c r="BF190" s="189"/>
      <c r="BG190" s="186"/>
      <c r="BH190" s="187"/>
      <c r="BI190" s="188"/>
      <c r="BJ190" s="189"/>
      <c r="BK190" s="186"/>
      <c r="BL190" s="187"/>
      <c r="BM190" s="188"/>
      <c r="BN190" s="189"/>
      <c r="BO190" s="186"/>
      <c r="BP190" s="187"/>
      <c r="BQ190" s="188"/>
      <c r="BR190" s="189"/>
      <c r="BS190" s="186"/>
      <c r="BT190" s="187"/>
      <c r="BU190" s="188"/>
      <c r="BV190" s="189"/>
      <c r="BW190" s="186"/>
      <c r="BX190" s="187"/>
      <c r="BY190" s="188"/>
      <c r="BZ190" s="189"/>
      <c r="CA190" s="186"/>
      <c r="CB190" s="190"/>
      <c r="CC190" s="190"/>
      <c r="CD190" s="82">
        <f t="shared" si="526"/>
        <v>0</v>
      </c>
      <c r="CE190" s="82">
        <f t="shared" si="527"/>
        <v>0</v>
      </c>
      <c r="CF190" s="82">
        <f t="shared" si="528"/>
        <v>0</v>
      </c>
      <c r="CG190" s="82">
        <f t="shared" si="529"/>
        <v>0</v>
      </c>
      <c r="CH190" s="82">
        <f t="shared" si="530"/>
        <v>0</v>
      </c>
      <c r="CI190" s="82">
        <f t="shared" si="531"/>
        <v>0</v>
      </c>
      <c r="CJ190" s="82">
        <f t="shared" si="532"/>
        <v>0</v>
      </c>
      <c r="CK190" s="82">
        <f t="shared" si="533"/>
        <v>0</v>
      </c>
      <c r="CL190" s="82">
        <f t="shared" si="534"/>
        <v>0</v>
      </c>
      <c r="CM190" s="82">
        <f t="shared" si="535"/>
        <v>0</v>
      </c>
      <c r="CN190" s="82">
        <f t="shared" si="536"/>
        <v>0</v>
      </c>
      <c r="CO190" s="82">
        <f t="shared" si="537"/>
        <v>0</v>
      </c>
      <c r="CP190" s="82">
        <f t="shared" si="538"/>
        <v>0</v>
      </c>
      <c r="CQ190" s="82">
        <f t="shared" si="539"/>
        <v>0</v>
      </c>
      <c r="CR190" s="82">
        <f t="shared" si="540"/>
        <v>0</v>
      </c>
      <c r="CS190" s="82">
        <f t="shared" si="541"/>
        <v>0</v>
      </c>
      <c r="CT190" s="82">
        <f t="shared" si="542"/>
        <v>0</v>
      </c>
      <c r="CU190" s="82">
        <f t="shared" si="543"/>
        <v>0</v>
      </c>
      <c r="CV190" s="82">
        <f t="shared" si="544"/>
        <v>0</v>
      </c>
      <c r="CW190" s="82">
        <f t="shared" si="545"/>
        <v>0</v>
      </c>
      <c r="CX190" s="82">
        <f t="shared" si="546"/>
        <v>0</v>
      </c>
      <c r="CY190" s="82">
        <f t="shared" si="547"/>
        <v>0</v>
      </c>
      <c r="CZ190" s="82">
        <f t="shared" si="548"/>
        <v>0</v>
      </c>
      <c r="DA190" s="82">
        <f t="shared" si="549"/>
        <v>0</v>
      </c>
      <c r="DB190" s="82">
        <f t="shared" si="550"/>
        <v>0</v>
      </c>
      <c r="DC190" s="82">
        <f t="shared" si="551"/>
        <v>0</v>
      </c>
      <c r="DD190" s="82">
        <f t="shared" si="552"/>
        <v>0</v>
      </c>
      <c r="DE190" s="82">
        <f t="shared" si="553"/>
        <v>0</v>
      </c>
      <c r="DF190" s="82">
        <f t="shared" si="554"/>
        <v>0</v>
      </c>
      <c r="DG190" s="82">
        <f t="shared" si="555"/>
        <v>0</v>
      </c>
      <c r="DH190" s="82">
        <f t="shared" si="556"/>
        <v>0</v>
      </c>
      <c r="DI190" s="82">
        <f t="shared" si="557"/>
        <v>0</v>
      </c>
      <c r="DJ190" s="82">
        <f t="shared" si="558"/>
        <v>0</v>
      </c>
      <c r="DK190" s="82">
        <f t="shared" si="559"/>
        <v>0</v>
      </c>
      <c r="DL190" s="82">
        <f t="shared" si="560"/>
        <v>0</v>
      </c>
      <c r="DM190" s="82">
        <f t="shared" si="561"/>
        <v>0</v>
      </c>
      <c r="DN190" s="82">
        <f t="shared" si="562"/>
        <v>0</v>
      </c>
      <c r="DO190" s="82">
        <f t="shared" si="563"/>
        <v>0</v>
      </c>
      <c r="DP190" s="82">
        <f t="shared" si="564"/>
        <v>0</v>
      </c>
      <c r="DQ190" s="82">
        <f t="shared" si="565"/>
        <v>0</v>
      </c>
      <c r="DR190" s="82">
        <f t="shared" si="566"/>
        <v>0</v>
      </c>
      <c r="DS190" s="82">
        <f t="shared" si="567"/>
        <v>0</v>
      </c>
      <c r="DT190" s="82">
        <f t="shared" si="568"/>
        <v>0</v>
      </c>
      <c r="DU190" s="82">
        <f t="shared" si="569"/>
        <v>0</v>
      </c>
      <c r="DV190" s="82">
        <f t="shared" si="570"/>
        <v>0</v>
      </c>
      <c r="DW190" s="82">
        <f t="shared" si="571"/>
        <v>0</v>
      </c>
      <c r="DX190" s="82">
        <f t="shared" si="572"/>
        <v>0</v>
      </c>
      <c r="DY190" s="82">
        <f t="shared" si="573"/>
        <v>0</v>
      </c>
      <c r="DZ190" s="82">
        <f t="shared" si="574"/>
        <v>0</v>
      </c>
      <c r="EA190" s="82">
        <f t="shared" si="575"/>
        <v>0</v>
      </c>
      <c r="EB190" s="82">
        <f t="shared" si="576"/>
        <v>0</v>
      </c>
      <c r="EC190" s="82">
        <f t="shared" si="577"/>
        <v>0</v>
      </c>
      <c r="ED190" s="82">
        <f t="shared" si="578"/>
        <v>0</v>
      </c>
      <c r="EE190" s="82">
        <f t="shared" si="579"/>
        <v>0</v>
      </c>
      <c r="EF190" s="82">
        <f t="shared" si="580"/>
        <v>0</v>
      </c>
      <c r="EG190" s="82">
        <f t="shared" si="581"/>
        <v>0</v>
      </c>
      <c r="EH190" s="82">
        <f t="shared" si="582"/>
        <v>0</v>
      </c>
      <c r="EI190" s="82">
        <f t="shared" si="583"/>
        <v>0</v>
      </c>
      <c r="EJ190" s="82">
        <f t="shared" si="584"/>
        <v>0</v>
      </c>
      <c r="EK190" s="82">
        <f t="shared" si="585"/>
        <v>0</v>
      </c>
      <c r="EL190" s="82">
        <f t="shared" si="586"/>
        <v>0</v>
      </c>
      <c r="EM190" s="82">
        <f t="shared" si="587"/>
        <v>0</v>
      </c>
      <c r="EN190" s="82">
        <f t="shared" si="588"/>
        <v>0</v>
      </c>
      <c r="EO190" s="82">
        <f t="shared" si="589"/>
        <v>0</v>
      </c>
      <c r="EP190" s="82">
        <f t="shared" si="590"/>
        <v>0</v>
      </c>
      <c r="EQ190" s="82">
        <f t="shared" si="591"/>
        <v>0</v>
      </c>
      <c r="ER190" s="82">
        <f t="shared" si="592"/>
        <v>0</v>
      </c>
      <c r="ES190" s="82">
        <f t="shared" si="593"/>
        <v>0</v>
      </c>
      <c r="ET190" s="82">
        <f t="shared" si="594"/>
        <v>0</v>
      </c>
      <c r="EU190" s="82">
        <f t="shared" si="595"/>
        <v>0</v>
      </c>
      <c r="EV190" s="82">
        <f t="shared" si="596"/>
        <v>0</v>
      </c>
      <c r="EW190" s="82">
        <f t="shared" si="597"/>
        <v>0</v>
      </c>
      <c r="EX190" s="82">
        <f t="shared" si="598"/>
        <v>0</v>
      </c>
      <c r="EY190" s="111">
        <f t="shared" si="599"/>
        <v>0</v>
      </c>
      <c r="EZ190" s="143" t="e">
        <f t="shared" ca="1" si="600"/>
        <v>#N/A</v>
      </c>
      <c r="FA190" s="112" t="e">
        <f t="shared" ca="1" si="601"/>
        <v>#N/A</v>
      </c>
      <c r="FB190" s="113" t="e">
        <f t="shared" ca="1" si="602"/>
        <v>#N/A</v>
      </c>
      <c r="FC190" s="114" t="e">
        <f t="shared" ca="1" si="603"/>
        <v>#N/A</v>
      </c>
      <c r="FD190" s="115">
        <f t="shared" ca="1" si="604"/>
        <v>0</v>
      </c>
      <c r="FE190" s="116" t="e">
        <f t="shared" ca="1" si="605"/>
        <v>#N/A</v>
      </c>
      <c r="FF190" s="117" t="e">
        <f t="shared" ca="1" si="606"/>
        <v>#N/A</v>
      </c>
      <c r="FG190" s="71">
        <f t="shared" si="607"/>
        <v>0</v>
      </c>
      <c r="FH190" s="530" t="e">
        <f t="shared" ca="1" si="608"/>
        <v>#N/A</v>
      </c>
      <c r="FI190" s="72"/>
      <c r="FJ190" s="72"/>
      <c r="FK190" s="72"/>
      <c r="FM190" s="421">
        <f t="shared" si="609"/>
        <v>0</v>
      </c>
      <c r="FN190" s="422" t="e">
        <f t="shared" ca="1" si="610"/>
        <v>#N/A</v>
      </c>
      <c r="FO190" s="423">
        <f t="shared" ca="1" si="620"/>
        <v>0</v>
      </c>
      <c r="FP190" s="423">
        <f t="shared" ca="1" si="620"/>
        <v>0</v>
      </c>
      <c r="FQ190" s="423">
        <f t="shared" ca="1" si="620"/>
        <v>0</v>
      </c>
      <c r="FR190" s="423">
        <f t="shared" ca="1" si="620"/>
        <v>0</v>
      </c>
      <c r="FS190" s="423">
        <f t="shared" ca="1" si="620"/>
        <v>0</v>
      </c>
      <c r="FT190" s="423">
        <f t="shared" ca="1" si="620"/>
        <v>0</v>
      </c>
      <c r="FU190" s="423">
        <f t="shared" ca="1" si="620"/>
        <v>0</v>
      </c>
      <c r="FV190" s="423">
        <f t="shared" ca="1" si="620"/>
        <v>0</v>
      </c>
      <c r="FW190" s="423">
        <f t="shared" ca="1" si="620"/>
        <v>0</v>
      </c>
      <c r="FX190" s="423">
        <f t="shared" ca="1" si="620"/>
        <v>0</v>
      </c>
      <c r="FY190" s="423">
        <f t="shared" ca="1" si="620"/>
        <v>0</v>
      </c>
      <c r="FZ190" s="423">
        <f t="shared" ca="1" si="620"/>
        <v>0</v>
      </c>
      <c r="GA190" s="423">
        <f t="shared" ca="1" si="620"/>
        <v>0</v>
      </c>
      <c r="GB190" s="423">
        <f t="shared" ca="1" si="620"/>
        <v>0</v>
      </c>
      <c r="GC190" s="423">
        <f t="shared" ca="1" si="620"/>
        <v>0</v>
      </c>
      <c r="GD190" s="423">
        <f t="shared" ca="1" si="620"/>
        <v>0</v>
      </c>
      <c r="GE190" s="423">
        <f t="shared" ca="1" si="618"/>
        <v>0</v>
      </c>
      <c r="GF190" s="423">
        <f t="shared" ca="1" si="618"/>
        <v>0</v>
      </c>
      <c r="GG190" s="423">
        <f t="shared" ca="1" si="618"/>
        <v>0</v>
      </c>
      <c r="GH190" s="423">
        <f t="shared" ca="1" si="618"/>
        <v>0</v>
      </c>
      <c r="GI190" s="423">
        <f t="shared" ca="1" si="618"/>
        <v>0</v>
      </c>
      <c r="GJ190" s="423">
        <f t="shared" ca="1" si="618"/>
        <v>0</v>
      </c>
      <c r="GK190" s="423">
        <f t="shared" ca="1" si="618"/>
        <v>0</v>
      </c>
      <c r="GL190" s="423">
        <f t="shared" ca="1" si="618"/>
        <v>0</v>
      </c>
      <c r="GM190" s="423">
        <f t="shared" ca="1" si="618"/>
        <v>0</v>
      </c>
      <c r="GN190" s="423">
        <f t="shared" ca="1" si="618"/>
        <v>0</v>
      </c>
      <c r="GO190" s="423">
        <f t="shared" ca="1" si="618"/>
        <v>0</v>
      </c>
      <c r="GP190" s="423">
        <f t="shared" ca="1" si="618"/>
        <v>0</v>
      </c>
      <c r="GQ190" s="423">
        <f t="shared" ca="1" si="618"/>
        <v>0</v>
      </c>
      <c r="GR190" s="423">
        <f t="shared" ca="1" si="618"/>
        <v>0</v>
      </c>
      <c r="GS190" s="423">
        <f t="shared" ca="1" si="616"/>
        <v>0</v>
      </c>
      <c r="GT190" s="423">
        <f t="shared" ca="1" si="616"/>
        <v>0</v>
      </c>
      <c r="GU190" s="423">
        <f t="shared" ca="1" si="616"/>
        <v>0</v>
      </c>
      <c r="GV190" s="423">
        <f t="shared" ca="1" si="616"/>
        <v>0</v>
      </c>
      <c r="GW190" s="423">
        <f t="shared" ca="1" si="616"/>
        <v>0</v>
      </c>
      <c r="GX190" s="423">
        <f t="shared" ca="1" si="616"/>
        <v>0</v>
      </c>
      <c r="GY190" s="423">
        <f t="shared" ca="1" si="616"/>
        <v>0</v>
      </c>
      <c r="GZ190" s="423">
        <f t="shared" ca="1" si="616"/>
        <v>0</v>
      </c>
      <c r="HA190" s="423">
        <f t="shared" ca="1" si="616"/>
        <v>0</v>
      </c>
      <c r="HB190" s="423">
        <f t="shared" ca="1" si="616"/>
        <v>0</v>
      </c>
      <c r="HC190" s="423">
        <f t="shared" ca="1" si="616"/>
        <v>0</v>
      </c>
      <c r="HD190" s="423">
        <f t="shared" ca="1" si="616"/>
        <v>0</v>
      </c>
      <c r="HE190" s="423">
        <f t="shared" ca="1" si="616"/>
        <v>0</v>
      </c>
      <c r="HF190" s="423">
        <f t="shared" ca="1" si="616"/>
        <v>0</v>
      </c>
      <c r="HG190" s="423">
        <f t="shared" ca="1" si="616"/>
        <v>0</v>
      </c>
      <c r="HH190" s="423">
        <f t="shared" ca="1" si="616"/>
        <v>0</v>
      </c>
      <c r="HI190" s="423">
        <f t="shared" ca="1" si="619"/>
        <v>0</v>
      </c>
      <c r="HJ190" s="423">
        <f t="shared" ca="1" si="617"/>
        <v>0</v>
      </c>
      <c r="HK190" s="423">
        <f t="shared" ca="1" si="617"/>
        <v>0</v>
      </c>
      <c r="HL190" s="423">
        <f t="shared" ca="1" si="617"/>
        <v>0</v>
      </c>
      <c r="HM190" s="423">
        <f t="shared" ca="1" si="617"/>
        <v>0</v>
      </c>
      <c r="HN190" s="423">
        <f t="shared" ca="1" si="617"/>
        <v>0</v>
      </c>
      <c r="HO190" s="423">
        <f t="shared" ca="1" si="617"/>
        <v>0</v>
      </c>
      <c r="HP190" s="423">
        <f t="shared" ca="1" si="617"/>
        <v>0</v>
      </c>
      <c r="HQ190" s="423">
        <f t="shared" ca="1" si="617"/>
        <v>0</v>
      </c>
      <c r="HR190" s="423">
        <f t="shared" ca="1" si="617"/>
        <v>0</v>
      </c>
      <c r="HS190" s="423">
        <f t="shared" ca="1" si="617"/>
        <v>0</v>
      </c>
      <c r="HT190" s="423">
        <f t="shared" ca="1" si="617"/>
        <v>0</v>
      </c>
    </row>
    <row r="191" spans="1:228" x14ac:dyDescent="0.2">
      <c r="A191" s="62">
        <f t="shared" si="516"/>
        <v>180</v>
      </c>
      <c r="B191" s="60">
        <f>Spaces_Sum!C236</f>
        <v>0</v>
      </c>
      <c r="C191" s="62" t="str">
        <f>Spaces_Sum!D236</f>
        <v>0</v>
      </c>
      <c r="D191" s="62" t="e">
        <f ca="1">Spaces_Sum!I236</f>
        <v>#N/A</v>
      </c>
      <c r="F191" s="110" t="e">
        <f ca="1">Spaces_Sum!M236</f>
        <v>#N/A</v>
      </c>
      <c r="G191" s="110" t="e">
        <f ca="1">Spaces_Sum!J236</f>
        <v>#N/A</v>
      </c>
      <c r="H191" s="532"/>
      <c r="I191" s="185"/>
      <c r="J191" s="185"/>
      <c r="K191" s="186"/>
      <c r="L191" s="187"/>
      <c r="M191" s="188"/>
      <c r="N191" s="189"/>
      <c r="O191" s="186"/>
      <c r="P191" s="187"/>
      <c r="Q191" s="188"/>
      <c r="R191" s="189"/>
      <c r="S191" s="186"/>
      <c r="T191" s="187"/>
      <c r="U191" s="188"/>
      <c r="V191" s="189"/>
      <c r="W191" s="186"/>
      <c r="X191" s="187"/>
      <c r="Y191" s="188"/>
      <c r="Z191" s="189"/>
      <c r="AA191" s="186"/>
      <c r="AB191" s="187"/>
      <c r="AC191" s="188"/>
      <c r="AD191" s="189"/>
      <c r="AE191" s="186"/>
      <c r="AF191" s="187"/>
      <c r="AG191" s="188"/>
      <c r="AH191" s="189"/>
      <c r="AI191" s="186"/>
      <c r="AJ191" s="187"/>
      <c r="AK191" s="188"/>
      <c r="AL191" s="189"/>
      <c r="AM191" s="186"/>
      <c r="AN191" s="187"/>
      <c r="AO191" s="188"/>
      <c r="AP191" s="189"/>
      <c r="AQ191" s="186"/>
      <c r="AR191" s="187"/>
      <c r="AS191" s="188"/>
      <c r="AT191" s="189"/>
      <c r="AU191" s="186"/>
      <c r="AV191" s="187"/>
      <c r="AW191" s="188"/>
      <c r="AX191" s="189"/>
      <c r="AY191" s="186"/>
      <c r="AZ191" s="187"/>
      <c r="BA191" s="188"/>
      <c r="BB191" s="189"/>
      <c r="BC191" s="186"/>
      <c r="BD191" s="187"/>
      <c r="BE191" s="188"/>
      <c r="BF191" s="189"/>
      <c r="BG191" s="186"/>
      <c r="BH191" s="187"/>
      <c r="BI191" s="188"/>
      <c r="BJ191" s="189"/>
      <c r="BK191" s="186"/>
      <c r="BL191" s="187"/>
      <c r="BM191" s="188"/>
      <c r="BN191" s="189"/>
      <c r="BO191" s="186"/>
      <c r="BP191" s="187"/>
      <c r="BQ191" s="188"/>
      <c r="BR191" s="189"/>
      <c r="BS191" s="186"/>
      <c r="BT191" s="187"/>
      <c r="BU191" s="188"/>
      <c r="BV191" s="189"/>
      <c r="BW191" s="186"/>
      <c r="BX191" s="187"/>
      <c r="BY191" s="188"/>
      <c r="BZ191" s="189"/>
      <c r="CA191" s="186"/>
      <c r="CB191" s="190"/>
      <c r="CC191" s="190"/>
      <c r="CD191" s="82">
        <f t="shared" si="526"/>
        <v>0</v>
      </c>
      <c r="CE191" s="82">
        <f t="shared" si="527"/>
        <v>0</v>
      </c>
      <c r="CF191" s="82">
        <f t="shared" si="528"/>
        <v>0</v>
      </c>
      <c r="CG191" s="82">
        <f t="shared" si="529"/>
        <v>0</v>
      </c>
      <c r="CH191" s="82">
        <f t="shared" si="530"/>
        <v>0</v>
      </c>
      <c r="CI191" s="82">
        <f t="shared" si="531"/>
        <v>0</v>
      </c>
      <c r="CJ191" s="82">
        <f t="shared" si="532"/>
        <v>0</v>
      </c>
      <c r="CK191" s="82">
        <f t="shared" si="533"/>
        <v>0</v>
      </c>
      <c r="CL191" s="82">
        <f t="shared" si="534"/>
        <v>0</v>
      </c>
      <c r="CM191" s="82">
        <f t="shared" si="535"/>
        <v>0</v>
      </c>
      <c r="CN191" s="82">
        <f t="shared" si="536"/>
        <v>0</v>
      </c>
      <c r="CO191" s="82">
        <f t="shared" si="537"/>
        <v>0</v>
      </c>
      <c r="CP191" s="82">
        <f t="shared" si="538"/>
        <v>0</v>
      </c>
      <c r="CQ191" s="82">
        <f t="shared" si="539"/>
        <v>0</v>
      </c>
      <c r="CR191" s="82">
        <f t="shared" si="540"/>
        <v>0</v>
      </c>
      <c r="CS191" s="82">
        <f t="shared" si="541"/>
        <v>0</v>
      </c>
      <c r="CT191" s="82">
        <f t="shared" si="542"/>
        <v>0</v>
      </c>
      <c r="CU191" s="82">
        <f t="shared" si="543"/>
        <v>0</v>
      </c>
      <c r="CV191" s="82">
        <f t="shared" si="544"/>
        <v>0</v>
      </c>
      <c r="CW191" s="82">
        <f t="shared" si="545"/>
        <v>0</v>
      </c>
      <c r="CX191" s="82">
        <f t="shared" si="546"/>
        <v>0</v>
      </c>
      <c r="CY191" s="82">
        <f t="shared" si="547"/>
        <v>0</v>
      </c>
      <c r="CZ191" s="82">
        <f t="shared" si="548"/>
        <v>0</v>
      </c>
      <c r="DA191" s="82">
        <f t="shared" si="549"/>
        <v>0</v>
      </c>
      <c r="DB191" s="82">
        <f t="shared" si="550"/>
        <v>0</v>
      </c>
      <c r="DC191" s="82">
        <f t="shared" si="551"/>
        <v>0</v>
      </c>
      <c r="DD191" s="82">
        <f t="shared" si="552"/>
        <v>0</v>
      </c>
      <c r="DE191" s="82">
        <f t="shared" si="553"/>
        <v>0</v>
      </c>
      <c r="DF191" s="82">
        <f t="shared" si="554"/>
        <v>0</v>
      </c>
      <c r="DG191" s="82">
        <f t="shared" si="555"/>
        <v>0</v>
      </c>
      <c r="DH191" s="82">
        <f t="shared" si="556"/>
        <v>0</v>
      </c>
      <c r="DI191" s="82">
        <f t="shared" si="557"/>
        <v>0</v>
      </c>
      <c r="DJ191" s="82">
        <f t="shared" si="558"/>
        <v>0</v>
      </c>
      <c r="DK191" s="82">
        <f t="shared" si="559"/>
        <v>0</v>
      </c>
      <c r="DL191" s="82">
        <f t="shared" si="560"/>
        <v>0</v>
      </c>
      <c r="DM191" s="82">
        <f t="shared" si="561"/>
        <v>0</v>
      </c>
      <c r="DN191" s="82">
        <f t="shared" si="562"/>
        <v>0</v>
      </c>
      <c r="DO191" s="82">
        <f t="shared" si="563"/>
        <v>0</v>
      </c>
      <c r="DP191" s="82">
        <f t="shared" si="564"/>
        <v>0</v>
      </c>
      <c r="DQ191" s="82">
        <f t="shared" si="565"/>
        <v>0</v>
      </c>
      <c r="DR191" s="82">
        <f t="shared" si="566"/>
        <v>0</v>
      </c>
      <c r="DS191" s="82">
        <f t="shared" si="567"/>
        <v>0</v>
      </c>
      <c r="DT191" s="82">
        <f t="shared" si="568"/>
        <v>0</v>
      </c>
      <c r="DU191" s="82">
        <f t="shared" si="569"/>
        <v>0</v>
      </c>
      <c r="DV191" s="82">
        <f t="shared" si="570"/>
        <v>0</v>
      </c>
      <c r="DW191" s="82">
        <f t="shared" si="571"/>
        <v>0</v>
      </c>
      <c r="DX191" s="82">
        <f t="shared" si="572"/>
        <v>0</v>
      </c>
      <c r="DY191" s="82">
        <f t="shared" si="573"/>
        <v>0</v>
      </c>
      <c r="DZ191" s="82">
        <f t="shared" si="574"/>
        <v>0</v>
      </c>
      <c r="EA191" s="82">
        <f t="shared" si="575"/>
        <v>0</v>
      </c>
      <c r="EB191" s="82">
        <f t="shared" si="576"/>
        <v>0</v>
      </c>
      <c r="EC191" s="82">
        <f t="shared" si="577"/>
        <v>0</v>
      </c>
      <c r="ED191" s="82">
        <f t="shared" si="578"/>
        <v>0</v>
      </c>
      <c r="EE191" s="82">
        <f t="shared" si="579"/>
        <v>0</v>
      </c>
      <c r="EF191" s="82">
        <f t="shared" si="580"/>
        <v>0</v>
      </c>
      <c r="EG191" s="82">
        <f t="shared" si="581"/>
        <v>0</v>
      </c>
      <c r="EH191" s="82">
        <f t="shared" si="582"/>
        <v>0</v>
      </c>
      <c r="EI191" s="82">
        <f t="shared" si="583"/>
        <v>0</v>
      </c>
      <c r="EJ191" s="82">
        <f t="shared" si="584"/>
        <v>0</v>
      </c>
      <c r="EK191" s="82">
        <f t="shared" si="585"/>
        <v>0</v>
      </c>
      <c r="EL191" s="82">
        <f t="shared" si="586"/>
        <v>0</v>
      </c>
      <c r="EM191" s="82">
        <f t="shared" si="587"/>
        <v>0</v>
      </c>
      <c r="EN191" s="82">
        <f t="shared" si="588"/>
        <v>0</v>
      </c>
      <c r="EO191" s="82">
        <f t="shared" si="589"/>
        <v>0</v>
      </c>
      <c r="EP191" s="82">
        <f t="shared" si="590"/>
        <v>0</v>
      </c>
      <c r="EQ191" s="82">
        <f t="shared" si="591"/>
        <v>0</v>
      </c>
      <c r="ER191" s="82">
        <f t="shared" si="592"/>
        <v>0</v>
      </c>
      <c r="ES191" s="82">
        <f t="shared" si="593"/>
        <v>0</v>
      </c>
      <c r="ET191" s="82">
        <f t="shared" si="594"/>
        <v>0</v>
      </c>
      <c r="EU191" s="82">
        <f t="shared" si="595"/>
        <v>0</v>
      </c>
      <c r="EV191" s="82">
        <f t="shared" si="596"/>
        <v>0</v>
      </c>
      <c r="EW191" s="82">
        <f t="shared" si="597"/>
        <v>0</v>
      </c>
      <c r="EX191" s="82">
        <f t="shared" si="598"/>
        <v>0</v>
      </c>
      <c r="EY191" s="111">
        <f t="shared" si="599"/>
        <v>0</v>
      </c>
      <c r="EZ191" s="143" t="e">
        <f t="shared" ca="1" si="600"/>
        <v>#N/A</v>
      </c>
      <c r="FA191" s="112" t="e">
        <f t="shared" ca="1" si="601"/>
        <v>#N/A</v>
      </c>
      <c r="FB191" s="113" t="e">
        <f t="shared" ca="1" si="602"/>
        <v>#N/A</v>
      </c>
      <c r="FC191" s="114" t="e">
        <f t="shared" ca="1" si="603"/>
        <v>#N/A</v>
      </c>
      <c r="FD191" s="115">
        <f t="shared" ca="1" si="604"/>
        <v>0</v>
      </c>
      <c r="FE191" s="116" t="e">
        <f t="shared" ca="1" si="605"/>
        <v>#N/A</v>
      </c>
      <c r="FF191" s="117" t="e">
        <f t="shared" ca="1" si="606"/>
        <v>#N/A</v>
      </c>
      <c r="FG191" s="71">
        <f t="shared" si="607"/>
        <v>0</v>
      </c>
      <c r="FH191" s="530" t="e">
        <f t="shared" ca="1" si="608"/>
        <v>#N/A</v>
      </c>
      <c r="FI191" s="72"/>
      <c r="FJ191" s="72"/>
      <c r="FK191" s="72"/>
      <c r="FM191" s="421">
        <f t="shared" si="609"/>
        <v>0</v>
      </c>
      <c r="FN191" s="422" t="e">
        <f t="shared" ca="1" si="610"/>
        <v>#N/A</v>
      </c>
      <c r="FO191" s="423">
        <f t="shared" ca="1" si="620"/>
        <v>0</v>
      </c>
      <c r="FP191" s="423">
        <f t="shared" ca="1" si="620"/>
        <v>0</v>
      </c>
      <c r="FQ191" s="423">
        <f t="shared" ca="1" si="620"/>
        <v>0</v>
      </c>
      <c r="FR191" s="423">
        <f t="shared" ca="1" si="620"/>
        <v>0</v>
      </c>
      <c r="FS191" s="423">
        <f t="shared" ca="1" si="620"/>
        <v>0</v>
      </c>
      <c r="FT191" s="423">
        <f t="shared" ca="1" si="620"/>
        <v>0</v>
      </c>
      <c r="FU191" s="423">
        <f t="shared" ca="1" si="620"/>
        <v>0</v>
      </c>
      <c r="FV191" s="423">
        <f t="shared" ca="1" si="620"/>
        <v>0</v>
      </c>
      <c r="FW191" s="423">
        <f t="shared" ca="1" si="620"/>
        <v>0</v>
      </c>
      <c r="FX191" s="423">
        <f t="shared" ca="1" si="620"/>
        <v>0</v>
      </c>
      <c r="FY191" s="423">
        <f t="shared" ca="1" si="620"/>
        <v>0</v>
      </c>
      <c r="FZ191" s="423">
        <f t="shared" ca="1" si="620"/>
        <v>0</v>
      </c>
      <c r="GA191" s="423">
        <f t="shared" ca="1" si="620"/>
        <v>0</v>
      </c>
      <c r="GB191" s="423">
        <f t="shared" ca="1" si="620"/>
        <v>0</v>
      </c>
      <c r="GC191" s="423">
        <f t="shared" ca="1" si="620"/>
        <v>0</v>
      </c>
      <c r="GD191" s="423">
        <f t="shared" ca="1" si="620"/>
        <v>0</v>
      </c>
      <c r="GE191" s="423">
        <f t="shared" ca="1" si="618"/>
        <v>0</v>
      </c>
      <c r="GF191" s="423">
        <f t="shared" ca="1" si="618"/>
        <v>0</v>
      </c>
      <c r="GG191" s="423">
        <f t="shared" ca="1" si="618"/>
        <v>0</v>
      </c>
      <c r="GH191" s="423">
        <f t="shared" ca="1" si="618"/>
        <v>0</v>
      </c>
      <c r="GI191" s="423">
        <f t="shared" ca="1" si="618"/>
        <v>0</v>
      </c>
      <c r="GJ191" s="423">
        <f t="shared" ca="1" si="618"/>
        <v>0</v>
      </c>
      <c r="GK191" s="423">
        <f t="shared" ca="1" si="618"/>
        <v>0</v>
      </c>
      <c r="GL191" s="423">
        <f t="shared" ca="1" si="618"/>
        <v>0</v>
      </c>
      <c r="GM191" s="423">
        <f t="shared" ca="1" si="618"/>
        <v>0</v>
      </c>
      <c r="GN191" s="423">
        <f t="shared" ca="1" si="618"/>
        <v>0</v>
      </c>
      <c r="GO191" s="423">
        <f t="shared" ca="1" si="618"/>
        <v>0</v>
      </c>
      <c r="GP191" s="423">
        <f t="shared" ca="1" si="618"/>
        <v>0</v>
      </c>
      <c r="GQ191" s="423">
        <f t="shared" ca="1" si="618"/>
        <v>0</v>
      </c>
      <c r="GR191" s="423">
        <f t="shared" ca="1" si="618"/>
        <v>0</v>
      </c>
      <c r="GS191" s="423">
        <f t="shared" ca="1" si="616"/>
        <v>0</v>
      </c>
      <c r="GT191" s="423">
        <f t="shared" ca="1" si="616"/>
        <v>0</v>
      </c>
      <c r="GU191" s="423">
        <f t="shared" ca="1" si="616"/>
        <v>0</v>
      </c>
      <c r="GV191" s="423">
        <f t="shared" ca="1" si="616"/>
        <v>0</v>
      </c>
      <c r="GW191" s="423">
        <f t="shared" ca="1" si="616"/>
        <v>0</v>
      </c>
      <c r="GX191" s="423">
        <f t="shared" ca="1" si="616"/>
        <v>0</v>
      </c>
      <c r="GY191" s="423">
        <f t="shared" ca="1" si="616"/>
        <v>0</v>
      </c>
      <c r="GZ191" s="423">
        <f t="shared" ca="1" si="616"/>
        <v>0</v>
      </c>
      <c r="HA191" s="423">
        <f t="shared" ca="1" si="616"/>
        <v>0</v>
      </c>
      <c r="HB191" s="423">
        <f t="shared" ca="1" si="616"/>
        <v>0</v>
      </c>
      <c r="HC191" s="423">
        <f t="shared" ca="1" si="616"/>
        <v>0</v>
      </c>
      <c r="HD191" s="423">
        <f t="shared" ca="1" si="616"/>
        <v>0</v>
      </c>
      <c r="HE191" s="423">
        <f t="shared" ca="1" si="616"/>
        <v>0</v>
      </c>
      <c r="HF191" s="423">
        <f t="shared" ca="1" si="616"/>
        <v>0</v>
      </c>
      <c r="HG191" s="423">
        <f t="shared" ca="1" si="616"/>
        <v>0</v>
      </c>
      <c r="HH191" s="423">
        <f t="shared" ca="1" si="616"/>
        <v>0</v>
      </c>
      <c r="HI191" s="423">
        <f t="shared" ca="1" si="619"/>
        <v>0</v>
      </c>
      <c r="HJ191" s="423">
        <f t="shared" ca="1" si="617"/>
        <v>0</v>
      </c>
      <c r="HK191" s="423">
        <f t="shared" ca="1" si="617"/>
        <v>0</v>
      </c>
      <c r="HL191" s="423">
        <f t="shared" ca="1" si="617"/>
        <v>0</v>
      </c>
      <c r="HM191" s="423">
        <f t="shared" ca="1" si="617"/>
        <v>0</v>
      </c>
      <c r="HN191" s="423">
        <f t="shared" ca="1" si="617"/>
        <v>0</v>
      </c>
      <c r="HO191" s="423">
        <f t="shared" ca="1" si="617"/>
        <v>0</v>
      </c>
      <c r="HP191" s="423">
        <f t="shared" ca="1" si="617"/>
        <v>0</v>
      </c>
      <c r="HQ191" s="423">
        <f t="shared" ca="1" si="617"/>
        <v>0</v>
      </c>
      <c r="HR191" s="423">
        <f t="shared" ca="1" si="617"/>
        <v>0</v>
      </c>
      <c r="HS191" s="423">
        <f t="shared" ca="1" si="617"/>
        <v>0</v>
      </c>
      <c r="HT191" s="423">
        <f t="shared" ca="1" si="617"/>
        <v>0</v>
      </c>
    </row>
    <row r="192" spans="1:228" x14ac:dyDescent="0.2">
      <c r="A192" s="62">
        <f t="shared" si="516"/>
        <v>181</v>
      </c>
      <c r="B192" s="60">
        <f>Spaces_Sum!C237</f>
        <v>0</v>
      </c>
      <c r="C192" s="62" t="str">
        <f>Spaces_Sum!D237</f>
        <v>0</v>
      </c>
      <c r="D192" s="62" t="e">
        <f ca="1">Spaces_Sum!I237</f>
        <v>#N/A</v>
      </c>
      <c r="F192" s="110" t="e">
        <f ca="1">Spaces_Sum!M237</f>
        <v>#N/A</v>
      </c>
      <c r="G192" s="110" t="e">
        <f ca="1">Spaces_Sum!J237</f>
        <v>#N/A</v>
      </c>
      <c r="H192" s="532"/>
      <c r="I192" s="185"/>
      <c r="J192" s="185"/>
      <c r="K192" s="186"/>
      <c r="L192" s="187"/>
      <c r="M192" s="188"/>
      <c r="N192" s="189"/>
      <c r="O192" s="186"/>
      <c r="P192" s="187"/>
      <c r="Q192" s="188"/>
      <c r="R192" s="189"/>
      <c r="S192" s="186"/>
      <c r="T192" s="187"/>
      <c r="U192" s="188"/>
      <c r="V192" s="189"/>
      <c r="W192" s="186"/>
      <c r="X192" s="187"/>
      <c r="Y192" s="188"/>
      <c r="Z192" s="189"/>
      <c r="AA192" s="186"/>
      <c r="AB192" s="187"/>
      <c r="AC192" s="188"/>
      <c r="AD192" s="189"/>
      <c r="AE192" s="186"/>
      <c r="AF192" s="187"/>
      <c r="AG192" s="188"/>
      <c r="AH192" s="189"/>
      <c r="AI192" s="186"/>
      <c r="AJ192" s="187"/>
      <c r="AK192" s="188"/>
      <c r="AL192" s="189"/>
      <c r="AM192" s="186"/>
      <c r="AN192" s="187"/>
      <c r="AO192" s="188"/>
      <c r="AP192" s="189"/>
      <c r="AQ192" s="186"/>
      <c r="AR192" s="187"/>
      <c r="AS192" s="188"/>
      <c r="AT192" s="189"/>
      <c r="AU192" s="186"/>
      <c r="AV192" s="187"/>
      <c r="AW192" s="188"/>
      <c r="AX192" s="189"/>
      <c r="AY192" s="186"/>
      <c r="AZ192" s="187"/>
      <c r="BA192" s="188"/>
      <c r="BB192" s="189"/>
      <c r="BC192" s="186"/>
      <c r="BD192" s="187"/>
      <c r="BE192" s="188"/>
      <c r="BF192" s="189"/>
      <c r="BG192" s="186"/>
      <c r="BH192" s="187"/>
      <c r="BI192" s="188"/>
      <c r="BJ192" s="189"/>
      <c r="BK192" s="186"/>
      <c r="BL192" s="187"/>
      <c r="BM192" s="188"/>
      <c r="BN192" s="189"/>
      <c r="BO192" s="186"/>
      <c r="BP192" s="187"/>
      <c r="BQ192" s="188"/>
      <c r="BR192" s="189"/>
      <c r="BS192" s="186"/>
      <c r="BT192" s="187"/>
      <c r="BU192" s="188"/>
      <c r="BV192" s="189"/>
      <c r="BW192" s="186"/>
      <c r="BX192" s="187"/>
      <c r="BY192" s="188"/>
      <c r="BZ192" s="189"/>
      <c r="CA192" s="186"/>
      <c r="CB192" s="190"/>
      <c r="CC192" s="190"/>
      <c r="CD192" s="82">
        <f t="shared" si="526"/>
        <v>0</v>
      </c>
      <c r="CE192" s="82">
        <f t="shared" si="527"/>
        <v>0</v>
      </c>
      <c r="CF192" s="82">
        <f t="shared" si="528"/>
        <v>0</v>
      </c>
      <c r="CG192" s="82">
        <f t="shared" si="529"/>
        <v>0</v>
      </c>
      <c r="CH192" s="82">
        <f t="shared" si="530"/>
        <v>0</v>
      </c>
      <c r="CI192" s="82">
        <f t="shared" si="531"/>
        <v>0</v>
      </c>
      <c r="CJ192" s="82">
        <f t="shared" si="532"/>
        <v>0</v>
      </c>
      <c r="CK192" s="82">
        <f t="shared" si="533"/>
        <v>0</v>
      </c>
      <c r="CL192" s="82">
        <f t="shared" si="534"/>
        <v>0</v>
      </c>
      <c r="CM192" s="82">
        <f t="shared" si="535"/>
        <v>0</v>
      </c>
      <c r="CN192" s="82">
        <f t="shared" si="536"/>
        <v>0</v>
      </c>
      <c r="CO192" s="82">
        <f t="shared" si="537"/>
        <v>0</v>
      </c>
      <c r="CP192" s="82">
        <f t="shared" si="538"/>
        <v>0</v>
      </c>
      <c r="CQ192" s="82">
        <f t="shared" si="539"/>
        <v>0</v>
      </c>
      <c r="CR192" s="82">
        <f t="shared" si="540"/>
        <v>0</v>
      </c>
      <c r="CS192" s="82">
        <f t="shared" si="541"/>
        <v>0</v>
      </c>
      <c r="CT192" s="82">
        <f t="shared" si="542"/>
        <v>0</v>
      </c>
      <c r="CU192" s="82">
        <f t="shared" si="543"/>
        <v>0</v>
      </c>
      <c r="CV192" s="82">
        <f t="shared" si="544"/>
        <v>0</v>
      </c>
      <c r="CW192" s="82">
        <f t="shared" si="545"/>
        <v>0</v>
      </c>
      <c r="CX192" s="82">
        <f t="shared" si="546"/>
        <v>0</v>
      </c>
      <c r="CY192" s="82">
        <f t="shared" si="547"/>
        <v>0</v>
      </c>
      <c r="CZ192" s="82">
        <f t="shared" si="548"/>
        <v>0</v>
      </c>
      <c r="DA192" s="82">
        <f t="shared" si="549"/>
        <v>0</v>
      </c>
      <c r="DB192" s="82">
        <f t="shared" si="550"/>
        <v>0</v>
      </c>
      <c r="DC192" s="82">
        <f t="shared" si="551"/>
        <v>0</v>
      </c>
      <c r="DD192" s="82">
        <f t="shared" si="552"/>
        <v>0</v>
      </c>
      <c r="DE192" s="82">
        <f t="shared" si="553"/>
        <v>0</v>
      </c>
      <c r="DF192" s="82">
        <f t="shared" si="554"/>
        <v>0</v>
      </c>
      <c r="DG192" s="82">
        <f t="shared" si="555"/>
        <v>0</v>
      </c>
      <c r="DH192" s="82">
        <f t="shared" si="556"/>
        <v>0</v>
      </c>
      <c r="DI192" s="82">
        <f t="shared" si="557"/>
        <v>0</v>
      </c>
      <c r="DJ192" s="82">
        <f t="shared" si="558"/>
        <v>0</v>
      </c>
      <c r="DK192" s="82">
        <f t="shared" si="559"/>
        <v>0</v>
      </c>
      <c r="DL192" s="82">
        <f t="shared" si="560"/>
        <v>0</v>
      </c>
      <c r="DM192" s="82">
        <f t="shared" si="561"/>
        <v>0</v>
      </c>
      <c r="DN192" s="82">
        <f t="shared" si="562"/>
        <v>0</v>
      </c>
      <c r="DO192" s="82">
        <f t="shared" si="563"/>
        <v>0</v>
      </c>
      <c r="DP192" s="82">
        <f t="shared" si="564"/>
        <v>0</v>
      </c>
      <c r="DQ192" s="82">
        <f t="shared" si="565"/>
        <v>0</v>
      </c>
      <c r="DR192" s="82">
        <f t="shared" si="566"/>
        <v>0</v>
      </c>
      <c r="DS192" s="82">
        <f t="shared" si="567"/>
        <v>0</v>
      </c>
      <c r="DT192" s="82">
        <f t="shared" si="568"/>
        <v>0</v>
      </c>
      <c r="DU192" s="82">
        <f t="shared" si="569"/>
        <v>0</v>
      </c>
      <c r="DV192" s="82">
        <f t="shared" si="570"/>
        <v>0</v>
      </c>
      <c r="DW192" s="82">
        <f t="shared" si="571"/>
        <v>0</v>
      </c>
      <c r="DX192" s="82">
        <f t="shared" si="572"/>
        <v>0</v>
      </c>
      <c r="DY192" s="82">
        <f t="shared" si="573"/>
        <v>0</v>
      </c>
      <c r="DZ192" s="82">
        <f t="shared" si="574"/>
        <v>0</v>
      </c>
      <c r="EA192" s="82">
        <f t="shared" si="575"/>
        <v>0</v>
      </c>
      <c r="EB192" s="82">
        <f t="shared" si="576"/>
        <v>0</v>
      </c>
      <c r="EC192" s="82">
        <f t="shared" si="577"/>
        <v>0</v>
      </c>
      <c r="ED192" s="82">
        <f t="shared" si="578"/>
        <v>0</v>
      </c>
      <c r="EE192" s="82">
        <f t="shared" si="579"/>
        <v>0</v>
      </c>
      <c r="EF192" s="82">
        <f t="shared" si="580"/>
        <v>0</v>
      </c>
      <c r="EG192" s="82">
        <f t="shared" si="581"/>
        <v>0</v>
      </c>
      <c r="EH192" s="82">
        <f t="shared" si="582"/>
        <v>0</v>
      </c>
      <c r="EI192" s="82">
        <f t="shared" si="583"/>
        <v>0</v>
      </c>
      <c r="EJ192" s="82">
        <f t="shared" si="584"/>
        <v>0</v>
      </c>
      <c r="EK192" s="82">
        <f t="shared" si="585"/>
        <v>0</v>
      </c>
      <c r="EL192" s="82">
        <f t="shared" si="586"/>
        <v>0</v>
      </c>
      <c r="EM192" s="82">
        <f t="shared" si="587"/>
        <v>0</v>
      </c>
      <c r="EN192" s="82">
        <f t="shared" si="588"/>
        <v>0</v>
      </c>
      <c r="EO192" s="82">
        <f t="shared" si="589"/>
        <v>0</v>
      </c>
      <c r="EP192" s="82">
        <f t="shared" si="590"/>
        <v>0</v>
      </c>
      <c r="EQ192" s="82">
        <f t="shared" si="591"/>
        <v>0</v>
      </c>
      <c r="ER192" s="82">
        <f t="shared" si="592"/>
        <v>0</v>
      </c>
      <c r="ES192" s="82">
        <f t="shared" si="593"/>
        <v>0</v>
      </c>
      <c r="ET192" s="82">
        <f t="shared" si="594"/>
        <v>0</v>
      </c>
      <c r="EU192" s="82">
        <f t="shared" si="595"/>
        <v>0</v>
      </c>
      <c r="EV192" s="82">
        <f t="shared" si="596"/>
        <v>0</v>
      </c>
      <c r="EW192" s="82">
        <f t="shared" si="597"/>
        <v>0</v>
      </c>
      <c r="EX192" s="82">
        <f t="shared" si="598"/>
        <v>0</v>
      </c>
      <c r="EY192" s="111">
        <f t="shared" si="599"/>
        <v>0</v>
      </c>
      <c r="EZ192" s="143" t="e">
        <f t="shared" ca="1" si="600"/>
        <v>#N/A</v>
      </c>
      <c r="FA192" s="112" t="e">
        <f t="shared" ca="1" si="601"/>
        <v>#N/A</v>
      </c>
      <c r="FB192" s="113" t="e">
        <f t="shared" ca="1" si="602"/>
        <v>#N/A</v>
      </c>
      <c r="FC192" s="114" t="e">
        <f t="shared" ca="1" si="603"/>
        <v>#N/A</v>
      </c>
      <c r="FD192" s="115">
        <f t="shared" ca="1" si="604"/>
        <v>0</v>
      </c>
      <c r="FE192" s="116" t="e">
        <f t="shared" ca="1" si="605"/>
        <v>#N/A</v>
      </c>
      <c r="FF192" s="117" t="e">
        <f t="shared" ca="1" si="606"/>
        <v>#N/A</v>
      </c>
      <c r="FG192" s="71">
        <f t="shared" si="607"/>
        <v>0</v>
      </c>
      <c r="FH192" s="530" t="e">
        <f t="shared" ca="1" si="608"/>
        <v>#N/A</v>
      </c>
      <c r="FI192" s="72"/>
      <c r="FJ192" s="72"/>
      <c r="FK192" s="72"/>
      <c r="FM192" s="421">
        <f t="shared" si="609"/>
        <v>0</v>
      </c>
      <c r="FN192" s="422" t="e">
        <f t="shared" ca="1" si="610"/>
        <v>#N/A</v>
      </c>
      <c r="FO192" s="423">
        <f t="shared" ca="1" si="620"/>
        <v>0</v>
      </c>
      <c r="FP192" s="423">
        <f t="shared" ca="1" si="620"/>
        <v>0</v>
      </c>
      <c r="FQ192" s="423">
        <f t="shared" ca="1" si="620"/>
        <v>0</v>
      </c>
      <c r="FR192" s="423">
        <f t="shared" ca="1" si="620"/>
        <v>0</v>
      </c>
      <c r="FS192" s="423">
        <f t="shared" ca="1" si="620"/>
        <v>0</v>
      </c>
      <c r="FT192" s="423">
        <f t="shared" ca="1" si="620"/>
        <v>0</v>
      </c>
      <c r="FU192" s="423">
        <f t="shared" ca="1" si="620"/>
        <v>0</v>
      </c>
      <c r="FV192" s="423">
        <f t="shared" ca="1" si="620"/>
        <v>0</v>
      </c>
      <c r="FW192" s="423">
        <f t="shared" ca="1" si="620"/>
        <v>0</v>
      </c>
      <c r="FX192" s="423">
        <f t="shared" ca="1" si="620"/>
        <v>0</v>
      </c>
      <c r="FY192" s="423">
        <f t="shared" ca="1" si="620"/>
        <v>0</v>
      </c>
      <c r="FZ192" s="423">
        <f t="shared" ca="1" si="620"/>
        <v>0</v>
      </c>
      <c r="GA192" s="423">
        <f t="shared" ca="1" si="620"/>
        <v>0</v>
      </c>
      <c r="GB192" s="423">
        <f t="shared" ca="1" si="620"/>
        <v>0</v>
      </c>
      <c r="GC192" s="423">
        <f t="shared" ca="1" si="620"/>
        <v>0</v>
      </c>
      <c r="GD192" s="423">
        <f t="shared" ca="1" si="620"/>
        <v>0</v>
      </c>
      <c r="GE192" s="423">
        <f t="shared" ca="1" si="618"/>
        <v>0</v>
      </c>
      <c r="GF192" s="423">
        <f t="shared" ca="1" si="618"/>
        <v>0</v>
      </c>
      <c r="GG192" s="423">
        <f t="shared" ca="1" si="618"/>
        <v>0</v>
      </c>
      <c r="GH192" s="423">
        <f t="shared" ca="1" si="618"/>
        <v>0</v>
      </c>
      <c r="GI192" s="423">
        <f t="shared" ca="1" si="618"/>
        <v>0</v>
      </c>
      <c r="GJ192" s="423">
        <f t="shared" ca="1" si="618"/>
        <v>0</v>
      </c>
      <c r="GK192" s="423">
        <f t="shared" ca="1" si="618"/>
        <v>0</v>
      </c>
      <c r="GL192" s="423">
        <f t="shared" ca="1" si="618"/>
        <v>0</v>
      </c>
      <c r="GM192" s="423">
        <f t="shared" ca="1" si="618"/>
        <v>0</v>
      </c>
      <c r="GN192" s="423">
        <f t="shared" ca="1" si="618"/>
        <v>0</v>
      </c>
      <c r="GO192" s="423">
        <f t="shared" ca="1" si="618"/>
        <v>0</v>
      </c>
      <c r="GP192" s="423">
        <f t="shared" ca="1" si="618"/>
        <v>0</v>
      </c>
      <c r="GQ192" s="423">
        <f t="shared" ca="1" si="618"/>
        <v>0</v>
      </c>
      <c r="GR192" s="423">
        <f t="shared" ca="1" si="618"/>
        <v>0</v>
      </c>
      <c r="GS192" s="423">
        <f t="shared" ca="1" si="616"/>
        <v>0</v>
      </c>
      <c r="GT192" s="423">
        <f t="shared" ca="1" si="616"/>
        <v>0</v>
      </c>
      <c r="GU192" s="423">
        <f t="shared" ca="1" si="616"/>
        <v>0</v>
      </c>
      <c r="GV192" s="423">
        <f t="shared" ca="1" si="616"/>
        <v>0</v>
      </c>
      <c r="GW192" s="423">
        <f t="shared" ca="1" si="616"/>
        <v>0</v>
      </c>
      <c r="GX192" s="423">
        <f t="shared" ca="1" si="616"/>
        <v>0</v>
      </c>
      <c r="GY192" s="423">
        <f t="shared" ca="1" si="616"/>
        <v>0</v>
      </c>
      <c r="GZ192" s="423">
        <f t="shared" ca="1" si="616"/>
        <v>0</v>
      </c>
      <c r="HA192" s="423">
        <f t="shared" ca="1" si="616"/>
        <v>0</v>
      </c>
      <c r="HB192" s="423">
        <f t="shared" ca="1" si="616"/>
        <v>0</v>
      </c>
      <c r="HC192" s="423">
        <f t="shared" ca="1" si="616"/>
        <v>0</v>
      </c>
      <c r="HD192" s="423">
        <f t="shared" ca="1" si="616"/>
        <v>0</v>
      </c>
      <c r="HE192" s="423">
        <f t="shared" ca="1" si="616"/>
        <v>0</v>
      </c>
      <c r="HF192" s="423">
        <f t="shared" ca="1" si="616"/>
        <v>0</v>
      </c>
      <c r="HG192" s="423">
        <f t="shared" ca="1" si="616"/>
        <v>0</v>
      </c>
      <c r="HH192" s="423">
        <f t="shared" ca="1" si="616"/>
        <v>0</v>
      </c>
      <c r="HI192" s="423">
        <f t="shared" ca="1" si="619"/>
        <v>0</v>
      </c>
      <c r="HJ192" s="423">
        <f t="shared" ca="1" si="617"/>
        <v>0</v>
      </c>
      <c r="HK192" s="423">
        <f t="shared" ca="1" si="617"/>
        <v>0</v>
      </c>
      <c r="HL192" s="423">
        <f t="shared" ca="1" si="617"/>
        <v>0</v>
      </c>
      <c r="HM192" s="423">
        <f t="shared" ca="1" si="617"/>
        <v>0</v>
      </c>
      <c r="HN192" s="423">
        <f t="shared" ca="1" si="617"/>
        <v>0</v>
      </c>
      <c r="HO192" s="423">
        <f t="shared" ca="1" si="617"/>
        <v>0</v>
      </c>
      <c r="HP192" s="423">
        <f t="shared" ca="1" si="617"/>
        <v>0</v>
      </c>
      <c r="HQ192" s="423">
        <f t="shared" ca="1" si="617"/>
        <v>0</v>
      </c>
      <c r="HR192" s="423">
        <f t="shared" ca="1" si="617"/>
        <v>0</v>
      </c>
      <c r="HS192" s="423">
        <f t="shared" ca="1" si="617"/>
        <v>0</v>
      </c>
      <c r="HT192" s="423">
        <f t="shared" ca="1" si="617"/>
        <v>0</v>
      </c>
    </row>
    <row r="193" spans="1:228" x14ac:dyDescent="0.2">
      <c r="A193" s="62">
        <f t="shared" si="516"/>
        <v>182</v>
      </c>
      <c r="B193" s="60">
        <f>Spaces_Sum!C238</f>
        <v>0</v>
      </c>
      <c r="C193" s="62" t="str">
        <f>Spaces_Sum!D238</f>
        <v>0</v>
      </c>
      <c r="D193" s="62" t="e">
        <f ca="1">Spaces_Sum!I238</f>
        <v>#N/A</v>
      </c>
      <c r="F193" s="110" t="e">
        <f ca="1">Spaces_Sum!M238</f>
        <v>#N/A</v>
      </c>
      <c r="G193" s="110" t="e">
        <f ca="1">Spaces_Sum!J238</f>
        <v>#N/A</v>
      </c>
      <c r="H193" s="532"/>
      <c r="I193" s="185"/>
      <c r="J193" s="185"/>
      <c r="K193" s="186"/>
      <c r="L193" s="187"/>
      <c r="M193" s="188"/>
      <c r="N193" s="189"/>
      <c r="O193" s="186"/>
      <c r="P193" s="187"/>
      <c r="Q193" s="188"/>
      <c r="R193" s="189"/>
      <c r="S193" s="186"/>
      <c r="T193" s="187"/>
      <c r="U193" s="188"/>
      <c r="V193" s="189"/>
      <c r="W193" s="186"/>
      <c r="X193" s="187"/>
      <c r="Y193" s="188"/>
      <c r="Z193" s="189"/>
      <c r="AA193" s="186"/>
      <c r="AB193" s="187"/>
      <c r="AC193" s="188"/>
      <c r="AD193" s="189"/>
      <c r="AE193" s="186"/>
      <c r="AF193" s="187"/>
      <c r="AG193" s="188"/>
      <c r="AH193" s="189"/>
      <c r="AI193" s="186"/>
      <c r="AJ193" s="187"/>
      <c r="AK193" s="188"/>
      <c r="AL193" s="189"/>
      <c r="AM193" s="186"/>
      <c r="AN193" s="187"/>
      <c r="AO193" s="188"/>
      <c r="AP193" s="189"/>
      <c r="AQ193" s="186"/>
      <c r="AR193" s="187"/>
      <c r="AS193" s="188"/>
      <c r="AT193" s="189"/>
      <c r="AU193" s="186"/>
      <c r="AV193" s="187"/>
      <c r="AW193" s="188"/>
      <c r="AX193" s="189"/>
      <c r="AY193" s="186"/>
      <c r="AZ193" s="187"/>
      <c r="BA193" s="188"/>
      <c r="BB193" s="189"/>
      <c r="BC193" s="186"/>
      <c r="BD193" s="187"/>
      <c r="BE193" s="188"/>
      <c r="BF193" s="189"/>
      <c r="BG193" s="186"/>
      <c r="BH193" s="187"/>
      <c r="BI193" s="188"/>
      <c r="BJ193" s="189"/>
      <c r="BK193" s="186"/>
      <c r="BL193" s="187"/>
      <c r="BM193" s="188"/>
      <c r="BN193" s="189"/>
      <c r="BO193" s="186"/>
      <c r="BP193" s="187"/>
      <c r="BQ193" s="188"/>
      <c r="BR193" s="189"/>
      <c r="BS193" s="186"/>
      <c r="BT193" s="187"/>
      <c r="BU193" s="188"/>
      <c r="BV193" s="189"/>
      <c r="BW193" s="186"/>
      <c r="BX193" s="187"/>
      <c r="BY193" s="188"/>
      <c r="BZ193" s="189"/>
      <c r="CA193" s="186"/>
      <c r="CB193" s="190"/>
      <c r="CC193" s="190"/>
      <c r="CD193" s="82">
        <f t="shared" si="526"/>
        <v>0</v>
      </c>
      <c r="CE193" s="82">
        <f t="shared" si="527"/>
        <v>0</v>
      </c>
      <c r="CF193" s="82">
        <f t="shared" si="528"/>
        <v>0</v>
      </c>
      <c r="CG193" s="82">
        <f t="shared" si="529"/>
        <v>0</v>
      </c>
      <c r="CH193" s="82">
        <f t="shared" si="530"/>
        <v>0</v>
      </c>
      <c r="CI193" s="82">
        <f t="shared" si="531"/>
        <v>0</v>
      </c>
      <c r="CJ193" s="82">
        <f t="shared" si="532"/>
        <v>0</v>
      </c>
      <c r="CK193" s="82">
        <f t="shared" si="533"/>
        <v>0</v>
      </c>
      <c r="CL193" s="82">
        <f t="shared" si="534"/>
        <v>0</v>
      </c>
      <c r="CM193" s="82">
        <f t="shared" si="535"/>
        <v>0</v>
      </c>
      <c r="CN193" s="82">
        <f t="shared" si="536"/>
        <v>0</v>
      </c>
      <c r="CO193" s="82">
        <f t="shared" si="537"/>
        <v>0</v>
      </c>
      <c r="CP193" s="82">
        <f t="shared" si="538"/>
        <v>0</v>
      </c>
      <c r="CQ193" s="82">
        <f t="shared" si="539"/>
        <v>0</v>
      </c>
      <c r="CR193" s="82">
        <f t="shared" si="540"/>
        <v>0</v>
      </c>
      <c r="CS193" s="82">
        <f t="shared" si="541"/>
        <v>0</v>
      </c>
      <c r="CT193" s="82">
        <f t="shared" si="542"/>
        <v>0</v>
      </c>
      <c r="CU193" s="82">
        <f t="shared" si="543"/>
        <v>0</v>
      </c>
      <c r="CV193" s="82">
        <f t="shared" si="544"/>
        <v>0</v>
      </c>
      <c r="CW193" s="82">
        <f t="shared" si="545"/>
        <v>0</v>
      </c>
      <c r="CX193" s="82">
        <f t="shared" si="546"/>
        <v>0</v>
      </c>
      <c r="CY193" s="82">
        <f t="shared" si="547"/>
        <v>0</v>
      </c>
      <c r="CZ193" s="82">
        <f t="shared" si="548"/>
        <v>0</v>
      </c>
      <c r="DA193" s="82">
        <f t="shared" si="549"/>
        <v>0</v>
      </c>
      <c r="DB193" s="82">
        <f t="shared" si="550"/>
        <v>0</v>
      </c>
      <c r="DC193" s="82">
        <f t="shared" si="551"/>
        <v>0</v>
      </c>
      <c r="DD193" s="82">
        <f t="shared" si="552"/>
        <v>0</v>
      </c>
      <c r="DE193" s="82">
        <f t="shared" si="553"/>
        <v>0</v>
      </c>
      <c r="DF193" s="82">
        <f t="shared" si="554"/>
        <v>0</v>
      </c>
      <c r="DG193" s="82">
        <f t="shared" si="555"/>
        <v>0</v>
      </c>
      <c r="DH193" s="82">
        <f t="shared" si="556"/>
        <v>0</v>
      </c>
      <c r="DI193" s="82">
        <f t="shared" si="557"/>
        <v>0</v>
      </c>
      <c r="DJ193" s="82">
        <f t="shared" si="558"/>
        <v>0</v>
      </c>
      <c r="DK193" s="82">
        <f t="shared" si="559"/>
        <v>0</v>
      </c>
      <c r="DL193" s="82">
        <f t="shared" si="560"/>
        <v>0</v>
      </c>
      <c r="DM193" s="82">
        <f t="shared" si="561"/>
        <v>0</v>
      </c>
      <c r="DN193" s="82">
        <f t="shared" si="562"/>
        <v>0</v>
      </c>
      <c r="DO193" s="82">
        <f t="shared" si="563"/>
        <v>0</v>
      </c>
      <c r="DP193" s="82">
        <f t="shared" si="564"/>
        <v>0</v>
      </c>
      <c r="DQ193" s="82">
        <f t="shared" si="565"/>
        <v>0</v>
      </c>
      <c r="DR193" s="82">
        <f t="shared" si="566"/>
        <v>0</v>
      </c>
      <c r="DS193" s="82">
        <f t="shared" si="567"/>
        <v>0</v>
      </c>
      <c r="DT193" s="82">
        <f t="shared" si="568"/>
        <v>0</v>
      </c>
      <c r="DU193" s="82">
        <f t="shared" si="569"/>
        <v>0</v>
      </c>
      <c r="DV193" s="82">
        <f t="shared" si="570"/>
        <v>0</v>
      </c>
      <c r="DW193" s="82">
        <f t="shared" si="571"/>
        <v>0</v>
      </c>
      <c r="DX193" s="82">
        <f t="shared" si="572"/>
        <v>0</v>
      </c>
      <c r="DY193" s="82">
        <f t="shared" si="573"/>
        <v>0</v>
      </c>
      <c r="DZ193" s="82">
        <f t="shared" si="574"/>
        <v>0</v>
      </c>
      <c r="EA193" s="82">
        <f t="shared" si="575"/>
        <v>0</v>
      </c>
      <c r="EB193" s="82">
        <f t="shared" si="576"/>
        <v>0</v>
      </c>
      <c r="EC193" s="82">
        <f t="shared" si="577"/>
        <v>0</v>
      </c>
      <c r="ED193" s="82">
        <f t="shared" si="578"/>
        <v>0</v>
      </c>
      <c r="EE193" s="82">
        <f t="shared" si="579"/>
        <v>0</v>
      </c>
      <c r="EF193" s="82">
        <f t="shared" si="580"/>
        <v>0</v>
      </c>
      <c r="EG193" s="82">
        <f t="shared" si="581"/>
        <v>0</v>
      </c>
      <c r="EH193" s="82">
        <f t="shared" si="582"/>
        <v>0</v>
      </c>
      <c r="EI193" s="82">
        <f t="shared" si="583"/>
        <v>0</v>
      </c>
      <c r="EJ193" s="82">
        <f t="shared" si="584"/>
        <v>0</v>
      </c>
      <c r="EK193" s="82">
        <f t="shared" si="585"/>
        <v>0</v>
      </c>
      <c r="EL193" s="82">
        <f t="shared" si="586"/>
        <v>0</v>
      </c>
      <c r="EM193" s="82">
        <f t="shared" si="587"/>
        <v>0</v>
      </c>
      <c r="EN193" s="82">
        <f t="shared" si="588"/>
        <v>0</v>
      </c>
      <c r="EO193" s="82">
        <f t="shared" si="589"/>
        <v>0</v>
      </c>
      <c r="EP193" s="82">
        <f t="shared" si="590"/>
        <v>0</v>
      </c>
      <c r="EQ193" s="82">
        <f t="shared" si="591"/>
        <v>0</v>
      </c>
      <c r="ER193" s="82">
        <f t="shared" si="592"/>
        <v>0</v>
      </c>
      <c r="ES193" s="82">
        <f t="shared" si="593"/>
        <v>0</v>
      </c>
      <c r="ET193" s="82">
        <f t="shared" si="594"/>
        <v>0</v>
      </c>
      <c r="EU193" s="82">
        <f t="shared" si="595"/>
        <v>0</v>
      </c>
      <c r="EV193" s="82">
        <f t="shared" si="596"/>
        <v>0</v>
      </c>
      <c r="EW193" s="82">
        <f t="shared" si="597"/>
        <v>0</v>
      </c>
      <c r="EX193" s="82">
        <f t="shared" si="598"/>
        <v>0</v>
      </c>
      <c r="EY193" s="111">
        <f t="shared" si="599"/>
        <v>0</v>
      </c>
      <c r="EZ193" s="143" t="e">
        <f t="shared" ca="1" si="600"/>
        <v>#N/A</v>
      </c>
      <c r="FA193" s="112" t="e">
        <f t="shared" ca="1" si="601"/>
        <v>#N/A</v>
      </c>
      <c r="FB193" s="113" t="e">
        <f t="shared" ca="1" si="602"/>
        <v>#N/A</v>
      </c>
      <c r="FC193" s="114" t="e">
        <f t="shared" ca="1" si="603"/>
        <v>#N/A</v>
      </c>
      <c r="FD193" s="115">
        <f t="shared" ca="1" si="604"/>
        <v>0</v>
      </c>
      <c r="FE193" s="116" t="e">
        <f t="shared" ca="1" si="605"/>
        <v>#N/A</v>
      </c>
      <c r="FF193" s="117" t="e">
        <f t="shared" ca="1" si="606"/>
        <v>#N/A</v>
      </c>
      <c r="FG193" s="71">
        <f t="shared" si="607"/>
        <v>0</v>
      </c>
      <c r="FH193" s="530" t="e">
        <f t="shared" ca="1" si="608"/>
        <v>#N/A</v>
      </c>
      <c r="FI193" s="72"/>
      <c r="FJ193" s="72"/>
      <c r="FK193" s="72"/>
      <c r="FM193" s="421">
        <f t="shared" si="609"/>
        <v>0</v>
      </c>
      <c r="FN193" s="422" t="e">
        <f t="shared" ca="1" si="610"/>
        <v>#N/A</v>
      </c>
      <c r="FO193" s="423">
        <f t="shared" ca="1" si="620"/>
        <v>0</v>
      </c>
      <c r="FP193" s="423">
        <f t="shared" ca="1" si="620"/>
        <v>0</v>
      </c>
      <c r="FQ193" s="423">
        <f t="shared" ca="1" si="620"/>
        <v>0</v>
      </c>
      <c r="FR193" s="423">
        <f t="shared" ca="1" si="620"/>
        <v>0</v>
      </c>
      <c r="FS193" s="423">
        <f t="shared" ca="1" si="620"/>
        <v>0</v>
      </c>
      <c r="FT193" s="423">
        <f t="shared" ca="1" si="620"/>
        <v>0</v>
      </c>
      <c r="FU193" s="423">
        <f t="shared" ca="1" si="620"/>
        <v>0</v>
      </c>
      <c r="FV193" s="423">
        <f t="shared" ca="1" si="620"/>
        <v>0</v>
      </c>
      <c r="FW193" s="423">
        <f t="shared" ca="1" si="620"/>
        <v>0</v>
      </c>
      <c r="FX193" s="423">
        <f t="shared" ca="1" si="620"/>
        <v>0</v>
      </c>
      <c r="FY193" s="423">
        <f t="shared" ca="1" si="620"/>
        <v>0</v>
      </c>
      <c r="FZ193" s="423">
        <f t="shared" ca="1" si="620"/>
        <v>0</v>
      </c>
      <c r="GA193" s="423">
        <f t="shared" ca="1" si="620"/>
        <v>0</v>
      </c>
      <c r="GB193" s="423">
        <f t="shared" ca="1" si="620"/>
        <v>0</v>
      </c>
      <c r="GC193" s="423">
        <f t="shared" ca="1" si="620"/>
        <v>0</v>
      </c>
      <c r="GD193" s="423">
        <f t="shared" ca="1" si="620"/>
        <v>0</v>
      </c>
      <c r="GE193" s="423">
        <f t="shared" ca="1" si="618"/>
        <v>0</v>
      </c>
      <c r="GF193" s="423">
        <f t="shared" ca="1" si="618"/>
        <v>0</v>
      </c>
      <c r="GG193" s="423">
        <f t="shared" ca="1" si="618"/>
        <v>0</v>
      </c>
      <c r="GH193" s="423">
        <f t="shared" ca="1" si="618"/>
        <v>0</v>
      </c>
      <c r="GI193" s="423">
        <f t="shared" ca="1" si="618"/>
        <v>0</v>
      </c>
      <c r="GJ193" s="423">
        <f t="shared" ca="1" si="618"/>
        <v>0</v>
      </c>
      <c r="GK193" s="423">
        <f t="shared" ca="1" si="618"/>
        <v>0</v>
      </c>
      <c r="GL193" s="423">
        <f t="shared" ca="1" si="618"/>
        <v>0</v>
      </c>
      <c r="GM193" s="423">
        <f t="shared" ca="1" si="618"/>
        <v>0</v>
      </c>
      <c r="GN193" s="423">
        <f t="shared" ca="1" si="618"/>
        <v>0</v>
      </c>
      <c r="GO193" s="423">
        <f t="shared" ca="1" si="618"/>
        <v>0</v>
      </c>
      <c r="GP193" s="423">
        <f t="shared" ca="1" si="618"/>
        <v>0</v>
      </c>
      <c r="GQ193" s="423">
        <f t="shared" ca="1" si="618"/>
        <v>0</v>
      </c>
      <c r="GR193" s="423">
        <f t="shared" ca="1" si="618"/>
        <v>0</v>
      </c>
      <c r="GS193" s="423">
        <f t="shared" ca="1" si="616"/>
        <v>0</v>
      </c>
      <c r="GT193" s="423">
        <f t="shared" ca="1" si="616"/>
        <v>0</v>
      </c>
      <c r="GU193" s="423">
        <f t="shared" ca="1" si="616"/>
        <v>0</v>
      </c>
      <c r="GV193" s="423">
        <f t="shared" ca="1" si="616"/>
        <v>0</v>
      </c>
      <c r="GW193" s="423">
        <f t="shared" ca="1" si="616"/>
        <v>0</v>
      </c>
      <c r="GX193" s="423">
        <f t="shared" ca="1" si="616"/>
        <v>0</v>
      </c>
      <c r="GY193" s="423">
        <f t="shared" ca="1" si="616"/>
        <v>0</v>
      </c>
      <c r="GZ193" s="423">
        <f t="shared" ca="1" si="616"/>
        <v>0</v>
      </c>
      <c r="HA193" s="423">
        <f t="shared" ca="1" si="616"/>
        <v>0</v>
      </c>
      <c r="HB193" s="423">
        <f t="shared" ca="1" si="616"/>
        <v>0</v>
      </c>
      <c r="HC193" s="423">
        <f t="shared" ca="1" si="616"/>
        <v>0</v>
      </c>
      <c r="HD193" s="423">
        <f t="shared" ca="1" si="616"/>
        <v>0</v>
      </c>
      <c r="HE193" s="423">
        <f t="shared" ca="1" si="616"/>
        <v>0</v>
      </c>
      <c r="HF193" s="423">
        <f t="shared" ca="1" si="616"/>
        <v>0</v>
      </c>
      <c r="HG193" s="423">
        <f t="shared" ca="1" si="616"/>
        <v>0</v>
      </c>
      <c r="HH193" s="423">
        <f t="shared" ca="1" si="616"/>
        <v>0</v>
      </c>
      <c r="HI193" s="423">
        <f t="shared" ca="1" si="619"/>
        <v>0</v>
      </c>
      <c r="HJ193" s="423">
        <f t="shared" ca="1" si="617"/>
        <v>0</v>
      </c>
      <c r="HK193" s="423">
        <f t="shared" ca="1" si="617"/>
        <v>0</v>
      </c>
      <c r="HL193" s="423">
        <f t="shared" ca="1" si="617"/>
        <v>0</v>
      </c>
      <c r="HM193" s="423">
        <f t="shared" ca="1" si="617"/>
        <v>0</v>
      </c>
      <c r="HN193" s="423">
        <f t="shared" ca="1" si="617"/>
        <v>0</v>
      </c>
      <c r="HO193" s="423">
        <f t="shared" ca="1" si="617"/>
        <v>0</v>
      </c>
      <c r="HP193" s="423">
        <f t="shared" ca="1" si="617"/>
        <v>0</v>
      </c>
      <c r="HQ193" s="423">
        <f t="shared" ca="1" si="617"/>
        <v>0</v>
      </c>
      <c r="HR193" s="423">
        <f t="shared" ca="1" si="617"/>
        <v>0</v>
      </c>
      <c r="HS193" s="423">
        <f t="shared" ca="1" si="617"/>
        <v>0</v>
      </c>
      <c r="HT193" s="423">
        <f t="shared" ca="1" si="617"/>
        <v>0</v>
      </c>
    </row>
    <row r="194" spans="1:228" x14ac:dyDescent="0.2">
      <c r="A194" s="62">
        <f t="shared" si="516"/>
        <v>183</v>
      </c>
      <c r="B194" s="60">
        <f>Spaces_Sum!C239</f>
        <v>0</v>
      </c>
      <c r="C194" s="62" t="str">
        <f>Spaces_Sum!D239</f>
        <v>0</v>
      </c>
      <c r="D194" s="62" t="e">
        <f ca="1">Spaces_Sum!I239</f>
        <v>#N/A</v>
      </c>
      <c r="F194" s="110" t="e">
        <f ca="1">Spaces_Sum!M239</f>
        <v>#N/A</v>
      </c>
      <c r="G194" s="110" t="e">
        <f ca="1">Spaces_Sum!J239</f>
        <v>#N/A</v>
      </c>
      <c r="H194" s="532"/>
      <c r="I194" s="185"/>
      <c r="J194" s="185"/>
      <c r="K194" s="186"/>
      <c r="L194" s="187"/>
      <c r="M194" s="188"/>
      <c r="N194" s="189"/>
      <c r="O194" s="186"/>
      <c r="P194" s="187"/>
      <c r="Q194" s="188"/>
      <c r="R194" s="189"/>
      <c r="S194" s="186"/>
      <c r="T194" s="187"/>
      <c r="U194" s="188"/>
      <c r="V194" s="189"/>
      <c r="W194" s="186"/>
      <c r="X194" s="187"/>
      <c r="Y194" s="188"/>
      <c r="Z194" s="189"/>
      <c r="AA194" s="186"/>
      <c r="AB194" s="187"/>
      <c r="AC194" s="188"/>
      <c r="AD194" s="189"/>
      <c r="AE194" s="186"/>
      <c r="AF194" s="187"/>
      <c r="AG194" s="188"/>
      <c r="AH194" s="189"/>
      <c r="AI194" s="186"/>
      <c r="AJ194" s="187"/>
      <c r="AK194" s="188"/>
      <c r="AL194" s="189"/>
      <c r="AM194" s="186"/>
      <c r="AN194" s="187"/>
      <c r="AO194" s="188"/>
      <c r="AP194" s="189"/>
      <c r="AQ194" s="186"/>
      <c r="AR194" s="187"/>
      <c r="AS194" s="188"/>
      <c r="AT194" s="189"/>
      <c r="AU194" s="186"/>
      <c r="AV194" s="187"/>
      <c r="AW194" s="188"/>
      <c r="AX194" s="189"/>
      <c r="AY194" s="186"/>
      <c r="AZ194" s="187"/>
      <c r="BA194" s="188"/>
      <c r="BB194" s="189"/>
      <c r="BC194" s="186"/>
      <c r="BD194" s="187"/>
      <c r="BE194" s="188"/>
      <c r="BF194" s="189"/>
      <c r="BG194" s="186"/>
      <c r="BH194" s="187"/>
      <c r="BI194" s="188"/>
      <c r="BJ194" s="189"/>
      <c r="BK194" s="186"/>
      <c r="BL194" s="187"/>
      <c r="BM194" s="188"/>
      <c r="BN194" s="189"/>
      <c r="BO194" s="186"/>
      <c r="BP194" s="187"/>
      <c r="BQ194" s="188"/>
      <c r="BR194" s="189"/>
      <c r="BS194" s="186"/>
      <c r="BT194" s="187"/>
      <c r="BU194" s="188"/>
      <c r="BV194" s="189"/>
      <c r="BW194" s="186"/>
      <c r="BX194" s="187"/>
      <c r="BY194" s="188"/>
      <c r="BZ194" s="189"/>
      <c r="CA194" s="186"/>
      <c r="CB194" s="190"/>
      <c r="CC194" s="190"/>
      <c r="CD194" s="82">
        <f t="shared" si="526"/>
        <v>0</v>
      </c>
      <c r="CE194" s="82">
        <f t="shared" si="527"/>
        <v>0</v>
      </c>
      <c r="CF194" s="82">
        <f t="shared" si="528"/>
        <v>0</v>
      </c>
      <c r="CG194" s="82">
        <f t="shared" si="529"/>
        <v>0</v>
      </c>
      <c r="CH194" s="82">
        <f t="shared" si="530"/>
        <v>0</v>
      </c>
      <c r="CI194" s="82">
        <f t="shared" si="531"/>
        <v>0</v>
      </c>
      <c r="CJ194" s="82">
        <f t="shared" si="532"/>
        <v>0</v>
      </c>
      <c r="CK194" s="82">
        <f t="shared" si="533"/>
        <v>0</v>
      </c>
      <c r="CL194" s="82">
        <f t="shared" si="534"/>
        <v>0</v>
      </c>
      <c r="CM194" s="82">
        <f t="shared" si="535"/>
        <v>0</v>
      </c>
      <c r="CN194" s="82">
        <f t="shared" si="536"/>
        <v>0</v>
      </c>
      <c r="CO194" s="82">
        <f t="shared" si="537"/>
        <v>0</v>
      </c>
      <c r="CP194" s="82">
        <f t="shared" si="538"/>
        <v>0</v>
      </c>
      <c r="CQ194" s="82">
        <f t="shared" si="539"/>
        <v>0</v>
      </c>
      <c r="CR194" s="82">
        <f t="shared" si="540"/>
        <v>0</v>
      </c>
      <c r="CS194" s="82">
        <f t="shared" si="541"/>
        <v>0</v>
      </c>
      <c r="CT194" s="82">
        <f t="shared" si="542"/>
        <v>0</v>
      </c>
      <c r="CU194" s="82">
        <f t="shared" si="543"/>
        <v>0</v>
      </c>
      <c r="CV194" s="82">
        <f t="shared" si="544"/>
        <v>0</v>
      </c>
      <c r="CW194" s="82">
        <f t="shared" si="545"/>
        <v>0</v>
      </c>
      <c r="CX194" s="82">
        <f t="shared" si="546"/>
        <v>0</v>
      </c>
      <c r="CY194" s="82">
        <f t="shared" si="547"/>
        <v>0</v>
      </c>
      <c r="CZ194" s="82">
        <f t="shared" si="548"/>
        <v>0</v>
      </c>
      <c r="DA194" s="82">
        <f t="shared" si="549"/>
        <v>0</v>
      </c>
      <c r="DB194" s="82">
        <f t="shared" si="550"/>
        <v>0</v>
      </c>
      <c r="DC194" s="82">
        <f t="shared" si="551"/>
        <v>0</v>
      </c>
      <c r="DD194" s="82">
        <f t="shared" si="552"/>
        <v>0</v>
      </c>
      <c r="DE194" s="82">
        <f t="shared" si="553"/>
        <v>0</v>
      </c>
      <c r="DF194" s="82">
        <f t="shared" si="554"/>
        <v>0</v>
      </c>
      <c r="DG194" s="82">
        <f t="shared" si="555"/>
        <v>0</v>
      </c>
      <c r="DH194" s="82">
        <f t="shared" si="556"/>
        <v>0</v>
      </c>
      <c r="DI194" s="82">
        <f t="shared" si="557"/>
        <v>0</v>
      </c>
      <c r="DJ194" s="82">
        <f t="shared" si="558"/>
        <v>0</v>
      </c>
      <c r="DK194" s="82">
        <f t="shared" si="559"/>
        <v>0</v>
      </c>
      <c r="DL194" s="82">
        <f t="shared" si="560"/>
        <v>0</v>
      </c>
      <c r="DM194" s="82">
        <f t="shared" si="561"/>
        <v>0</v>
      </c>
      <c r="DN194" s="82">
        <f t="shared" si="562"/>
        <v>0</v>
      </c>
      <c r="DO194" s="82">
        <f t="shared" si="563"/>
        <v>0</v>
      </c>
      <c r="DP194" s="82">
        <f t="shared" si="564"/>
        <v>0</v>
      </c>
      <c r="DQ194" s="82">
        <f t="shared" si="565"/>
        <v>0</v>
      </c>
      <c r="DR194" s="82">
        <f t="shared" si="566"/>
        <v>0</v>
      </c>
      <c r="DS194" s="82">
        <f t="shared" si="567"/>
        <v>0</v>
      </c>
      <c r="DT194" s="82">
        <f t="shared" si="568"/>
        <v>0</v>
      </c>
      <c r="DU194" s="82">
        <f t="shared" si="569"/>
        <v>0</v>
      </c>
      <c r="DV194" s="82">
        <f t="shared" si="570"/>
        <v>0</v>
      </c>
      <c r="DW194" s="82">
        <f t="shared" si="571"/>
        <v>0</v>
      </c>
      <c r="DX194" s="82">
        <f t="shared" si="572"/>
        <v>0</v>
      </c>
      <c r="DY194" s="82">
        <f t="shared" si="573"/>
        <v>0</v>
      </c>
      <c r="DZ194" s="82">
        <f t="shared" si="574"/>
        <v>0</v>
      </c>
      <c r="EA194" s="82">
        <f t="shared" si="575"/>
        <v>0</v>
      </c>
      <c r="EB194" s="82">
        <f t="shared" si="576"/>
        <v>0</v>
      </c>
      <c r="EC194" s="82">
        <f t="shared" si="577"/>
        <v>0</v>
      </c>
      <c r="ED194" s="82">
        <f t="shared" si="578"/>
        <v>0</v>
      </c>
      <c r="EE194" s="82">
        <f t="shared" si="579"/>
        <v>0</v>
      </c>
      <c r="EF194" s="82">
        <f t="shared" si="580"/>
        <v>0</v>
      </c>
      <c r="EG194" s="82">
        <f t="shared" si="581"/>
        <v>0</v>
      </c>
      <c r="EH194" s="82">
        <f t="shared" si="582"/>
        <v>0</v>
      </c>
      <c r="EI194" s="82">
        <f t="shared" si="583"/>
        <v>0</v>
      </c>
      <c r="EJ194" s="82">
        <f t="shared" si="584"/>
        <v>0</v>
      </c>
      <c r="EK194" s="82">
        <f t="shared" si="585"/>
        <v>0</v>
      </c>
      <c r="EL194" s="82">
        <f t="shared" si="586"/>
        <v>0</v>
      </c>
      <c r="EM194" s="82">
        <f t="shared" si="587"/>
        <v>0</v>
      </c>
      <c r="EN194" s="82">
        <f t="shared" si="588"/>
        <v>0</v>
      </c>
      <c r="EO194" s="82">
        <f t="shared" si="589"/>
        <v>0</v>
      </c>
      <c r="EP194" s="82">
        <f t="shared" si="590"/>
        <v>0</v>
      </c>
      <c r="EQ194" s="82">
        <f t="shared" si="591"/>
        <v>0</v>
      </c>
      <c r="ER194" s="82">
        <f t="shared" si="592"/>
        <v>0</v>
      </c>
      <c r="ES194" s="82">
        <f t="shared" si="593"/>
        <v>0</v>
      </c>
      <c r="ET194" s="82">
        <f t="shared" si="594"/>
        <v>0</v>
      </c>
      <c r="EU194" s="82">
        <f t="shared" si="595"/>
        <v>0</v>
      </c>
      <c r="EV194" s="82">
        <f t="shared" si="596"/>
        <v>0</v>
      </c>
      <c r="EW194" s="82">
        <f t="shared" si="597"/>
        <v>0</v>
      </c>
      <c r="EX194" s="82">
        <f t="shared" si="598"/>
        <v>0</v>
      </c>
      <c r="EY194" s="111">
        <f t="shared" si="599"/>
        <v>0</v>
      </c>
      <c r="EZ194" s="143" t="e">
        <f t="shared" ca="1" si="600"/>
        <v>#N/A</v>
      </c>
      <c r="FA194" s="112" t="e">
        <f t="shared" ca="1" si="601"/>
        <v>#N/A</v>
      </c>
      <c r="FB194" s="113" t="e">
        <f t="shared" ca="1" si="602"/>
        <v>#N/A</v>
      </c>
      <c r="FC194" s="114" t="e">
        <f t="shared" ca="1" si="603"/>
        <v>#N/A</v>
      </c>
      <c r="FD194" s="115">
        <f t="shared" ca="1" si="604"/>
        <v>0</v>
      </c>
      <c r="FE194" s="116" t="e">
        <f t="shared" ca="1" si="605"/>
        <v>#N/A</v>
      </c>
      <c r="FF194" s="117" t="e">
        <f t="shared" ca="1" si="606"/>
        <v>#N/A</v>
      </c>
      <c r="FG194" s="71">
        <f t="shared" si="607"/>
        <v>0</v>
      </c>
      <c r="FH194" s="530" t="e">
        <f t="shared" ca="1" si="608"/>
        <v>#N/A</v>
      </c>
      <c r="FI194" s="72"/>
      <c r="FJ194" s="72"/>
      <c r="FK194" s="72"/>
      <c r="FM194" s="421">
        <f t="shared" si="609"/>
        <v>0</v>
      </c>
      <c r="FN194" s="422" t="e">
        <f t="shared" ca="1" si="610"/>
        <v>#N/A</v>
      </c>
      <c r="FO194" s="423">
        <f t="shared" ca="1" si="620"/>
        <v>0</v>
      </c>
      <c r="FP194" s="423">
        <f t="shared" ca="1" si="620"/>
        <v>0</v>
      </c>
      <c r="FQ194" s="423">
        <f t="shared" ca="1" si="620"/>
        <v>0</v>
      </c>
      <c r="FR194" s="423">
        <f t="shared" ca="1" si="620"/>
        <v>0</v>
      </c>
      <c r="FS194" s="423">
        <f t="shared" ca="1" si="620"/>
        <v>0</v>
      </c>
      <c r="FT194" s="423">
        <f t="shared" ca="1" si="620"/>
        <v>0</v>
      </c>
      <c r="FU194" s="423">
        <f t="shared" ca="1" si="620"/>
        <v>0</v>
      </c>
      <c r="FV194" s="423">
        <f t="shared" ca="1" si="620"/>
        <v>0</v>
      </c>
      <c r="FW194" s="423">
        <f t="shared" ca="1" si="620"/>
        <v>0</v>
      </c>
      <c r="FX194" s="423">
        <f t="shared" ca="1" si="620"/>
        <v>0</v>
      </c>
      <c r="FY194" s="423">
        <f t="shared" ca="1" si="620"/>
        <v>0</v>
      </c>
      <c r="FZ194" s="423">
        <f t="shared" ca="1" si="620"/>
        <v>0</v>
      </c>
      <c r="GA194" s="423">
        <f t="shared" ca="1" si="620"/>
        <v>0</v>
      </c>
      <c r="GB194" s="423">
        <f t="shared" ca="1" si="620"/>
        <v>0</v>
      </c>
      <c r="GC194" s="423">
        <f t="shared" ca="1" si="620"/>
        <v>0</v>
      </c>
      <c r="GD194" s="423">
        <f t="shared" ca="1" si="620"/>
        <v>0</v>
      </c>
      <c r="GE194" s="423">
        <f t="shared" ca="1" si="618"/>
        <v>0</v>
      </c>
      <c r="GF194" s="423">
        <f t="shared" ca="1" si="618"/>
        <v>0</v>
      </c>
      <c r="GG194" s="423">
        <f t="shared" ca="1" si="618"/>
        <v>0</v>
      </c>
      <c r="GH194" s="423">
        <f t="shared" ca="1" si="618"/>
        <v>0</v>
      </c>
      <c r="GI194" s="423">
        <f t="shared" ca="1" si="618"/>
        <v>0</v>
      </c>
      <c r="GJ194" s="423">
        <f t="shared" ca="1" si="618"/>
        <v>0</v>
      </c>
      <c r="GK194" s="423">
        <f t="shared" ca="1" si="618"/>
        <v>0</v>
      </c>
      <c r="GL194" s="423">
        <f t="shared" ca="1" si="618"/>
        <v>0</v>
      </c>
      <c r="GM194" s="423">
        <f t="shared" ca="1" si="618"/>
        <v>0</v>
      </c>
      <c r="GN194" s="423">
        <f t="shared" ca="1" si="618"/>
        <v>0</v>
      </c>
      <c r="GO194" s="423">
        <f t="shared" ca="1" si="618"/>
        <v>0</v>
      </c>
      <c r="GP194" s="423">
        <f t="shared" ca="1" si="618"/>
        <v>0</v>
      </c>
      <c r="GQ194" s="423">
        <f t="shared" ca="1" si="618"/>
        <v>0</v>
      </c>
      <c r="GR194" s="423">
        <f t="shared" ca="1" si="618"/>
        <v>0</v>
      </c>
      <c r="GS194" s="423">
        <f t="shared" ca="1" si="616"/>
        <v>0</v>
      </c>
      <c r="GT194" s="423">
        <f t="shared" ca="1" si="616"/>
        <v>0</v>
      </c>
      <c r="GU194" s="423">
        <f t="shared" ca="1" si="616"/>
        <v>0</v>
      </c>
      <c r="GV194" s="423">
        <f t="shared" ca="1" si="616"/>
        <v>0</v>
      </c>
      <c r="GW194" s="423">
        <f t="shared" ca="1" si="616"/>
        <v>0</v>
      </c>
      <c r="GX194" s="423">
        <f t="shared" ca="1" si="616"/>
        <v>0</v>
      </c>
      <c r="GY194" s="423">
        <f t="shared" ca="1" si="616"/>
        <v>0</v>
      </c>
      <c r="GZ194" s="423">
        <f t="shared" ca="1" si="616"/>
        <v>0</v>
      </c>
      <c r="HA194" s="423">
        <f t="shared" ca="1" si="616"/>
        <v>0</v>
      </c>
      <c r="HB194" s="423">
        <f t="shared" ca="1" si="616"/>
        <v>0</v>
      </c>
      <c r="HC194" s="423">
        <f t="shared" ca="1" si="616"/>
        <v>0</v>
      </c>
      <c r="HD194" s="423">
        <f t="shared" ca="1" si="616"/>
        <v>0</v>
      </c>
      <c r="HE194" s="423">
        <f t="shared" ca="1" si="616"/>
        <v>0</v>
      </c>
      <c r="HF194" s="423">
        <f t="shared" ca="1" si="616"/>
        <v>0</v>
      </c>
      <c r="HG194" s="423">
        <f t="shared" ca="1" si="616"/>
        <v>0</v>
      </c>
      <c r="HH194" s="423">
        <f t="shared" ca="1" si="616"/>
        <v>0</v>
      </c>
      <c r="HI194" s="423">
        <f t="shared" ca="1" si="619"/>
        <v>0</v>
      </c>
      <c r="HJ194" s="423">
        <f t="shared" ca="1" si="617"/>
        <v>0</v>
      </c>
      <c r="HK194" s="423">
        <f t="shared" ca="1" si="617"/>
        <v>0</v>
      </c>
      <c r="HL194" s="423">
        <f t="shared" ca="1" si="617"/>
        <v>0</v>
      </c>
      <c r="HM194" s="423">
        <f t="shared" ca="1" si="617"/>
        <v>0</v>
      </c>
      <c r="HN194" s="423">
        <f t="shared" ca="1" si="617"/>
        <v>0</v>
      </c>
      <c r="HO194" s="423">
        <f t="shared" ca="1" si="617"/>
        <v>0</v>
      </c>
      <c r="HP194" s="423">
        <f t="shared" ca="1" si="617"/>
        <v>0</v>
      </c>
      <c r="HQ194" s="423">
        <f t="shared" ca="1" si="617"/>
        <v>0</v>
      </c>
      <c r="HR194" s="423">
        <f t="shared" ca="1" si="617"/>
        <v>0</v>
      </c>
      <c r="HS194" s="423">
        <f t="shared" ca="1" si="617"/>
        <v>0</v>
      </c>
      <c r="HT194" s="423">
        <f t="shared" ca="1" si="617"/>
        <v>0</v>
      </c>
    </row>
    <row r="195" spans="1:228" x14ac:dyDescent="0.2">
      <c r="A195" s="62">
        <f t="shared" si="516"/>
        <v>184</v>
      </c>
      <c r="B195" s="60">
        <f>Spaces_Sum!C240</f>
        <v>0</v>
      </c>
      <c r="C195" s="62" t="str">
        <f>Spaces_Sum!D240</f>
        <v>0</v>
      </c>
      <c r="D195" s="62" t="e">
        <f ca="1">Spaces_Sum!I240</f>
        <v>#N/A</v>
      </c>
      <c r="F195" s="110" t="e">
        <f ca="1">Spaces_Sum!M240</f>
        <v>#N/A</v>
      </c>
      <c r="G195" s="110" t="e">
        <f ca="1">Spaces_Sum!J240</f>
        <v>#N/A</v>
      </c>
      <c r="H195" s="532"/>
      <c r="I195" s="185"/>
      <c r="J195" s="185"/>
      <c r="K195" s="186"/>
      <c r="L195" s="187"/>
      <c r="M195" s="188"/>
      <c r="N195" s="189"/>
      <c r="O195" s="186"/>
      <c r="P195" s="187"/>
      <c r="Q195" s="188"/>
      <c r="R195" s="189"/>
      <c r="S195" s="186"/>
      <c r="T195" s="187"/>
      <c r="U195" s="188"/>
      <c r="V195" s="189"/>
      <c r="W195" s="186"/>
      <c r="X195" s="187"/>
      <c r="Y195" s="188"/>
      <c r="Z195" s="189"/>
      <c r="AA195" s="186"/>
      <c r="AB195" s="187"/>
      <c r="AC195" s="188"/>
      <c r="AD195" s="189"/>
      <c r="AE195" s="186"/>
      <c r="AF195" s="187"/>
      <c r="AG195" s="188"/>
      <c r="AH195" s="189"/>
      <c r="AI195" s="186"/>
      <c r="AJ195" s="187"/>
      <c r="AK195" s="188"/>
      <c r="AL195" s="189"/>
      <c r="AM195" s="186"/>
      <c r="AN195" s="187"/>
      <c r="AO195" s="188"/>
      <c r="AP195" s="189"/>
      <c r="AQ195" s="186"/>
      <c r="AR195" s="187"/>
      <c r="AS195" s="188"/>
      <c r="AT195" s="189"/>
      <c r="AU195" s="186"/>
      <c r="AV195" s="187"/>
      <c r="AW195" s="188"/>
      <c r="AX195" s="189"/>
      <c r="AY195" s="186"/>
      <c r="AZ195" s="187"/>
      <c r="BA195" s="188"/>
      <c r="BB195" s="189"/>
      <c r="BC195" s="186"/>
      <c r="BD195" s="187"/>
      <c r="BE195" s="188"/>
      <c r="BF195" s="189"/>
      <c r="BG195" s="186"/>
      <c r="BH195" s="187"/>
      <c r="BI195" s="188"/>
      <c r="BJ195" s="189"/>
      <c r="BK195" s="186"/>
      <c r="BL195" s="187"/>
      <c r="BM195" s="188"/>
      <c r="BN195" s="189"/>
      <c r="BO195" s="186"/>
      <c r="BP195" s="187"/>
      <c r="BQ195" s="188"/>
      <c r="BR195" s="189"/>
      <c r="BS195" s="186"/>
      <c r="BT195" s="187"/>
      <c r="BU195" s="188"/>
      <c r="BV195" s="189"/>
      <c r="BW195" s="186"/>
      <c r="BX195" s="187"/>
      <c r="BY195" s="188"/>
      <c r="BZ195" s="189"/>
      <c r="CA195" s="186"/>
      <c r="CB195" s="190"/>
      <c r="CC195" s="190"/>
      <c r="CD195" s="82">
        <f t="shared" si="526"/>
        <v>0</v>
      </c>
      <c r="CE195" s="82">
        <f t="shared" si="527"/>
        <v>0</v>
      </c>
      <c r="CF195" s="82">
        <f t="shared" si="528"/>
        <v>0</v>
      </c>
      <c r="CG195" s="82">
        <f t="shared" si="529"/>
        <v>0</v>
      </c>
      <c r="CH195" s="82">
        <f t="shared" si="530"/>
        <v>0</v>
      </c>
      <c r="CI195" s="82">
        <f t="shared" si="531"/>
        <v>0</v>
      </c>
      <c r="CJ195" s="82">
        <f t="shared" si="532"/>
        <v>0</v>
      </c>
      <c r="CK195" s="82">
        <f t="shared" si="533"/>
        <v>0</v>
      </c>
      <c r="CL195" s="82">
        <f t="shared" si="534"/>
        <v>0</v>
      </c>
      <c r="CM195" s="82">
        <f t="shared" si="535"/>
        <v>0</v>
      </c>
      <c r="CN195" s="82">
        <f t="shared" si="536"/>
        <v>0</v>
      </c>
      <c r="CO195" s="82">
        <f t="shared" si="537"/>
        <v>0</v>
      </c>
      <c r="CP195" s="82">
        <f t="shared" si="538"/>
        <v>0</v>
      </c>
      <c r="CQ195" s="82">
        <f t="shared" si="539"/>
        <v>0</v>
      </c>
      <c r="CR195" s="82">
        <f t="shared" si="540"/>
        <v>0</v>
      </c>
      <c r="CS195" s="82">
        <f t="shared" si="541"/>
        <v>0</v>
      </c>
      <c r="CT195" s="82">
        <f t="shared" si="542"/>
        <v>0</v>
      </c>
      <c r="CU195" s="82">
        <f t="shared" si="543"/>
        <v>0</v>
      </c>
      <c r="CV195" s="82">
        <f t="shared" si="544"/>
        <v>0</v>
      </c>
      <c r="CW195" s="82">
        <f t="shared" si="545"/>
        <v>0</v>
      </c>
      <c r="CX195" s="82">
        <f t="shared" si="546"/>
        <v>0</v>
      </c>
      <c r="CY195" s="82">
        <f t="shared" si="547"/>
        <v>0</v>
      </c>
      <c r="CZ195" s="82">
        <f t="shared" si="548"/>
        <v>0</v>
      </c>
      <c r="DA195" s="82">
        <f t="shared" si="549"/>
        <v>0</v>
      </c>
      <c r="DB195" s="82">
        <f t="shared" si="550"/>
        <v>0</v>
      </c>
      <c r="DC195" s="82">
        <f t="shared" si="551"/>
        <v>0</v>
      </c>
      <c r="DD195" s="82">
        <f t="shared" si="552"/>
        <v>0</v>
      </c>
      <c r="DE195" s="82">
        <f t="shared" si="553"/>
        <v>0</v>
      </c>
      <c r="DF195" s="82">
        <f t="shared" si="554"/>
        <v>0</v>
      </c>
      <c r="DG195" s="82">
        <f t="shared" si="555"/>
        <v>0</v>
      </c>
      <c r="DH195" s="82">
        <f t="shared" si="556"/>
        <v>0</v>
      </c>
      <c r="DI195" s="82">
        <f t="shared" si="557"/>
        <v>0</v>
      </c>
      <c r="DJ195" s="82">
        <f t="shared" si="558"/>
        <v>0</v>
      </c>
      <c r="DK195" s="82">
        <f t="shared" si="559"/>
        <v>0</v>
      </c>
      <c r="DL195" s="82">
        <f t="shared" si="560"/>
        <v>0</v>
      </c>
      <c r="DM195" s="82">
        <f t="shared" si="561"/>
        <v>0</v>
      </c>
      <c r="DN195" s="82">
        <f t="shared" si="562"/>
        <v>0</v>
      </c>
      <c r="DO195" s="82">
        <f t="shared" si="563"/>
        <v>0</v>
      </c>
      <c r="DP195" s="82">
        <f t="shared" si="564"/>
        <v>0</v>
      </c>
      <c r="DQ195" s="82">
        <f t="shared" si="565"/>
        <v>0</v>
      </c>
      <c r="DR195" s="82">
        <f t="shared" si="566"/>
        <v>0</v>
      </c>
      <c r="DS195" s="82">
        <f t="shared" si="567"/>
        <v>0</v>
      </c>
      <c r="DT195" s="82">
        <f t="shared" si="568"/>
        <v>0</v>
      </c>
      <c r="DU195" s="82">
        <f t="shared" si="569"/>
        <v>0</v>
      </c>
      <c r="DV195" s="82">
        <f t="shared" si="570"/>
        <v>0</v>
      </c>
      <c r="DW195" s="82">
        <f t="shared" si="571"/>
        <v>0</v>
      </c>
      <c r="DX195" s="82">
        <f t="shared" si="572"/>
        <v>0</v>
      </c>
      <c r="DY195" s="82">
        <f t="shared" si="573"/>
        <v>0</v>
      </c>
      <c r="DZ195" s="82">
        <f t="shared" si="574"/>
        <v>0</v>
      </c>
      <c r="EA195" s="82">
        <f t="shared" si="575"/>
        <v>0</v>
      </c>
      <c r="EB195" s="82">
        <f t="shared" si="576"/>
        <v>0</v>
      </c>
      <c r="EC195" s="82">
        <f t="shared" si="577"/>
        <v>0</v>
      </c>
      <c r="ED195" s="82">
        <f t="shared" si="578"/>
        <v>0</v>
      </c>
      <c r="EE195" s="82">
        <f t="shared" si="579"/>
        <v>0</v>
      </c>
      <c r="EF195" s="82">
        <f t="shared" si="580"/>
        <v>0</v>
      </c>
      <c r="EG195" s="82">
        <f t="shared" si="581"/>
        <v>0</v>
      </c>
      <c r="EH195" s="82">
        <f t="shared" si="582"/>
        <v>0</v>
      </c>
      <c r="EI195" s="82">
        <f t="shared" si="583"/>
        <v>0</v>
      </c>
      <c r="EJ195" s="82">
        <f t="shared" si="584"/>
        <v>0</v>
      </c>
      <c r="EK195" s="82">
        <f t="shared" si="585"/>
        <v>0</v>
      </c>
      <c r="EL195" s="82">
        <f t="shared" si="586"/>
        <v>0</v>
      </c>
      <c r="EM195" s="82">
        <f t="shared" si="587"/>
        <v>0</v>
      </c>
      <c r="EN195" s="82">
        <f t="shared" si="588"/>
        <v>0</v>
      </c>
      <c r="EO195" s="82">
        <f t="shared" si="589"/>
        <v>0</v>
      </c>
      <c r="EP195" s="82">
        <f t="shared" si="590"/>
        <v>0</v>
      </c>
      <c r="EQ195" s="82">
        <f t="shared" si="591"/>
        <v>0</v>
      </c>
      <c r="ER195" s="82">
        <f t="shared" si="592"/>
        <v>0</v>
      </c>
      <c r="ES195" s="82">
        <f t="shared" si="593"/>
        <v>0</v>
      </c>
      <c r="ET195" s="82">
        <f t="shared" si="594"/>
        <v>0</v>
      </c>
      <c r="EU195" s="82">
        <f t="shared" si="595"/>
        <v>0</v>
      </c>
      <c r="EV195" s="82">
        <f t="shared" si="596"/>
        <v>0</v>
      </c>
      <c r="EW195" s="82">
        <f t="shared" si="597"/>
        <v>0</v>
      </c>
      <c r="EX195" s="82">
        <f t="shared" si="598"/>
        <v>0</v>
      </c>
      <c r="EY195" s="111">
        <f t="shared" si="599"/>
        <v>0</v>
      </c>
      <c r="EZ195" s="143" t="e">
        <f t="shared" ca="1" si="600"/>
        <v>#N/A</v>
      </c>
      <c r="FA195" s="112" t="e">
        <f t="shared" ca="1" si="601"/>
        <v>#N/A</v>
      </c>
      <c r="FB195" s="113" t="e">
        <f t="shared" ca="1" si="602"/>
        <v>#N/A</v>
      </c>
      <c r="FC195" s="114" t="e">
        <f t="shared" ca="1" si="603"/>
        <v>#N/A</v>
      </c>
      <c r="FD195" s="115">
        <f t="shared" ca="1" si="604"/>
        <v>0</v>
      </c>
      <c r="FE195" s="116" t="e">
        <f t="shared" ca="1" si="605"/>
        <v>#N/A</v>
      </c>
      <c r="FF195" s="117" t="e">
        <f t="shared" ca="1" si="606"/>
        <v>#N/A</v>
      </c>
      <c r="FG195" s="71">
        <f t="shared" si="607"/>
        <v>0</v>
      </c>
      <c r="FH195" s="530" t="e">
        <f t="shared" ca="1" si="608"/>
        <v>#N/A</v>
      </c>
      <c r="FI195" s="72"/>
      <c r="FJ195" s="72"/>
      <c r="FK195" s="72"/>
      <c r="FM195" s="421">
        <f t="shared" si="609"/>
        <v>0</v>
      </c>
      <c r="FN195" s="422" t="e">
        <f t="shared" ca="1" si="610"/>
        <v>#N/A</v>
      </c>
      <c r="FO195" s="423">
        <f t="shared" ca="1" si="620"/>
        <v>0</v>
      </c>
      <c r="FP195" s="423">
        <f t="shared" ca="1" si="620"/>
        <v>0</v>
      </c>
      <c r="FQ195" s="423">
        <f t="shared" ca="1" si="620"/>
        <v>0</v>
      </c>
      <c r="FR195" s="423">
        <f t="shared" ca="1" si="620"/>
        <v>0</v>
      </c>
      <c r="FS195" s="423">
        <f t="shared" ca="1" si="620"/>
        <v>0</v>
      </c>
      <c r="FT195" s="423">
        <f t="shared" ca="1" si="620"/>
        <v>0</v>
      </c>
      <c r="FU195" s="423">
        <f t="shared" ca="1" si="620"/>
        <v>0</v>
      </c>
      <c r="FV195" s="423">
        <f t="shared" ca="1" si="620"/>
        <v>0</v>
      </c>
      <c r="FW195" s="423">
        <f t="shared" ca="1" si="620"/>
        <v>0</v>
      </c>
      <c r="FX195" s="423">
        <f t="shared" ca="1" si="620"/>
        <v>0</v>
      </c>
      <c r="FY195" s="423">
        <f t="shared" ca="1" si="620"/>
        <v>0</v>
      </c>
      <c r="FZ195" s="423">
        <f t="shared" ca="1" si="620"/>
        <v>0</v>
      </c>
      <c r="GA195" s="423">
        <f t="shared" ca="1" si="620"/>
        <v>0</v>
      </c>
      <c r="GB195" s="423">
        <f t="shared" ca="1" si="620"/>
        <v>0</v>
      </c>
      <c r="GC195" s="423">
        <f t="shared" ca="1" si="620"/>
        <v>0</v>
      </c>
      <c r="GD195" s="423">
        <f t="shared" ca="1" si="620"/>
        <v>0</v>
      </c>
      <c r="GE195" s="423">
        <f t="shared" ca="1" si="618"/>
        <v>0</v>
      </c>
      <c r="GF195" s="423">
        <f t="shared" ca="1" si="618"/>
        <v>0</v>
      </c>
      <c r="GG195" s="423">
        <f t="shared" ca="1" si="618"/>
        <v>0</v>
      </c>
      <c r="GH195" s="423">
        <f t="shared" ca="1" si="618"/>
        <v>0</v>
      </c>
      <c r="GI195" s="423">
        <f t="shared" ca="1" si="618"/>
        <v>0</v>
      </c>
      <c r="GJ195" s="423">
        <f t="shared" ca="1" si="618"/>
        <v>0</v>
      </c>
      <c r="GK195" s="423">
        <f t="shared" ca="1" si="618"/>
        <v>0</v>
      </c>
      <c r="GL195" s="423">
        <f t="shared" ca="1" si="618"/>
        <v>0</v>
      </c>
      <c r="GM195" s="423">
        <f t="shared" ca="1" si="618"/>
        <v>0</v>
      </c>
      <c r="GN195" s="423">
        <f t="shared" ca="1" si="618"/>
        <v>0</v>
      </c>
      <c r="GO195" s="423">
        <f t="shared" ca="1" si="618"/>
        <v>0</v>
      </c>
      <c r="GP195" s="423">
        <f t="shared" ca="1" si="618"/>
        <v>0</v>
      </c>
      <c r="GQ195" s="423">
        <f t="shared" ca="1" si="618"/>
        <v>0</v>
      </c>
      <c r="GR195" s="423">
        <f t="shared" ca="1" si="618"/>
        <v>0</v>
      </c>
      <c r="GS195" s="423">
        <f t="shared" ca="1" si="616"/>
        <v>0</v>
      </c>
      <c r="GT195" s="423">
        <f t="shared" ca="1" si="616"/>
        <v>0</v>
      </c>
      <c r="GU195" s="423">
        <f t="shared" ca="1" si="616"/>
        <v>0</v>
      </c>
      <c r="GV195" s="423">
        <f t="shared" ca="1" si="616"/>
        <v>0</v>
      </c>
      <c r="GW195" s="423">
        <f t="shared" ca="1" si="616"/>
        <v>0</v>
      </c>
      <c r="GX195" s="423">
        <f t="shared" ca="1" si="616"/>
        <v>0</v>
      </c>
      <c r="GY195" s="423">
        <f t="shared" ca="1" si="616"/>
        <v>0</v>
      </c>
      <c r="GZ195" s="423">
        <f t="shared" ca="1" si="616"/>
        <v>0</v>
      </c>
      <c r="HA195" s="423">
        <f t="shared" ca="1" si="616"/>
        <v>0</v>
      </c>
      <c r="HB195" s="423">
        <f t="shared" ca="1" si="616"/>
        <v>0</v>
      </c>
      <c r="HC195" s="423">
        <f t="shared" ca="1" si="616"/>
        <v>0</v>
      </c>
      <c r="HD195" s="423">
        <f t="shared" ca="1" si="616"/>
        <v>0</v>
      </c>
      <c r="HE195" s="423">
        <f t="shared" ca="1" si="616"/>
        <v>0</v>
      </c>
      <c r="HF195" s="423">
        <f t="shared" ca="1" si="616"/>
        <v>0</v>
      </c>
      <c r="HG195" s="423">
        <f t="shared" ca="1" si="616"/>
        <v>0</v>
      </c>
      <c r="HH195" s="423">
        <f t="shared" ca="1" si="616"/>
        <v>0</v>
      </c>
      <c r="HI195" s="423">
        <f t="shared" ca="1" si="619"/>
        <v>0</v>
      </c>
      <c r="HJ195" s="423">
        <f t="shared" ca="1" si="617"/>
        <v>0</v>
      </c>
      <c r="HK195" s="423">
        <f t="shared" ca="1" si="617"/>
        <v>0</v>
      </c>
      <c r="HL195" s="423">
        <f t="shared" ca="1" si="617"/>
        <v>0</v>
      </c>
      <c r="HM195" s="423">
        <f t="shared" ca="1" si="617"/>
        <v>0</v>
      </c>
      <c r="HN195" s="423">
        <f t="shared" ca="1" si="617"/>
        <v>0</v>
      </c>
      <c r="HO195" s="423">
        <f t="shared" ca="1" si="617"/>
        <v>0</v>
      </c>
      <c r="HP195" s="423">
        <f t="shared" ca="1" si="617"/>
        <v>0</v>
      </c>
      <c r="HQ195" s="423">
        <f t="shared" ca="1" si="617"/>
        <v>0</v>
      </c>
      <c r="HR195" s="423">
        <f t="shared" ca="1" si="617"/>
        <v>0</v>
      </c>
      <c r="HS195" s="423">
        <f t="shared" ca="1" si="617"/>
        <v>0</v>
      </c>
      <c r="HT195" s="423">
        <f t="shared" ca="1" si="617"/>
        <v>0</v>
      </c>
    </row>
    <row r="196" spans="1:228" x14ac:dyDescent="0.2">
      <c r="A196" s="62">
        <f t="shared" si="516"/>
        <v>185</v>
      </c>
      <c r="B196" s="60">
        <f>Spaces_Sum!C241</f>
        <v>0</v>
      </c>
      <c r="C196" s="62" t="str">
        <f>Spaces_Sum!D241</f>
        <v>0</v>
      </c>
      <c r="D196" s="62" t="e">
        <f ca="1">Spaces_Sum!I241</f>
        <v>#N/A</v>
      </c>
      <c r="F196" s="110" t="e">
        <f ca="1">Spaces_Sum!M241</f>
        <v>#N/A</v>
      </c>
      <c r="G196" s="110" t="e">
        <f ca="1">Spaces_Sum!J241</f>
        <v>#N/A</v>
      </c>
      <c r="H196" s="532"/>
      <c r="I196" s="185"/>
      <c r="J196" s="185"/>
      <c r="K196" s="186"/>
      <c r="L196" s="187"/>
      <c r="M196" s="188"/>
      <c r="N196" s="189"/>
      <c r="O196" s="186"/>
      <c r="P196" s="187"/>
      <c r="Q196" s="188"/>
      <c r="R196" s="189"/>
      <c r="S196" s="186"/>
      <c r="T196" s="187"/>
      <c r="U196" s="188"/>
      <c r="V196" s="189"/>
      <c r="W196" s="186"/>
      <c r="X196" s="187"/>
      <c r="Y196" s="188"/>
      <c r="Z196" s="189"/>
      <c r="AA196" s="186"/>
      <c r="AB196" s="187"/>
      <c r="AC196" s="188"/>
      <c r="AD196" s="189"/>
      <c r="AE196" s="186"/>
      <c r="AF196" s="187"/>
      <c r="AG196" s="188"/>
      <c r="AH196" s="189"/>
      <c r="AI196" s="186"/>
      <c r="AJ196" s="187"/>
      <c r="AK196" s="188"/>
      <c r="AL196" s="189"/>
      <c r="AM196" s="186"/>
      <c r="AN196" s="187"/>
      <c r="AO196" s="188"/>
      <c r="AP196" s="189"/>
      <c r="AQ196" s="186"/>
      <c r="AR196" s="187"/>
      <c r="AS196" s="188"/>
      <c r="AT196" s="189"/>
      <c r="AU196" s="186"/>
      <c r="AV196" s="187"/>
      <c r="AW196" s="188"/>
      <c r="AX196" s="189"/>
      <c r="AY196" s="186"/>
      <c r="AZ196" s="187"/>
      <c r="BA196" s="188"/>
      <c r="BB196" s="189"/>
      <c r="BC196" s="186"/>
      <c r="BD196" s="187"/>
      <c r="BE196" s="188"/>
      <c r="BF196" s="189"/>
      <c r="BG196" s="186"/>
      <c r="BH196" s="187"/>
      <c r="BI196" s="188"/>
      <c r="BJ196" s="189"/>
      <c r="BK196" s="186"/>
      <c r="BL196" s="187"/>
      <c r="BM196" s="188"/>
      <c r="BN196" s="189"/>
      <c r="BO196" s="186"/>
      <c r="BP196" s="187"/>
      <c r="BQ196" s="188"/>
      <c r="BR196" s="189"/>
      <c r="BS196" s="186"/>
      <c r="BT196" s="187"/>
      <c r="BU196" s="188"/>
      <c r="BV196" s="189"/>
      <c r="BW196" s="186"/>
      <c r="BX196" s="187"/>
      <c r="BY196" s="188"/>
      <c r="BZ196" s="189"/>
      <c r="CA196" s="186"/>
      <c r="CB196" s="190"/>
      <c r="CC196" s="190"/>
      <c r="CD196" s="82">
        <f t="shared" si="526"/>
        <v>0</v>
      </c>
      <c r="CE196" s="82">
        <f t="shared" si="527"/>
        <v>0</v>
      </c>
      <c r="CF196" s="82">
        <f t="shared" si="528"/>
        <v>0</v>
      </c>
      <c r="CG196" s="82">
        <f t="shared" si="529"/>
        <v>0</v>
      </c>
      <c r="CH196" s="82">
        <f t="shared" si="530"/>
        <v>0</v>
      </c>
      <c r="CI196" s="82">
        <f t="shared" si="531"/>
        <v>0</v>
      </c>
      <c r="CJ196" s="82">
        <f t="shared" si="532"/>
        <v>0</v>
      </c>
      <c r="CK196" s="82">
        <f t="shared" si="533"/>
        <v>0</v>
      </c>
      <c r="CL196" s="82">
        <f t="shared" si="534"/>
        <v>0</v>
      </c>
      <c r="CM196" s="82">
        <f t="shared" si="535"/>
        <v>0</v>
      </c>
      <c r="CN196" s="82">
        <f t="shared" si="536"/>
        <v>0</v>
      </c>
      <c r="CO196" s="82">
        <f t="shared" si="537"/>
        <v>0</v>
      </c>
      <c r="CP196" s="82">
        <f t="shared" si="538"/>
        <v>0</v>
      </c>
      <c r="CQ196" s="82">
        <f t="shared" si="539"/>
        <v>0</v>
      </c>
      <c r="CR196" s="82">
        <f t="shared" si="540"/>
        <v>0</v>
      </c>
      <c r="CS196" s="82">
        <f t="shared" si="541"/>
        <v>0</v>
      </c>
      <c r="CT196" s="82">
        <f t="shared" si="542"/>
        <v>0</v>
      </c>
      <c r="CU196" s="82">
        <f t="shared" si="543"/>
        <v>0</v>
      </c>
      <c r="CV196" s="82">
        <f t="shared" si="544"/>
        <v>0</v>
      </c>
      <c r="CW196" s="82">
        <f t="shared" si="545"/>
        <v>0</v>
      </c>
      <c r="CX196" s="82">
        <f t="shared" si="546"/>
        <v>0</v>
      </c>
      <c r="CY196" s="82">
        <f t="shared" si="547"/>
        <v>0</v>
      </c>
      <c r="CZ196" s="82">
        <f t="shared" si="548"/>
        <v>0</v>
      </c>
      <c r="DA196" s="82">
        <f t="shared" si="549"/>
        <v>0</v>
      </c>
      <c r="DB196" s="82">
        <f t="shared" si="550"/>
        <v>0</v>
      </c>
      <c r="DC196" s="82">
        <f t="shared" si="551"/>
        <v>0</v>
      </c>
      <c r="DD196" s="82">
        <f t="shared" si="552"/>
        <v>0</v>
      </c>
      <c r="DE196" s="82">
        <f t="shared" si="553"/>
        <v>0</v>
      </c>
      <c r="DF196" s="82">
        <f t="shared" si="554"/>
        <v>0</v>
      </c>
      <c r="DG196" s="82">
        <f t="shared" si="555"/>
        <v>0</v>
      </c>
      <c r="DH196" s="82">
        <f t="shared" si="556"/>
        <v>0</v>
      </c>
      <c r="DI196" s="82">
        <f t="shared" si="557"/>
        <v>0</v>
      </c>
      <c r="DJ196" s="82">
        <f t="shared" si="558"/>
        <v>0</v>
      </c>
      <c r="DK196" s="82">
        <f t="shared" si="559"/>
        <v>0</v>
      </c>
      <c r="DL196" s="82">
        <f t="shared" si="560"/>
        <v>0</v>
      </c>
      <c r="DM196" s="82">
        <f t="shared" si="561"/>
        <v>0</v>
      </c>
      <c r="DN196" s="82">
        <f t="shared" si="562"/>
        <v>0</v>
      </c>
      <c r="DO196" s="82">
        <f t="shared" si="563"/>
        <v>0</v>
      </c>
      <c r="DP196" s="82">
        <f t="shared" si="564"/>
        <v>0</v>
      </c>
      <c r="DQ196" s="82">
        <f t="shared" si="565"/>
        <v>0</v>
      </c>
      <c r="DR196" s="82">
        <f t="shared" si="566"/>
        <v>0</v>
      </c>
      <c r="DS196" s="82">
        <f t="shared" si="567"/>
        <v>0</v>
      </c>
      <c r="DT196" s="82">
        <f t="shared" si="568"/>
        <v>0</v>
      </c>
      <c r="DU196" s="82">
        <f t="shared" si="569"/>
        <v>0</v>
      </c>
      <c r="DV196" s="82">
        <f t="shared" si="570"/>
        <v>0</v>
      </c>
      <c r="DW196" s="82">
        <f t="shared" si="571"/>
        <v>0</v>
      </c>
      <c r="DX196" s="82">
        <f t="shared" si="572"/>
        <v>0</v>
      </c>
      <c r="DY196" s="82">
        <f t="shared" si="573"/>
        <v>0</v>
      </c>
      <c r="DZ196" s="82">
        <f t="shared" si="574"/>
        <v>0</v>
      </c>
      <c r="EA196" s="82">
        <f t="shared" si="575"/>
        <v>0</v>
      </c>
      <c r="EB196" s="82">
        <f t="shared" si="576"/>
        <v>0</v>
      </c>
      <c r="EC196" s="82">
        <f t="shared" si="577"/>
        <v>0</v>
      </c>
      <c r="ED196" s="82">
        <f t="shared" si="578"/>
        <v>0</v>
      </c>
      <c r="EE196" s="82">
        <f t="shared" si="579"/>
        <v>0</v>
      </c>
      <c r="EF196" s="82">
        <f t="shared" si="580"/>
        <v>0</v>
      </c>
      <c r="EG196" s="82">
        <f t="shared" si="581"/>
        <v>0</v>
      </c>
      <c r="EH196" s="82">
        <f t="shared" si="582"/>
        <v>0</v>
      </c>
      <c r="EI196" s="82">
        <f t="shared" si="583"/>
        <v>0</v>
      </c>
      <c r="EJ196" s="82">
        <f t="shared" si="584"/>
        <v>0</v>
      </c>
      <c r="EK196" s="82">
        <f t="shared" si="585"/>
        <v>0</v>
      </c>
      <c r="EL196" s="82">
        <f t="shared" si="586"/>
        <v>0</v>
      </c>
      <c r="EM196" s="82">
        <f t="shared" si="587"/>
        <v>0</v>
      </c>
      <c r="EN196" s="82">
        <f t="shared" si="588"/>
        <v>0</v>
      </c>
      <c r="EO196" s="82">
        <f t="shared" si="589"/>
        <v>0</v>
      </c>
      <c r="EP196" s="82">
        <f t="shared" si="590"/>
        <v>0</v>
      </c>
      <c r="EQ196" s="82">
        <f t="shared" si="591"/>
        <v>0</v>
      </c>
      <c r="ER196" s="82">
        <f t="shared" si="592"/>
        <v>0</v>
      </c>
      <c r="ES196" s="82">
        <f t="shared" si="593"/>
        <v>0</v>
      </c>
      <c r="ET196" s="82">
        <f t="shared" si="594"/>
        <v>0</v>
      </c>
      <c r="EU196" s="82">
        <f t="shared" si="595"/>
        <v>0</v>
      </c>
      <c r="EV196" s="82">
        <f t="shared" si="596"/>
        <v>0</v>
      </c>
      <c r="EW196" s="82">
        <f t="shared" si="597"/>
        <v>0</v>
      </c>
      <c r="EX196" s="82">
        <f t="shared" si="598"/>
        <v>0</v>
      </c>
      <c r="EY196" s="111">
        <f t="shared" si="599"/>
        <v>0</v>
      </c>
      <c r="EZ196" s="143" t="e">
        <f t="shared" ca="1" si="600"/>
        <v>#N/A</v>
      </c>
      <c r="FA196" s="112" t="e">
        <f t="shared" ca="1" si="601"/>
        <v>#N/A</v>
      </c>
      <c r="FB196" s="113" t="e">
        <f t="shared" ca="1" si="602"/>
        <v>#N/A</v>
      </c>
      <c r="FC196" s="114" t="e">
        <f t="shared" ca="1" si="603"/>
        <v>#N/A</v>
      </c>
      <c r="FD196" s="115">
        <f t="shared" ca="1" si="604"/>
        <v>0</v>
      </c>
      <c r="FE196" s="116" t="e">
        <f t="shared" ca="1" si="605"/>
        <v>#N/A</v>
      </c>
      <c r="FF196" s="117" t="e">
        <f t="shared" ca="1" si="606"/>
        <v>#N/A</v>
      </c>
      <c r="FG196" s="71">
        <f t="shared" si="607"/>
        <v>0</v>
      </c>
      <c r="FH196" s="530" t="e">
        <f t="shared" ca="1" si="608"/>
        <v>#N/A</v>
      </c>
      <c r="FI196" s="72"/>
      <c r="FJ196" s="72"/>
      <c r="FK196" s="72"/>
      <c r="FM196" s="421">
        <f t="shared" si="609"/>
        <v>0</v>
      </c>
      <c r="FN196" s="422" t="e">
        <f t="shared" ca="1" si="610"/>
        <v>#N/A</v>
      </c>
      <c r="FO196" s="423">
        <f t="shared" ca="1" si="620"/>
        <v>0</v>
      </c>
      <c r="FP196" s="423">
        <f t="shared" ca="1" si="620"/>
        <v>0</v>
      </c>
      <c r="FQ196" s="423">
        <f t="shared" ca="1" si="620"/>
        <v>0</v>
      </c>
      <c r="FR196" s="423">
        <f t="shared" ca="1" si="620"/>
        <v>0</v>
      </c>
      <c r="FS196" s="423">
        <f t="shared" ca="1" si="620"/>
        <v>0</v>
      </c>
      <c r="FT196" s="423">
        <f t="shared" ca="1" si="620"/>
        <v>0</v>
      </c>
      <c r="FU196" s="423">
        <f t="shared" ca="1" si="620"/>
        <v>0</v>
      </c>
      <c r="FV196" s="423">
        <f t="shared" ca="1" si="620"/>
        <v>0</v>
      </c>
      <c r="FW196" s="423">
        <f t="shared" ca="1" si="620"/>
        <v>0</v>
      </c>
      <c r="FX196" s="423">
        <f t="shared" ca="1" si="620"/>
        <v>0</v>
      </c>
      <c r="FY196" s="423">
        <f t="shared" ca="1" si="620"/>
        <v>0</v>
      </c>
      <c r="FZ196" s="423">
        <f t="shared" ca="1" si="620"/>
        <v>0</v>
      </c>
      <c r="GA196" s="423">
        <f t="shared" ca="1" si="620"/>
        <v>0</v>
      </c>
      <c r="GB196" s="423">
        <f t="shared" ca="1" si="620"/>
        <v>0</v>
      </c>
      <c r="GC196" s="423">
        <f t="shared" ca="1" si="620"/>
        <v>0</v>
      </c>
      <c r="GD196" s="423">
        <f t="shared" ca="1" si="620"/>
        <v>0</v>
      </c>
      <c r="GE196" s="423">
        <f t="shared" ca="1" si="618"/>
        <v>0</v>
      </c>
      <c r="GF196" s="423">
        <f t="shared" ca="1" si="618"/>
        <v>0</v>
      </c>
      <c r="GG196" s="423">
        <f t="shared" ca="1" si="618"/>
        <v>0</v>
      </c>
      <c r="GH196" s="423">
        <f t="shared" ca="1" si="618"/>
        <v>0</v>
      </c>
      <c r="GI196" s="423">
        <f t="shared" ca="1" si="618"/>
        <v>0</v>
      </c>
      <c r="GJ196" s="423">
        <f t="shared" ca="1" si="618"/>
        <v>0</v>
      </c>
      <c r="GK196" s="423">
        <f t="shared" ca="1" si="618"/>
        <v>0</v>
      </c>
      <c r="GL196" s="423">
        <f t="shared" ca="1" si="618"/>
        <v>0</v>
      </c>
      <c r="GM196" s="423">
        <f t="shared" ca="1" si="618"/>
        <v>0</v>
      </c>
      <c r="GN196" s="423">
        <f t="shared" ca="1" si="618"/>
        <v>0</v>
      </c>
      <c r="GO196" s="423">
        <f t="shared" ca="1" si="618"/>
        <v>0</v>
      </c>
      <c r="GP196" s="423">
        <f t="shared" ca="1" si="618"/>
        <v>0</v>
      </c>
      <c r="GQ196" s="423">
        <f t="shared" ca="1" si="618"/>
        <v>0</v>
      </c>
      <c r="GR196" s="423">
        <f t="shared" ca="1" si="618"/>
        <v>0</v>
      </c>
      <c r="GS196" s="423">
        <f t="shared" ca="1" si="616"/>
        <v>0</v>
      </c>
      <c r="GT196" s="423">
        <f t="shared" ca="1" si="616"/>
        <v>0</v>
      </c>
      <c r="GU196" s="423">
        <f t="shared" ca="1" si="616"/>
        <v>0</v>
      </c>
      <c r="GV196" s="423">
        <f t="shared" ca="1" si="616"/>
        <v>0</v>
      </c>
      <c r="GW196" s="423">
        <f t="shared" ca="1" si="616"/>
        <v>0</v>
      </c>
      <c r="GX196" s="423">
        <f t="shared" ca="1" si="616"/>
        <v>0</v>
      </c>
      <c r="GY196" s="423">
        <f t="shared" ca="1" si="616"/>
        <v>0</v>
      </c>
      <c r="GZ196" s="423">
        <f t="shared" ca="1" si="616"/>
        <v>0</v>
      </c>
      <c r="HA196" s="423">
        <f t="shared" ca="1" si="616"/>
        <v>0</v>
      </c>
      <c r="HB196" s="423">
        <f t="shared" ca="1" si="616"/>
        <v>0</v>
      </c>
      <c r="HC196" s="423">
        <f t="shared" ca="1" si="616"/>
        <v>0</v>
      </c>
      <c r="HD196" s="423">
        <f t="shared" ca="1" si="616"/>
        <v>0</v>
      </c>
      <c r="HE196" s="423">
        <f t="shared" ca="1" si="616"/>
        <v>0</v>
      </c>
      <c r="HF196" s="423">
        <f t="shared" ca="1" si="616"/>
        <v>0</v>
      </c>
      <c r="HG196" s="423">
        <f t="shared" ca="1" si="616"/>
        <v>0</v>
      </c>
      <c r="HH196" s="423">
        <f t="shared" ca="1" si="616"/>
        <v>0</v>
      </c>
      <c r="HI196" s="423">
        <f t="shared" ca="1" si="619"/>
        <v>0</v>
      </c>
      <c r="HJ196" s="423">
        <f t="shared" ca="1" si="617"/>
        <v>0</v>
      </c>
      <c r="HK196" s="423">
        <f t="shared" ca="1" si="617"/>
        <v>0</v>
      </c>
      <c r="HL196" s="423">
        <f t="shared" ca="1" si="617"/>
        <v>0</v>
      </c>
      <c r="HM196" s="423">
        <f t="shared" ca="1" si="617"/>
        <v>0</v>
      </c>
      <c r="HN196" s="423">
        <f t="shared" ca="1" si="617"/>
        <v>0</v>
      </c>
      <c r="HO196" s="423">
        <f t="shared" ca="1" si="617"/>
        <v>0</v>
      </c>
      <c r="HP196" s="423">
        <f t="shared" ca="1" si="617"/>
        <v>0</v>
      </c>
      <c r="HQ196" s="423">
        <f t="shared" ca="1" si="617"/>
        <v>0</v>
      </c>
      <c r="HR196" s="423">
        <f t="shared" ca="1" si="617"/>
        <v>0</v>
      </c>
      <c r="HS196" s="423">
        <f t="shared" ca="1" si="617"/>
        <v>0</v>
      </c>
      <c r="HT196" s="423">
        <f t="shared" ca="1" si="617"/>
        <v>0</v>
      </c>
    </row>
    <row r="197" spans="1:228" x14ac:dyDescent="0.2">
      <c r="A197" s="62">
        <f t="shared" si="516"/>
        <v>186</v>
      </c>
      <c r="B197" s="60">
        <f>Spaces_Sum!C242</f>
        <v>0</v>
      </c>
      <c r="C197" s="62" t="str">
        <f>Spaces_Sum!D242</f>
        <v>0</v>
      </c>
      <c r="D197" s="62" t="e">
        <f ca="1">Spaces_Sum!I242</f>
        <v>#N/A</v>
      </c>
      <c r="F197" s="110" t="e">
        <f ca="1">Spaces_Sum!M242</f>
        <v>#N/A</v>
      </c>
      <c r="G197" s="110" t="e">
        <f ca="1">Spaces_Sum!J242</f>
        <v>#N/A</v>
      </c>
      <c r="H197" s="532"/>
      <c r="I197" s="185"/>
      <c r="J197" s="185"/>
      <c r="K197" s="186"/>
      <c r="L197" s="187"/>
      <c r="M197" s="188"/>
      <c r="N197" s="189"/>
      <c r="O197" s="186"/>
      <c r="P197" s="187"/>
      <c r="Q197" s="188"/>
      <c r="R197" s="189"/>
      <c r="S197" s="186"/>
      <c r="T197" s="187"/>
      <c r="U197" s="188"/>
      <c r="V197" s="189"/>
      <c r="W197" s="186"/>
      <c r="X197" s="187"/>
      <c r="Y197" s="188"/>
      <c r="Z197" s="189"/>
      <c r="AA197" s="186"/>
      <c r="AB197" s="187"/>
      <c r="AC197" s="188"/>
      <c r="AD197" s="189"/>
      <c r="AE197" s="186"/>
      <c r="AF197" s="187"/>
      <c r="AG197" s="188"/>
      <c r="AH197" s="189"/>
      <c r="AI197" s="186"/>
      <c r="AJ197" s="187"/>
      <c r="AK197" s="188"/>
      <c r="AL197" s="189"/>
      <c r="AM197" s="186"/>
      <c r="AN197" s="187"/>
      <c r="AO197" s="188"/>
      <c r="AP197" s="189"/>
      <c r="AQ197" s="186"/>
      <c r="AR197" s="187"/>
      <c r="AS197" s="188"/>
      <c r="AT197" s="189"/>
      <c r="AU197" s="186"/>
      <c r="AV197" s="187"/>
      <c r="AW197" s="188"/>
      <c r="AX197" s="189"/>
      <c r="AY197" s="186"/>
      <c r="AZ197" s="187"/>
      <c r="BA197" s="188"/>
      <c r="BB197" s="189"/>
      <c r="BC197" s="186"/>
      <c r="BD197" s="187"/>
      <c r="BE197" s="188"/>
      <c r="BF197" s="189"/>
      <c r="BG197" s="186"/>
      <c r="BH197" s="187"/>
      <c r="BI197" s="188"/>
      <c r="BJ197" s="189"/>
      <c r="BK197" s="186"/>
      <c r="BL197" s="187"/>
      <c r="BM197" s="188"/>
      <c r="BN197" s="189"/>
      <c r="BO197" s="186"/>
      <c r="BP197" s="187"/>
      <c r="BQ197" s="188"/>
      <c r="BR197" s="189"/>
      <c r="BS197" s="186"/>
      <c r="BT197" s="187"/>
      <c r="BU197" s="188"/>
      <c r="BV197" s="189"/>
      <c r="BW197" s="186"/>
      <c r="BX197" s="187"/>
      <c r="BY197" s="188"/>
      <c r="BZ197" s="189"/>
      <c r="CA197" s="186"/>
      <c r="CB197" s="190"/>
      <c r="CC197" s="190"/>
      <c r="CD197" s="82">
        <f t="shared" si="526"/>
        <v>0</v>
      </c>
      <c r="CE197" s="82">
        <f t="shared" si="527"/>
        <v>0</v>
      </c>
      <c r="CF197" s="82">
        <f t="shared" si="528"/>
        <v>0</v>
      </c>
      <c r="CG197" s="82">
        <f t="shared" si="529"/>
        <v>0</v>
      </c>
      <c r="CH197" s="82">
        <f t="shared" si="530"/>
        <v>0</v>
      </c>
      <c r="CI197" s="82">
        <f t="shared" si="531"/>
        <v>0</v>
      </c>
      <c r="CJ197" s="82">
        <f t="shared" si="532"/>
        <v>0</v>
      </c>
      <c r="CK197" s="82">
        <f t="shared" si="533"/>
        <v>0</v>
      </c>
      <c r="CL197" s="82">
        <f t="shared" si="534"/>
        <v>0</v>
      </c>
      <c r="CM197" s="82">
        <f t="shared" si="535"/>
        <v>0</v>
      </c>
      <c r="CN197" s="82">
        <f t="shared" si="536"/>
        <v>0</v>
      </c>
      <c r="CO197" s="82">
        <f t="shared" si="537"/>
        <v>0</v>
      </c>
      <c r="CP197" s="82">
        <f t="shared" si="538"/>
        <v>0</v>
      </c>
      <c r="CQ197" s="82">
        <f t="shared" si="539"/>
        <v>0</v>
      </c>
      <c r="CR197" s="82">
        <f t="shared" si="540"/>
        <v>0</v>
      </c>
      <c r="CS197" s="82">
        <f t="shared" si="541"/>
        <v>0</v>
      </c>
      <c r="CT197" s="82">
        <f t="shared" si="542"/>
        <v>0</v>
      </c>
      <c r="CU197" s="82">
        <f t="shared" si="543"/>
        <v>0</v>
      </c>
      <c r="CV197" s="82">
        <f t="shared" si="544"/>
        <v>0</v>
      </c>
      <c r="CW197" s="82">
        <f t="shared" si="545"/>
        <v>0</v>
      </c>
      <c r="CX197" s="82">
        <f t="shared" si="546"/>
        <v>0</v>
      </c>
      <c r="CY197" s="82">
        <f t="shared" si="547"/>
        <v>0</v>
      </c>
      <c r="CZ197" s="82">
        <f t="shared" si="548"/>
        <v>0</v>
      </c>
      <c r="DA197" s="82">
        <f t="shared" si="549"/>
        <v>0</v>
      </c>
      <c r="DB197" s="82">
        <f t="shared" si="550"/>
        <v>0</v>
      </c>
      <c r="DC197" s="82">
        <f t="shared" si="551"/>
        <v>0</v>
      </c>
      <c r="DD197" s="82">
        <f t="shared" si="552"/>
        <v>0</v>
      </c>
      <c r="DE197" s="82">
        <f t="shared" si="553"/>
        <v>0</v>
      </c>
      <c r="DF197" s="82">
        <f t="shared" si="554"/>
        <v>0</v>
      </c>
      <c r="DG197" s="82">
        <f t="shared" si="555"/>
        <v>0</v>
      </c>
      <c r="DH197" s="82">
        <f t="shared" si="556"/>
        <v>0</v>
      </c>
      <c r="DI197" s="82">
        <f t="shared" si="557"/>
        <v>0</v>
      </c>
      <c r="DJ197" s="82">
        <f t="shared" si="558"/>
        <v>0</v>
      </c>
      <c r="DK197" s="82">
        <f t="shared" si="559"/>
        <v>0</v>
      </c>
      <c r="DL197" s="82">
        <f t="shared" si="560"/>
        <v>0</v>
      </c>
      <c r="DM197" s="82">
        <f t="shared" si="561"/>
        <v>0</v>
      </c>
      <c r="DN197" s="82">
        <f t="shared" si="562"/>
        <v>0</v>
      </c>
      <c r="DO197" s="82">
        <f t="shared" si="563"/>
        <v>0</v>
      </c>
      <c r="DP197" s="82">
        <f t="shared" si="564"/>
        <v>0</v>
      </c>
      <c r="DQ197" s="82">
        <f t="shared" si="565"/>
        <v>0</v>
      </c>
      <c r="DR197" s="82">
        <f t="shared" si="566"/>
        <v>0</v>
      </c>
      <c r="DS197" s="82">
        <f t="shared" si="567"/>
        <v>0</v>
      </c>
      <c r="DT197" s="82">
        <f t="shared" si="568"/>
        <v>0</v>
      </c>
      <c r="DU197" s="82">
        <f t="shared" si="569"/>
        <v>0</v>
      </c>
      <c r="DV197" s="82">
        <f t="shared" si="570"/>
        <v>0</v>
      </c>
      <c r="DW197" s="82">
        <f t="shared" si="571"/>
        <v>0</v>
      </c>
      <c r="DX197" s="82">
        <f t="shared" si="572"/>
        <v>0</v>
      </c>
      <c r="DY197" s="82">
        <f t="shared" si="573"/>
        <v>0</v>
      </c>
      <c r="DZ197" s="82">
        <f t="shared" si="574"/>
        <v>0</v>
      </c>
      <c r="EA197" s="82">
        <f t="shared" si="575"/>
        <v>0</v>
      </c>
      <c r="EB197" s="82">
        <f t="shared" si="576"/>
        <v>0</v>
      </c>
      <c r="EC197" s="82">
        <f t="shared" si="577"/>
        <v>0</v>
      </c>
      <c r="ED197" s="82">
        <f t="shared" si="578"/>
        <v>0</v>
      </c>
      <c r="EE197" s="82">
        <f t="shared" si="579"/>
        <v>0</v>
      </c>
      <c r="EF197" s="82">
        <f t="shared" si="580"/>
        <v>0</v>
      </c>
      <c r="EG197" s="82">
        <f t="shared" si="581"/>
        <v>0</v>
      </c>
      <c r="EH197" s="82">
        <f t="shared" si="582"/>
        <v>0</v>
      </c>
      <c r="EI197" s="82">
        <f t="shared" si="583"/>
        <v>0</v>
      </c>
      <c r="EJ197" s="82">
        <f t="shared" si="584"/>
        <v>0</v>
      </c>
      <c r="EK197" s="82">
        <f t="shared" si="585"/>
        <v>0</v>
      </c>
      <c r="EL197" s="82">
        <f t="shared" si="586"/>
        <v>0</v>
      </c>
      <c r="EM197" s="82">
        <f t="shared" si="587"/>
        <v>0</v>
      </c>
      <c r="EN197" s="82">
        <f t="shared" si="588"/>
        <v>0</v>
      </c>
      <c r="EO197" s="82">
        <f t="shared" si="589"/>
        <v>0</v>
      </c>
      <c r="EP197" s="82">
        <f t="shared" si="590"/>
        <v>0</v>
      </c>
      <c r="EQ197" s="82">
        <f t="shared" si="591"/>
        <v>0</v>
      </c>
      <c r="ER197" s="82">
        <f t="shared" si="592"/>
        <v>0</v>
      </c>
      <c r="ES197" s="82">
        <f t="shared" si="593"/>
        <v>0</v>
      </c>
      <c r="ET197" s="82">
        <f t="shared" si="594"/>
        <v>0</v>
      </c>
      <c r="EU197" s="82">
        <f t="shared" si="595"/>
        <v>0</v>
      </c>
      <c r="EV197" s="82">
        <f t="shared" si="596"/>
        <v>0</v>
      </c>
      <c r="EW197" s="82">
        <f t="shared" si="597"/>
        <v>0</v>
      </c>
      <c r="EX197" s="82">
        <f t="shared" si="598"/>
        <v>0</v>
      </c>
      <c r="EY197" s="111">
        <f t="shared" si="599"/>
        <v>0</v>
      </c>
      <c r="EZ197" s="143" t="e">
        <f t="shared" ca="1" si="600"/>
        <v>#N/A</v>
      </c>
      <c r="FA197" s="112" t="e">
        <f t="shared" ca="1" si="601"/>
        <v>#N/A</v>
      </c>
      <c r="FB197" s="113" t="e">
        <f t="shared" ca="1" si="602"/>
        <v>#N/A</v>
      </c>
      <c r="FC197" s="114" t="e">
        <f t="shared" ca="1" si="603"/>
        <v>#N/A</v>
      </c>
      <c r="FD197" s="115">
        <f t="shared" ca="1" si="604"/>
        <v>0</v>
      </c>
      <c r="FE197" s="116" t="e">
        <f t="shared" ca="1" si="605"/>
        <v>#N/A</v>
      </c>
      <c r="FF197" s="117" t="e">
        <f t="shared" ca="1" si="606"/>
        <v>#N/A</v>
      </c>
      <c r="FG197" s="71">
        <f t="shared" si="607"/>
        <v>0</v>
      </c>
      <c r="FH197" s="530" t="e">
        <f t="shared" ca="1" si="608"/>
        <v>#N/A</v>
      </c>
      <c r="FI197" s="72"/>
      <c r="FJ197" s="72"/>
      <c r="FK197" s="72"/>
      <c r="FM197" s="421">
        <f t="shared" si="609"/>
        <v>0</v>
      </c>
      <c r="FN197" s="422" t="e">
        <f t="shared" ca="1" si="610"/>
        <v>#N/A</v>
      </c>
      <c r="FO197" s="423">
        <f t="shared" ca="1" si="620"/>
        <v>0</v>
      </c>
      <c r="FP197" s="423">
        <f t="shared" ca="1" si="620"/>
        <v>0</v>
      </c>
      <c r="FQ197" s="423">
        <f t="shared" ca="1" si="620"/>
        <v>0</v>
      </c>
      <c r="FR197" s="423">
        <f t="shared" ca="1" si="620"/>
        <v>0</v>
      </c>
      <c r="FS197" s="423">
        <f t="shared" ca="1" si="620"/>
        <v>0</v>
      </c>
      <c r="FT197" s="423">
        <f t="shared" ca="1" si="620"/>
        <v>0</v>
      </c>
      <c r="FU197" s="423">
        <f t="shared" ca="1" si="620"/>
        <v>0</v>
      </c>
      <c r="FV197" s="423">
        <f t="shared" ca="1" si="620"/>
        <v>0</v>
      </c>
      <c r="FW197" s="423">
        <f t="shared" ca="1" si="620"/>
        <v>0</v>
      </c>
      <c r="FX197" s="423">
        <f t="shared" ca="1" si="620"/>
        <v>0</v>
      </c>
      <c r="FY197" s="423">
        <f t="shared" ca="1" si="620"/>
        <v>0</v>
      </c>
      <c r="FZ197" s="423">
        <f t="shared" ca="1" si="620"/>
        <v>0</v>
      </c>
      <c r="GA197" s="423">
        <f t="shared" ca="1" si="620"/>
        <v>0</v>
      </c>
      <c r="GB197" s="423">
        <f t="shared" ca="1" si="620"/>
        <v>0</v>
      </c>
      <c r="GC197" s="423">
        <f t="shared" ca="1" si="620"/>
        <v>0</v>
      </c>
      <c r="GD197" s="423">
        <f t="shared" ca="1" si="620"/>
        <v>0</v>
      </c>
      <c r="GE197" s="423">
        <f t="shared" ca="1" si="618"/>
        <v>0</v>
      </c>
      <c r="GF197" s="423">
        <f t="shared" ca="1" si="618"/>
        <v>0</v>
      </c>
      <c r="GG197" s="423">
        <f t="shared" ca="1" si="618"/>
        <v>0</v>
      </c>
      <c r="GH197" s="423">
        <f t="shared" ca="1" si="618"/>
        <v>0</v>
      </c>
      <c r="GI197" s="423">
        <f t="shared" ca="1" si="618"/>
        <v>0</v>
      </c>
      <c r="GJ197" s="423">
        <f t="shared" ca="1" si="618"/>
        <v>0</v>
      </c>
      <c r="GK197" s="423">
        <f t="shared" ca="1" si="618"/>
        <v>0</v>
      </c>
      <c r="GL197" s="423">
        <f t="shared" ca="1" si="618"/>
        <v>0</v>
      </c>
      <c r="GM197" s="423">
        <f t="shared" ca="1" si="618"/>
        <v>0</v>
      </c>
      <c r="GN197" s="423">
        <f t="shared" ca="1" si="618"/>
        <v>0</v>
      </c>
      <c r="GO197" s="423">
        <f t="shared" ca="1" si="618"/>
        <v>0</v>
      </c>
      <c r="GP197" s="423">
        <f t="shared" ca="1" si="618"/>
        <v>0</v>
      </c>
      <c r="GQ197" s="423">
        <f t="shared" ca="1" si="618"/>
        <v>0</v>
      </c>
      <c r="GR197" s="423">
        <f t="shared" ca="1" si="618"/>
        <v>0</v>
      </c>
      <c r="GS197" s="423">
        <f t="shared" ca="1" si="616"/>
        <v>0</v>
      </c>
      <c r="GT197" s="423">
        <f t="shared" ca="1" si="616"/>
        <v>0</v>
      </c>
      <c r="GU197" s="423">
        <f t="shared" ca="1" si="616"/>
        <v>0</v>
      </c>
      <c r="GV197" s="423">
        <f t="shared" ca="1" si="616"/>
        <v>0</v>
      </c>
      <c r="GW197" s="423">
        <f t="shared" ca="1" si="616"/>
        <v>0</v>
      </c>
      <c r="GX197" s="423">
        <f t="shared" ca="1" si="616"/>
        <v>0</v>
      </c>
      <c r="GY197" s="423">
        <f t="shared" ca="1" si="616"/>
        <v>0</v>
      </c>
      <c r="GZ197" s="423">
        <f t="shared" ca="1" si="616"/>
        <v>0</v>
      </c>
      <c r="HA197" s="423">
        <f t="shared" ca="1" si="616"/>
        <v>0</v>
      </c>
      <c r="HB197" s="423">
        <f t="shared" ca="1" si="616"/>
        <v>0</v>
      </c>
      <c r="HC197" s="423">
        <f t="shared" ca="1" si="616"/>
        <v>0</v>
      </c>
      <c r="HD197" s="423">
        <f t="shared" ca="1" si="616"/>
        <v>0</v>
      </c>
      <c r="HE197" s="423">
        <f t="shared" ca="1" si="616"/>
        <v>0</v>
      </c>
      <c r="HF197" s="423">
        <f t="shared" ca="1" si="616"/>
        <v>0</v>
      </c>
      <c r="HG197" s="423">
        <f t="shared" ca="1" si="616"/>
        <v>0</v>
      </c>
      <c r="HH197" s="423">
        <f t="shared" ca="1" si="616"/>
        <v>0</v>
      </c>
      <c r="HI197" s="423">
        <f t="shared" ca="1" si="619"/>
        <v>0</v>
      </c>
      <c r="HJ197" s="423">
        <f t="shared" ca="1" si="617"/>
        <v>0</v>
      </c>
      <c r="HK197" s="423">
        <f t="shared" ca="1" si="617"/>
        <v>0</v>
      </c>
      <c r="HL197" s="423">
        <f t="shared" ca="1" si="617"/>
        <v>0</v>
      </c>
      <c r="HM197" s="423">
        <f t="shared" ca="1" si="617"/>
        <v>0</v>
      </c>
      <c r="HN197" s="423">
        <f t="shared" ca="1" si="617"/>
        <v>0</v>
      </c>
      <c r="HO197" s="423">
        <f t="shared" ca="1" si="617"/>
        <v>0</v>
      </c>
      <c r="HP197" s="423">
        <f t="shared" ca="1" si="617"/>
        <v>0</v>
      </c>
      <c r="HQ197" s="423">
        <f t="shared" ca="1" si="617"/>
        <v>0</v>
      </c>
      <c r="HR197" s="423">
        <f t="shared" ca="1" si="617"/>
        <v>0</v>
      </c>
      <c r="HS197" s="423">
        <f t="shared" ca="1" si="617"/>
        <v>0</v>
      </c>
      <c r="HT197" s="423">
        <f t="shared" ca="1" si="617"/>
        <v>0</v>
      </c>
    </row>
    <row r="198" spans="1:228" x14ac:dyDescent="0.2">
      <c r="A198" s="62">
        <f t="shared" si="516"/>
        <v>187</v>
      </c>
      <c r="B198" s="60">
        <f>Spaces_Sum!C243</f>
        <v>0</v>
      </c>
      <c r="C198" s="62" t="str">
        <f>Spaces_Sum!D243</f>
        <v>0</v>
      </c>
      <c r="D198" s="62" t="e">
        <f ca="1">Spaces_Sum!I243</f>
        <v>#N/A</v>
      </c>
      <c r="F198" s="110" t="e">
        <f ca="1">Spaces_Sum!M243</f>
        <v>#N/A</v>
      </c>
      <c r="G198" s="110" t="e">
        <f ca="1">Spaces_Sum!J243</f>
        <v>#N/A</v>
      </c>
      <c r="H198" s="532"/>
      <c r="I198" s="185"/>
      <c r="J198" s="185"/>
      <c r="K198" s="186"/>
      <c r="L198" s="187"/>
      <c r="M198" s="188"/>
      <c r="N198" s="189"/>
      <c r="O198" s="186"/>
      <c r="P198" s="187"/>
      <c r="Q198" s="188"/>
      <c r="R198" s="189"/>
      <c r="S198" s="186"/>
      <c r="T198" s="187"/>
      <c r="U198" s="188"/>
      <c r="V198" s="189"/>
      <c r="W198" s="186"/>
      <c r="X198" s="187"/>
      <c r="Y198" s="188"/>
      <c r="Z198" s="189"/>
      <c r="AA198" s="186"/>
      <c r="AB198" s="187"/>
      <c r="AC198" s="188"/>
      <c r="AD198" s="189"/>
      <c r="AE198" s="186"/>
      <c r="AF198" s="187"/>
      <c r="AG198" s="188"/>
      <c r="AH198" s="189"/>
      <c r="AI198" s="186"/>
      <c r="AJ198" s="187"/>
      <c r="AK198" s="188"/>
      <c r="AL198" s="189"/>
      <c r="AM198" s="186"/>
      <c r="AN198" s="187"/>
      <c r="AO198" s="188"/>
      <c r="AP198" s="189"/>
      <c r="AQ198" s="186"/>
      <c r="AR198" s="187"/>
      <c r="AS198" s="188"/>
      <c r="AT198" s="189"/>
      <c r="AU198" s="186"/>
      <c r="AV198" s="187"/>
      <c r="AW198" s="188"/>
      <c r="AX198" s="189"/>
      <c r="AY198" s="186"/>
      <c r="AZ198" s="187"/>
      <c r="BA198" s="188"/>
      <c r="BB198" s="189"/>
      <c r="BC198" s="186"/>
      <c r="BD198" s="187"/>
      <c r="BE198" s="188"/>
      <c r="BF198" s="189"/>
      <c r="BG198" s="186"/>
      <c r="BH198" s="187"/>
      <c r="BI198" s="188"/>
      <c r="BJ198" s="189"/>
      <c r="BK198" s="186"/>
      <c r="BL198" s="187"/>
      <c r="BM198" s="188"/>
      <c r="BN198" s="189"/>
      <c r="BO198" s="186"/>
      <c r="BP198" s="187"/>
      <c r="BQ198" s="188"/>
      <c r="BR198" s="189"/>
      <c r="BS198" s="186"/>
      <c r="BT198" s="187"/>
      <c r="BU198" s="188"/>
      <c r="BV198" s="189"/>
      <c r="BW198" s="186"/>
      <c r="BX198" s="187"/>
      <c r="BY198" s="188"/>
      <c r="BZ198" s="189"/>
      <c r="CA198" s="186"/>
      <c r="CB198" s="190"/>
      <c r="CC198" s="190"/>
      <c r="CD198" s="82">
        <f t="shared" si="526"/>
        <v>0</v>
      </c>
      <c r="CE198" s="82">
        <f t="shared" si="527"/>
        <v>0</v>
      </c>
      <c r="CF198" s="82">
        <f t="shared" si="528"/>
        <v>0</v>
      </c>
      <c r="CG198" s="82">
        <f t="shared" si="529"/>
        <v>0</v>
      </c>
      <c r="CH198" s="82">
        <f t="shared" si="530"/>
        <v>0</v>
      </c>
      <c r="CI198" s="82">
        <f t="shared" si="531"/>
        <v>0</v>
      </c>
      <c r="CJ198" s="82">
        <f t="shared" si="532"/>
        <v>0</v>
      </c>
      <c r="CK198" s="82">
        <f t="shared" si="533"/>
        <v>0</v>
      </c>
      <c r="CL198" s="82">
        <f t="shared" si="534"/>
        <v>0</v>
      </c>
      <c r="CM198" s="82">
        <f t="shared" si="535"/>
        <v>0</v>
      </c>
      <c r="CN198" s="82">
        <f t="shared" si="536"/>
        <v>0</v>
      </c>
      <c r="CO198" s="82">
        <f t="shared" si="537"/>
        <v>0</v>
      </c>
      <c r="CP198" s="82">
        <f t="shared" si="538"/>
        <v>0</v>
      </c>
      <c r="CQ198" s="82">
        <f t="shared" si="539"/>
        <v>0</v>
      </c>
      <c r="CR198" s="82">
        <f t="shared" si="540"/>
        <v>0</v>
      </c>
      <c r="CS198" s="82">
        <f t="shared" si="541"/>
        <v>0</v>
      </c>
      <c r="CT198" s="82">
        <f t="shared" si="542"/>
        <v>0</v>
      </c>
      <c r="CU198" s="82">
        <f t="shared" si="543"/>
        <v>0</v>
      </c>
      <c r="CV198" s="82">
        <f t="shared" si="544"/>
        <v>0</v>
      </c>
      <c r="CW198" s="82">
        <f t="shared" si="545"/>
        <v>0</v>
      </c>
      <c r="CX198" s="82">
        <f t="shared" si="546"/>
        <v>0</v>
      </c>
      <c r="CY198" s="82">
        <f t="shared" si="547"/>
        <v>0</v>
      </c>
      <c r="CZ198" s="82">
        <f t="shared" si="548"/>
        <v>0</v>
      </c>
      <c r="DA198" s="82">
        <f t="shared" si="549"/>
        <v>0</v>
      </c>
      <c r="DB198" s="82">
        <f t="shared" si="550"/>
        <v>0</v>
      </c>
      <c r="DC198" s="82">
        <f t="shared" si="551"/>
        <v>0</v>
      </c>
      <c r="DD198" s="82">
        <f t="shared" si="552"/>
        <v>0</v>
      </c>
      <c r="DE198" s="82">
        <f t="shared" si="553"/>
        <v>0</v>
      </c>
      <c r="DF198" s="82">
        <f t="shared" si="554"/>
        <v>0</v>
      </c>
      <c r="DG198" s="82">
        <f t="shared" si="555"/>
        <v>0</v>
      </c>
      <c r="DH198" s="82">
        <f t="shared" si="556"/>
        <v>0</v>
      </c>
      <c r="DI198" s="82">
        <f t="shared" si="557"/>
        <v>0</v>
      </c>
      <c r="DJ198" s="82">
        <f t="shared" si="558"/>
        <v>0</v>
      </c>
      <c r="DK198" s="82">
        <f t="shared" si="559"/>
        <v>0</v>
      </c>
      <c r="DL198" s="82">
        <f t="shared" si="560"/>
        <v>0</v>
      </c>
      <c r="DM198" s="82">
        <f t="shared" si="561"/>
        <v>0</v>
      </c>
      <c r="DN198" s="82">
        <f t="shared" si="562"/>
        <v>0</v>
      </c>
      <c r="DO198" s="82">
        <f t="shared" si="563"/>
        <v>0</v>
      </c>
      <c r="DP198" s="82">
        <f t="shared" si="564"/>
        <v>0</v>
      </c>
      <c r="DQ198" s="82">
        <f t="shared" si="565"/>
        <v>0</v>
      </c>
      <c r="DR198" s="82">
        <f t="shared" si="566"/>
        <v>0</v>
      </c>
      <c r="DS198" s="82">
        <f t="shared" si="567"/>
        <v>0</v>
      </c>
      <c r="DT198" s="82">
        <f t="shared" si="568"/>
        <v>0</v>
      </c>
      <c r="DU198" s="82">
        <f t="shared" si="569"/>
        <v>0</v>
      </c>
      <c r="DV198" s="82">
        <f t="shared" si="570"/>
        <v>0</v>
      </c>
      <c r="DW198" s="82">
        <f t="shared" si="571"/>
        <v>0</v>
      </c>
      <c r="DX198" s="82">
        <f t="shared" si="572"/>
        <v>0</v>
      </c>
      <c r="DY198" s="82">
        <f t="shared" si="573"/>
        <v>0</v>
      </c>
      <c r="DZ198" s="82">
        <f t="shared" si="574"/>
        <v>0</v>
      </c>
      <c r="EA198" s="82">
        <f t="shared" si="575"/>
        <v>0</v>
      </c>
      <c r="EB198" s="82">
        <f t="shared" si="576"/>
        <v>0</v>
      </c>
      <c r="EC198" s="82">
        <f t="shared" si="577"/>
        <v>0</v>
      </c>
      <c r="ED198" s="82">
        <f t="shared" si="578"/>
        <v>0</v>
      </c>
      <c r="EE198" s="82">
        <f t="shared" si="579"/>
        <v>0</v>
      </c>
      <c r="EF198" s="82">
        <f t="shared" si="580"/>
        <v>0</v>
      </c>
      <c r="EG198" s="82">
        <f t="shared" si="581"/>
        <v>0</v>
      </c>
      <c r="EH198" s="82">
        <f t="shared" si="582"/>
        <v>0</v>
      </c>
      <c r="EI198" s="82">
        <f t="shared" si="583"/>
        <v>0</v>
      </c>
      <c r="EJ198" s="82">
        <f t="shared" si="584"/>
        <v>0</v>
      </c>
      <c r="EK198" s="82">
        <f t="shared" si="585"/>
        <v>0</v>
      </c>
      <c r="EL198" s="82">
        <f t="shared" si="586"/>
        <v>0</v>
      </c>
      <c r="EM198" s="82">
        <f t="shared" si="587"/>
        <v>0</v>
      </c>
      <c r="EN198" s="82">
        <f t="shared" si="588"/>
        <v>0</v>
      </c>
      <c r="EO198" s="82">
        <f t="shared" si="589"/>
        <v>0</v>
      </c>
      <c r="EP198" s="82">
        <f t="shared" si="590"/>
        <v>0</v>
      </c>
      <c r="EQ198" s="82">
        <f t="shared" si="591"/>
        <v>0</v>
      </c>
      <c r="ER198" s="82">
        <f t="shared" si="592"/>
        <v>0</v>
      </c>
      <c r="ES198" s="82">
        <f t="shared" si="593"/>
        <v>0</v>
      </c>
      <c r="ET198" s="82">
        <f t="shared" si="594"/>
        <v>0</v>
      </c>
      <c r="EU198" s="82">
        <f t="shared" si="595"/>
        <v>0</v>
      </c>
      <c r="EV198" s="82">
        <f t="shared" si="596"/>
        <v>0</v>
      </c>
      <c r="EW198" s="82">
        <f t="shared" si="597"/>
        <v>0</v>
      </c>
      <c r="EX198" s="82">
        <f t="shared" si="598"/>
        <v>0</v>
      </c>
      <c r="EY198" s="111">
        <f t="shared" si="599"/>
        <v>0</v>
      </c>
      <c r="EZ198" s="143" t="e">
        <f t="shared" ca="1" si="600"/>
        <v>#N/A</v>
      </c>
      <c r="FA198" s="112" t="e">
        <f t="shared" ca="1" si="601"/>
        <v>#N/A</v>
      </c>
      <c r="FB198" s="113" t="e">
        <f t="shared" ca="1" si="602"/>
        <v>#N/A</v>
      </c>
      <c r="FC198" s="114" t="e">
        <f t="shared" ca="1" si="603"/>
        <v>#N/A</v>
      </c>
      <c r="FD198" s="115">
        <f t="shared" ca="1" si="604"/>
        <v>0</v>
      </c>
      <c r="FE198" s="116" t="e">
        <f t="shared" ca="1" si="605"/>
        <v>#N/A</v>
      </c>
      <c r="FF198" s="117" t="e">
        <f t="shared" ca="1" si="606"/>
        <v>#N/A</v>
      </c>
      <c r="FG198" s="71">
        <f t="shared" si="607"/>
        <v>0</v>
      </c>
      <c r="FH198" s="530" t="e">
        <f t="shared" ca="1" si="608"/>
        <v>#N/A</v>
      </c>
      <c r="FI198" s="72"/>
      <c r="FJ198" s="72"/>
      <c r="FK198" s="72"/>
      <c r="FM198" s="421">
        <f t="shared" si="609"/>
        <v>0</v>
      </c>
      <c r="FN198" s="422" t="e">
        <f t="shared" ca="1" si="610"/>
        <v>#N/A</v>
      </c>
      <c r="FO198" s="423">
        <f t="shared" ca="1" si="620"/>
        <v>0</v>
      </c>
      <c r="FP198" s="423">
        <f t="shared" ca="1" si="620"/>
        <v>0</v>
      </c>
      <c r="FQ198" s="423">
        <f t="shared" ca="1" si="620"/>
        <v>0</v>
      </c>
      <c r="FR198" s="423">
        <f t="shared" ca="1" si="620"/>
        <v>0</v>
      </c>
      <c r="FS198" s="423">
        <f t="shared" ca="1" si="620"/>
        <v>0</v>
      </c>
      <c r="FT198" s="423">
        <f t="shared" ca="1" si="620"/>
        <v>0</v>
      </c>
      <c r="FU198" s="423">
        <f t="shared" ca="1" si="620"/>
        <v>0</v>
      </c>
      <c r="FV198" s="423">
        <f t="shared" ca="1" si="620"/>
        <v>0</v>
      </c>
      <c r="FW198" s="423">
        <f t="shared" ca="1" si="620"/>
        <v>0</v>
      </c>
      <c r="FX198" s="423">
        <f t="shared" ca="1" si="620"/>
        <v>0</v>
      </c>
      <c r="FY198" s="423">
        <f t="shared" ca="1" si="620"/>
        <v>0</v>
      </c>
      <c r="FZ198" s="423">
        <f t="shared" ca="1" si="620"/>
        <v>0</v>
      </c>
      <c r="GA198" s="423">
        <f t="shared" ca="1" si="620"/>
        <v>0</v>
      </c>
      <c r="GB198" s="423">
        <f t="shared" ca="1" si="620"/>
        <v>0</v>
      </c>
      <c r="GC198" s="423">
        <f t="shared" ca="1" si="620"/>
        <v>0</v>
      </c>
      <c r="GD198" s="423">
        <f t="shared" ca="1" si="620"/>
        <v>0</v>
      </c>
      <c r="GE198" s="423">
        <f t="shared" ca="1" si="618"/>
        <v>0</v>
      </c>
      <c r="GF198" s="423">
        <f t="shared" ca="1" si="618"/>
        <v>0</v>
      </c>
      <c r="GG198" s="423">
        <f t="shared" ca="1" si="618"/>
        <v>0</v>
      </c>
      <c r="GH198" s="423">
        <f t="shared" ca="1" si="618"/>
        <v>0</v>
      </c>
      <c r="GI198" s="423">
        <f t="shared" ca="1" si="618"/>
        <v>0</v>
      </c>
      <c r="GJ198" s="423">
        <f t="shared" ca="1" si="618"/>
        <v>0</v>
      </c>
      <c r="GK198" s="423">
        <f t="shared" ca="1" si="618"/>
        <v>0</v>
      </c>
      <c r="GL198" s="423">
        <f t="shared" ca="1" si="618"/>
        <v>0</v>
      </c>
      <c r="GM198" s="423">
        <f t="shared" ca="1" si="618"/>
        <v>0</v>
      </c>
      <c r="GN198" s="423">
        <f t="shared" ca="1" si="618"/>
        <v>0</v>
      </c>
      <c r="GO198" s="423">
        <f t="shared" ca="1" si="618"/>
        <v>0</v>
      </c>
      <c r="GP198" s="423">
        <f t="shared" ca="1" si="618"/>
        <v>0</v>
      </c>
      <c r="GQ198" s="423">
        <f t="shared" ca="1" si="618"/>
        <v>0</v>
      </c>
      <c r="GR198" s="423">
        <f t="shared" ca="1" si="618"/>
        <v>0</v>
      </c>
      <c r="GS198" s="423">
        <f t="shared" ca="1" si="616"/>
        <v>0</v>
      </c>
      <c r="GT198" s="423">
        <f t="shared" ca="1" si="616"/>
        <v>0</v>
      </c>
      <c r="GU198" s="423">
        <f t="shared" ca="1" si="616"/>
        <v>0</v>
      </c>
      <c r="GV198" s="423">
        <f t="shared" ca="1" si="616"/>
        <v>0</v>
      </c>
      <c r="GW198" s="423">
        <f t="shared" ca="1" si="616"/>
        <v>0</v>
      </c>
      <c r="GX198" s="423">
        <f t="shared" ca="1" si="616"/>
        <v>0</v>
      </c>
      <c r="GY198" s="423">
        <f t="shared" ca="1" si="616"/>
        <v>0</v>
      </c>
      <c r="GZ198" s="423">
        <f t="shared" ca="1" si="616"/>
        <v>0</v>
      </c>
      <c r="HA198" s="423">
        <f t="shared" ca="1" si="616"/>
        <v>0</v>
      </c>
      <c r="HB198" s="423">
        <f t="shared" ca="1" si="616"/>
        <v>0</v>
      </c>
      <c r="HC198" s="423">
        <f t="shared" ca="1" si="616"/>
        <v>0</v>
      </c>
      <c r="HD198" s="423">
        <f t="shared" ca="1" si="616"/>
        <v>0</v>
      </c>
      <c r="HE198" s="423">
        <f t="shared" ca="1" si="616"/>
        <v>0</v>
      </c>
      <c r="HF198" s="423">
        <f t="shared" ca="1" si="616"/>
        <v>0</v>
      </c>
      <c r="HG198" s="423">
        <f t="shared" ca="1" si="616"/>
        <v>0</v>
      </c>
      <c r="HH198" s="423">
        <f t="shared" ca="1" si="616"/>
        <v>0</v>
      </c>
      <c r="HI198" s="423">
        <f t="shared" ca="1" si="619"/>
        <v>0</v>
      </c>
      <c r="HJ198" s="423">
        <f t="shared" ca="1" si="617"/>
        <v>0</v>
      </c>
      <c r="HK198" s="423">
        <f t="shared" ca="1" si="617"/>
        <v>0</v>
      </c>
      <c r="HL198" s="423">
        <f t="shared" ca="1" si="617"/>
        <v>0</v>
      </c>
      <c r="HM198" s="423">
        <f t="shared" ca="1" si="617"/>
        <v>0</v>
      </c>
      <c r="HN198" s="423">
        <f t="shared" ca="1" si="617"/>
        <v>0</v>
      </c>
      <c r="HO198" s="423">
        <f t="shared" ca="1" si="617"/>
        <v>0</v>
      </c>
      <c r="HP198" s="423">
        <f t="shared" ca="1" si="617"/>
        <v>0</v>
      </c>
      <c r="HQ198" s="423">
        <f t="shared" ca="1" si="617"/>
        <v>0</v>
      </c>
      <c r="HR198" s="423">
        <f t="shared" ca="1" si="617"/>
        <v>0</v>
      </c>
      <c r="HS198" s="423">
        <f t="shared" ca="1" si="617"/>
        <v>0</v>
      </c>
      <c r="HT198" s="423">
        <f t="shared" ca="1" si="617"/>
        <v>0</v>
      </c>
    </row>
    <row r="199" spans="1:228" x14ac:dyDescent="0.2">
      <c r="A199" s="62">
        <f t="shared" si="516"/>
        <v>188</v>
      </c>
      <c r="B199" s="60">
        <f>Spaces_Sum!C244</f>
        <v>0</v>
      </c>
      <c r="C199" s="62" t="str">
        <f>Spaces_Sum!D244</f>
        <v>0</v>
      </c>
      <c r="D199" s="62" t="e">
        <f ca="1">Spaces_Sum!I244</f>
        <v>#N/A</v>
      </c>
      <c r="F199" s="110" t="e">
        <f ca="1">Spaces_Sum!M244</f>
        <v>#N/A</v>
      </c>
      <c r="G199" s="110" t="e">
        <f ca="1">Spaces_Sum!J244</f>
        <v>#N/A</v>
      </c>
      <c r="H199" s="532"/>
      <c r="I199" s="185"/>
      <c r="J199" s="185"/>
      <c r="K199" s="186"/>
      <c r="L199" s="187"/>
      <c r="M199" s="188"/>
      <c r="N199" s="189"/>
      <c r="O199" s="186"/>
      <c r="P199" s="187"/>
      <c r="Q199" s="188"/>
      <c r="R199" s="189"/>
      <c r="S199" s="186"/>
      <c r="T199" s="187"/>
      <c r="U199" s="188"/>
      <c r="V199" s="189"/>
      <c r="W199" s="186"/>
      <c r="X199" s="187"/>
      <c r="Y199" s="188"/>
      <c r="Z199" s="189"/>
      <c r="AA199" s="186"/>
      <c r="AB199" s="187"/>
      <c r="AC199" s="188"/>
      <c r="AD199" s="189"/>
      <c r="AE199" s="186"/>
      <c r="AF199" s="187"/>
      <c r="AG199" s="188"/>
      <c r="AH199" s="189"/>
      <c r="AI199" s="186"/>
      <c r="AJ199" s="187"/>
      <c r="AK199" s="188"/>
      <c r="AL199" s="189"/>
      <c r="AM199" s="186"/>
      <c r="AN199" s="187"/>
      <c r="AO199" s="188"/>
      <c r="AP199" s="189"/>
      <c r="AQ199" s="186"/>
      <c r="AR199" s="187"/>
      <c r="AS199" s="188"/>
      <c r="AT199" s="189"/>
      <c r="AU199" s="186"/>
      <c r="AV199" s="187"/>
      <c r="AW199" s="188"/>
      <c r="AX199" s="189"/>
      <c r="AY199" s="186"/>
      <c r="AZ199" s="187"/>
      <c r="BA199" s="188"/>
      <c r="BB199" s="189"/>
      <c r="BC199" s="186"/>
      <c r="BD199" s="187"/>
      <c r="BE199" s="188"/>
      <c r="BF199" s="189"/>
      <c r="BG199" s="186"/>
      <c r="BH199" s="187"/>
      <c r="BI199" s="188"/>
      <c r="BJ199" s="189"/>
      <c r="BK199" s="186"/>
      <c r="BL199" s="187"/>
      <c r="BM199" s="188"/>
      <c r="BN199" s="189"/>
      <c r="BO199" s="186"/>
      <c r="BP199" s="187"/>
      <c r="BQ199" s="188"/>
      <c r="BR199" s="189"/>
      <c r="BS199" s="186"/>
      <c r="BT199" s="187"/>
      <c r="BU199" s="188"/>
      <c r="BV199" s="189"/>
      <c r="BW199" s="186"/>
      <c r="BX199" s="187"/>
      <c r="BY199" s="188"/>
      <c r="BZ199" s="189"/>
      <c r="CA199" s="186"/>
      <c r="CB199" s="190"/>
      <c r="CC199" s="190"/>
      <c r="CD199" s="82">
        <f t="shared" si="526"/>
        <v>0</v>
      </c>
      <c r="CE199" s="82">
        <f t="shared" si="527"/>
        <v>0</v>
      </c>
      <c r="CF199" s="82">
        <f t="shared" si="528"/>
        <v>0</v>
      </c>
      <c r="CG199" s="82">
        <f t="shared" si="529"/>
        <v>0</v>
      </c>
      <c r="CH199" s="82">
        <f t="shared" si="530"/>
        <v>0</v>
      </c>
      <c r="CI199" s="82">
        <f t="shared" si="531"/>
        <v>0</v>
      </c>
      <c r="CJ199" s="82">
        <f t="shared" si="532"/>
        <v>0</v>
      </c>
      <c r="CK199" s="82">
        <f t="shared" si="533"/>
        <v>0</v>
      </c>
      <c r="CL199" s="82">
        <f t="shared" si="534"/>
        <v>0</v>
      </c>
      <c r="CM199" s="82">
        <f t="shared" si="535"/>
        <v>0</v>
      </c>
      <c r="CN199" s="82">
        <f t="shared" si="536"/>
        <v>0</v>
      </c>
      <c r="CO199" s="82">
        <f t="shared" si="537"/>
        <v>0</v>
      </c>
      <c r="CP199" s="82">
        <f t="shared" si="538"/>
        <v>0</v>
      </c>
      <c r="CQ199" s="82">
        <f t="shared" si="539"/>
        <v>0</v>
      </c>
      <c r="CR199" s="82">
        <f t="shared" si="540"/>
        <v>0</v>
      </c>
      <c r="CS199" s="82">
        <f t="shared" si="541"/>
        <v>0</v>
      </c>
      <c r="CT199" s="82">
        <f t="shared" si="542"/>
        <v>0</v>
      </c>
      <c r="CU199" s="82">
        <f t="shared" si="543"/>
        <v>0</v>
      </c>
      <c r="CV199" s="82">
        <f t="shared" si="544"/>
        <v>0</v>
      </c>
      <c r="CW199" s="82">
        <f t="shared" si="545"/>
        <v>0</v>
      </c>
      <c r="CX199" s="82">
        <f t="shared" si="546"/>
        <v>0</v>
      </c>
      <c r="CY199" s="82">
        <f t="shared" si="547"/>
        <v>0</v>
      </c>
      <c r="CZ199" s="82">
        <f t="shared" si="548"/>
        <v>0</v>
      </c>
      <c r="DA199" s="82">
        <f t="shared" si="549"/>
        <v>0</v>
      </c>
      <c r="DB199" s="82">
        <f t="shared" si="550"/>
        <v>0</v>
      </c>
      <c r="DC199" s="82">
        <f t="shared" si="551"/>
        <v>0</v>
      </c>
      <c r="DD199" s="82">
        <f t="shared" si="552"/>
        <v>0</v>
      </c>
      <c r="DE199" s="82">
        <f t="shared" si="553"/>
        <v>0</v>
      </c>
      <c r="DF199" s="82">
        <f t="shared" si="554"/>
        <v>0</v>
      </c>
      <c r="DG199" s="82">
        <f t="shared" si="555"/>
        <v>0</v>
      </c>
      <c r="DH199" s="82">
        <f t="shared" si="556"/>
        <v>0</v>
      </c>
      <c r="DI199" s="82">
        <f t="shared" si="557"/>
        <v>0</v>
      </c>
      <c r="DJ199" s="82">
        <f t="shared" si="558"/>
        <v>0</v>
      </c>
      <c r="DK199" s="82">
        <f t="shared" si="559"/>
        <v>0</v>
      </c>
      <c r="DL199" s="82">
        <f t="shared" si="560"/>
        <v>0</v>
      </c>
      <c r="DM199" s="82">
        <f t="shared" si="561"/>
        <v>0</v>
      </c>
      <c r="DN199" s="82">
        <f t="shared" si="562"/>
        <v>0</v>
      </c>
      <c r="DO199" s="82">
        <f t="shared" si="563"/>
        <v>0</v>
      </c>
      <c r="DP199" s="82">
        <f t="shared" si="564"/>
        <v>0</v>
      </c>
      <c r="DQ199" s="82">
        <f t="shared" si="565"/>
        <v>0</v>
      </c>
      <c r="DR199" s="82">
        <f t="shared" si="566"/>
        <v>0</v>
      </c>
      <c r="DS199" s="82">
        <f t="shared" si="567"/>
        <v>0</v>
      </c>
      <c r="DT199" s="82">
        <f t="shared" si="568"/>
        <v>0</v>
      </c>
      <c r="DU199" s="82">
        <f t="shared" si="569"/>
        <v>0</v>
      </c>
      <c r="DV199" s="82">
        <f t="shared" si="570"/>
        <v>0</v>
      </c>
      <c r="DW199" s="82">
        <f t="shared" si="571"/>
        <v>0</v>
      </c>
      <c r="DX199" s="82">
        <f t="shared" si="572"/>
        <v>0</v>
      </c>
      <c r="DY199" s="82">
        <f t="shared" si="573"/>
        <v>0</v>
      </c>
      <c r="DZ199" s="82">
        <f t="shared" si="574"/>
        <v>0</v>
      </c>
      <c r="EA199" s="82">
        <f t="shared" si="575"/>
        <v>0</v>
      </c>
      <c r="EB199" s="82">
        <f t="shared" si="576"/>
        <v>0</v>
      </c>
      <c r="EC199" s="82">
        <f t="shared" si="577"/>
        <v>0</v>
      </c>
      <c r="ED199" s="82">
        <f t="shared" si="578"/>
        <v>0</v>
      </c>
      <c r="EE199" s="82">
        <f t="shared" si="579"/>
        <v>0</v>
      </c>
      <c r="EF199" s="82">
        <f t="shared" si="580"/>
        <v>0</v>
      </c>
      <c r="EG199" s="82">
        <f t="shared" si="581"/>
        <v>0</v>
      </c>
      <c r="EH199" s="82">
        <f t="shared" si="582"/>
        <v>0</v>
      </c>
      <c r="EI199" s="82">
        <f t="shared" si="583"/>
        <v>0</v>
      </c>
      <c r="EJ199" s="82">
        <f t="shared" si="584"/>
        <v>0</v>
      </c>
      <c r="EK199" s="82">
        <f t="shared" si="585"/>
        <v>0</v>
      </c>
      <c r="EL199" s="82">
        <f t="shared" si="586"/>
        <v>0</v>
      </c>
      <c r="EM199" s="82">
        <f t="shared" si="587"/>
        <v>0</v>
      </c>
      <c r="EN199" s="82">
        <f t="shared" si="588"/>
        <v>0</v>
      </c>
      <c r="EO199" s="82">
        <f t="shared" si="589"/>
        <v>0</v>
      </c>
      <c r="EP199" s="82">
        <f t="shared" si="590"/>
        <v>0</v>
      </c>
      <c r="EQ199" s="82">
        <f t="shared" si="591"/>
        <v>0</v>
      </c>
      <c r="ER199" s="82">
        <f t="shared" si="592"/>
        <v>0</v>
      </c>
      <c r="ES199" s="82">
        <f t="shared" si="593"/>
        <v>0</v>
      </c>
      <c r="ET199" s="82">
        <f t="shared" si="594"/>
        <v>0</v>
      </c>
      <c r="EU199" s="82">
        <f t="shared" si="595"/>
        <v>0</v>
      </c>
      <c r="EV199" s="82">
        <f t="shared" si="596"/>
        <v>0</v>
      </c>
      <c r="EW199" s="82">
        <f t="shared" si="597"/>
        <v>0</v>
      </c>
      <c r="EX199" s="82">
        <f t="shared" si="598"/>
        <v>0</v>
      </c>
      <c r="EY199" s="111">
        <f t="shared" si="599"/>
        <v>0</v>
      </c>
      <c r="EZ199" s="143" t="e">
        <f t="shared" ca="1" si="600"/>
        <v>#N/A</v>
      </c>
      <c r="FA199" s="112" t="e">
        <f t="shared" ca="1" si="601"/>
        <v>#N/A</v>
      </c>
      <c r="FB199" s="113" t="e">
        <f t="shared" ca="1" si="602"/>
        <v>#N/A</v>
      </c>
      <c r="FC199" s="114" t="e">
        <f t="shared" ca="1" si="603"/>
        <v>#N/A</v>
      </c>
      <c r="FD199" s="115">
        <f t="shared" ca="1" si="604"/>
        <v>0</v>
      </c>
      <c r="FE199" s="116" t="e">
        <f t="shared" ca="1" si="605"/>
        <v>#N/A</v>
      </c>
      <c r="FF199" s="117" t="e">
        <f t="shared" ca="1" si="606"/>
        <v>#N/A</v>
      </c>
      <c r="FG199" s="71">
        <f t="shared" si="607"/>
        <v>0</v>
      </c>
      <c r="FH199" s="530" t="e">
        <f t="shared" ca="1" si="608"/>
        <v>#N/A</v>
      </c>
      <c r="FI199" s="72"/>
      <c r="FJ199" s="72"/>
      <c r="FK199" s="72"/>
      <c r="FM199" s="421">
        <f t="shared" si="609"/>
        <v>0</v>
      </c>
      <c r="FN199" s="422" t="e">
        <f t="shared" ca="1" si="610"/>
        <v>#N/A</v>
      </c>
      <c r="FO199" s="423">
        <f t="shared" ca="1" si="620"/>
        <v>0</v>
      </c>
      <c r="FP199" s="423">
        <f t="shared" ca="1" si="620"/>
        <v>0</v>
      </c>
      <c r="FQ199" s="423">
        <f t="shared" ca="1" si="620"/>
        <v>0</v>
      </c>
      <c r="FR199" s="423">
        <f t="shared" ca="1" si="620"/>
        <v>0</v>
      </c>
      <c r="FS199" s="423">
        <f t="shared" ca="1" si="620"/>
        <v>0</v>
      </c>
      <c r="FT199" s="423">
        <f t="shared" ca="1" si="620"/>
        <v>0</v>
      </c>
      <c r="FU199" s="423">
        <f t="shared" ca="1" si="620"/>
        <v>0</v>
      </c>
      <c r="FV199" s="423">
        <f t="shared" ca="1" si="620"/>
        <v>0</v>
      </c>
      <c r="FW199" s="423">
        <f t="shared" ca="1" si="620"/>
        <v>0</v>
      </c>
      <c r="FX199" s="423">
        <f t="shared" ca="1" si="620"/>
        <v>0</v>
      </c>
      <c r="FY199" s="423">
        <f t="shared" ca="1" si="620"/>
        <v>0</v>
      </c>
      <c r="FZ199" s="423">
        <f t="shared" ca="1" si="620"/>
        <v>0</v>
      </c>
      <c r="GA199" s="423">
        <f t="shared" ca="1" si="620"/>
        <v>0</v>
      </c>
      <c r="GB199" s="423">
        <f t="shared" ca="1" si="620"/>
        <v>0</v>
      </c>
      <c r="GC199" s="423">
        <f t="shared" ca="1" si="620"/>
        <v>0</v>
      </c>
      <c r="GD199" s="423">
        <f t="shared" ca="1" si="620"/>
        <v>0</v>
      </c>
      <c r="GE199" s="423">
        <f t="shared" ca="1" si="618"/>
        <v>0</v>
      </c>
      <c r="GF199" s="423">
        <f t="shared" ca="1" si="618"/>
        <v>0</v>
      </c>
      <c r="GG199" s="423">
        <f t="shared" ca="1" si="618"/>
        <v>0</v>
      </c>
      <c r="GH199" s="423">
        <f t="shared" ca="1" si="618"/>
        <v>0</v>
      </c>
      <c r="GI199" s="423">
        <f t="shared" ca="1" si="618"/>
        <v>0</v>
      </c>
      <c r="GJ199" s="423">
        <f t="shared" ca="1" si="618"/>
        <v>0</v>
      </c>
      <c r="GK199" s="423">
        <f t="shared" ca="1" si="618"/>
        <v>0</v>
      </c>
      <c r="GL199" s="423">
        <f t="shared" ca="1" si="618"/>
        <v>0</v>
      </c>
      <c r="GM199" s="423">
        <f t="shared" ca="1" si="618"/>
        <v>0</v>
      </c>
      <c r="GN199" s="423">
        <f t="shared" ca="1" si="618"/>
        <v>0</v>
      </c>
      <c r="GO199" s="423">
        <f t="shared" ca="1" si="618"/>
        <v>0</v>
      </c>
      <c r="GP199" s="423">
        <f t="shared" ca="1" si="618"/>
        <v>0</v>
      </c>
      <c r="GQ199" s="423">
        <f t="shared" ca="1" si="618"/>
        <v>0</v>
      </c>
      <c r="GR199" s="423">
        <f t="shared" ca="1" si="618"/>
        <v>0</v>
      </c>
      <c r="GS199" s="423">
        <f t="shared" ca="1" si="616"/>
        <v>0</v>
      </c>
      <c r="GT199" s="423">
        <f t="shared" ca="1" si="616"/>
        <v>0</v>
      </c>
      <c r="GU199" s="423">
        <f t="shared" ca="1" si="616"/>
        <v>0</v>
      </c>
      <c r="GV199" s="423">
        <f t="shared" ca="1" si="616"/>
        <v>0</v>
      </c>
      <c r="GW199" s="423">
        <f t="shared" ca="1" si="616"/>
        <v>0</v>
      </c>
      <c r="GX199" s="423">
        <f t="shared" ca="1" si="616"/>
        <v>0</v>
      </c>
      <c r="GY199" s="423">
        <f t="shared" ca="1" si="616"/>
        <v>0</v>
      </c>
      <c r="GZ199" s="423">
        <f t="shared" ca="1" si="616"/>
        <v>0</v>
      </c>
      <c r="HA199" s="423">
        <f t="shared" ca="1" si="616"/>
        <v>0</v>
      </c>
      <c r="HB199" s="423">
        <f t="shared" ca="1" si="616"/>
        <v>0</v>
      </c>
      <c r="HC199" s="423">
        <f t="shared" ca="1" si="616"/>
        <v>0</v>
      </c>
      <c r="HD199" s="423">
        <f t="shared" ca="1" si="616"/>
        <v>0</v>
      </c>
      <c r="HE199" s="423">
        <f t="shared" ca="1" si="616"/>
        <v>0</v>
      </c>
      <c r="HF199" s="423">
        <f t="shared" ca="1" si="616"/>
        <v>0</v>
      </c>
      <c r="HG199" s="423">
        <f t="shared" ca="1" si="616"/>
        <v>0</v>
      </c>
      <c r="HH199" s="423">
        <f t="shared" ca="1" si="616"/>
        <v>0</v>
      </c>
      <c r="HI199" s="423">
        <f t="shared" ca="1" si="619"/>
        <v>0</v>
      </c>
      <c r="HJ199" s="423">
        <f t="shared" ca="1" si="617"/>
        <v>0</v>
      </c>
      <c r="HK199" s="423">
        <f t="shared" ca="1" si="617"/>
        <v>0</v>
      </c>
      <c r="HL199" s="423">
        <f t="shared" ca="1" si="617"/>
        <v>0</v>
      </c>
      <c r="HM199" s="423">
        <f t="shared" ca="1" si="617"/>
        <v>0</v>
      </c>
      <c r="HN199" s="423">
        <f t="shared" ca="1" si="617"/>
        <v>0</v>
      </c>
      <c r="HO199" s="423">
        <f t="shared" ca="1" si="617"/>
        <v>0</v>
      </c>
      <c r="HP199" s="423">
        <f t="shared" ca="1" si="617"/>
        <v>0</v>
      </c>
      <c r="HQ199" s="423">
        <f t="shared" ca="1" si="617"/>
        <v>0</v>
      </c>
      <c r="HR199" s="423">
        <f t="shared" ca="1" si="617"/>
        <v>0</v>
      </c>
      <c r="HS199" s="423">
        <f t="shared" ca="1" si="617"/>
        <v>0</v>
      </c>
      <c r="HT199" s="423">
        <f t="shared" ca="1" si="617"/>
        <v>0</v>
      </c>
    </row>
    <row r="200" spans="1:228" x14ac:dyDescent="0.2">
      <c r="A200" s="62">
        <f t="shared" si="516"/>
        <v>189</v>
      </c>
      <c r="B200" s="60">
        <f>Spaces_Sum!C245</f>
        <v>0</v>
      </c>
      <c r="C200" s="62" t="str">
        <f>Spaces_Sum!D245</f>
        <v>0</v>
      </c>
      <c r="D200" s="62" t="e">
        <f ca="1">Spaces_Sum!I245</f>
        <v>#N/A</v>
      </c>
      <c r="F200" s="110" t="e">
        <f ca="1">Spaces_Sum!M245</f>
        <v>#N/A</v>
      </c>
      <c r="G200" s="110" t="e">
        <f ca="1">Spaces_Sum!J245</f>
        <v>#N/A</v>
      </c>
      <c r="H200" s="532"/>
      <c r="I200" s="185"/>
      <c r="J200" s="185"/>
      <c r="K200" s="186"/>
      <c r="L200" s="187"/>
      <c r="M200" s="188"/>
      <c r="N200" s="189"/>
      <c r="O200" s="186"/>
      <c r="P200" s="187"/>
      <c r="Q200" s="188"/>
      <c r="R200" s="189"/>
      <c r="S200" s="186"/>
      <c r="T200" s="187"/>
      <c r="U200" s="188"/>
      <c r="V200" s="189"/>
      <c r="W200" s="186"/>
      <c r="X200" s="187"/>
      <c r="Y200" s="188"/>
      <c r="Z200" s="189"/>
      <c r="AA200" s="186"/>
      <c r="AB200" s="187"/>
      <c r="AC200" s="188"/>
      <c r="AD200" s="189"/>
      <c r="AE200" s="186"/>
      <c r="AF200" s="187"/>
      <c r="AG200" s="188"/>
      <c r="AH200" s="189"/>
      <c r="AI200" s="186"/>
      <c r="AJ200" s="187"/>
      <c r="AK200" s="188"/>
      <c r="AL200" s="189"/>
      <c r="AM200" s="186"/>
      <c r="AN200" s="187"/>
      <c r="AO200" s="188"/>
      <c r="AP200" s="189"/>
      <c r="AQ200" s="186"/>
      <c r="AR200" s="187"/>
      <c r="AS200" s="188"/>
      <c r="AT200" s="189"/>
      <c r="AU200" s="186"/>
      <c r="AV200" s="187"/>
      <c r="AW200" s="188"/>
      <c r="AX200" s="189"/>
      <c r="AY200" s="186"/>
      <c r="AZ200" s="187"/>
      <c r="BA200" s="188"/>
      <c r="BB200" s="189"/>
      <c r="BC200" s="186"/>
      <c r="BD200" s="187"/>
      <c r="BE200" s="188"/>
      <c r="BF200" s="189"/>
      <c r="BG200" s="186"/>
      <c r="BH200" s="187"/>
      <c r="BI200" s="188"/>
      <c r="BJ200" s="189"/>
      <c r="BK200" s="186"/>
      <c r="BL200" s="187"/>
      <c r="BM200" s="188"/>
      <c r="BN200" s="189"/>
      <c r="BO200" s="186"/>
      <c r="BP200" s="187"/>
      <c r="BQ200" s="188"/>
      <c r="BR200" s="189"/>
      <c r="BS200" s="186"/>
      <c r="BT200" s="187"/>
      <c r="BU200" s="188"/>
      <c r="BV200" s="189"/>
      <c r="BW200" s="186"/>
      <c r="BX200" s="187"/>
      <c r="BY200" s="188"/>
      <c r="BZ200" s="189"/>
      <c r="CA200" s="186"/>
      <c r="CB200" s="190"/>
      <c r="CC200" s="190"/>
      <c r="CD200" s="82">
        <f t="shared" si="526"/>
        <v>0</v>
      </c>
      <c r="CE200" s="82">
        <f t="shared" si="527"/>
        <v>0</v>
      </c>
      <c r="CF200" s="82">
        <f t="shared" si="528"/>
        <v>0</v>
      </c>
      <c r="CG200" s="82">
        <f t="shared" si="529"/>
        <v>0</v>
      </c>
      <c r="CH200" s="82">
        <f t="shared" si="530"/>
        <v>0</v>
      </c>
      <c r="CI200" s="82">
        <f t="shared" si="531"/>
        <v>0</v>
      </c>
      <c r="CJ200" s="82">
        <f t="shared" si="532"/>
        <v>0</v>
      </c>
      <c r="CK200" s="82">
        <f t="shared" si="533"/>
        <v>0</v>
      </c>
      <c r="CL200" s="82">
        <f t="shared" si="534"/>
        <v>0</v>
      </c>
      <c r="CM200" s="82">
        <f t="shared" si="535"/>
        <v>0</v>
      </c>
      <c r="CN200" s="82">
        <f t="shared" si="536"/>
        <v>0</v>
      </c>
      <c r="CO200" s="82">
        <f t="shared" si="537"/>
        <v>0</v>
      </c>
      <c r="CP200" s="82">
        <f t="shared" si="538"/>
        <v>0</v>
      </c>
      <c r="CQ200" s="82">
        <f t="shared" si="539"/>
        <v>0</v>
      </c>
      <c r="CR200" s="82">
        <f t="shared" si="540"/>
        <v>0</v>
      </c>
      <c r="CS200" s="82">
        <f t="shared" si="541"/>
        <v>0</v>
      </c>
      <c r="CT200" s="82">
        <f t="shared" si="542"/>
        <v>0</v>
      </c>
      <c r="CU200" s="82">
        <f t="shared" si="543"/>
        <v>0</v>
      </c>
      <c r="CV200" s="82">
        <f t="shared" si="544"/>
        <v>0</v>
      </c>
      <c r="CW200" s="82">
        <f t="shared" si="545"/>
        <v>0</v>
      </c>
      <c r="CX200" s="82">
        <f t="shared" si="546"/>
        <v>0</v>
      </c>
      <c r="CY200" s="82">
        <f t="shared" si="547"/>
        <v>0</v>
      </c>
      <c r="CZ200" s="82">
        <f t="shared" si="548"/>
        <v>0</v>
      </c>
      <c r="DA200" s="82">
        <f t="shared" si="549"/>
        <v>0</v>
      </c>
      <c r="DB200" s="82">
        <f t="shared" si="550"/>
        <v>0</v>
      </c>
      <c r="DC200" s="82">
        <f t="shared" si="551"/>
        <v>0</v>
      </c>
      <c r="DD200" s="82">
        <f t="shared" si="552"/>
        <v>0</v>
      </c>
      <c r="DE200" s="82">
        <f t="shared" si="553"/>
        <v>0</v>
      </c>
      <c r="DF200" s="82">
        <f t="shared" si="554"/>
        <v>0</v>
      </c>
      <c r="DG200" s="82">
        <f t="shared" si="555"/>
        <v>0</v>
      </c>
      <c r="DH200" s="82">
        <f t="shared" si="556"/>
        <v>0</v>
      </c>
      <c r="DI200" s="82">
        <f t="shared" si="557"/>
        <v>0</v>
      </c>
      <c r="DJ200" s="82">
        <f t="shared" si="558"/>
        <v>0</v>
      </c>
      <c r="DK200" s="82">
        <f t="shared" si="559"/>
        <v>0</v>
      </c>
      <c r="DL200" s="82">
        <f t="shared" si="560"/>
        <v>0</v>
      </c>
      <c r="DM200" s="82">
        <f t="shared" si="561"/>
        <v>0</v>
      </c>
      <c r="DN200" s="82">
        <f t="shared" si="562"/>
        <v>0</v>
      </c>
      <c r="DO200" s="82">
        <f t="shared" si="563"/>
        <v>0</v>
      </c>
      <c r="DP200" s="82">
        <f t="shared" si="564"/>
        <v>0</v>
      </c>
      <c r="DQ200" s="82">
        <f t="shared" si="565"/>
        <v>0</v>
      </c>
      <c r="DR200" s="82">
        <f t="shared" si="566"/>
        <v>0</v>
      </c>
      <c r="DS200" s="82">
        <f t="shared" si="567"/>
        <v>0</v>
      </c>
      <c r="DT200" s="82">
        <f t="shared" si="568"/>
        <v>0</v>
      </c>
      <c r="DU200" s="82">
        <f t="shared" si="569"/>
        <v>0</v>
      </c>
      <c r="DV200" s="82">
        <f t="shared" si="570"/>
        <v>0</v>
      </c>
      <c r="DW200" s="82">
        <f t="shared" si="571"/>
        <v>0</v>
      </c>
      <c r="DX200" s="82">
        <f t="shared" si="572"/>
        <v>0</v>
      </c>
      <c r="DY200" s="82">
        <f t="shared" si="573"/>
        <v>0</v>
      </c>
      <c r="DZ200" s="82">
        <f t="shared" si="574"/>
        <v>0</v>
      </c>
      <c r="EA200" s="82">
        <f t="shared" si="575"/>
        <v>0</v>
      </c>
      <c r="EB200" s="82">
        <f t="shared" si="576"/>
        <v>0</v>
      </c>
      <c r="EC200" s="82">
        <f t="shared" si="577"/>
        <v>0</v>
      </c>
      <c r="ED200" s="82">
        <f t="shared" si="578"/>
        <v>0</v>
      </c>
      <c r="EE200" s="82">
        <f t="shared" si="579"/>
        <v>0</v>
      </c>
      <c r="EF200" s="82">
        <f t="shared" si="580"/>
        <v>0</v>
      </c>
      <c r="EG200" s="82">
        <f t="shared" si="581"/>
        <v>0</v>
      </c>
      <c r="EH200" s="82">
        <f t="shared" si="582"/>
        <v>0</v>
      </c>
      <c r="EI200" s="82">
        <f t="shared" si="583"/>
        <v>0</v>
      </c>
      <c r="EJ200" s="82">
        <f t="shared" si="584"/>
        <v>0</v>
      </c>
      <c r="EK200" s="82">
        <f t="shared" si="585"/>
        <v>0</v>
      </c>
      <c r="EL200" s="82">
        <f t="shared" si="586"/>
        <v>0</v>
      </c>
      <c r="EM200" s="82">
        <f t="shared" si="587"/>
        <v>0</v>
      </c>
      <c r="EN200" s="82">
        <f t="shared" si="588"/>
        <v>0</v>
      </c>
      <c r="EO200" s="82">
        <f t="shared" si="589"/>
        <v>0</v>
      </c>
      <c r="EP200" s="82">
        <f t="shared" si="590"/>
        <v>0</v>
      </c>
      <c r="EQ200" s="82">
        <f t="shared" si="591"/>
        <v>0</v>
      </c>
      <c r="ER200" s="82">
        <f t="shared" si="592"/>
        <v>0</v>
      </c>
      <c r="ES200" s="82">
        <f t="shared" si="593"/>
        <v>0</v>
      </c>
      <c r="ET200" s="82">
        <f t="shared" si="594"/>
        <v>0</v>
      </c>
      <c r="EU200" s="82">
        <f t="shared" si="595"/>
        <v>0</v>
      </c>
      <c r="EV200" s="82">
        <f t="shared" si="596"/>
        <v>0</v>
      </c>
      <c r="EW200" s="82">
        <f t="shared" si="597"/>
        <v>0</v>
      </c>
      <c r="EX200" s="82">
        <f t="shared" si="598"/>
        <v>0</v>
      </c>
      <c r="EY200" s="111">
        <f t="shared" si="599"/>
        <v>0</v>
      </c>
      <c r="EZ200" s="143" t="e">
        <f t="shared" ca="1" si="600"/>
        <v>#N/A</v>
      </c>
      <c r="FA200" s="112" t="e">
        <f t="shared" ca="1" si="601"/>
        <v>#N/A</v>
      </c>
      <c r="FB200" s="113" t="e">
        <f t="shared" ca="1" si="602"/>
        <v>#N/A</v>
      </c>
      <c r="FC200" s="114" t="e">
        <f t="shared" ca="1" si="603"/>
        <v>#N/A</v>
      </c>
      <c r="FD200" s="115">
        <f t="shared" ca="1" si="604"/>
        <v>0</v>
      </c>
      <c r="FE200" s="116" t="e">
        <f t="shared" ca="1" si="605"/>
        <v>#N/A</v>
      </c>
      <c r="FF200" s="117" t="e">
        <f t="shared" ca="1" si="606"/>
        <v>#N/A</v>
      </c>
      <c r="FG200" s="71">
        <f t="shared" si="607"/>
        <v>0</v>
      </c>
      <c r="FH200" s="530" t="e">
        <f t="shared" ca="1" si="608"/>
        <v>#N/A</v>
      </c>
      <c r="FI200" s="72"/>
      <c r="FJ200" s="72"/>
      <c r="FK200" s="72"/>
      <c r="FM200" s="421">
        <f t="shared" si="609"/>
        <v>0</v>
      </c>
      <c r="FN200" s="422" t="e">
        <f t="shared" ca="1" si="610"/>
        <v>#N/A</v>
      </c>
      <c r="FO200" s="423">
        <f t="shared" ca="1" si="620"/>
        <v>0</v>
      </c>
      <c r="FP200" s="423">
        <f t="shared" ca="1" si="620"/>
        <v>0</v>
      </c>
      <c r="FQ200" s="423">
        <f t="shared" ca="1" si="620"/>
        <v>0</v>
      </c>
      <c r="FR200" s="423">
        <f t="shared" ca="1" si="620"/>
        <v>0</v>
      </c>
      <c r="FS200" s="423">
        <f t="shared" ca="1" si="620"/>
        <v>0</v>
      </c>
      <c r="FT200" s="423">
        <f t="shared" ca="1" si="620"/>
        <v>0</v>
      </c>
      <c r="FU200" s="423">
        <f t="shared" ca="1" si="620"/>
        <v>0</v>
      </c>
      <c r="FV200" s="423">
        <f t="shared" ca="1" si="620"/>
        <v>0</v>
      </c>
      <c r="FW200" s="423">
        <f t="shared" ca="1" si="620"/>
        <v>0</v>
      </c>
      <c r="FX200" s="423">
        <f t="shared" ca="1" si="620"/>
        <v>0</v>
      </c>
      <c r="FY200" s="423">
        <f t="shared" ca="1" si="620"/>
        <v>0</v>
      </c>
      <c r="FZ200" s="423">
        <f t="shared" ca="1" si="620"/>
        <v>0</v>
      </c>
      <c r="GA200" s="423">
        <f t="shared" ca="1" si="620"/>
        <v>0</v>
      </c>
      <c r="GB200" s="423">
        <f t="shared" ca="1" si="620"/>
        <v>0</v>
      </c>
      <c r="GC200" s="423">
        <f t="shared" ca="1" si="620"/>
        <v>0</v>
      </c>
      <c r="GD200" s="423">
        <f t="shared" ca="1" si="620"/>
        <v>0</v>
      </c>
      <c r="GE200" s="423">
        <f t="shared" ca="1" si="618"/>
        <v>0</v>
      </c>
      <c r="GF200" s="423">
        <f t="shared" ca="1" si="618"/>
        <v>0</v>
      </c>
      <c r="GG200" s="423">
        <f t="shared" ca="1" si="618"/>
        <v>0</v>
      </c>
      <c r="GH200" s="423">
        <f t="shared" ca="1" si="618"/>
        <v>0</v>
      </c>
      <c r="GI200" s="423">
        <f t="shared" ca="1" si="618"/>
        <v>0</v>
      </c>
      <c r="GJ200" s="423">
        <f t="shared" ca="1" si="618"/>
        <v>0</v>
      </c>
      <c r="GK200" s="423">
        <f t="shared" ca="1" si="618"/>
        <v>0</v>
      </c>
      <c r="GL200" s="423">
        <f t="shared" ca="1" si="618"/>
        <v>0</v>
      </c>
      <c r="GM200" s="423">
        <f t="shared" ca="1" si="618"/>
        <v>0</v>
      </c>
      <c r="GN200" s="423">
        <f t="shared" ca="1" si="618"/>
        <v>0</v>
      </c>
      <c r="GO200" s="423">
        <f t="shared" ca="1" si="618"/>
        <v>0</v>
      </c>
      <c r="GP200" s="423">
        <f t="shared" ca="1" si="618"/>
        <v>0</v>
      </c>
      <c r="GQ200" s="423">
        <f t="shared" ca="1" si="618"/>
        <v>0</v>
      </c>
      <c r="GR200" s="423">
        <f t="shared" ca="1" si="618"/>
        <v>0</v>
      </c>
      <c r="GS200" s="423">
        <f t="shared" ca="1" si="616"/>
        <v>0</v>
      </c>
      <c r="GT200" s="423">
        <f t="shared" ca="1" si="616"/>
        <v>0</v>
      </c>
      <c r="GU200" s="423">
        <f t="shared" ca="1" si="616"/>
        <v>0</v>
      </c>
      <c r="GV200" s="423">
        <f t="shared" ca="1" si="616"/>
        <v>0</v>
      </c>
      <c r="GW200" s="423">
        <f t="shared" ca="1" si="616"/>
        <v>0</v>
      </c>
      <c r="GX200" s="423">
        <f t="shared" ca="1" si="616"/>
        <v>0</v>
      </c>
      <c r="GY200" s="423">
        <f t="shared" ca="1" si="616"/>
        <v>0</v>
      </c>
      <c r="GZ200" s="423">
        <f t="shared" ca="1" si="616"/>
        <v>0</v>
      </c>
      <c r="HA200" s="423">
        <f t="shared" ca="1" si="616"/>
        <v>0</v>
      </c>
      <c r="HB200" s="423">
        <f t="shared" ca="1" si="616"/>
        <v>0</v>
      </c>
      <c r="HC200" s="423">
        <f t="shared" ca="1" si="616"/>
        <v>0</v>
      </c>
      <c r="HD200" s="423">
        <f t="shared" ca="1" si="616"/>
        <v>0</v>
      </c>
      <c r="HE200" s="423">
        <f t="shared" ca="1" si="616"/>
        <v>0</v>
      </c>
      <c r="HF200" s="423">
        <f t="shared" ca="1" si="616"/>
        <v>0</v>
      </c>
      <c r="HG200" s="423">
        <f t="shared" ca="1" si="616"/>
        <v>0</v>
      </c>
      <c r="HH200" s="423">
        <f t="shared" ca="1" si="616"/>
        <v>0</v>
      </c>
      <c r="HI200" s="423">
        <f t="shared" ca="1" si="619"/>
        <v>0</v>
      </c>
      <c r="HJ200" s="423">
        <f t="shared" ca="1" si="617"/>
        <v>0</v>
      </c>
      <c r="HK200" s="423">
        <f t="shared" ca="1" si="617"/>
        <v>0</v>
      </c>
      <c r="HL200" s="423">
        <f t="shared" ca="1" si="617"/>
        <v>0</v>
      </c>
      <c r="HM200" s="423">
        <f t="shared" ca="1" si="617"/>
        <v>0</v>
      </c>
      <c r="HN200" s="423">
        <f t="shared" ca="1" si="617"/>
        <v>0</v>
      </c>
      <c r="HO200" s="423">
        <f t="shared" ca="1" si="617"/>
        <v>0</v>
      </c>
      <c r="HP200" s="423">
        <f t="shared" ca="1" si="617"/>
        <v>0</v>
      </c>
      <c r="HQ200" s="423">
        <f t="shared" ca="1" si="617"/>
        <v>0</v>
      </c>
      <c r="HR200" s="423">
        <f t="shared" ca="1" si="617"/>
        <v>0</v>
      </c>
      <c r="HS200" s="423">
        <f t="shared" ca="1" si="617"/>
        <v>0</v>
      </c>
      <c r="HT200" s="423">
        <f t="shared" ca="1" si="617"/>
        <v>0</v>
      </c>
    </row>
    <row r="201" spans="1:228" x14ac:dyDescent="0.2">
      <c r="A201" s="62">
        <f t="shared" si="516"/>
        <v>190</v>
      </c>
      <c r="B201" s="60">
        <f>Spaces_Sum!C246</f>
        <v>0</v>
      </c>
      <c r="C201" s="62" t="str">
        <f>Spaces_Sum!D246</f>
        <v>0</v>
      </c>
      <c r="D201" s="62" t="e">
        <f ca="1">Spaces_Sum!I246</f>
        <v>#N/A</v>
      </c>
      <c r="F201" s="110" t="e">
        <f ca="1">Spaces_Sum!M246</f>
        <v>#N/A</v>
      </c>
      <c r="G201" s="110" t="e">
        <f ca="1">Spaces_Sum!J246</f>
        <v>#N/A</v>
      </c>
      <c r="H201" s="532"/>
      <c r="I201" s="185"/>
      <c r="J201" s="185"/>
      <c r="K201" s="186"/>
      <c r="L201" s="187"/>
      <c r="M201" s="188"/>
      <c r="N201" s="189"/>
      <c r="O201" s="186"/>
      <c r="P201" s="187"/>
      <c r="Q201" s="188"/>
      <c r="R201" s="189"/>
      <c r="S201" s="186"/>
      <c r="T201" s="187"/>
      <c r="U201" s="188"/>
      <c r="V201" s="189"/>
      <c r="W201" s="186"/>
      <c r="X201" s="187"/>
      <c r="Y201" s="188"/>
      <c r="Z201" s="189"/>
      <c r="AA201" s="186"/>
      <c r="AB201" s="187"/>
      <c r="AC201" s="188"/>
      <c r="AD201" s="189"/>
      <c r="AE201" s="186"/>
      <c r="AF201" s="187"/>
      <c r="AG201" s="188"/>
      <c r="AH201" s="189"/>
      <c r="AI201" s="186"/>
      <c r="AJ201" s="187"/>
      <c r="AK201" s="188"/>
      <c r="AL201" s="189"/>
      <c r="AM201" s="186"/>
      <c r="AN201" s="187"/>
      <c r="AO201" s="188"/>
      <c r="AP201" s="189"/>
      <c r="AQ201" s="186"/>
      <c r="AR201" s="187"/>
      <c r="AS201" s="188"/>
      <c r="AT201" s="189"/>
      <c r="AU201" s="186"/>
      <c r="AV201" s="187"/>
      <c r="AW201" s="188"/>
      <c r="AX201" s="189"/>
      <c r="AY201" s="186"/>
      <c r="AZ201" s="187"/>
      <c r="BA201" s="188"/>
      <c r="BB201" s="189"/>
      <c r="BC201" s="186"/>
      <c r="BD201" s="187"/>
      <c r="BE201" s="188"/>
      <c r="BF201" s="189"/>
      <c r="BG201" s="186"/>
      <c r="BH201" s="187"/>
      <c r="BI201" s="188"/>
      <c r="BJ201" s="189"/>
      <c r="BK201" s="186"/>
      <c r="BL201" s="187"/>
      <c r="BM201" s="188"/>
      <c r="BN201" s="189"/>
      <c r="BO201" s="186"/>
      <c r="BP201" s="187"/>
      <c r="BQ201" s="188"/>
      <c r="BR201" s="189"/>
      <c r="BS201" s="186"/>
      <c r="BT201" s="187"/>
      <c r="BU201" s="188"/>
      <c r="BV201" s="189"/>
      <c r="BW201" s="186"/>
      <c r="BX201" s="187"/>
      <c r="BY201" s="188"/>
      <c r="BZ201" s="189"/>
      <c r="CA201" s="186"/>
      <c r="CB201" s="190"/>
      <c r="CC201" s="190"/>
      <c r="CD201" s="82">
        <f t="shared" si="526"/>
        <v>0</v>
      </c>
      <c r="CE201" s="82">
        <f t="shared" si="527"/>
        <v>0</v>
      </c>
      <c r="CF201" s="82">
        <f t="shared" si="528"/>
        <v>0</v>
      </c>
      <c r="CG201" s="82">
        <f t="shared" si="529"/>
        <v>0</v>
      </c>
      <c r="CH201" s="82">
        <f t="shared" si="530"/>
        <v>0</v>
      </c>
      <c r="CI201" s="82">
        <f t="shared" si="531"/>
        <v>0</v>
      </c>
      <c r="CJ201" s="82">
        <f t="shared" si="532"/>
        <v>0</v>
      </c>
      <c r="CK201" s="82">
        <f t="shared" si="533"/>
        <v>0</v>
      </c>
      <c r="CL201" s="82">
        <f t="shared" si="534"/>
        <v>0</v>
      </c>
      <c r="CM201" s="82">
        <f t="shared" si="535"/>
        <v>0</v>
      </c>
      <c r="CN201" s="82">
        <f t="shared" si="536"/>
        <v>0</v>
      </c>
      <c r="CO201" s="82">
        <f t="shared" si="537"/>
        <v>0</v>
      </c>
      <c r="CP201" s="82">
        <f t="shared" si="538"/>
        <v>0</v>
      </c>
      <c r="CQ201" s="82">
        <f t="shared" si="539"/>
        <v>0</v>
      </c>
      <c r="CR201" s="82">
        <f t="shared" si="540"/>
        <v>0</v>
      </c>
      <c r="CS201" s="82">
        <f t="shared" si="541"/>
        <v>0</v>
      </c>
      <c r="CT201" s="82">
        <f t="shared" si="542"/>
        <v>0</v>
      </c>
      <c r="CU201" s="82">
        <f t="shared" si="543"/>
        <v>0</v>
      </c>
      <c r="CV201" s="82">
        <f t="shared" si="544"/>
        <v>0</v>
      </c>
      <c r="CW201" s="82">
        <f t="shared" si="545"/>
        <v>0</v>
      </c>
      <c r="CX201" s="82">
        <f t="shared" si="546"/>
        <v>0</v>
      </c>
      <c r="CY201" s="82">
        <f t="shared" si="547"/>
        <v>0</v>
      </c>
      <c r="CZ201" s="82">
        <f t="shared" si="548"/>
        <v>0</v>
      </c>
      <c r="DA201" s="82">
        <f t="shared" si="549"/>
        <v>0</v>
      </c>
      <c r="DB201" s="82">
        <f t="shared" si="550"/>
        <v>0</v>
      </c>
      <c r="DC201" s="82">
        <f t="shared" si="551"/>
        <v>0</v>
      </c>
      <c r="DD201" s="82">
        <f t="shared" si="552"/>
        <v>0</v>
      </c>
      <c r="DE201" s="82">
        <f t="shared" si="553"/>
        <v>0</v>
      </c>
      <c r="DF201" s="82">
        <f t="shared" si="554"/>
        <v>0</v>
      </c>
      <c r="DG201" s="82">
        <f t="shared" si="555"/>
        <v>0</v>
      </c>
      <c r="DH201" s="82">
        <f t="shared" si="556"/>
        <v>0</v>
      </c>
      <c r="DI201" s="82">
        <f t="shared" si="557"/>
        <v>0</v>
      </c>
      <c r="DJ201" s="82">
        <f t="shared" si="558"/>
        <v>0</v>
      </c>
      <c r="DK201" s="82">
        <f t="shared" si="559"/>
        <v>0</v>
      </c>
      <c r="DL201" s="82">
        <f t="shared" si="560"/>
        <v>0</v>
      </c>
      <c r="DM201" s="82">
        <f t="shared" si="561"/>
        <v>0</v>
      </c>
      <c r="DN201" s="82">
        <f t="shared" si="562"/>
        <v>0</v>
      </c>
      <c r="DO201" s="82">
        <f t="shared" si="563"/>
        <v>0</v>
      </c>
      <c r="DP201" s="82">
        <f t="shared" si="564"/>
        <v>0</v>
      </c>
      <c r="DQ201" s="82">
        <f t="shared" si="565"/>
        <v>0</v>
      </c>
      <c r="DR201" s="82">
        <f t="shared" si="566"/>
        <v>0</v>
      </c>
      <c r="DS201" s="82">
        <f t="shared" si="567"/>
        <v>0</v>
      </c>
      <c r="DT201" s="82">
        <f t="shared" si="568"/>
        <v>0</v>
      </c>
      <c r="DU201" s="82">
        <f t="shared" si="569"/>
        <v>0</v>
      </c>
      <c r="DV201" s="82">
        <f t="shared" si="570"/>
        <v>0</v>
      </c>
      <c r="DW201" s="82">
        <f t="shared" si="571"/>
        <v>0</v>
      </c>
      <c r="DX201" s="82">
        <f t="shared" si="572"/>
        <v>0</v>
      </c>
      <c r="DY201" s="82">
        <f t="shared" si="573"/>
        <v>0</v>
      </c>
      <c r="DZ201" s="82">
        <f t="shared" si="574"/>
        <v>0</v>
      </c>
      <c r="EA201" s="82">
        <f t="shared" si="575"/>
        <v>0</v>
      </c>
      <c r="EB201" s="82">
        <f t="shared" si="576"/>
        <v>0</v>
      </c>
      <c r="EC201" s="82">
        <f t="shared" si="577"/>
        <v>0</v>
      </c>
      <c r="ED201" s="82">
        <f t="shared" si="578"/>
        <v>0</v>
      </c>
      <c r="EE201" s="82">
        <f t="shared" si="579"/>
        <v>0</v>
      </c>
      <c r="EF201" s="82">
        <f t="shared" si="580"/>
        <v>0</v>
      </c>
      <c r="EG201" s="82">
        <f t="shared" si="581"/>
        <v>0</v>
      </c>
      <c r="EH201" s="82">
        <f t="shared" si="582"/>
        <v>0</v>
      </c>
      <c r="EI201" s="82">
        <f t="shared" si="583"/>
        <v>0</v>
      </c>
      <c r="EJ201" s="82">
        <f t="shared" si="584"/>
        <v>0</v>
      </c>
      <c r="EK201" s="82">
        <f t="shared" si="585"/>
        <v>0</v>
      </c>
      <c r="EL201" s="82">
        <f t="shared" si="586"/>
        <v>0</v>
      </c>
      <c r="EM201" s="82">
        <f t="shared" si="587"/>
        <v>0</v>
      </c>
      <c r="EN201" s="82">
        <f t="shared" si="588"/>
        <v>0</v>
      </c>
      <c r="EO201" s="82">
        <f t="shared" si="589"/>
        <v>0</v>
      </c>
      <c r="EP201" s="82">
        <f t="shared" si="590"/>
        <v>0</v>
      </c>
      <c r="EQ201" s="82">
        <f t="shared" si="591"/>
        <v>0</v>
      </c>
      <c r="ER201" s="82">
        <f t="shared" si="592"/>
        <v>0</v>
      </c>
      <c r="ES201" s="82">
        <f t="shared" si="593"/>
        <v>0</v>
      </c>
      <c r="ET201" s="82">
        <f t="shared" si="594"/>
        <v>0</v>
      </c>
      <c r="EU201" s="82">
        <f t="shared" si="595"/>
        <v>0</v>
      </c>
      <c r="EV201" s="82">
        <f t="shared" si="596"/>
        <v>0</v>
      </c>
      <c r="EW201" s="82">
        <f t="shared" si="597"/>
        <v>0</v>
      </c>
      <c r="EX201" s="82">
        <f t="shared" si="598"/>
        <v>0</v>
      </c>
      <c r="EY201" s="111">
        <f t="shared" si="599"/>
        <v>0</v>
      </c>
      <c r="EZ201" s="143" t="e">
        <f t="shared" ca="1" si="600"/>
        <v>#N/A</v>
      </c>
      <c r="FA201" s="112" t="e">
        <f t="shared" ca="1" si="601"/>
        <v>#N/A</v>
      </c>
      <c r="FB201" s="113" t="e">
        <f t="shared" ca="1" si="602"/>
        <v>#N/A</v>
      </c>
      <c r="FC201" s="114" t="e">
        <f t="shared" ca="1" si="603"/>
        <v>#N/A</v>
      </c>
      <c r="FD201" s="115">
        <f t="shared" ca="1" si="604"/>
        <v>0</v>
      </c>
      <c r="FE201" s="116" t="e">
        <f t="shared" ca="1" si="605"/>
        <v>#N/A</v>
      </c>
      <c r="FF201" s="117" t="e">
        <f t="shared" ca="1" si="606"/>
        <v>#N/A</v>
      </c>
      <c r="FG201" s="71">
        <f t="shared" si="607"/>
        <v>0</v>
      </c>
      <c r="FH201" s="530" t="e">
        <f t="shared" ca="1" si="608"/>
        <v>#N/A</v>
      </c>
      <c r="FI201" s="72"/>
      <c r="FJ201" s="72"/>
      <c r="FK201" s="72"/>
      <c r="FM201" s="421">
        <f t="shared" si="609"/>
        <v>0</v>
      </c>
      <c r="FN201" s="422" t="e">
        <f t="shared" ca="1" si="610"/>
        <v>#N/A</v>
      </c>
      <c r="FO201" s="423">
        <f t="shared" ca="1" si="620"/>
        <v>0</v>
      </c>
      <c r="FP201" s="423">
        <f t="shared" ca="1" si="620"/>
        <v>0</v>
      </c>
      <c r="FQ201" s="423">
        <f t="shared" ca="1" si="620"/>
        <v>0</v>
      </c>
      <c r="FR201" s="423">
        <f t="shared" ca="1" si="620"/>
        <v>0</v>
      </c>
      <c r="FS201" s="423">
        <f t="shared" ca="1" si="620"/>
        <v>0</v>
      </c>
      <c r="FT201" s="423">
        <f t="shared" ca="1" si="620"/>
        <v>0</v>
      </c>
      <c r="FU201" s="423">
        <f t="shared" ca="1" si="620"/>
        <v>0</v>
      </c>
      <c r="FV201" s="423">
        <f t="shared" ca="1" si="620"/>
        <v>0</v>
      </c>
      <c r="FW201" s="423">
        <f t="shared" ca="1" si="620"/>
        <v>0</v>
      </c>
      <c r="FX201" s="423">
        <f t="shared" ca="1" si="620"/>
        <v>0</v>
      </c>
      <c r="FY201" s="423">
        <f t="shared" ca="1" si="620"/>
        <v>0</v>
      </c>
      <c r="FZ201" s="423">
        <f t="shared" ca="1" si="620"/>
        <v>0</v>
      </c>
      <c r="GA201" s="423">
        <f t="shared" ca="1" si="620"/>
        <v>0</v>
      </c>
      <c r="GB201" s="423">
        <f t="shared" ca="1" si="620"/>
        <v>0</v>
      </c>
      <c r="GC201" s="423">
        <f t="shared" ca="1" si="620"/>
        <v>0</v>
      </c>
      <c r="GD201" s="423">
        <f t="shared" ca="1" si="620"/>
        <v>0</v>
      </c>
      <c r="GE201" s="423">
        <f t="shared" ca="1" si="618"/>
        <v>0</v>
      </c>
      <c r="GF201" s="423">
        <f t="shared" ca="1" si="618"/>
        <v>0</v>
      </c>
      <c r="GG201" s="423">
        <f t="shared" ca="1" si="618"/>
        <v>0</v>
      </c>
      <c r="GH201" s="423">
        <f t="shared" ca="1" si="618"/>
        <v>0</v>
      </c>
      <c r="GI201" s="423">
        <f t="shared" ca="1" si="618"/>
        <v>0</v>
      </c>
      <c r="GJ201" s="423">
        <f t="shared" ca="1" si="618"/>
        <v>0</v>
      </c>
      <c r="GK201" s="423">
        <f t="shared" ca="1" si="618"/>
        <v>0</v>
      </c>
      <c r="GL201" s="423">
        <f t="shared" ca="1" si="618"/>
        <v>0</v>
      </c>
      <c r="GM201" s="423">
        <f t="shared" ca="1" si="618"/>
        <v>0</v>
      </c>
      <c r="GN201" s="423">
        <f t="shared" ca="1" si="618"/>
        <v>0</v>
      </c>
      <c r="GO201" s="423">
        <f t="shared" ca="1" si="618"/>
        <v>0</v>
      </c>
      <c r="GP201" s="423">
        <f t="shared" ca="1" si="618"/>
        <v>0</v>
      </c>
      <c r="GQ201" s="423">
        <f t="shared" ca="1" si="618"/>
        <v>0</v>
      </c>
      <c r="GR201" s="423">
        <f t="shared" ca="1" si="618"/>
        <v>0</v>
      </c>
      <c r="GS201" s="423">
        <f t="shared" ca="1" si="616"/>
        <v>0</v>
      </c>
      <c r="GT201" s="423">
        <f t="shared" ca="1" si="616"/>
        <v>0</v>
      </c>
      <c r="GU201" s="423">
        <f t="shared" ca="1" si="616"/>
        <v>0</v>
      </c>
      <c r="GV201" s="423">
        <f t="shared" ca="1" si="616"/>
        <v>0</v>
      </c>
      <c r="GW201" s="423">
        <f t="shared" ca="1" si="616"/>
        <v>0</v>
      </c>
      <c r="GX201" s="423">
        <f t="shared" ca="1" si="616"/>
        <v>0</v>
      </c>
      <c r="GY201" s="423">
        <f t="shared" ca="1" si="616"/>
        <v>0</v>
      </c>
      <c r="GZ201" s="423">
        <f t="shared" ca="1" si="616"/>
        <v>0</v>
      </c>
      <c r="HA201" s="423">
        <f t="shared" ca="1" si="616"/>
        <v>0</v>
      </c>
      <c r="HB201" s="423">
        <f t="shared" ca="1" si="616"/>
        <v>0</v>
      </c>
      <c r="HC201" s="423">
        <f t="shared" ca="1" si="616"/>
        <v>0</v>
      </c>
      <c r="HD201" s="423">
        <f t="shared" ca="1" si="616"/>
        <v>0</v>
      </c>
      <c r="HE201" s="423">
        <f t="shared" ca="1" si="616"/>
        <v>0</v>
      </c>
      <c r="HF201" s="423">
        <f t="shared" ca="1" si="616"/>
        <v>0</v>
      </c>
      <c r="HG201" s="423">
        <f t="shared" ca="1" si="616"/>
        <v>0</v>
      </c>
      <c r="HH201" s="423">
        <f t="shared" ca="1" si="616"/>
        <v>0</v>
      </c>
      <c r="HI201" s="423">
        <f t="shared" ca="1" si="619"/>
        <v>0</v>
      </c>
      <c r="HJ201" s="423">
        <f t="shared" ca="1" si="617"/>
        <v>0</v>
      </c>
      <c r="HK201" s="423">
        <f t="shared" ca="1" si="617"/>
        <v>0</v>
      </c>
      <c r="HL201" s="423">
        <f t="shared" ca="1" si="617"/>
        <v>0</v>
      </c>
      <c r="HM201" s="423">
        <f t="shared" ca="1" si="617"/>
        <v>0</v>
      </c>
      <c r="HN201" s="423">
        <f t="shared" ca="1" si="617"/>
        <v>0</v>
      </c>
      <c r="HO201" s="423">
        <f t="shared" ca="1" si="617"/>
        <v>0</v>
      </c>
      <c r="HP201" s="423">
        <f t="shared" ca="1" si="617"/>
        <v>0</v>
      </c>
      <c r="HQ201" s="423">
        <f t="shared" ca="1" si="617"/>
        <v>0</v>
      </c>
      <c r="HR201" s="423">
        <f t="shared" ca="1" si="617"/>
        <v>0</v>
      </c>
      <c r="HS201" s="423">
        <f t="shared" ca="1" si="617"/>
        <v>0</v>
      </c>
      <c r="HT201" s="423">
        <f t="shared" ca="1" si="617"/>
        <v>0</v>
      </c>
    </row>
    <row r="202" spans="1:228" x14ac:dyDescent="0.2">
      <c r="A202" s="62">
        <f t="shared" si="516"/>
        <v>191</v>
      </c>
      <c r="B202" s="60">
        <f>Spaces_Sum!C247</f>
        <v>0</v>
      </c>
      <c r="C202" s="62" t="str">
        <f>Spaces_Sum!D247</f>
        <v>0</v>
      </c>
      <c r="D202" s="62" t="e">
        <f ca="1">Spaces_Sum!I247</f>
        <v>#N/A</v>
      </c>
      <c r="F202" s="110" t="e">
        <f ca="1">Spaces_Sum!M247</f>
        <v>#N/A</v>
      </c>
      <c r="G202" s="110" t="e">
        <f ca="1">Spaces_Sum!J247</f>
        <v>#N/A</v>
      </c>
      <c r="H202" s="532"/>
      <c r="I202" s="185"/>
      <c r="J202" s="185"/>
      <c r="K202" s="186"/>
      <c r="L202" s="187"/>
      <c r="M202" s="188"/>
      <c r="N202" s="189"/>
      <c r="O202" s="186"/>
      <c r="P202" s="187"/>
      <c r="Q202" s="188"/>
      <c r="R202" s="189"/>
      <c r="S202" s="186"/>
      <c r="T202" s="187"/>
      <c r="U202" s="188"/>
      <c r="V202" s="189"/>
      <c r="W202" s="186"/>
      <c r="X202" s="187"/>
      <c r="Y202" s="188"/>
      <c r="Z202" s="189"/>
      <c r="AA202" s="186"/>
      <c r="AB202" s="187"/>
      <c r="AC202" s="188"/>
      <c r="AD202" s="189"/>
      <c r="AE202" s="186"/>
      <c r="AF202" s="187"/>
      <c r="AG202" s="188"/>
      <c r="AH202" s="189"/>
      <c r="AI202" s="186"/>
      <c r="AJ202" s="187"/>
      <c r="AK202" s="188"/>
      <c r="AL202" s="189"/>
      <c r="AM202" s="186"/>
      <c r="AN202" s="187"/>
      <c r="AO202" s="188"/>
      <c r="AP202" s="189"/>
      <c r="AQ202" s="186"/>
      <c r="AR202" s="187"/>
      <c r="AS202" s="188"/>
      <c r="AT202" s="189"/>
      <c r="AU202" s="186"/>
      <c r="AV202" s="187"/>
      <c r="AW202" s="188"/>
      <c r="AX202" s="189"/>
      <c r="AY202" s="186"/>
      <c r="AZ202" s="187"/>
      <c r="BA202" s="188"/>
      <c r="BB202" s="189"/>
      <c r="BC202" s="186"/>
      <c r="BD202" s="187"/>
      <c r="BE202" s="188"/>
      <c r="BF202" s="189"/>
      <c r="BG202" s="186"/>
      <c r="BH202" s="187"/>
      <c r="BI202" s="188"/>
      <c r="BJ202" s="189"/>
      <c r="BK202" s="186"/>
      <c r="BL202" s="187"/>
      <c r="BM202" s="188"/>
      <c r="BN202" s="189"/>
      <c r="BO202" s="186"/>
      <c r="BP202" s="187"/>
      <c r="BQ202" s="188"/>
      <c r="BR202" s="189"/>
      <c r="BS202" s="186"/>
      <c r="BT202" s="187"/>
      <c r="BU202" s="188"/>
      <c r="BV202" s="189"/>
      <c r="BW202" s="186"/>
      <c r="BX202" s="187"/>
      <c r="BY202" s="188"/>
      <c r="BZ202" s="189"/>
      <c r="CA202" s="186"/>
      <c r="CB202" s="190"/>
      <c r="CC202" s="190"/>
      <c r="CD202" s="82">
        <f t="shared" si="526"/>
        <v>0</v>
      </c>
      <c r="CE202" s="82">
        <f t="shared" si="527"/>
        <v>0</v>
      </c>
      <c r="CF202" s="82">
        <f t="shared" si="528"/>
        <v>0</v>
      </c>
      <c r="CG202" s="82">
        <f t="shared" si="529"/>
        <v>0</v>
      </c>
      <c r="CH202" s="82">
        <f t="shared" si="530"/>
        <v>0</v>
      </c>
      <c r="CI202" s="82">
        <f t="shared" si="531"/>
        <v>0</v>
      </c>
      <c r="CJ202" s="82">
        <f t="shared" si="532"/>
        <v>0</v>
      </c>
      <c r="CK202" s="82">
        <f t="shared" si="533"/>
        <v>0</v>
      </c>
      <c r="CL202" s="82">
        <f t="shared" si="534"/>
        <v>0</v>
      </c>
      <c r="CM202" s="82">
        <f t="shared" si="535"/>
        <v>0</v>
      </c>
      <c r="CN202" s="82">
        <f t="shared" si="536"/>
        <v>0</v>
      </c>
      <c r="CO202" s="82">
        <f t="shared" si="537"/>
        <v>0</v>
      </c>
      <c r="CP202" s="82">
        <f t="shared" si="538"/>
        <v>0</v>
      </c>
      <c r="CQ202" s="82">
        <f t="shared" si="539"/>
        <v>0</v>
      </c>
      <c r="CR202" s="82">
        <f t="shared" si="540"/>
        <v>0</v>
      </c>
      <c r="CS202" s="82">
        <f t="shared" si="541"/>
        <v>0</v>
      </c>
      <c r="CT202" s="82">
        <f t="shared" si="542"/>
        <v>0</v>
      </c>
      <c r="CU202" s="82">
        <f t="shared" si="543"/>
        <v>0</v>
      </c>
      <c r="CV202" s="82">
        <f t="shared" si="544"/>
        <v>0</v>
      </c>
      <c r="CW202" s="82">
        <f t="shared" si="545"/>
        <v>0</v>
      </c>
      <c r="CX202" s="82">
        <f t="shared" si="546"/>
        <v>0</v>
      </c>
      <c r="CY202" s="82">
        <f t="shared" si="547"/>
        <v>0</v>
      </c>
      <c r="CZ202" s="82">
        <f t="shared" si="548"/>
        <v>0</v>
      </c>
      <c r="DA202" s="82">
        <f t="shared" si="549"/>
        <v>0</v>
      </c>
      <c r="DB202" s="82">
        <f t="shared" si="550"/>
        <v>0</v>
      </c>
      <c r="DC202" s="82">
        <f t="shared" si="551"/>
        <v>0</v>
      </c>
      <c r="DD202" s="82">
        <f t="shared" si="552"/>
        <v>0</v>
      </c>
      <c r="DE202" s="82">
        <f t="shared" si="553"/>
        <v>0</v>
      </c>
      <c r="DF202" s="82">
        <f t="shared" si="554"/>
        <v>0</v>
      </c>
      <c r="DG202" s="82">
        <f t="shared" si="555"/>
        <v>0</v>
      </c>
      <c r="DH202" s="82">
        <f t="shared" si="556"/>
        <v>0</v>
      </c>
      <c r="DI202" s="82">
        <f t="shared" si="557"/>
        <v>0</v>
      </c>
      <c r="DJ202" s="82">
        <f t="shared" si="558"/>
        <v>0</v>
      </c>
      <c r="DK202" s="82">
        <f t="shared" si="559"/>
        <v>0</v>
      </c>
      <c r="DL202" s="82">
        <f t="shared" si="560"/>
        <v>0</v>
      </c>
      <c r="DM202" s="82">
        <f t="shared" si="561"/>
        <v>0</v>
      </c>
      <c r="DN202" s="82">
        <f t="shared" si="562"/>
        <v>0</v>
      </c>
      <c r="DO202" s="82">
        <f t="shared" si="563"/>
        <v>0</v>
      </c>
      <c r="DP202" s="82">
        <f t="shared" si="564"/>
        <v>0</v>
      </c>
      <c r="DQ202" s="82">
        <f t="shared" si="565"/>
        <v>0</v>
      </c>
      <c r="DR202" s="82">
        <f t="shared" si="566"/>
        <v>0</v>
      </c>
      <c r="DS202" s="82">
        <f t="shared" si="567"/>
        <v>0</v>
      </c>
      <c r="DT202" s="82">
        <f t="shared" si="568"/>
        <v>0</v>
      </c>
      <c r="DU202" s="82">
        <f t="shared" si="569"/>
        <v>0</v>
      </c>
      <c r="DV202" s="82">
        <f t="shared" si="570"/>
        <v>0</v>
      </c>
      <c r="DW202" s="82">
        <f t="shared" si="571"/>
        <v>0</v>
      </c>
      <c r="DX202" s="82">
        <f t="shared" si="572"/>
        <v>0</v>
      </c>
      <c r="DY202" s="82">
        <f t="shared" si="573"/>
        <v>0</v>
      </c>
      <c r="DZ202" s="82">
        <f t="shared" si="574"/>
        <v>0</v>
      </c>
      <c r="EA202" s="82">
        <f t="shared" si="575"/>
        <v>0</v>
      </c>
      <c r="EB202" s="82">
        <f t="shared" si="576"/>
        <v>0</v>
      </c>
      <c r="EC202" s="82">
        <f t="shared" si="577"/>
        <v>0</v>
      </c>
      <c r="ED202" s="82">
        <f t="shared" si="578"/>
        <v>0</v>
      </c>
      <c r="EE202" s="82">
        <f t="shared" si="579"/>
        <v>0</v>
      </c>
      <c r="EF202" s="82">
        <f t="shared" si="580"/>
        <v>0</v>
      </c>
      <c r="EG202" s="82">
        <f t="shared" si="581"/>
        <v>0</v>
      </c>
      <c r="EH202" s="82">
        <f t="shared" si="582"/>
        <v>0</v>
      </c>
      <c r="EI202" s="82">
        <f t="shared" si="583"/>
        <v>0</v>
      </c>
      <c r="EJ202" s="82">
        <f t="shared" si="584"/>
        <v>0</v>
      </c>
      <c r="EK202" s="82">
        <f t="shared" si="585"/>
        <v>0</v>
      </c>
      <c r="EL202" s="82">
        <f t="shared" si="586"/>
        <v>0</v>
      </c>
      <c r="EM202" s="82">
        <f t="shared" si="587"/>
        <v>0</v>
      </c>
      <c r="EN202" s="82">
        <f t="shared" si="588"/>
        <v>0</v>
      </c>
      <c r="EO202" s="82">
        <f t="shared" si="589"/>
        <v>0</v>
      </c>
      <c r="EP202" s="82">
        <f t="shared" si="590"/>
        <v>0</v>
      </c>
      <c r="EQ202" s="82">
        <f t="shared" si="591"/>
        <v>0</v>
      </c>
      <c r="ER202" s="82">
        <f t="shared" si="592"/>
        <v>0</v>
      </c>
      <c r="ES202" s="82">
        <f t="shared" si="593"/>
        <v>0</v>
      </c>
      <c r="ET202" s="82">
        <f t="shared" si="594"/>
        <v>0</v>
      </c>
      <c r="EU202" s="82">
        <f t="shared" si="595"/>
        <v>0</v>
      </c>
      <c r="EV202" s="82">
        <f t="shared" si="596"/>
        <v>0</v>
      </c>
      <c r="EW202" s="82">
        <f t="shared" si="597"/>
        <v>0</v>
      </c>
      <c r="EX202" s="82">
        <f t="shared" si="598"/>
        <v>0</v>
      </c>
      <c r="EY202" s="111">
        <f t="shared" si="599"/>
        <v>0</v>
      </c>
      <c r="EZ202" s="143" t="e">
        <f t="shared" ca="1" si="600"/>
        <v>#N/A</v>
      </c>
      <c r="FA202" s="112" t="e">
        <f t="shared" ca="1" si="601"/>
        <v>#N/A</v>
      </c>
      <c r="FB202" s="113" t="e">
        <f t="shared" ca="1" si="602"/>
        <v>#N/A</v>
      </c>
      <c r="FC202" s="114" t="e">
        <f t="shared" ca="1" si="603"/>
        <v>#N/A</v>
      </c>
      <c r="FD202" s="115">
        <f t="shared" ca="1" si="604"/>
        <v>0</v>
      </c>
      <c r="FE202" s="116" t="e">
        <f t="shared" ca="1" si="605"/>
        <v>#N/A</v>
      </c>
      <c r="FF202" s="117" t="e">
        <f t="shared" ca="1" si="606"/>
        <v>#N/A</v>
      </c>
      <c r="FG202" s="71">
        <f t="shared" si="607"/>
        <v>0</v>
      </c>
      <c r="FH202" s="530" t="e">
        <f t="shared" ca="1" si="608"/>
        <v>#N/A</v>
      </c>
      <c r="FI202" s="72"/>
      <c r="FJ202" s="72"/>
      <c r="FK202" s="72"/>
      <c r="FM202" s="421">
        <f t="shared" si="609"/>
        <v>0</v>
      </c>
      <c r="FN202" s="422" t="e">
        <f t="shared" ca="1" si="610"/>
        <v>#N/A</v>
      </c>
      <c r="FO202" s="423">
        <f t="shared" ca="1" si="620"/>
        <v>0</v>
      </c>
      <c r="FP202" s="423">
        <f t="shared" ca="1" si="620"/>
        <v>0</v>
      </c>
      <c r="FQ202" s="423">
        <f t="shared" ca="1" si="620"/>
        <v>0</v>
      </c>
      <c r="FR202" s="423">
        <f t="shared" ca="1" si="620"/>
        <v>0</v>
      </c>
      <c r="FS202" s="423">
        <f t="shared" ca="1" si="620"/>
        <v>0</v>
      </c>
      <c r="FT202" s="423">
        <f t="shared" ca="1" si="620"/>
        <v>0</v>
      </c>
      <c r="FU202" s="423">
        <f t="shared" ca="1" si="620"/>
        <v>0</v>
      </c>
      <c r="FV202" s="423">
        <f t="shared" ca="1" si="620"/>
        <v>0</v>
      </c>
      <c r="FW202" s="423">
        <f t="shared" ca="1" si="620"/>
        <v>0</v>
      </c>
      <c r="FX202" s="423">
        <f t="shared" ca="1" si="620"/>
        <v>0</v>
      </c>
      <c r="FY202" s="423">
        <f t="shared" ca="1" si="620"/>
        <v>0</v>
      </c>
      <c r="FZ202" s="423">
        <f t="shared" ca="1" si="620"/>
        <v>0</v>
      </c>
      <c r="GA202" s="423">
        <f t="shared" ca="1" si="620"/>
        <v>0</v>
      </c>
      <c r="GB202" s="423">
        <f t="shared" ca="1" si="620"/>
        <v>0</v>
      </c>
      <c r="GC202" s="423">
        <f t="shared" ca="1" si="620"/>
        <v>0</v>
      </c>
      <c r="GD202" s="423">
        <f t="shared" ca="1" si="620"/>
        <v>0</v>
      </c>
      <c r="GE202" s="423">
        <f t="shared" ca="1" si="618"/>
        <v>0</v>
      </c>
      <c r="GF202" s="423">
        <f t="shared" ca="1" si="618"/>
        <v>0</v>
      </c>
      <c r="GG202" s="423">
        <f t="shared" ca="1" si="618"/>
        <v>0</v>
      </c>
      <c r="GH202" s="423">
        <f t="shared" ca="1" si="618"/>
        <v>0</v>
      </c>
      <c r="GI202" s="423">
        <f t="shared" ca="1" si="618"/>
        <v>0</v>
      </c>
      <c r="GJ202" s="423">
        <f t="shared" ca="1" si="618"/>
        <v>0</v>
      </c>
      <c r="GK202" s="423">
        <f t="shared" ca="1" si="618"/>
        <v>0</v>
      </c>
      <c r="GL202" s="423">
        <f t="shared" ca="1" si="618"/>
        <v>0</v>
      </c>
      <c r="GM202" s="423">
        <f t="shared" ca="1" si="618"/>
        <v>0</v>
      </c>
      <c r="GN202" s="423">
        <f t="shared" ca="1" si="618"/>
        <v>0</v>
      </c>
      <c r="GO202" s="423">
        <f t="shared" ca="1" si="618"/>
        <v>0</v>
      </c>
      <c r="GP202" s="423">
        <f t="shared" ca="1" si="618"/>
        <v>0</v>
      </c>
      <c r="GQ202" s="423">
        <f t="shared" ca="1" si="618"/>
        <v>0</v>
      </c>
      <c r="GR202" s="423">
        <f t="shared" ca="1" si="618"/>
        <v>0</v>
      </c>
      <c r="GS202" s="423">
        <f t="shared" ca="1" si="616"/>
        <v>0</v>
      </c>
      <c r="GT202" s="423">
        <f t="shared" ca="1" si="616"/>
        <v>0</v>
      </c>
      <c r="GU202" s="423">
        <f t="shared" ca="1" si="616"/>
        <v>0</v>
      </c>
      <c r="GV202" s="423">
        <f t="shared" ca="1" si="616"/>
        <v>0</v>
      </c>
      <c r="GW202" s="423">
        <f t="shared" ca="1" si="616"/>
        <v>0</v>
      </c>
      <c r="GX202" s="423">
        <f t="shared" ca="1" si="616"/>
        <v>0</v>
      </c>
      <c r="GY202" s="423">
        <f t="shared" ca="1" si="616"/>
        <v>0</v>
      </c>
      <c r="GZ202" s="423">
        <f t="shared" ca="1" si="616"/>
        <v>0</v>
      </c>
      <c r="HA202" s="423">
        <f t="shared" ca="1" si="616"/>
        <v>0</v>
      </c>
      <c r="HB202" s="423">
        <f t="shared" ca="1" si="616"/>
        <v>0</v>
      </c>
      <c r="HC202" s="423">
        <f t="shared" ca="1" si="616"/>
        <v>0</v>
      </c>
      <c r="HD202" s="423">
        <f t="shared" ca="1" si="616"/>
        <v>0</v>
      </c>
      <c r="HE202" s="423">
        <f t="shared" ca="1" si="616"/>
        <v>0</v>
      </c>
      <c r="HF202" s="423">
        <f t="shared" ca="1" si="616"/>
        <v>0</v>
      </c>
      <c r="HG202" s="423">
        <f t="shared" ca="1" si="616"/>
        <v>0</v>
      </c>
      <c r="HH202" s="423">
        <f t="shared" ca="1" si="616"/>
        <v>0</v>
      </c>
      <c r="HI202" s="423">
        <f t="shared" ca="1" si="619"/>
        <v>0</v>
      </c>
      <c r="HJ202" s="423">
        <f t="shared" ca="1" si="617"/>
        <v>0</v>
      </c>
      <c r="HK202" s="423">
        <f t="shared" ca="1" si="617"/>
        <v>0</v>
      </c>
      <c r="HL202" s="423">
        <f t="shared" ca="1" si="617"/>
        <v>0</v>
      </c>
      <c r="HM202" s="423">
        <f t="shared" ca="1" si="617"/>
        <v>0</v>
      </c>
      <c r="HN202" s="423">
        <f t="shared" ca="1" si="617"/>
        <v>0</v>
      </c>
      <c r="HO202" s="423">
        <f t="shared" ca="1" si="617"/>
        <v>0</v>
      </c>
      <c r="HP202" s="423">
        <f t="shared" ca="1" si="617"/>
        <v>0</v>
      </c>
      <c r="HQ202" s="423">
        <f t="shared" ca="1" si="617"/>
        <v>0</v>
      </c>
      <c r="HR202" s="423">
        <f t="shared" ca="1" si="617"/>
        <v>0</v>
      </c>
      <c r="HS202" s="423">
        <f t="shared" ca="1" si="617"/>
        <v>0</v>
      </c>
      <c r="HT202" s="423">
        <f t="shared" ca="1" si="617"/>
        <v>0</v>
      </c>
    </row>
    <row r="203" spans="1:228" x14ac:dyDescent="0.2">
      <c r="A203" s="62">
        <f t="shared" si="516"/>
        <v>192</v>
      </c>
      <c r="B203" s="60">
        <f>Spaces_Sum!C248</f>
        <v>0</v>
      </c>
      <c r="C203" s="62" t="str">
        <f>Spaces_Sum!D248</f>
        <v>0</v>
      </c>
      <c r="D203" s="62" t="e">
        <f ca="1">Spaces_Sum!I248</f>
        <v>#N/A</v>
      </c>
      <c r="F203" s="110" t="e">
        <f ca="1">Spaces_Sum!M248</f>
        <v>#N/A</v>
      </c>
      <c r="G203" s="110" t="e">
        <f ca="1">Spaces_Sum!J248</f>
        <v>#N/A</v>
      </c>
      <c r="H203" s="532"/>
      <c r="I203" s="185"/>
      <c r="J203" s="185"/>
      <c r="K203" s="186"/>
      <c r="L203" s="187"/>
      <c r="M203" s="188"/>
      <c r="N203" s="189"/>
      <c r="O203" s="186"/>
      <c r="P203" s="187"/>
      <c r="Q203" s="188"/>
      <c r="R203" s="189"/>
      <c r="S203" s="186"/>
      <c r="T203" s="187"/>
      <c r="U203" s="188"/>
      <c r="V203" s="189"/>
      <c r="W203" s="186"/>
      <c r="X203" s="187"/>
      <c r="Y203" s="188"/>
      <c r="Z203" s="189"/>
      <c r="AA203" s="186"/>
      <c r="AB203" s="187"/>
      <c r="AC203" s="188"/>
      <c r="AD203" s="189"/>
      <c r="AE203" s="186"/>
      <c r="AF203" s="187"/>
      <c r="AG203" s="188"/>
      <c r="AH203" s="189"/>
      <c r="AI203" s="186"/>
      <c r="AJ203" s="187"/>
      <c r="AK203" s="188"/>
      <c r="AL203" s="189"/>
      <c r="AM203" s="186"/>
      <c r="AN203" s="187"/>
      <c r="AO203" s="188"/>
      <c r="AP203" s="189"/>
      <c r="AQ203" s="186"/>
      <c r="AR203" s="187"/>
      <c r="AS203" s="188"/>
      <c r="AT203" s="189"/>
      <c r="AU203" s="186"/>
      <c r="AV203" s="187"/>
      <c r="AW203" s="188"/>
      <c r="AX203" s="189"/>
      <c r="AY203" s="186"/>
      <c r="AZ203" s="187"/>
      <c r="BA203" s="188"/>
      <c r="BB203" s="189"/>
      <c r="BC203" s="186"/>
      <c r="BD203" s="187"/>
      <c r="BE203" s="188"/>
      <c r="BF203" s="189"/>
      <c r="BG203" s="186"/>
      <c r="BH203" s="187"/>
      <c r="BI203" s="188"/>
      <c r="BJ203" s="189"/>
      <c r="BK203" s="186"/>
      <c r="BL203" s="187"/>
      <c r="BM203" s="188"/>
      <c r="BN203" s="189"/>
      <c r="BO203" s="186"/>
      <c r="BP203" s="187"/>
      <c r="BQ203" s="188"/>
      <c r="BR203" s="189"/>
      <c r="BS203" s="186"/>
      <c r="BT203" s="187"/>
      <c r="BU203" s="188"/>
      <c r="BV203" s="189"/>
      <c r="BW203" s="186"/>
      <c r="BX203" s="187"/>
      <c r="BY203" s="188"/>
      <c r="BZ203" s="189"/>
      <c r="CA203" s="186"/>
      <c r="CB203" s="190"/>
      <c r="CC203" s="190"/>
      <c r="CD203" s="82">
        <f t="shared" si="526"/>
        <v>0</v>
      </c>
      <c r="CE203" s="82">
        <f t="shared" si="527"/>
        <v>0</v>
      </c>
      <c r="CF203" s="82">
        <f t="shared" si="528"/>
        <v>0</v>
      </c>
      <c r="CG203" s="82">
        <f t="shared" si="529"/>
        <v>0</v>
      </c>
      <c r="CH203" s="82">
        <f t="shared" si="530"/>
        <v>0</v>
      </c>
      <c r="CI203" s="82">
        <f t="shared" si="531"/>
        <v>0</v>
      </c>
      <c r="CJ203" s="82">
        <f t="shared" si="532"/>
        <v>0</v>
      </c>
      <c r="CK203" s="82">
        <f t="shared" si="533"/>
        <v>0</v>
      </c>
      <c r="CL203" s="82">
        <f t="shared" si="534"/>
        <v>0</v>
      </c>
      <c r="CM203" s="82">
        <f t="shared" si="535"/>
        <v>0</v>
      </c>
      <c r="CN203" s="82">
        <f t="shared" si="536"/>
        <v>0</v>
      </c>
      <c r="CO203" s="82">
        <f t="shared" si="537"/>
        <v>0</v>
      </c>
      <c r="CP203" s="82">
        <f t="shared" si="538"/>
        <v>0</v>
      </c>
      <c r="CQ203" s="82">
        <f t="shared" si="539"/>
        <v>0</v>
      </c>
      <c r="CR203" s="82">
        <f t="shared" si="540"/>
        <v>0</v>
      </c>
      <c r="CS203" s="82">
        <f t="shared" si="541"/>
        <v>0</v>
      </c>
      <c r="CT203" s="82">
        <f t="shared" si="542"/>
        <v>0</v>
      </c>
      <c r="CU203" s="82">
        <f t="shared" si="543"/>
        <v>0</v>
      </c>
      <c r="CV203" s="82">
        <f t="shared" si="544"/>
        <v>0</v>
      </c>
      <c r="CW203" s="82">
        <f t="shared" si="545"/>
        <v>0</v>
      </c>
      <c r="CX203" s="82">
        <f t="shared" si="546"/>
        <v>0</v>
      </c>
      <c r="CY203" s="82">
        <f t="shared" si="547"/>
        <v>0</v>
      </c>
      <c r="CZ203" s="82">
        <f t="shared" si="548"/>
        <v>0</v>
      </c>
      <c r="DA203" s="82">
        <f t="shared" si="549"/>
        <v>0</v>
      </c>
      <c r="DB203" s="82">
        <f t="shared" si="550"/>
        <v>0</v>
      </c>
      <c r="DC203" s="82">
        <f t="shared" si="551"/>
        <v>0</v>
      </c>
      <c r="DD203" s="82">
        <f t="shared" si="552"/>
        <v>0</v>
      </c>
      <c r="DE203" s="82">
        <f t="shared" si="553"/>
        <v>0</v>
      </c>
      <c r="DF203" s="82">
        <f t="shared" si="554"/>
        <v>0</v>
      </c>
      <c r="DG203" s="82">
        <f t="shared" si="555"/>
        <v>0</v>
      </c>
      <c r="DH203" s="82">
        <f t="shared" si="556"/>
        <v>0</v>
      </c>
      <c r="DI203" s="82">
        <f t="shared" si="557"/>
        <v>0</v>
      </c>
      <c r="DJ203" s="82">
        <f t="shared" si="558"/>
        <v>0</v>
      </c>
      <c r="DK203" s="82">
        <f t="shared" si="559"/>
        <v>0</v>
      </c>
      <c r="DL203" s="82">
        <f t="shared" si="560"/>
        <v>0</v>
      </c>
      <c r="DM203" s="82">
        <f t="shared" si="561"/>
        <v>0</v>
      </c>
      <c r="DN203" s="82">
        <f t="shared" si="562"/>
        <v>0</v>
      </c>
      <c r="DO203" s="82">
        <f t="shared" si="563"/>
        <v>0</v>
      </c>
      <c r="DP203" s="82">
        <f t="shared" si="564"/>
        <v>0</v>
      </c>
      <c r="DQ203" s="82">
        <f t="shared" si="565"/>
        <v>0</v>
      </c>
      <c r="DR203" s="82">
        <f t="shared" si="566"/>
        <v>0</v>
      </c>
      <c r="DS203" s="82">
        <f t="shared" si="567"/>
        <v>0</v>
      </c>
      <c r="DT203" s="82">
        <f t="shared" si="568"/>
        <v>0</v>
      </c>
      <c r="DU203" s="82">
        <f t="shared" si="569"/>
        <v>0</v>
      </c>
      <c r="DV203" s="82">
        <f t="shared" si="570"/>
        <v>0</v>
      </c>
      <c r="DW203" s="82">
        <f t="shared" si="571"/>
        <v>0</v>
      </c>
      <c r="DX203" s="82">
        <f t="shared" si="572"/>
        <v>0</v>
      </c>
      <c r="DY203" s="82">
        <f t="shared" si="573"/>
        <v>0</v>
      </c>
      <c r="DZ203" s="82">
        <f t="shared" si="574"/>
        <v>0</v>
      </c>
      <c r="EA203" s="82">
        <f t="shared" si="575"/>
        <v>0</v>
      </c>
      <c r="EB203" s="82">
        <f t="shared" si="576"/>
        <v>0</v>
      </c>
      <c r="EC203" s="82">
        <f t="shared" si="577"/>
        <v>0</v>
      </c>
      <c r="ED203" s="82">
        <f t="shared" si="578"/>
        <v>0</v>
      </c>
      <c r="EE203" s="82">
        <f t="shared" si="579"/>
        <v>0</v>
      </c>
      <c r="EF203" s="82">
        <f t="shared" si="580"/>
        <v>0</v>
      </c>
      <c r="EG203" s="82">
        <f t="shared" si="581"/>
        <v>0</v>
      </c>
      <c r="EH203" s="82">
        <f t="shared" si="582"/>
        <v>0</v>
      </c>
      <c r="EI203" s="82">
        <f t="shared" si="583"/>
        <v>0</v>
      </c>
      <c r="EJ203" s="82">
        <f t="shared" si="584"/>
        <v>0</v>
      </c>
      <c r="EK203" s="82">
        <f t="shared" si="585"/>
        <v>0</v>
      </c>
      <c r="EL203" s="82">
        <f t="shared" si="586"/>
        <v>0</v>
      </c>
      <c r="EM203" s="82">
        <f t="shared" si="587"/>
        <v>0</v>
      </c>
      <c r="EN203" s="82">
        <f t="shared" si="588"/>
        <v>0</v>
      </c>
      <c r="EO203" s="82">
        <f t="shared" si="589"/>
        <v>0</v>
      </c>
      <c r="EP203" s="82">
        <f t="shared" si="590"/>
        <v>0</v>
      </c>
      <c r="EQ203" s="82">
        <f t="shared" si="591"/>
        <v>0</v>
      </c>
      <c r="ER203" s="82">
        <f t="shared" si="592"/>
        <v>0</v>
      </c>
      <c r="ES203" s="82">
        <f t="shared" si="593"/>
        <v>0</v>
      </c>
      <c r="ET203" s="82">
        <f t="shared" si="594"/>
        <v>0</v>
      </c>
      <c r="EU203" s="82">
        <f t="shared" si="595"/>
        <v>0</v>
      </c>
      <c r="EV203" s="82">
        <f t="shared" si="596"/>
        <v>0</v>
      </c>
      <c r="EW203" s="82">
        <f t="shared" si="597"/>
        <v>0</v>
      </c>
      <c r="EX203" s="82">
        <f t="shared" si="598"/>
        <v>0</v>
      </c>
      <c r="EY203" s="111">
        <f t="shared" si="599"/>
        <v>0</v>
      </c>
      <c r="EZ203" s="143" t="e">
        <f t="shared" ca="1" si="600"/>
        <v>#N/A</v>
      </c>
      <c r="FA203" s="112" t="e">
        <f t="shared" ca="1" si="601"/>
        <v>#N/A</v>
      </c>
      <c r="FB203" s="113" t="e">
        <f t="shared" ca="1" si="602"/>
        <v>#N/A</v>
      </c>
      <c r="FC203" s="114" t="e">
        <f t="shared" ca="1" si="603"/>
        <v>#N/A</v>
      </c>
      <c r="FD203" s="115">
        <f t="shared" ca="1" si="604"/>
        <v>0</v>
      </c>
      <c r="FE203" s="116" t="e">
        <f t="shared" ca="1" si="605"/>
        <v>#N/A</v>
      </c>
      <c r="FF203" s="117" t="e">
        <f t="shared" ca="1" si="606"/>
        <v>#N/A</v>
      </c>
      <c r="FG203" s="71">
        <f t="shared" si="607"/>
        <v>0</v>
      </c>
      <c r="FH203" s="530" t="e">
        <f t="shared" ca="1" si="608"/>
        <v>#N/A</v>
      </c>
      <c r="FI203" s="72"/>
      <c r="FJ203" s="72"/>
      <c r="FK203" s="72"/>
      <c r="FM203" s="421">
        <f t="shared" si="609"/>
        <v>0</v>
      </c>
      <c r="FN203" s="422" t="e">
        <f t="shared" ca="1" si="610"/>
        <v>#N/A</v>
      </c>
      <c r="FO203" s="423">
        <f t="shared" ca="1" si="620"/>
        <v>0</v>
      </c>
      <c r="FP203" s="423">
        <f t="shared" ca="1" si="620"/>
        <v>0</v>
      </c>
      <c r="FQ203" s="423">
        <f t="shared" ca="1" si="620"/>
        <v>0</v>
      </c>
      <c r="FR203" s="423">
        <f t="shared" ca="1" si="620"/>
        <v>0</v>
      </c>
      <c r="FS203" s="423">
        <f t="shared" ca="1" si="620"/>
        <v>0</v>
      </c>
      <c r="FT203" s="423">
        <f t="shared" ca="1" si="620"/>
        <v>0</v>
      </c>
      <c r="FU203" s="423">
        <f t="shared" ca="1" si="620"/>
        <v>0</v>
      </c>
      <c r="FV203" s="423">
        <f t="shared" ca="1" si="620"/>
        <v>0</v>
      </c>
      <c r="FW203" s="423">
        <f t="shared" ca="1" si="620"/>
        <v>0</v>
      </c>
      <c r="FX203" s="423">
        <f t="shared" ca="1" si="620"/>
        <v>0</v>
      </c>
      <c r="FY203" s="423">
        <f t="shared" ca="1" si="620"/>
        <v>0</v>
      </c>
      <c r="FZ203" s="423">
        <f t="shared" ca="1" si="620"/>
        <v>0</v>
      </c>
      <c r="GA203" s="423">
        <f t="shared" ca="1" si="620"/>
        <v>0</v>
      </c>
      <c r="GB203" s="423">
        <f t="shared" ca="1" si="620"/>
        <v>0</v>
      </c>
      <c r="GC203" s="423">
        <f t="shared" ca="1" si="620"/>
        <v>0</v>
      </c>
      <c r="GD203" s="423">
        <f t="shared" ca="1" si="620"/>
        <v>0</v>
      </c>
      <c r="GE203" s="423">
        <f t="shared" ca="1" si="618"/>
        <v>0</v>
      </c>
      <c r="GF203" s="423">
        <f t="shared" ca="1" si="618"/>
        <v>0</v>
      </c>
      <c r="GG203" s="423">
        <f t="shared" ca="1" si="618"/>
        <v>0</v>
      </c>
      <c r="GH203" s="423">
        <f t="shared" ca="1" si="618"/>
        <v>0</v>
      </c>
      <c r="GI203" s="423">
        <f t="shared" ca="1" si="618"/>
        <v>0</v>
      </c>
      <c r="GJ203" s="423">
        <f t="shared" ca="1" si="618"/>
        <v>0</v>
      </c>
      <c r="GK203" s="423">
        <f t="shared" ca="1" si="618"/>
        <v>0</v>
      </c>
      <c r="GL203" s="423">
        <f t="shared" ca="1" si="618"/>
        <v>0</v>
      </c>
      <c r="GM203" s="423">
        <f t="shared" ca="1" si="618"/>
        <v>0</v>
      </c>
      <c r="GN203" s="423">
        <f t="shared" ca="1" si="618"/>
        <v>0</v>
      </c>
      <c r="GO203" s="423">
        <f t="shared" ca="1" si="618"/>
        <v>0</v>
      </c>
      <c r="GP203" s="423">
        <f t="shared" ca="1" si="618"/>
        <v>0</v>
      </c>
      <c r="GQ203" s="423">
        <f t="shared" ca="1" si="618"/>
        <v>0</v>
      </c>
      <c r="GR203" s="423">
        <f t="shared" ca="1" si="618"/>
        <v>0</v>
      </c>
      <c r="GS203" s="423">
        <f t="shared" ca="1" si="618"/>
        <v>0</v>
      </c>
      <c r="GT203" s="423">
        <f t="shared" ca="1" si="618"/>
        <v>0</v>
      </c>
      <c r="GU203" s="423">
        <f t="shared" ref="GU203:HJ218" ca="1" si="621">IFERROR(ROUNDDOWN(SUMIF($H203:$CC203,GU$11,$CD203:$EX203)/GU$10,0),0)</f>
        <v>0</v>
      </c>
      <c r="GV203" s="423">
        <f t="shared" ca="1" si="621"/>
        <v>0</v>
      </c>
      <c r="GW203" s="423">
        <f t="shared" ca="1" si="621"/>
        <v>0</v>
      </c>
      <c r="GX203" s="423">
        <f t="shared" ca="1" si="621"/>
        <v>0</v>
      </c>
      <c r="GY203" s="423">
        <f t="shared" ca="1" si="621"/>
        <v>0</v>
      </c>
      <c r="GZ203" s="423">
        <f t="shared" ca="1" si="621"/>
        <v>0</v>
      </c>
      <c r="HA203" s="423">
        <f t="shared" ca="1" si="621"/>
        <v>0</v>
      </c>
      <c r="HB203" s="423">
        <f t="shared" ca="1" si="621"/>
        <v>0</v>
      </c>
      <c r="HC203" s="423">
        <f t="shared" ca="1" si="621"/>
        <v>0</v>
      </c>
      <c r="HD203" s="423">
        <f t="shared" ca="1" si="621"/>
        <v>0</v>
      </c>
      <c r="HE203" s="423">
        <f t="shared" ca="1" si="621"/>
        <v>0</v>
      </c>
      <c r="HF203" s="423">
        <f t="shared" ca="1" si="621"/>
        <v>0</v>
      </c>
      <c r="HG203" s="423">
        <f t="shared" ca="1" si="621"/>
        <v>0</v>
      </c>
      <c r="HH203" s="423">
        <f t="shared" ca="1" si="621"/>
        <v>0</v>
      </c>
      <c r="HI203" s="423">
        <f t="shared" ca="1" si="619"/>
        <v>0</v>
      </c>
      <c r="HJ203" s="423">
        <f t="shared" ca="1" si="619"/>
        <v>0</v>
      </c>
      <c r="HK203" s="423">
        <f t="shared" ca="1" si="619"/>
        <v>0</v>
      </c>
      <c r="HL203" s="423">
        <f t="shared" ca="1" si="619"/>
        <v>0</v>
      </c>
      <c r="HM203" s="423">
        <f t="shared" ca="1" si="619"/>
        <v>0</v>
      </c>
      <c r="HN203" s="423">
        <f t="shared" ca="1" si="619"/>
        <v>0</v>
      </c>
      <c r="HO203" s="423">
        <f t="shared" ca="1" si="619"/>
        <v>0</v>
      </c>
      <c r="HP203" s="423">
        <f t="shared" ca="1" si="619"/>
        <v>0</v>
      </c>
      <c r="HQ203" s="423">
        <f t="shared" ca="1" si="619"/>
        <v>0</v>
      </c>
      <c r="HR203" s="423">
        <f t="shared" ca="1" si="619"/>
        <v>0</v>
      </c>
      <c r="HS203" s="423">
        <f t="shared" ca="1" si="619"/>
        <v>0</v>
      </c>
      <c r="HT203" s="423">
        <f t="shared" ca="1" si="619"/>
        <v>0</v>
      </c>
    </row>
    <row r="204" spans="1:228" x14ac:dyDescent="0.2">
      <c r="A204" s="62">
        <f t="shared" si="516"/>
        <v>193</v>
      </c>
      <c r="B204" s="60">
        <f>Spaces_Sum!C249</f>
        <v>0</v>
      </c>
      <c r="C204" s="62" t="str">
        <f>Spaces_Sum!D249</f>
        <v>0</v>
      </c>
      <c r="D204" s="62" t="e">
        <f ca="1">Spaces_Sum!I249</f>
        <v>#N/A</v>
      </c>
      <c r="F204" s="110" t="e">
        <f ca="1">Spaces_Sum!M249</f>
        <v>#N/A</v>
      </c>
      <c r="G204" s="110" t="e">
        <f ca="1">Spaces_Sum!J249</f>
        <v>#N/A</v>
      </c>
      <c r="H204" s="532"/>
      <c r="I204" s="185"/>
      <c r="J204" s="185"/>
      <c r="K204" s="186"/>
      <c r="L204" s="187"/>
      <c r="M204" s="188"/>
      <c r="N204" s="189"/>
      <c r="O204" s="186"/>
      <c r="P204" s="187"/>
      <c r="Q204" s="188"/>
      <c r="R204" s="189"/>
      <c r="S204" s="186"/>
      <c r="T204" s="187"/>
      <c r="U204" s="188"/>
      <c r="V204" s="189"/>
      <c r="W204" s="186"/>
      <c r="X204" s="187"/>
      <c r="Y204" s="188"/>
      <c r="Z204" s="189"/>
      <c r="AA204" s="186"/>
      <c r="AB204" s="187"/>
      <c r="AC204" s="188"/>
      <c r="AD204" s="189"/>
      <c r="AE204" s="186"/>
      <c r="AF204" s="187"/>
      <c r="AG204" s="188"/>
      <c r="AH204" s="189"/>
      <c r="AI204" s="186"/>
      <c r="AJ204" s="187"/>
      <c r="AK204" s="188"/>
      <c r="AL204" s="189"/>
      <c r="AM204" s="186"/>
      <c r="AN204" s="187"/>
      <c r="AO204" s="188"/>
      <c r="AP204" s="189"/>
      <c r="AQ204" s="186"/>
      <c r="AR204" s="187"/>
      <c r="AS204" s="188"/>
      <c r="AT204" s="189"/>
      <c r="AU204" s="186"/>
      <c r="AV204" s="187"/>
      <c r="AW204" s="188"/>
      <c r="AX204" s="189"/>
      <c r="AY204" s="186"/>
      <c r="AZ204" s="187"/>
      <c r="BA204" s="188"/>
      <c r="BB204" s="189"/>
      <c r="BC204" s="186"/>
      <c r="BD204" s="187"/>
      <c r="BE204" s="188"/>
      <c r="BF204" s="189"/>
      <c r="BG204" s="186"/>
      <c r="BH204" s="187"/>
      <c r="BI204" s="188"/>
      <c r="BJ204" s="189"/>
      <c r="BK204" s="186"/>
      <c r="BL204" s="187"/>
      <c r="BM204" s="188"/>
      <c r="BN204" s="189"/>
      <c r="BO204" s="186"/>
      <c r="BP204" s="187"/>
      <c r="BQ204" s="188"/>
      <c r="BR204" s="189"/>
      <c r="BS204" s="186"/>
      <c r="BT204" s="187"/>
      <c r="BU204" s="188"/>
      <c r="BV204" s="189"/>
      <c r="BW204" s="186"/>
      <c r="BX204" s="187"/>
      <c r="BY204" s="188"/>
      <c r="BZ204" s="189"/>
      <c r="CA204" s="186"/>
      <c r="CB204" s="190"/>
      <c r="CC204" s="190"/>
      <c r="CD204" s="82">
        <f t="shared" si="526"/>
        <v>0</v>
      </c>
      <c r="CE204" s="82">
        <f t="shared" si="527"/>
        <v>0</v>
      </c>
      <c r="CF204" s="82">
        <f t="shared" si="528"/>
        <v>0</v>
      </c>
      <c r="CG204" s="82">
        <f t="shared" si="529"/>
        <v>0</v>
      </c>
      <c r="CH204" s="82">
        <f t="shared" si="530"/>
        <v>0</v>
      </c>
      <c r="CI204" s="82">
        <f t="shared" si="531"/>
        <v>0</v>
      </c>
      <c r="CJ204" s="82">
        <f t="shared" si="532"/>
        <v>0</v>
      </c>
      <c r="CK204" s="82">
        <f t="shared" si="533"/>
        <v>0</v>
      </c>
      <c r="CL204" s="82">
        <f t="shared" si="534"/>
        <v>0</v>
      </c>
      <c r="CM204" s="82">
        <f t="shared" si="535"/>
        <v>0</v>
      </c>
      <c r="CN204" s="82">
        <f t="shared" si="536"/>
        <v>0</v>
      </c>
      <c r="CO204" s="82">
        <f t="shared" si="537"/>
        <v>0</v>
      </c>
      <c r="CP204" s="82">
        <f t="shared" si="538"/>
        <v>0</v>
      </c>
      <c r="CQ204" s="82">
        <f t="shared" si="539"/>
        <v>0</v>
      </c>
      <c r="CR204" s="82">
        <f t="shared" si="540"/>
        <v>0</v>
      </c>
      <c r="CS204" s="82">
        <f t="shared" si="541"/>
        <v>0</v>
      </c>
      <c r="CT204" s="82">
        <f t="shared" si="542"/>
        <v>0</v>
      </c>
      <c r="CU204" s="82">
        <f t="shared" si="543"/>
        <v>0</v>
      </c>
      <c r="CV204" s="82">
        <f t="shared" si="544"/>
        <v>0</v>
      </c>
      <c r="CW204" s="82">
        <f t="shared" si="545"/>
        <v>0</v>
      </c>
      <c r="CX204" s="82">
        <f t="shared" si="546"/>
        <v>0</v>
      </c>
      <c r="CY204" s="82">
        <f t="shared" si="547"/>
        <v>0</v>
      </c>
      <c r="CZ204" s="82">
        <f t="shared" si="548"/>
        <v>0</v>
      </c>
      <c r="DA204" s="82">
        <f t="shared" si="549"/>
        <v>0</v>
      </c>
      <c r="DB204" s="82">
        <f t="shared" si="550"/>
        <v>0</v>
      </c>
      <c r="DC204" s="82">
        <f t="shared" si="551"/>
        <v>0</v>
      </c>
      <c r="DD204" s="82">
        <f t="shared" si="552"/>
        <v>0</v>
      </c>
      <c r="DE204" s="82">
        <f t="shared" si="553"/>
        <v>0</v>
      </c>
      <c r="DF204" s="82">
        <f t="shared" si="554"/>
        <v>0</v>
      </c>
      <c r="DG204" s="82">
        <f t="shared" si="555"/>
        <v>0</v>
      </c>
      <c r="DH204" s="82">
        <f t="shared" si="556"/>
        <v>0</v>
      </c>
      <c r="DI204" s="82">
        <f t="shared" si="557"/>
        <v>0</v>
      </c>
      <c r="DJ204" s="82">
        <f t="shared" si="558"/>
        <v>0</v>
      </c>
      <c r="DK204" s="82">
        <f t="shared" si="559"/>
        <v>0</v>
      </c>
      <c r="DL204" s="82">
        <f t="shared" si="560"/>
        <v>0</v>
      </c>
      <c r="DM204" s="82">
        <f t="shared" si="561"/>
        <v>0</v>
      </c>
      <c r="DN204" s="82">
        <f t="shared" si="562"/>
        <v>0</v>
      </c>
      <c r="DO204" s="82">
        <f t="shared" si="563"/>
        <v>0</v>
      </c>
      <c r="DP204" s="82">
        <f t="shared" si="564"/>
        <v>0</v>
      </c>
      <c r="DQ204" s="82">
        <f t="shared" si="565"/>
        <v>0</v>
      </c>
      <c r="DR204" s="82">
        <f t="shared" si="566"/>
        <v>0</v>
      </c>
      <c r="DS204" s="82">
        <f t="shared" si="567"/>
        <v>0</v>
      </c>
      <c r="DT204" s="82">
        <f t="shared" si="568"/>
        <v>0</v>
      </c>
      <c r="DU204" s="82">
        <f t="shared" si="569"/>
        <v>0</v>
      </c>
      <c r="DV204" s="82">
        <f t="shared" si="570"/>
        <v>0</v>
      </c>
      <c r="DW204" s="82">
        <f t="shared" si="571"/>
        <v>0</v>
      </c>
      <c r="DX204" s="82">
        <f t="shared" si="572"/>
        <v>0</v>
      </c>
      <c r="DY204" s="82">
        <f t="shared" si="573"/>
        <v>0</v>
      </c>
      <c r="DZ204" s="82">
        <f t="shared" si="574"/>
        <v>0</v>
      </c>
      <c r="EA204" s="82">
        <f t="shared" si="575"/>
        <v>0</v>
      </c>
      <c r="EB204" s="82">
        <f t="shared" si="576"/>
        <v>0</v>
      </c>
      <c r="EC204" s="82">
        <f t="shared" si="577"/>
        <v>0</v>
      </c>
      <c r="ED204" s="82">
        <f t="shared" si="578"/>
        <v>0</v>
      </c>
      <c r="EE204" s="82">
        <f t="shared" si="579"/>
        <v>0</v>
      </c>
      <c r="EF204" s="82">
        <f t="shared" si="580"/>
        <v>0</v>
      </c>
      <c r="EG204" s="82">
        <f t="shared" si="581"/>
        <v>0</v>
      </c>
      <c r="EH204" s="82">
        <f t="shared" si="582"/>
        <v>0</v>
      </c>
      <c r="EI204" s="82">
        <f t="shared" si="583"/>
        <v>0</v>
      </c>
      <c r="EJ204" s="82">
        <f t="shared" si="584"/>
        <v>0</v>
      </c>
      <c r="EK204" s="82">
        <f t="shared" si="585"/>
        <v>0</v>
      </c>
      <c r="EL204" s="82">
        <f t="shared" si="586"/>
        <v>0</v>
      </c>
      <c r="EM204" s="82">
        <f t="shared" si="587"/>
        <v>0</v>
      </c>
      <c r="EN204" s="82">
        <f t="shared" si="588"/>
        <v>0</v>
      </c>
      <c r="EO204" s="82">
        <f t="shared" si="589"/>
        <v>0</v>
      </c>
      <c r="EP204" s="82">
        <f t="shared" si="590"/>
        <v>0</v>
      </c>
      <c r="EQ204" s="82">
        <f t="shared" si="591"/>
        <v>0</v>
      </c>
      <c r="ER204" s="82">
        <f t="shared" si="592"/>
        <v>0</v>
      </c>
      <c r="ES204" s="82">
        <f t="shared" si="593"/>
        <v>0</v>
      </c>
      <c r="ET204" s="82">
        <f t="shared" si="594"/>
        <v>0</v>
      </c>
      <c r="EU204" s="82">
        <f t="shared" si="595"/>
        <v>0</v>
      </c>
      <c r="EV204" s="82">
        <f t="shared" si="596"/>
        <v>0</v>
      </c>
      <c r="EW204" s="82">
        <f t="shared" si="597"/>
        <v>0</v>
      </c>
      <c r="EX204" s="82">
        <f t="shared" si="598"/>
        <v>0</v>
      </c>
      <c r="EY204" s="111">
        <f t="shared" si="599"/>
        <v>0</v>
      </c>
      <c r="EZ204" s="143" t="e">
        <f t="shared" ca="1" si="600"/>
        <v>#N/A</v>
      </c>
      <c r="FA204" s="112" t="e">
        <f t="shared" ca="1" si="601"/>
        <v>#N/A</v>
      </c>
      <c r="FB204" s="113" t="e">
        <f t="shared" ca="1" si="602"/>
        <v>#N/A</v>
      </c>
      <c r="FC204" s="114" t="e">
        <f t="shared" ca="1" si="603"/>
        <v>#N/A</v>
      </c>
      <c r="FD204" s="115">
        <f t="shared" ca="1" si="604"/>
        <v>0</v>
      </c>
      <c r="FE204" s="116" t="e">
        <f t="shared" ca="1" si="605"/>
        <v>#N/A</v>
      </c>
      <c r="FF204" s="117" t="e">
        <f t="shared" ca="1" si="606"/>
        <v>#N/A</v>
      </c>
      <c r="FG204" s="71">
        <f t="shared" si="607"/>
        <v>0</v>
      </c>
      <c r="FH204" s="530" t="e">
        <f t="shared" ca="1" si="608"/>
        <v>#N/A</v>
      </c>
      <c r="FI204" s="72"/>
      <c r="FJ204" s="72"/>
      <c r="FK204" s="72"/>
      <c r="FM204" s="421">
        <f t="shared" si="609"/>
        <v>0</v>
      </c>
      <c r="FN204" s="422" t="e">
        <f t="shared" ca="1" si="610"/>
        <v>#N/A</v>
      </c>
      <c r="FO204" s="423">
        <f t="shared" ca="1" si="620"/>
        <v>0</v>
      </c>
      <c r="FP204" s="423">
        <f t="shared" ca="1" si="620"/>
        <v>0</v>
      </c>
      <c r="FQ204" s="423">
        <f t="shared" ca="1" si="620"/>
        <v>0</v>
      </c>
      <c r="FR204" s="423">
        <f t="shared" ca="1" si="620"/>
        <v>0</v>
      </c>
      <c r="FS204" s="423">
        <f t="shared" ca="1" si="620"/>
        <v>0</v>
      </c>
      <c r="FT204" s="423">
        <f t="shared" ca="1" si="620"/>
        <v>0</v>
      </c>
      <c r="FU204" s="423">
        <f t="shared" ca="1" si="620"/>
        <v>0</v>
      </c>
      <c r="FV204" s="423">
        <f t="shared" ca="1" si="620"/>
        <v>0</v>
      </c>
      <c r="FW204" s="423">
        <f t="shared" ca="1" si="620"/>
        <v>0</v>
      </c>
      <c r="FX204" s="423">
        <f t="shared" ca="1" si="620"/>
        <v>0</v>
      </c>
      <c r="FY204" s="423">
        <f t="shared" ca="1" si="620"/>
        <v>0</v>
      </c>
      <c r="FZ204" s="423">
        <f t="shared" ca="1" si="620"/>
        <v>0</v>
      </c>
      <c r="GA204" s="423">
        <f t="shared" ca="1" si="620"/>
        <v>0</v>
      </c>
      <c r="GB204" s="423">
        <f t="shared" ca="1" si="620"/>
        <v>0</v>
      </c>
      <c r="GC204" s="423">
        <f t="shared" ca="1" si="620"/>
        <v>0</v>
      </c>
      <c r="GD204" s="423">
        <f t="shared" ref="GD204:GS219" ca="1" si="622">IFERROR(ROUNDDOWN(SUMIF($H204:$CC204,GD$11,$CD204:$EX204)/GD$10,0),0)</f>
        <v>0</v>
      </c>
      <c r="GE204" s="423">
        <f t="shared" ca="1" si="622"/>
        <v>0</v>
      </c>
      <c r="GF204" s="423">
        <f t="shared" ca="1" si="622"/>
        <v>0</v>
      </c>
      <c r="GG204" s="423">
        <f t="shared" ca="1" si="622"/>
        <v>0</v>
      </c>
      <c r="GH204" s="423">
        <f t="shared" ca="1" si="622"/>
        <v>0</v>
      </c>
      <c r="GI204" s="423">
        <f t="shared" ca="1" si="622"/>
        <v>0</v>
      </c>
      <c r="GJ204" s="423">
        <f t="shared" ca="1" si="622"/>
        <v>0</v>
      </c>
      <c r="GK204" s="423">
        <f t="shared" ca="1" si="622"/>
        <v>0</v>
      </c>
      <c r="GL204" s="423">
        <f t="shared" ca="1" si="622"/>
        <v>0</v>
      </c>
      <c r="GM204" s="423">
        <f t="shared" ca="1" si="622"/>
        <v>0</v>
      </c>
      <c r="GN204" s="423">
        <f t="shared" ca="1" si="622"/>
        <v>0</v>
      </c>
      <c r="GO204" s="423">
        <f t="shared" ca="1" si="622"/>
        <v>0</v>
      </c>
      <c r="GP204" s="423">
        <f t="shared" ca="1" si="622"/>
        <v>0</v>
      </c>
      <c r="GQ204" s="423">
        <f t="shared" ca="1" si="622"/>
        <v>0</v>
      </c>
      <c r="GR204" s="423">
        <f t="shared" ca="1" si="622"/>
        <v>0</v>
      </c>
      <c r="GS204" s="423">
        <f t="shared" ca="1" si="622"/>
        <v>0</v>
      </c>
      <c r="GT204" s="423">
        <f t="shared" ref="GT204:HI219" ca="1" si="623">IFERROR(ROUNDDOWN(SUMIF($H204:$CC204,GT$11,$CD204:$EX204)/GT$10,0),0)</f>
        <v>0</v>
      </c>
      <c r="GU204" s="423">
        <f t="shared" ca="1" si="621"/>
        <v>0</v>
      </c>
      <c r="GV204" s="423">
        <f t="shared" ca="1" si="621"/>
        <v>0</v>
      </c>
      <c r="GW204" s="423">
        <f t="shared" ca="1" si="621"/>
        <v>0</v>
      </c>
      <c r="GX204" s="423">
        <f t="shared" ca="1" si="621"/>
        <v>0</v>
      </c>
      <c r="GY204" s="423">
        <f t="shared" ca="1" si="621"/>
        <v>0</v>
      </c>
      <c r="GZ204" s="423">
        <f t="shared" ca="1" si="621"/>
        <v>0</v>
      </c>
      <c r="HA204" s="423">
        <f t="shared" ca="1" si="621"/>
        <v>0</v>
      </c>
      <c r="HB204" s="423">
        <f t="shared" ca="1" si="621"/>
        <v>0</v>
      </c>
      <c r="HC204" s="423">
        <f t="shared" ca="1" si="621"/>
        <v>0</v>
      </c>
      <c r="HD204" s="423">
        <f t="shared" ca="1" si="621"/>
        <v>0</v>
      </c>
      <c r="HE204" s="423">
        <f t="shared" ca="1" si="621"/>
        <v>0</v>
      </c>
      <c r="HF204" s="423">
        <f t="shared" ca="1" si="621"/>
        <v>0</v>
      </c>
      <c r="HG204" s="423">
        <f t="shared" ca="1" si="621"/>
        <v>0</v>
      </c>
      <c r="HH204" s="423">
        <f t="shared" ca="1" si="621"/>
        <v>0</v>
      </c>
      <c r="HI204" s="423">
        <f t="shared" ca="1" si="621"/>
        <v>0</v>
      </c>
      <c r="HJ204" s="423">
        <f t="shared" ca="1" si="621"/>
        <v>0</v>
      </c>
      <c r="HK204" s="423">
        <f t="shared" ref="HK204:HT219" ca="1" si="624">IFERROR(ROUNDDOWN(SUMIF($H204:$CC204,HK$11,$CD204:$EX204)/HK$10,0),0)</f>
        <v>0</v>
      </c>
      <c r="HL204" s="423">
        <f t="shared" ca="1" si="624"/>
        <v>0</v>
      </c>
      <c r="HM204" s="423">
        <f t="shared" ca="1" si="624"/>
        <v>0</v>
      </c>
      <c r="HN204" s="423">
        <f t="shared" ca="1" si="624"/>
        <v>0</v>
      </c>
      <c r="HO204" s="423">
        <f t="shared" ca="1" si="624"/>
        <v>0</v>
      </c>
      <c r="HP204" s="423">
        <f t="shared" ca="1" si="624"/>
        <v>0</v>
      </c>
      <c r="HQ204" s="423">
        <f t="shared" ca="1" si="624"/>
        <v>0</v>
      </c>
      <c r="HR204" s="423">
        <f t="shared" ca="1" si="624"/>
        <v>0</v>
      </c>
      <c r="HS204" s="423">
        <f t="shared" ca="1" si="624"/>
        <v>0</v>
      </c>
      <c r="HT204" s="423">
        <f t="shared" ca="1" si="624"/>
        <v>0</v>
      </c>
    </row>
    <row r="205" spans="1:228" x14ac:dyDescent="0.2">
      <c r="A205" s="62">
        <f t="shared" ref="A205:A221" si="625">A204+1</f>
        <v>194</v>
      </c>
      <c r="B205" s="60">
        <f>Spaces_Sum!C250</f>
        <v>0</v>
      </c>
      <c r="C205" s="62" t="str">
        <f>Spaces_Sum!D250</f>
        <v>0</v>
      </c>
      <c r="D205" s="62" t="e">
        <f ca="1">Spaces_Sum!I250</f>
        <v>#N/A</v>
      </c>
      <c r="F205" s="110" t="e">
        <f ca="1">Spaces_Sum!M250</f>
        <v>#N/A</v>
      </c>
      <c r="G205" s="110" t="e">
        <f ca="1">Spaces_Sum!J250</f>
        <v>#N/A</v>
      </c>
      <c r="H205" s="532"/>
      <c r="I205" s="185"/>
      <c r="J205" s="185"/>
      <c r="K205" s="186"/>
      <c r="L205" s="187"/>
      <c r="M205" s="188"/>
      <c r="N205" s="189"/>
      <c r="O205" s="186"/>
      <c r="P205" s="187"/>
      <c r="Q205" s="188"/>
      <c r="R205" s="189"/>
      <c r="S205" s="186"/>
      <c r="T205" s="187"/>
      <c r="U205" s="188"/>
      <c r="V205" s="189"/>
      <c r="W205" s="186"/>
      <c r="X205" s="187"/>
      <c r="Y205" s="188"/>
      <c r="Z205" s="189"/>
      <c r="AA205" s="186"/>
      <c r="AB205" s="187"/>
      <c r="AC205" s="188"/>
      <c r="AD205" s="189"/>
      <c r="AE205" s="186"/>
      <c r="AF205" s="187"/>
      <c r="AG205" s="188"/>
      <c r="AH205" s="189"/>
      <c r="AI205" s="186"/>
      <c r="AJ205" s="187"/>
      <c r="AK205" s="188"/>
      <c r="AL205" s="189"/>
      <c r="AM205" s="186"/>
      <c r="AN205" s="187"/>
      <c r="AO205" s="188"/>
      <c r="AP205" s="189"/>
      <c r="AQ205" s="186"/>
      <c r="AR205" s="187"/>
      <c r="AS205" s="188"/>
      <c r="AT205" s="189"/>
      <c r="AU205" s="186"/>
      <c r="AV205" s="187"/>
      <c r="AW205" s="188"/>
      <c r="AX205" s="189"/>
      <c r="AY205" s="186"/>
      <c r="AZ205" s="187"/>
      <c r="BA205" s="188"/>
      <c r="BB205" s="189"/>
      <c r="BC205" s="186"/>
      <c r="BD205" s="187"/>
      <c r="BE205" s="188"/>
      <c r="BF205" s="189"/>
      <c r="BG205" s="186"/>
      <c r="BH205" s="187"/>
      <c r="BI205" s="188"/>
      <c r="BJ205" s="189"/>
      <c r="BK205" s="186"/>
      <c r="BL205" s="187"/>
      <c r="BM205" s="188"/>
      <c r="BN205" s="189"/>
      <c r="BO205" s="186"/>
      <c r="BP205" s="187"/>
      <c r="BQ205" s="188"/>
      <c r="BR205" s="189"/>
      <c r="BS205" s="186"/>
      <c r="BT205" s="187"/>
      <c r="BU205" s="188"/>
      <c r="BV205" s="189"/>
      <c r="BW205" s="186"/>
      <c r="BX205" s="187"/>
      <c r="BY205" s="188"/>
      <c r="BZ205" s="189"/>
      <c r="CA205" s="186"/>
      <c r="CB205" s="190"/>
      <c r="CC205" s="190"/>
      <c r="CD205" s="82">
        <f t="shared" si="526"/>
        <v>0</v>
      </c>
      <c r="CE205" s="82">
        <f t="shared" si="527"/>
        <v>0</v>
      </c>
      <c r="CF205" s="82">
        <f t="shared" si="528"/>
        <v>0</v>
      </c>
      <c r="CG205" s="82">
        <f t="shared" si="529"/>
        <v>0</v>
      </c>
      <c r="CH205" s="82">
        <f t="shared" si="530"/>
        <v>0</v>
      </c>
      <c r="CI205" s="82">
        <f t="shared" si="531"/>
        <v>0</v>
      </c>
      <c r="CJ205" s="82">
        <f t="shared" si="532"/>
        <v>0</v>
      </c>
      <c r="CK205" s="82">
        <f t="shared" si="533"/>
        <v>0</v>
      </c>
      <c r="CL205" s="82">
        <f t="shared" si="534"/>
        <v>0</v>
      </c>
      <c r="CM205" s="82">
        <f t="shared" si="535"/>
        <v>0</v>
      </c>
      <c r="CN205" s="82">
        <f t="shared" si="536"/>
        <v>0</v>
      </c>
      <c r="CO205" s="82">
        <f t="shared" si="537"/>
        <v>0</v>
      </c>
      <c r="CP205" s="82">
        <f t="shared" si="538"/>
        <v>0</v>
      </c>
      <c r="CQ205" s="82">
        <f t="shared" si="539"/>
        <v>0</v>
      </c>
      <c r="CR205" s="82">
        <f t="shared" si="540"/>
        <v>0</v>
      </c>
      <c r="CS205" s="82">
        <f t="shared" si="541"/>
        <v>0</v>
      </c>
      <c r="CT205" s="82">
        <f t="shared" si="542"/>
        <v>0</v>
      </c>
      <c r="CU205" s="82">
        <f t="shared" si="543"/>
        <v>0</v>
      </c>
      <c r="CV205" s="82">
        <f t="shared" si="544"/>
        <v>0</v>
      </c>
      <c r="CW205" s="82">
        <f t="shared" si="545"/>
        <v>0</v>
      </c>
      <c r="CX205" s="82">
        <f t="shared" si="546"/>
        <v>0</v>
      </c>
      <c r="CY205" s="82">
        <f t="shared" si="547"/>
        <v>0</v>
      </c>
      <c r="CZ205" s="82">
        <f t="shared" si="548"/>
        <v>0</v>
      </c>
      <c r="DA205" s="82">
        <f t="shared" si="549"/>
        <v>0</v>
      </c>
      <c r="DB205" s="82">
        <f t="shared" si="550"/>
        <v>0</v>
      </c>
      <c r="DC205" s="82">
        <f t="shared" si="551"/>
        <v>0</v>
      </c>
      <c r="DD205" s="82">
        <f t="shared" si="552"/>
        <v>0</v>
      </c>
      <c r="DE205" s="82">
        <f t="shared" si="553"/>
        <v>0</v>
      </c>
      <c r="DF205" s="82">
        <f t="shared" si="554"/>
        <v>0</v>
      </c>
      <c r="DG205" s="82">
        <f t="shared" si="555"/>
        <v>0</v>
      </c>
      <c r="DH205" s="82">
        <f t="shared" si="556"/>
        <v>0</v>
      </c>
      <c r="DI205" s="82">
        <f t="shared" si="557"/>
        <v>0</v>
      </c>
      <c r="DJ205" s="82">
        <f t="shared" si="558"/>
        <v>0</v>
      </c>
      <c r="DK205" s="82">
        <f t="shared" si="559"/>
        <v>0</v>
      </c>
      <c r="DL205" s="82">
        <f t="shared" si="560"/>
        <v>0</v>
      </c>
      <c r="DM205" s="82">
        <f t="shared" si="561"/>
        <v>0</v>
      </c>
      <c r="DN205" s="82">
        <f t="shared" si="562"/>
        <v>0</v>
      </c>
      <c r="DO205" s="82">
        <f t="shared" si="563"/>
        <v>0</v>
      </c>
      <c r="DP205" s="82">
        <f t="shared" si="564"/>
        <v>0</v>
      </c>
      <c r="DQ205" s="82">
        <f t="shared" si="565"/>
        <v>0</v>
      </c>
      <c r="DR205" s="82">
        <f t="shared" si="566"/>
        <v>0</v>
      </c>
      <c r="DS205" s="82">
        <f t="shared" si="567"/>
        <v>0</v>
      </c>
      <c r="DT205" s="82">
        <f t="shared" si="568"/>
        <v>0</v>
      </c>
      <c r="DU205" s="82">
        <f t="shared" si="569"/>
        <v>0</v>
      </c>
      <c r="DV205" s="82">
        <f t="shared" si="570"/>
        <v>0</v>
      </c>
      <c r="DW205" s="82">
        <f t="shared" si="571"/>
        <v>0</v>
      </c>
      <c r="DX205" s="82">
        <f t="shared" si="572"/>
        <v>0</v>
      </c>
      <c r="DY205" s="82">
        <f t="shared" si="573"/>
        <v>0</v>
      </c>
      <c r="DZ205" s="82">
        <f t="shared" si="574"/>
        <v>0</v>
      </c>
      <c r="EA205" s="82">
        <f t="shared" si="575"/>
        <v>0</v>
      </c>
      <c r="EB205" s="82">
        <f t="shared" si="576"/>
        <v>0</v>
      </c>
      <c r="EC205" s="82">
        <f t="shared" si="577"/>
        <v>0</v>
      </c>
      <c r="ED205" s="82">
        <f t="shared" si="578"/>
        <v>0</v>
      </c>
      <c r="EE205" s="82">
        <f t="shared" si="579"/>
        <v>0</v>
      </c>
      <c r="EF205" s="82">
        <f t="shared" si="580"/>
        <v>0</v>
      </c>
      <c r="EG205" s="82">
        <f t="shared" si="581"/>
        <v>0</v>
      </c>
      <c r="EH205" s="82">
        <f t="shared" si="582"/>
        <v>0</v>
      </c>
      <c r="EI205" s="82">
        <f t="shared" si="583"/>
        <v>0</v>
      </c>
      <c r="EJ205" s="82">
        <f t="shared" si="584"/>
        <v>0</v>
      </c>
      <c r="EK205" s="82">
        <f t="shared" si="585"/>
        <v>0</v>
      </c>
      <c r="EL205" s="82">
        <f t="shared" si="586"/>
        <v>0</v>
      </c>
      <c r="EM205" s="82">
        <f t="shared" si="587"/>
        <v>0</v>
      </c>
      <c r="EN205" s="82">
        <f t="shared" si="588"/>
        <v>0</v>
      </c>
      <c r="EO205" s="82">
        <f t="shared" si="589"/>
        <v>0</v>
      </c>
      <c r="EP205" s="82">
        <f t="shared" si="590"/>
        <v>0</v>
      </c>
      <c r="EQ205" s="82">
        <f t="shared" si="591"/>
        <v>0</v>
      </c>
      <c r="ER205" s="82">
        <f t="shared" si="592"/>
        <v>0</v>
      </c>
      <c r="ES205" s="82">
        <f t="shared" si="593"/>
        <v>0</v>
      </c>
      <c r="ET205" s="82">
        <f t="shared" si="594"/>
        <v>0</v>
      </c>
      <c r="EU205" s="82">
        <f t="shared" si="595"/>
        <v>0</v>
      </c>
      <c r="EV205" s="82">
        <f t="shared" si="596"/>
        <v>0</v>
      </c>
      <c r="EW205" s="82">
        <f t="shared" si="597"/>
        <v>0</v>
      </c>
      <c r="EX205" s="82">
        <f t="shared" si="598"/>
        <v>0</v>
      </c>
      <c r="EY205" s="111">
        <f t="shared" si="599"/>
        <v>0</v>
      </c>
      <c r="EZ205" s="143" t="e">
        <f t="shared" ca="1" si="600"/>
        <v>#N/A</v>
      </c>
      <c r="FA205" s="112" t="e">
        <f t="shared" ca="1" si="601"/>
        <v>#N/A</v>
      </c>
      <c r="FB205" s="113" t="e">
        <f t="shared" ca="1" si="602"/>
        <v>#N/A</v>
      </c>
      <c r="FC205" s="114" t="e">
        <f t="shared" ca="1" si="603"/>
        <v>#N/A</v>
      </c>
      <c r="FD205" s="115">
        <f t="shared" ca="1" si="604"/>
        <v>0</v>
      </c>
      <c r="FE205" s="116" t="e">
        <f t="shared" ca="1" si="605"/>
        <v>#N/A</v>
      </c>
      <c r="FF205" s="117" t="e">
        <f t="shared" ca="1" si="606"/>
        <v>#N/A</v>
      </c>
      <c r="FG205" s="71">
        <f t="shared" si="607"/>
        <v>0</v>
      </c>
      <c r="FH205" s="530" t="e">
        <f t="shared" ca="1" si="608"/>
        <v>#N/A</v>
      </c>
      <c r="FI205" s="72"/>
      <c r="FJ205" s="72"/>
      <c r="FK205" s="72"/>
      <c r="FM205" s="421">
        <f t="shared" si="609"/>
        <v>0</v>
      </c>
      <c r="FN205" s="422" t="e">
        <f t="shared" ca="1" si="610"/>
        <v>#N/A</v>
      </c>
      <c r="FO205" s="423">
        <f t="shared" ref="FO205:GD220" ca="1" si="626">IFERROR(ROUNDDOWN(SUMIF($H205:$CC205,FO$11,$CD205:$EX205)/FO$10,0),0)</f>
        <v>0</v>
      </c>
      <c r="FP205" s="423">
        <f t="shared" ca="1" si="626"/>
        <v>0</v>
      </c>
      <c r="FQ205" s="423">
        <f t="shared" ca="1" si="626"/>
        <v>0</v>
      </c>
      <c r="FR205" s="423">
        <f t="shared" ca="1" si="626"/>
        <v>0</v>
      </c>
      <c r="FS205" s="423">
        <f t="shared" ca="1" si="626"/>
        <v>0</v>
      </c>
      <c r="FT205" s="423">
        <f t="shared" ca="1" si="626"/>
        <v>0</v>
      </c>
      <c r="FU205" s="423">
        <f t="shared" ca="1" si="626"/>
        <v>0</v>
      </c>
      <c r="FV205" s="423">
        <f t="shared" ca="1" si="626"/>
        <v>0</v>
      </c>
      <c r="FW205" s="423">
        <f t="shared" ca="1" si="626"/>
        <v>0</v>
      </c>
      <c r="FX205" s="423">
        <f t="shared" ca="1" si="626"/>
        <v>0</v>
      </c>
      <c r="FY205" s="423">
        <f t="shared" ca="1" si="626"/>
        <v>0</v>
      </c>
      <c r="FZ205" s="423">
        <f t="shared" ca="1" si="626"/>
        <v>0</v>
      </c>
      <c r="GA205" s="423">
        <f t="shared" ca="1" si="626"/>
        <v>0</v>
      </c>
      <c r="GB205" s="423">
        <f t="shared" ca="1" si="626"/>
        <v>0</v>
      </c>
      <c r="GC205" s="423">
        <f t="shared" ca="1" si="626"/>
        <v>0</v>
      </c>
      <c r="GD205" s="423">
        <f t="shared" ca="1" si="622"/>
        <v>0</v>
      </c>
      <c r="GE205" s="423">
        <f t="shared" ca="1" si="622"/>
        <v>0</v>
      </c>
      <c r="GF205" s="423">
        <f t="shared" ca="1" si="622"/>
        <v>0</v>
      </c>
      <c r="GG205" s="423">
        <f t="shared" ca="1" si="622"/>
        <v>0</v>
      </c>
      <c r="GH205" s="423">
        <f t="shared" ca="1" si="622"/>
        <v>0</v>
      </c>
      <c r="GI205" s="423">
        <f t="shared" ca="1" si="622"/>
        <v>0</v>
      </c>
      <c r="GJ205" s="423">
        <f t="shared" ca="1" si="622"/>
        <v>0</v>
      </c>
      <c r="GK205" s="423">
        <f t="shared" ca="1" si="622"/>
        <v>0</v>
      </c>
      <c r="GL205" s="423">
        <f t="shared" ca="1" si="622"/>
        <v>0</v>
      </c>
      <c r="GM205" s="423">
        <f t="shared" ca="1" si="622"/>
        <v>0</v>
      </c>
      <c r="GN205" s="423">
        <f t="shared" ca="1" si="622"/>
        <v>0</v>
      </c>
      <c r="GO205" s="423">
        <f t="shared" ca="1" si="622"/>
        <v>0</v>
      </c>
      <c r="GP205" s="423">
        <f t="shared" ca="1" si="622"/>
        <v>0</v>
      </c>
      <c r="GQ205" s="423">
        <f t="shared" ca="1" si="622"/>
        <v>0</v>
      </c>
      <c r="GR205" s="423">
        <f t="shared" ca="1" si="622"/>
        <v>0</v>
      </c>
      <c r="GS205" s="423">
        <f t="shared" ca="1" si="622"/>
        <v>0</v>
      </c>
      <c r="GT205" s="423">
        <f t="shared" ca="1" si="623"/>
        <v>0</v>
      </c>
      <c r="GU205" s="423">
        <f t="shared" ca="1" si="621"/>
        <v>0</v>
      </c>
      <c r="GV205" s="423">
        <f t="shared" ca="1" si="621"/>
        <v>0</v>
      </c>
      <c r="GW205" s="423">
        <f t="shared" ca="1" si="621"/>
        <v>0</v>
      </c>
      <c r="GX205" s="423">
        <f t="shared" ca="1" si="621"/>
        <v>0</v>
      </c>
      <c r="GY205" s="423">
        <f t="shared" ca="1" si="621"/>
        <v>0</v>
      </c>
      <c r="GZ205" s="423">
        <f t="shared" ca="1" si="621"/>
        <v>0</v>
      </c>
      <c r="HA205" s="423">
        <f t="shared" ca="1" si="621"/>
        <v>0</v>
      </c>
      <c r="HB205" s="423">
        <f t="shared" ca="1" si="621"/>
        <v>0</v>
      </c>
      <c r="HC205" s="423">
        <f t="shared" ca="1" si="621"/>
        <v>0</v>
      </c>
      <c r="HD205" s="423">
        <f t="shared" ca="1" si="621"/>
        <v>0</v>
      </c>
      <c r="HE205" s="423">
        <f t="shared" ca="1" si="621"/>
        <v>0</v>
      </c>
      <c r="HF205" s="423">
        <f t="shared" ca="1" si="621"/>
        <v>0</v>
      </c>
      <c r="HG205" s="423">
        <f t="shared" ca="1" si="621"/>
        <v>0</v>
      </c>
      <c r="HH205" s="423">
        <f t="shared" ca="1" si="621"/>
        <v>0</v>
      </c>
      <c r="HI205" s="423">
        <f t="shared" ca="1" si="621"/>
        <v>0</v>
      </c>
      <c r="HJ205" s="423">
        <f t="shared" ca="1" si="621"/>
        <v>0</v>
      </c>
      <c r="HK205" s="423">
        <f t="shared" ca="1" si="624"/>
        <v>0</v>
      </c>
      <c r="HL205" s="423">
        <f t="shared" ca="1" si="624"/>
        <v>0</v>
      </c>
      <c r="HM205" s="423">
        <f t="shared" ca="1" si="624"/>
        <v>0</v>
      </c>
      <c r="HN205" s="423">
        <f t="shared" ca="1" si="624"/>
        <v>0</v>
      </c>
      <c r="HO205" s="423">
        <f t="shared" ca="1" si="624"/>
        <v>0</v>
      </c>
      <c r="HP205" s="423">
        <f t="shared" ca="1" si="624"/>
        <v>0</v>
      </c>
      <c r="HQ205" s="423">
        <f t="shared" ca="1" si="624"/>
        <v>0</v>
      </c>
      <c r="HR205" s="423">
        <f t="shared" ca="1" si="624"/>
        <v>0</v>
      </c>
      <c r="HS205" s="423">
        <f t="shared" ca="1" si="624"/>
        <v>0</v>
      </c>
      <c r="HT205" s="423">
        <f t="shared" ca="1" si="624"/>
        <v>0</v>
      </c>
    </row>
    <row r="206" spans="1:228" x14ac:dyDescent="0.2">
      <c r="A206" s="62">
        <f t="shared" si="625"/>
        <v>195</v>
      </c>
      <c r="B206" s="60">
        <f>Spaces_Sum!C251</f>
        <v>0</v>
      </c>
      <c r="C206" s="62" t="str">
        <f>Spaces_Sum!D251</f>
        <v>0</v>
      </c>
      <c r="D206" s="62" t="e">
        <f ca="1">Spaces_Sum!I251</f>
        <v>#N/A</v>
      </c>
      <c r="F206" s="110" t="e">
        <f ca="1">Spaces_Sum!M251</f>
        <v>#N/A</v>
      </c>
      <c r="G206" s="110" t="e">
        <f ca="1">Spaces_Sum!J251</f>
        <v>#N/A</v>
      </c>
      <c r="H206" s="532"/>
      <c r="I206" s="185"/>
      <c r="J206" s="185"/>
      <c r="K206" s="186"/>
      <c r="L206" s="187"/>
      <c r="M206" s="188"/>
      <c r="N206" s="189"/>
      <c r="O206" s="186"/>
      <c r="P206" s="187"/>
      <c r="Q206" s="188"/>
      <c r="R206" s="189"/>
      <c r="S206" s="186"/>
      <c r="T206" s="187"/>
      <c r="U206" s="188"/>
      <c r="V206" s="189"/>
      <c r="W206" s="186"/>
      <c r="X206" s="187"/>
      <c r="Y206" s="188"/>
      <c r="Z206" s="189"/>
      <c r="AA206" s="186"/>
      <c r="AB206" s="187"/>
      <c r="AC206" s="188"/>
      <c r="AD206" s="189"/>
      <c r="AE206" s="186"/>
      <c r="AF206" s="187"/>
      <c r="AG206" s="188"/>
      <c r="AH206" s="189"/>
      <c r="AI206" s="186"/>
      <c r="AJ206" s="187"/>
      <c r="AK206" s="188"/>
      <c r="AL206" s="189"/>
      <c r="AM206" s="186"/>
      <c r="AN206" s="187"/>
      <c r="AO206" s="188"/>
      <c r="AP206" s="189"/>
      <c r="AQ206" s="186"/>
      <c r="AR206" s="187"/>
      <c r="AS206" s="188"/>
      <c r="AT206" s="189"/>
      <c r="AU206" s="186"/>
      <c r="AV206" s="187"/>
      <c r="AW206" s="188"/>
      <c r="AX206" s="189"/>
      <c r="AY206" s="186"/>
      <c r="AZ206" s="187"/>
      <c r="BA206" s="188"/>
      <c r="BB206" s="189"/>
      <c r="BC206" s="186"/>
      <c r="BD206" s="187"/>
      <c r="BE206" s="188"/>
      <c r="BF206" s="189"/>
      <c r="BG206" s="186"/>
      <c r="BH206" s="187"/>
      <c r="BI206" s="188"/>
      <c r="BJ206" s="189"/>
      <c r="BK206" s="186"/>
      <c r="BL206" s="187"/>
      <c r="BM206" s="188"/>
      <c r="BN206" s="189"/>
      <c r="BO206" s="186"/>
      <c r="BP206" s="187"/>
      <c r="BQ206" s="188"/>
      <c r="BR206" s="189"/>
      <c r="BS206" s="186"/>
      <c r="BT206" s="187"/>
      <c r="BU206" s="188"/>
      <c r="BV206" s="189"/>
      <c r="BW206" s="186"/>
      <c r="BX206" s="187"/>
      <c r="BY206" s="188"/>
      <c r="BZ206" s="189"/>
      <c r="CA206" s="186"/>
      <c r="CB206" s="190"/>
      <c r="CC206" s="190"/>
      <c r="CD206" s="82">
        <f t="shared" si="526"/>
        <v>0</v>
      </c>
      <c r="CE206" s="82">
        <f t="shared" si="527"/>
        <v>0</v>
      </c>
      <c r="CF206" s="82">
        <f t="shared" si="528"/>
        <v>0</v>
      </c>
      <c r="CG206" s="82">
        <f t="shared" si="529"/>
        <v>0</v>
      </c>
      <c r="CH206" s="82">
        <f t="shared" si="530"/>
        <v>0</v>
      </c>
      <c r="CI206" s="82">
        <f t="shared" si="531"/>
        <v>0</v>
      </c>
      <c r="CJ206" s="82">
        <f t="shared" si="532"/>
        <v>0</v>
      </c>
      <c r="CK206" s="82">
        <f t="shared" si="533"/>
        <v>0</v>
      </c>
      <c r="CL206" s="82">
        <f t="shared" si="534"/>
        <v>0</v>
      </c>
      <c r="CM206" s="82">
        <f t="shared" si="535"/>
        <v>0</v>
      </c>
      <c r="CN206" s="82">
        <f t="shared" si="536"/>
        <v>0</v>
      </c>
      <c r="CO206" s="82">
        <f t="shared" si="537"/>
        <v>0</v>
      </c>
      <c r="CP206" s="82">
        <f t="shared" si="538"/>
        <v>0</v>
      </c>
      <c r="CQ206" s="82">
        <f t="shared" si="539"/>
        <v>0</v>
      </c>
      <c r="CR206" s="82">
        <f t="shared" si="540"/>
        <v>0</v>
      </c>
      <c r="CS206" s="82">
        <f t="shared" si="541"/>
        <v>0</v>
      </c>
      <c r="CT206" s="82">
        <f t="shared" si="542"/>
        <v>0</v>
      </c>
      <c r="CU206" s="82">
        <f t="shared" si="543"/>
        <v>0</v>
      </c>
      <c r="CV206" s="82">
        <f t="shared" si="544"/>
        <v>0</v>
      </c>
      <c r="CW206" s="82">
        <f t="shared" si="545"/>
        <v>0</v>
      </c>
      <c r="CX206" s="82">
        <f t="shared" si="546"/>
        <v>0</v>
      </c>
      <c r="CY206" s="82">
        <f t="shared" si="547"/>
        <v>0</v>
      </c>
      <c r="CZ206" s="82">
        <f t="shared" si="548"/>
        <v>0</v>
      </c>
      <c r="DA206" s="82">
        <f t="shared" si="549"/>
        <v>0</v>
      </c>
      <c r="DB206" s="82">
        <f t="shared" si="550"/>
        <v>0</v>
      </c>
      <c r="DC206" s="82">
        <f t="shared" si="551"/>
        <v>0</v>
      </c>
      <c r="DD206" s="82">
        <f t="shared" si="552"/>
        <v>0</v>
      </c>
      <c r="DE206" s="82">
        <f t="shared" si="553"/>
        <v>0</v>
      </c>
      <c r="DF206" s="82">
        <f t="shared" si="554"/>
        <v>0</v>
      </c>
      <c r="DG206" s="82">
        <f t="shared" si="555"/>
        <v>0</v>
      </c>
      <c r="DH206" s="82">
        <f t="shared" si="556"/>
        <v>0</v>
      </c>
      <c r="DI206" s="82">
        <f t="shared" si="557"/>
        <v>0</v>
      </c>
      <c r="DJ206" s="82">
        <f t="shared" si="558"/>
        <v>0</v>
      </c>
      <c r="DK206" s="82">
        <f t="shared" si="559"/>
        <v>0</v>
      </c>
      <c r="DL206" s="82">
        <f t="shared" si="560"/>
        <v>0</v>
      </c>
      <c r="DM206" s="82">
        <f t="shared" si="561"/>
        <v>0</v>
      </c>
      <c r="DN206" s="82">
        <f t="shared" si="562"/>
        <v>0</v>
      </c>
      <c r="DO206" s="82">
        <f t="shared" si="563"/>
        <v>0</v>
      </c>
      <c r="DP206" s="82">
        <f t="shared" si="564"/>
        <v>0</v>
      </c>
      <c r="DQ206" s="82">
        <f t="shared" si="565"/>
        <v>0</v>
      </c>
      <c r="DR206" s="82">
        <f t="shared" si="566"/>
        <v>0</v>
      </c>
      <c r="DS206" s="82">
        <f t="shared" si="567"/>
        <v>0</v>
      </c>
      <c r="DT206" s="82">
        <f t="shared" si="568"/>
        <v>0</v>
      </c>
      <c r="DU206" s="82">
        <f t="shared" si="569"/>
        <v>0</v>
      </c>
      <c r="DV206" s="82">
        <f t="shared" si="570"/>
        <v>0</v>
      </c>
      <c r="DW206" s="82">
        <f t="shared" si="571"/>
        <v>0</v>
      </c>
      <c r="DX206" s="82">
        <f t="shared" si="572"/>
        <v>0</v>
      </c>
      <c r="DY206" s="82">
        <f t="shared" si="573"/>
        <v>0</v>
      </c>
      <c r="DZ206" s="82">
        <f t="shared" si="574"/>
        <v>0</v>
      </c>
      <c r="EA206" s="82">
        <f t="shared" si="575"/>
        <v>0</v>
      </c>
      <c r="EB206" s="82">
        <f t="shared" si="576"/>
        <v>0</v>
      </c>
      <c r="EC206" s="82">
        <f t="shared" si="577"/>
        <v>0</v>
      </c>
      <c r="ED206" s="82">
        <f t="shared" si="578"/>
        <v>0</v>
      </c>
      <c r="EE206" s="82">
        <f t="shared" si="579"/>
        <v>0</v>
      </c>
      <c r="EF206" s="82">
        <f t="shared" si="580"/>
        <v>0</v>
      </c>
      <c r="EG206" s="82">
        <f t="shared" si="581"/>
        <v>0</v>
      </c>
      <c r="EH206" s="82">
        <f t="shared" si="582"/>
        <v>0</v>
      </c>
      <c r="EI206" s="82">
        <f t="shared" si="583"/>
        <v>0</v>
      </c>
      <c r="EJ206" s="82">
        <f t="shared" si="584"/>
        <v>0</v>
      </c>
      <c r="EK206" s="82">
        <f t="shared" si="585"/>
        <v>0</v>
      </c>
      <c r="EL206" s="82">
        <f t="shared" si="586"/>
        <v>0</v>
      </c>
      <c r="EM206" s="82">
        <f t="shared" si="587"/>
        <v>0</v>
      </c>
      <c r="EN206" s="82">
        <f t="shared" si="588"/>
        <v>0</v>
      </c>
      <c r="EO206" s="82">
        <f t="shared" si="589"/>
        <v>0</v>
      </c>
      <c r="EP206" s="82">
        <f t="shared" si="590"/>
        <v>0</v>
      </c>
      <c r="EQ206" s="82">
        <f t="shared" si="591"/>
        <v>0</v>
      </c>
      <c r="ER206" s="82">
        <f t="shared" si="592"/>
        <v>0</v>
      </c>
      <c r="ES206" s="82">
        <f t="shared" si="593"/>
        <v>0</v>
      </c>
      <c r="ET206" s="82">
        <f t="shared" si="594"/>
        <v>0</v>
      </c>
      <c r="EU206" s="82">
        <f t="shared" si="595"/>
        <v>0</v>
      </c>
      <c r="EV206" s="82">
        <f t="shared" si="596"/>
        <v>0</v>
      </c>
      <c r="EW206" s="82">
        <f t="shared" si="597"/>
        <v>0</v>
      </c>
      <c r="EX206" s="82">
        <f t="shared" si="598"/>
        <v>0</v>
      </c>
      <c r="EY206" s="111">
        <f t="shared" si="599"/>
        <v>0</v>
      </c>
      <c r="EZ206" s="143" t="e">
        <f t="shared" ca="1" si="600"/>
        <v>#N/A</v>
      </c>
      <c r="FA206" s="112" t="e">
        <f t="shared" ca="1" si="601"/>
        <v>#N/A</v>
      </c>
      <c r="FB206" s="113" t="e">
        <f t="shared" ca="1" si="602"/>
        <v>#N/A</v>
      </c>
      <c r="FC206" s="114" t="e">
        <f t="shared" ca="1" si="603"/>
        <v>#N/A</v>
      </c>
      <c r="FD206" s="115">
        <f t="shared" ca="1" si="604"/>
        <v>0</v>
      </c>
      <c r="FE206" s="116" t="e">
        <f t="shared" ca="1" si="605"/>
        <v>#N/A</v>
      </c>
      <c r="FF206" s="117" t="e">
        <f t="shared" ca="1" si="606"/>
        <v>#N/A</v>
      </c>
      <c r="FG206" s="71">
        <f t="shared" si="607"/>
        <v>0</v>
      </c>
      <c r="FH206" s="530" t="e">
        <f t="shared" ca="1" si="608"/>
        <v>#N/A</v>
      </c>
      <c r="FI206" s="72"/>
      <c r="FJ206" s="72"/>
      <c r="FK206" s="72"/>
      <c r="FM206" s="421">
        <f t="shared" si="609"/>
        <v>0</v>
      </c>
      <c r="FN206" s="422" t="e">
        <f t="shared" ca="1" si="610"/>
        <v>#N/A</v>
      </c>
      <c r="FO206" s="423">
        <f t="shared" ca="1" si="626"/>
        <v>0</v>
      </c>
      <c r="FP206" s="423">
        <f t="shared" ca="1" si="626"/>
        <v>0</v>
      </c>
      <c r="FQ206" s="423">
        <f t="shared" ca="1" si="626"/>
        <v>0</v>
      </c>
      <c r="FR206" s="423">
        <f t="shared" ca="1" si="626"/>
        <v>0</v>
      </c>
      <c r="FS206" s="423">
        <f t="shared" ca="1" si="626"/>
        <v>0</v>
      </c>
      <c r="FT206" s="423">
        <f t="shared" ca="1" si="626"/>
        <v>0</v>
      </c>
      <c r="FU206" s="423">
        <f t="shared" ca="1" si="626"/>
        <v>0</v>
      </c>
      <c r="FV206" s="423">
        <f t="shared" ca="1" si="626"/>
        <v>0</v>
      </c>
      <c r="FW206" s="423">
        <f t="shared" ca="1" si="626"/>
        <v>0</v>
      </c>
      <c r="FX206" s="423">
        <f t="shared" ca="1" si="626"/>
        <v>0</v>
      </c>
      <c r="FY206" s="423">
        <f t="shared" ca="1" si="626"/>
        <v>0</v>
      </c>
      <c r="FZ206" s="423">
        <f t="shared" ca="1" si="626"/>
        <v>0</v>
      </c>
      <c r="GA206" s="423">
        <f t="shared" ca="1" si="626"/>
        <v>0</v>
      </c>
      <c r="GB206" s="423">
        <f t="shared" ca="1" si="626"/>
        <v>0</v>
      </c>
      <c r="GC206" s="423">
        <f t="shared" ca="1" si="626"/>
        <v>0</v>
      </c>
      <c r="GD206" s="423">
        <f t="shared" ca="1" si="622"/>
        <v>0</v>
      </c>
      <c r="GE206" s="423">
        <f t="shared" ca="1" si="622"/>
        <v>0</v>
      </c>
      <c r="GF206" s="423">
        <f t="shared" ca="1" si="622"/>
        <v>0</v>
      </c>
      <c r="GG206" s="423">
        <f t="shared" ca="1" si="622"/>
        <v>0</v>
      </c>
      <c r="GH206" s="423">
        <f t="shared" ca="1" si="622"/>
        <v>0</v>
      </c>
      <c r="GI206" s="423">
        <f t="shared" ca="1" si="622"/>
        <v>0</v>
      </c>
      <c r="GJ206" s="423">
        <f t="shared" ca="1" si="622"/>
        <v>0</v>
      </c>
      <c r="GK206" s="423">
        <f t="shared" ca="1" si="622"/>
        <v>0</v>
      </c>
      <c r="GL206" s="423">
        <f t="shared" ca="1" si="622"/>
        <v>0</v>
      </c>
      <c r="GM206" s="423">
        <f t="shared" ca="1" si="622"/>
        <v>0</v>
      </c>
      <c r="GN206" s="423">
        <f t="shared" ca="1" si="622"/>
        <v>0</v>
      </c>
      <c r="GO206" s="423">
        <f t="shared" ca="1" si="622"/>
        <v>0</v>
      </c>
      <c r="GP206" s="423">
        <f t="shared" ca="1" si="622"/>
        <v>0</v>
      </c>
      <c r="GQ206" s="423">
        <f t="shared" ca="1" si="622"/>
        <v>0</v>
      </c>
      <c r="GR206" s="423">
        <f t="shared" ca="1" si="622"/>
        <v>0</v>
      </c>
      <c r="GS206" s="423">
        <f t="shared" ca="1" si="622"/>
        <v>0</v>
      </c>
      <c r="GT206" s="423">
        <f t="shared" ca="1" si="623"/>
        <v>0</v>
      </c>
      <c r="GU206" s="423">
        <f t="shared" ca="1" si="621"/>
        <v>0</v>
      </c>
      <c r="GV206" s="423">
        <f t="shared" ca="1" si="621"/>
        <v>0</v>
      </c>
      <c r="GW206" s="423">
        <f t="shared" ca="1" si="621"/>
        <v>0</v>
      </c>
      <c r="GX206" s="423">
        <f t="shared" ca="1" si="621"/>
        <v>0</v>
      </c>
      <c r="GY206" s="423">
        <f t="shared" ca="1" si="621"/>
        <v>0</v>
      </c>
      <c r="GZ206" s="423">
        <f t="shared" ca="1" si="621"/>
        <v>0</v>
      </c>
      <c r="HA206" s="423">
        <f t="shared" ca="1" si="621"/>
        <v>0</v>
      </c>
      <c r="HB206" s="423">
        <f t="shared" ca="1" si="621"/>
        <v>0</v>
      </c>
      <c r="HC206" s="423">
        <f t="shared" ca="1" si="621"/>
        <v>0</v>
      </c>
      <c r="HD206" s="423">
        <f t="shared" ca="1" si="621"/>
        <v>0</v>
      </c>
      <c r="HE206" s="423">
        <f t="shared" ca="1" si="621"/>
        <v>0</v>
      </c>
      <c r="HF206" s="423">
        <f t="shared" ca="1" si="621"/>
        <v>0</v>
      </c>
      <c r="HG206" s="423">
        <f t="shared" ca="1" si="621"/>
        <v>0</v>
      </c>
      <c r="HH206" s="423">
        <f t="shared" ca="1" si="621"/>
        <v>0</v>
      </c>
      <c r="HI206" s="423">
        <f t="shared" ca="1" si="621"/>
        <v>0</v>
      </c>
      <c r="HJ206" s="423">
        <f t="shared" ca="1" si="621"/>
        <v>0</v>
      </c>
      <c r="HK206" s="423">
        <f t="shared" ca="1" si="624"/>
        <v>0</v>
      </c>
      <c r="HL206" s="423">
        <f t="shared" ca="1" si="624"/>
        <v>0</v>
      </c>
      <c r="HM206" s="423">
        <f t="shared" ca="1" si="624"/>
        <v>0</v>
      </c>
      <c r="HN206" s="423">
        <f t="shared" ca="1" si="624"/>
        <v>0</v>
      </c>
      <c r="HO206" s="423">
        <f t="shared" ca="1" si="624"/>
        <v>0</v>
      </c>
      <c r="HP206" s="423">
        <f t="shared" ca="1" si="624"/>
        <v>0</v>
      </c>
      <c r="HQ206" s="423">
        <f t="shared" ca="1" si="624"/>
        <v>0</v>
      </c>
      <c r="HR206" s="423">
        <f t="shared" ca="1" si="624"/>
        <v>0</v>
      </c>
      <c r="HS206" s="423">
        <f t="shared" ca="1" si="624"/>
        <v>0</v>
      </c>
      <c r="HT206" s="423">
        <f t="shared" ca="1" si="624"/>
        <v>0</v>
      </c>
    </row>
    <row r="207" spans="1:228" x14ac:dyDescent="0.2">
      <c r="A207" s="62">
        <f t="shared" si="625"/>
        <v>196</v>
      </c>
      <c r="B207" s="60">
        <f>Spaces_Sum!C252</f>
        <v>0</v>
      </c>
      <c r="C207" s="62" t="str">
        <f>Spaces_Sum!D252</f>
        <v>0</v>
      </c>
      <c r="D207" s="62" t="e">
        <f ca="1">Spaces_Sum!I252</f>
        <v>#N/A</v>
      </c>
      <c r="F207" s="110" t="e">
        <f ca="1">Spaces_Sum!M252</f>
        <v>#N/A</v>
      </c>
      <c r="G207" s="110" t="e">
        <f ca="1">Spaces_Sum!J252</f>
        <v>#N/A</v>
      </c>
      <c r="H207" s="532"/>
      <c r="I207" s="185"/>
      <c r="J207" s="185"/>
      <c r="K207" s="186"/>
      <c r="L207" s="187"/>
      <c r="M207" s="188"/>
      <c r="N207" s="189"/>
      <c r="O207" s="186"/>
      <c r="P207" s="187"/>
      <c r="Q207" s="188"/>
      <c r="R207" s="189"/>
      <c r="S207" s="186"/>
      <c r="T207" s="187"/>
      <c r="U207" s="188"/>
      <c r="V207" s="189"/>
      <c r="W207" s="186"/>
      <c r="X207" s="187"/>
      <c r="Y207" s="188"/>
      <c r="Z207" s="189"/>
      <c r="AA207" s="186"/>
      <c r="AB207" s="187"/>
      <c r="AC207" s="188"/>
      <c r="AD207" s="189"/>
      <c r="AE207" s="186"/>
      <c r="AF207" s="187"/>
      <c r="AG207" s="188"/>
      <c r="AH207" s="189"/>
      <c r="AI207" s="186"/>
      <c r="AJ207" s="187"/>
      <c r="AK207" s="188"/>
      <c r="AL207" s="189"/>
      <c r="AM207" s="186"/>
      <c r="AN207" s="187"/>
      <c r="AO207" s="188"/>
      <c r="AP207" s="189"/>
      <c r="AQ207" s="186"/>
      <c r="AR207" s="187"/>
      <c r="AS207" s="188"/>
      <c r="AT207" s="189"/>
      <c r="AU207" s="186"/>
      <c r="AV207" s="187"/>
      <c r="AW207" s="188"/>
      <c r="AX207" s="189"/>
      <c r="AY207" s="186"/>
      <c r="AZ207" s="187"/>
      <c r="BA207" s="188"/>
      <c r="BB207" s="189"/>
      <c r="BC207" s="186"/>
      <c r="BD207" s="187"/>
      <c r="BE207" s="188"/>
      <c r="BF207" s="189"/>
      <c r="BG207" s="186"/>
      <c r="BH207" s="187"/>
      <c r="BI207" s="188"/>
      <c r="BJ207" s="189"/>
      <c r="BK207" s="186"/>
      <c r="BL207" s="187"/>
      <c r="BM207" s="188"/>
      <c r="BN207" s="189"/>
      <c r="BO207" s="186"/>
      <c r="BP207" s="187"/>
      <c r="BQ207" s="188"/>
      <c r="BR207" s="189"/>
      <c r="BS207" s="186"/>
      <c r="BT207" s="187"/>
      <c r="BU207" s="188"/>
      <c r="BV207" s="189"/>
      <c r="BW207" s="186"/>
      <c r="BX207" s="187"/>
      <c r="BY207" s="188"/>
      <c r="BZ207" s="189"/>
      <c r="CA207" s="186"/>
      <c r="CB207" s="190"/>
      <c r="CC207" s="190"/>
      <c r="CD207" s="82">
        <f t="shared" si="526"/>
        <v>0</v>
      </c>
      <c r="CE207" s="82">
        <f t="shared" si="527"/>
        <v>0</v>
      </c>
      <c r="CF207" s="82">
        <f t="shared" si="528"/>
        <v>0</v>
      </c>
      <c r="CG207" s="82">
        <f t="shared" si="529"/>
        <v>0</v>
      </c>
      <c r="CH207" s="82">
        <f t="shared" si="530"/>
        <v>0</v>
      </c>
      <c r="CI207" s="82">
        <f t="shared" si="531"/>
        <v>0</v>
      </c>
      <c r="CJ207" s="82">
        <f t="shared" si="532"/>
        <v>0</v>
      </c>
      <c r="CK207" s="82">
        <f t="shared" si="533"/>
        <v>0</v>
      </c>
      <c r="CL207" s="82">
        <f t="shared" si="534"/>
        <v>0</v>
      </c>
      <c r="CM207" s="82">
        <f t="shared" si="535"/>
        <v>0</v>
      </c>
      <c r="CN207" s="82">
        <f t="shared" si="536"/>
        <v>0</v>
      </c>
      <c r="CO207" s="82">
        <f t="shared" si="537"/>
        <v>0</v>
      </c>
      <c r="CP207" s="82">
        <f t="shared" si="538"/>
        <v>0</v>
      </c>
      <c r="CQ207" s="82">
        <f t="shared" si="539"/>
        <v>0</v>
      </c>
      <c r="CR207" s="82">
        <f t="shared" si="540"/>
        <v>0</v>
      </c>
      <c r="CS207" s="82">
        <f t="shared" si="541"/>
        <v>0</v>
      </c>
      <c r="CT207" s="82">
        <f t="shared" si="542"/>
        <v>0</v>
      </c>
      <c r="CU207" s="82">
        <f t="shared" si="543"/>
        <v>0</v>
      </c>
      <c r="CV207" s="82">
        <f t="shared" si="544"/>
        <v>0</v>
      </c>
      <c r="CW207" s="82">
        <f t="shared" si="545"/>
        <v>0</v>
      </c>
      <c r="CX207" s="82">
        <f t="shared" si="546"/>
        <v>0</v>
      </c>
      <c r="CY207" s="82">
        <f t="shared" si="547"/>
        <v>0</v>
      </c>
      <c r="CZ207" s="82">
        <f t="shared" si="548"/>
        <v>0</v>
      </c>
      <c r="DA207" s="82">
        <f t="shared" si="549"/>
        <v>0</v>
      </c>
      <c r="DB207" s="82">
        <f t="shared" si="550"/>
        <v>0</v>
      </c>
      <c r="DC207" s="82">
        <f t="shared" si="551"/>
        <v>0</v>
      </c>
      <c r="DD207" s="82">
        <f t="shared" si="552"/>
        <v>0</v>
      </c>
      <c r="DE207" s="82">
        <f t="shared" si="553"/>
        <v>0</v>
      </c>
      <c r="DF207" s="82">
        <f t="shared" si="554"/>
        <v>0</v>
      </c>
      <c r="DG207" s="82">
        <f t="shared" si="555"/>
        <v>0</v>
      </c>
      <c r="DH207" s="82">
        <f t="shared" si="556"/>
        <v>0</v>
      </c>
      <c r="DI207" s="82">
        <f t="shared" si="557"/>
        <v>0</v>
      </c>
      <c r="DJ207" s="82">
        <f t="shared" si="558"/>
        <v>0</v>
      </c>
      <c r="DK207" s="82">
        <f t="shared" si="559"/>
        <v>0</v>
      </c>
      <c r="DL207" s="82">
        <f t="shared" si="560"/>
        <v>0</v>
      </c>
      <c r="DM207" s="82">
        <f t="shared" si="561"/>
        <v>0</v>
      </c>
      <c r="DN207" s="82">
        <f t="shared" si="562"/>
        <v>0</v>
      </c>
      <c r="DO207" s="82">
        <f t="shared" si="563"/>
        <v>0</v>
      </c>
      <c r="DP207" s="82">
        <f t="shared" si="564"/>
        <v>0</v>
      </c>
      <c r="DQ207" s="82">
        <f t="shared" si="565"/>
        <v>0</v>
      </c>
      <c r="DR207" s="82">
        <f t="shared" si="566"/>
        <v>0</v>
      </c>
      <c r="DS207" s="82">
        <f t="shared" si="567"/>
        <v>0</v>
      </c>
      <c r="DT207" s="82">
        <f t="shared" si="568"/>
        <v>0</v>
      </c>
      <c r="DU207" s="82">
        <f t="shared" si="569"/>
        <v>0</v>
      </c>
      <c r="DV207" s="82">
        <f t="shared" si="570"/>
        <v>0</v>
      </c>
      <c r="DW207" s="82">
        <f t="shared" si="571"/>
        <v>0</v>
      </c>
      <c r="DX207" s="82">
        <f t="shared" si="572"/>
        <v>0</v>
      </c>
      <c r="DY207" s="82">
        <f t="shared" si="573"/>
        <v>0</v>
      </c>
      <c r="DZ207" s="82">
        <f t="shared" si="574"/>
        <v>0</v>
      </c>
      <c r="EA207" s="82">
        <f t="shared" si="575"/>
        <v>0</v>
      </c>
      <c r="EB207" s="82">
        <f t="shared" si="576"/>
        <v>0</v>
      </c>
      <c r="EC207" s="82">
        <f t="shared" si="577"/>
        <v>0</v>
      </c>
      <c r="ED207" s="82">
        <f t="shared" si="578"/>
        <v>0</v>
      </c>
      <c r="EE207" s="82">
        <f t="shared" si="579"/>
        <v>0</v>
      </c>
      <c r="EF207" s="82">
        <f t="shared" si="580"/>
        <v>0</v>
      </c>
      <c r="EG207" s="82">
        <f t="shared" si="581"/>
        <v>0</v>
      </c>
      <c r="EH207" s="82">
        <f t="shared" si="582"/>
        <v>0</v>
      </c>
      <c r="EI207" s="82">
        <f t="shared" si="583"/>
        <v>0</v>
      </c>
      <c r="EJ207" s="82">
        <f t="shared" si="584"/>
        <v>0</v>
      </c>
      <c r="EK207" s="82">
        <f t="shared" si="585"/>
        <v>0</v>
      </c>
      <c r="EL207" s="82">
        <f t="shared" si="586"/>
        <v>0</v>
      </c>
      <c r="EM207" s="82">
        <f t="shared" si="587"/>
        <v>0</v>
      </c>
      <c r="EN207" s="82">
        <f t="shared" si="588"/>
        <v>0</v>
      </c>
      <c r="EO207" s="82">
        <f t="shared" si="589"/>
        <v>0</v>
      </c>
      <c r="EP207" s="82">
        <f t="shared" si="590"/>
        <v>0</v>
      </c>
      <c r="EQ207" s="82">
        <f t="shared" si="591"/>
        <v>0</v>
      </c>
      <c r="ER207" s="82">
        <f t="shared" si="592"/>
        <v>0</v>
      </c>
      <c r="ES207" s="82">
        <f t="shared" si="593"/>
        <v>0</v>
      </c>
      <c r="ET207" s="82">
        <f t="shared" si="594"/>
        <v>0</v>
      </c>
      <c r="EU207" s="82">
        <f t="shared" si="595"/>
        <v>0</v>
      </c>
      <c r="EV207" s="82">
        <f t="shared" si="596"/>
        <v>0</v>
      </c>
      <c r="EW207" s="82">
        <f t="shared" si="597"/>
        <v>0</v>
      </c>
      <c r="EX207" s="82">
        <f t="shared" si="598"/>
        <v>0</v>
      </c>
      <c r="EY207" s="111">
        <f t="shared" si="599"/>
        <v>0</v>
      </c>
      <c r="EZ207" s="143" t="e">
        <f t="shared" ca="1" si="600"/>
        <v>#N/A</v>
      </c>
      <c r="FA207" s="112" t="e">
        <f t="shared" ca="1" si="601"/>
        <v>#N/A</v>
      </c>
      <c r="FB207" s="113" t="e">
        <f t="shared" ca="1" si="602"/>
        <v>#N/A</v>
      </c>
      <c r="FC207" s="114" t="e">
        <f t="shared" ca="1" si="603"/>
        <v>#N/A</v>
      </c>
      <c r="FD207" s="115">
        <f t="shared" ca="1" si="604"/>
        <v>0</v>
      </c>
      <c r="FE207" s="116" t="e">
        <f t="shared" ca="1" si="605"/>
        <v>#N/A</v>
      </c>
      <c r="FF207" s="117" t="e">
        <f t="shared" ca="1" si="606"/>
        <v>#N/A</v>
      </c>
      <c r="FG207" s="71">
        <f t="shared" si="607"/>
        <v>0</v>
      </c>
      <c r="FH207" s="530" t="e">
        <f t="shared" ca="1" si="608"/>
        <v>#N/A</v>
      </c>
      <c r="FI207" s="72"/>
      <c r="FJ207" s="72"/>
      <c r="FK207" s="72"/>
      <c r="FM207" s="421">
        <f t="shared" si="609"/>
        <v>0</v>
      </c>
      <c r="FN207" s="422" t="e">
        <f t="shared" ca="1" si="610"/>
        <v>#N/A</v>
      </c>
      <c r="FO207" s="423">
        <f t="shared" ca="1" si="626"/>
        <v>0</v>
      </c>
      <c r="FP207" s="423">
        <f t="shared" ca="1" si="626"/>
        <v>0</v>
      </c>
      <c r="FQ207" s="423">
        <f t="shared" ca="1" si="626"/>
        <v>0</v>
      </c>
      <c r="FR207" s="423">
        <f t="shared" ca="1" si="626"/>
        <v>0</v>
      </c>
      <c r="FS207" s="423">
        <f t="shared" ca="1" si="626"/>
        <v>0</v>
      </c>
      <c r="FT207" s="423">
        <f t="shared" ca="1" si="626"/>
        <v>0</v>
      </c>
      <c r="FU207" s="423">
        <f t="shared" ca="1" si="626"/>
        <v>0</v>
      </c>
      <c r="FV207" s="423">
        <f t="shared" ca="1" si="626"/>
        <v>0</v>
      </c>
      <c r="FW207" s="423">
        <f t="shared" ca="1" si="626"/>
        <v>0</v>
      </c>
      <c r="FX207" s="423">
        <f t="shared" ca="1" si="626"/>
        <v>0</v>
      </c>
      <c r="FY207" s="423">
        <f t="shared" ca="1" si="626"/>
        <v>0</v>
      </c>
      <c r="FZ207" s="423">
        <f t="shared" ca="1" si="626"/>
        <v>0</v>
      </c>
      <c r="GA207" s="423">
        <f t="shared" ca="1" si="626"/>
        <v>0</v>
      </c>
      <c r="GB207" s="423">
        <f t="shared" ca="1" si="626"/>
        <v>0</v>
      </c>
      <c r="GC207" s="423">
        <f t="shared" ca="1" si="626"/>
        <v>0</v>
      </c>
      <c r="GD207" s="423">
        <f t="shared" ca="1" si="622"/>
        <v>0</v>
      </c>
      <c r="GE207" s="423">
        <f t="shared" ca="1" si="622"/>
        <v>0</v>
      </c>
      <c r="GF207" s="423">
        <f t="shared" ca="1" si="622"/>
        <v>0</v>
      </c>
      <c r="GG207" s="423">
        <f t="shared" ca="1" si="622"/>
        <v>0</v>
      </c>
      <c r="GH207" s="423">
        <f t="shared" ca="1" si="622"/>
        <v>0</v>
      </c>
      <c r="GI207" s="423">
        <f t="shared" ca="1" si="622"/>
        <v>0</v>
      </c>
      <c r="GJ207" s="423">
        <f t="shared" ca="1" si="622"/>
        <v>0</v>
      </c>
      <c r="GK207" s="423">
        <f t="shared" ca="1" si="622"/>
        <v>0</v>
      </c>
      <c r="GL207" s="423">
        <f t="shared" ca="1" si="622"/>
        <v>0</v>
      </c>
      <c r="GM207" s="423">
        <f t="shared" ca="1" si="622"/>
        <v>0</v>
      </c>
      <c r="GN207" s="423">
        <f t="shared" ca="1" si="622"/>
        <v>0</v>
      </c>
      <c r="GO207" s="423">
        <f t="shared" ca="1" si="622"/>
        <v>0</v>
      </c>
      <c r="GP207" s="423">
        <f t="shared" ca="1" si="622"/>
        <v>0</v>
      </c>
      <c r="GQ207" s="423">
        <f t="shared" ca="1" si="622"/>
        <v>0</v>
      </c>
      <c r="GR207" s="423">
        <f t="shared" ca="1" si="622"/>
        <v>0</v>
      </c>
      <c r="GS207" s="423">
        <f t="shared" ca="1" si="622"/>
        <v>0</v>
      </c>
      <c r="GT207" s="423">
        <f t="shared" ca="1" si="623"/>
        <v>0</v>
      </c>
      <c r="GU207" s="423">
        <f t="shared" ca="1" si="621"/>
        <v>0</v>
      </c>
      <c r="GV207" s="423">
        <f t="shared" ca="1" si="621"/>
        <v>0</v>
      </c>
      <c r="GW207" s="423">
        <f t="shared" ca="1" si="621"/>
        <v>0</v>
      </c>
      <c r="GX207" s="423">
        <f t="shared" ca="1" si="621"/>
        <v>0</v>
      </c>
      <c r="GY207" s="423">
        <f t="shared" ca="1" si="621"/>
        <v>0</v>
      </c>
      <c r="GZ207" s="423">
        <f t="shared" ca="1" si="621"/>
        <v>0</v>
      </c>
      <c r="HA207" s="423">
        <f t="shared" ca="1" si="621"/>
        <v>0</v>
      </c>
      <c r="HB207" s="423">
        <f t="shared" ca="1" si="621"/>
        <v>0</v>
      </c>
      <c r="HC207" s="423">
        <f t="shared" ca="1" si="621"/>
        <v>0</v>
      </c>
      <c r="HD207" s="423">
        <f t="shared" ca="1" si="621"/>
        <v>0</v>
      </c>
      <c r="HE207" s="423">
        <f t="shared" ca="1" si="621"/>
        <v>0</v>
      </c>
      <c r="HF207" s="423">
        <f t="shared" ca="1" si="621"/>
        <v>0</v>
      </c>
      <c r="HG207" s="423">
        <f t="shared" ca="1" si="621"/>
        <v>0</v>
      </c>
      <c r="HH207" s="423">
        <f t="shared" ca="1" si="621"/>
        <v>0</v>
      </c>
      <c r="HI207" s="423">
        <f t="shared" ca="1" si="621"/>
        <v>0</v>
      </c>
      <c r="HJ207" s="423">
        <f t="shared" ca="1" si="621"/>
        <v>0</v>
      </c>
      <c r="HK207" s="423">
        <f t="shared" ca="1" si="624"/>
        <v>0</v>
      </c>
      <c r="HL207" s="423">
        <f t="shared" ca="1" si="624"/>
        <v>0</v>
      </c>
      <c r="HM207" s="423">
        <f t="shared" ca="1" si="624"/>
        <v>0</v>
      </c>
      <c r="HN207" s="423">
        <f t="shared" ca="1" si="624"/>
        <v>0</v>
      </c>
      <c r="HO207" s="423">
        <f t="shared" ca="1" si="624"/>
        <v>0</v>
      </c>
      <c r="HP207" s="423">
        <f t="shared" ca="1" si="624"/>
        <v>0</v>
      </c>
      <c r="HQ207" s="423">
        <f t="shared" ca="1" si="624"/>
        <v>0</v>
      </c>
      <c r="HR207" s="423">
        <f t="shared" ca="1" si="624"/>
        <v>0</v>
      </c>
      <c r="HS207" s="423">
        <f t="shared" ca="1" si="624"/>
        <v>0</v>
      </c>
      <c r="HT207" s="423">
        <f t="shared" ca="1" si="624"/>
        <v>0</v>
      </c>
    </row>
    <row r="208" spans="1:228" x14ac:dyDescent="0.2">
      <c r="A208" s="62">
        <f t="shared" si="625"/>
        <v>197</v>
      </c>
      <c r="B208" s="60">
        <f>Spaces_Sum!C253</f>
        <v>0</v>
      </c>
      <c r="C208" s="62" t="str">
        <f>Spaces_Sum!D253</f>
        <v>0</v>
      </c>
      <c r="D208" s="62" t="e">
        <f ca="1">Spaces_Sum!I253</f>
        <v>#N/A</v>
      </c>
      <c r="F208" s="110" t="e">
        <f ca="1">Spaces_Sum!M253</f>
        <v>#N/A</v>
      </c>
      <c r="G208" s="110" t="e">
        <f ca="1">Spaces_Sum!J253</f>
        <v>#N/A</v>
      </c>
      <c r="H208" s="532"/>
      <c r="I208" s="185"/>
      <c r="J208" s="185"/>
      <c r="K208" s="186"/>
      <c r="L208" s="187"/>
      <c r="M208" s="188"/>
      <c r="N208" s="189"/>
      <c r="O208" s="186"/>
      <c r="P208" s="187"/>
      <c r="Q208" s="188"/>
      <c r="R208" s="189"/>
      <c r="S208" s="186"/>
      <c r="T208" s="187"/>
      <c r="U208" s="188"/>
      <c r="V208" s="189"/>
      <c r="W208" s="186"/>
      <c r="X208" s="187"/>
      <c r="Y208" s="188"/>
      <c r="Z208" s="189"/>
      <c r="AA208" s="186"/>
      <c r="AB208" s="187"/>
      <c r="AC208" s="188"/>
      <c r="AD208" s="189"/>
      <c r="AE208" s="186"/>
      <c r="AF208" s="187"/>
      <c r="AG208" s="188"/>
      <c r="AH208" s="189"/>
      <c r="AI208" s="186"/>
      <c r="AJ208" s="187"/>
      <c r="AK208" s="188"/>
      <c r="AL208" s="189"/>
      <c r="AM208" s="186"/>
      <c r="AN208" s="187"/>
      <c r="AO208" s="188"/>
      <c r="AP208" s="189"/>
      <c r="AQ208" s="186"/>
      <c r="AR208" s="187"/>
      <c r="AS208" s="188"/>
      <c r="AT208" s="189"/>
      <c r="AU208" s="186"/>
      <c r="AV208" s="187"/>
      <c r="AW208" s="188"/>
      <c r="AX208" s="189"/>
      <c r="AY208" s="186"/>
      <c r="AZ208" s="187"/>
      <c r="BA208" s="188"/>
      <c r="BB208" s="189"/>
      <c r="BC208" s="186"/>
      <c r="BD208" s="187"/>
      <c r="BE208" s="188"/>
      <c r="BF208" s="189"/>
      <c r="BG208" s="186"/>
      <c r="BH208" s="187"/>
      <c r="BI208" s="188"/>
      <c r="BJ208" s="189"/>
      <c r="BK208" s="186"/>
      <c r="BL208" s="187"/>
      <c r="BM208" s="188"/>
      <c r="BN208" s="189"/>
      <c r="BO208" s="186"/>
      <c r="BP208" s="187"/>
      <c r="BQ208" s="188"/>
      <c r="BR208" s="189"/>
      <c r="BS208" s="186"/>
      <c r="BT208" s="187"/>
      <c r="BU208" s="188"/>
      <c r="BV208" s="189"/>
      <c r="BW208" s="186"/>
      <c r="BX208" s="187"/>
      <c r="BY208" s="188"/>
      <c r="BZ208" s="189"/>
      <c r="CA208" s="186"/>
      <c r="CB208" s="190"/>
      <c r="CC208" s="190"/>
      <c r="CD208" s="82">
        <f t="shared" si="526"/>
        <v>0</v>
      </c>
      <c r="CE208" s="82">
        <f t="shared" si="527"/>
        <v>0</v>
      </c>
      <c r="CF208" s="82">
        <f t="shared" si="528"/>
        <v>0</v>
      </c>
      <c r="CG208" s="82">
        <f t="shared" si="529"/>
        <v>0</v>
      </c>
      <c r="CH208" s="82">
        <f t="shared" si="530"/>
        <v>0</v>
      </c>
      <c r="CI208" s="82">
        <f t="shared" si="531"/>
        <v>0</v>
      </c>
      <c r="CJ208" s="82">
        <f t="shared" si="532"/>
        <v>0</v>
      </c>
      <c r="CK208" s="82">
        <f t="shared" si="533"/>
        <v>0</v>
      </c>
      <c r="CL208" s="82">
        <f t="shared" si="534"/>
        <v>0</v>
      </c>
      <c r="CM208" s="82">
        <f t="shared" si="535"/>
        <v>0</v>
      </c>
      <c r="CN208" s="82">
        <f t="shared" si="536"/>
        <v>0</v>
      </c>
      <c r="CO208" s="82">
        <f t="shared" si="537"/>
        <v>0</v>
      </c>
      <c r="CP208" s="82">
        <f t="shared" si="538"/>
        <v>0</v>
      </c>
      <c r="CQ208" s="82">
        <f t="shared" si="539"/>
        <v>0</v>
      </c>
      <c r="CR208" s="82">
        <f t="shared" si="540"/>
        <v>0</v>
      </c>
      <c r="CS208" s="82">
        <f t="shared" si="541"/>
        <v>0</v>
      </c>
      <c r="CT208" s="82">
        <f t="shared" si="542"/>
        <v>0</v>
      </c>
      <c r="CU208" s="82">
        <f t="shared" si="543"/>
        <v>0</v>
      </c>
      <c r="CV208" s="82">
        <f t="shared" si="544"/>
        <v>0</v>
      </c>
      <c r="CW208" s="82">
        <f t="shared" si="545"/>
        <v>0</v>
      </c>
      <c r="CX208" s="82">
        <f t="shared" si="546"/>
        <v>0</v>
      </c>
      <c r="CY208" s="82">
        <f t="shared" si="547"/>
        <v>0</v>
      </c>
      <c r="CZ208" s="82">
        <f t="shared" si="548"/>
        <v>0</v>
      </c>
      <c r="DA208" s="82">
        <f t="shared" si="549"/>
        <v>0</v>
      </c>
      <c r="DB208" s="82">
        <f t="shared" si="550"/>
        <v>0</v>
      </c>
      <c r="DC208" s="82">
        <f t="shared" si="551"/>
        <v>0</v>
      </c>
      <c r="DD208" s="82">
        <f t="shared" si="552"/>
        <v>0</v>
      </c>
      <c r="DE208" s="82">
        <f t="shared" si="553"/>
        <v>0</v>
      </c>
      <c r="DF208" s="82">
        <f t="shared" si="554"/>
        <v>0</v>
      </c>
      <c r="DG208" s="82">
        <f t="shared" si="555"/>
        <v>0</v>
      </c>
      <c r="DH208" s="82">
        <f t="shared" si="556"/>
        <v>0</v>
      </c>
      <c r="DI208" s="82">
        <f t="shared" si="557"/>
        <v>0</v>
      </c>
      <c r="DJ208" s="82">
        <f t="shared" si="558"/>
        <v>0</v>
      </c>
      <c r="DK208" s="82">
        <f t="shared" si="559"/>
        <v>0</v>
      </c>
      <c r="DL208" s="82">
        <f t="shared" si="560"/>
        <v>0</v>
      </c>
      <c r="DM208" s="82">
        <f t="shared" si="561"/>
        <v>0</v>
      </c>
      <c r="DN208" s="82">
        <f t="shared" si="562"/>
        <v>0</v>
      </c>
      <c r="DO208" s="82">
        <f t="shared" si="563"/>
        <v>0</v>
      </c>
      <c r="DP208" s="82">
        <f t="shared" si="564"/>
        <v>0</v>
      </c>
      <c r="DQ208" s="82">
        <f t="shared" si="565"/>
        <v>0</v>
      </c>
      <c r="DR208" s="82">
        <f t="shared" si="566"/>
        <v>0</v>
      </c>
      <c r="DS208" s="82">
        <f t="shared" si="567"/>
        <v>0</v>
      </c>
      <c r="DT208" s="82">
        <f t="shared" si="568"/>
        <v>0</v>
      </c>
      <c r="DU208" s="82">
        <f t="shared" si="569"/>
        <v>0</v>
      </c>
      <c r="DV208" s="82">
        <f t="shared" si="570"/>
        <v>0</v>
      </c>
      <c r="DW208" s="82">
        <f t="shared" si="571"/>
        <v>0</v>
      </c>
      <c r="DX208" s="82">
        <f t="shared" si="572"/>
        <v>0</v>
      </c>
      <c r="DY208" s="82">
        <f t="shared" si="573"/>
        <v>0</v>
      </c>
      <c r="DZ208" s="82">
        <f t="shared" si="574"/>
        <v>0</v>
      </c>
      <c r="EA208" s="82">
        <f t="shared" si="575"/>
        <v>0</v>
      </c>
      <c r="EB208" s="82">
        <f t="shared" si="576"/>
        <v>0</v>
      </c>
      <c r="EC208" s="82">
        <f t="shared" si="577"/>
        <v>0</v>
      </c>
      <c r="ED208" s="82">
        <f t="shared" si="578"/>
        <v>0</v>
      </c>
      <c r="EE208" s="82">
        <f t="shared" si="579"/>
        <v>0</v>
      </c>
      <c r="EF208" s="82">
        <f t="shared" si="580"/>
        <v>0</v>
      </c>
      <c r="EG208" s="82">
        <f t="shared" si="581"/>
        <v>0</v>
      </c>
      <c r="EH208" s="82">
        <f t="shared" si="582"/>
        <v>0</v>
      </c>
      <c r="EI208" s="82">
        <f t="shared" si="583"/>
        <v>0</v>
      </c>
      <c r="EJ208" s="82">
        <f t="shared" si="584"/>
        <v>0</v>
      </c>
      <c r="EK208" s="82">
        <f t="shared" si="585"/>
        <v>0</v>
      </c>
      <c r="EL208" s="82">
        <f t="shared" si="586"/>
        <v>0</v>
      </c>
      <c r="EM208" s="82">
        <f t="shared" si="587"/>
        <v>0</v>
      </c>
      <c r="EN208" s="82">
        <f t="shared" si="588"/>
        <v>0</v>
      </c>
      <c r="EO208" s="82">
        <f t="shared" si="589"/>
        <v>0</v>
      </c>
      <c r="EP208" s="82">
        <f t="shared" si="590"/>
        <v>0</v>
      </c>
      <c r="EQ208" s="82">
        <f t="shared" si="591"/>
        <v>0</v>
      </c>
      <c r="ER208" s="82">
        <f t="shared" si="592"/>
        <v>0</v>
      </c>
      <c r="ES208" s="82">
        <f t="shared" si="593"/>
        <v>0</v>
      </c>
      <c r="ET208" s="82">
        <f t="shared" si="594"/>
        <v>0</v>
      </c>
      <c r="EU208" s="82">
        <f t="shared" si="595"/>
        <v>0</v>
      </c>
      <c r="EV208" s="82">
        <f t="shared" si="596"/>
        <v>0</v>
      </c>
      <c r="EW208" s="82">
        <f t="shared" si="597"/>
        <v>0</v>
      </c>
      <c r="EX208" s="82">
        <f t="shared" si="598"/>
        <v>0</v>
      </c>
      <c r="EY208" s="111">
        <f t="shared" si="599"/>
        <v>0</v>
      </c>
      <c r="EZ208" s="143" t="e">
        <f t="shared" ca="1" si="600"/>
        <v>#N/A</v>
      </c>
      <c r="FA208" s="112" t="e">
        <f t="shared" ca="1" si="601"/>
        <v>#N/A</v>
      </c>
      <c r="FB208" s="113" t="e">
        <f t="shared" ca="1" si="602"/>
        <v>#N/A</v>
      </c>
      <c r="FC208" s="114" t="e">
        <f t="shared" ca="1" si="603"/>
        <v>#N/A</v>
      </c>
      <c r="FD208" s="115">
        <f t="shared" ca="1" si="604"/>
        <v>0</v>
      </c>
      <c r="FE208" s="116" t="e">
        <f t="shared" ca="1" si="605"/>
        <v>#N/A</v>
      </c>
      <c r="FF208" s="117" t="e">
        <f t="shared" ca="1" si="606"/>
        <v>#N/A</v>
      </c>
      <c r="FG208" s="71">
        <f t="shared" si="607"/>
        <v>0</v>
      </c>
      <c r="FH208" s="530" t="e">
        <f t="shared" ca="1" si="608"/>
        <v>#N/A</v>
      </c>
      <c r="FI208" s="72"/>
      <c r="FJ208" s="72"/>
      <c r="FK208" s="72"/>
      <c r="FM208" s="421">
        <f t="shared" si="609"/>
        <v>0</v>
      </c>
      <c r="FN208" s="422" t="e">
        <f t="shared" ca="1" si="610"/>
        <v>#N/A</v>
      </c>
      <c r="FO208" s="423">
        <f t="shared" ca="1" si="626"/>
        <v>0</v>
      </c>
      <c r="FP208" s="423">
        <f t="shared" ca="1" si="626"/>
        <v>0</v>
      </c>
      <c r="FQ208" s="423">
        <f t="shared" ca="1" si="626"/>
        <v>0</v>
      </c>
      <c r="FR208" s="423">
        <f t="shared" ca="1" si="626"/>
        <v>0</v>
      </c>
      <c r="FS208" s="423">
        <f t="shared" ca="1" si="626"/>
        <v>0</v>
      </c>
      <c r="FT208" s="423">
        <f t="shared" ca="1" si="626"/>
        <v>0</v>
      </c>
      <c r="FU208" s="423">
        <f t="shared" ca="1" si="626"/>
        <v>0</v>
      </c>
      <c r="FV208" s="423">
        <f t="shared" ca="1" si="626"/>
        <v>0</v>
      </c>
      <c r="FW208" s="423">
        <f t="shared" ca="1" si="626"/>
        <v>0</v>
      </c>
      <c r="FX208" s="423">
        <f t="shared" ca="1" si="626"/>
        <v>0</v>
      </c>
      <c r="FY208" s="423">
        <f t="shared" ca="1" si="626"/>
        <v>0</v>
      </c>
      <c r="FZ208" s="423">
        <f t="shared" ca="1" si="626"/>
        <v>0</v>
      </c>
      <c r="GA208" s="423">
        <f t="shared" ca="1" si="626"/>
        <v>0</v>
      </c>
      <c r="GB208" s="423">
        <f t="shared" ca="1" si="626"/>
        <v>0</v>
      </c>
      <c r="GC208" s="423">
        <f t="shared" ca="1" si="626"/>
        <v>0</v>
      </c>
      <c r="GD208" s="423">
        <f t="shared" ca="1" si="622"/>
        <v>0</v>
      </c>
      <c r="GE208" s="423">
        <f t="shared" ca="1" si="622"/>
        <v>0</v>
      </c>
      <c r="GF208" s="423">
        <f t="shared" ca="1" si="622"/>
        <v>0</v>
      </c>
      <c r="GG208" s="423">
        <f t="shared" ca="1" si="622"/>
        <v>0</v>
      </c>
      <c r="GH208" s="423">
        <f t="shared" ca="1" si="622"/>
        <v>0</v>
      </c>
      <c r="GI208" s="423">
        <f t="shared" ca="1" si="622"/>
        <v>0</v>
      </c>
      <c r="GJ208" s="423">
        <f t="shared" ca="1" si="622"/>
        <v>0</v>
      </c>
      <c r="GK208" s="423">
        <f t="shared" ca="1" si="622"/>
        <v>0</v>
      </c>
      <c r="GL208" s="423">
        <f t="shared" ca="1" si="622"/>
        <v>0</v>
      </c>
      <c r="GM208" s="423">
        <f t="shared" ca="1" si="622"/>
        <v>0</v>
      </c>
      <c r="GN208" s="423">
        <f t="shared" ca="1" si="622"/>
        <v>0</v>
      </c>
      <c r="GO208" s="423">
        <f t="shared" ca="1" si="622"/>
        <v>0</v>
      </c>
      <c r="GP208" s="423">
        <f t="shared" ca="1" si="622"/>
        <v>0</v>
      </c>
      <c r="GQ208" s="423">
        <f t="shared" ca="1" si="622"/>
        <v>0</v>
      </c>
      <c r="GR208" s="423">
        <f t="shared" ca="1" si="622"/>
        <v>0</v>
      </c>
      <c r="GS208" s="423">
        <f t="shared" ca="1" si="622"/>
        <v>0</v>
      </c>
      <c r="GT208" s="423">
        <f t="shared" ca="1" si="623"/>
        <v>0</v>
      </c>
      <c r="GU208" s="423">
        <f t="shared" ca="1" si="621"/>
        <v>0</v>
      </c>
      <c r="GV208" s="423">
        <f t="shared" ca="1" si="621"/>
        <v>0</v>
      </c>
      <c r="GW208" s="423">
        <f t="shared" ca="1" si="621"/>
        <v>0</v>
      </c>
      <c r="GX208" s="423">
        <f t="shared" ca="1" si="621"/>
        <v>0</v>
      </c>
      <c r="GY208" s="423">
        <f t="shared" ca="1" si="621"/>
        <v>0</v>
      </c>
      <c r="GZ208" s="423">
        <f t="shared" ca="1" si="621"/>
        <v>0</v>
      </c>
      <c r="HA208" s="423">
        <f t="shared" ca="1" si="621"/>
        <v>0</v>
      </c>
      <c r="HB208" s="423">
        <f t="shared" ca="1" si="621"/>
        <v>0</v>
      </c>
      <c r="HC208" s="423">
        <f t="shared" ca="1" si="621"/>
        <v>0</v>
      </c>
      <c r="HD208" s="423">
        <f t="shared" ca="1" si="621"/>
        <v>0</v>
      </c>
      <c r="HE208" s="423">
        <f t="shared" ca="1" si="621"/>
        <v>0</v>
      </c>
      <c r="HF208" s="423">
        <f t="shared" ca="1" si="621"/>
        <v>0</v>
      </c>
      <c r="HG208" s="423">
        <f t="shared" ca="1" si="621"/>
        <v>0</v>
      </c>
      <c r="HH208" s="423">
        <f t="shared" ca="1" si="621"/>
        <v>0</v>
      </c>
      <c r="HI208" s="423">
        <f t="shared" ca="1" si="621"/>
        <v>0</v>
      </c>
      <c r="HJ208" s="423">
        <f t="shared" ca="1" si="621"/>
        <v>0</v>
      </c>
      <c r="HK208" s="423">
        <f t="shared" ca="1" si="624"/>
        <v>0</v>
      </c>
      <c r="HL208" s="423">
        <f t="shared" ca="1" si="624"/>
        <v>0</v>
      </c>
      <c r="HM208" s="423">
        <f t="shared" ca="1" si="624"/>
        <v>0</v>
      </c>
      <c r="HN208" s="423">
        <f t="shared" ca="1" si="624"/>
        <v>0</v>
      </c>
      <c r="HO208" s="423">
        <f t="shared" ca="1" si="624"/>
        <v>0</v>
      </c>
      <c r="HP208" s="423">
        <f t="shared" ca="1" si="624"/>
        <v>0</v>
      </c>
      <c r="HQ208" s="423">
        <f t="shared" ca="1" si="624"/>
        <v>0</v>
      </c>
      <c r="HR208" s="423">
        <f t="shared" ca="1" si="624"/>
        <v>0</v>
      </c>
      <c r="HS208" s="423">
        <f t="shared" ca="1" si="624"/>
        <v>0</v>
      </c>
      <c r="HT208" s="423">
        <f t="shared" ca="1" si="624"/>
        <v>0</v>
      </c>
    </row>
    <row r="209" spans="1:228" x14ac:dyDescent="0.2">
      <c r="A209" s="62">
        <f t="shared" si="625"/>
        <v>198</v>
      </c>
      <c r="B209" s="60">
        <f>Spaces_Sum!C254</f>
        <v>0</v>
      </c>
      <c r="C209" s="62" t="str">
        <f>Spaces_Sum!D254</f>
        <v>0</v>
      </c>
      <c r="D209" s="62" t="e">
        <f ca="1">Spaces_Sum!I254</f>
        <v>#N/A</v>
      </c>
      <c r="F209" s="110" t="e">
        <f ca="1">Spaces_Sum!M254</f>
        <v>#N/A</v>
      </c>
      <c r="G209" s="110" t="e">
        <f ca="1">Spaces_Sum!J254</f>
        <v>#N/A</v>
      </c>
      <c r="H209" s="532"/>
      <c r="I209" s="185"/>
      <c r="J209" s="185"/>
      <c r="K209" s="186"/>
      <c r="L209" s="187"/>
      <c r="M209" s="188"/>
      <c r="N209" s="189"/>
      <c r="O209" s="186"/>
      <c r="P209" s="187"/>
      <c r="Q209" s="188"/>
      <c r="R209" s="189"/>
      <c r="S209" s="186"/>
      <c r="T209" s="187"/>
      <c r="U209" s="188"/>
      <c r="V209" s="189"/>
      <c r="W209" s="186"/>
      <c r="X209" s="187"/>
      <c r="Y209" s="188"/>
      <c r="Z209" s="189"/>
      <c r="AA209" s="186"/>
      <c r="AB209" s="187"/>
      <c r="AC209" s="188"/>
      <c r="AD209" s="189"/>
      <c r="AE209" s="186"/>
      <c r="AF209" s="187"/>
      <c r="AG209" s="188"/>
      <c r="AH209" s="189"/>
      <c r="AI209" s="186"/>
      <c r="AJ209" s="187"/>
      <c r="AK209" s="188"/>
      <c r="AL209" s="189"/>
      <c r="AM209" s="186"/>
      <c r="AN209" s="187"/>
      <c r="AO209" s="188"/>
      <c r="AP209" s="189"/>
      <c r="AQ209" s="186"/>
      <c r="AR209" s="187"/>
      <c r="AS209" s="188"/>
      <c r="AT209" s="189"/>
      <c r="AU209" s="186"/>
      <c r="AV209" s="187"/>
      <c r="AW209" s="188"/>
      <c r="AX209" s="189"/>
      <c r="AY209" s="186"/>
      <c r="AZ209" s="187"/>
      <c r="BA209" s="188"/>
      <c r="BB209" s="189"/>
      <c r="BC209" s="186"/>
      <c r="BD209" s="187"/>
      <c r="BE209" s="188"/>
      <c r="BF209" s="189"/>
      <c r="BG209" s="186"/>
      <c r="BH209" s="187"/>
      <c r="BI209" s="188"/>
      <c r="BJ209" s="189"/>
      <c r="BK209" s="186"/>
      <c r="BL209" s="187"/>
      <c r="BM209" s="188"/>
      <c r="BN209" s="189"/>
      <c r="BO209" s="186"/>
      <c r="BP209" s="187"/>
      <c r="BQ209" s="188"/>
      <c r="BR209" s="189"/>
      <c r="BS209" s="186"/>
      <c r="BT209" s="187"/>
      <c r="BU209" s="188"/>
      <c r="BV209" s="189"/>
      <c r="BW209" s="186"/>
      <c r="BX209" s="187"/>
      <c r="BY209" s="188"/>
      <c r="BZ209" s="189"/>
      <c r="CA209" s="186"/>
      <c r="CB209" s="190"/>
      <c r="CC209" s="190"/>
      <c r="CD209" s="82">
        <f t="shared" si="526"/>
        <v>0</v>
      </c>
      <c r="CE209" s="82">
        <f t="shared" si="527"/>
        <v>0</v>
      </c>
      <c r="CF209" s="82">
        <f t="shared" si="528"/>
        <v>0</v>
      </c>
      <c r="CG209" s="82">
        <f t="shared" si="529"/>
        <v>0</v>
      </c>
      <c r="CH209" s="82">
        <f t="shared" si="530"/>
        <v>0</v>
      </c>
      <c r="CI209" s="82">
        <f t="shared" si="531"/>
        <v>0</v>
      </c>
      <c r="CJ209" s="82">
        <f t="shared" si="532"/>
        <v>0</v>
      </c>
      <c r="CK209" s="82">
        <f t="shared" si="533"/>
        <v>0</v>
      </c>
      <c r="CL209" s="82">
        <f t="shared" si="534"/>
        <v>0</v>
      </c>
      <c r="CM209" s="82">
        <f t="shared" si="535"/>
        <v>0</v>
      </c>
      <c r="CN209" s="82">
        <f t="shared" si="536"/>
        <v>0</v>
      </c>
      <c r="CO209" s="82">
        <f t="shared" si="537"/>
        <v>0</v>
      </c>
      <c r="CP209" s="82">
        <f t="shared" si="538"/>
        <v>0</v>
      </c>
      <c r="CQ209" s="82">
        <f t="shared" si="539"/>
        <v>0</v>
      </c>
      <c r="CR209" s="82">
        <f t="shared" si="540"/>
        <v>0</v>
      </c>
      <c r="CS209" s="82">
        <f t="shared" si="541"/>
        <v>0</v>
      </c>
      <c r="CT209" s="82">
        <f t="shared" si="542"/>
        <v>0</v>
      </c>
      <c r="CU209" s="82">
        <f t="shared" si="543"/>
        <v>0</v>
      </c>
      <c r="CV209" s="82">
        <f t="shared" si="544"/>
        <v>0</v>
      </c>
      <c r="CW209" s="82">
        <f t="shared" si="545"/>
        <v>0</v>
      </c>
      <c r="CX209" s="82">
        <f t="shared" si="546"/>
        <v>0</v>
      </c>
      <c r="CY209" s="82">
        <f t="shared" si="547"/>
        <v>0</v>
      </c>
      <c r="CZ209" s="82">
        <f t="shared" si="548"/>
        <v>0</v>
      </c>
      <c r="DA209" s="82">
        <f t="shared" si="549"/>
        <v>0</v>
      </c>
      <c r="DB209" s="82">
        <f t="shared" si="550"/>
        <v>0</v>
      </c>
      <c r="DC209" s="82">
        <f t="shared" si="551"/>
        <v>0</v>
      </c>
      <c r="DD209" s="82">
        <f t="shared" si="552"/>
        <v>0</v>
      </c>
      <c r="DE209" s="82">
        <f t="shared" si="553"/>
        <v>0</v>
      </c>
      <c r="DF209" s="82">
        <f t="shared" si="554"/>
        <v>0</v>
      </c>
      <c r="DG209" s="82">
        <f t="shared" si="555"/>
        <v>0</v>
      </c>
      <c r="DH209" s="82">
        <f t="shared" si="556"/>
        <v>0</v>
      </c>
      <c r="DI209" s="82">
        <f t="shared" si="557"/>
        <v>0</v>
      </c>
      <c r="DJ209" s="82">
        <f t="shared" si="558"/>
        <v>0</v>
      </c>
      <c r="DK209" s="82">
        <f t="shared" si="559"/>
        <v>0</v>
      </c>
      <c r="DL209" s="82">
        <f t="shared" si="560"/>
        <v>0</v>
      </c>
      <c r="DM209" s="82">
        <f t="shared" si="561"/>
        <v>0</v>
      </c>
      <c r="DN209" s="82">
        <f t="shared" si="562"/>
        <v>0</v>
      </c>
      <c r="DO209" s="82">
        <f t="shared" si="563"/>
        <v>0</v>
      </c>
      <c r="DP209" s="82">
        <f t="shared" si="564"/>
        <v>0</v>
      </c>
      <c r="DQ209" s="82">
        <f t="shared" si="565"/>
        <v>0</v>
      </c>
      <c r="DR209" s="82">
        <f t="shared" si="566"/>
        <v>0</v>
      </c>
      <c r="DS209" s="82">
        <f t="shared" si="567"/>
        <v>0</v>
      </c>
      <c r="DT209" s="82">
        <f t="shared" si="568"/>
        <v>0</v>
      </c>
      <c r="DU209" s="82">
        <f t="shared" si="569"/>
        <v>0</v>
      </c>
      <c r="DV209" s="82">
        <f t="shared" si="570"/>
        <v>0</v>
      </c>
      <c r="DW209" s="82">
        <f t="shared" si="571"/>
        <v>0</v>
      </c>
      <c r="DX209" s="82">
        <f t="shared" si="572"/>
        <v>0</v>
      </c>
      <c r="DY209" s="82">
        <f t="shared" si="573"/>
        <v>0</v>
      </c>
      <c r="DZ209" s="82">
        <f t="shared" si="574"/>
        <v>0</v>
      </c>
      <c r="EA209" s="82">
        <f t="shared" si="575"/>
        <v>0</v>
      </c>
      <c r="EB209" s="82">
        <f t="shared" si="576"/>
        <v>0</v>
      </c>
      <c r="EC209" s="82">
        <f t="shared" si="577"/>
        <v>0</v>
      </c>
      <c r="ED209" s="82">
        <f t="shared" si="578"/>
        <v>0</v>
      </c>
      <c r="EE209" s="82">
        <f t="shared" si="579"/>
        <v>0</v>
      </c>
      <c r="EF209" s="82">
        <f t="shared" si="580"/>
        <v>0</v>
      </c>
      <c r="EG209" s="82">
        <f t="shared" si="581"/>
        <v>0</v>
      </c>
      <c r="EH209" s="82">
        <f t="shared" si="582"/>
        <v>0</v>
      </c>
      <c r="EI209" s="82">
        <f t="shared" si="583"/>
        <v>0</v>
      </c>
      <c r="EJ209" s="82">
        <f t="shared" si="584"/>
        <v>0</v>
      </c>
      <c r="EK209" s="82">
        <f t="shared" si="585"/>
        <v>0</v>
      </c>
      <c r="EL209" s="82">
        <f t="shared" si="586"/>
        <v>0</v>
      </c>
      <c r="EM209" s="82">
        <f t="shared" si="587"/>
        <v>0</v>
      </c>
      <c r="EN209" s="82">
        <f t="shared" si="588"/>
        <v>0</v>
      </c>
      <c r="EO209" s="82">
        <f t="shared" si="589"/>
        <v>0</v>
      </c>
      <c r="EP209" s="82">
        <f t="shared" si="590"/>
        <v>0</v>
      </c>
      <c r="EQ209" s="82">
        <f t="shared" si="591"/>
        <v>0</v>
      </c>
      <c r="ER209" s="82">
        <f t="shared" si="592"/>
        <v>0</v>
      </c>
      <c r="ES209" s="82">
        <f t="shared" si="593"/>
        <v>0</v>
      </c>
      <c r="ET209" s="82">
        <f t="shared" si="594"/>
        <v>0</v>
      </c>
      <c r="EU209" s="82">
        <f t="shared" si="595"/>
        <v>0</v>
      </c>
      <c r="EV209" s="82">
        <f t="shared" si="596"/>
        <v>0</v>
      </c>
      <c r="EW209" s="82">
        <f t="shared" si="597"/>
        <v>0</v>
      </c>
      <c r="EX209" s="82">
        <f t="shared" si="598"/>
        <v>0</v>
      </c>
      <c r="EY209" s="111">
        <f t="shared" si="599"/>
        <v>0</v>
      </c>
      <c r="EZ209" s="143" t="e">
        <f t="shared" ca="1" si="600"/>
        <v>#N/A</v>
      </c>
      <c r="FA209" s="112" t="e">
        <f t="shared" ca="1" si="601"/>
        <v>#N/A</v>
      </c>
      <c r="FB209" s="113" t="e">
        <f t="shared" ca="1" si="602"/>
        <v>#N/A</v>
      </c>
      <c r="FC209" s="114" t="e">
        <f t="shared" ca="1" si="603"/>
        <v>#N/A</v>
      </c>
      <c r="FD209" s="115">
        <f t="shared" ca="1" si="604"/>
        <v>0</v>
      </c>
      <c r="FE209" s="116" t="e">
        <f t="shared" ca="1" si="605"/>
        <v>#N/A</v>
      </c>
      <c r="FF209" s="117" t="e">
        <f t="shared" ca="1" si="606"/>
        <v>#N/A</v>
      </c>
      <c r="FG209" s="71">
        <f t="shared" si="607"/>
        <v>0</v>
      </c>
      <c r="FH209" s="530" t="e">
        <f t="shared" ca="1" si="608"/>
        <v>#N/A</v>
      </c>
      <c r="FI209" s="72"/>
      <c r="FJ209" s="72"/>
      <c r="FK209" s="72"/>
      <c r="FM209" s="421">
        <f t="shared" si="609"/>
        <v>0</v>
      </c>
      <c r="FN209" s="422" t="e">
        <f t="shared" ca="1" si="610"/>
        <v>#N/A</v>
      </c>
      <c r="FO209" s="423">
        <f t="shared" ca="1" si="626"/>
        <v>0</v>
      </c>
      <c r="FP209" s="423">
        <f t="shared" ca="1" si="626"/>
        <v>0</v>
      </c>
      <c r="FQ209" s="423">
        <f t="shared" ca="1" si="626"/>
        <v>0</v>
      </c>
      <c r="FR209" s="423">
        <f t="shared" ca="1" si="626"/>
        <v>0</v>
      </c>
      <c r="FS209" s="423">
        <f t="shared" ca="1" si="626"/>
        <v>0</v>
      </c>
      <c r="FT209" s="423">
        <f t="shared" ca="1" si="626"/>
        <v>0</v>
      </c>
      <c r="FU209" s="423">
        <f t="shared" ca="1" si="626"/>
        <v>0</v>
      </c>
      <c r="FV209" s="423">
        <f t="shared" ca="1" si="626"/>
        <v>0</v>
      </c>
      <c r="FW209" s="423">
        <f t="shared" ca="1" si="626"/>
        <v>0</v>
      </c>
      <c r="FX209" s="423">
        <f t="shared" ca="1" si="626"/>
        <v>0</v>
      </c>
      <c r="FY209" s="423">
        <f t="shared" ca="1" si="626"/>
        <v>0</v>
      </c>
      <c r="FZ209" s="423">
        <f t="shared" ca="1" si="626"/>
        <v>0</v>
      </c>
      <c r="GA209" s="423">
        <f t="shared" ca="1" si="626"/>
        <v>0</v>
      </c>
      <c r="GB209" s="423">
        <f t="shared" ca="1" si="626"/>
        <v>0</v>
      </c>
      <c r="GC209" s="423">
        <f t="shared" ca="1" si="626"/>
        <v>0</v>
      </c>
      <c r="GD209" s="423">
        <f t="shared" ca="1" si="622"/>
        <v>0</v>
      </c>
      <c r="GE209" s="423">
        <f t="shared" ca="1" si="622"/>
        <v>0</v>
      </c>
      <c r="GF209" s="423">
        <f t="shared" ca="1" si="622"/>
        <v>0</v>
      </c>
      <c r="GG209" s="423">
        <f t="shared" ca="1" si="622"/>
        <v>0</v>
      </c>
      <c r="GH209" s="423">
        <f t="shared" ca="1" si="622"/>
        <v>0</v>
      </c>
      <c r="GI209" s="423">
        <f t="shared" ca="1" si="622"/>
        <v>0</v>
      </c>
      <c r="GJ209" s="423">
        <f t="shared" ca="1" si="622"/>
        <v>0</v>
      </c>
      <c r="GK209" s="423">
        <f t="shared" ca="1" si="622"/>
        <v>0</v>
      </c>
      <c r="GL209" s="423">
        <f t="shared" ca="1" si="622"/>
        <v>0</v>
      </c>
      <c r="GM209" s="423">
        <f t="shared" ca="1" si="622"/>
        <v>0</v>
      </c>
      <c r="GN209" s="423">
        <f t="shared" ca="1" si="622"/>
        <v>0</v>
      </c>
      <c r="GO209" s="423">
        <f t="shared" ca="1" si="622"/>
        <v>0</v>
      </c>
      <c r="GP209" s="423">
        <f t="shared" ca="1" si="622"/>
        <v>0</v>
      </c>
      <c r="GQ209" s="423">
        <f t="shared" ca="1" si="622"/>
        <v>0</v>
      </c>
      <c r="GR209" s="423">
        <f t="shared" ca="1" si="622"/>
        <v>0</v>
      </c>
      <c r="GS209" s="423">
        <f t="shared" ca="1" si="622"/>
        <v>0</v>
      </c>
      <c r="GT209" s="423">
        <f t="shared" ca="1" si="623"/>
        <v>0</v>
      </c>
      <c r="GU209" s="423">
        <f t="shared" ca="1" si="621"/>
        <v>0</v>
      </c>
      <c r="GV209" s="423">
        <f t="shared" ca="1" si="621"/>
        <v>0</v>
      </c>
      <c r="GW209" s="423">
        <f t="shared" ca="1" si="621"/>
        <v>0</v>
      </c>
      <c r="GX209" s="423">
        <f t="shared" ca="1" si="621"/>
        <v>0</v>
      </c>
      <c r="GY209" s="423">
        <f t="shared" ca="1" si="621"/>
        <v>0</v>
      </c>
      <c r="GZ209" s="423">
        <f t="shared" ca="1" si="621"/>
        <v>0</v>
      </c>
      <c r="HA209" s="423">
        <f t="shared" ca="1" si="621"/>
        <v>0</v>
      </c>
      <c r="HB209" s="423">
        <f t="shared" ca="1" si="621"/>
        <v>0</v>
      </c>
      <c r="HC209" s="423">
        <f t="shared" ca="1" si="621"/>
        <v>0</v>
      </c>
      <c r="HD209" s="423">
        <f t="shared" ca="1" si="621"/>
        <v>0</v>
      </c>
      <c r="HE209" s="423">
        <f t="shared" ca="1" si="621"/>
        <v>0</v>
      </c>
      <c r="HF209" s="423">
        <f t="shared" ca="1" si="621"/>
        <v>0</v>
      </c>
      <c r="HG209" s="423">
        <f t="shared" ca="1" si="621"/>
        <v>0</v>
      </c>
      <c r="HH209" s="423">
        <f t="shared" ca="1" si="621"/>
        <v>0</v>
      </c>
      <c r="HI209" s="423">
        <f t="shared" ca="1" si="621"/>
        <v>0</v>
      </c>
      <c r="HJ209" s="423">
        <f t="shared" ca="1" si="621"/>
        <v>0</v>
      </c>
      <c r="HK209" s="423">
        <f t="shared" ca="1" si="624"/>
        <v>0</v>
      </c>
      <c r="HL209" s="423">
        <f t="shared" ca="1" si="624"/>
        <v>0</v>
      </c>
      <c r="HM209" s="423">
        <f t="shared" ca="1" si="624"/>
        <v>0</v>
      </c>
      <c r="HN209" s="423">
        <f t="shared" ca="1" si="624"/>
        <v>0</v>
      </c>
      <c r="HO209" s="423">
        <f t="shared" ca="1" si="624"/>
        <v>0</v>
      </c>
      <c r="HP209" s="423">
        <f t="shared" ca="1" si="624"/>
        <v>0</v>
      </c>
      <c r="HQ209" s="423">
        <f t="shared" ca="1" si="624"/>
        <v>0</v>
      </c>
      <c r="HR209" s="423">
        <f t="shared" ca="1" si="624"/>
        <v>0</v>
      </c>
      <c r="HS209" s="423">
        <f t="shared" ca="1" si="624"/>
        <v>0</v>
      </c>
      <c r="HT209" s="423">
        <f t="shared" ca="1" si="624"/>
        <v>0</v>
      </c>
    </row>
    <row r="210" spans="1:228" x14ac:dyDescent="0.2">
      <c r="A210" s="62">
        <f t="shared" si="625"/>
        <v>199</v>
      </c>
      <c r="B210" s="60">
        <f>Spaces_Sum!C255</f>
        <v>0</v>
      </c>
      <c r="C210" s="62" t="str">
        <f>Spaces_Sum!D255</f>
        <v>0</v>
      </c>
      <c r="D210" s="62" t="e">
        <f ca="1">Spaces_Sum!I255</f>
        <v>#N/A</v>
      </c>
      <c r="F210" s="110" t="e">
        <f ca="1">Spaces_Sum!M255</f>
        <v>#N/A</v>
      </c>
      <c r="G210" s="110" t="e">
        <f ca="1">Spaces_Sum!J255</f>
        <v>#N/A</v>
      </c>
      <c r="H210" s="532"/>
      <c r="I210" s="185"/>
      <c r="J210" s="185"/>
      <c r="K210" s="186"/>
      <c r="L210" s="187"/>
      <c r="M210" s="188"/>
      <c r="N210" s="189"/>
      <c r="O210" s="186"/>
      <c r="P210" s="187"/>
      <c r="Q210" s="188"/>
      <c r="R210" s="189"/>
      <c r="S210" s="186"/>
      <c r="T210" s="187"/>
      <c r="U210" s="188"/>
      <c r="V210" s="189"/>
      <c r="W210" s="186"/>
      <c r="X210" s="187"/>
      <c r="Y210" s="188"/>
      <c r="Z210" s="189"/>
      <c r="AA210" s="186"/>
      <c r="AB210" s="187"/>
      <c r="AC210" s="188"/>
      <c r="AD210" s="189"/>
      <c r="AE210" s="186"/>
      <c r="AF210" s="187"/>
      <c r="AG210" s="188"/>
      <c r="AH210" s="189"/>
      <c r="AI210" s="186"/>
      <c r="AJ210" s="187"/>
      <c r="AK210" s="188"/>
      <c r="AL210" s="189"/>
      <c r="AM210" s="186"/>
      <c r="AN210" s="187"/>
      <c r="AO210" s="188"/>
      <c r="AP210" s="189"/>
      <c r="AQ210" s="186"/>
      <c r="AR210" s="187"/>
      <c r="AS210" s="188"/>
      <c r="AT210" s="189"/>
      <c r="AU210" s="186"/>
      <c r="AV210" s="187"/>
      <c r="AW210" s="188"/>
      <c r="AX210" s="189"/>
      <c r="AY210" s="186"/>
      <c r="AZ210" s="187"/>
      <c r="BA210" s="188"/>
      <c r="BB210" s="189"/>
      <c r="BC210" s="186"/>
      <c r="BD210" s="187"/>
      <c r="BE210" s="188"/>
      <c r="BF210" s="189"/>
      <c r="BG210" s="186"/>
      <c r="BH210" s="187"/>
      <c r="BI210" s="188"/>
      <c r="BJ210" s="189"/>
      <c r="BK210" s="186"/>
      <c r="BL210" s="187"/>
      <c r="BM210" s="188"/>
      <c r="BN210" s="189"/>
      <c r="BO210" s="186"/>
      <c r="BP210" s="187"/>
      <c r="BQ210" s="188"/>
      <c r="BR210" s="189"/>
      <c r="BS210" s="186"/>
      <c r="BT210" s="187"/>
      <c r="BU210" s="188"/>
      <c r="BV210" s="189"/>
      <c r="BW210" s="186"/>
      <c r="BX210" s="187"/>
      <c r="BY210" s="188"/>
      <c r="BZ210" s="189"/>
      <c r="CA210" s="186"/>
      <c r="CB210" s="190"/>
      <c r="CC210" s="190"/>
      <c r="CD210" s="82">
        <f t="shared" si="526"/>
        <v>0</v>
      </c>
      <c r="CE210" s="82">
        <f t="shared" si="527"/>
        <v>0</v>
      </c>
      <c r="CF210" s="82">
        <f t="shared" si="528"/>
        <v>0</v>
      </c>
      <c r="CG210" s="82">
        <f t="shared" si="529"/>
        <v>0</v>
      </c>
      <c r="CH210" s="82">
        <f t="shared" si="530"/>
        <v>0</v>
      </c>
      <c r="CI210" s="82">
        <f t="shared" si="531"/>
        <v>0</v>
      </c>
      <c r="CJ210" s="82">
        <f t="shared" si="532"/>
        <v>0</v>
      </c>
      <c r="CK210" s="82">
        <f t="shared" si="533"/>
        <v>0</v>
      </c>
      <c r="CL210" s="82">
        <f t="shared" si="534"/>
        <v>0</v>
      </c>
      <c r="CM210" s="82">
        <f t="shared" si="535"/>
        <v>0</v>
      </c>
      <c r="CN210" s="82">
        <f t="shared" si="536"/>
        <v>0</v>
      </c>
      <c r="CO210" s="82">
        <f t="shared" si="537"/>
        <v>0</v>
      </c>
      <c r="CP210" s="82">
        <f t="shared" si="538"/>
        <v>0</v>
      </c>
      <c r="CQ210" s="82">
        <f t="shared" si="539"/>
        <v>0</v>
      </c>
      <c r="CR210" s="82">
        <f t="shared" si="540"/>
        <v>0</v>
      </c>
      <c r="CS210" s="82">
        <f t="shared" si="541"/>
        <v>0</v>
      </c>
      <c r="CT210" s="82">
        <f t="shared" si="542"/>
        <v>0</v>
      </c>
      <c r="CU210" s="82">
        <f t="shared" si="543"/>
        <v>0</v>
      </c>
      <c r="CV210" s="82">
        <f t="shared" si="544"/>
        <v>0</v>
      </c>
      <c r="CW210" s="82">
        <f t="shared" si="545"/>
        <v>0</v>
      </c>
      <c r="CX210" s="82">
        <f t="shared" si="546"/>
        <v>0</v>
      </c>
      <c r="CY210" s="82">
        <f t="shared" si="547"/>
        <v>0</v>
      </c>
      <c r="CZ210" s="82">
        <f t="shared" si="548"/>
        <v>0</v>
      </c>
      <c r="DA210" s="82">
        <f t="shared" si="549"/>
        <v>0</v>
      </c>
      <c r="DB210" s="82">
        <f t="shared" si="550"/>
        <v>0</v>
      </c>
      <c r="DC210" s="82">
        <f t="shared" si="551"/>
        <v>0</v>
      </c>
      <c r="DD210" s="82">
        <f t="shared" si="552"/>
        <v>0</v>
      </c>
      <c r="DE210" s="82">
        <f t="shared" si="553"/>
        <v>0</v>
      </c>
      <c r="DF210" s="82">
        <f t="shared" si="554"/>
        <v>0</v>
      </c>
      <c r="DG210" s="82">
        <f t="shared" si="555"/>
        <v>0</v>
      </c>
      <c r="DH210" s="82">
        <f t="shared" si="556"/>
        <v>0</v>
      </c>
      <c r="DI210" s="82">
        <f t="shared" si="557"/>
        <v>0</v>
      </c>
      <c r="DJ210" s="82">
        <f t="shared" si="558"/>
        <v>0</v>
      </c>
      <c r="DK210" s="82">
        <f t="shared" si="559"/>
        <v>0</v>
      </c>
      <c r="DL210" s="82">
        <f t="shared" si="560"/>
        <v>0</v>
      </c>
      <c r="DM210" s="82">
        <f t="shared" si="561"/>
        <v>0</v>
      </c>
      <c r="DN210" s="82">
        <f t="shared" si="562"/>
        <v>0</v>
      </c>
      <c r="DO210" s="82">
        <f t="shared" si="563"/>
        <v>0</v>
      </c>
      <c r="DP210" s="82">
        <f t="shared" si="564"/>
        <v>0</v>
      </c>
      <c r="DQ210" s="82">
        <f t="shared" si="565"/>
        <v>0</v>
      </c>
      <c r="DR210" s="82">
        <f t="shared" si="566"/>
        <v>0</v>
      </c>
      <c r="DS210" s="82">
        <f t="shared" si="567"/>
        <v>0</v>
      </c>
      <c r="DT210" s="82">
        <f t="shared" si="568"/>
        <v>0</v>
      </c>
      <c r="DU210" s="82">
        <f t="shared" si="569"/>
        <v>0</v>
      </c>
      <c r="DV210" s="82">
        <f t="shared" si="570"/>
        <v>0</v>
      </c>
      <c r="DW210" s="82">
        <f t="shared" si="571"/>
        <v>0</v>
      </c>
      <c r="DX210" s="82">
        <f t="shared" si="572"/>
        <v>0</v>
      </c>
      <c r="DY210" s="82">
        <f t="shared" si="573"/>
        <v>0</v>
      </c>
      <c r="DZ210" s="82">
        <f t="shared" si="574"/>
        <v>0</v>
      </c>
      <c r="EA210" s="82">
        <f t="shared" si="575"/>
        <v>0</v>
      </c>
      <c r="EB210" s="82">
        <f t="shared" si="576"/>
        <v>0</v>
      </c>
      <c r="EC210" s="82">
        <f t="shared" si="577"/>
        <v>0</v>
      </c>
      <c r="ED210" s="82">
        <f t="shared" si="578"/>
        <v>0</v>
      </c>
      <c r="EE210" s="82">
        <f t="shared" si="579"/>
        <v>0</v>
      </c>
      <c r="EF210" s="82">
        <f t="shared" si="580"/>
        <v>0</v>
      </c>
      <c r="EG210" s="82">
        <f t="shared" si="581"/>
        <v>0</v>
      </c>
      <c r="EH210" s="82">
        <f t="shared" si="582"/>
        <v>0</v>
      </c>
      <c r="EI210" s="82">
        <f t="shared" si="583"/>
        <v>0</v>
      </c>
      <c r="EJ210" s="82">
        <f t="shared" si="584"/>
        <v>0</v>
      </c>
      <c r="EK210" s="82">
        <f t="shared" si="585"/>
        <v>0</v>
      </c>
      <c r="EL210" s="82">
        <f t="shared" si="586"/>
        <v>0</v>
      </c>
      <c r="EM210" s="82">
        <f t="shared" si="587"/>
        <v>0</v>
      </c>
      <c r="EN210" s="82">
        <f t="shared" si="588"/>
        <v>0</v>
      </c>
      <c r="EO210" s="82">
        <f t="shared" si="589"/>
        <v>0</v>
      </c>
      <c r="EP210" s="82">
        <f t="shared" si="590"/>
        <v>0</v>
      </c>
      <c r="EQ210" s="82">
        <f t="shared" si="591"/>
        <v>0</v>
      </c>
      <c r="ER210" s="82">
        <f t="shared" si="592"/>
        <v>0</v>
      </c>
      <c r="ES210" s="82">
        <f t="shared" si="593"/>
        <v>0</v>
      </c>
      <c r="ET210" s="82">
        <f t="shared" si="594"/>
        <v>0</v>
      </c>
      <c r="EU210" s="82">
        <f t="shared" si="595"/>
        <v>0</v>
      </c>
      <c r="EV210" s="82">
        <f t="shared" si="596"/>
        <v>0</v>
      </c>
      <c r="EW210" s="82">
        <f t="shared" si="597"/>
        <v>0</v>
      </c>
      <c r="EX210" s="82">
        <f t="shared" si="598"/>
        <v>0</v>
      </c>
      <c r="EY210" s="111">
        <f t="shared" si="599"/>
        <v>0</v>
      </c>
      <c r="EZ210" s="143" t="e">
        <f t="shared" ca="1" si="600"/>
        <v>#N/A</v>
      </c>
      <c r="FA210" s="112" t="e">
        <f t="shared" ca="1" si="601"/>
        <v>#N/A</v>
      </c>
      <c r="FB210" s="113" t="e">
        <f t="shared" ca="1" si="602"/>
        <v>#N/A</v>
      </c>
      <c r="FC210" s="114" t="e">
        <f t="shared" ca="1" si="603"/>
        <v>#N/A</v>
      </c>
      <c r="FD210" s="115">
        <f t="shared" ca="1" si="604"/>
        <v>0</v>
      </c>
      <c r="FE210" s="116" t="e">
        <f t="shared" ca="1" si="605"/>
        <v>#N/A</v>
      </c>
      <c r="FF210" s="117" t="e">
        <f t="shared" ca="1" si="606"/>
        <v>#N/A</v>
      </c>
      <c r="FG210" s="71">
        <f t="shared" si="607"/>
        <v>0</v>
      </c>
      <c r="FH210" s="530" t="e">
        <f t="shared" ca="1" si="608"/>
        <v>#N/A</v>
      </c>
      <c r="FI210" s="72"/>
      <c r="FJ210" s="72"/>
      <c r="FK210" s="72"/>
      <c r="FM210" s="421">
        <f t="shared" si="609"/>
        <v>0</v>
      </c>
      <c r="FN210" s="422" t="e">
        <f t="shared" ca="1" si="610"/>
        <v>#N/A</v>
      </c>
      <c r="FO210" s="423">
        <f t="shared" ca="1" si="626"/>
        <v>0</v>
      </c>
      <c r="FP210" s="423">
        <f t="shared" ca="1" si="626"/>
        <v>0</v>
      </c>
      <c r="FQ210" s="423">
        <f t="shared" ca="1" si="626"/>
        <v>0</v>
      </c>
      <c r="FR210" s="423">
        <f t="shared" ca="1" si="626"/>
        <v>0</v>
      </c>
      <c r="FS210" s="423">
        <f t="shared" ca="1" si="626"/>
        <v>0</v>
      </c>
      <c r="FT210" s="423">
        <f t="shared" ca="1" si="626"/>
        <v>0</v>
      </c>
      <c r="FU210" s="423">
        <f t="shared" ca="1" si="626"/>
        <v>0</v>
      </c>
      <c r="FV210" s="423">
        <f t="shared" ca="1" si="626"/>
        <v>0</v>
      </c>
      <c r="FW210" s="423">
        <f t="shared" ca="1" si="626"/>
        <v>0</v>
      </c>
      <c r="FX210" s="423">
        <f t="shared" ca="1" si="626"/>
        <v>0</v>
      </c>
      <c r="FY210" s="423">
        <f t="shared" ca="1" si="626"/>
        <v>0</v>
      </c>
      <c r="FZ210" s="423">
        <f t="shared" ca="1" si="626"/>
        <v>0</v>
      </c>
      <c r="GA210" s="423">
        <f t="shared" ca="1" si="626"/>
        <v>0</v>
      </c>
      <c r="GB210" s="423">
        <f t="shared" ca="1" si="626"/>
        <v>0</v>
      </c>
      <c r="GC210" s="423">
        <f t="shared" ca="1" si="626"/>
        <v>0</v>
      </c>
      <c r="GD210" s="423">
        <f t="shared" ca="1" si="622"/>
        <v>0</v>
      </c>
      <c r="GE210" s="423">
        <f t="shared" ca="1" si="622"/>
        <v>0</v>
      </c>
      <c r="GF210" s="423">
        <f t="shared" ca="1" si="622"/>
        <v>0</v>
      </c>
      <c r="GG210" s="423">
        <f t="shared" ca="1" si="622"/>
        <v>0</v>
      </c>
      <c r="GH210" s="423">
        <f t="shared" ca="1" si="622"/>
        <v>0</v>
      </c>
      <c r="GI210" s="423">
        <f t="shared" ca="1" si="622"/>
        <v>0</v>
      </c>
      <c r="GJ210" s="423">
        <f t="shared" ca="1" si="622"/>
        <v>0</v>
      </c>
      <c r="GK210" s="423">
        <f t="shared" ca="1" si="622"/>
        <v>0</v>
      </c>
      <c r="GL210" s="423">
        <f t="shared" ca="1" si="622"/>
        <v>0</v>
      </c>
      <c r="GM210" s="423">
        <f t="shared" ca="1" si="622"/>
        <v>0</v>
      </c>
      <c r="GN210" s="423">
        <f t="shared" ca="1" si="622"/>
        <v>0</v>
      </c>
      <c r="GO210" s="423">
        <f t="shared" ca="1" si="622"/>
        <v>0</v>
      </c>
      <c r="GP210" s="423">
        <f t="shared" ca="1" si="622"/>
        <v>0</v>
      </c>
      <c r="GQ210" s="423">
        <f t="shared" ca="1" si="622"/>
        <v>0</v>
      </c>
      <c r="GR210" s="423">
        <f t="shared" ca="1" si="622"/>
        <v>0</v>
      </c>
      <c r="GS210" s="423">
        <f t="shared" ca="1" si="622"/>
        <v>0</v>
      </c>
      <c r="GT210" s="423">
        <f t="shared" ca="1" si="623"/>
        <v>0</v>
      </c>
      <c r="GU210" s="423">
        <f t="shared" ca="1" si="621"/>
        <v>0</v>
      </c>
      <c r="GV210" s="423">
        <f t="shared" ca="1" si="621"/>
        <v>0</v>
      </c>
      <c r="GW210" s="423">
        <f t="shared" ca="1" si="621"/>
        <v>0</v>
      </c>
      <c r="GX210" s="423">
        <f t="shared" ca="1" si="621"/>
        <v>0</v>
      </c>
      <c r="GY210" s="423">
        <f t="shared" ca="1" si="621"/>
        <v>0</v>
      </c>
      <c r="GZ210" s="423">
        <f t="shared" ca="1" si="621"/>
        <v>0</v>
      </c>
      <c r="HA210" s="423">
        <f t="shared" ca="1" si="621"/>
        <v>0</v>
      </c>
      <c r="HB210" s="423">
        <f t="shared" ca="1" si="621"/>
        <v>0</v>
      </c>
      <c r="HC210" s="423">
        <f t="shared" ca="1" si="621"/>
        <v>0</v>
      </c>
      <c r="HD210" s="423">
        <f t="shared" ca="1" si="621"/>
        <v>0</v>
      </c>
      <c r="HE210" s="423">
        <f t="shared" ca="1" si="621"/>
        <v>0</v>
      </c>
      <c r="HF210" s="423">
        <f t="shared" ca="1" si="621"/>
        <v>0</v>
      </c>
      <c r="HG210" s="423">
        <f t="shared" ca="1" si="621"/>
        <v>0</v>
      </c>
      <c r="HH210" s="423">
        <f t="shared" ca="1" si="621"/>
        <v>0</v>
      </c>
      <c r="HI210" s="423">
        <f t="shared" ca="1" si="621"/>
        <v>0</v>
      </c>
      <c r="HJ210" s="423">
        <f t="shared" ca="1" si="621"/>
        <v>0</v>
      </c>
      <c r="HK210" s="423">
        <f t="shared" ca="1" si="624"/>
        <v>0</v>
      </c>
      <c r="HL210" s="423">
        <f t="shared" ca="1" si="624"/>
        <v>0</v>
      </c>
      <c r="HM210" s="423">
        <f t="shared" ca="1" si="624"/>
        <v>0</v>
      </c>
      <c r="HN210" s="423">
        <f t="shared" ca="1" si="624"/>
        <v>0</v>
      </c>
      <c r="HO210" s="423">
        <f t="shared" ca="1" si="624"/>
        <v>0</v>
      </c>
      <c r="HP210" s="423">
        <f t="shared" ca="1" si="624"/>
        <v>0</v>
      </c>
      <c r="HQ210" s="423">
        <f t="shared" ca="1" si="624"/>
        <v>0</v>
      </c>
      <c r="HR210" s="423">
        <f t="shared" ca="1" si="624"/>
        <v>0</v>
      </c>
      <c r="HS210" s="423">
        <f t="shared" ca="1" si="624"/>
        <v>0</v>
      </c>
      <c r="HT210" s="423">
        <f t="shared" ca="1" si="624"/>
        <v>0</v>
      </c>
    </row>
    <row r="211" spans="1:228" x14ac:dyDescent="0.2">
      <c r="A211" s="62">
        <f t="shared" si="625"/>
        <v>200</v>
      </c>
      <c r="B211" s="60">
        <f>Spaces_Sum!C256</f>
        <v>0</v>
      </c>
      <c r="C211" s="62" t="str">
        <f>Spaces_Sum!D256</f>
        <v>0</v>
      </c>
      <c r="D211" s="62" t="e">
        <f ca="1">Spaces_Sum!I256</f>
        <v>#N/A</v>
      </c>
      <c r="F211" s="110" t="e">
        <f ca="1">Spaces_Sum!M256</f>
        <v>#N/A</v>
      </c>
      <c r="G211" s="110" t="e">
        <f ca="1">Spaces_Sum!J256</f>
        <v>#N/A</v>
      </c>
      <c r="H211" s="532"/>
      <c r="I211" s="185"/>
      <c r="J211" s="185"/>
      <c r="K211" s="186"/>
      <c r="L211" s="187"/>
      <c r="M211" s="188"/>
      <c r="N211" s="189"/>
      <c r="O211" s="186"/>
      <c r="P211" s="187"/>
      <c r="Q211" s="188"/>
      <c r="R211" s="189"/>
      <c r="S211" s="186"/>
      <c r="T211" s="187"/>
      <c r="U211" s="188"/>
      <c r="V211" s="189"/>
      <c r="W211" s="186"/>
      <c r="X211" s="187"/>
      <c r="Y211" s="188"/>
      <c r="Z211" s="189"/>
      <c r="AA211" s="186"/>
      <c r="AB211" s="187"/>
      <c r="AC211" s="188"/>
      <c r="AD211" s="189"/>
      <c r="AE211" s="186"/>
      <c r="AF211" s="187"/>
      <c r="AG211" s="188"/>
      <c r="AH211" s="189"/>
      <c r="AI211" s="186"/>
      <c r="AJ211" s="187"/>
      <c r="AK211" s="188"/>
      <c r="AL211" s="189"/>
      <c r="AM211" s="186"/>
      <c r="AN211" s="187"/>
      <c r="AO211" s="188"/>
      <c r="AP211" s="189"/>
      <c r="AQ211" s="186"/>
      <c r="AR211" s="187"/>
      <c r="AS211" s="188"/>
      <c r="AT211" s="189"/>
      <c r="AU211" s="186"/>
      <c r="AV211" s="187"/>
      <c r="AW211" s="188"/>
      <c r="AX211" s="189"/>
      <c r="AY211" s="186"/>
      <c r="AZ211" s="187"/>
      <c r="BA211" s="188"/>
      <c r="BB211" s="189"/>
      <c r="BC211" s="186"/>
      <c r="BD211" s="187"/>
      <c r="BE211" s="188"/>
      <c r="BF211" s="189"/>
      <c r="BG211" s="186"/>
      <c r="BH211" s="187"/>
      <c r="BI211" s="188"/>
      <c r="BJ211" s="189"/>
      <c r="BK211" s="186"/>
      <c r="BL211" s="187"/>
      <c r="BM211" s="188"/>
      <c r="BN211" s="189"/>
      <c r="BO211" s="186"/>
      <c r="BP211" s="187"/>
      <c r="BQ211" s="188"/>
      <c r="BR211" s="189"/>
      <c r="BS211" s="186"/>
      <c r="BT211" s="187"/>
      <c r="BU211" s="188"/>
      <c r="BV211" s="189"/>
      <c r="BW211" s="186"/>
      <c r="BX211" s="187"/>
      <c r="BY211" s="188"/>
      <c r="BZ211" s="189"/>
      <c r="CA211" s="186"/>
      <c r="CB211" s="190"/>
      <c r="CC211" s="190"/>
      <c r="CD211" s="82">
        <f t="shared" si="526"/>
        <v>0</v>
      </c>
      <c r="CE211" s="82">
        <f t="shared" si="527"/>
        <v>0</v>
      </c>
      <c r="CF211" s="82">
        <f t="shared" si="528"/>
        <v>0</v>
      </c>
      <c r="CG211" s="82">
        <f t="shared" si="529"/>
        <v>0</v>
      </c>
      <c r="CH211" s="82">
        <f t="shared" si="530"/>
        <v>0</v>
      </c>
      <c r="CI211" s="82">
        <f t="shared" si="531"/>
        <v>0</v>
      </c>
      <c r="CJ211" s="82">
        <f t="shared" si="532"/>
        <v>0</v>
      </c>
      <c r="CK211" s="82">
        <f t="shared" si="533"/>
        <v>0</v>
      </c>
      <c r="CL211" s="82">
        <f t="shared" si="534"/>
        <v>0</v>
      </c>
      <c r="CM211" s="82">
        <f t="shared" si="535"/>
        <v>0</v>
      </c>
      <c r="CN211" s="82">
        <f t="shared" si="536"/>
        <v>0</v>
      </c>
      <c r="CO211" s="82">
        <f t="shared" si="537"/>
        <v>0</v>
      </c>
      <c r="CP211" s="82">
        <f t="shared" si="538"/>
        <v>0</v>
      </c>
      <c r="CQ211" s="82">
        <f t="shared" si="539"/>
        <v>0</v>
      </c>
      <c r="CR211" s="82">
        <f t="shared" si="540"/>
        <v>0</v>
      </c>
      <c r="CS211" s="82">
        <f t="shared" si="541"/>
        <v>0</v>
      </c>
      <c r="CT211" s="82">
        <f t="shared" si="542"/>
        <v>0</v>
      </c>
      <c r="CU211" s="82">
        <f t="shared" si="543"/>
        <v>0</v>
      </c>
      <c r="CV211" s="82">
        <f t="shared" si="544"/>
        <v>0</v>
      </c>
      <c r="CW211" s="82">
        <f t="shared" si="545"/>
        <v>0</v>
      </c>
      <c r="CX211" s="82">
        <f t="shared" si="546"/>
        <v>0</v>
      </c>
      <c r="CY211" s="82">
        <f t="shared" si="547"/>
        <v>0</v>
      </c>
      <c r="CZ211" s="82">
        <f t="shared" si="548"/>
        <v>0</v>
      </c>
      <c r="DA211" s="82">
        <f t="shared" si="549"/>
        <v>0</v>
      </c>
      <c r="DB211" s="82">
        <f t="shared" si="550"/>
        <v>0</v>
      </c>
      <c r="DC211" s="82">
        <f t="shared" si="551"/>
        <v>0</v>
      </c>
      <c r="DD211" s="82">
        <f t="shared" si="552"/>
        <v>0</v>
      </c>
      <c r="DE211" s="82">
        <f t="shared" si="553"/>
        <v>0</v>
      </c>
      <c r="DF211" s="82">
        <f t="shared" si="554"/>
        <v>0</v>
      </c>
      <c r="DG211" s="82">
        <f t="shared" si="555"/>
        <v>0</v>
      </c>
      <c r="DH211" s="82">
        <f t="shared" si="556"/>
        <v>0</v>
      </c>
      <c r="DI211" s="82">
        <f t="shared" si="557"/>
        <v>0</v>
      </c>
      <c r="DJ211" s="82">
        <f t="shared" si="558"/>
        <v>0</v>
      </c>
      <c r="DK211" s="82">
        <f t="shared" si="559"/>
        <v>0</v>
      </c>
      <c r="DL211" s="82">
        <f t="shared" si="560"/>
        <v>0</v>
      </c>
      <c r="DM211" s="82">
        <f t="shared" si="561"/>
        <v>0</v>
      </c>
      <c r="DN211" s="82">
        <f t="shared" si="562"/>
        <v>0</v>
      </c>
      <c r="DO211" s="82">
        <f t="shared" si="563"/>
        <v>0</v>
      </c>
      <c r="DP211" s="82">
        <f t="shared" si="564"/>
        <v>0</v>
      </c>
      <c r="DQ211" s="82">
        <f t="shared" si="565"/>
        <v>0</v>
      </c>
      <c r="DR211" s="82">
        <f t="shared" si="566"/>
        <v>0</v>
      </c>
      <c r="DS211" s="82">
        <f t="shared" si="567"/>
        <v>0</v>
      </c>
      <c r="DT211" s="82">
        <f t="shared" si="568"/>
        <v>0</v>
      </c>
      <c r="DU211" s="82">
        <f t="shared" si="569"/>
        <v>0</v>
      </c>
      <c r="DV211" s="82">
        <f t="shared" si="570"/>
        <v>0</v>
      </c>
      <c r="DW211" s="82">
        <f t="shared" si="571"/>
        <v>0</v>
      </c>
      <c r="DX211" s="82">
        <f t="shared" si="572"/>
        <v>0</v>
      </c>
      <c r="DY211" s="82">
        <f t="shared" si="573"/>
        <v>0</v>
      </c>
      <c r="DZ211" s="82">
        <f t="shared" si="574"/>
        <v>0</v>
      </c>
      <c r="EA211" s="82">
        <f t="shared" si="575"/>
        <v>0</v>
      </c>
      <c r="EB211" s="82">
        <f t="shared" si="576"/>
        <v>0</v>
      </c>
      <c r="EC211" s="82">
        <f t="shared" si="577"/>
        <v>0</v>
      </c>
      <c r="ED211" s="82">
        <f t="shared" si="578"/>
        <v>0</v>
      </c>
      <c r="EE211" s="82">
        <f t="shared" si="579"/>
        <v>0</v>
      </c>
      <c r="EF211" s="82">
        <f t="shared" si="580"/>
        <v>0</v>
      </c>
      <c r="EG211" s="82">
        <f t="shared" si="581"/>
        <v>0</v>
      </c>
      <c r="EH211" s="82">
        <f t="shared" si="582"/>
        <v>0</v>
      </c>
      <c r="EI211" s="82">
        <f t="shared" si="583"/>
        <v>0</v>
      </c>
      <c r="EJ211" s="82">
        <f t="shared" si="584"/>
        <v>0</v>
      </c>
      <c r="EK211" s="82">
        <f t="shared" si="585"/>
        <v>0</v>
      </c>
      <c r="EL211" s="82">
        <f t="shared" si="586"/>
        <v>0</v>
      </c>
      <c r="EM211" s="82">
        <f t="shared" si="587"/>
        <v>0</v>
      </c>
      <c r="EN211" s="82">
        <f t="shared" si="588"/>
        <v>0</v>
      </c>
      <c r="EO211" s="82">
        <f t="shared" si="589"/>
        <v>0</v>
      </c>
      <c r="EP211" s="82">
        <f t="shared" si="590"/>
        <v>0</v>
      </c>
      <c r="EQ211" s="82">
        <f t="shared" si="591"/>
        <v>0</v>
      </c>
      <c r="ER211" s="82">
        <f t="shared" si="592"/>
        <v>0</v>
      </c>
      <c r="ES211" s="82">
        <f t="shared" si="593"/>
        <v>0</v>
      </c>
      <c r="ET211" s="82">
        <f t="shared" si="594"/>
        <v>0</v>
      </c>
      <c r="EU211" s="82">
        <f t="shared" si="595"/>
        <v>0</v>
      </c>
      <c r="EV211" s="82">
        <f t="shared" si="596"/>
        <v>0</v>
      </c>
      <c r="EW211" s="82">
        <f t="shared" si="597"/>
        <v>0</v>
      </c>
      <c r="EX211" s="82">
        <f t="shared" si="598"/>
        <v>0</v>
      </c>
      <c r="EY211" s="111">
        <f t="shared" si="599"/>
        <v>0</v>
      </c>
      <c r="EZ211" s="143" t="e">
        <f t="shared" ca="1" si="600"/>
        <v>#N/A</v>
      </c>
      <c r="FA211" s="112" t="e">
        <f t="shared" ca="1" si="601"/>
        <v>#N/A</v>
      </c>
      <c r="FB211" s="113" t="e">
        <f t="shared" ca="1" si="602"/>
        <v>#N/A</v>
      </c>
      <c r="FC211" s="114" t="e">
        <f t="shared" ca="1" si="603"/>
        <v>#N/A</v>
      </c>
      <c r="FD211" s="115">
        <f t="shared" ca="1" si="604"/>
        <v>0</v>
      </c>
      <c r="FE211" s="116" t="e">
        <f t="shared" ca="1" si="605"/>
        <v>#N/A</v>
      </c>
      <c r="FF211" s="117" t="e">
        <f t="shared" ca="1" si="606"/>
        <v>#N/A</v>
      </c>
      <c r="FG211" s="71">
        <f t="shared" si="607"/>
        <v>0</v>
      </c>
      <c r="FH211" s="530" t="e">
        <f t="shared" ca="1" si="608"/>
        <v>#N/A</v>
      </c>
      <c r="FI211" s="72"/>
      <c r="FJ211" s="72"/>
      <c r="FK211" s="72"/>
      <c r="FM211" s="421">
        <f t="shared" si="609"/>
        <v>0</v>
      </c>
      <c r="FN211" s="422" t="e">
        <f t="shared" ca="1" si="610"/>
        <v>#N/A</v>
      </c>
      <c r="FO211" s="423">
        <f t="shared" ca="1" si="626"/>
        <v>0</v>
      </c>
      <c r="FP211" s="423">
        <f t="shared" ca="1" si="626"/>
        <v>0</v>
      </c>
      <c r="FQ211" s="423">
        <f t="shared" ca="1" si="626"/>
        <v>0</v>
      </c>
      <c r="FR211" s="423">
        <f t="shared" ca="1" si="626"/>
        <v>0</v>
      </c>
      <c r="FS211" s="423">
        <f t="shared" ca="1" si="626"/>
        <v>0</v>
      </c>
      <c r="FT211" s="423">
        <f t="shared" ca="1" si="626"/>
        <v>0</v>
      </c>
      <c r="FU211" s="423">
        <f t="shared" ca="1" si="626"/>
        <v>0</v>
      </c>
      <c r="FV211" s="423">
        <f t="shared" ca="1" si="626"/>
        <v>0</v>
      </c>
      <c r="FW211" s="423">
        <f t="shared" ca="1" si="626"/>
        <v>0</v>
      </c>
      <c r="FX211" s="423">
        <f t="shared" ca="1" si="626"/>
        <v>0</v>
      </c>
      <c r="FY211" s="423">
        <f t="shared" ca="1" si="626"/>
        <v>0</v>
      </c>
      <c r="FZ211" s="423">
        <f t="shared" ca="1" si="626"/>
        <v>0</v>
      </c>
      <c r="GA211" s="423">
        <f t="shared" ca="1" si="626"/>
        <v>0</v>
      </c>
      <c r="GB211" s="423">
        <f t="shared" ca="1" si="626"/>
        <v>0</v>
      </c>
      <c r="GC211" s="423">
        <f t="shared" ca="1" si="626"/>
        <v>0</v>
      </c>
      <c r="GD211" s="423">
        <f t="shared" ca="1" si="622"/>
        <v>0</v>
      </c>
      <c r="GE211" s="423">
        <f t="shared" ca="1" si="622"/>
        <v>0</v>
      </c>
      <c r="GF211" s="423">
        <f t="shared" ca="1" si="622"/>
        <v>0</v>
      </c>
      <c r="GG211" s="423">
        <f t="shared" ca="1" si="622"/>
        <v>0</v>
      </c>
      <c r="GH211" s="423">
        <f t="shared" ca="1" si="622"/>
        <v>0</v>
      </c>
      <c r="GI211" s="423">
        <f t="shared" ca="1" si="622"/>
        <v>0</v>
      </c>
      <c r="GJ211" s="423">
        <f t="shared" ca="1" si="622"/>
        <v>0</v>
      </c>
      <c r="GK211" s="423">
        <f t="shared" ca="1" si="622"/>
        <v>0</v>
      </c>
      <c r="GL211" s="423">
        <f t="shared" ca="1" si="622"/>
        <v>0</v>
      </c>
      <c r="GM211" s="423">
        <f t="shared" ca="1" si="622"/>
        <v>0</v>
      </c>
      <c r="GN211" s="423">
        <f t="shared" ca="1" si="622"/>
        <v>0</v>
      </c>
      <c r="GO211" s="423">
        <f t="shared" ca="1" si="622"/>
        <v>0</v>
      </c>
      <c r="GP211" s="423">
        <f t="shared" ca="1" si="622"/>
        <v>0</v>
      </c>
      <c r="GQ211" s="423">
        <f t="shared" ca="1" si="622"/>
        <v>0</v>
      </c>
      <c r="GR211" s="423">
        <f t="shared" ca="1" si="622"/>
        <v>0</v>
      </c>
      <c r="GS211" s="423">
        <f t="shared" ca="1" si="622"/>
        <v>0</v>
      </c>
      <c r="GT211" s="423">
        <f t="shared" ca="1" si="623"/>
        <v>0</v>
      </c>
      <c r="GU211" s="423">
        <f t="shared" ca="1" si="621"/>
        <v>0</v>
      </c>
      <c r="GV211" s="423">
        <f t="shared" ca="1" si="621"/>
        <v>0</v>
      </c>
      <c r="GW211" s="423">
        <f t="shared" ca="1" si="621"/>
        <v>0</v>
      </c>
      <c r="GX211" s="423">
        <f t="shared" ca="1" si="621"/>
        <v>0</v>
      </c>
      <c r="GY211" s="423">
        <f t="shared" ca="1" si="621"/>
        <v>0</v>
      </c>
      <c r="GZ211" s="423">
        <f t="shared" ca="1" si="621"/>
        <v>0</v>
      </c>
      <c r="HA211" s="423">
        <f t="shared" ca="1" si="621"/>
        <v>0</v>
      </c>
      <c r="HB211" s="423">
        <f t="shared" ca="1" si="621"/>
        <v>0</v>
      </c>
      <c r="HC211" s="423">
        <f t="shared" ca="1" si="621"/>
        <v>0</v>
      </c>
      <c r="HD211" s="423">
        <f t="shared" ca="1" si="621"/>
        <v>0</v>
      </c>
      <c r="HE211" s="423">
        <f t="shared" ca="1" si="621"/>
        <v>0</v>
      </c>
      <c r="HF211" s="423">
        <f t="shared" ca="1" si="621"/>
        <v>0</v>
      </c>
      <c r="HG211" s="423">
        <f t="shared" ca="1" si="621"/>
        <v>0</v>
      </c>
      <c r="HH211" s="423">
        <f t="shared" ca="1" si="621"/>
        <v>0</v>
      </c>
      <c r="HI211" s="423">
        <f t="shared" ca="1" si="621"/>
        <v>0</v>
      </c>
      <c r="HJ211" s="423">
        <f t="shared" ca="1" si="621"/>
        <v>0</v>
      </c>
      <c r="HK211" s="423">
        <f t="shared" ca="1" si="624"/>
        <v>0</v>
      </c>
      <c r="HL211" s="423">
        <f t="shared" ca="1" si="624"/>
        <v>0</v>
      </c>
      <c r="HM211" s="423">
        <f t="shared" ca="1" si="624"/>
        <v>0</v>
      </c>
      <c r="HN211" s="423">
        <f t="shared" ca="1" si="624"/>
        <v>0</v>
      </c>
      <c r="HO211" s="423">
        <f t="shared" ca="1" si="624"/>
        <v>0</v>
      </c>
      <c r="HP211" s="423">
        <f t="shared" ca="1" si="624"/>
        <v>0</v>
      </c>
      <c r="HQ211" s="423">
        <f t="shared" ca="1" si="624"/>
        <v>0</v>
      </c>
      <c r="HR211" s="423">
        <f t="shared" ca="1" si="624"/>
        <v>0</v>
      </c>
      <c r="HS211" s="423">
        <f t="shared" ca="1" si="624"/>
        <v>0</v>
      </c>
      <c r="HT211" s="423">
        <f t="shared" ca="1" si="624"/>
        <v>0</v>
      </c>
    </row>
    <row r="212" spans="1:228" x14ac:dyDescent="0.2">
      <c r="A212" s="62">
        <f t="shared" si="625"/>
        <v>201</v>
      </c>
      <c r="B212" s="60">
        <f>Spaces_Sum!C257</f>
        <v>0</v>
      </c>
      <c r="C212" s="62" t="str">
        <f>Spaces_Sum!D257</f>
        <v>0</v>
      </c>
      <c r="D212" s="62" t="e">
        <f ca="1">Spaces_Sum!I257</f>
        <v>#N/A</v>
      </c>
      <c r="F212" s="110" t="e">
        <f ca="1">Spaces_Sum!M257</f>
        <v>#N/A</v>
      </c>
      <c r="G212" s="110" t="e">
        <f ca="1">Spaces_Sum!J257</f>
        <v>#N/A</v>
      </c>
      <c r="H212" s="532"/>
      <c r="I212" s="185"/>
      <c r="J212" s="185"/>
      <c r="K212" s="186"/>
      <c r="L212" s="187"/>
      <c r="M212" s="188"/>
      <c r="N212" s="189"/>
      <c r="O212" s="186"/>
      <c r="P212" s="187"/>
      <c r="Q212" s="188"/>
      <c r="R212" s="189"/>
      <c r="S212" s="186"/>
      <c r="T212" s="187"/>
      <c r="U212" s="188"/>
      <c r="V212" s="189"/>
      <c r="W212" s="186"/>
      <c r="X212" s="187"/>
      <c r="Y212" s="188"/>
      <c r="Z212" s="189"/>
      <c r="AA212" s="186"/>
      <c r="AB212" s="187"/>
      <c r="AC212" s="188"/>
      <c r="AD212" s="189"/>
      <c r="AE212" s="186"/>
      <c r="AF212" s="187"/>
      <c r="AG212" s="188"/>
      <c r="AH212" s="189"/>
      <c r="AI212" s="186"/>
      <c r="AJ212" s="187"/>
      <c r="AK212" s="188"/>
      <c r="AL212" s="189"/>
      <c r="AM212" s="186"/>
      <c r="AN212" s="187"/>
      <c r="AO212" s="188"/>
      <c r="AP212" s="189"/>
      <c r="AQ212" s="186"/>
      <c r="AR212" s="187"/>
      <c r="AS212" s="188"/>
      <c r="AT212" s="189"/>
      <c r="AU212" s="186"/>
      <c r="AV212" s="187"/>
      <c r="AW212" s="188"/>
      <c r="AX212" s="189"/>
      <c r="AY212" s="186"/>
      <c r="AZ212" s="187"/>
      <c r="BA212" s="188"/>
      <c r="BB212" s="189"/>
      <c r="BC212" s="186"/>
      <c r="BD212" s="187"/>
      <c r="BE212" s="188"/>
      <c r="BF212" s="189"/>
      <c r="BG212" s="186"/>
      <c r="BH212" s="187"/>
      <c r="BI212" s="188"/>
      <c r="BJ212" s="189"/>
      <c r="BK212" s="186"/>
      <c r="BL212" s="187"/>
      <c r="BM212" s="188"/>
      <c r="BN212" s="189"/>
      <c r="BO212" s="186"/>
      <c r="BP212" s="187"/>
      <c r="BQ212" s="188"/>
      <c r="BR212" s="189"/>
      <c r="BS212" s="186"/>
      <c r="BT212" s="187"/>
      <c r="BU212" s="188"/>
      <c r="BV212" s="189"/>
      <c r="BW212" s="186"/>
      <c r="BX212" s="187"/>
      <c r="BY212" s="188"/>
      <c r="BZ212" s="189"/>
      <c r="CA212" s="186"/>
      <c r="CB212" s="190"/>
      <c r="CC212" s="190"/>
      <c r="CD212" s="82">
        <f t="shared" si="526"/>
        <v>0</v>
      </c>
      <c r="CE212" s="82">
        <f t="shared" si="527"/>
        <v>0</v>
      </c>
      <c r="CF212" s="82">
        <f t="shared" si="528"/>
        <v>0</v>
      </c>
      <c r="CG212" s="82">
        <f t="shared" si="529"/>
        <v>0</v>
      </c>
      <c r="CH212" s="82">
        <f t="shared" si="530"/>
        <v>0</v>
      </c>
      <c r="CI212" s="82">
        <f t="shared" si="531"/>
        <v>0</v>
      </c>
      <c r="CJ212" s="82">
        <f t="shared" si="532"/>
        <v>0</v>
      </c>
      <c r="CK212" s="82">
        <f t="shared" si="533"/>
        <v>0</v>
      </c>
      <c r="CL212" s="82">
        <f t="shared" si="534"/>
        <v>0</v>
      </c>
      <c r="CM212" s="82">
        <f t="shared" si="535"/>
        <v>0</v>
      </c>
      <c r="CN212" s="82">
        <f t="shared" si="536"/>
        <v>0</v>
      </c>
      <c r="CO212" s="82">
        <f t="shared" si="537"/>
        <v>0</v>
      </c>
      <c r="CP212" s="82">
        <f t="shared" si="538"/>
        <v>0</v>
      </c>
      <c r="CQ212" s="82">
        <f t="shared" si="539"/>
        <v>0</v>
      </c>
      <c r="CR212" s="82">
        <f t="shared" si="540"/>
        <v>0</v>
      </c>
      <c r="CS212" s="82">
        <f t="shared" si="541"/>
        <v>0</v>
      </c>
      <c r="CT212" s="82">
        <f t="shared" si="542"/>
        <v>0</v>
      </c>
      <c r="CU212" s="82">
        <f t="shared" si="543"/>
        <v>0</v>
      </c>
      <c r="CV212" s="82">
        <f t="shared" si="544"/>
        <v>0</v>
      </c>
      <c r="CW212" s="82">
        <f t="shared" si="545"/>
        <v>0</v>
      </c>
      <c r="CX212" s="82">
        <f t="shared" si="546"/>
        <v>0</v>
      </c>
      <c r="CY212" s="82">
        <f t="shared" si="547"/>
        <v>0</v>
      </c>
      <c r="CZ212" s="82">
        <f t="shared" si="548"/>
        <v>0</v>
      </c>
      <c r="DA212" s="82">
        <f t="shared" si="549"/>
        <v>0</v>
      </c>
      <c r="DB212" s="82">
        <f t="shared" si="550"/>
        <v>0</v>
      </c>
      <c r="DC212" s="82">
        <f t="shared" si="551"/>
        <v>0</v>
      </c>
      <c r="DD212" s="82">
        <f t="shared" si="552"/>
        <v>0</v>
      </c>
      <c r="DE212" s="82">
        <f t="shared" si="553"/>
        <v>0</v>
      </c>
      <c r="DF212" s="82">
        <f t="shared" si="554"/>
        <v>0</v>
      </c>
      <c r="DG212" s="82">
        <f t="shared" si="555"/>
        <v>0</v>
      </c>
      <c r="DH212" s="82">
        <f t="shared" si="556"/>
        <v>0</v>
      </c>
      <c r="DI212" s="82">
        <f t="shared" si="557"/>
        <v>0</v>
      </c>
      <c r="DJ212" s="82">
        <f t="shared" si="558"/>
        <v>0</v>
      </c>
      <c r="DK212" s="82">
        <f t="shared" si="559"/>
        <v>0</v>
      </c>
      <c r="DL212" s="82">
        <f t="shared" si="560"/>
        <v>0</v>
      </c>
      <c r="DM212" s="82">
        <f t="shared" si="561"/>
        <v>0</v>
      </c>
      <c r="DN212" s="82">
        <f t="shared" si="562"/>
        <v>0</v>
      </c>
      <c r="DO212" s="82">
        <f t="shared" si="563"/>
        <v>0</v>
      </c>
      <c r="DP212" s="82">
        <f t="shared" si="564"/>
        <v>0</v>
      </c>
      <c r="DQ212" s="82">
        <f t="shared" si="565"/>
        <v>0</v>
      </c>
      <c r="DR212" s="82">
        <f t="shared" si="566"/>
        <v>0</v>
      </c>
      <c r="DS212" s="82">
        <f t="shared" si="567"/>
        <v>0</v>
      </c>
      <c r="DT212" s="82">
        <f t="shared" si="568"/>
        <v>0</v>
      </c>
      <c r="DU212" s="82">
        <f t="shared" si="569"/>
        <v>0</v>
      </c>
      <c r="DV212" s="82">
        <f t="shared" si="570"/>
        <v>0</v>
      </c>
      <c r="DW212" s="82">
        <f t="shared" si="571"/>
        <v>0</v>
      </c>
      <c r="DX212" s="82">
        <f t="shared" si="572"/>
        <v>0</v>
      </c>
      <c r="DY212" s="82">
        <f t="shared" si="573"/>
        <v>0</v>
      </c>
      <c r="DZ212" s="82">
        <f t="shared" si="574"/>
        <v>0</v>
      </c>
      <c r="EA212" s="82">
        <f t="shared" si="575"/>
        <v>0</v>
      </c>
      <c r="EB212" s="82">
        <f t="shared" si="576"/>
        <v>0</v>
      </c>
      <c r="EC212" s="82">
        <f t="shared" si="577"/>
        <v>0</v>
      </c>
      <c r="ED212" s="82">
        <f t="shared" si="578"/>
        <v>0</v>
      </c>
      <c r="EE212" s="82">
        <f t="shared" si="579"/>
        <v>0</v>
      </c>
      <c r="EF212" s="82">
        <f t="shared" si="580"/>
        <v>0</v>
      </c>
      <c r="EG212" s="82">
        <f t="shared" si="581"/>
        <v>0</v>
      </c>
      <c r="EH212" s="82">
        <f t="shared" si="582"/>
        <v>0</v>
      </c>
      <c r="EI212" s="82">
        <f t="shared" si="583"/>
        <v>0</v>
      </c>
      <c r="EJ212" s="82">
        <f t="shared" si="584"/>
        <v>0</v>
      </c>
      <c r="EK212" s="82">
        <f t="shared" si="585"/>
        <v>0</v>
      </c>
      <c r="EL212" s="82">
        <f t="shared" si="586"/>
        <v>0</v>
      </c>
      <c r="EM212" s="82">
        <f t="shared" si="587"/>
        <v>0</v>
      </c>
      <c r="EN212" s="82">
        <f t="shared" si="588"/>
        <v>0</v>
      </c>
      <c r="EO212" s="82">
        <f t="shared" si="589"/>
        <v>0</v>
      </c>
      <c r="EP212" s="82">
        <f t="shared" si="590"/>
        <v>0</v>
      </c>
      <c r="EQ212" s="82">
        <f t="shared" si="591"/>
        <v>0</v>
      </c>
      <c r="ER212" s="82">
        <f t="shared" si="592"/>
        <v>0</v>
      </c>
      <c r="ES212" s="82">
        <f t="shared" si="593"/>
        <v>0</v>
      </c>
      <c r="ET212" s="82">
        <f t="shared" si="594"/>
        <v>0</v>
      </c>
      <c r="EU212" s="82">
        <f t="shared" si="595"/>
        <v>0</v>
      </c>
      <c r="EV212" s="82">
        <f t="shared" si="596"/>
        <v>0</v>
      </c>
      <c r="EW212" s="82">
        <f t="shared" si="597"/>
        <v>0</v>
      </c>
      <c r="EX212" s="82">
        <f t="shared" si="598"/>
        <v>0</v>
      </c>
      <c r="EY212" s="111">
        <f t="shared" si="599"/>
        <v>0</v>
      </c>
      <c r="EZ212" s="143" t="e">
        <f t="shared" ca="1" si="600"/>
        <v>#N/A</v>
      </c>
      <c r="FA212" s="112" t="e">
        <f t="shared" ca="1" si="601"/>
        <v>#N/A</v>
      </c>
      <c r="FB212" s="113" t="e">
        <f t="shared" ca="1" si="602"/>
        <v>#N/A</v>
      </c>
      <c r="FC212" s="114" t="e">
        <f t="shared" ca="1" si="603"/>
        <v>#N/A</v>
      </c>
      <c r="FD212" s="115">
        <f t="shared" ca="1" si="604"/>
        <v>0</v>
      </c>
      <c r="FE212" s="116" t="e">
        <f t="shared" ca="1" si="605"/>
        <v>#N/A</v>
      </c>
      <c r="FF212" s="117" t="e">
        <f t="shared" ca="1" si="606"/>
        <v>#N/A</v>
      </c>
      <c r="FG212" s="71">
        <f t="shared" si="607"/>
        <v>0</v>
      </c>
      <c r="FH212" s="530" t="e">
        <f t="shared" ca="1" si="608"/>
        <v>#N/A</v>
      </c>
      <c r="FI212" s="72"/>
      <c r="FJ212" s="72"/>
      <c r="FK212" s="72"/>
      <c r="FM212" s="421">
        <f t="shared" si="609"/>
        <v>0</v>
      </c>
      <c r="FN212" s="422" t="e">
        <f t="shared" ca="1" si="610"/>
        <v>#N/A</v>
      </c>
      <c r="FO212" s="423">
        <f t="shared" ca="1" si="626"/>
        <v>0</v>
      </c>
      <c r="FP212" s="423">
        <f t="shared" ca="1" si="626"/>
        <v>0</v>
      </c>
      <c r="FQ212" s="423">
        <f t="shared" ca="1" si="626"/>
        <v>0</v>
      </c>
      <c r="FR212" s="423">
        <f t="shared" ca="1" si="626"/>
        <v>0</v>
      </c>
      <c r="FS212" s="423">
        <f t="shared" ca="1" si="626"/>
        <v>0</v>
      </c>
      <c r="FT212" s="423">
        <f t="shared" ca="1" si="626"/>
        <v>0</v>
      </c>
      <c r="FU212" s="423">
        <f t="shared" ca="1" si="626"/>
        <v>0</v>
      </c>
      <c r="FV212" s="423">
        <f t="shared" ca="1" si="626"/>
        <v>0</v>
      </c>
      <c r="FW212" s="423">
        <f t="shared" ca="1" si="626"/>
        <v>0</v>
      </c>
      <c r="FX212" s="423">
        <f t="shared" ca="1" si="626"/>
        <v>0</v>
      </c>
      <c r="FY212" s="423">
        <f t="shared" ca="1" si="626"/>
        <v>0</v>
      </c>
      <c r="FZ212" s="423">
        <f t="shared" ca="1" si="626"/>
        <v>0</v>
      </c>
      <c r="GA212" s="423">
        <f t="shared" ca="1" si="626"/>
        <v>0</v>
      </c>
      <c r="GB212" s="423">
        <f t="shared" ca="1" si="626"/>
        <v>0</v>
      </c>
      <c r="GC212" s="423">
        <f t="shared" ca="1" si="626"/>
        <v>0</v>
      </c>
      <c r="GD212" s="423">
        <f t="shared" ca="1" si="622"/>
        <v>0</v>
      </c>
      <c r="GE212" s="423">
        <f t="shared" ca="1" si="622"/>
        <v>0</v>
      </c>
      <c r="GF212" s="423">
        <f t="shared" ca="1" si="622"/>
        <v>0</v>
      </c>
      <c r="GG212" s="423">
        <f t="shared" ca="1" si="622"/>
        <v>0</v>
      </c>
      <c r="GH212" s="423">
        <f t="shared" ca="1" si="622"/>
        <v>0</v>
      </c>
      <c r="GI212" s="423">
        <f t="shared" ca="1" si="622"/>
        <v>0</v>
      </c>
      <c r="GJ212" s="423">
        <f t="shared" ca="1" si="622"/>
        <v>0</v>
      </c>
      <c r="GK212" s="423">
        <f t="shared" ca="1" si="622"/>
        <v>0</v>
      </c>
      <c r="GL212" s="423">
        <f t="shared" ca="1" si="622"/>
        <v>0</v>
      </c>
      <c r="GM212" s="423">
        <f t="shared" ca="1" si="622"/>
        <v>0</v>
      </c>
      <c r="GN212" s="423">
        <f t="shared" ca="1" si="622"/>
        <v>0</v>
      </c>
      <c r="GO212" s="423">
        <f t="shared" ca="1" si="622"/>
        <v>0</v>
      </c>
      <c r="GP212" s="423">
        <f t="shared" ca="1" si="622"/>
        <v>0</v>
      </c>
      <c r="GQ212" s="423">
        <f t="shared" ca="1" si="622"/>
        <v>0</v>
      </c>
      <c r="GR212" s="423">
        <f t="shared" ca="1" si="622"/>
        <v>0</v>
      </c>
      <c r="GS212" s="423">
        <f t="shared" ca="1" si="622"/>
        <v>0</v>
      </c>
      <c r="GT212" s="423">
        <f t="shared" ca="1" si="623"/>
        <v>0</v>
      </c>
      <c r="GU212" s="423">
        <f t="shared" ca="1" si="621"/>
        <v>0</v>
      </c>
      <c r="GV212" s="423">
        <f t="shared" ca="1" si="621"/>
        <v>0</v>
      </c>
      <c r="GW212" s="423">
        <f t="shared" ca="1" si="621"/>
        <v>0</v>
      </c>
      <c r="GX212" s="423">
        <f t="shared" ca="1" si="621"/>
        <v>0</v>
      </c>
      <c r="GY212" s="423">
        <f t="shared" ca="1" si="621"/>
        <v>0</v>
      </c>
      <c r="GZ212" s="423">
        <f t="shared" ca="1" si="621"/>
        <v>0</v>
      </c>
      <c r="HA212" s="423">
        <f t="shared" ca="1" si="621"/>
        <v>0</v>
      </c>
      <c r="HB212" s="423">
        <f t="shared" ca="1" si="621"/>
        <v>0</v>
      </c>
      <c r="HC212" s="423">
        <f t="shared" ca="1" si="621"/>
        <v>0</v>
      </c>
      <c r="HD212" s="423">
        <f t="shared" ca="1" si="621"/>
        <v>0</v>
      </c>
      <c r="HE212" s="423">
        <f t="shared" ca="1" si="621"/>
        <v>0</v>
      </c>
      <c r="HF212" s="423">
        <f t="shared" ca="1" si="621"/>
        <v>0</v>
      </c>
      <c r="HG212" s="423">
        <f t="shared" ca="1" si="621"/>
        <v>0</v>
      </c>
      <c r="HH212" s="423">
        <f t="shared" ca="1" si="621"/>
        <v>0</v>
      </c>
      <c r="HI212" s="423">
        <f t="shared" ca="1" si="621"/>
        <v>0</v>
      </c>
      <c r="HJ212" s="423">
        <f t="shared" ca="1" si="621"/>
        <v>0</v>
      </c>
      <c r="HK212" s="423">
        <f t="shared" ca="1" si="624"/>
        <v>0</v>
      </c>
      <c r="HL212" s="423">
        <f t="shared" ca="1" si="624"/>
        <v>0</v>
      </c>
      <c r="HM212" s="423">
        <f t="shared" ca="1" si="624"/>
        <v>0</v>
      </c>
      <c r="HN212" s="423">
        <f t="shared" ca="1" si="624"/>
        <v>0</v>
      </c>
      <c r="HO212" s="423">
        <f t="shared" ca="1" si="624"/>
        <v>0</v>
      </c>
      <c r="HP212" s="423">
        <f t="shared" ca="1" si="624"/>
        <v>0</v>
      </c>
      <c r="HQ212" s="423">
        <f t="shared" ca="1" si="624"/>
        <v>0</v>
      </c>
      <c r="HR212" s="423">
        <f t="shared" ca="1" si="624"/>
        <v>0</v>
      </c>
      <c r="HS212" s="423">
        <f t="shared" ca="1" si="624"/>
        <v>0</v>
      </c>
      <c r="HT212" s="423">
        <f t="shared" ca="1" si="624"/>
        <v>0</v>
      </c>
    </row>
    <row r="213" spans="1:228" x14ac:dyDescent="0.2">
      <c r="A213" s="62">
        <f t="shared" si="625"/>
        <v>202</v>
      </c>
      <c r="B213" s="60">
        <f>Spaces_Sum!C258</f>
        <v>0</v>
      </c>
      <c r="C213" s="62" t="str">
        <f>Spaces_Sum!D258</f>
        <v>0</v>
      </c>
      <c r="D213" s="62" t="e">
        <f ca="1">Spaces_Sum!I258</f>
        <v>#N/A</v>
      </c>
      <c r="F213" s="110" t="e">
        <f ca="1">Spaces_Sum!M258</f>
        <v>#N/A</v>
      </c>
      <c r="G213" s="110" t="e">
        <f ca="1">Spaces_Sum!J258</f>
        <v>#N/A</v>
      </c>
      <c r="H213" s="532"/>
      <c r="I213" s="185"/>
      <c r="J213" s="185"/>
      <c r="K213" s="186"/>
      <c r="L213" s="187"/>
      <c r="M213" s="188"/>
      <c r="N213" s="189"/>
      <c r="O213" s="186"/>
      <c r="P213" s="187"/>
      <c r="Q213" s="188"/>
      <c r="R213" s="189"/>
      <c r="S213" s="186"/>
      <c r="T213" s="187"/>
      <c r="U213" s="188"/>
      <c r="V213" s="189"/>
      <c r="W213" s="186"/>
      <c r="X213" s="187"/>
      <c r="Y213" s="188"/>
      <c r="Z213" s="189"/>
      <c r="AA213" s="186"/>
      <c r="AB213" s="187"/>
      <c r="AC213" s="188"/>
      <c r="AD213" s="189"/>
      <c r="AE213" s="186"/>
      <c r="AF213" s="187"/>
      <c r="AG213" s="188"/>
      <c r="AH213" s="189"/>
      <c r="AI213" s="186"/>
      <c r="AJ213" s="187"/>
      <c r="AK213" s="188"/>
      <c r="AL213" s="189"/>
      <c r="AM213" s="186"/>
      <c r="AN213" s="187"/>
      <c r="AO213" s="188"/>
      <c r="AP213" s="189"/>
      <c r="AQ213" s="186"/>
      <c r="AR213" s="187"/>
      <c r="AS213" s="188"/>
      <c r="AT213" s="189"/>
      <c r="AU213" s="186"/>
      <c r="AV213" s="187"/>
      <c r="AW213" s="188"/>
      <c r="AX213" s="189"/>
      <c r="AY213" s="186"/>
      <c r="AZ213" s="187"/>
      <c r="BA213" s="188"/>
      <c r="BB213" s="189"/>
      <c r="BC213" s="186"/>
      <c r="BD213" s="187"/>
      <c r="BE213" s="188"/>
      <c r="BF213" s="189"/>
      <c r="BG213" s="186"/>
      <c r="BH213" s="187"/>
      <c r="BI213" s="188"/>
      <c r="BJ213" s="189"/>
      <c r="BK213" s="186"/>
      <c r="BL213" s="187"/>
      <c r="BM213" s="188"/>
      <c r="BN213" s="189"/>
      <c r="BO213" s="186"/>
      <c r="BP213" s="187"/>
      <c r="BQ213" s="188"/>
      <c r="BR213" s="189"/>
      <c r="BS213" s="186"/>
      <c r="BT213" s="187"/>
      <c r="BU213" s="188"/>
      <c r="BV213" s="189"/>
      <c r="BW213" s="186"/>
      <c r="BX213" s="187"/>
      <c r="BY213" s="188"/>
      <c r="BZ213" s="189"/>
      <c r="CA213" s="186"/>
      <c r="CB213" s="190"/>
      <c r="CC213" s="190"/>
      <c r="CD213" s="82">
        <f t="shared" si="526"/>
        <v>0</v>
      </c>
      <c r="CE213" s="82">
        <f t="shared" si="527"/>
        <v>0</v>
      </c>
      <c r="CF213" s="82">
        <f t="shared" si="528"/>
        <v>0</v>
      </c>
      <c r="CG213" s="82">
        <f t="shared" si="529"/>
        <v>0</v>
      </c>
      <c r="CH213" s="82">
        <f t="shared" si="530"/>
        <v>0</v>
      </c>
      <c r="CI213" s="82">
        <f t="shared" si="531"/>
        <v>0</v>
      </c>
      <c r="CJ213" s="82">
        <f t="shared" si="532"/>
        <v>0</v>
      </c>
      <c r="CK213" s="82">
        <f t="shared" si="533"/>
        <v>0</v>
      </c>
      <c r="CL213" s="82">
        <f t="shared" si="534"/>
        <v>0</v>
      </c>
      <c r="CM213" s="82">
        <f t="shared" si="535"/>
        <v>0</v>
      </c>
      <c r="CN213" s="82">
        <f t="shared" si="536"/>
        <v>0</v>
      </c>
      <c r="CO213" s="82">
        <f t="shared" si="537"/>
        <v>0</v>
      </c>
      <c r="CP213" s="82">
        <f t="shared" si="538"/>
        <v>0</v>
      </c>
      <c r="CQ213" s="82">
        <f t="shared" si="539"/>
        <v>0</v>
      </c>
      <c r="CR213" s="82">
        <f t="shared" si="540"/>
        <v>0</v>
      </c>
      <c r="CS213" s="82">
        <f t="shared" si="541"/>
        <v>0</v>
      </c>
      <c r="CT213" s="82">
        <f t="shared" si="542"/>
        <v>0</v>
      </c>
      <c r="CU213" s="82">
        <f t="shared" si="543"/>
        <v>0</v>
      </c>
      <c r="CV213" s="82">
        <f t="shared" si="544"/>
        <v>0</v>
      </c>
      <c r="CW213" s="82">
        <f t="shared" si="545"/>
        <v>0</v>
      </c>
      <c r="CX213" s="82">
        <f t="shared" si="546"/>
        <v>0</v>
      </c>
      <c r="CY213" s="82">
        <f t="shared" si="547"/>
        <v>0</v>
      </c>
      <c r="CZ213" s="82">
        <f t="shared" si="548"/>
        <v>0</v>
      </c>
      <c r="DA213" s="82">
        <f t="shared" si="549"/>
        <v>0</v>
      </c>
      <c r="DB213" s="82">
        <f t="shared" si="550"/>
        <v>0</v>
      </c>
      <c r="DC213" s="82">
        <f t="shared" si="551"/>
        <v>0</v>
      </c>
      <c r="DD213" s="82">
        <f t="shared" si="552"/>
        <v>0</v>
      </c>
      <c r="DE213" s="82">
        <f t="shared" si="553"/>
        <v>0</v>
      </c>
      <c r="DF213" s="82">
        <f t="shared" si="554"/>
        <v>0</v>
      </c>
      <c r="DG213" s="82">
        <f t="shared" si="555"/>
        <v>0</v>
      </c>
      <c r="DH213" s="82">
        <f t="shared" si="556"/>
        <v>0</v>
      </c>
      <c r="DI213" s="82">
        <f t="shared" si="557"/>
        <v>0</v>
      </c>
      <c r="DJ213" s="82">
        <f t="shared" si="558"/>
        <v>0</v>
      </c>
      <c r="DK213" s="82">
        <f t="shared" si="559"/>
        <v>0</v>
      </c>
      <c r="DL213" s="82">
        <f t="shared" si="560"/>
        <v>0</v>
      </c>
      <c r="DM213" s="82">
        <f t="shared" si="561"/>
        <v>0</v>
      </c>
      <c r="DN213" s="82">
        <f t="shared" si="562"/>
        <v>0</v>
      </c>
      <c r="DO213" s="82">
        <f t="shared" si="563"/>
        <v>0</v>
      </c>
      <c r="DP213" s="82">
        <f t="shared" si="564"/>
        <v>0</v>
      </c>
      <c r="DQ213" s="82">
        <f t="shared" si="565"/>
        <v>0</v>
      </c>
      <c r="DR213" s="82">
        <f t="shared" si="566"/>
        <v>0</v>
      </c>
      <c r="DS213" s="82">
        <f t="shared" si="567"/>
        <v>0</v>
      </c>
      <c r="DT213" s="82">
        <f t="shared" si="568"/>
        <v>0</v>
      </c>
      <c r="DU213" s="82">
        <f t="shared" si="569"/>
        <v>0</v>
      </c>
      <c r="DV213" s="82">
        <f t="shared" si="570"/>
        <v>0</v>
      </c>
      <c r="DW213" s="82">
        <f t="shared" si="571"/>
        <v>0</v>
      </c>
      <c r="DX213" s="82">
        <f t="shared" si="572"/>
        <v>0</v>
      </c>
      <c r="DY213" s="82">
        <f t="shared" si="573"/>
        <v>0</v>
      </c>
      <c r="DZ213" s="82">
        <f t="shared" si="574"/>
        <v>0</v>
      </c>
      <c r="EA213" s="82">
        <f t="shared" si="575"/>
        <v>0</v>
      </c>
      <c r="EB213" s="82">
        <f t="shared" si="576"/>
        <v>0</v>
      </c>
      <c r="EC213" s="82">
        <f t="shared" si="577"/>
        <v>0</v>
      </c>
      <c r="ED213" s="82">
        <f t="shared" si="578"/>
        <v>0</v>
      </c>
      <c r="EE213" s="82">
        <f t="shared" si="579"/>
        <v>0</v>
      </c>
      <c r="EF213" s="82">
        <f t="shared" si="580"/>
        <v>0</v>
      </c>
      <c r="EG213" s="82">
        <f t="shared" si="581"/>
        <v>0</v>
      </c>
      <c r="EH213" s="82">
        <f t="shared" si="582"/>
        <v>0</v>
      </c>
      <c r="EI213" s="82">
        <f t="shared" si="583"/>
        <v>0</v>
      </c>
      <c r="EJ213" s="82">
        <f t="shared" si="584"/>
        <v>0</v>
      </c>
      <c r="EK213" s="82">
        <f t="shared" si="585"/>
        <v>0</v>
      </c>
      <c r="EL213" s="82">
        <f t="shared" si="586"/>
        <v>0</v>
      </c>
      <c r="EM213" s="82">
        <f t="shared" si="587"/>
        <v>0</v>
      </c>
      <c r="EN213" s="82">
        <f t="shared" si="588"/>
        <v>0</v>
      </c>
      <c r="EO213" s="82">
        <f t="shared" si="589"/>
        <v>0</v>
      </c>
      <c r="EP213" s="82">
        <f t="shared" si="590"/>
        <v>0</v>
      </c>
      <c r="EQ213" s="82">
        <f t="shared" si="591"/>
        <v>0</v>
      </c>
      <c r="ER213" s="82">
        <f t="shared" si="592"/>
        <v>0</v>
      </c>
      <c r="ES213" s="82">
        <f t="shared" si="593"/>
        <v>0</v>
      </c>
      <c r="ET213" s="82">
        <f t="shared" si="594"/>
        <v>0</v>
      </c>
      <c r="EU213" s="82">
        <f t="shared" si="595"/>
        <v>0</v>
      </c>
      <c r="EV213" s="82">
        <f t="shared" si="596"/>
        <v>0</v>
      </c>
      <c r="EW213" s="82">
        <f t="shared" si="597"/>
        <v>0</v>
      </c>
      <c r="EX213" s="82">
        <f t="shared" si="598"/>
        <v>0</v>
      </c>
      <c r="EY213" s="111">
        <f t="shared" si="599"/>
        <v>0</v>
      </c>
      <c r="EZ213" s="143" t="e">
        <f t="shared" ca="1" si="600"/>
        <v>#N/A</v>
      </c>
      <c r="FA213" s="112" t="e">
        <f t="shared" ca="1" si="601"/>
        <v>#N/A</v>
      </c>
      <c r="FB213" s="113" t="e">
        <f t="shared" ca="1" si="602"/>
        <v>#N/A</v>
      </c>
      <c r="FC213" s="114" t="e">
        <f t="shared" ca="1" si="603"/>
        <v>#N/A</v>
      </c>
      <c r="FD213" s="115">
        <f t="shared" ca="1" si="604"/>
        <v>0</v>
      </c>
      <c r="FE213" s="116" t="e">
        <f t="shared" ca="1" si="605"/>
        <v>#N/A</v>
      </c>
      <c r="FF213" s="117" t="e">
        <f t="shared" ca="1" si="606"/>
        <v>#N/A</v>
      </c>
      <c r="FG213" s="71">
        <f t="shared" si="607"/>
        <v>0</v>
      </c>
      <c r="FH213" s="530" t="e">
        <f t="shared" ca="1" si="608"/>
        <v>#N/A</v>
      </c>
      <c r="FI213" s="72"/>
      <c r="FJ213" s="72"/>
      <c r="FK213" s="72"/>
      <c r="FM213" s="421">
        <f t="shared" si="609"/>
        <v>0</v>
      </c>
      <c r="FN213" s="422" t="e">
        <f t="shared" ca="1" si="610"/>
        <v>#N/A</v>
      </c>
      <c r="FO213" s="423">
        <f t="shared" ca="1" si="626"/>
        <v>0</v>
      </c>
      <c r="FP213" s="423">
        <f t="shared" ca="1" si="626"/>
        <v>0</v>
      </c>
      <c r="FQ213" s="423">
        <f t="shared" ca="1" si="626"/>
        <v>0</v>
      </c>
      <c r="FR213" s="423">
        <f t="shared" ca="1" si="626"/>
        <v>0</v>
      </c>
      <c r="FS213" s="423">
        <f t="shared" ca="1" si="626"/>
        <v>0</v>
      </c>
      <c r="FT213" s="423">
        <f t="shared" ca="1" si="626"/>
        <v>0</v>
      </c>
      <c r="FU213" s="423">
        <f t="shared" ca="1" si="626"/>
        <v>0</v>
      </c>
      <c r="FV213" s="423">
        <f t="shared" ca="1" si="626"/>
        <v>0</v>
      </c>
      <c r="FW213" s="423">
        <f t="shared" ca="1" si="626"/>
        <v>0</v>
      </c>
      <c r="FX213" s="423">
        <f t="shared" ca="1" si="626"/>
        <v>0</v>
      </c>
      <c r="FY213" s="423">
        <f t="shared" ca="1" si="626"/>
        <v>0</v>
      </c>
      <c r="FZ213" s="423">
        <f t="shared" ca="1" si="626"/>
        <v>0</v>
      </c>
      <c r="GA213" s="423">
        <f t="shared" ca="1" si="626"/>
        <v>0</v>
      </c>
      <c r="GB213" s="423">
        <f t="shared" ca="1" si="626"/>
        <v>0</v>
      </c>
      <c r="GC213" s="423">
        <f t="shared" ca="1" si="626"/>
        <v>0</v>
      </c>
      <c r="GD213" s="423">
        <f t="shared" ca="1" si="622"/>
        <v>0</v>
      </c>
      <c r="GE213" s="423">
        <f t="shared" ca="1" si="622"/>
        <v>0</v>
      </c>
      <c r="GF213" s="423">
        <f t="shared" ca="1" si="622"/>
        <v>0</v>
      </c>
      <c r="GG213" s="423">
        <f t="shared" ca="1" si="622"/>
        <v>0</v>
      </c>
      <c r="GH213" s="423">
        <f t="shared" ca="1" si="622"/>
        <v>0</v>
      </c>
      <c r="GI213" s="423">
        <f t="shared" ca="1" si="622"/>
        <v>0</v>
      </c>
      <c r="GJ213" s="423">
        <f t="shared" ca="1" si="622"/>
        <v>0</v>
      </c>
      <c r="GK213" s="423">
        <f t="shared" ca="1" si="622"/>
        <v>0</v>
      </c>
      <c r="GL213" s="423">
        <f t="shared" ca="1" si="622"/>
        <v>0</v>
      </c>
      <c r="GM213" s="423">
        <f t="shared" ca="1" si="622"/>
        <v>0</v>
      </c>
      <c r="GN213" s="423">
        <f t="shared" ca="1" si="622"/>
        <v>0</v>
      </c>
      <c r="GO213" s="423">
        <f t="shared" ca="1" si="622"/>
        <v>0</v>
      </c>
      <c r="GP213" s="423">
        <f t="shared" ca="1" si="622"/>
        <v>0</v>
      </c>
      <c r="GQ213" s="423">
        <f t="shared" ca="1" si="622"/>
        <v>0</v>
      </c>
      <c r="GR213" s="423">
        <f t="shared" ca="1" si="622"/>
        <v>0</v>
      </c>
      <c r="GS213" s="423">
        <f t="shared" ca="1" si="622"/>
        <v>0</v>
      </c>
      <c r="GT213" s="423">
        <f t="shared" ca="1" si="623"/>
        <v>0</v>
      </c>
      <c r="GU213" s="423">
        <f t="shared" ca="1" si="621"/>
        <v>0</v>
      </c>
      <c r="GV213" s="423">
        <f t="shared" ca="1" si="621"/>
        <v>0</v>
      </c>
      <c r="GW213" s="423">
        <f t="shared" ca="1" si="621"/>
        <v>0</v>
      </c>
      <c r="GX213" s="423">
        <f t="shared" ca="1" si="621"/>
        <v>0</v>
      </c>
      <c r="GY213" s="423">
        <f t="shared" ca="1" si="621"/>
        <v>0</v>
      </c>
      <c r="GZ213" s="423">
        <f t="shared" ca="1" si="621"/>
        <v>0</v>
      </c>
      <c r="HA213" s="423">
        <f t="shared" ca="1" si="621"/>
        <v>0</v>
      </c>
      <c r="HB213" s="423">
        <f t="shared" ca="1" si="621"/>
        <v>0</v>
      </c>
      <c r="HC213" s="423">
        <f t="shared" ca="1" si="621"/>
        <v>0</v>
      </c>
      <c r="HD213" s="423">
        <f t="shared" ca="1" si="621"/>
        <v>0</v>
      </c>
      <c r="HE213" s="423">
        <f t="shared" ca="1" si="621"/>
        <v>0</v>
      </c>
      <c r="HF213" s="423">
        <f t="shared" ca="1" si="621"/>
        <v>0</v>
      </c>
      <c r="HG213" s="423">
        <f t="shared" ca="1" si="621"/>
        <v>0</v>
      </c>
      <c r="HH213" s="423">
        <f t="shared" ca="1" si="621"/>
        <v>0</v>
      </c>
      <c r="HI213" s="423">
        <f t="shared" ca="1" si="621"/>
        <v>0</v>
      </c>
      <c r="HJ213" s="423">
        <f t="shared" ca="1" si="621"/>
        <v>0</v>
      </c>
      <c r="HK213" s="423">
        <f t="shared" ca="1" si="624"/>
        <v>0</v>
      </c>
      <c r="HL213" s="423">
        <f t="shared" ca="1" si="624"/>
        <v>0</v>
      </c>
      <c r="HM213" s="423">
        <f t="shared" ca="1" si="624"/>
        <v>0</v>
      </c>
      <c r="HN213" s="423">
        <f t="shared" ca="1" si="624"/>
        <v>0</v>
      </c>
      <c r="HO213" s="423">
        <f t="shared" ca="1" si="624"/>
        <v>0</v>
      </c>
      <c r="HP213" s="423">
        <f t="shared" ca="1" si="624"/>
        <v>0</v>
      </c>
      <c r="HQ213" s="423">
        <f t="shared" ca="1" si="624"/>
        <v>0</v>
      </c>
      <c r="HR213" s="423">
        <f t="shared" ca="1" si="624"/>
        <v>0</v>
      </c>
      <c r="HS213" s="423">
        <f t="shared" ca="1" si="624"/>
        <v>0</v>
      </c>
      <c r="HT213" s="423">
        <f t="shared" ca="1" si="624"/>
        <v>0</v>
      </c>
    </row>
    <row r="214" spans="1:228" x14ac:dyDescent="0.2">
      <c r="A214" s="62">
        <f t="shared" si="625"/>
        <v>203</v>
      </c>
      <c r="B214" s="60">
        <f>Spaces_Sum!C259</f>
        <v>0</v>
      </c>
      <c r="C214" s="62" t="str">
        <f>Spaces_Sum!D259</f>
        <v>0</v>
      </c>
      <c r="D214" s="62" t="e">
        <f ca="1">Spaces_Sum!I259</f>
        <v>#N/A</v>
      </c>
      <c r="F214" s="110" t="e">
        <f ca="1">Spaces_Sum!M259</f>
        <v>#N/A</v>
      </c>
      <c r="G214" s="110" t="e">
        <f ca="1">Spaces_Sum!J259</f>
        <v>#N/A</v>
      </c>
      <c r="H214" s="532"/>
      <c r="I214" s="185"/>
      <c r="J214" s="185"/>
      <c r="K214" s="186"/>
      <c r="L214" s="187"/>
      <c r="M214" s="188"/>
      <c r="N214" s="189"/>
      <c r="O214" s="186"/>
      <c r="P214" s="187"/>
      <c r="Q214" s="188"/>
      <c r="R214" s="189"/>
      <c r="S214" s="186"/>
      <c r="T214" s="187"/>
      <c r="U214" s="188"/>
      <c r="V214" s="189"/>
      <c r="W214" s="186"/>
      <c r="X214" s="187"/>
      <c r="Y214" s="188"/>
      <c r="Z214" s="189"/>
      <c r="AA214" s="186"/>
      <c r="AB214" s="187"/>
      <c r="AC214" s="188"/>
      <c r="AD214" s="189"/>
      <c r="AE214" s="186"/>
      <c r="AF214" s="187"/>
      <c r="AG214" s="188"/>
      <c r="AH214" s="189"/>
      <c r="AI214" s="186"/>
      <c r="AJ214" s="187"/>
      <c r="AK214" s="188"/>
      <c r="AL214" s="189"/>
      <c r="AM214" s="186"/>
      <c r="AN214" s="187"/>
      <c r="AO214" s="188"/>
      <c r="AP214" s="189"/>
      <c r="AQ214" s="186"/>
      <c r="AR214" s="187"/>
      <c r="AS214" s="188"/>
      <c r="AT214" s="189"/>
      <c r="AU214" s="186"/>
      <c r="AV214" s="187"/>
      <c r="AW214" s="188"/>
      <c r="AX214" s="189"/>
      <c r="AY214" s="186"/>
      <c r="AZ214" s="187"/>
      <c r="BA214" s="188"/>
      <c r="BB214" s="189"/>
      <c r="BC214" s="186"/>
      <c r="BD214" s="187"/>
      <c r="BE214" s="188"/>
      <c r="BF214" s="189"/>
      <c r="BG214" s="186"/>
      <c r="BH214" s="187"/>
      <c r="BI214" s="188"/>
      <c r="BJ214" s="189"/>
      <c r="BK214" s="186"/>
      <c r="BL214" s="187"/>
      <c r="BM214" s="188"/>
      <c r="BN214" s="189"/>
      <c r="BO214" s="186"/>
      <c r="BP214" s="187"/>
      <c r="BQ214" s="188"/>
      <c r="BR214" s="189"/>
      <c r="BS214" s="186"/>
      <c r="BT214" s="187"/>
      <c r="BU214" s="188"/>
      <c r="BV214" s="189"/>
      <c r="BW214" s="186"/>
      <c r="BX214" s="187"/>
      <c r="BY214" s="188"/>
      <c r="BZ214" s="189"/>
      <c r="CA214" s="186"/>
      <c r="CB214" s="190"/>
      <c r="CC214" s="190"/>
      <c r="CD214" s="82">
        <f t="shared" si="526"/>
        <v>0</v>
      </c>
      <c r="CE214" s="82">
        <f t="shared" si="527"/>
        <v>0</v>
      </c>
      <c r="CF214" s="82">
        <f t="shared" si="528"/>
        <v>0</v>
      </c>
      <c r="CG214" s="82">
        <f t="shared" si="529"/>
        <v>0</v>
      </c>
      <c r="CH214" s="82">
        <f t="shared" si="530"/>
        <v>0</v>
      </c>
      <c r="CI214" s="82">
        <f t="shared" si="531"/>
        <v>0</v>
      </c>
      <c r="CJ214" s="82">
        <f t="shared" si="532"/>
        <v>0</v>
      </c>
      <c r="CK214" s="82">
        <f t="shared" si="533"/>
        <v>0</v>
      </c>
      <c r="CL214" s="82">
        <f t="shared" si="534"/>
        <v>0</v>
      </c>
      <c r="CM214" s="82">
        <f t="shared" si="535"/>
        <v>0</v>
      </c>
      <c r="CN214" s="82">
        <f t="shared" si="536"/>
        <v>0</v>
      </c>
      <c r="CO214" s="82">
        <f t="shared" si="537"/>
        <v>0</v>
      </c>
      <c r="CP214" s="82">
        <f t="shared" si="538"/>
        <v>0</v>
      </c>
      <c r="CQ214" s="82">
        <f t="shared" si="539"/>
        <v>0</v>
      </c>
      <c r="CR214" s="82">
        <f t="shared" si="540"/>
        <v>0</v>
      </c>
      <c r="CS214" s="82">
        <f t="shared" si="541"/>
        <v>0</v>
      </c>
      <c r="CT214" s="82">
        <f t="shared" si="542"/>
        <v>0</v>
      </c>
      <c r="CU214" s="82">
        <f t="shared" si="543"/>
        <v>0</v>
      </c>
      <c r="CV214" s="82">
        <f t="shared" si="544"/>
        <v>0</v>
      </c>
      <c r="CW214" s="82">
        <f t="shared" si="545"/>
        <v>0</v>
      </c>
      <c r="CX214" s="82">
        <f t="shared" si="546"/>
        <v>0</v>
      </c>
      <c r="CY214" s="82">
        <f t="shared" si="547"/>
        <v>0</v>
      </c>
      <c r="CZ214" s="82">
        <f t="shared" si="548"/>
        <v>0</v>
      </c>
      <c r="DA214" s="82">
        <f t="shared" si="549"/>
        <v>0</v>
      </c>
      <c r="DB214" s="82">
        <f t="shared" si="550"/>
        <v>0</v>
      </c>
      <c r="DC214" s="82">
        <f t="shared" si="551"/>
        <v>0</v>
      </c>
      <c r="DD214" s="82">
        <f t="shared" si="552"/>
        <v>0</v>
      </c>
      <c r="DE214" s="82">
        <f t="shared" si="553"/>
        <v>0</v>
      </c>
      <c r="DF214" s="82">
        <f t="shared" si="554"/>
        <v>0</v>
      </c>
      <c r="DG214" s="82">
        <f t="shared" si="555"/>
        <v>0</v>
      </c>
      <c r="DH214" s="82">
        <f t="shared" si="556"/>
        <v>0</v>
      </c>
      <c r="DI214" s="82">
        <f t="shared" si="557"/>
        <v>0</v>
      </c>
      <c r="DJ214" s="82">
        <f t="shared" si="558"/>
        <v>0</v>
      </c>
      <c r="DK214" s="82">
        <f t="shared" si="559"/>
        <v>0</v>
      </c>
      <c r="DL214" s="82">
        <f t="shared" si="560"/>
        <v>0</v>
      </c>
      <c r="DM214" s="82">
        <f t="shared" si="561"/>
        <v>0</v>
      </c>
      <c r="DN214" s="82">
        <f t="shared" si="562"/>
        <v>0</v>
      </c>
      <c r="DO214" s="82">
        <f t="shared" si="563"/>
        <v>0</v>
      </c>
      <c r="DP214" s="82">
        <f t="shared" si="564"/>
        <v>0</v>
      </c>
      <c r="DQ214" s="82">
        <f t="shared" si="565"/>
        <v>0</v>
      </c>
      <c r="DR214" s="82">
        <f t="shared" si="566"/>
        <v>0</v>
      </c>
      <c r="DS214" s="82">
        <f t="shared" si="567"/>
        <v>0</v>
      </c>
      <c r="DT214" s="82">
        <f t="shared" si="568"/>
        <v>0</v>
      </c>
      <c r="DU214" s="82">
        <f t="shared" si="569"/>
        <v>0</v>
      </c>
      <c r="DV214" s="82">
        <f t="shared" si="570"/>
        <v>0</v>
      </c>
      <c r="DW214" s="82">
        <f t="shared" si="571"/>
        <v>0</v>
      </c>
      <c r="DX214" s="82">
        <f t="shared" si="572"/>
        <v>0</v>
      </c>
      <c r="DY214" s="82">
        <f t="shared" si="573"/>
        <v>0</v>
      </c>
      <c r="DZ214" s="82">
        <f t="shared" si="574"/>
        <v>0</v>
      </c>
      <c r="EA214" s="82">
        <f t="shared" si="575"/>
        <v>0</v>
      </c>
      <c r="EB214" s="82">
        <f t="shared" si="576"/>
        <v>0</v>
      </c>
      <c r="EC214" s="82">
        <f t="shared" si="577"/>
        <v>0</v>
      </c>
      <c r="ED214" s="82">
        <f t="shared" si="578"/>
        <v>0</v>
      </c>
      <c r="EE214" s="82">
        <f t="shared" si="579"/>
        <v>0</v>
      </c>
      <c r="EF214" s="82">
        <f t="shared" si="580"/>
        <v>0</v>
      </c>
      <c r="EG214" s="82">
        <f t="shared" si="581"/>
        <v>0</v>
      </c>
      <c r="EH214" s="82">
        <f t="shared" si="582"/>
        <v>0</v>
      </c>
      <c r="EI214" s="82">
        <f t="shared" si="583"/>
        <v>0</v>
      </c>
      <c r="EJ214" s="82">
        <f t="shared" si="584"/>
        <v>0</v>
      </c>
      <c r="EK214" s="82">
        <f t="shared" si="585"/>
        <v>0</v>
      </c>
      <c r="EL214" s="82">
        <f t="shared" si="586"/>
        <v>0</v>
      </c>
      <c r="EM214" s="82">
        <f t="shared" si="587"/>
        <v>0</v>
      </c>
      <c r="EN214" s="82">
        <f t="shared" si="588"/>
        <v>0</v>
      </c>
      <c r="EO214" s="82">
        <f t="shared" si="589"/>
        <v>0</v>
      </c>
      <c r="EP214" s="82">
        <f t="shared" si="590"/>
        <v>0</v>
      </c>
      <c r="EQ214" s="82">
        <f t="shared" si="591"/>
        <v>0</v>
      </c>
      <c r="ER214" s="82">
        <f t="shared" si="592"/>
        <v>0</v>
      </c>
      <c r="ES214" s="82">
        <f t="shared" si="593"/>
        <v>0</v>
      </c>
      <c r="ET214" s="82">
        <f t="shared" si="594"/>
        <v>0</v>
      </c>
      <c r="EU214" s="82">
        <f t="shared" si="595"/>
        <v>0</v>
      </c>
      <c r="EV214" s="82">
        <f t="shared" si="596"/>
        <v>0</v>
      </c>
      <c r="EW214" s="82">
        <f t="shared" si="597"/>
        <v>0</v>
      </c>
      <c r="EX214" s="82">
        <f t="shared" si="598"/>
        <v>0</v>
      </c>
      <c r="EY214" s="111">
        <f t="shared" si="599"/>
        <v>0</v>
      </c>
      <c r="EZ214" s="143" t="e">
        <f t="shared" ca="1" si="600"/>
        <v>#N/A</v>
      </c>
      <c r="FA214" s="112" t="e">
        <f t="shared" ca="1" si="601"/>
        <v>#N/A</v>
      </c>
      <c r="FB214" s="113" t="e">
        <f t="shared" ca="1" si="602"/>
        <v>#N/A</v>
      </c>
      <c r="FC214" s="114" t="e">
        <f t="shared" ca="1" si="603"/>
        <v>#N/A</v>
      </c>
      <c r="FD214" s="115">
        <f t="shared" ca="1" si="604"/>
        <v>0</v>
      </c>
      <c r="FE214" s="116" t="e">
        <f t="shared" ca="1" si="605"/>
        <v>#N/A</v>
      </c>
      <c r="FF214" s="117" t="e">
        <f t="shared" ca="1" si="606"/>
        <v>#N/A</v>
      </c>
      <c r="FG214" s="71">
        <f t="shared" si="607"/>
        <v>0</v>
      </c>
      <c r="FH214" s="530" t="e">
        <f t="shared" ca="1" si="608"/>
        <v>#N/A</v>
      </c>
      <c r="FI214" s="72"/>
      <c r="FJ214" s="72"/>
      <c r="FK214" s="72"/>
      <c r="FM214" s="421">
        <f t="shared" si="609"/>
        <v>0</v>
      </c>
      <c r="FN214" s="422" t="e">
        <f t="shared" ca="1" si="610"/>
        <v>#N/A</v>
      </c>
      <c r="FO214" s="423">
        <f t="shared" ca="1" si="626"/>
        <v>0</v>
      </c>
      <c r="FP214" s="423">
        <f t="shared" ca="1" si="626"/>
        <v>0</v>
      </c>
      <c r="FQ214" s="423">
        <f t="shared" ca="1" si="626"/>
        <v>0</v>
      </c>
      <c r="FR214" s="423">
        <f t="shared" ca="1" si="626"/>
        <v>0</v>
      </c>
      <c r="FS214" s="423">
        <f t="shared" ca="1" si="626"/>
        <v>0</v>
      </c>
      <c r="FT214" s="423">
        <f t="shared" ca="1" si="626"/>
        <v>0</v>
      </c>
      <c r="FU214" s="423">
        <f t="shared" ca="1" si="626"/>
        <v>0</v>
      </c>
      <c r="FV214" s="423">
        <f t="shared" ca="1" si="626"/>
        <v>0</v>
      </c>
      <c r="FW214" s="423">
        <f t="shared" ca="1" si="626"/>
        <v>0</v>
      </c>
      <c r="FX214" s="423">
        <f t="shared" ca="1" si="626"/>
        <v>0</v>
      </c>
      <c r="FY214" s="423">
        <f t="shared" ca="1" si="626"/>
        <v>0</v>
      </c>
      <c r="FZ214" s="423">
        <f t="shared" ca="1" si="626"/>
        <v>0</v>
      </c>
      <c r="GA214" s="423">
        <f t="shared" ca="1" si="626"/>
        <v>0</v>
      </c>
      <c r="GB214" s="423">
        <f t="shared" ca="1" si="626"/>
        <v>0</v>
      </c>
      <c r="GC214" s="423">
        <f t="shared" ca="1" si="626"/>
        <v>0</v>
      </c>
      <c r="GD214" s="423">
        <f t="shared" ca="1" si="622"/>
        <v>0</v>
      </c>
      <c r="GE214" s="423">
        <f t="shared" ca="1" si="622"/>
        <v>0</v>
      </c>
      <c r="GF214" s="423">
        <f t="shared" ca="1" si="622"/>
        <v>0</v>
      </c>
      <c r="GG214" s="423">
        <f t="shared" ca="1" si="622"/>
        <v>0</v>
      </c>
      <c r="GH214" s="423">
        <f t="shared" ca="1" si="622"/>
        <v>0</v>
      </c>
      <c r="GI214" s="423">
        <f t="shared" ca="1" si="622"/>
        <v>0</v>
      </c>
      <c r="GJ214" s="423">
        <f t="shared" ca="1" si="622"/>
        <v>0</v>
      </c>
      <c r="GK214" s="423">
        <f t="shared" ca="1" si="622"/>
        <v>0</v>
      </c>
      <c r="GL214" s="423">
        <f t="shared" ca="1" si="622"/>
        <v>0</v>
      </c>
      <c r="GM214" s="423">
        <f t="shared" ca="1" si="622"/>
        <v>0</v>
      </c>
      <c r="GN214" s="423">
        <f t="shared" ca="1" si="622"/>
        <v>0</v>
      </c>
      <c r="GO214" s="423">
        <f t="shared" ca="1" si="622"/>
        <v>0</v>
      </c>
      <c r="GP214" s="423">
        <f t="shared" ca="1" si="622"/>
        <v>0</v>
      </c>
      <c r="GQ214" s="423">
        <f t="shared" ca="1" si="622"/>
        <v>0</v>
      </c>
      <c r="GR214" s="423">
        <f t="shared" ca="1" si="622"/>
        <v>0</v>
      </c>
      <c r="GS214" s="423">
        <f t="shared" ca="1" si="622"/>
        <v>0</v>
      </c>
      <c r="GT214" s="423">
        <f t="shared" ca="1" si="623"/>
        <v>0</v>
      </c>
      <c r="GU214" s="423">
        <f t="shared" ca="1" si="621"/>
        <v>0</v>
      </c>
      <c r="GV214" s="423">
        <f t="shared" ca="1" si="621"/>
        <v>0</v>
      </c>
      <c r="GW214" s="423">
        <f t="shared" ca="1" si="621"/>
        <v>0</v>
      </c>
      <c r="GX214" s="423">
        <f t="shared" ca="1" si="621"/>
        <v>0</v>
      </c>
      <c r="GY214" s="423">
        <f t="shared" ca="1" si="621"/>
        <v>0</v>
      </c>
      <c r="GZ214" s="423">
        <f t="shared" ca="1" si="621"/>
        <v>0</v>
      </c>
      <c r="HA214" s="423">
        <f t="shared" ca="1" si="621"/>
        <v>0</v>
      </c>
      <c r="HB214" s="423">
        <f t="shared" ca="1" si="621"/>
        <v>0</v>
      </c>
      <c r="HC214" s="423">
        <f t="shared" ca="1" si="621"/>
        <v>0</v>
      </c>
      <c r="HD214" s="423">
        <f t="shared" ca="1" si="621"/>
        <v>0</v>
      </c>
      <c r="HE214" s="423">
        <f t="shared" ca="1" si="621"/>
        <v>0</v>
      </c>
      <c r="HF214" s="423">
        <f t="shared" ca="1" si="621"/>
        <v>0</v>
      </c>
      <c r="HG214" s="423">
        <f t="shared" ca="1" si="621"/>
        <v>0</v>
      </c>
      <c r="HH214" s="423">
        <f t="shared" ca="1" si="621"/>
        <v>0</v>
      </c>
      <c r="HI214" s="423">
        <f t="shared" ca="1" si="621"/>
        <v>0</v>
      </c>
      <c r="HJ214" s="423">
        <f t="shared" ca="1" si="621"/>
        <v>0</v>
      </c>
      <c r="HK214" s="423">
        <f t="shared" ca="1" si="624"/>
        <v>0</v>
      </c>
      <c r="HL214" s="423">
        <f t="shared" ca="1" si="624"/>
        <v>0</v>
      </c>
      <c r="HM214" s="423">
        <f t="shared" ca="1" si="624"/>
        <v>0</v>
      </c>
      <c r="HN214" s="423">
        <f t="shared" ca="1" si="624"/>
        <v>0</v>
      </c>
      <c r="HO214" s="423">
        <f t="shared" ca="1" si="624"/>
        <v>0</v>
      </c>
      <c r="HP214" s="423">
        <f t="shared" ca="1" si="624"/>
        <v>0</v>
      </c>
      <c r="HQ214" s="423">
        <f t="shared" ca="1" si="624"/>
        <v>0</v>
      </c>
      <c r="HR214" s="423">
        <f t="shared" ca="1" si="624"/>
        <v>0</v>
      </c>
      <c r="HS214" s="423">
        <f t="shared" ca="1" si="624"/>
        <v>0</v>
      </c>
      <c r="HT214" s="423">
        <f t="shared" ca="1" si="624"/>
        <v>0</v>
      </c>
    </row>
    <row r="215" spans="1:228" x14ac:dyDescent="0.2">
      <c r="A215" s="62">
        <f t="shared" si="625"/>
        <v>204</v>
      </c>
      <c r="B215" s="60">
        <f>Spaces_Sum!C260</f>
        <v>0</v>
      </c>
      <c r="C215" s="62" t="str">
        <f>Spaces_Sum!D260</f>
        <v>0</v>
      </c>
      <c r="D215" s="62" t="e">
        <f ca="1">Spaces_Sum!I260</f>
        <v>#N/A</v>
      </c>
      <c r="F215" s="110" t="e">
        <f ca="1">Spaces_Sum!M260</f>
        <v>#N/A</v>
      </c>
      <c r="G215" s="110" t="e">
        <f ca="1">Spaces_Sum!J260</f>
        <v>#N/A</v>
      </c>
      <c r="H215" s="532"/>
      <c r="I215" s="185"/>
      <c r="J215" s="185"/>
      <c r="K215" s="186"/>
      <c r="L215" s="187"/>
      <c r="M215" s="188"/>
      <c r="N215" s="189"/>
      <c r="O215" s="186"/>
      <c r="P215" s="187"/>
      <c r="Q215" s="188"/>
      <c r="R215" s="189"/>
      <c r="S215" s="186"/>
      <c r="T215" s="187"/>
      <c r="U215" s="188"/>
      <c r="V215" s="189"/>
      <c r="W215" s="186"/>
      <c r="X215" s="187"/>
      <c r="Y215" s="188"/>
      <c r="Z215" s="189"/>
      <c r="AA215" s="186"/>
      <c r="AB215" s="187"/>
      <c r="AC215" s="188"/>
      <c r="AD215" s="189"/>
      <c r="AE215" s="186"/>
      <c r="AF215" s="187"/>
      <c r="AG215" s="188"/>
      <c r="AH215" s="189"/>
      <c r="AI215" s="186"/>
      <c r="AJ215" s="187"/>
      <c r="AK215" s="188"/>
      <c r="AL215" s="189"/>
      <c r="AM215" s="186"/>
      <c r="AN215" s="187"/>
      <c r="AO215" s="188"/>
      <c r="AP215" s="189"/>
      <c r="AQ215" s="186"/>
      <c r="AR215" s="187"/>
      <c r="AS215" s="188"/>
      <c r="AT215" s="189"/>
      <c r="AU215" s="186"/>
      <c r="AV215" s="187"/>
      <c r="AW215" s="188"/>
      <c r="AX215" s="189"/>
      <c r="AY215" s="186"/>
      <c r="AZ215" s="187"/>
      <c r="BA215" s="188"/>
      <c r="BB215" s="189"/>
      <c r="BC215" s="186"/>
      <c r="BD215" s="187"/>
      <c r="BE215" s="188"/>
      <c r="BF215" s="189"/>
      <c r="BG215" s="186"/>
      <c r="BH215" s="187"/>
      <c r="BI215" s="188"/>
      <c r="BJ215" s="189"/>
      <c r="BK215" s="186"/>
      <c r="BL215" s="187"/>
      <c r="BM215" s="188"/>
      <c r="BN215" s="189"/>
      <c r="BO215" s="186"/>
      <c r="BP215" s="187"/>
      <c r="BQ215" s="188"/>
      <c r="BR215" s="189"/>
      <c r="BS215" s="186"/>
      <c r="BT215" s="187"/>
      <c r="BU215" s="188"/>
      <c r="BV215" s="189"/>
      <c r="BW215" s="186"/>
      <c r="BX215" s="187"/>
      <c r="BY215" s="188"/>
      <c r="BZ215" s="189"/>
      <c r="CA215" s="186"/>
      <c r="CB215" s="190"/>
      <c r="CC215" s="190"/>
      <c r="CD215" s="82">
        <f t="shared" si="526"/>
        <v>0</v>
      </c>
      <c r="CE215" s="82">
        <f t="shared" si="527"/>
        <v>0</v>
      </c>
      <c r="CF215" s="82">
        <f t="shared" si="528"/>
        <v>0</v>
      </c>
      <c r="CG215" s="82">
        <f t="shared" si="529"/>
        <v>0</v>
      </c>
      <c r="CH215" s="82">
        <f t="shared" si="530"/>
        <v>0</v>
      </c>
      <c r="CI215" s="82">
        <f t="shared" si="531"/>
        <v>0</v>
      </c>
      <c r="CJ215" s="82">
        <f t="shared" si="532"/>
        <v>0</v>
      </c>
      <c r="CK215" s="82">
        <f t="shared" si="533"/>
        <v>0</v>
      </c>
      <c r="CL215" s="82">
        <f t="shared" si="534"/>
        <v>0</v>
      </c>
      <c r="CM215" s="82">
        <f t="shared" si="535"/>
        <v>0</v>
      </c>
      <c r="CN215" s="82">
        <f t="shared" si="536"/>
        <v>0</v>
      </c>
      <c r="CO215" s="82">
        <f t="shared" si="537"/>
        <v>0</v>
      </c>
      <c r="CP215" s="82">
        <f t="shared" si="538"/>
        <v>0</v>
      </c>
      <c r="CQ215" s="82">
        <f t="shared" si="539"/>
        <v>0</v>
      </c>
      <c r="CR215" s="82">
        <f t="shared" si="540"/>
        <v>0</v>
      </c>
      <c r="CS215" s="82">
        <f t="shared" si="541"/>
        <v>0</v>
      </c>
      <c r="CT215" s="82">
        <f t="shared" si="542"/>
        <v>0</v>
      </c>
      <c r="CU215" s="82">
        <f t="shared" si="543"/>
        <v>0</v>
      </c>
      <c r="CV215" s="82">
        <f t="shared" si="544"/>
        <v>0</v>
      </c>
      <c r="CW215" s="82">
        <f t="shared" si="545"/>
        <v>0</v>
      </c>
      <c r="CX215" s="82">
        <f t="shared" si="546"/>
        <v>0</v>
      </c>
      <c r="CY215" s="82">
        <f t="shared" si="547"/>
        <v>0</v>
      </c>
      <c r="CZ215" s="82">
        <f t="shared" si="548"/>
        <v>0</v>
      </c>
      <c r="DA215" s="82">
        <f t="shared" si="549"/>
        <v>0</v>
      </c>
      <c r="DB215" s="82">
        <f t="shared" si="550"/>
        <v>0</v>
      </c>
      <c r="DC215" s="82">
        <f t="shared" si="551"/>
        <v>0</v>
      </c>
      <c r="DD215" s="82">
        <f t="shared" si="552"/>
        <v>0</v>
      </c>
      <c r="DE215" s="82">
        <f t="shared" si="553"/>
        <v>0</v>
      </c>
      <c r="DF215" s="82">
        <f t="shared" si="554"/>
        <v>0</v>
      </c>
      <c r="DG215" s="82">
        <f t="shared" si="555"/>
        <v>0</v>
      </c>
      <c r="DH215" s="82">
        <f t="shared" si="556"/>
        <v>0</v>
      </c>
      <c r="DI215" s="82">
        <f t="shared" si="557"/>
        <v>0</v>
      </c>
      <c r="DJ215" s="82">
        <f t="shared" si="558"/>
        <v>0</v>
      </c>
      <c r="DK215" s="82">
        <f t="shared" si="559"/>
        <v>0</v>
      </c>
      <c r="DL215" s="82">
        <f t="shared" si="560"/>
        <v>0</v>
      </c>
      <c r="DM215" s="82">
        <f t="shared" si="561"/>
        <v>0</v>
      </c>
      <c r="DN215" s="82">
        <f t="shared" si="562"/>
        <v>0</v>
      </c>
      <c r="DO215" s="82">
        <f t="shared" si="563"/>
        <v>0</v>
      </c>
      <c r="DP215" s="82">
        <f t="shared" si="564"/>
        <v>0</v>
      </c>
      <c r="DQ215" s="82">
        <f t="shared" si="565"/>
        <v>0</v>
      </c>
      <c r="DR215" s="82">
        <f t="shared" si="566"/>
        <v>0</v>
      </c>
      <c r="DS215" s="82">
        <f t="shared" si="567"/>
        <v>0</v>
      </c>
      <c r="DT215" s="82">
        <f t="shared" si="568"/>
        <v>0</v>
      </c>
      <c r="DU215" s="82">
        <f t="shared" si="569"/>
        <v>0</v>
      </c>
      <c r="DV215" s="82">
        <f t="shared" si="570"/>
        <v>0</v>
      </c>
      <c r="DW215" s="82">
        <f t="shared" si="571"/>
        <v>0</v>
      </c>
      <c r="DX215" s="82">
        <f t="shared" si="572"/>
        <v>0</v>
      </c>
      <c r="DY215" s="82">
        <f t="shared" si="573"/>
        <v>0</v>
      </c>
      <c r="DZ215" s="82">
        <f t="shared" si="574"/>
        <v>0</v>
      </c>
      <c r="EA215" s="82">
        <f t="shared" si="575"/>
        <v>0</v>
      </c>
      <c r="EB215" s="82">
        <f t="shared" si="576"/>
        <v>0</v>
      </c>
      <c r="EC215" s="82">
        <f t="shared" si="577"/>
        <v>0</v>
      </c>
      <c r="ED215" s="82">
        <f t="shared" si="578"/>
        <v>0</v>
      </c>
      <c r="EE215" s="82">
        <f t="shared" si="579"/>
        <v>0</v>
      </c>
      <c r="EF215" s="82">
        <f t="shared" si="580"/>
        <v>0</v>
      </c>
      <c r="EG215" s="82">
        <f t="shared" si="581"/>
        <v>0</v>
      </c>
      <c r="EH215" s="82">
        <f t="shared" si="582"/>
        <v>0</v>
      </c>
      <c r="EI215" s="82">
        <f t="shared" si="583"/>
        <v>0</v>
      </c>
      <c r="EJ215" s="82">
        <f t="shared" si="584"/>
        <v>0</v>
      </c>
      <c r="EK215" s="82">
        <f t="shared" si="585"/>
        <v>0</v>
      </c>
      <c r="EL215" s="82">
        <f t="shared" si="586"/>
        <v>0</v>
      </c>
      <c r="EM215" s="82">
        <f t="shared" si="587"/>
        <v>0</v>
      </c>
      <c r="EN215" s="82">
        <f t="shared" si="588"/>
        <v>0</v>
      </c>
      <c r="EO215" s="82">
        <f t="shared" si="589"/>
        <v>0</v>
      </c>
      <c r="EP215" s="82">
        <f t="shared" si="590"/>
        <v>0</v>
      </c>
      <c r="EQ215" s="82">
        <f t="shared" si="591"/>
        <v>0</v>
      </c>
      <c r="ER215" s="82">
        <f t="shared" si="592"/>
        <v>0</v>
      </c>
      <c r="ES215" s="82">
        <f t="shared" si="593"/>
        <v>0</v>
      </c>
      <c r="ET215" s="82">
        <f t="shared" si="594"/>
        <v>0</v>
      </c>
      <c r="EU215" s="82">
        <f t="shared" si="595"/>
        <v>0</v>
      </c>
      <c r="EV215" s="82">
        <f t="shared" si="596"/>
        <v>0</v>
      </c>
      <c r="EW215" s="82">
        <f t="shared" si="597"/>
        <v>0</v>
      </c>
      <c r="EX215" s="82">
        <f t="shared" si="598"/>
        <v>0</v>
      </c>
      <c r="EY215" s="111">
        <f t="shared" si="599"/>
        <v>0</v>
      </c>
      <c r="EZ215" s="143" t="e">
        <f t="shared" ca="1" si="600"/>
        <v>#N/A</v>
      </c>
      <c r="FA215" s="112" t="e">
        <f t="shared" ca="1" si="601"/>
        <v>#N/A</v>
      </c>
      <c r="FB215" s="113" t="e">
        <f t="shared" ca="1" si="602"/>
        <v>#N/A</v>
      </c>
      <c r="FC215" s="114" t="e">
        <f t="shared" ca="1" si="603"/>
        <v>#N/A</v>
      </c>
      <c r="FD215" s="115">
        <f t="shared" ca="1" si="604"/>
        <v>0</v>
      </c>
      <c r="FE215" s="116" t="e">
        <f t="shared" ca="1" si="605"/>
        <v>#N/A</v>
      </c>
      <c r="FF215" s="117" t="e">
        <f t="shared" ca="1" si="606"/>
        <v>#N/A</v>
      </c>
      <c r="FG215" s="71">
        <f t="shared" si="607"/>
        <v>0</v>
      </c>
      <c r="FH215" s="530" t="e">
        <f t="shared" ca="1" si="608"/>
        <v>#N/A</v>
      </c>
      <c r="FI215" s="72"/>
      <c r="FJ215" s="72"/>
      <c r="FK215" s="72"/>
      <c r="FM215" s="421">
        <f t="shared" si="609"/>
        <v>0</v>
      </c>
      <c r="FN215" s="422" t="e">
        <f t="shared" ca="1" si="610"/>
        <v>#N/A</v>
      </c>
      <c r="FO215" s="423">
        <f t="shared" ca="1" si="626"/>
        <v>0</v>
      </c>
      <c r="FP215" s="423">
        <f t="shared" ca="1" si="626"/>
        <v>0</v>
      </c>
      <c r="FQ215" s="423">
        <f t="shared" ca="1" si="626"/>
        <v>0</v>
      </c>
      <c r="FR215" s="423">
        <f t="shared" ca="1" si="626"/>
        <v>0</v>
      </c>
      <c r="FS215" s="423">
        <f t="shared" ca="1" si="626"/>
        <v>0</v>
      </c>
      <c r="FT215" s="423">
        <f t="shared" ca="1" si="626"/>
        <v>0</v>
      </c>
      <c r="FU215" s="423">
        <f t="shared" ca="1" si="626"/>
        <v>0</v>
      </c>
      <c r="FV215" s="423">
        <f t="shared" ca="1" si="626"/>
        <v>0</v>
      </c>
      <c r="FW215" s="423">
        <f t="shared" ca="1" si="626"/>
        <v>0</v>
      </c>
      <c r="FX215" s="423">
        <f t="shared" ca="1" si="626"/>
        <v>0</v>
      </c>
      <c r="FY215" s="423">
        <f t="shared" ca="1" si="626"/>
        <v>0</v>
      </c>
      <c r="FZ215" s="423">
        <f t="shared" ca="1" si="626"/>
        <v>0</v>
      </c>
      <c r="GA215" s="423">
        <f t="shared" ca="1" si="626"/>
        <v>0</v>
      </c>
      <c r="GB215" s="423">
        <f t="shared" ca="1" si="626"/>
        <v>0</v>
      </c>
      <c r="GC215" s="423">
        <f t="shared" ca="1" si="626"/>
        <v>0</v>
      </c>
      <c r="GD215" s="423">
        <f t="shared" ca="1" si="622"/>
        <v>0</v>
      </c>
      <c r="GE215" s="423">
        <f t="shared" ca="1" si="622"/>
        <v>0</v>
      </c>
      <c r="GF215" s="423">
        <f t="shared" ca="1" si="622"/>
        <v>0</v>
      </c>
      <c r="GG215" s="423">
        <f t="shared" ca="1" si="622"/>
        <v>0</v>
      </c>
      <c r="GH215" s="423">
        <f t="shared" ca="1" si="622"/>
        <v>0</v>
      </c>
      <c r="GI215" s="423">
        <f t="shared" ca="1" si="622"/>
        <v>0</v>
      </c>
      <c r="GJ215" s="423">
        <f t="shared" ca="1" si="622"/>
        <v>0</v>
      </c>
      <c r="GK215" s="423">
        <f t="shared" ca="1" si="622"/>
        <v>0</v>
      </c>
      <c r="GL215" s="423">
        <f t="shared" ca="1" si="622"/>
        <v>0</v>
      </c>
      <c r="GM215" s="423">
        <f t="shared" ca="1" si="622"/>
        <v>0</v>
      </c>
      <c r="GN215" s="423">
        <f t="shared" ca="1" si="622"/>
        <v>0</v>
      </c>
      <c r="GO215" s="423">
        <f t="shared" ca="1" si="622"/>
        <v>0</v>
      </c>
      <c r="GP215" s="423">
        <f t="shared" ca="1" si="622"/>
        <v>0</v>
      </c>
      <c r="GQ215" s="423">
        <f t="shared" ca="1" si="622"/>
        <v>0</v>
      </c>
      <c r="GR215" s="423">
        <f t="shared" ca="1" si="622"/>
        <v>0</v>
      </c>
      <c r="GS215" s="423">
        <f t="shared" ca="1" si="622"/>
        <v>0</v>
      </c>
      <c r="GT215" s="423">
        <f t="shared" ca="1" si="623"/>
        <v>0</v>
      </c>
      <c r="GU215" s="423">
        <f t="shared" ca="1" si="621"/>
        <v>0</v>
      </c>
      <c r="GV215" s="423">
        <f t="shared" ca="1" si="621"/>
        <v>0</v>
      </c>
      <c r="GW215" s="423">
        <f t="shared" ca="1" si="621"/>
        <v>0</v>
      </c>
      <c r="GX215" s="423">
        <f t="shared" ca="1" si="621"/>
        <v>0</v>
      </c>
      <c r="GY215" s="423">
        <f t="shared" ca="1" si="621"/>
        <v>0</v>
      </c>
      <c r="GZ215" s="423">
        <f t="shared" ca="1" si="621"/>
        <v>0</v>
      </c>
      <c r="HA215" s="423">
        <f t="shared" ca="1" si="621"/>
        <v>0</v>
      </c>
      <c r="HB215" s="423">
        <f t="shared" ca="1" si="621"/>
        <v>0</v>
      </c>
      <c r="HC215" s="423">
        <f t="shared" ca="1" si="621"/>
        <v>0</v>
      </c>
      <c r="HD215" s="423">
        <f t="shared" ca="1" si="621"/>
        <v>0</v>
      </c>
      <c r="HE215" s="423">
        <f t="shared" ca="1" si="621"/>
        <v>0</v>
      </c>
      <c r="HF215" s="423">
        <f t="shared" ca="1" si="621"/>
        <v>0</v>
      </c>
      <c r="HG215" s="423">
        <f t="shared" ca="1" si="621"/>
        <v>0</v>
      </c>
      <c r="HH215" s="423">
        <f t="shared" ca="1" si="621"/>
        <v>0</v>
      </c>
      <c r="HI215" s="423">
        <f t="shared" ca="1" si="621"/>
        <v>0</v>
      </c>
      <c r="HJ215" s="423">
        <f t="shared" ca="1" si="621"/>
        <v>0</v>
      </c>
      <c r="HK215" s="423">
        <f t="shared" ca="1" si="624"/>
        <v>0</v>
      </c>
      <c r="HL215" s="423">
        <f t="shared" ca="1" si="624"/>
        <v>0</v>
      </c>
      <c r="HM215" s="423">
        <f t="shared" ca="1" si="624"/>
        <v>0</v>
      </c>
      <c r="HN215" s="423">
        <f t="shared" ca="1" si="624"/>
        <v>0</v>
      </c>
      <c r="HO215" s="423">
        <f t="shared" ca="1" si="624"/>
        <v>0</v>
      </c>
      <c r="HP215" s="423">
        <f t="shared" ca="1" si="624"/>
        <v>0</v>
      </c>
      <c r="HQ215" s="423">
        <f t="shared" ca="1" si="624"/>
        <v>0</v>
      </c>
      <c r="HR215" s="423">
        <f t="shared" ca="1" si="624"/>
        <v>0</v>
      </c>
      <c r="HS215" s="423">
        <f t="shared" ca="1" si="624"/>
        <v>0</v>
      </c>
      <c r="HT215" s="423">
        <f t="shared" ca="1" si="624"/>
        <v>0</v>
      </c>
    </row>
    <row r="216" spans="1:228" x14ac:dyDescent="0.2">
      <c r="A216" s="62">
        <f t="shared" si="625"/>
        <v>205</v>
      </c>
      <c r="B216" s="60">
        <f>Spaces_Sum!C261</f>
        <v>0</v>
      </c>
      <c r="C216" s="62" t="str">
        <f>Spaces_Sum!D261</f>
        <v>0</v>
      </c>
      <c r="D216" s="62" t="e">
        <f ca="1">Spaces_Sum!I261</f>
        <v>#N/A</v>
      </c>
      <c r="F216" s="110" t="e">
        <f ca="1">Spaces_Sum!M261</f>
        <v>#N/A</v>
      </c>
      <c r="G216" s="110" t="e">
        <f ca="1">Spaces_Sum!J261</f>
        <v>#N/A</v>
      </c>
      <c r="H216" s="532"/>
      <c r="I216" s="185"/>
      <c r="J216" s="185"/>
      <c r="K216" s="186"/>
      <c r="L216" s="187"/>
      <c r="M216" s="188"/>
      <c r="N216" s="189"/>
      <c r="O216" s="186"/>
      <c r="P216" s="187"/>
      <c r="Q216" s="188"/>
      <c r="R216" s="189"/>
      <c r="S216" s="186"/>
      <c r="T216" s="187"/>
      <c r="U216" s="188"/>
      <c r="V216" s="189"/>
      <c r="W216" s="186"/>
      <c r="X216" s="187"/>
      <c r="Y216" s="188"/>
      <c r="Z216" s="189"/>
      <c r="AA216" s="186"/>
      <c r="AB216" s="187"/>
      <c r="AC216" s="188"/>
      <c r="AD216" s="189"/>
      <c r="AE216" s="186"/>
      <c r="AF216" s="187"/>
      <c r="AG216" s="188"/>
      <c r="AH216" s="189"/>
      <c r="AI216" s="186"/>
      <c r="AJ216" s="187"/>
      <c r="AK216" s="188"/>
      <c r="AL216" s="189"/>
      <c r="AM216" s="186"/>
      <c r="AN216" s="187"/>
      <c r="AO216" s="188"/>
      <c r="AP216" s="189"/>
      <c r="AQ216" s="186"/>
      <c r="AR216" s="187"/>
      <c r="AS216" s="188"/>
      <c r="AT216" s="189"/>
      <c r="AU216" s="186"/>
      <c r="AV216" s="187"/>
      <c r="AW216" s="188"/>
      <c r="AX216" s="189"/>
      <c r="AY216" s="186"/>
      <c r="AZ216" s="187"/>
      <c r="BA216" s="188"/>
      <c r="BB216" s="189"/>
      <c r="BC216" s="186"/>
      <c r="BD216" s="187"/>
      <c r="BE216" s="188"/>
      <c r="BF216" s="189"/>
      <c r="BG216" s="186"/>
      <c r="BH216" s="187"/>
      <c r="BI216" s="188"/>
      <c r="BJ216" s="189"/>
      <c r="BK216" s="186"/>
      <c r="BL216" s="187"/>
      <c r="BM216" s="188"/>
      <c r="BN216" s="189"/>
      <c r="BO216" s="186"/>
      <c r="BP216" s="187"/>
      <c r="BQ216" s="188"/>
      <c r="BR216" s="189"/>
      <c r="BS216" s="186"/>
      <c r="BT216" s="187"/>
      <c r="BU216" s="188"/>
      <c r="BV216" s="189"/>
      <c r="BW216" s="186"/>
      <c r="BX216" s="187"/>
      <c r="BY216" s="188"/>
      <c r="BZ216" s="189"/>
      <c r="CA216" s="186"/>
      <c r="CB216" s="190"/>
      <c r="CC216" s="190"/>
      <c r="CD216" s="82">
        <f t="shared" si="526"/>
        <v>0</v>
      </c>
      <c r="CE216" s="82">
        <f t="shared" si="527"/>
        <v>0</v>
      </c>
      <c r="CF216" s="82">
        <f t="shared" si="528"/>
        <v>0</v>
      </c>
      <c r="CG216" s="82">
        <f t="shared" si="529"/>
        <v>0</v>
      </c>
      <c r="CH216" s="82">
        <f t="shared" si="530"/>
        <v>0</v>
      </c>
      <c r="CI216" s="82">
        <f t="shared" si="531"/>
        <v>0</v>
      </c>
      <c r="CJ216" s="82">
        <f t="shared" si="532"/>
        <v>0</v>
      </c>
      <c r="CK216" s="82">
        <f t="shared" si="533"/>
        <v>0</v>
      </c>
      <c r="CL216" s="82">
        <f t="shared" si="534"/>
        <v>0</v>
      </c>
      <c r="CM216" s="82">
        <f t="shared" si="535"/>
        <v>0</v>
      </c>
      <c r="CN216" s="82">
        <f t="shared" si="536"/>
        <v>0</v>
      </c>
      <c r="CO216" s="82">
        <f t="shared" si="537"/>
        <v>0</v>
      </c>
      <c r="CP216" s="82">
        <f t="shared" si="538"/>
        <v>0</v>
      </c>
      <c r="CQ216" s="82">
        <f t="shared" si="539"/>
        <v>0</v>
      </c>
      <c r="CR216" s="82">
        <f t="shared" si="540"/>
        <v>0</v>
      </c>
      <c r="CS216" s="82">
        <f t="shared" si="541"/>
        <v>0</v>
      </c>
      <c r="CT216" s="82">
        <f t="shared" si="542"/>
        <v>0</v>
      </c>
      <c r="CU216" s="82">
        <f t="shared" si="543"/>
        <v>0</v>
      </c>
      <c r="CV216" s="82">
        <f t="shared" si="544"/>
        <v>0</v>
      </c>
      <c r="CW216" s="82">
        <f t="shared" si="545"/>
        <v>0</v>
      </c>
      <c r="CX216" s="82">
        <f t="shared" si="546"/>
        <v>0</v>
      </c>
      <c r="CY216" s="82">
        <f t="shared" si="547"/>
        <v>0</v>
      </c>
      <c r="CZ216" s="82">
        <f t="shared" si="548"/>
        <v>0</v>
      </c>
      <c r="DA216" s="82">
        <f t="shared" si="549"/>
        <v>0</v>
      </c>
      <c r="DB216" s="82">
        <f t="shared" si="550"/>
        <v>0</v>
      </c>
      <c r="DC216" s="82">
        <f t="shared" si="551"/>
        <v>0</v>
      </c>
      <c r="DD216" s="82">
        <f t="shared" si="552"/>
        <v>0</v>
      </c>
      <c r="DE216" s="82">
        <f t="shared" si="553"/>
        <v>0</v>
      </c>
      <c r="DF216" s="82">
        <f t="shared" si="554"/>
        <v>0</v>
      </c>
      <c r="DG216" s="82">
        <f t="shared" si="555"/>
        <v>0</v>
      </c>
      <c r="DH216" s="82">
        <f t="shared" si="556"/>
        <v>0</v>
      </c>
      <c r="DI216" s="82">
        <f t="shared" si="557"/>
        <v>0</v>
      </c>
      <c r="DJ216" s="82">
        <f t="shared" si="558"/>
        <v>0</v>
      </c>
      <c r="DK216" s="82">
        <f t="shared" si="559"/>
        <v>0</v>
      </c>
      <c r="DL216" s="82">
        <f t="shared" si="560"/>
        <v>0</v>
      </c>
      <c r="DM216" s="82">
        <f t="shared" si="561"/>
        <v>0</v>
      </c>
      <c r="DN216" s="82">
        <f t="shared" si="562"/>
        <v>0</v>
      </c>
      <c r="DO216" s="82">
        <f t="shared" si="563"/>
        <v>0</v>
      </c>
      <c r="DP216" s="82">
        <f t="shared" si="564"/>
        <v>0</v>
      </c>
      <c r="DQ216" s="82">
        <f t="shared" si="565"/>
        <v>0</v>
      </c>
      <c r="DR216" s="82">
        <f t="shared" si="566"/>
        <v>0</v>
      </c>
      <c r="DS216" s="82">
        <f t="shared" si="567"/>
        <v>0</v>
      </c>
      <c r="DT216" s="82">
        <f t="shared" si="568"/>
        <v>0</v>
      </c>
      <c r="DU216" s="82">
        <f t="shared" si="569"/>
        <v>0</v>
      </c>
      <c r="DV216" s="82">
        <f t="shared" si="570"/>
        <v>0</v>
      </c>
      <c r="DW216" s="82">
        <f t="shared" si="571"/>
        <v>0</v>
      </c>
      <c r="DX216" s="82">
        <f t="shared" si="572"/>
        <v>0</v>
      </c>
      <c r="DY216" s="82">
        <f t="shared" si="573"/>
        <v>0</v>
      </c>
      <c r="DZ216" s="82">
        <f t="shared" si="574"/>
        <v>0</v>
      </c>
      <c r="EA216" s="82">
        <f t="shared" si="575"/>
        <v>0</v>
      </c>
      <c r="EB216" s="82">
        <f t="shared" si="576"/>
        <v>0</v>
      </c>
      <c r="EC216" s="82">
        <f t="shared" si="577"/>
        <v>0</v>
      </c>
      <c r="ED216" s="82">
        <f t="shared" si="578"/>
        <v>0</v>
      </c>
      <c r="EE216" s="82">
        <f t="shared" si="579"/>
        <v>0</v>
      </c>
      <c r="EF216" s="82">
        <f t="shared" si="580"/>
        <v>0</v>
      </c>
      <c r="EG216" s="82">
        <f t="shared" si="581"/>
        <v>0</v>
      </c>
      <c r="EH216" s="82">
        <f t="shared" si="582"/>
        <v>0</v>
      </c>
      <c r="EI216" s="82">
        <f t="shared" si="583"/>
        <v>0</v>
      </c>
      <c r="EJ216" s="82">
        <f t="shared" si="584"/>
        <v>0</v>
      </c>
      <c r="EK216" s="82">
        <f t="shared" si="585"/>
        <v>0</v>
      </c>
      <c r="EL216" s="82">
        <f t="shared" si="586"/>
        <v>0</v>
      </c>
      <c r="EM216" s="82">
        <f t="shared" si="587"/>
        <v>0</v>
      </c>
      <c r="EN216" s="82">
        <f t="shared" si="588"/>
        <v>0</v>
      </c>
      <c r="EO216" s="82">
        <f t="shared" si="589"/>
        <v>0</v>
      </c>
      <c r="EP216" s="82">
        <f t="shared" si="590"/>
        <v>0</v>
      </c>
      <c r="EQ216" s="82">
        <f t="shared" si="591"/>
        <v>0</v>
      </c>
      <c r="ER216" s="82">
        <f t="shared" si="592"/>
        <v>0</v>
      </c>
      <c r="ES216" s="82">
        <f t="shared" si="593"/>
        <v>0</v>
      </c>
      <c r="ET216" s="82">
        <f t="shared" si="594"/>
        <v>0</v>
      </c>
      <c r="EU216" s="82">
        <f t="shared" si="595"/>
        <v>0</v>
      </c>
      <c r="EV216" s="82">
        <f t="shared" si="596"/>
        <v>0</v>
      </c>
      <c r="EW216" s="82">
        <f t="shared" si="597"/>
        <v>0</v>
      </c>
      <c r="EX216" s="82">
        <f t="shared" si="598"/>
        <v>0</v>
      </c>
      <c r="EY216" s="111">
        <f t="shared" si="599"/>
        <v>0</v>
      </c>
      <c r="EZ216" s="143" t="e">
        <f t="shared" ca="1" si="600"/>
        <v>#N/A</v>
      </c>
      <c r="FA216" s="112" t="e">
        <f t="shared" ca="1" si="601"/>
        <v>#N/A</v>
      </c>
      <c r="FB216" s="113" t="e">
        <f t="shared" ca="1" si="602"/>
        <v>#N/A</v>
      </c>
      <c r="FC216" s="114" t="e">
        <f t="shared" ca="1" si="603"/>
        <v>#N/A</v>
      </c>
      <c r="FD216" s="115">
        <f t="shared" ca="1" si="604"/>
        <v>0</v>
      </c>
      <c r="FE216" s="116" t="e">
        <f t="shared" ca="1" si="605"/>
        <v>#N/A</v>
      </c>
      <c r="FF216" s="117" t="e">
        <f t="shared" ca="1" si="606"/>
        <v>#N/A</v>
      </c>
      <c r="FG216" s="71">
        <f t="shared" si="607"/>
        <v>0</v>
      </c>
      <c r="FH216" s="530" t="e">
        <f t="shared" ca="1" si="608"/>
        <v>#N/A</v>
      </c>
      <c r="FI216" s="72"/>
      <c r="FJ216" s="72"/>
      <c r="FK216" s="72"/>
      <c r="FM216" s="421">
        <f t="shared" si="609"/>
        <v>0</v>
      </c>
      <c r="FN216" s="422" t="e">
        <f t="shared" ca="1" si="610"/>
        <v>#N/A</v>
      </c>
      <c r="FO216" s="423">
        <f t="shared" ca="1" si="626"/>
        <v>0</v>
      </c>
      <c r="FP216" s="423">
        <f t="shared" ca="1" si="626"/>
        <v>0</v>
      </c>
      <c r="FQ216" s="423">
        <f t="shared" ca="1" si="626"/>
        <v>0</v>
      </c>
      <c r="FR216" s="423">
        <f t="shared" ca="1" si="626"/>
        <v>0</v>
      </c>
      <c r="FS216" s="423">
        <f t="shared" ca="1" si="626"/>
        <v>0</v>
      </c>
      <c r="FT216" s="423">
        <f t="shared" ca="1" si="626"/>
        <v>0</v>
      </c>
      <c r="FU216" s="423">
        <f t="shared" ca="1" si="626"/>
        <v>0</v>
      </c>
      <c r="FV216" s="423">
        <f t="shared" ca="1" si="626"/>
        <v>0</v>
      </c>
      <c r="FW216" s="423">
        <f t="shared" ca="1" si="626"/>
        <v>0</v>
      </c>
      <c r="FX216" s="423">
        <f t="shared" ca="1" si="626"/>
        <v>0</v>
      </c>
      <c r="FY216" s="423">
        <f t="shared" ca="1" si="626"/>
        <v>0</v>
      </c>
      <c r="FZ216" s="423">
        <f t="shared" ca="1" si="626"/>
        <v>0</v>
      </c>
      <c r="GA216" s="423">
        <f t="shared" ca="1" si="626"/>
        <v>0</v>
      </c>
      <c r="GB216" s="423">
        <f t="shared" ca="1" si="626"/>
        <v>0</v>
      </c>
      <c r="GC216" s="423">
        <f t="shared" ca="1" si="626"/>
        <v>0</v>
      </c>
      <c r="GD216" s="423">
        <f t="shared" ca="1" si="622"/>
        <v>0</v>
      </c>
      <c r="GE216" s="423">
        <f t="shared" ca="1" si="622"/>
        <v>0</v>
      </c>
      <c r="GF216" s="423">
        <f t="shared" ca="1" si="622"/>
        <v>0</v>
      </c>
      <c r="GG216" s="423">
        <f t="shared" ca="1" si="622"/>
        <v>0</v>
      </c>
      <c r="GH216" s="423">
        <f t="shared" ca="1" si="622"/>
        <v>0</v>
      </c>
      <c r="GI216" s="423">
        <f t="shared" ca="1" si="622"/>
        <v>0</v>
      </c>
      <c r="GJ216" s="423">
        <f t="shared" ca="1" si="622"/>
        <v>0</v>
      </c>
      <c r="GK216" s="423">
        <f t="shared" ca="1" si="622"/>
        <v>0</v>
      </c>
      <c r="GL216" s="423">
        <f t="shared" ca="1" si="622"/>
        <v>0</v>
      </c>
      <c r="GM216" s="423">
        <f t="shared" ca="1" si="622"/>
        <v>0</v>
      </c>
      <c r="GN216" s="423">
        <f t="shared" ca="1" si="622"/>
        <v>0</v>
      </c>
      <c r="GO216" s="423">
        <f t="shared" ca="1" si="622"/>
        <v>0</v>
      </c>
      <c r="GP216" s="423">
        <f t="shared" ca="1" si="622"/>
        <v>0</v>
      </c>
      <c r="GQ216" s="423">
        <f t="shared" ca="1" si="622"/>
        <v>0</v>
      </c>
      <c r="GR216" s="423">
        <f t="shared" ca="1" si="622"/>
        <v>0</v>
      </c>
      <c r="GS216" s="423">
        <f t="shared" ca="1" si="622"/>
        <v>0</v>
      </c>
      <c r="GT216" s="423">
        <f t="shared" ca="1" si="623"/>
        <v>0</v>
      </c>
      <c r="GU216" s="423">
        <f t="shared" ca="1" si="621"/>
        <v>0</v>
      </c>
      <c r="GV216" s="423">
        <f t="shared" ca="1" si="621"/>
        <v>0</v>
      </c>
      <c r="GW216" s="423">
        <f t="shared" ca="1" si="621"/>
        <v>0</v>
      </c>
      <c r="GX216" s="423">
        <f t="shared" ca="1" si="621"/>
        <v>0</v>
      </c>
      <c r="GY216" s="423">
        <f t="shared" ca="1" si="621"/>
        <v>0</v>
      </c>
      <c r="GZ216" s="423">
        <f t="shared" ca="1" si="621"/>
        <v>0</v>
      </c>
      <c r="HA216" s="423">
        <f t="shared" ca="1" si="621"/>
        <v>0</v>
      </c>
      <c r="HB216" s="423">
        <f t="shared" ca="1" si="621"/>
        <v>0</v>
      </c>
      <c r="HC216" s="423">
        <f t="shared" ca="1" si="621"/>
        <v>0</v>
      </c>
      <c r="HD216" s="423">
        <f t="shared" ca="1" si="621"/>
        <v>0</v>
      </c>
      <c r="HE216" s="423">
        <f t="shared" ca="1" si="621"/>
        <v>0</v>
      </c>
      <c r="HF216" s="423">
        <f t="shared" ca="1" si="621"/>
        <v>0</v>
      </c>
      <c r="HG216" s="423">
        <f t="shared" ca="1" si="621"/>
        <v>0</v>
      </c>
      <c r="HH216" s="423">
        <f t="shared" ca="1" si="621"/>
        <v>0</v>
      </c>
      <c r="HI216" s="423">
        <f t="shared" ca="1" si="621"/>
        <v>0</v>
      </c>
      <c r="HJ216" s="423">
        <f t="shared" ca="1" si="621"/>
        <v>0</v>
      </c>
      <c r="HK216" s="423">
        <f t="shared" ca="1" si="624"/>
        <v>0</v>
      </c>
      <c r="HL216" s="423">
        <f t="shared" ca="1" si="624"/>
        <v>0</v>
      </c>
      <c r="HM216" s="423">
        <f t="shared" ca="1" si="624"/>
        <v>0</v>
      </c>
      <c r="HN216" s="423">
        <f t="shared" ca="1" si="624"/>
        <v>0</v>
      </c>
      <c r="HO216" s="423">
        <f t="shared" ca="1" si="624"/>
        <v>0</v>
      </c>
      <c r="HP216" s="423">
        <f t="shared" ca="1" si="624"/>
        <v>0</v>
      </c>
      <c r="HQ216" s="423">
        <f t="shared" ca="1" si="624"/>
        <v>0</v>
      </c>
      <c r="HR216" s="423">
        <f t="shared" ca="1" si="624"/>
        <v>0</v>
      </c>
      <c r="HS216" s="423">
        <f t="shared" ca="1" si="624"/>
        <v>0</v>
      </c>
      <c r="HT216" s="423">
        <f t="shared" ca="1" si="624"/>
        <v>0</v>
      </c>
    </row>
    <row r="217" spans="1:228" x14ac:dyDescent="0.2">
      <c r="A217" s="62">
        <f t="shared" si="625"/>
        <v>206</v>
      </c>
      <c r="B217" s="60">
        <f>Spaces_Sum!C262</f>
        <v>0</v>
      </c>
      <c r="C217" s="62" t="str">
        <f>Spaces_Sum!D262</f>
        <v>0</v>
      </c>
      <c r="D217" s="62" t="e">
        <f ca="1">Spaces_Sum!I262</f>
        <v>#N/A</v>
      </c>
      <c r="F217" s="110" t="e">
        <f ca="1">Spaces_Sum!M262</f>
        <v>#N/A</v>
      </c>
      <c r="G217" s="110" t="e">
        <f ca="1">Spaces_Sum!J262</f>
        <v>#N/A</v>
      </c>
      <c r="H217" s="532"/>
      <c r="I217" s="185"/>
      <c r="J217" s="185"/>
      <c r="K217" s="186"/>
      <c r="L217" s="187"/>
      <c r="M217" s="188"/>
      <c r="N217" s="189"/>
      <c r="O217" s="186"/>
      <c r="P217" s="187"/>
      <c r="Q217" s="188"/>
      <c r="R217" s="189"/>
      <c r="S217" s="186"/>
      <c r="T217" s="187"/>
      <c r="U217" s="188"/>
      <c r="V217" s="189"/>
      <c r="W217" s="186"/>
      <c r="X217" s="187"/>
      <c r="Y217" s="188"/>
      <c r="Z217" s="189"/>
      <c r="AA217" s="186"/>
      <c r="AB217" s="187"/>
      <c r="AC217" s="188"/>
      <c r="AD217" s="189"/>
      <c r="AE217" s="186"/>
      <c r="AF217" s="187"/>
      <c r="AG217" s="188"/>
      <c r="AH217" s="189"/>
      <c r="AI217" s="186"/>
      <c r="AJ217" s="187"/>
      <c r="AK217" s="188"/>
      <c r="AL217" s="189"/>
      <c r="AM217" s="186"/>
      <c r="AN217" s="187"/>
      <c r="AO217" s="188"/>
      <c r="AP217" s="189"/>
      <c r="AQ217" s="186"/>
      <c r="AR217" s="187"/>
      <c r="AS217" s="188"/>
      <c r="AT217" s="189"/>
      <c r="AU217" s="186"/>
      <c r="AV217" s="187"/>
      <c r="AW217" s="188"/>
      <c r="AX217" s="189"/>
      <c r="AY217" s="186"/>
      <c r="AZ217" s="187"/>
      <c r="BA217" s="188"/>
      <c r="BB217" s="189"/>
      <c r="BC217" s="186"/>
      <c r="BD217" s="187"/>
      <c r="BE217" s="188"/>
      <c r="BF217" s="189"/>
      <c r="BG217" s="186"/>
      <c r="BH217" s="187"/>
      <c r="BI217" s="188"/>
      <c r="BJ217" s="189"/>
      <c r="BK217" s="186"/>
      <c r="BL217" s="187"/>
      <c r="BM217" s="188"/>
      <c r="BN217" s="189"/>
      <c r="BO217" s="186"/>
      <c r="BP217" s="187"/>
      <c r="BQ217" s="188"/>
      <c r="BR217" s="189"/>
      <c r="BS217" s="186"/>
      <c r="BT217" s="187"/>
      <c r="BU217" s="188"/>
      <c r="BV217" s="189"/>
      <c r="BW217" s="186"/>
      <c r="BX217" s="187"/>
      <c r="BY217" s="188"/>
      <c r="BZ217" s="189"/>
      <c r="CA217" s="186"/>
      <c r="CB217" s="190"/>
      <c r="CC217" s="190"/>
      <c r="CD217" s="82">
        <f t="shared" si="526"/>
        <v>0</v>
      </c>
      <c r="CE217" s="82">
        <f t="shared" si="527"/>
        <v>0</v>
      </c>
      <c r="CF217" s="82">
        <f t="shared" si="528"/>
        <v>0</v>
      </c>
      <c r="CG217" s="82">
        <f t="shared" si="529"/>
        <v>0</v>
      </c>
      <c r="CH217" s="82">
        <f t="shared" si="530"/>
        <v>0</v>
      </c>
      <c r="CI217" s="82">
        <f t="shared" si="531"/>
        <v>0</v>
      </c>
      <c r="CJ217" s="82">
        <f t="shared" si="532"/>
        <v>0</v>
      </c>
      <c r="CK217" s="82">
        <f t="shared" si="533"/>
        <v>0</v>
      </c>
      <c r="CL217" s="82">
        <f t="shared" si="534"/>
        <v>0</v>
      </c>
      <c r="CM217" s="82">
        <f t="shared" si="535"/>
        <v>0</v>
      </c>
      <c r="CN217" s="82">
        <f t="shared" si="536"/>
        <v>0</v>
      </c>
      <c r="CO217" s="82">
        <f t="shared" si="537"/>
        <v>0</v>
      </c>
      <c r="CP217" s="82">
        <f t="shared" si="538"/>
        <v>0</v>
      </c>
      <c r="CQ217" s="82">
        <f t="shared" si="539"/>
        <v>0</v>
      </c>
      <c r="CR217" s="82">
        <f t="shared" si="540"/>
        <v>0</v>
      </c>
      <c r="CS217" s="82">
        <f t="shared" si="541"/>
        <v>0</v>
      </c>
      <c r="CT217" s="82">
        <f t="shared" si="542"/>
        <v>0</v>
      </c>
      <c r="CU217" s="82">
        <f t="shared" si="543"/>
        <v>0</v>
      </c>
      <c r="CV217" s="82">
        <f t="shared" si="544"/>
        <v>0</v>
      </c>
      <c r="CW217" s="82">
        <f t="shared" si="545"/>
        <v>0</v>
      </c>
      <c r="CX217" s="82">
        <f t="shared" si="546"/>
        <v>0</v>
      </c>
      <c r="CY217" s="82">
        <f t="shared" si="547"/>
        <v>0</v>
      </c>
      <c r="CZ217" s="82">
        <f t="shared" si="548"/>
        <v>0</v>
      </c>
      <c r="DA217" s="82">
        <f t="shared" si="549"/>
        <v>0</v>
      </c>
      <c r="DB217" s="82">
        <f t="shared" si="550"/>
        <v>0</v>
      </c>
      <c r="DC217" s="82">
        <f t="shared" si="551"/>
        <v>0</v>
      </c>
      <c r="DD217" s="82">
        <f t="shared" si="552"/>
        <v>0</v>
      </c>
      <c r="DE217" s="82">
        <f t="shared" si="553"/>
        <v>0</v>
      </c>
      <c r="DF217" s="82">
        <f t="shared" si="554"/>
        <v>0</v>
      </c>
      <c r="DG217" s="82">
        <f t="shared" si="555"/>
        <v>0</v>
      </c>
      <c r="DH217" s="82">
        <f t="shared" si="556"/>
        <v>0</v>
      </c>
      <c r="DI217" s="82">
        <f t="shared" si="557"/>
        <v>0</v>
      </c>
      <c r="DJ217" s="82">
        <f t="shared" si="558"/>
        <v>0</v>
      </c>
      <c r="DK217" s="82">
        <f t="shared" si="559"/>
        <v>0</v>
      </c>
      <c r="DL217" s="82">
        <f t="shared" si="560"/>
        <v>0</v>
      </c>
      <c r="DM217" s="82">
        <f t="shared" si="561"/>
        <v>0</v>
      </c>
      <c r="DN217" s="82">
        <f t="shared" si="562"/>
        <v>0</v>
      </c>
      <c r="DO217" s="82">
        <f t="shared" si="563"/>
        <v>0</v>
      </c>
      <c r="DP217" s="82">
        <f t="shared" si="564"/>
        <v>0</v>
      </c>
      <c r="DQ217" s="82">
        <f t="shared" si="565"/>
        <v>0</v>
      </c>
      <c r="DR217" s="82">
        <f t="shared" si="566"/>
        <v>0</v>
      </c>
      <c r="DS217" s="82">
        <f t="shared" si="567"/>
        <v>0</v>
      </c>
      <c r="DT217" s="82">
        <f t="shared" si="568"/>
        <v>0</v>
      </c>
      <c r="DU217" s="82">
        <f t="shared" si="569"/>
        <v>0</v>
      </c>
      <c r="DV217" s="82">
        <f t="shared" si="570"/>
        <v>0</v>
      </c>
      <c r="DW217" s="82">
        <f t="shared" si="571"/>
        <v>0</v>
      </c>
      <c r="DX217" s="82">
        <f t="shared" si="572"/>
        <v>0</v>
      </c>
      <c r="DY217" s="82">
        <f t="shared" si="573"/>
        <v>0</v>
      </c>
      <c r="DZ217" s="82">
        <f t="shared" si="574"/>
        <v>0</v>
      </c>
      <c r="EA217" s="82">
        <f t="shared" si="575"/>
        <v>0</v>
      </c>
      <c r="EB217" s="82">
        <f t="shared" si="576"/>
        <v>0</v>
      </c>
      <c r="EC217" s="82">
        <f t="shared" si="577"/>
        <v>0</v>
      </c>
      <c r="ED217" s="82">
        <f t="shared" si="578"/>
        <v>0</v>
      </c>
      <c r="EE217" s="82">
        <f t="shared" si="579"/>
        <v>0</v>
      </c>
      <c r="EF217" s="82">
        <f t="shared" si="580"/>
        <v>0</v>
      </c>
      <c r="EG217" s="82">
        <f t="shared" si="581"/>
        <v>0</v>
      </c>
      <c r="EH217" s="82">
        <f t="shared" si="582"/>
        <v>0</v>
      </c>
      <c r="EI217" s="82">
        <f t="shared" si="583"/>
        <v>0</v>
      </c>
      <c r="EJ217" s="82">
        <f t="shared" si="584"/>
        <v>0</v>
      </c>
      <c r="EK217" s="82">
        <f t="shared" si="585"/>
        <v>0</v>
      </c>
      <c r="EL217" s="82">
        <f t="shared" si="586"/>
        <v>0</v>
      </c>
      <c r="EM217" s="82">
        <f t="shared" si="587"/>
        <v>0</v>
      </c>
      <c r="EN217" s="82">
        <f t="shared" si="588"/>
        <v>0</v>
      </c>
      <c r="EO217" s="82">
        <f t="shared" si="589"/>
        <v>0</v>
      </c>
      <c r="EP217" s="82">
        <f t="shared" si="590"/>
        <v>0</v>
      </c>
      <c r="EQ217" s="82">
        <f t="shared" si="591"/>
        <v>0</v>
      </c>
      <c r="ER217" s="82">
        <f t="shared" si="592"/>
        <v>0</v>
      </c>
      <c r="ES217" s="82">
        <f t="shared" si="593"/>
        <v>0</v>
      </c>
      <c r="ET217" s="82">
        <f t="shared" si="594"/>
        <v>0</v>
      </c>
      <c r="EU217" s="82">
        <f t="shared" si="595"/>
        <v>0</v>
      </c>
      <c r="EV217" s="82">
        <f t="shared" si="596"/>
        <v>0</v>
      </c>
      <c r="EW217" s="82">
        <f t="shared" si="597"/>
        <v>0</v>
      </c>
      <c r="EX217" s="82">
        <f t="shared" si="598"/>
        <v>0</v>
      </c>
      <c r="EY217" s="111">
        <f t="shared" si="599"/>
        <v>0</v>
      </c>
      <c r="EZ217" s="143" t="e">
        <f t="shared" ca="1" si="600"/>
        <v>#N/A</v>
      </c>
      <c r="FA217" s="112" t="e">
        <f t="shared" ca="1" si="601"/>
        <v>#N/A</v>
      </c>
      <c r="FB217" s="113" t="e">
        <f t="shared" ca="1" si="602"/>
        <v>#N/A</v>
      </c>
      <c r="FC217" s="114" t="e">
        <f t="shared" ca="1" si="603"/>
        <v>#N/A</v>
      </c>
      <c r="FD217" s="115">
        <f t="shared" ca="1" si="604"/>
        <v>0</v>
      </c>
      <c r="FE217" s="116" t="e">
        <f t="shared" ca="1" si="605"/>
        <v>#N/A</v>
      </c>
      <c r="FF217" s="117" t="e">
        <f t="shared" ca="1" si="606"/>
        <v>#N/A</v>
      </c>
      <c r="FG217" s="71">
        <f t="shared" si="607"/>
        <v>0</v>
      </c>
      <c r="FH217" s="530" t="e">
        <f t="shared" ca="1" si="608"/>
        <v>#N/A</v>
      </c>
      <c r="FI217" s="72"/>
      <c r="FJ217" s="72"/>
      <c r="FK217" s="72"/>
      <c r="FM217" s="421">
        <f t="shared" si="609"/>
        <v>0</v>
      </c>
      <c r="FN217" s="422" t="e">
        <f t="shared" ca="1" si="610"/>
        <v>#N/A</v>
      </c>
      <c r="FO217" s="423">
        <f t="shared" ca="1" si="626"/>
        <v>0</v>
      </c>
      <c r="FP217" s="423">
        <f t="shared" ca="1" si="626"/>
        <v>0</v>
      </c>
      <c r="FQ217" s="423">
        <f t="shared" ca="1" si="626"/>
        <v>0</v>
      </c>
      <c r="FR217" s="423">
        <f t="shared" ca="1" si="626"/>
        <v>0</v>
      </c>
      <c r="FS217" s="423">
        <f t="shared" ca="1" si="626"/>
        <v>0</v>
      </c>
      <c r="FT217" s="423">
        <f t="shared" ca="1" si="626"/>
        <v>0</v>
      </c>
      <c r="FU217" s="423">
        <f t="shared" ca="1" si="626"/>
        <v>0</v>
      </c>
      <c r="FV217" s="423">
        <f t="shared" ca="1" si="626"/>
        <v>0</v>
      </c>
      <c r="FW217" s="423">
        <f t="shared" ca="1" si="626"/>
        <v>0</v>
      </c>
      <c r="FX217" s="423">
        <f t="shared" ca="1" si="626"/>
        <v>0</v>
      </c>
      <c r="FY217" s="423">
        <f t="shared" ca="1" si="626"/>
        <v>0</v>
      </c>
      <c r="FZ217" s="423">
        <f t="shared" ca="1" si="626"/>
        <v>0</v>
      </c>
      <c r="GA217" s="423">
        <f t="shared" ca="1" si="626"/>
        <v>0</v>
      </c>
      <c r="GB217" s="423">
        <f t="shared" ca="1" si="626"/>
        <v>0</v>
      </c>
      <c r="GC217" s="423">
        <f t="shared" ca="1" si="626"/>
        <v>0</v>
      </c>
      <c r="GD217" s="423">
        <f t="shared" ca="1" si="622"/>
        <v>0</v>
      </c>
      <c r="GE217" s="423">
        <f t="shared" ca="1" si="622"/>
        <v>0</v>
      </c>
      <c r="GF217" s="423">
        <f t="shared" ca="1" si="622"/>
        <v>0</v>
      </c>
      <c r="GG217" s="423">
        <f t="shared" ca="1" si="622"/>
        <v>0</v>
      </c>
      <c r="GH217" s="423">
        <f t="shared" ca="1" si="622"/>
        <v>0</v>
      </c>
      <c r="GI217" s="423">
        <f t="shared" ca="1" si="622"/>
        <v>0</v>
      </c>
      <c r="GJ217" s="423">
        <f t="shared" ca="1" si="622"/>
        <v>0</v>
      </c>
      <c r="GK217" s="423">
        <f t="shared" ca="1" si="622"/>
        <v>0</v>
      </c>
      <c r="GL217" s="423">
        <f t="shared" ca="1" si="622"/>
        <v>0</v>
      </c>
      <c r="GM217" s="423">
        <f t="shared" ca="1" si="622"/>
        <v>0</v>
      </c>
      <c r="GN217" s="423">
        <f t="shared" ca="1" si="622"/>
        <v>0</v>
      </c>
      <c r="GO217" s="423">
        <f t="shared" ca="1" si="622"/>
        <v>0</v>
      </c>
      <c r="GP217" s="423">
        <f t="shared" ca="1" si="622"/>
        <v>0</v>
      </c>
      <c r="GQ217" s="423">
        <f t="shared" ca="1" si="622"/>
        <v>0</v>
      </c>
      <c r="GR217" s="423">
        <f t="shared" ca="1" si="622"/>
        <v>0</v>
      </c>
      <c r="GS217" s="423">
        <f t="shared" ca="1" si="622"/>
        <v>0</v>
      </c>
      <c r="GT217" s="423">
        <f t="shared" ca="1" si="623"/>
        <v>0</v>
      </c>
      <c r="GU217" s="423">
        <f t="shared" ca="1" si="621"/>
        <v>0</v>
      </c>
      <c r="GV217" s="423">
        <f t="shared" ca="1" si="621"/>
        <v>0</v>
      </c>
      <c r="GW217" s="423">
        <f t="shared" ca="1" si="621"/>
        <v>0</v>
      </c>
      <c r="GX217" s="423">
        <f t="shared" ca="1" si="621"/>
        <v>0</v>
      </c>
      <c r="GY217" s="423">
        <f t="shared" ca="1" si="621"/>
        <v>0</v>
      </c>
      <c r="GZ217" s="423">
        <f t="shared" ca="1" si="621"/>
        <v>0</v>
      </c>
      <c r="HA217" s="423">
        <f t="shared" ca="1" si="621"/>
        <v>0</v>
      </c>
      <c r="HB217" s="423">
        <f t="shared" ca="1" si="621"/>
        <v>0</v>
      </c>
      <c r="HC217" s="423">
        <f t="shared" ca="1" si="621"/>
        <v>0</v>
      </c>
      <c r="HD217" s="423">
        <f t="shared" ca="1" si="621"/>
        <v>0</v>
      </c>
      <c r="HE217" s="423">
        <f t="shared" ca="1" si="621"/>
        <v>0</v>
      </c>
      <c r="HF217" s="423">
        <f t="shared" ca="1" si="621"/>
        <v>0</v>
      </c>
      <c r="HG217" s="423">
        <f t="shared" ca="1" si="621"/>
        <v>0</v>
      </c>
      <c r="HH217" s="423">
        <f t="shared" ca="1" si="621"/>
        <v>0</v>
      </c>
      <c r="HI217" s="423">
        <f t="shared" ca="1" si="621"/>
        <v>0</v>
      </c>
      <c r="HJ217" s="423">
        <f t="shared" ca="1" si="621"/>
        <v>0</v>
      </c>
      <c r="HK217" s="423">
        <f t="shared" ca="1" si="624"/>
        <v>0</v>
      </c>
      <c r="HL217" s="423">
        <f t="shared" ca="1" si="624"/>
        <v>0</v>
      </c>
      <c r="HM217" s="423">
        <f t="shared" ca="1" si="624"/>
        <v>0</v>
      </c>
      <c r="HN217" s="423">
        <f t="shared" ca="1" si="624"/>
        <v>0</v>
      </c>
      <c r="HO217" s="423">
        <f t="shared" ca="1" si="624"/>
        <v>0</v>
      </c>
      <c r="HP217" s="423">
        <f t="shared" ca="1" si="624"/>
        <v>0</v>
      </c>
      <c r="HQ217" s="423">
        <f t="shared" ca="1" si="624"/>
        <v>0</v>
      </c>
      <c r="HR217" s="423">
        <f t="shared" ca="1" si="624"/>
        <v>0</v>
      </c>
      <c r="HS217" s="423">
        <f t="shared" ca="1" si="624"/>
        <v>0</v>
      </c>
      <c r="HT217" s="423">
        <f t="shared" ca="1" si="624"/>
        <v>0</v>
      </c>
    </row>
    <row r="218" spans="1:228" x14ac:dyDescent="0.2">
      <c r="A218" s="62">
        <f t="shared" si="625"/>
        <v>207</v>
      </c>
      <c r="B218" s="60">
        <f>Spaces_Sum!C263</f>
        <v>0</v>
      </c>
      <c r="C218" s="62" t="str">
        <f>Spaces_Sum!D263</f>
        <v>0</v>
      </c>
      <c r="D218" s="62" t="e">
        <f ca="1">Spaces_Sum!I263</f>
        <v>#N/A</v>
      </c>
      <c r="F218" s="110" t="e">
        <f ca="1">Spaces_Sum!M263</f>
        <v>#N/A</v>
      </c>
      <c r="G218" s="110" t="e">
        <f ca="1">Spaces_Sum!J263</f>
        <v>#N/A</v>
      </c>
      <c r="H218" s="532"/>
      <c r="I218" s="185"/>
      <c r="J218" s="185"/>
      <c r="K218" s="186"/>
      <c r="L218" s="187"/>
      <c r="M218" s="188"/>
      <c r="N218" s="189"/>
      <c r="O218" s="186"/>
      <c r="P218" s="187"/>
      <c r="Q218" s="188"/>
      <c r="R218" s="189"/>
      <c r="S218" s="186"/>
      <c r="T218" s="187"/>
      <c r="U218" s="188"/>
      <c r="V218" s="189"/>
      <c r="W218" s="186"/>
      <c r="X218" s="187"/>
      <c r="Y218" s="188"/>
      <c r="Z218" s="189"/>
      <c r="AA218" s="186"/>
      <c r="AB218" s="187"/>
      <c r="AC218" s="188"/>
      <c r="AD218" s="189"/>
      <c r="AE218" s="186"/>
      <c r="AF218" s="187"/>
      <c r="AG218" s="188"/>
      <c r="AH218" s="189"/>
      <c r="AI218" s="186"/>
      <c r="AJ218" s="187"/>
      <c r="AK218" s="188"/>
      <c r="AL218" s="189"/>
      <c r="AM218" s="186"/>
      <c r="AN218" s="187"/>
      <c r="AO218" s="188"/>
      <c r="AP218" s="189"/>
      <c r="AQ218" s="186"/>
      <c r="AR218" s="187"/>
      <c r="AS218" s="188"/>
      <c r="AT218" s="189"/>
      <c r="AU218" s="186"/>
      <c r="AV218" s="187"/>
      <c r="AW218" s="188"/>
      <c r="AX218" s="189"/>
      <c r="AY218" s="186"/>
      <c r="AZ218" s="187"/>
      <c r="BA218" s="188"/>
      <c r="BB218" s="189"/>
      <c r="BC218" s="186"/>
      <c r="BD218" s="187"/>
      <c r="BE218" s="188"/>
      <c r="BF218" s="189"/>
      <c r="BG218" s="186"/>
      <c r="BH218" s="187"/>
      <c r="BI218" s="188"/>
      <c r="BJ218" s="189"/>
      <c r="BK218" s="186"/>
      <c r="BL218" s="187"/>
      <c r="BM218" s="188"/>
      <c r="BN218" s="189"/>
      <c r="BO218" s="186"/>
      <c r="BP218" s="187"/>
      <c r="BQ218" s="188"/>
      <c r="BR218" s="189"/>
      <c r="BS218" s="186"/>
      <c r="BT218" s="187"/>
      <c r="BU218" s="188"/>
      <c r="BV218" s="189"/>
      <c r="BW218" s="186"/>
      <c r="BX218" s="187"/>
      <c r="BY218" s="188"/>
      <c r="BZ218" s="189"/>
      <c r="CA218" s="186"/>
      <c r="CB218" s="190"/>
      <c r="CC218" s="190"/>
      <c r="CD218" s="82">
        <f t="shared" si="526"/>
        <v>0</v>
      </c>
      <c r="CE218" s="82">
        <f t="shared" si="527"/>
        <v>0</v>
      </c>
      <c r="CF218" s="82">
        <f t="shared" si="528"/>
        <v>0</v>
      </c>
      <c r="CG218" s="82">
        <f t="shared" si="529"/>
        <v>0</v>
      </c>
      <c r="CH218" s="82">
        <f t="shared" si="530"/>
        <v>0</v>
      </c>
      <c r="CI218" s="82">
        <f t="shared" si="531"/>
        <v>0</v>
      </c>
      <c r="CJ218" s="82">
        <f t="shared" si="532"/>
        <v>0</v>
      </c>
      <c r="CK218" s="82">
        <f t="shared" si="533"/>
        <v>0</v>
      </c>
      <c r="CL218" s="82">
        <f t="shared" si="534"/>
        <v>0</v>
      </c>
      <c r="CM218" s="82">
        <f t="shared" si="535"/>
        <v>0</v>
      </c>
      <c r="CN218" s="82">
        <f t="shared" si="536"/>
        <v>0</v>
      </c>
      <c r="CO218" s="82">
        <f t="shared" si="537"/>
        <v>0</v>
      </c>
      <c r="CP218" s="82">
        <f t="shared" si="538"/>
        <v>0</v>
      </c>
      <c r="CQ218" s="82">
        <f t="shared" si="539"/>
        <v>0</v>
      </c>
      <c r="CR218" s="82">
        <f t="shared" si="540"/>
        <v>0</v>
      </c>
      <c r="CS218" s="82">
        <f t="shared" si="541"/>
        <v>0</v>
      </c>
      <c r="CT218" s="82">
        <f t="shared" si="542"/>
        <v>0</v>
      </c>
      <c r="CU218" s="82">
        <f t="shared" si="543"/>
        <v>0</v>
      </c>
      <c r="CV218" s="82">
        <f t="shared" si="544"/>
        <v>0</v>
      </c>
      <c r="CW218" s="82">
        <f t="shared" si="545"/>
        <v>0</v>
      </c>
      <c r="CX218" s="82">
        <f t="shared" si="546"/>
        <v>0</v>
      </c>
      <c r="CY218" s="82">
        <f t="shared" si="547"/>
        <v>0</v>
      </c>
      <c r="CZ218" s="82">
        <f t="shared" si="548"/>
        <v>0</v>
      </c>
      <c r="DA218" s="82">
        <f t="shared" si="549"/>
        <v>0</v>
      </c>
      <c r="DB218" s="82">
        <f t="shared" si="550"/>
        <v>0</v>
      </c>
      <c r="DC218" s="82">
        <f t="shared" si="551"/>
        <v>0</v>
      </c>
      <c r="DD218" s="82">
        <f t="shared" si="552"/>
        <v>0</v>
      </c>
      <c r="DE218" s="82">
        <f t="shared" si="553"/>
        <v>0</v>
      </c>
      <c r="DF218" s="82">
        <f t="shared" si="554"/>
        <v>0</v>
      </c>
      <c r="DG218" s="82">
        <f t="shared" si="555"/>
        <v>0</v>
      </c>
      <c r="DH218" s="82">
        <f t="shared" si="556"/>
        <v>0</v>
      </c>
      <c r="DI218" s="82">
        <f t="shared" si="557"/>
        <v>0</v>
      </c>
      <c r="DJ218" s="82">
        <f t="shared" si="558"/>
        <v>0</v>
      </c>
      <c r="DK218" s="82">
        <f t="shared" si="559"/>
        <v>0</v>
      </c>
      <c r="DL218" s="82">
        <f t="shared" si="560"/>
        <v>0</v>
      </c>
      <c r="DM218" s="82">
        <f t="shared" si="561"/>
        <v>0</v>
      </c>
      <c r="DN218" s="82">
        <f t="shared" si="562"/>
        <v>0</v>
      </c>
      <c r="DO218" s="82">
        <f t="shared" si="563"/>
        <v>0</v>
      </c>
      <c r="DP218" s="82">
        <f t="shared" si="564"/>
        <v>0</v>
      </c>
      <c r="DQ218" s="82">
        <f t="shared" si="565"/>
        <v>0</v>
      </c>
      <c r="DR218" s="82">
        <f t="shared" si="566"/>
        <v>0</v>
      </c>
      <c r="DS218" s="82">
        <f t="shared" si="567"/>
        <v>0</v>
      </c>
      <c r="DT218" s="82">
        <f t="shared" si="568"/>
        <v>0</v>
      </c>
      <c r="DU218" s="82">
        <f t="shared" si="569"/>
        <v>0</v>
      </c>
      <c r="DV218" s="82">
        <f t="shared" si="570"/>
        <v>0</v>
      </c>
      <c r="DW218" s="82">
        <f t="shared" si="571"/>
        <v>0</v>
      </c>
      <c r="DX218" s="82">
        <f t="shared" si="572"/>
        <v>0</v>
      </c>
      <c r="DY218" s="82">
        <f t="shared" si="573"/>
        <v>0</v>
      </c>
      <c r="DZ218" s="82">
        <f t="shared" si="574"/>
        <v>0</v>
      </c>
      <c r="EA218" s="82">
        <f t="shared" si="575"/>
        <v>0</v>
      </c>
      <c r="EB218" s="82">
        <f t="shared" si="576"/>
        <v>0</v>
      </c>
      <c r="EC218" s="82">
        <f t="shared" si="577"/>
        <v>0</v>
      </c>
      <c r="ED218" s="82">
        <f t="shared" si="578"/>
        <v>0</v>
      </c>
      <c r="EE218" s="82">
        <f t="shared" si="579"/>
        <v>0</v>
      </c>
      <c r="EF218" s="82">
        <f t="shared" si="580"/>
        <v>0</v>
      </c>
      <c r="EG218" s="82">
        <f t="shared" si="581"/>
        <v>0</v>
      </c>
      <c r="EH218" s="82">
        <f t="shared" si="582"/>
        <v>0</v>
      </c>
      <c r="EI218" s="82">
        <f t="shared" si="583"/>
        <v>0</v>
      </c>
      <c r="EJ218" s="82">
        <f t="shared" si="584"/>
        <v>0</v>
      </c>
      <c r="EK218" s="82">
        <f t="shared" si="585"/>
        <v>0</v>
      </c>
      <c r="EL218" s="82">
        <f t="shared" si="586"/>
        <v>0</v>
      </c>
      <c r="EM218" s="82">
        <f t="shared" si="587"/>
        <v>0</v>
      </c>
      <c r="EN218" s="82">
        <f t="shared" si="588"/>
        <v>0</v>
      </c>
      <c r="EO218" s="82">
        <f t="shared" si="589"/>
        <v>0</v>
      </c>
      <c r="EP218" s="82">
        <f t="shared" si="590"/>
        <v>0</v>
      </c>
      <c r="EQ218" s="82">
        <f t="shared" si="591"/>
        <v>0</v>
      </c>
      <c r="ER218" s="82">
        <f t="shared" si="592"/>
        <v>0</v>
      </c>
      <c r="ES218" s="82">
        <f t="shared" si="593"/>
        <v>0</v>
      </c>
      <c r="ET218" s="82">
        <f t="shared" si="594"/>
        <v>0</v>
      </c>
      <c r="EU218" s="82">
        <f t="shared" si="595"/>
        <v>0</v>
      </c>
      <c r="EV218" s="82">
        <f t="shared" si="596"/>
        <v>0</v>
      </c>
      <c r="EW218" s="82">
        <f t="shared" si="597"/>
        <v>0</v>
      </c>
      <c r="EX218" s="82">
        <f t="shared" si="598"/>
        <v>0</v>
      </c>
      <c r="EY218" s="111">
        <f t="shared" si="599"/>
        <v>0</v>
      </c>
      <c r="EZ218" s="143" t="e">
        <f t="shared" ca="1" si="600"/>
        <v>#N/A</v>
      </c>
      <c r="FA218" s="112" t="e">
        <f t="shared" ca="1" si="601"/>
        <v>#N/A</v>
      </c>
      <c r="FB218" s="113" t="e">
        <f t="shared" ca="1" si="602"/>
        <v>#N/A</v>
      </c>
      <c r="FC218" s="114" t="e">
        <f t="shared" ca="1" si="603"/>
        <v>#N/A</v>
      </c>
      <c r="FD218" s="115">
        <f t="shared" ca="1" si="604"/>
        <v>0</v>
      </c>
      <c r="FE218" s="116" t="e">
        <f t="shared" ca="1" si="605"/>
        <v>#N/A</v>
      </c>
      <c r="FF218" s="117" t="e">
        <f t="shared" ca="1" si="606"/>
        <v>#N/A</v>
      </c>
      <c r="FG218" s="71">
        <f t="shared" si="607"/>
        <v>0</v>
      </c>
      <c r="FH218" s="530" t="e">
        <f t="shared" ca="1" si="608"/>
        <v>#N/A</v>
      </c>
      <c r="FI218" s="72"/>
      <c r="FJ218" s="72"/>
      <c r="FK218" s="72"/>
      <c r="FM218" s="421">
        <f t="shared" si="609"/>
        <v>0</v>
      </c>
      <c r="FN218" s="422" t="e">
        <f t="shared" ca="1" si="610"/>
        <v>#N/A</v>
      </c>
      <c r="FO218" s="423">
        <f t="shared" ca="1" si="626"/>
        <v>0</v>
      </c>
      <c r="FP218" s="423">
        <f t="shared" ca="1" si="626"/>
        <v>0</v>
      </c>
      <c r="FQ218" s="423">
        <f t="shared" ca="1" si="626"/>
        <v>0</v>
      </c>
      <c r="FR218" s="423">
        <f t="shared" ca="1" si="626"/>
        <v>0</v>
      </c>
      <c r="FS218" s="423">
        <f t="shared" ca="1" si="626"/>
        <v>0</v>
      </c>
      <c r="FT218" s="423">
        <f t="shared" ca="1" si="626"/>
        <v>0</v>
      </c>
      <c r="FU218" s="423">
        <f t="shared" ca="1" si="626"/>
        <v>0</v>
      </c>
      <c r="FV218" s="423">
        <f t="shared" ca="1" si="626"/>
        <v>0</v>
      </c>
      <c r="FW218" s="423">
        <f t="shared" ca="1" si="626"/>
        <v>0</v>
      </c>
      <c r="FX218" s="423">
        <f t="shared" ca="1" si="626"/>
        <v>0</v>
      </c>
      <c r="FY218" s="423">
        <f t="shared" ca="1" si="626"/>
        <v>0</v>
      </c>
      <c r="FZ218" s="423">
        <f t="shared" ca="1" si="626"/>
        <v>0</v>
      </c>
      <c r="GA218" s="423">
        <f t="shared" ca="1" si="626"/>
        <v>0</v>
      </c>
      <c r="GB218" s="423">
        <f t="shared" ca="1" si="626"/>
        <v>0</v>
      </c>
      <c r="GC218" s="423">
        <f t="shared" ca="1" si="626"/>
        <v>0</v>
      </c>
      <c r="GD218" s="423">
        <f t="shared" ca="1" si="622"/>
        <v>0</v>
      </c>
      <c r="GE218" s="423">
        <f t="shared" ca="1" si="622"/>
        <v>0</v>
      </c>
      <c r="GF218" s="423">
        <f t="shared" ca="1" si="622"/>
        <v>0</v>
      </c>
      <c r="GG218" s="423">
        <f t="shared" ca="1" si="622"/>
        <v>0</v>
      </c>
      <c r="GH218" s="423">
        <f t="shared" ca="1" si="622"/>
        <v>0</v>
      </c>
      <c r="GI218" s="423">
        <f t="shared" ca="1" si="622"/>
        <v>0</v>
      </c>
      <c r="GJ218" s="423">
        <f t="shared" ca="1" si="622"/>
        <v>0</v>
      </c>
      <c r="GK218" s="423">
        <f t="shared" ca="1" si="622"/>
        <v>0</v>
      </c>
      <c r="GL218" s="423">
        <f t="shared" ca="1" si="622"/>
        <v>0</v>
      </c>
      <c r="GM218" s="423">
        <f t="shared" ca="1" si="622"/>
        <v>0</v>
      </c>
      <c r="GN218" s="423">
        <f t="shared" ca="1" si="622"/>
        <v>0</v>
      </c>
      <c r="GO218" s="423">
        <f t="shared" ca="1" si="622"/>
        <v>0</v>
      </c>
      <c r="GP218" s="423">
        <f t="shared" ca="1" si="622"/>
        <v>0</v>
      </c>
      <c r="GQ218" s="423">
        <f t="shared" ca="1" si="622"/>
        <v>0</v>
      </c>
      <c r="GR218" s="423">
        <f t="shared" ca="1" si="622"/>
        <v>0</v>
      </c>
      <c r="GS218" s="423">
        <f t="shared" ca="1" si="622"/>
        <v>0</v>
      </c>
      <c r="GT218" s="423">
        <f t="shared" ca="1" si="623"/>
        <v>0</v>
      </c>
      <c r="GU218" s="423">
        <f t="shared" ca="1" si="621"/>
        <v>0</v>
      </c>
      <c r="GV218" s="423">
        <f t="shared" ca="1" si="621"/>
        <v>0</v>
      </c>
      <c r="GW218" s="423">
        <f t="shared" ca="1" si="621"/>
        <v>0</v>
      </c>
      <c r="GX218" s="423">
        <f t="shared" ca="1" si="621"/>
        <v>0</v>
      </c>
      <c r="GY218" s="423">
        <f t="shared" ca="1" si="621"/>
        <v>0</v>
      </c>
      <c r="GZ218" s="423">
        <f t="shared" ca="1" si="621"/>
        <v>0</v>
      </c>
      <c r="HA218" s="423">
        <f t="shared" ca="1" si="621"/>
        <v>0</v>
      </c>
      <c r="HB218" s="423">
        <f t="shared" ca="1" si="621"/>
        <v>0</v>
      </c>
      <c r="HC218" s="423">
        <f t="shared" ca="1" si="621"/>
        <v>0</v>
      </c>
      <c r="HD218" s="423">
        <f t="shared" ca="1" si="621"/>
        <v>0</v>
      </c>
      <c r="HE218" s="423">
        <f t="shared" ca="1" si="621"/>
        <v>0</v>
      </c>
      <c r="HF218" s="423">
        <f t="shared" ca="1" si="621"/>
        <v>0</v>
      </c>
      <c r="HG218" s="423">
        <f t="shared" ca="1" si="621"/>
        <v>0</v>
      </c>
      <c r="HH218" s="423">
        <f t="shared" ca="1" si="621"/>
        <v>0</v>
      </c>
      <c r="HI218" s="423">
        <f t="shared" ca="1" si="621"/>
        <v>0</v>
      </c>
      <c r="HJ218" s="423">
        <f t="shared" ca="1" si="621"/>
        <v>0</v>
      </c>
      <c r="HK218" s="423">
        <f t="shared" ca="1" si="624"/>
        <v>0</v>
      </c>
      <c r="HL218" s="423">
        <f t="shared" ca="1" si="624"/>
        <v>0</v>
      </c>
      <c r="HM218" s="423">
        <f t="shared" ca="1" si="624"/>
        <v>0</v>
      </c>
      <c r="HN218" s="423">
        <f t="shared" ca="1" si="624"/>
        <v>0</v>
      </c>
      <c r="HO218" s="423">
        <f t="shared" ca="1" si="624"/>
        <v>0</v>
      </c>
      <c r="HP218" s="423">
        <f t="shared" ca="1" si="624"/>
        <v>0</v>
      </c>
      <c r="HQ218" s="423">
        <f t="shared" ca="1" si="624"/>
        <v>0</v>
      </c>
      <c r="HR218" s="423">
        <f t="shared" ca="1" si="624"/>
        <v>0</v>
      </c>
      <c r="HS218" s="423">
        <f t="shared" ca="1" si="624"/>
        <v>0</v>
      </c>
      <c r="HT218" s="423">
        <f t="shared" ca="1" si="624"/>
        <v>0</v>
      </c>
    </row>
    <row r="219" spans="1:228" x14ac:dyDescent="0.2">
      <c r="A219" s="62">
        <f t="shared" si="625"/>
        <v>208</v>
      </c>
      <c r="B219" s="60">
        <f>Spaces_Sum!C264</f>
        <v>0</v>
      </c>
      <c r="C219" s="62" t="str">
        <f>Spaces_Sum!D264</f>
        <v>0</v>
      </c>
      <c r="D219" s="62" t="e">
        <f ca="1">Spaces_Sum!I264</f>
        <v>#N/A</v>
      </c>
      <c r="F219" s="110" t="e">
        <f ca="1">Spaces_Sum!M264</f>
        <v>#N/A</v>
      </c>
      <c r="G219" s="110" t="e">
        <f ca="1">Spaces_Sum!J264</f>
        <v>#N/A</v>
      </c>
      <c r="H219" s="532"/>
      <c r="I219" s="185"/>
      <c r="J219" s="185"/>
      <c r="K219" s="186"/>
      <c r="L219" s="187"/>
      <c r="M219" s="188"/>
      <c r="N219" s="189"/>
      <c r="O219" s="186"/>
      <c r="P219" s="187"/>
      <c r="Q219" s="188"/>
      <c r="R219" s="189"/>
      <c r="S219" s="186"/>
      <c r="T219" s="187"/>
      <c r="U219" s="188"/>
      <c r="V219" s="189"/>
      <c r="W219" s="186"/>
      <c r="X219" s="187"/>
      <c r="Y219" s="188"/>
      <c r="Z219" s="189"/>
      <c r="AA219" s="186"/>
      <c r="AB219" s="187"/>
      <c r="AC219" s="188"/>
      <c r="AD219" s="189"/>
      <c r="AE219" s="186"/>
      <c r="AF219" s="187"/>
      <c r="AG219" s="188"/>
      <c r="AH219" s="189"/>
      <c r="AI219" s="186"/>
      <c r="AJ219" s="187"/>
      <c r="AK219" s="188"/>
      <c r="AL219" s="189"/>
      <c r="AM219" s="186"/>
      <c r="AN219" s="187"/>
      <c r="AO219" s="188"/>
      <c r="AP219" s="189"/>
      <c r="AQ219" s="186"/>
      <c r="AR219" s="187"/>
      <c r="AS219" s="188"/>
      <c r="AT219" s="189"/>
      <c r="AU219" s="186"/>
      <c r="AV219" s="187"/>
      <c r="AW219" s="188"/>
      <c r="AX219" s="189"/>
      <c r="AY219" s="186"/>
      <c r="AZ219" s="187"/>
      <c r="BA219" s="188"/>
      <c r="BB219" s="189"/>
      <c r="BC219" s="186"/>
      <c r="BD219" s="187"/>
      <c r="BE219" s="188"/>
      <c r="BF219" s="189"/>
      <c r="BG219" s="186"/>
      <c r="BH219" s="187"/>
      <c r="BI219" s="188"/>
      <c r="BJ219" s="189"/>
      <c r="BK219" s="186"/>
      <c r="BL219" s="187"/>
      <c r="BM219" s="188"/>
      <c r="BN219" s="189"/>
      <c r="BO219" s="186"/>
      <c r="BP219" s="187"/>
      <c r="BQ219" s="188"/>
      <c r="BR219" s="189"/>
      <c r="BS219" s="186"/>
      <c r="BT219" s="187"/>
      <c r="BU219" s="188"/>
      <c r="BV219" s="189"/>
      <c r="BW219" s="186"/>
      <c r="BX219" s="187"/>
      <c r="BY219" s="188"/>
      <c r="BZ219" s="189"/>
      <c r="CA219" s="186"/>
      <c r="CB219" s="190"/>
      <c r="CC219" s="190"/>
      <c r="CD219" s="82">
        <f t="shared" si="526"/>
        <v>0</v>
      </c>
      <c r="CE219" s="82">
        <f t="shared" si="527"/>
        <v>0</v>
      </c>
      <c r="CF219" s="82">
        <f t="shared" si="528"/>
        <v>0</v>
      </c>
      <c r="CG219" s="82">
        <f t="shared" si="529"/>
        <v>0</v>
      </c>
      <c r="CH219" s="82">
        <f t="shared" si="530"/>
        <v>0</v>
      </c>
      <c r="CI219" s="82">
        <f t="shared" si="531"/>
        <v>0</v>
      </c>
      <c r="CJ219" s="82">
        <f t="shared" si="532"/>
        <v>0</v>
      </c>
      <c r="CK219" s="82">
        <f t="shared" si="533"/>
        <v>0</v>
      </c>
      <c r="CL219" s="82">
        <f t="shared" si="534"/>
        <v>0</v>
      </c>
      <c r="CM219" s="82">
        <f t="shared" si="535"/>
        <v>0</v>
      </c>
      <c r="CN219" s="82">
        <f t="shared" si="536"/>
        <v>0</v>
      </c>
      <c r="CO219" s="82">
        <f t="shared" si="537"/>
        <v>0</v>
      </c>
      <c r="CP219" s="82">
        <f t="shared" si="538"/>
        <v>0</v>
      </c>
      <c r="CQ219" s="82">
        <f t="shared" si="539"/>
        <v>0</v>
      </c>
      <c r="CR219" s="82">
        <f t="shared" si="540"/>
        <v>0</v>
      </c>
      <c r="CS219" s="82">
        <f t="shared" si="541"/>
        <v>0</v>
      </c>
      <c r="CT219" s="82">
        <f t="shared" si="542"/>
        <v>0</v>
      </c>
      <c r="CU219" s="82">
        <f t="shared" si="543"/>
        <v>0</v>
      </c>
      <c r="CV219" s="82">
        <f t="shared" si="544"/>
        <v>0</v>
      </c>
      <c r="CW219" s="82">
        <f t="shared" si="545"/>
        <v>0</v>
      </c>
      <c r="CX219" s="82">
        <f t="shared" si="546"/>
        <v>0</v>
      </c>
      <c r="CY219" s="82">
        <f t="shared" si="547"/>
        <v>0</v>
      </c>
      <c r="CZ219" s="82">
        <f t="shared" si="548"/>
        <v>0</v>
      </c>
      <c r="DA219" s="82">
        <f t="shared" si="549"/>
        <v>0</v>
      </c>
      <c r="DB219" s="82">
        <f t="shared" si="550"/>
        <v>0</v>
      </c>
      <c r="DC219" s="82">
        <f t="shared" si="551"/>
        <v>0</v>
      </c>
      <c r="DD219" s="82">
        <f t="shared" si="552"/>
        <v>0</v>
      </c>
      <c r="DE219" s="82">
        <f t="shared" si="553"/>
        <v>0</v>
      </c>
      <c r="DF219" s="82">
        <f t="shared" si="554"/>
        <v>0</v>
      </c>
      <c r="DG219" s="82">
        <f t="shared" si="555"/>
        <v>0</v>
      </c>
      <c r="DH219" s="82">
        <f t="shared" si="556"/>
        <v>0</v>
      </c>
      <c r="DI219" s="82">
        <f t="shared" si="557"/>
        <v>0</v>
      </c>
      <c r="DJ219" s="82">
        <f t="shared" si="558"/>
        <v>0</v>
      </c>
      <c r="DK219" s="82">
        <f t="shared" si="559"/>
        <v>0</v>
      </c>
      <c r="DL219" s="82">
        <f t="shared" si="560"/>
        <v>0</v>
      </c>
      <c r="DM219" s="82">
        <f t="shared" si="561"/>
        <v>0</v>
      </c>
      <c r="DN219" s="82">
        <f t="shared" si="562"/>
        <v>0</v>
      </c>
      <c r="DO219" s="82">
        <f t="shared" si="563"/>
        <v>0</v>
      </c>
      <c r="DP219" s="82">
        <f t="shared" si="564"/>
        <v>0</v>
      </c>
      <c r="DQ219" s="82">
        <f t="shared" si="565"/>
        <v>0</v>
      </c>
      <c r="DR219" s="82">
        <f t="shared" si="566"/>
        <v>0</v>
      </c>
      <c r="DS219" s="82">
        <f t="shared" si="567"/>
        <v>0</v>
      </c>
      <c r="DT219" s="82">
        <f t="shared" si="568"/>
        <v>0</v>
      </c>
      <c r="DU219" s="82">
        <f t="shared" si="569"/>
        <v>0</v>
      </c>
      <c r="DV219" s="82">
        <f t="shared" si="570"/>
        <v>0</v>
      </c>
      <c r="DW219" s="82">
        <f t="shared" si="571"/>
        <v>0</v>
      </c>
      <c r="DX219" s="82">
        <f t="shared" si="572"/>
        <v>0</v>
      </c>
      <c r="DY219" s="82">
        <f t="shared" si="573"/>
        <v>0</v>
      </c>
      <c r="DZ219" s="82">
        <f t="shared" si="574"/>
        <v>0</v>
      </c>
      <c r="EA219" s="82">
        <f t="shared" si="575"/>
        <v>0</v>
      </c>
      <c r="EB219" s="82">
        <f t="shared" si="576"/>
        <v>0</v>
      </c>
      <c r="EC219" s="82">
        <f t="shared" si="577"/>
        <v>0</v>
      </c>
      <c r="ED219" s="82">
        <f t="shared" si="578"/>
        <v>0</v>
      </c>
      <c r="EE219" s="82">
        <f t="shared" si="579"/>
        <v>0</v>
      </c>
      <c r="EF219" s="82">
        <f t="shared" si="580"/>
        <v>0</v>
      </c>
      <c r="EG219" s="82">
        <f t="shared" si="581"/>
        <v>0</v>
      </c>
      <c r="EH219" s="82">
        <f t="shared" si="582"/>
        <v>0</v>
      </c>
      <c r="EI219" s="82">
        <f t="shared" si="583"/>
        <v>0</v>
      </c>
      <c r="EJ219" s="82">
        <f t="shared" si="584"/>
        <v>0</v>
      </c>
      <c r="EK219" s="82">
        <f t="shared" si="585"/>
        <v>0</v>
      </c>
      <c r="EL219" s="82">
        <f t="shared" si="586"/>
        <v>0</v>
      </c>
      <c r="EM219" s="82">
        <f t="shared" si="587"/>
        <v>0</v>
      </c>
      <c r="EN219" s="82">
        <f t="shared" si="588"/>
        <v>0</v>
      </c>
      <c r="EO219" s="82">
        <f t="shared" si="589"/>
        <v>0</v>
      </c>
      <c r="EP219" s="82">
        <f t="shared" si="590"/>
        <v>0</v>
      </c>
      <c r="EQ219" s="82">
        <f t="shared" si="591"/>
        <v>0</v>
      </c>
      <c r="ER219" s="82">
        <f t="shared" si="592"/>
        <v>0</v>
      </c>
      <c r="ES219" s="82">
        <f t="shared" si="593"/>
        <v>0</v>
      </c>
      <c r="ET219" s="82">
        <f t="shared" si="594"/>
        <v>0</v>
      </c>
      <c r="EU219" s="82">
        <f t="shared" si="595"/>
        <v>0</v>
      </c>
      <c r="EV219" s="82">
        <f t="shared" si="596"/>
        <v>0</v>
      </c>
      <c r="EW219" s="82">
        <f t="shared" si="597"/>
        <v>0</v>
      </c>
      <c r="EX219" s="82">
        <f t="shared" si="598"/>
        <v>0</v>
      </c>
      <c r="EY219" s="111">
        <f t="shared" si="599"/>
        <v>0</v>
      </c>
      <c r="EZ219" s="143" t="e">
        <f t="shared" ca="1" si="600"/>
        <v>#N/A</v>
      </c>
      <c r="FA219" s="112" t="e">
        <f t="shared" ca="1" si="601"/>
        <v>#N/A</v>
      </c>
      <c r="FB219" s="113" t="e">
        <f t="shared" ca="1" si="602"/>
        <v>#N/A</v>
      </c>
      <c r="FC219" s="114" t="e">
        <f t="shared" ca="1" si="603"/>
        <v>#N/A</v>
      </c>
      <c r="FD219" s="115">
        <f t="shared" ca="1" si="604"/>
        <v>0</v>
      </c>
      <c r="FE219" s="116" t="e">
        <f t="shared" ca="1" si="605"/>
        <v>#N/A</v>
      </c>
      <c r="FF219" s="117" t="e">
        <f t="shared" ca="1" si="606"/>
        <v>#N/A</v>
      </c>
      <c r="FG219" s="71">
        <f t="shared" si="607"/>
        <v>0</v>
      </c>
      <c r="FH219" s="530" t="e">
        <f t="shared" ca="1" si="608"/>
        <v>#N/A</v>
      </c>
      <c r="FI219" s="72"/>
      <c r="FJ219" s="72"/>
      <c r="FK219" s="72"/>
      <c r="FM219" s="421">
        <f t="shared" si="609"/>
        <v>0</v>
      </c>
      <c r="FN219" s="422" t="e">
        <f t="shared" ca="1" si="610"/>
        <v>#N/A</v>
      </c>
      <c r="FO219" s="423">
        <f t="shared" ca="1" si="626"/>
        <v>0</v>
      </c>
      <c r="FP219" s="423">
        <f t="shared" ca="1" si="626"/>
        <v>0</v>
      </c>
      <c r="FQ219" s="423">
        <f t="shared" ca="1" si="626"/>
        <v>0</v>
      </c>
      <c r="FR219" s="423">
        <f t="shared" ca="1" si="626"/>
        <v>0</v>
      </c>
      <c r="FS219" s="423">
        <f t="shared" ca="1" si="626"/>
        <v>0</v>
      </c>
      <c r="FT219" s="423">
        <f t="shared" ca="1" si="626"/>
        <v>0</v>
      </c>
      <c r="FU219" s="423">
        <f t="shared" ca="1" si="626"/>
        <v>0</v>
      </c>
      <c r="FV219" s="423">
        <f t="shared" ca="1" si="626"/>
        <v>0</v>
      </c>
      <c r="FW219" s="423">
        <f t="shared" ca="1" si="626"/>
        <v>0</v>
      </c>
      <c r="FX219" s="423">
        <f t="shared" ca="1" si="626"/>
        <v>0</v>
      </c>
      <c r="FY219" s="423">
        <f t="shared" ca="1" si="626"/>
        <v>0</v>
      </c>
      <c r="FZ219" s="423">
        <f t="shared" ca="1" si="626"/>
        <v>0</v>
      </c>
      <c r="GA219" s="423">
        <f t="shared" ca="1" si="626"/>
        <v>0</v>
      </c>
      <c r="GB219" s="423">
        <f t="shared" ca="1" si="626"/>
        <v>0</v>
      </c>
      <c r="GC219" s="423">
        <f t="shared" ca="1" si="626"/>
        <v>0</v>
      </c>
      <c r="GD219" s="423">
        <f t="shared" ca="1" si="622"/>
        <v>0</v>
      </c>
      <c r="GE219" s="423">
        <f t="shared" ca="1" si="622"/>
        <v>0</v>
      </c>
      <c r="GF219" s="423">
        <f t="shared" ca="1" si="622"/>
        <v>0</v>
      </c>
      <c r="GG219" s="423">
        <f t="shared" ca="1" si="622"/>
        <v>0</v>
      </c>
      <c r="GH219" s="423">
        <f t="shared" ca="1" si="622"/>
        <v>0</v>
      </c>
      <c r="GI219" s="423">
        <f t="shared" ca="1" si="622"/>
        <v>0</v>
      </c>
      <c r="GJ219" s="423">
        <f t="shared" ca="1" si="622"/>
        <v>0</v>
      </c>
      <c r="GK219" s="423">
        <f t="shared" ca="1" si="622"/>
        <v>0</v>
      </c>
      <c r="GL219" s="423">
        <f t="shared" ca="1" si="622"/>
        <v>0</v>
      </c>
      <c r="GM219" s="423">
        <f t="shared" ca="1" si="622"/>
        <v>0</v>
      </c>
      <c r="GN219" s="423">
        <f t="shared" ca="1" si="622"/>
        <v>0</v>
      </c>
      <c r="GO219" s="423">
        <f t="shared" ca="1" si="622"/>
        <v>0</v>
      </c>
      <c r="GP219" s="423">
        <f t="shared" ca="1" si="622"/>
        <v>0</v>
      </c>
      <c r="GQ219" s="423">
        <f t="shared" ca="1" si="622"/>
        <v>0</v>
      </c>
      <c r="GR219" s="423">
        <f t="shared" ca="1" si="622"/>
        <v>0</v>
      </c>
      <c r="GS219" s="423">
        <f t="shared" ref="GS219:HH221" ca="1" si="627">IFERROR(ROUNDDOWN(SUMIF($H219:$CC219,GS$11,$CD219:$EX219)/GS$10,0),0)</f>
        <v>0</v>
      </c>
      <c r="GT219" s="423">
        <f t="shared" ca="1" si="623"/>
        <v>0</v>
      </c>
      <c r="GU219" s="423">
        <f t="shared" ca="1" si="623"/>
        <v>0</v>
      </c>
      <c r="GV219" s="423">
        <f t="shared" ca="1" si="623"/>
        <v>0</v>
      </c>
      <c r="GW219" s="423">
        <f t="shared" ca="1" si="623"/>
        <v>0</v>
      </c>
      <c r="GX219" s="423">
        <f t="shared" ca="1" si="623"/>
        <v>0</v>
      </c>
      <c r="GY219" s="423">
        <f t="shared" ca="1" si="623"/>
        <v>0</v>
      </c>
      <c r="GZ219" s="423">
        <f t="shared" ca="1" si="623"/>
        <v>0</v>
      </c>
      <c r="HA219" s="423">
        <f t="shared" ca="1" si="623"/>
        <v>0</v>
      </c>
      <c r="HB219" s="423">
        <f t="shared" ca="1" si="623"/>
        <v>0</v>
      </c>
      <c r="HC219" s="423">
        <f t="shared" ca="1" si="623"/>
        <v>0</v>
      </c>
      <c r="HD219" s="423">
        <f t="shared" ca="1" si="623"/>
        <v>0</v>
      </c>
      <c r="HE219" s="423">
        <f t="shared" ca="1" si="623"/>
        <v>0</v>
      </c>
      <c r="HF219" s="423">
        <f t="shared" ca="1" si="623"/>
        <v>0</v>
      </c>
      <c r="HG219" s="423">
        <f t="shared" ca="1" si="623"/>
        <v>0</v>
      </c>
      <c r="HH219" s="423">
        <f t="shared" ca="1" si="623"/>
        <v>0</v>
      </c>
      <c r="HI219" s="423">
        <f t="shared" ca="1" si="623"/>
        <v>0</v>
      </c>
      <c r="HJ219" s="423">
        <f t="shared" ref="HJ219:HT221" ca="1" si="628">IFERROR(ROUNDDOWN(SUMIF($H219:$CC219,HJ$11,$CD219:$EX219)/HJ$10,0),0)</f>
        <v>0</v>
      </c>
      <c r="HK219" s="423">
        <f t="shared" ca="1" si="624"/>
        <v>0</v>
      </c>
      <c r="HL219" s="423">
        <f t="shared" ca="1" si="624"/>
        <v>0</v>
      </c>
      <c r="HM219" s="423">
        <f t="shared" ca="1" si="624"/>
        <v>0</v>
      </c>
      <c r="HN219" s="423">
        <f t="shared" ca="1" si="624"/>
        <v>0</v>
      </c>
      <c r="HO219" s="423">
        <f t="shared" ca="1" si="624"/>
        <v>0</v>
      </c>
      <c r="HP219" s="423">
        <f t="shared" ca="1" si="624"/>
        <v>0</v>
      </c>
      <c r="HQ219" s="423">
        <f t="shared" ca="1" si="624"/>
        <v>0</v>
      </c>
      <c r="HR219" s="423">
        <f t="shared" ca="1" si="624"/>
        <v>0</v>
      </c>
      <c r="HS219" s="423">
        <f t="shared" ca="1" si="624"/>
        <v>0</v>
      </c>
      <c r="HT219" s="423">
        <f t="shared" ca="1" si="624"/>
        <v>0</v>
      </c>
    </row>
    <row r="220" spans="1:228" x14ac:dyDescent="0.2">
      <c r="A220" s="62">
        <f t="shared" si="625"/>
        <v>209</v>
      </c>
      <c r="B220" s="60">
        <f>Spaces_Sum!C265</f>
        <v>0</v>
      </c>
      <c r="C220" s="62" t="str">
        <f>Spaces_Sum!D265</f>
        <v>0</v>
      </c>
      <c r="D220" s="62" t="e">
        <f ca="1">Spaces_Sum!I265</f>
        <v>#N/A</v>
      </c>
      <c r="F220" s="110" t="e">
        <f ca="1">Spaces_Sum!M265</f>
        <v>#N/A</v>
      </c>
      <c r="G220" s="110" t="e">
        <f ca="1">Spaces_Sum!J265</f>
        <v>#N/A</v>
      </c>
      <c r="H220" s="532"/>
      <c r="I220" s="185"/>
      <c r="J220" s="185"/>
      <c r="K220" s="186"/>
      <c r="L220" s="187"/>
      <c r="M220" s="188"/>
      <c r="N220" s="189"/>
      <c r="O220" s="186"/>
      <c r="P220" s="187"/>
      <c r="Q220" s="188"/>
      <c r="R220" s="189"/>
      <c r="S220" s="186"/>
      <c r="T220" s="187"/>
      <c r="U220" s="188"/>
      <c r="V220" s="189"/>
      <c r="W220" s="186"/>
      <c r="X220" s="187"/>
      <c r="Y220" s="188"/>
      <c r="Z220" s="189"/>
      <c r="AA220" s="186"/>
      <c r="AB220" s="187"/>
      <c r="AC220" s="188"/>
      <c r="AD220" s="189"/>
      <c r="AE220" s="186"/>
      <c r="AF220" s="187"/>
      <c r="AG220" s="188"/>
      <c r="AH220" s="189"/>
      <c r="AI220" s="186"/>
      <c r="AJ220" s="187"/>
      <c r="AK220" s="188"/>
      <c r="AL220" s="189"/>
      <c r="AM220" s="186"/>
      <c r="AN220" s="187"/>
      <c r="AO220" s="188"/>
      <c r="AP220" s="189"/>
      <c r="AQ220" s="186"/>
      <c r="AR220" s="187"/>
      <c r="AS220" s="188"/>
      <c r="AT220" s="189"/>
      <c r="AU220" s="186"/>
      <c r="AV220" s="187"/>
      <c r="AW220" s="188"/>
      <c r="AX220" s="189"/>
      <c r="AY220" s="186"/>
      <c r="AZ220" s="187"/>
      <c r="BA220" s="188"/>
      <c r="BB220" s="189"/>
      <c r="BC220" s="186"/>
      <c r="BD220" s="187"/>
      <c r="BE220" s="188"/>
      <c r="BF220" s="189"/>
      <c r="BG220" s="186"/>
      <c r="BH220" s="187"/>
      <c r="BI220" s="188"/>
      <c r="BJ220" s="189"/>
      <c r="BK220" s="186"/>
      <c r="BL220" s="187"/>
      <c r="BM220" s="188"/>
      <c r="BN220" s="189"/>
      <c r="BO220" s="186"/>
      <c r="BP220" s="187"/>
      <c r="BQ220" s="188"/>
      <c r="BR220" s="189"/>
      <c r="BS220" s="186"/>
      <c r="BT220" s="187"/>
      <c r="BU220" s="188"/>
      <c r="BV220" s="189"/>
      <c r="BW220" s="186"/>
      <c r="BX220" s="187"/>
      <c r="BY220" s="188"/>
      <c r="BZ220" s="189"/>
      <c r="CA220" s="186"/>
      <c r="CB220" s="190"/>
      <c r="CC220" s="190"/>
      <c r="CD220" s="82">
        <f t="shared" si="526"/>
        <v>0</v>
      </c>
      <c r="CE220" s="82">
        <f t="shared" si="527"/>
        <v>0</v>
      </c>
      <c r="CF220" s="82">
        <f t="shared" si="528"/>
        <v>0</v>
      </c>
      <c r="CG220" s="82">
        <f t="shared" si="529"/>
        <v>0</v>
      </c>
      <c r="CH220" s="82">
        <f t="shared" si="530"/>
        <v>0</v>
      </c>
      <c r="CI220" s="82">
        <f t="shared" si="531"/>
        <v>0</v>
      </c>
      <c r="CJ220" s="82">
        <f t="shared" si="532"/>
        <v>0</v>
      </c>
      <c r="CK220" s="82">
        <f t="shared" si="533"/>
        <v>0</v>
      </c>
      <c r="CL220" s="82">
        <f t="shared" si="534"/>
        <v>0</v>
      </c>
      <c r="CM220" s="82">
        <f t="shared" si="535"/>
        <v>0</v>
      </c>
      <c r="CN220" s="82">
        <f t="shared" si="536"/>
        <v>0</v>
      </c>
      <c r="CO220" s="82">
        <f t="shared" si="537"/>
        <v>0</v>
      </c>
      <c r="CP220" s="82">
        <f t="shared" si="538"/>
        <v>0</v>
      </c>
      <c r="CQ220" s="82">
        <f t="shared" si="539"/>
        <v>0</v>
      </c>
      <c r="CR220" s="82">
        <f t="shared" si="540"/>
        <v>0</v>
      </c>
      <c r="CS220" s="82">
        <f t="shared" si="541"/>
        <v>0</v>
      </c>
      <c r="CT220" s="82">
        <f t="shared" si="542"/>
        <v>0</v>
      </c>
      <c r="CU220" s="82">
        <f t="shared" si="543"/>
        <v>0</v>
      </c>
      <c r="CV220" s="82">
        <f t="shared" si="544"/>
        <v>0</v>
      </c>
      <c r="CW220" s="82">
        <f t="shared" si="545"/>
        <v>0</v>
      </c>
      <c r="CX220" s="82">
        <f t="shared" si="546"/>
        <v>0</v>
      </c>
      <c r="CY220" s="82">
        <f t="shared" si="547"/>
        <v>0</v>
      </c>
      <c r="CZ220" s="82">
        <f t="shared" si="548"/>
        <v>0</v>
      </c>
      <c r="DA220" s="82">
        <f t="shared" si="549"/>
        <v>0</v>
      </c>
      <c r="DB220" s="82">
        <f t="shared" si="550"/>
        <v>0</v>
      </c>
      <c r="DC220" s="82">
        <f t="shared" si="551"/>
        <v>0</v>
      </c>
      <c r="DD220" s="82">
        <f t="shared" si="552"/>
        <v>0</v>
      </c>
      <c r="DE220" s="82">
        <f t="shared" si="553"/>
        <v>0</v>
      </c>
      <c r="DF220" s="82">
        <f t="shared" si="554"/>
        <v>0</v>
      </c>
      <c r="DG220" s="82">
        <f t="shared" si="555"/>
        <v>0</v>
      </c>
      <c r="DH220" s="82">
        <f t="shared" si="556"/>
        <v>0</v>
      </c>
      <c r="DI220" s="82">
        <f t="shared" si="557"/>
        <v>0</v>
      </c>
      <c r="DJ220" s="82">
        <f t="shared" si="558"/>
        <v>0</v>
      </c>
      <c r="DK220" s="82">
        <f t="shared" si="559"/>
        <v>0</v>
      </c>
      <c r="DL220" s="82">
        <f t="shared" si="560"/>
        <v>0</v>
      </c>
      <c r="DM220" s="82">
        <f t="shared" si="561"/>
        <v>0</v>
      </c>
      <c r="DN220" s="82">
        <f t="shared" si="562"/>
        <v>0</v>
      </c>
      <c r="DO220" s="82">
        <f t="shared" si="563"/>
        <v>0</v>
      </c>
      <c r="DP220" s="82">
        <f t="shared" si="564"/>
        <v>0</v>
      </c>
      <c r="DQ220" s="82">
        <f t="shared" si="565"/>
        <v>0</v>
      </c>
      <c r="DR220" s="82">
        <f t="shared" si="566"/>
        <v>0</v>
      </c>
      <c r="DS220" s="82">
        <f t="shared" si="567"/>
        <v>0</v>
      </c>
      <c r="DT220" s="82">
        <f t="shared" si="568"/>
        <v>0</v>
      </c>
      <c r="DU220" s="82">
        <f t="shared" si="569"/>
        <v>0</v>
      </c>
      <c r="DV220" s="82">
        <f t="shared" si="570"/>
        <v>0</v>
      </c>
      <c r="DW220" s="82">
        <f t="shared" si="571"/>
        <v>0</v>
      </c>
      <c r="DX220" s="82">
        <f t="shared" si="572"/>
        <v>0</v>
      </c>
      <c r="DY220" s="82">
        <f t="shared" si="573"/>
        <v>0</v>
      </c>
      <c r="DZ220" s="82">
        <f t="shared" si="574"/>
        <v>0</v>
      </c>
      <c r="EA220" s="82">
        <f t="shared" si="575"/>
        <v>0</v>
      </c>
      <c r="EB220" s="82">
        <f t="shared" si="576"/>
        <v>0</v>
      </c>
      <c r="EC220" s="82">
        <f t="shared" si="577"/>
        <v>0</v>
      </c>
      <c r="ED220" s="82">
        <f t="shared" si="578"/>
        <v>0</v>
      </c>
      <c r="EE220" s="82">
        <f t="shared" si="579"/>
        <v>0</v>
      </c>
      <c r="EF220" s="82">
        <f t="shared" si="580"/>
        <v>0</v>
      </c>
      <c r="EG220" s="82">
        <f t="shared" si="581"/>
        <v>0</v>
      </c>
      <c r="EH220" s="82">
        <f t="shared" si="582"/>
        <v>0</v>
      </c>
      <c r="EI220" s="82">
        <f t="shared" si="583"/>
        <v>0</v>
      </c>
      <c r="EJ220" s="82">
        <f t="shared" si="584"/>
        <v>0</v>
      </c>
      <c r="EK220" s="82">
        <f t="shared" si="585"/>
        <v>0</v>
      </c>
      <c r="EL220" s="82">
        <f t="shared" si="586"/>
        <v>0</v>
      </c>
      <c r="EM220" s="82">
        <f t="shared" si="587"/>
        <v>0</v>
      </c>
      <c r="EN220" s="82">
        <f t="shared" si="588"/>
        <v>0</v>
      </c>
      <c r="EO220" s="82">
        <f t="shared" si="589"/>
        <v>0</v>
      </c>
      <c r="EP220" s="82">
        <f t="shared" si="590"/>
        <v>0</v>
      </c>
      <c r="EQ220" s="82">
        <f t="shared" si="591"/>
        <v>0</v>
      </c>
      <c r="ER220" s="82">
        <f t="shared" si="592"/>
        <v>0</v>
      </c>
      <c r="ES220" s="82">
        <f t="shared" si="593"/>
        <v>0</v>
      </c>
      <c r="ET220" s="82">
        <f t="shared" si="594"/>
        <v>0</v>
      </c>
      <c r="EU220" s="82">
        <f t="shared" si="595"/>
        <v>0</v>
      </c>
      <c r="EV220" s="82">
        <f t="shared" si="596"/>
        <v>0</v>
      </c>
      <c r="EW220" s="82">
        <f t="shared" si="597"/>
        <v>0</v>
      </c>
      <c r="EX220" s="82">
        <f t="shared" si="598"/>
        <v>0</v>
      </c>
      <c r="EY220" s="111">
        <f t="shared" si="599"/>
        <v>0</v>
      </c>
      <c r="EZ220" s="143" t="e">
        <f t="shared" ca="1" si="600"/>
        <v>#N/A</v>
      </c>
      <c r="FA220" s="112" t="e">
        <f t="shared" ca="1" si="601"/>
        <v>#N/A</v>
      </c>
      <c r="FB220" s="113" t="e">
        <f t="shared" ca="1" si="602"/>
        <v>#N/A</v>
      </c>
      <c r="FC220" s="114" t="e">
        <f t="shared" ca="1" si="603"/>
        <v>#N/A</v>
      </c>
      <c r="FD220" s="115">
        <f t="shared" ca="1" si="604"/>
        <v>0</v>
      </c>
      <c r="FE220" s="116" t="e">
        <f t="shared" ca="1" si="605"/>
        <v>#N/A</v>
      </c>
      <c r="FF220" s="117" t="e">
        <f t="shared" ca="1" si="606"/>
        <v>#N/A</v>
      </c>
      <c r="FG220" s="71">
        <f t="shared" si="607"/>
        <v>0</v>
      </c>
      <c r="FH220" s="530" t="e">
        <f t="shared" ca="1" si="608"/>
        <v>#N/A</v>
      </c>
      <c r="FI220" s="72"/>
      <c r="FJ220" s="72"/>
      <c r="FK220" s="72"/>
      <c r="FM220" s="421">
        <f t="shared" si="609"/>
        <v>0</v>
      </c>
      <c r="FN220" s="422" t="e">
        <f t="shared" ca="1" si="610"/>
        <v>#N/A</v>
      </c>
      <c r="FO220" s="423">
        <f t="shared" ca="1" si="626"/>
        <v>0</v>
      </c>
      <c r="FP220" s="423">
        <f t="shared" ca="1" si="626"/>
        <v>0</v>
      </c>
      <c r="FQ220" s="423">
        <f t="shared" ca="1" si="626"/>
        <v>0</v>
      </c>
      <c r="FR220" s="423">
        <f t="shared" ca="1" si="626"/>
        <v>0</v>
      </c>
      <c r="FS220" s="423">
        <f t="shared" ca="1" si="626"/>
        <v>0</v>
      </c>
      <c r="FT220" s="423">
        <f t="shared" ca="1" si="626"/>
        <v>0</v>
      </c>
      <c r="FU220" s="423">
        <f t="shared" ca="1" si="626"/>
        <v>0</v>
      </c>
      <c r="FV220" s="423">
        <f t="shared" ca="1" si="626"/>
        <v>0</v>
      </c>
      <c r="FW220" s="423">
        <f t="shared" ca="1" si="626"/>
        <v>0</v>
      </c>
      <c r="FX220" s="423">
        <f t="shared" ca="1" si="626"/>
        <v>0</v>
      </c>
      <c r="FY220" s="423">
        <f t="shared" ca="1" si="626"/>
        <v>0</v>
      </c>
      <c r="FZ220" s="423">
        <f t="shared" ca="1" si="626"/>
        <v>0</v>
      </c>
      <c r="GA220" s="423">
        <f t="shared" ca="1" si="626"/>
        <v>0</v>
      </c>
      <c r="GB220" s="423">
        <f t="shared" ca="1" si="626"/>
        <v>0</v>
      </c>
      <c r="GC220" s="423">
        <f t="shared" ca="1" si="626"/>
        <v>0</v>
      </c>
      <c r="GD220" s="423">
        <f t="shared" ca="1" si="626"/>
        <v>0</v>
      </c>
      <c r="GE220" s="423">
        <f t="shared" ref="GE220:GR221" ca="1" si="629">IFERROR(ROUNDDOWN(SUMIF($H220:$CC220,GE$11,$CD220:$EX220)/GE$10,0),0)</f>
        <v>0</v>
      </c>
      <c r="GF220" s="423">
        <f t="shared" ca="1" si="629"/>
        <v>0</v>
      </c>
      <c r="GG220" s="423">
        <f t="shared" ca="1" si="629"/>
        <v>0</v>
      </c>
      <c r="GH220" s="423">
        <f t="shared" ca="1" si="629"/>
        <v>0</v>
      </c>
      <c r="GI220" s="423">
        <f t="shared" ca="1" si="629"/>
        <v>0</v>
      </c>
      <c r="GJ220" s="423">
        <f t="shared" ca="1" si="629"/>
        <v>0</v>
      </c>
      <c r="GK220" s="423">
        <f t="shared" ca="1" si="629"/>
        <v>0</v>
      </c>
      <c r="GL220" s="423">
        <f t="shared" ca="1" si="629"/>
        <v>0</v>
      </c>
      <c r="GM220" s="423">
        <f t="shared" ca="1" si="629"/>
        <v>0</v>
      </c>
      <c r="GN220" s="423">
        <f t="shared" ca="1" si="629"/>
        <v>0</v>
      </c>
      <c r="GO220" s="423">
        <f t="shared" ca="1" si="629"/>
        <v>0</v>
      </c>
      <c r="GP220" s="423">
        <f t="shared" ca="1" si="629"/>
        <v>0</v>
      </c>
      <c r="GQ220" s="423">
        <f t="shared" ca="1" si="629"/>
        <v>0</v>
      </c>
      <c r="GR220" s="423">
        <f t="shared" ca="1" si="629"/>
        <v>0</v>
      </c>
      <c r="GS220" s="423">
        <f t="shared" ca="1" si="627"/>
        <v>0</v>
      </c>
      <c r="GT220" s="423">
        <f t="shared" ca="1" si="627"/>
        <v>0</v>
      </c>
      <c r="GU220" s="423">
        <f t="shared" ca="1" si="627"/>
        <v>0</v>
      </c>
      <c r="GV220" s="423">
        <f t="shared" ca="1" si="627"/>
        <v>0</v>
      </c>
      <c r="GW220" s="423">
        <f t="shared" ca="1" si="627"/>
        <v>0</v>
      </c>
      <c r="GX220" s="423">
        <f t="shared" ca="1" si="627"/>
        <v>0</v>
      </c>
      <c r="GY220" s="423">
        <f t="shared" ca="1" si="627"/>
        <v>0</v>
      </c>
      <c r="GZ220" s="423">
        <f t="shared" ca="1" si="627"/>
        <v>0</v>
      </c>
      <c r="HA220" s="423">
        <f t="shared" ca="1" si="627"/>
        <v>0</v>
      </c>
      <c r="HB220" s="423">
        <f t="shared" ca="1" si="627"/>
        <v>0</v>
      </c>
      <c r="HC220" s="423">
        <f t="shared" ca="1" si="627"/>
        <v>0</v>
      </c>
      <c r="HD220" s="423">
        <f t="shared" ca="1" si="627"/>
        <v>0</v>
      </c>
      <c r="HE220" s="423">
        <f t="shared" ca="1" si="627"/>
        <v>0</v>
      </c>
      <c r="HF220" s="423">
        <f t="shared" ca="1" si="627"/>
        <v>0</v>
      </c>
      <c r="HG220" s="423">
        <f t="shared" ca="1" si="627"/>
        <v>0</v>
      </c>
      <c r="HH220" s="423">
        <f t="shared" ca="1" si="627"/>
        <v>0</v>
      </c>
      <c r="HI220" s="423">
        <f t="shared" ref="HI220:HI221" ca="1" si="630">IFERROR(ROUNDDOWN(SUMIF($H220:$CC220,HI$11,$CD220:$EX220)/HI$10,0),0)</f>
        <v>0</v>
      </c>
      <c r="HJ220" s="423">
        <f t="shared" ca="1" si="628"/>
        <v>0</v>
      </c>
      <c r="HK220" s="423">
        <f t="shared" ca="1" si="628"/>
        <v>0</v>
      </c>
      <c r="HL220" s="423">
        <f t="shared" ca="1" si="628"/>
        <v>0</v>
      </c>
      <c r="HM220" s="423">
        <f t="shared" ca="1" si="628"/>
        <v>0</v>
      </c>
      <c r="HN220" s="423">
        <f t="shared" ca="1" si="628"/>
        <v>0</v>
      </c>
      <c r="HO220" s="423">
        <f t="shared" ca="1" si="628"/>
        <v>0</v>
      </c>
      <c r="HP220" s="423">
        <f t="shared" ca="1" si="628"/>
        <v>0</v>
      </c>
      <c r="HQ220" s="423">
        <f t="shared" ca="1" si="628"/>
        <v>0</v>
      </c>
      <c r="HR220" s="423">
        <f t="shared" ca="1" si="628"/>
        <v>0</v>
      </c>
      <c r="HS220" s="423">
        <f t="shared" ca="1" si="628"/>
        <v>0</v>
      </c>
      <c r="HT220" s="423">
        <f t="shared" ca="1" si="628"/>
        <v>0</v>
      </c>
    </row>
    <row r="221" spans="1:228" x14ac:dyDescent="0.2">
      <c r="A221" s="62">
        <f t="shared" si="625"/>
        <v>210</v>
      </c>
      <c r="B221" s="60">
        <f>Spaces_Sum!C266</f>
        <v>0</v>
      </c>
      <c r="C221" s="62" t="str">
        <f>Spaces_Sum!D266</f>
        <v>0</v>
      </c>
      <c r="D221" s="62" t="e">
        <f ca="1">Spaces_Sum!I266</f>
        <v>#N/A</v>
      </c>
      <c r="F221" s="110" t="e">
        <f ca="1">Spaces_Sum!M266</f>
        <v>#N/A</v>
      </c>
      <c r="G221" s="110" t="e">
        <f ca="1">Spaces_Sum!J266</f>
        <v>#N/A</v>
      </c>
      <c r="H221" s="532"/>
      <c r="I221" s="185"/>
      <c r="J221" s="185"/>
      <c r="K221" s="186"/>
      <c r="L221" s="187"/>
      <c r="M221" s="188"/>
      <c r="N221" s="189"/>
      <c r="O221" s="186"/>
      <c r="P221" s="187"/>
      <c r="Q221" s="188"/>
      <c r="R221" s="189"/>
      <c r="S221" s="186"/>
      <c r="T221" s="187"/>
      <c r="U221" s="188"/>
      <c r="V221" s="189"/>
      <c r="W221" s="186"/>
      <c r="X221" s="187"/>
      <c r="Y221" s="188"/>
      <c r="Z221" s="189"/>
      <c r="AA221" s="186"/>
      <c r="AB221" s="187"/>
      <c r="AC221" s="188"/>
      <c r="AD221" s="189"/>
      <c r="AE221" s="186"/>
      <c r="AF221" s="187"/>
      <c r="AG221" s="188"/>
      <c r="AH221" s="189"/>
      <c r="AI221" s="186"/>
      <c r="AJ221" s="187"/>
      <c r="AK221" s="188"/>
      <c r="AL221" s="189"/>
      <c r="AM221" s="186"/>
      <c r="AN221" s="187"/>
      <c r="AO221" s="188"/>
      <c r="AP221" s="189"/>
      <c r="AQ221" s="186"/>
      <c r="AR221" s="187"/>
      <c r="AS221" s="188"/>
      <c r="AT221" s="189"/>
      <c r="AU221" s="186"/>
      <c r="AV221" s="187"/>
      <c r="AW221" s="188"/>
      <c r="AX221" s="189"/>
      <c r="AY221" s="186"/>
      <c r="AZ221" s="187"/>
      <c r="BA221" s="188"/>
      <c r="BB221" s="189"/>
      <c r="BC221" s="186"/>
      <c r="BD221" s="187"/>
      <c r="BE221" s="188"/>
      <c r="BF221" s="189"/>
      <c r="BG221" s="186"/>
      <c r="BH221" s="187"/>
      <c r="BI221" s="188"/>
      <c r="BJ221" s="189"/>
      <c r="BK221" s="186"/>
      <c r="BL221" s="187"/>
      <c r="BM221" s="188"/>
      <c r="BN221" s="189"/>
      <c r="BO221" s="186"/>
      <c r="BP221" s="187"/>
      <c r="BQ221" s="188"/>
      <c r="BR221" s="189"/>
      <c r="BS221" s="186"/>
      <c r="BT221" s="187"/>
      <c r="BU221" s="188"/>
      <c r="BV221" s="189"/>
      <c r="BW221" s="186"/>
      <c r="BX221" s="187"/>
      <c r="BY221" s="188"/>
      <c r="BZ221" s="189"/>
      <c r="CA221" s="186"/>
      <c r="CB221" s="190"/>
      <c r="CC221" s="190"/>
      <c r="CD221" s="82">
        <f t="shared" si="526"/>
        <v>0</v>
      </c>
      <c r="CE221" s="82">
        <f t="shared" si="527"/>
        <v>0</v>
      </c>
      <c r="CF221" s="82">
        <f t="shared" si="528"/>
        <v>0</v>
      </c>
      <c r="CG221" s="82">
        <f t="shared" si="529"/>
        <v>0</v>
      </c>
      <c r="CH221" s="82">
        <f t="shared" si="530"/>
        <v>0</v>
      </c>
      <c r="CI221" s="82">
        <f t="shared" si="531"/>
        <v>0</v>
      </c>
      <c r="CJ221" s="82">
        <f t="shared" si="532"/>
        <v>0</v>
      </c>
      <c r="CK221" s="82">
        <f t="shared" si="533"/>
        <v>0</v>
      </c>
      <c r="CL221" s="82">
        <f t="shared" si="534"/>
        <v>0</v>
      </c>
      <c r="CM221" s="82">
        <f t="shared" si="535"/>
        <v>0</v>
      </c>
      <c r="CN221" s="82">
        <f t="shared" si="536"/>
        <v>0</v>
      </c>
      <c r="CO221" s="82">
        <f t="shared" si="537"/>
        <v>0</v>
      </c>
      <c r="CP221" s="82">
        <f t="shared" si="538"/>
        <v>0</v>
      </c>
      <c r="CQ221" s="82">
        <f t="shared" si="539"/>
        <v>0</v>
      </c>
      <c r="CR221" s="82">
        <f t="shared" si="540"/>
        <v>0</v>
      </c>
      <c r="CS221" s="82">
        <f t="shared" si="541"/>
        <v>0</v>
      </c>
      <c r="CT221" s="82">
        <f t="shared" si="542"/>
        <v>0</v>
      </c>
      <c r="CU221" s="82">
        <f t="shared" si="543"/>
        <v>0</v>
      </c>
      <c r="CV221" s="82">
        <f t="shared" si="544"/>
        <v>0</v>
      </c>
      <c r="CW221" s="82">
        <f t="shared" si="545"/>
        <v>0</v>
      </c>
      <c r="CX221" s="82">
        <f t="shared" si="546"/>
        <v>0</v>
      </c>
      <c r="CY221" s="82">
        <f t="shared" si="547"/>
        <v>0</v>
      </c>
      <c r="CZ221" s="82">
        <f t="shared" si="548"/>
        <v>0</v>
      </c>
      <c r="DA221" s="82">
        <f t="shared" si="549"/>
        <v>0</v>
      </c>
      <c r="DB221" s="82">
        <f t="shared" si="550"/>
        <v>0</v>
      </c>
      <c r="DC221" s="82">
        <f t="shared" si="551"/>
        <v>0</v>
      </c>
      <c r="DD221" s="82">
        <f t="shared" si="552"/>
        <v>0</v>
      </c>
      <c r="DE221" s="82">
        <f t="shared" si="553"/>
        <v>0</v>
      </c>
      <c r="DF221" s="82">
        <f t="shared" si="554"/>
        <v>0</v>
      </c>
      <c r="DG221" s="82">
        <f t="shared" si="555"/>
        <v>0</v>
      </c>
      <c r="DH221" s="82">
        <f t="shared" si="556"/>
        <v>0</v>
      </c>
      <c r="DI221" s="82">
        <f t="shared" si="557"/>
        <v>0</v>
      </c>
      <c r="DJ221" s="82">
        <f t="shared" si="558"/>
        <v>0</v>
      </c>
      <c r="DK221" s="82">
        <f t="shared" si="559"/>
        <v>0</v>
      </c>
      <c r="DL221" s="82">
        <f t="shared" si="560"/>
        <v>0</v>
      </c>
      <c r="DM221" s="82">
        <f t="shared" si="561"/>
        <v>0</v>
      </c>
      <c r="DN221" s="82">
        <f t="shared" si="562"/>
        <v>0</v>
      </c>
      <c r="DO221" s="82">
        <f t="shared" si="563"/>
        <v>0</v>
      </c>
      <c r="DP221" s="82">
        <f t="shared" si="564"/>
        <v>0</v>
      </c>
      <c r="DQ221" s="82">
        <f t="shared" si="565"/>
        <v>0</v>
      </c>
      <c r="DR221" s="82">
        <f t="shared" si="566"/>
        <v>0</v>
      </c>
      <c r="DS221" s="82">
        <f t="shared" si="567"/>
        <v>0</v>
      </c>
      <c r="DT221" s="82">
        <f t="shared" si="568"/>
        <v>0</v>
      </c>
      <c r="DU221" s="82">
        <f t="shared" si="569"/>
        <v>0</v>
      </c>
      <c r="DV221" s="82">
        <f t="shared" si="570"/>
        <v>0</v>
      </c>
      <c r="DW221" s="82">
        <f t="shared" si="571"/>
        <v>0</v>
      </c>
      <c r="DX221" s="82">
        <f t="shared" si="572"/>
        <v>0</v>
      </c>
      <c r="DY221" s="82">
        <f t="shared" si="573"/>
        <v>0</v>
      </c>
      <c r="DZ221" s="82">
        <f t="shared" si="574"/>
        <v>0</v>
      </c>
      <c r="EA221" s="82">
        <f t="shared" si="575"/>
        <v>0</v>
      </c>
      <c r="EB221" s="82">
        <f t="shared" si="576"/>
        <v>0</v>
      </c>
      <c r="EC221" s="82">
        <f t="shared" si="577"/>
        <v>0</v>
      </c>
      <c r="ED221" s="82">
        <f t="shared" si="578"/>
        <v>0</v>
      </c>
      <c r="EE221" s="82">
        <f t="shared" si="579"/>
        <v>0</v>
      </c>
      <c r="EF221" s="82">
        <f t="shared" si="580"/>
        <v>0</v>
      </c>
      <c r="EG221" s="82">
        <f t="shared" si="581"/>
        <v>0</v>
      </c>
      <c r="EH221" s="82">
        <f t="shared" si="582"/>
        <v>0</v>
      </c>
      <c r="EI221" s="82">
        <f t="shared" si="583"/>
        <v>0</v>
      </c>
      <c r="EJ221" s="82">
        <f t="shared" si="584"/>
        <v>0</v>
      </c>
      <c r="EK221" s="82">
        <f t="shared" si="585"/>
        <v>0</v>
      </c>
      <c r="EL221" s="82">
        <f t="shared" si="586"/>
        <v>0</v>
      </c>
      <c r="EM221" s="82">
        <f t="shared" si="587"/>
        <v>0</v>
      </c>
      <c r="EN221" s="82">
        <f t="shared" si="588"/>
        <v>0</v>
      </c>
      <c r="EO221" s="82">
        <f t="shared" si="589"/>
        <v>0</v>
      </c>
      <c r="EP221" s="82">
        <f t="shared" si="590"/>
        <v>0</v>
      </c>
      <c r="EQ221" s="82">
        <f t="shared" si="591"/>
        <v>0</v>
      </c>
      <c r="ER221" s="82">
        <f t="shared" si="592"/>
        <v>0</v>
      </c>
      <c r="ES221" s="82">
        <f t="shared" si="593"/>
        <v>0</v>
      </c>
      <c r="ET221" s="82">
        <f t="shared" si="594"/>
        <v>0</v>
      </c>
      <c r="EU221" s="82">
        <f t="shared" si="595"/>
        <v>0</v>
      </c>
      <c r="EV221" s="82">
        <f t="shared" si="596"/>
        <v>0</v>
      </c>
      <c r="EW221" s="82">
        <f t="shared" si="597"/>
        <v>0</v>
      </c>
      <c r="EX221" s="82">
        <f t="shared" si="598"/>
        <v>0</v>
      </c>
      <c r="EY221" s="111">
        <f t="shared" si="599"/>
        <v>0</v>
      </c>
      <c r="EZ221" s="143" t="e">
        <f t="shared" ca="1" si="600"/>
        <v>#N/A</v>
      </c>
      <c r="FA221" s="112" t="e">
        <f t="shared" ca="1" si="601"/>
        <v>#N/A</v>
      </c>
      <c r="FB221" s="113" t="e">
        <f t="shared" ca="1" si="602"/>
        <v>#N/A</v>
      </c>
      <c r="FC221" s="114" t="e">
        <f t="shared" ca="1" si="603"/>
        <v>#N/A</v>
      </c>
      <c r="FD221" s="115">
        <f t="shared" ca="1" si="604"/>
        <v>0</v>
      </c>
      <c r="FE221" s="116" t="e">
        <f t="shared" ca="1" si="605"/>
        <v>#N/A</v>
      </c>
      <c r="FF221" s="117" t="e">
        <f t="shared" ca="1" si="606"/>
        <v>#N/A</v>
      </c>
      <c r="FG221" s="71">
        <f t="shared" si="607"/>
        <v>0</v>
      </c>
      <c r="FH221" s="530" t="e">
        <f t="shared" ca="1" si="608"/>
        <v>#N/A</v>
      </c>
      <c r="FI221" s="72"/>
      <c r="FJ221" s="72"/>
      <c r="FK221" s="72"/>
      <c r="FM221" s="421">
        <f t="shared" si="609"/>
        <v>0</v>
      </c>
      <c r="FN221" s="422" t="e">
        <f t="shared" ca="1" si="610"/>
        <v>#N/A</v>
      </c>
      <c r="FO221" s="423">
        <f t="shared" ref="FO221:GD221" ca="1" si="631">IFERROR(ROUNDDOWN(SUMIF($H221:$CC221,FO$11,$CD221:$EX221)/FO$10,0),0)</f>
        <v>0</v>
      </c>
      <c r="FP221" s="423">
        <f t="shared" ca="1" si="631"/>
        <v>0</v>
      </c>
      <c r="FQ221" s="423">
        <f t="shared" ca="1" si="631"/>
        <v>0</v>
      </c>
      <c r="FR221" s="423">
        <f t="shared" ca="1" si="631"/>
        <v>0</v>
      </c>
      <c r="FS221" s="423">
        <f t="shared" ca="1" si="631"/>
        <v>0</v>
      </c>
      <c r="FT221" s="423">
        <f t="shared" ca="1" si="631"/>
        <v>0</v>
      </c>
      <c r="FU221" s="423">
        <f t="shared" ca="1" si="631"/>
        <v>0</v>
      </c>
      <c r="FV221" s="423">
        <f t="shared" ca="1" si="631"/>
        <v>0</v>
      </c>
      <c r="FW221" s="423">
        <f t="shared" ca="1" si="631"/>
        <v>0</v>
      </c>
      <c r="FX221" s="423">
        <f t="shared" ca="1" si="631"/>
        <v>0</v>
      </c>
      <c r="FY221" s="423">
        <f t="shared" ca="1" si="631"/>
        <v>0</v>
      </c>
      <c r="FZ221" s="423">
        <f t="shared" ca="1" si="631"/>
        <v>0</v>
      </c>
      <c r="GA221" s="423">
        <f t="shared" ca="1" si="631"/>
        <v>0</v>
      </c>
      <c r="GB221" s="423">
        <f t="shared" ca="1" si="631"/>
        <v>0</v>
      </c>
      <c r="GC221" s="423">
        <f t="shared" ca="1" si="631"/>
        <v>0</v>
      </c>
      <c r="GD221" s="423">
        <f t="shared" ca="1" si="631"/>
        <v>0</v>
      </c>
      <c r="GE221" s="423">
        <f t="shared" ca="1" si="629"/>
        <v>0</v>
      </c>
      <c r="GF221" s="423">
        <f t="shared" ca="1" si="629"/>
        <v>0</v>
      </c>
      <c r="GG221" s="423">
        <f t="shared" ca="1" si="629"/>
        <v>0</v>
      </c>
      <c r="GH221" s="423">
        <f t="shared" ca="1" si="629"/>
        <v>0</v>
      </c>
      <c r="GI221" s="423">
        <f t="shared" ca="1" si="629"/>
        <v>0</v>
      </c>
      <c r="GJ221" s="423">
        <f t="shared" ca="1" si="629"/>
        <v>0</v>
      </c>
      <c r="GK221" s="423">
        <f t="shared" ca="1" si="629"/>
        <v>0</v>
      </c>
      <c r="GL221" s="423">
        <f t="shared" ca="1" si="629"/>
        <v>0</v>
      </c>
      <c r="GM221" s="423">
        <f t="shared" ca="1" si="629"/>
        <v>0</v>
      </c>
      <c r="GN221" s="423">
        <f t="shared" ca="1" si="629"/>
        <v>0</v>
      </c>
      <c r="GO221" s="423">
        <f t="shared" ca="1" si="629"/>
        <v>0</v>
      </c>
      <c r="GP221" s="423">
        <f t="shared" ca="1" si="629"/>
        <v>0</v>
      </c>
      <c r="GQ221" s="423">
        <f t="shared" ca="1" si="629"/>
        <v>0</v>
      </c>
      <c r="GR221" s="423">
        <f t="shared" ca="1" si="629"/>
        <v>0</v>
      </c>
      <c r="GS221" s="423">
        <f t="shared" ca="1" si="627"/>
        <v>0</v>
      </c>
      <c r="GT221" s="423">
        <f t="shared" ca="1" si="627"/>
        <v>0</v>
      </c>
      <c r="GU221" s="423">
        <f t="shared" ca="1" si="627"/>
        <v>0</v>
      </c>
      <c r="GV221" s="423">
        <f t="shared" ca="1" si="627"/>
        <v>0</v>
      </c>
      <c r="GW221" s="423">
        <f t="shared" ca="1" si="627"/>
        <v>0</v>
      </c>
      <c r="GX221" s="423">
        <f t="shared" ca="1" si="627"/>
        <v>0</v>
      </c>
      <c r="GY221" s="423">
        <f t="shared" ca="1" si="627"/>
        <v>0</v>
      </c>
      <c r="GZ221" s="423">
        <f t="shared" ca="1" si="627"/>
        <v>0</v>
      </c>
      <c r="HA221" s="423">
        <f t="shared" ca="1" si="627"/>
        <v>0</v>
      </c>
      <c r="HB221" s="423">
        <f t="shared" ca="1" si="627"/>
        <v>0</v>
      </c>
      <c r="HC221" s="423">
        <f t="shared" ca="1" si="627"/>
        <v>0</v>
      </c>
      <c r="HD221" s="423">
        <f t="shared" ca="1" si="627"/>
        <v>0</v>
      </c>
      <c r="HE221" s="423">
        <f t="shared" ca="1" si="627"/>
        <v>0</v>
      </c>
      <c r="HF221" s="423">
        <f t="shared" ca="1" si="627"/>
        <v>0</v>
      </c>
      <c r="HG221" s="423">
        <f t="shared" ca="1" si="627"/>
        <v>0</v>
      </c>
      <c r="HH221" s="423">
        <f t="shared" ca="1" si="627"/>
        <v>0</v>
      </c>
      <c r="HI221" s="423">
        <f t="shared" ca="1" si="630"/>
        <v>0</v>
      </c>
      <c r="HJ221" s="423">
        <f t="shared" ca="1" si="628"/>
        <v>0</v>
      </c>
      <c r="HK221" s="423">
        <f t="shared" ca="1" si="628"/>
        <v>0</v>
      </c>
      <c r="HL221" s="423">
        <f t="shared" ca="1" si="628"/>
        <v>0</v>
      </c>
      <c r="HM221" s="423">
        <f t="shared" ca="1" si="628"/>
        <v>0</v>
      </c>
      <c r="HN221" s="423">
        <f t="shared" ca="1" si="628"/>
        <v>0</v>
      </c>
      <c r="HO221" s="423">
        <f t="shared" ca="1" si="628"/>
        <v>0</v>
      </c>
      <c r="HP221" s="423">
        <f t="shared" ca="1" si="628"/>
        <v>0</v>
      </c>
      <c r="HQ221" s="423">
        <f t="shared" ca="1" si="628"/>
        <v>0</v>
      </c>
      <c r="HR221" s="423">
        <f t="shared" ca="1" si="628"/>
        <v>0</v>
      </c>
      <c r="HS221" s="423">
        <f t="shared" ca="1" si="628"/>
        <v>0</v>
      </c>
      <c r="HT221" s="423">
        <f t="shared" ca="1" si="628"/>
        <v>0</v>
      </c>
    </row>
    <row r="222" spans="1:228" x14ac:dyDescent="0.2">
      <c r="FI222" s="923"/>
      <c r="FJ222" s="923"/>
      <c r="FK222" s="923"/>
    </row>
    <row r="223" spans="1:228" x14ac:dyDescent="0.2">
      <c r="FI223" s="923"/>
      <c r="FJ223" s="923"/>
      <c r="FK223" s="923"/>
    </row>
  </sheetData>
  <autoFilter ref="A11:HP221" xr:uid="{00000000-0009-0000-0000-00000A000000}"/>
  <conditionalFormatting sqref="B12:B221">
    <cfRule type="expression" dxfId="17" priority="11">
      <formula>"if(ff8=1,TRUE,FALSE)"</formula>
    </cfRule>
  </conditionalFormatting>
  <conditionalFormatting sqref="CD12:EX221">
    <cfRule type="cellIs" dxfId="16" priority="4" operator="equal">
      <formula>0.000001</formula>
    </cfRule>
  </conditionalFormatting>
  <conditionalFormatting sqref="EY12">
    <cfRule type="colorScale" priority="97">
      <colorScale>
        <cfvo type="min"/>
        <cfvo type="percentile" val="50"/>
        <cfvo type="max"/>
        <color rgb="FF5A8AC6"/>
        <color rgb="FFFFEB84"/>
        <color rgb="FFF8696B"/>
      </colorScale>
    </cfRule>
  </conditionalFormatting>
  <conditionalFormatting sqref="EY13:EY62">
    <cfRule type="colorScale" priority="103">
      <colorScale>
        <cfvo type="min"/>
        <cfvo type="percentile" val="50"/>
        <cfvo type="max"/>
        <color rgb="FF5A8AC6"/>
        <color rgb="FFFFEB84"/>
        <color rgb="FFF8696B"/>
      </colorScale>
    </cfRule>
  </conditionalFormatting>
  <conditionalFormatting sqref="EY63:EY221">
    <cfRule type="colorScale" priority="194">
      <colorScale>
        <cfvo type="min"/>
        <cfvo type="percentile" val="50"/>
        <cfvo type="max"/>
        <color rgb="FF5A8AC6"/>
        <color rgb="FFFFEB84"/>
        <color rgb="FFF8696B"/>
      </colorScale>
    </cfRule>
  </conditionalFormatting>
  <pageMargins left="0.5" right="0.5" top="1" bottom="1" header="0.5" footer="0.5"/>
  <pageSetup scale="90" orientation="portrait" r:id="rId1"/>
  <headerFooter alignWithMargins="0"/>
  <colBreaks count="1" manualBreakCount="1">
    <brk id="19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MatchAndCopyData">
                <anchor moveWithCells="1" sizeWithCells="1">
                  <from>
                    <xdr:col>6</xdr:col>
                    <xdr:colOff>373380</xdr:colOff>
                    <xdr:row>1</xdr:row>
                    <xdr:rowOff>76200</xdr:rowOff>
                  </from>
                  <to>
                    <xdr:col>6</xdr:col>
                    <xdr:colOff>1744980</xdr:colOff>
                    <xdr:row>3</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FF00"/>
  </sheetPr>
  <dimension ref="A1:BQ356"/>
  <sheetViews>
    <sheetView zoomScale="85" zoomScaleNormal="85" workbookViewId="0">
      <selection activeCell="E19" sqref="E19"/>
    </sheetView>
  </sheetViews>
  <sheetFormatPr defaultColWidth="9.109375" defaultRowHeight="13.2" outlineLevelCol="1" x14ac:dyDescent="0.35"/>
  <cols>
    <col min="1" max="1" width="26.109375" style="1933" customWidth="1"/>
    <col min="2" max="2" width="26.5546875" style="1933" customWidth="1"/>
    <col min="3" max="11" width="15.33203125" style="1933" customWidth="1"/>
    <col min="12" max="12" width="9.44140625" style="1933" customWidth="1"/>
    <col min="13" max="16" width="9.109375" style="1933" customWidth="1"/>
    <col min="17" max="17" width="22.33203125" style="1933" bestFit="1" customWidth="1"/>
    <col min="18" max="27" width="9.109375" style="1933" customWidth="1"/>
    <col min="28" max="48" width="9.109375" style="1933" customWidth="1" outlineLevel="1"/>
    <col min="49" max="49" width="9.109375" style="1933" customWidth="1"/>
    <col min="50" max="50" width="9.33203125" style="1933" bestFit="1" customWidth="1"/>
    <col min="51" max="51" width="9.5546875" style="1934" customWidth="1"/>
    <col min="52" max="52" width="9.33203125" style="1933" bestFit="1" customWidth="1"/>
    <col min="53" max="53" width="9.109375" style="1933"/>
    <col min="54" max="62" width="5" style="1933" customWidth="1"/>
    <col min="63" max="63" width="12.88671875" style="1933" bestFit="1" customWidth="1"/>
    <col min="64" max="64" width="14.5546875" style="1933" bestFit="1" customWidth="1"/>
    <col min="65" max="71" width="5" style="1933" customWidth="1"/>
    <col min="72" max="16384" width="9.109375" style="1933"/>
  </cols>
  <sheetData>
    <row r="1" spans="1:64" s="1931" customFormat="1" ht="22.2" x14ac:dyDescent="0.55000000000000004">
      <c r="A1" s="1932" t="s">
        <v>2274</v>
      </c>
    </row>
    <row r="2" spans="1:64" s="1931" customFormat="1" ht="18" x14ac:dyDescent="0.45">
      <c r="A2" s="2044" t="s">
        <v>752</v>
      </c>
      <c r="B2" s="655" t="s">
        <v>1977</v>
      </c>
    </row>
    <row r="3" spans="1:64" s="1931" customFormat="1" ht="18" x14ac:dyDescent="0.45">
      <c r="A3" s="2044" t="s">
        <v>753</v>
      </c>
      <c r="B3" s="654" t="s">
        <v>1978</v>
      </c>
    </row>
    <row r="4" spans="1:64" ht="15" x14ac:dyDescent="0.35">
      <c r="A4" s="2044" t="s">
        <v>1979</v>
      </c>
      <c r="B4" s="654" t="s">
        <v>1980</v>
      </c>
    </row>
    <row r="5" spans="1:64" ht="18" x14ac:dyDescent="0.45">
      <c r="A5" s="1935"/>
      <c r="B5" s="1936"/>
      <c r="C5" s="1937"/>
      <c r="AY5" s="1933"/>
    </row>
    <row r="6" spans="1:64" x14ac:dyDescent="0.35">
      <c r="AY6" s="1933"/>
    </row>
    <row r="7" spans="1:64" x14ac:dyDescent="0.35">
      <c r="A7" s="1933" t="s">
        <v>18</v>
      </c>
      <c r="B7" s="1938"/>
      <c r="AW7" s="1933" t="s">
        <v>7</v>
      </c>
      <c r="AX7" s="1939">
        <f>SUM(AX14:AX72)</f>
        <v>0</v>
      </c>
      <c r="AY7" s="1933"/>
      <c r="BA7" s="1940" t="s">
        <v>721</v>
      </c>
      <c r="BB7" s="1941">
        <f ca="1">SUM(BB13:BB72)</f>
        <v>0</v>
      </c>
      <c r="BC7" s="1941">
        <f t="shared" ref="BC7:BK7" ca="1" si="0">SUM(BC13:BC72)</f>
        <v>0</v>
      </c>
      <c r="BD7" s="1941">
        <f t="shared" ca="1" si="0"/>
        <v>0</v>
      </c>
      <c r="BE7" s="1941">
        <f t="shared" ca="1" si="0"/>
        <v>0</v>
      </c>
      <c r="BF7" s="1941">
        <f t="shared" ca="1" si="0"/>
        <v>0</v>
      </c>
      <c r="BG7" s="1941">
        <f t="shared" ca="1" si="0"/>
        <v>0</v>
      </c>
      <c r="BH7" s="1941">
        <f t="shared" ca="1" si="0"/>
        <v>0</v>
      </c>
      <c r="BI7" s="1941">
        <f t="shared" ca="1" si="0"/>
        <v>0</v>
      </c>
      <c r="BJ7" s="1941">
        <f t="shared" ca="1" si="0"/>
        <v>0</v>
      </c>
      <c r="BK7" s="1941">
        <f t="shared" ca="1" si="0"/>
        <v>0</v>
      </c>
      <c r="BL7" s="1941"/>
    </row>
    <row r="8" spans="1:64" x14ac:dyDescent="0.35">
      <c r="A8" s="1933" t="s">
        <v>17</v>
      </c>
      <c r="B8" s="1942">
        <v>0</v>
      </c>
      <c r="AY8" s="1933"/>
    </row>
    <row r="9" spans="1:64" x14ac:dyDescent="0.35">
      <c r="A9" s="1933" t="s">
        <v>16</v>
      </c>
      <c r="B9" s="1933" t="e">
        <v>#VALUE!</v>
      </c>
      <c r="AY9" s="1933"/>
    </row>
    <row r="10" spans="1:64" x14ac:dyDescent="0.35">
      <c r="AY10" s="1933"/>
      <c r="BB10" s="1933">
        <v>1</v>
      </c>
      <c r="BC10" s="1933">
        <v>2</v>
      </c>
      <c r="BD10" s="1933">
        <v>3</v>
      </c>
      <c r="BE10" s="1933">
        <v>4</v>
      </c>
      <c r="BF10" s="1933">
        <v>5</v>
      </c>
      <c r="BG10" s="1933">
        <v>6</v>
      </c>
      <c r="BH10" s="1933">
        <v>7</v>
      </c>
      <c r="BI10" s="1933">
        <v>8</v>
      </c>
      <c r="BJ10" s="1933">
        <v>9</v>
      </c>
      <c r="BK10" s="1933">
        <v>10</v>
      </c>
    </row>
    <row r="11" spans="1:64" x14ac:dyDescent="0.35">
      <c r="E11" s="1943">
        <v>1</v>
      </c>
      <c r="F11" s="1943">
        <f>E11</f>
        <v>1</v>
      </c>
      <c r="G11" s="1943">
        <f>F11</f>
        <v>1</v>
      </c>
      <c r="H11" s="1943">
        <v>2</v>
      </c>
      <c r="I11" s="1943">
        <f>H11</f>
        <v>2</v>
      </c>
      <c r="J11" s="1943">
        <f>I11</f>
        <v>2</v>
      </c>
      <c r="K11" s="1943">
        <v>3</v>
      </c>
      <c r="L11" s="1943">
        <f>K11</f>
        <v>3</v>
      </c>
      <c r="M11" s="1943">
        <f>L11</f>
        <v>3</v>
      </c>
      <c r="N11" s="1943">
        <v>4</v>
      </c>
      <c r="O11" s="1943">
        <f>N11</f>
        <v>4</v>
      </c>
      <c r="P11" s="1943">
        <f>O11</f>
        <v>4</v>
      </c>
      <c r="Q11" s="1943">
        <v>5</v>
      </c>
      <c r="R11" s="1943">
        <f>Q11</f>
        <v>5</v>
      </c>
      <c r="S11" s="1943">
        <f>R11</f>
        <v>5</v>
      </c>
      <c r="T11" s="1943">
        <v>6</v>
      </c>
      <c r="U11" s="1943">
        <f>T11</f>
        <v>6</v>
      </c>
      <c r="V11" s="1943">
        <f>U11</f>
        <v>6</v>
      </c>
      <c r="W11" s="1943">
        <v>7</v>
      </c>
      <c r="X11" s="1943">
        <f>W11</f>
        <v>7</v>
      </c>
      <c r="Y11" s="1943">
        <f>X11</f>
        <v>7</v>
      </c>
      <c r="Z11" s="1943"/>
      <c r="AA11" s="1943"/>
      <c r="AB11" s="1943">
        <v>1</v>
      </c>
      <c r="AC11" s="1943">
        <v>1</v>
      </c>
      <c r="AD11" s="1943">
        <v>1</v>
      </c>
      <c r="AE11" s="1943">
        <f>AB11+1</f>
        <v>2</v>
      </c>
      <c r="AF11" s="1943">
        <f t="shared" ref="AF11:AV11" si="1">AC11+1</f>
        <v>2</v>
      </c>
      <c r="AG11" s="1943">
        <f t="shared" si="1"/>
        <v>2</v>
      </c>
      <c r="AH11" s="1943">
        <f t="shared" si="1"/>
        <v>3</v>
      </c>
      <c r="AI11" s="1943">
        <f t="shared" si="1"/>
        <v>3</v>
      </c>
      <c r="AJ11" s="1943">
        <f t="shared" si="1"/>
        <v>3</v>
      </c>
      <c r="AK11" s="1943">
        <f t="shared" si="1"/>
        <v>4</v>
      </c>
      <c r="AL11" s="1943">
        <f t="shared" si="1"/>
        <v>4</v>
      </c>
      <c r="AM11" s="1943">
        <f t="shared" si="1"/>
        <v>4</v>
      </c>
      <c r="AN11" s="1943">
        <f t="shared" si="1"/>
        <v>5</v>
      </c>
      <c r="AO11" s="1943">
        <f t="shared" si="1"/>
        <v>5</v>
      </c>
      <c r="AP11" s="1943">
        <f t="shared" si="1"/>
        <v>5</v>
      </c>
      <c r="AQ11" s="1943">
        <f t="shared" si="1"/>
        <v>6</v>
      </c>
      <c r="AR11" s="1943">
        <f t="shared" si="1"/>
        <v>6</v>
      </c>
      <c r="AS11" s="1943">
        <f t="shared" si="1"/>
        <v>6</v>
      </c>
      <c r="AT11" s="1943">
        <f t="shared" si="1"/>
        <v>7</v>
      </c>
      <c r="AU11" s="1943">
        <f t="shared" si="1"/>
        <v>7</v>
      </c>
      <c r="AV11" s="1943">
        <f t="shared" si="1"/>
        <v>7</v>
      </c>
      <c r="AW11" s="1943"/>
      <c r="AY11" s="1943"/>
      <c r="AZ11" s="1943"/>
      <c r="BB11" s="1933" t="str">
        <f ca="1">OFFSET('Ltg Schedule'!$C$71,'Ltg ExtTakeoffs'!BB$10,1)</f>
        <v/>
      </c>
      <c r="BC11" s="1933" t="str">
        <f ca="1">OFFSET('Ltg Schedule'!$C$71,'Ltg ExtTakeoffs'!BC$10,1)</f>
        <v/>
      </c>
      <c r="BD11" s="1933" t="str">
        <f ca="1">OFFSET('Ltg Schedule'!$C$71,'Ltg ExtTakeoffs'!BD$10,1)</f>
        <v/>
      </c>
      <c r="BE11" s="1933" t="str">
        <f ca="1">OFFSET('Ltg Schedule'!$C$71,'Ltg ExtTakeoffs'!BE$10,1)</f>
        <v/>
      </c>
      <c r="BF11" s="1933" t="str">
        <f ca="1">OFFSET('Ltg Schedule'!$C$71,'Ltg ExtTakeoffs'!BF$10,1)</f>
        <v/>
      </c>
      <c r="BG11" s="1933" t="str">
        <f ca="1">OFFSET('Ltg Schedule'!$C$71,'Ltg ExtTakeoffs'!BG$10,1)</f>
        <v/>
      </c>
      <c r="BH11" s="1933" t="str">
        <f ca="1">OFFSET('Ltg Schedule'!$C$71,'Ltg ExtTakeoffs'!BH$10,1)</f>
        <v/>
      </c>
      <c r="BI11" s="1933" t="str">
        <f ca="1">OFFSET('Ltg Schedule'!$C$71,'Ltg ExtTakeoffs'!BI$10,1)</f>
        <v/>
      </c>
      <c r="BJ11" s="1933" t="str">
        <f ca="1">OFFSET('Ltg Schedule'!$C$71,'Ltg ExtTakeoffs'!BJ$10,1)</f>
        <v/>
      </c>
      <c r="BK11" s="1933" t="str">
        <f ca="1">OFFSET('Ltg Schedule'!$C$71,'Ltg ExtTakeoffs'!BK$10,1)</f>
        <v/>
      </c>
    </row>
    <row r="12" spans="1:64" ht="39.6" x14ac:dyDescent="0.35">
      <c r="A12" s="1944" t="s">
        <v>15</v>
      </c>
      <c r="B12" s="1945" t="s">
        <v>71</v>
      </c>
      <c r="C12" s="1946" t="s">
        <v>32</v>
      </c>
      <c r="D12" s="1946" t="s">
        <v>34</v>
      </c>
      <c r="E12" s="1947" t="str">
        <f>CONCATENATE("Fixture ID ",E11)</f>
        <v>Fixture ID 1</v>
      </c>
      <c r="F12" s="1948" t="str">
        <f>CONCATENATE("Fixture ",F11," Night Only")</f>
        <v>Fixture 1 Night Only</v>
      </c>
      <c r="G12" s="1949" t="str">
        <f>CONCATENATE("Fixture ",G11," 24hr")</f>
        <v>Fixture 1 24hr</v>
      </c>
      <c r="H12" s="1947" t="str">
        <f>CONCATENATE("Fixture ID ",H11)</f>
        <v>Fixture ID 2</v>
      </c>
      <c r="I12" s="1948" t="str">
        <f>CONCATENATE("Fixture ",I11," Night Only")</f>
        <v>Fixture 2 Night Only</v>
      </c>
      <c r="J12" s="1949" t="str">
        <f>CONCATENATE("Fixture ",J11," 24hr")</f>
        <v>Fixture 2 24hr</v>
      </c>
      <c r="K12" s="1947" t="str">
        <f>CONCATENATE("Fixture ID ",K11)</f>
        <v>Fixture ID 3</v>
      </c>
      <c r="L12" s="1948" t="str">
        <f>CONCATENATE("Fixture ",L11," Night Only")</f>
        <v>Fixture 3 Night Only</v>
      </c>
      <c r="M12" s="1949" t="str">
        <f>CONCATENATE("Fixture ",M11," 24hr")</f>
        <v>Fixture 3 24hr</v>
      </c>
      <c r="N12" s="1947" t="str">
        <f>CONCATENATE("Fixture ID ",N11)</f>
        <v>Fixture ID 4</v>
      </c>
      <c r="O12" s="1948" t="str">
        <f>CONCATENATE("Fixture ",O11," Night Only")</f>
        <v>Fixture 4 Night Only</v>
      </c>
      <c r="P12" s="1949" t="str">
        <f>CONCATENATE("Fixture ",P11," 24hr")</f>
        <v>Fixture 4 24hr</v>
      </c>
      <c r="Q12" s="1947" t="str">
        <f>CONCATENATE("Fixture ID ",Q11)</f>
        <v>Fixture ID 5</v>
      </c>
      <c r="R12" s="1948" t="str">
        <f>CONCATENATE("Fixture ",R11," Night Only")</f>
        <v>Fixture 5 Night Only</v>
      </c>
      <c r="S12" s="1949" t="str">
        <f>CONCATENATE("Fixture ",S11," 24hr")</f>
        <v>Fixture 5 24hr</v>
      </c>
      <c r="T12" s="1947" t="str">
        <f>CONCATENATE("Fixture ID ",T11)</f>
        <v>Fixture ID 6</v>
      </c>
      <c r="U12" s="1948" t="str">
        <f>CONCATENATE("Fixture ",U11," Night Only")</f>
        <v>Fixture 6 Night Only</v>
      </c>
      <c r="V12" s="1949" t="str">
        <f>CONCATENATE("Fixture ",V11," 24hr")</f>
        <v>Fixture 6 24hr</v>
      </c>
      <c r="W12" s="1947" t="str">
        <f>CONCATENATE("Fixture ID ",W11)</f>
        <v>Fixture ID 7</v>
      </c>
      <c r="X12" s="1948" t="str">
        <f>CONCATENATE("Fixture ",X11," Night Only")</f>
        <v>Fixture 7 Night Only</v>
      </c>
      <c r="Y12" s="1949" t="str">
        <f>CONCATENATE("Fixture ",Y11," 24hr")</f>
        <v>Fixture 7 24hr</v>
      </c>
      <c r="Z12" s="1950" t="s">
        <v>9</v>
      </c>
      <c r="AA12" s="1950" t="s">
        <v>8</v>
      </c>
      <c r="AB12" s="1951" t="str">
        <f>CONCATENATE("Fixture ",AB11," Total Watts")</f>
        <v>Fixture 1 Total Watts</v>
      </c>
      <c r="AC12" s="1951" t="str">
        <f>CONCATENATE("Fixture ",AC11," Night Only Watts")</f>
        <v>Fixture 1 Night Only Watts</v>
      </c>
      <c r="AD12" s="1952" t="str">
        <f>CONCATENATE("Fixture ",AD11," 24hr Watts")</f>
        <v>Fixture 1 24hr Watts</v>
      </c>
      <c r="AE12" s="1951" t="str">
        <f>CONCATENATE("Fixture ",AE11," Total Watts")</f>
        <v>Fixture 2 Total Watts</v>
      </c>
      <c r="AF12" s="1951" t="str">
        <f>CONCATENATE("Fixture ",AF11," Night Only Watts")</f>
        <v>Fixture 2 Night Only Watts</v>
      </c>
      <c r="AG12" s="1952" t="str">
        <f>CONCATENATE("Fixture ",AG11," 24hr Watts")</f>
        <v>Fixture 2 24hr Watts</v>
      </c>
      <c r="AH12" s="1951" t="str">
        <f>CONCATENATE("Fixture ",AH11," Total Watts")</f>
        <v>Fixture 3 Total Watts</v>
      </c>
      <c r="AI12" s="1951" t="str">
        <f>CONCATENATE("Fixture ",AI11," Night Only Watts")</f>
        <v>Fixture 3 Night Only Watts</v>
      </c>
      <c r="AJ12" s="1952" t="str">
        <f>CONCATENATE("Fixture ",AJ11," 24hr Watts")</f>
        <v>Fixture 3 24hr Watts</v>
      </c>
      <c r="AK12" s="1951" t="str">
        <f>CONCATENATE("Fixture ",AK11," Total Watts")</f>
        <v>Fixture 4 Total Watts</v>
      </c>
      <c r="AL12" s="1951" t="str">
        <f>CONCATENATE("Fixture ",AL11," Night Only Watts")</f>
        <v>Fixture 4 Night Only Watts</v>
      </c>
      <c r="AM12" s="1952" t="str">
        <f>CONCATENATE("Fixture ",AM11," 24hr Watts")</f>
        <v>Fixture 4 24hr Watts</v>
      </c>
      <c r="AN12" s="1951" t="str">
        <f>CONCATENATE("Fixture ",AN11," Total Watts")</f>
        <v>Fixture 5 Total Watts</v>
      </c>
      <c r="AO12" s="1951" t="str">
        <f>CONCATENATE("Fixture ",AO11," Night Only Watts")</f>
        <v>Fixture 5 Night Only Watts</v>
      </c>
      <c r="AP12" s="1952" t="str">
        <f>CONCATENATE("Fixture ",AP11," 24hr Watts")</f>
        <v>Fixture 5 24hr Watts</v>
      </c>
      <c r="AQ12" s="1951" t="str">
        <f>CONCATENATE("Fixture ",AQ11," Total Watts")</f>
        <v>Fixture 6 Total Watts</v>
      </c>
      <c r="AR12" s="1951" t="str">
        <f>CONCATENATE("Fixture ",AR11," Night Only Watts")</f>
        <v>Fixture 6 Night Only Watts</v>
      </c>
      <c r="AS12" s="1952" t="str">
        <f>CONCATENATE("Fixture ",AS11," 24hr Watts")</f>
        <v>Fixture 6 24hr Watts</v>
      </c>
      <c r="AT12" s="1951" t="str">
        <f>CONCATENATE("Fixture ",AT11," Total Watts")</f>
        <v>Fixture 7 Total Watts</v>
      </c>
      <c r="AU12" s="1951" t="str">
        <f>CONCATENATE("Fixture ",AU11," Night Only Watts")</f>
        <v>Fixture 7 Night Only Watts</v>
      </c>
      <c r="AV12" s="1952" t="str">
        <f>CONCATENATE("Fixture ",AV11," 24hr Watts")</f>
        <v>Fixture 7 24hr Watts</v>
      </c>
      <c r="AW12" s="1953" t="s">
        <v>9</v>
      </c>
      <c r="AX12" s="1954" t="s">
        <v>7</v>
      </c>
      <c r="AY12" s="1955" t="s">
        <v>72</v>
      </c>
      <c r="AZ12" s="1956" t="s">
        <v>73</v>
      </c>
      <c r="BB12" s="1933" t="str">
        <f ca="1">OFFSET('Ltg Schedule'!$C$71,'Ltg ExtTakeoffs'!BB$10,0)</f>
        <v>G</v>
      </c>
      <c r="BC12" s="1933" t="str">
        <f ca="1">OFFSET('Ltg Schedule'!$C$71,'Ltg ExtTakeoffs'!BC$10,0)</f>
        <v>S</v>
      </c>
      <c r="BD12" s="1933" t="str">
        <f ca="1">OFFSET('Ltg Schedule'!$C$71,'Ltg ExtTakeoffs'!BD$10,0)</f>
        <v>YY</v>
      </c>
      <c r="BE12" s="1933" t="str">
        <f ca="1">OFFSET('Ltg Schedule'!$C$71,'Ltg ExtTakeoffs'!BE$10,0)</f>
        <v>TT</v>
      </c>
      <c r="BF12" s="1933" t="str">
        <f ca="1">OFFSET('Ltg Schedule'!$C$71,'Ltg ExtTakeoffs'!BF$10,0)</f>
        <v>WW</v>
      </c>
      <c r="BG12" s="1933" t="str">
        <f ca="1">OFFSET('Ltg Schedule'!$C$71,'Ltg ExtTakeoffs'!BG$10,0)</f>
        <v>U</v>
      </c>
      <c r="BH12" s="1933">
        <f ca="1">OFFSET('Ltg Schedule'!$C$71,'Ltg ExtTakeoffs'!BH$10,0)</f>
        <v>0</v>
      </c>
      <c r="BI12" s="1933">
        <f ca="1">OFFSET('Ltg Schedule'!$C$71,'Ltg ExtTakeoffs'!BI$10,0)</f>
        <v>0</v>
      </c>
      <c r="BJ12" s="1933">
        <f ca="1">OFFSET('Ltg Schedule'!$C$71,'Ltg ExtTakeoffs'!BJ$10,0)</f>
        <v>0</v>
      </c>
      <c r="BK12" s="1933">
        <f ca="1">OFFSET('Ltg Schedule'!$C$71,'Ltg ExtTakeoffs'!BK$10,0)</f>
        <v>0</v>
      </c>
    </row>
    <row r="13" spans="1:64" ht="15" customHeight="1" x14ac:dyDescent="0.45">
      <c r="A13" s="1957" t="s">
        <v>85</v>
      </c>
      <c r="B13" s="1958"/>
      <c r="C13" s="1959"/>
      <c r="D13" s="1960"/>
      <c r="E13" s="1961"/>
      <c r="F13" s="1958"/>
      <c r="G13" s="1962"/>
      <c r="H13" s="1961"/>
      <c r="I13" s="1958"/>
      <c r="J13" s="1962"/>
      <c r="K13" s="1961"/>
      <c r="L13" s="1958"/>
      <c r="M13" s="1962"/>
      <c r="N13" s="1961"/>
      <c r="O13" s="1958"/>
      <c r="P13" s="1962"/>
      <c r="Q13" s="1961"/>
      <c r="R13" s="1958"/>
      <c r="S13" s="1962"/>
      <c r="T13" s="1961"/>
      <c r="U13" s="1958"/>
      <c r="V13" s="1962"/>
      <c r="W13" s="1961"/>
      <c r="X13" s="1958"/>
      <c r="Y13" s="1962"/>
      <c r="Z13" s="1961"/>
      <c r="AA13" s="1958"/>
      <c r="AB13" s="1963"/>
      <c r="AC13" s="1964"/>
      <c r="AD13" s="1964"/>
      <c r="AE13" s="1964"/>
      <c r="AF13" s="1964"/>
      <c r="AG13" s="1964"/>
      <c r="AH13" s="1964"/>
      <c r="AI13" s="1964"/>
      <c r="AJ13" s="1964"/>
      <c r="AK13" s="1964"/>
      <c r="AL13" s="1964"/>
      <c r="AM13" s="1964"/>
      <c r="AN13" s="1964"/>
      <c r="AO13" s="1964"/>
      <c r="AP13" s="1964"/>
      <c r="AQ13" s="1964"/>
      <c r="AR13" s="1964"/>
      <c r="AS13" s="1964"/>
      <c r="AT13" s="1964"/>
      <c r="AU13" s="1964"/>
      <c r="AV13" s="1964"/>
      <c r="AW13" s="1965"/>
      <c r="AX13" s="1965"/>
      <c r="AY13" s="1964"/>
      <c r="AZ13" s="1965"/>
    </row>
    <row r="14" spans="1:64" ht="18" x14ac:dyDescent="0.45">
      <c r="A14" s="1966"/>
      <c r="B14" s="1966"/>
      <c r="C14" s="1967"/>
      <c r="D14" s="1968"/>
      <c r="E14" s="1969"/>
      <c r="F14" s="1970"/>
      <c r="G14" s="1971"/>
      <c r="H14" s="1969"/>
      <c r="I14" s="1970"/>
      <c r="J14" s="1971"/>
      <c r="K14" s="1969"/>
      <c r="L14" s="1970"/>
      <c r="M14" s="1971"/>
      <c r="N14" s="1969"/>
      <c r="O14" s="1970"/>
      <c r="P14" s="1971"/>
      <c r="Q14" s="1969"/>
      <c r="R14" s="1970"/>
      <c r="S14" s="1971"/>
      <c r="T14" s="1969"/>
      <c r="U14" s="1970"/>
      <c r="V14" s="1971"/>
      <c r="W14" s="1969"/>
      <c r="X14" s="1970"/>
      <c r="Y14" s="1971"/>
      <c r="Z14" s="1969"/>
      <c r="AA14" s="1970"/>
      <c r="AB14" s="1972">
        <f t="shared" ref="AB14:AB72" si="2">IF(ISTEXT(E14),(IF(ISERROR(VLOOKUP(E14,Ltg_EFixtureSch_PROP,2,FALSE)),0.000001,VLOOKUP(E14,Ltg_EFixtureSch_PROP,2,FALSE)*SUM(F14:G14))),0)</f>
        <v>0</v>
      </c>
      <c r="AC14" s="1973">
        <f t="shared" ref="AC14:AC72" si="3">IF(ISTEXT(E14),(IF(ISERROR(VLOOKUP(E14,Ltg_EFixtureSch_PROP,2,FALSE)),0.000001,VLOOKUP(E14,Ltg_EFixtureSch_PROP,2,FALSE)*F14)),0)</f>
        <v>0</v>
      </c>
      <c r="AD14" s="1973">
        <f t="shared" ref="AD14:AD72" si="4">IF(ISTEXT(E14),(IF(ISERROR(VLOOKUP(E14,Ltg_EFixtureSch_PROP,2,FALSE)),0.000001,VLOOKUP(E14,Ltg_EFixtureSch_PROP,2,FALSE)*G14)),0)</f>
        <v>0</v>
      </c>
      <c r="AE14" s="1972">
        <f t="shared" ref="AE14:AE72" si="5">IF(ISTEXT(H14),(IF(ISERROR(VLOOKUP(H14,Ltg_EFixtureSch_PROP,2,FALSE)),0.000001,VLOOKUP(H14,Ltg_EFixtureSch_PROP,2,FALSE)*SUM(I14:J14))),0)</f>
        <v>0</v>
      </c>
      <c r="AF14" s="1973">
        <f t="shared" ref="AF14:AF72" si="6">IF(ISTEXT(H14),(IF(ISERROR(VLOOKUP(H14,Ltg_EFixtureSch_PROP,2,FALSE)),0.000001,VLOOKUP(H14,Ltg_EFixtureSch_PROP,2,FALSE)*I14)),0)</f>
        <v>0</v>
      </c>
      <c r="AG14" s="1973">
        <f t="shared" ref="AG14:AG72" si="7">IF(ISTEXT(H14),(IF(ISERROR(VLOOKUP(H14,Ltg_EFixtureSch_PROP,2,FALSE)),0.000001,VLOOKUP(H14,Ltg_EFixtureSch_PROP,2,FALSE)*J14)),0)</f>
        <v>0</v>
      </c>
      <c r="AH14" s="1972">
        <f t="shared" ref="AH14:AH72" si="8">IF(ISTEXT(K14),(IF(ISERROR(VLOOKUP(K14,Ltg_EFixtureSch_PROP,2,FALSE)),0.000001,VLOOKUP(K14,Ltg_EFixtureSch_PROP,2,FALSE)*SUM(L14:M14))),0)</f>
        <v>0</v>
      </c>
      <c r="AI14" s="1973">
        <f t="shared" ref="AI14:AI72" si="9">IF(ISTEXT(K14),(IF(ISERROR(VLOOKUP(K14,Ltg_EFixtureSch_PROP,2,FALSE)),0.000001,VLOOKUP(K14,Ltg_EFixtureSch_PROP,2,FALSE)*L14)),0)</f>
        <v>0</v>
      </c>
      <c r="AJ14" s="1973">
        <f t="shared" ref="AJ14:AJ72" si="10">IF(ISTEXT(K14),(IF(ISERROR(VLOOKUP(K14,Ltg_EFixtureSch_PROP,2,FALSE)),0.000001,VLOOKUP(K14,Ltg_EFixtureSch_PROP,2,FALSE)*M14)),0)</f>
        <v>0</v>
      </c>
      <c r="AK14" s="1972">
        <f t="shared" ref="AK14:AK72" si="11">IF(ISTEXT(N14),(IF(ISERROR(VLOOKUP(N14,Ltg_EFixtureSch_PROP,2,FALSE)),0.000001,VLOOKUP(N14,Ltg_EFixtureSch_PROP,2,FALSE)*SUM(O14:P14))),0)</f>
        <v>0</v>
      </c>
      <c r="AL14" s="1973">
        <f t="shared" ref="AL14:AL72" si="12">IF(ISTEXT(N14),(IF(ISERROR(VLOOKUP(N14,Ltg_EFixtureSch_PROP,2,FALSE)),0.000001,VLOOKUP(N14,Ltg_EFixtureSch_PROP,2,FALSE)*O14)),0)</f>
        <v>0</v>
      </c>
      <c r="AM14" s="1973">
        <f t="shared" ref="AM14:AM72" si="13">IF(ISTEXT(N14),(IF(ISERROR(VLOOKUP(N14,Ltg_EFixtureSch_PROP,2,FALSE)),0.000001,VLOOKUP(N14,Ltg_EFixtureSch_PROP,2,FALSE)*P14)),0)</f>
        <v>0</v>
      </c>
      <c r="AN14" s="1972">
        <f t="shared" ref="AN14:AN72" si="14">IF(ISTEXT(Q14),(IF(ISERROR(VLOOKUP(Q14,Ltg_EFixtureSch_PROP,2,FALSE)),0.000001,VLOOKUP(Q14,Ltg_EFixtureSch_PROP,2,FALSE)*SUM(R14:S14))),0)</f>
        <v>0</v>
      </c>
      <c r="AO14" s="1973">
        <f t="shared" ref="AO14:AO72" si="15">IF(ISTEXT(Q14),(IF(ISERROR(VLOOKUP(Q14,Ltg_EFixtureSch_PROP,2,FALSE)),0.000001,VLOOKUP(Q14,Ltg_EFixtureSch_PROP,2,FALSE)*R14)),0)</f>
        <v>0</v>
      </c>
      <c r="AP14" s="1973">
        <f t="shared" ref="AP14:AP72" si="16">IF(ISTEXT(Q14),(IF(ISERROR(VLOOKUP(Q14,Ltg_EFixtureSch_PROP,2,FALSE)),0.000001,VLOOKUP(Q14,Ltg_EFixtureSch_PROP,2,FALSE)*S14)),0)</f>
        <v>0</v>
      </c>
      <c r="AQ14" s="1972">
        <f t="shared" ref="AQ14:AQ72" si="17">IF(ISTEXT(T14),(IF(ISERROR(VLOOKUP(T14,Ltg_EFixtureSch_PROP,2,FALSE)),0.000001,VLOOKUP(T14,Ltg_EFixtureSch_PROP,2,FALSE)*SUM(U14:V14))),0)</f>
        <v>0</v>
      </c>
      <c r="AR14" s="1973">
        <f t="shared" ref="AR14:AR72" si="18">IF(ISTEXT(T14),(IF(ISERROR(VLOOKUP(T14,Ltg_EFixtureSch_PROP,2,FALSE)),0.000001,VLOOKUP(T14,Ltg_EFixtureSch_PROP,2,FALSE)*U14)),0)</f>
        <v>0</v>
      </c>
      <c r="AS14" s="1973">
        <f t="shared" ref="AS14:AS72" si="19">IF(ISTEXT(T14),(IF(ISERROR(VLOOKUP(T14,Ltg_EFixtureSch_PROP,2,FALSE)),0.000001,VLOOKUP(T14,Ltg_EFixtureSch_PROP,2,FALSE)*V14)),0)</f>
        <v>0</v>
      </c>
      <c r="AT14" s="1972">
        <f t="shared" ref="AT14:AT72" si="20">IF(ISTEXT(W14),(IF(ISERROR(VLOOKUP(W14,Ltg_EFixtureSch_PROP,2,FALSE)),0.000001,VLOOKUP(W14,Ltg_EFixtureSch_PROP,2,FALSE)*SUM(X14:Y14))),0)</f>
        <v>0</v>
      </c>
      <c r="AU14" s="1973">
        <f t="shared" ref="AU14:AU72" si="21">IF(ISTEXT(W14),(IF(ISERROR(VLOOKUP(W14,Ltg_EFixtureSch_PROP,2,FALSE)),0.000001,VLOOKUP(W14,Ltg_EFixtureSch_PROP,2,FALSE)*X14)),0)</f>
        <v>0</v>
      </c>
      <c r="AV14" s="1973">
        <f t="shared" ref="AV14:AV72" si="22">IF(ISTEXT(W14),(IF(ISERROR(VLOOKUP(W14,Ltg_EFixtureSch_PROP,2,FALSE)),0.000001,VLOOKUP(W14,Ltg_EFixtureSch_PROP,2,FALSE)*Y14)),0)</f>
        <v>0</v>
      </c>
      <c r="AW14" s="1972">
        <f t="shared" ref="AW14:AW72" si="23">IF(ISTEXT(Z14),(IF(ISERROR(VLOOKUP(Z14,Ltg_EFixtureSch_PROP,2,FALSE)),0.000001,VLOOKUP(Z14,Ltg_EFixtureSch_PROP,2,FALSE)*AA14)),0)</f>
        <v>0</v>
      </c>
      <c r="AX14" s="1973">
        <f>SUM(AB14,AE14,AH14,AK14,AN14,AQ14,AT14)</f>
        <v>0</v>
      </c>
      <c r="AY14" s="1973">
        <f>SUM(AC14,AF14,AI14,AL14,AO14,AR14,AU14)</f>
        <v>0</v>
      </c>
      <c r="AZ14" s="1973">
        <f>SUM(AD14,AG14,AJ14,AM14,AP14,AS14,AV14)</f>
        <v>0</v>
      </c>
      <c r="BB14" s="1941">
        <f ca="1">IFERROR(ROUNDDOWN(SUMIF($E14:$Y14,BB$12,$AB14:$AV14)/BB$11,0),0)</f>
        <v>0</v>
      </c>
      <c r="BC14" s="1941">
        <f t="shared" ref="BC14:BK14" ca="1" si="24">IFERROR(ROUNDDOWN(SUMIF($E14:$Y14,BC$12,$AB14:$AV14)/BC$11,0),0)</f>
        <v>0</v>
      </c>
      <c r="BD14" s="1941">
        <f t="shared" ca="1" si="24"/>
        <v>0</v>
      </c>
      <c r="BE14" s="1941">
        <f t="shared" ca="1" si="24"/>
        <v>0</v>
      </c>
      <c r="BF14" s="1941">
        <f t="shared" ca="1" si="24"/>
        <v>0</v>
      </c>
      <c r="BG14" s="1941">
        <f t="shared" ca="1" si="24"/>
        <v>0</v>
      </c>
      <c r="BH14" s="1941">
        <f t="shared" ca="1" si="24"/>
        <v>0</v>
      </c>
      <c r="BI14" s="1941">
        <f t="shared" ca="1" si="24"/>
        <v>0</v>
      </c>
      <c r="BJ14" s="1941">
        <f t="shared" ca="1" si="24"/>
        <v>0</v>
      </c>
      <c r="BK14" s="1941">
        <f t="shared" ca="1" si="24"/>
        <v>0</v>
      </c>
      <c r="BL14" s="1941"/>
    </row>
    <row r="15" spans="1:64" ht="18" x14ac:dyDescent="0.45">
      <c r="A15" s="1966"/>
      <c r="B15" s="1966"/>
      <c r="C15" s="1967"/>
      <c r="D15" s="1968"/>
      <c r="E15" s="1969"/>
      <c r="F15" s="1970"/>
      <c r="G15" s="1971"/>
      <c r="H15" s="1969"/>
      <c r="I15" s="1970"/>
      <c r="J15" s="1971"/>
      <c r="K15" s="1969"/>
      <c r="L15" s="1970"/>
      <c r="M15" s="1971"/>
      <c r="N15" s="1969"/>
      <c r="O15" s="1970"/>
      <c r="P15" s="1971"/>
      <c r="Q15" s="1969"/>
      <c r="R15" s="1970"/>
      <c r="S15" s="1971"/>
      <c r="T15" s="1969"/>
      <c r="U15" s="1970"/>
      <c r="V15" s="1971"/>
      <c r="W15" s="1969"/>
      <c r="X15" s="1970"/>
      <c r="Y15" s="1971"/>
      <c r="Z15" s="1969"/>
      <c r="AA15" s="1970"/>
      <c r="AB15" s="1972">
        <f t="shared" ref="AB15:AB27" si="25">IF(ISTEXT(E15),(IF(ISERROR(VLOOKUP(E15,Ltg_EFixtureSch_PROP,2,FALSE)),0.000001,VLOOKUP(E15,Ltg_EFixtureSch_PROP,2,FALSE)*SUM(F15:G15))),0)</f>
        <v>0</v>
      </c>
      <c r="AC15" s="1973">
        <f t="shared" ref="AC15:AC27" si="26">IF(ISTEXT(E15),(IF(ISERROR(VLOOKUP(E15,Ltg_EFixtureSch_PROP,2,FALSE)),0.000001,VLOOKUP(E15,Ltg_EFixtureSch_PROP,2,FALSE)*F15)),0)</f>
        <v>0</v>
      </c>
      <c r="AD15" s="1973">
        <f t="shared" ref="AD15:AD27" si="27">IF(ISTEXT(E15),(IF(ISERROR(VLOOKUP(E15,Ltg_EFixtureSch_PROP,2,FALSE)),0.000001,VLOOKUP(E15,Ltg_EFixtureSch_PROP,2,FALSE)*G15)),0)</f>
        <v>0</v>
      </c>
      <c r="AE15" s="1972">
        <f t="shared" ref="AE15:AE27" si="28">IF(ISTEXT(H15),(IF(ISERROR(VLOOKUP(H15,Ltg_EFixtureSch_PROP,2,FALSE)),0.000001,VLOOKUP(H15,Ltg_EFixtureSch_PROP,2,FALSE)*SUM(I15:J15))),0)</f>
        <v>0</v>
      </c>
      <c r="AF15" s="1973">
        <f t="shared" ref="AF15:AF27" si="29">IF(ISTEXT(H15),(IF(ISERROR(VLOOKUP(H15,Ltg_EFixtureSch_PROP,2,FALSE)),0.000001,VLOOKUP(H15,Ltg_EFixtureSch_PROP,2,FALSE)*I15)),0)</f>
        <v>0</v>
      </c>
      <c r="AG15" s="1973">
        <f t="shared" ref="AG15:AG27" si="30">IF(ISTEXT(H15),(IF(ISERROR(VLOOKUP(H15,Ltg_EFixtureSch_PROP,2,FALSE)),0.000001,VLOOKUP(H15,Ltg_EFixtureSch_PROP,2,FALSE)*J15)),0)</f>
        <v>0</v>
      </c>
      <c r="AH15" s="1972">
        <f t="shared" ref="AH15:AH27" si="31">IF(ISTEXT(K15),(IF(ISERROR(VLOOKUP(K15,Ltg_EFixtureSch_PROP,2,FALSE)),0.000001,VLOOKUP(K15,Ltg_EFixtureSch_PROP,2,FALSE)*SUM(L15:M15))),0)</f>
        <v>0</v>
      </c>
      <c r="AI15" s="1973">
        <f t="shared" ref="AI15:AI27" si="32">IF(ISTEXT(K15),(IF(ISERROR(VLOOKUP(K15,Ltg_EFixtureSch_PROP,2,FALSE)),0.000001,VLOOKUP(K15,Ltg_EFixtureSch_PROP,2,FALSE)*L15)),0)</f>
        <v>0</v>
      </c>
      <c r="AJ15" s="1973">
        <f t="shared" ref="AJ15:AJ27" si="33">IF(ISTEXT(K15),(IF(ISERROR(VLOOKUP(K15,Ltg_EFixtureSch_PROP,2,FALSE)),0.000001,VLOOKUP(K15,Ltg_EFixtureSch_PROP,2,FALSE)*M15)),0)</f>
        <v>0</v>
      </c>
      <c r="AK15" s="1972">
        <f t="shared" ref="AK15:AK27" si="34">IF(ISTEXT(N15),(IF(ISERROR(VLOOKUP(N15,Ltg_EFixtureSch_PROP,2,FALSE)),0.000001,VLOOKUP(N15,Ltg_EFixtureSch_PROP,2,FALSE)*SUM(O15:P15))),0)</f>
        <v>0</v>
      </c>
      <c r="AL15" s="1973">
        <f t="shared" ref="AL15:AL27" si="35">IF(ISTEXT(N15),(IF(ISERROR(VLOOKUP(N15,Ltg_EFixtureSch_PROP,2,FALSE)),0.000001,VLOOKUP(N15,Ltg_EFixtureSch_PROP,2,FALSE)*O15)),0)</f>
        <v>0</v>
      </c>
      <c r="AM15" s="1973">
        <f t="shared" ref="AM15:AM27" si="36">IF(ISTEXT(N15),(IF(ISERROR(VLOOKUP(N15,Ltg_EFixtureSch_PROP,2,FALSE)),0.000001,VLOOKUP(N15,Ltg_EFixtureSch_PROP,2,FALSE)*P15)),0)</f>
        <v>0</v>
      </c>
      <c r="AN15" s="1972">
        <f t="shared" ref="AN15:AN27" si="37">IF(ISTEXT(Q15),(IF(ISERROR(VLOOKUP(Q15,Ltg_EFixtureSch_PROP,2,FALSE)),0.000001,VLOOKUP(Q15,Ltg_EFixtureSch_PROP,2,FALSE)*SUM(R15:S15))),0)</f>
        <v>0</v>
      </c>
      <c r="AO15" s="1973">
        <f t="shared" ref="AO15:AO27" si="38">IF(ISTEXT(Q15),(IF(ISERROR(VLOOKUP(Q15,Ltg_EFixtureSch_PROP,2,FALSE)),0.000001,VLOOKUP(Q15,Ltg_EFixtureSch_PROP,2,FALSE)*R15)),0)</f>
        <v>0</v>
      </c>
      <c r="AP15" s="1973">
        <f t="shared" ref="AP15:AP27" si="39">IF(ISTEXT(Q15),(IF(ISERROR(VLOOKUP(Q15,Ltg_EFixtureSch_PROP,2,FALSE)),0.000001,VLOOKUP(Q15,Ltg_EFixtureSch_PROP,2,FALSE)*S15)),0)</f>
        <v>0</v>
      </c>
      <c r="AQ15" s="1972">
        <f t="shared" ref="AQ15:AQ27" si="40">IF(ISTEXT(T15),(IF(ISERROR(VLOOKUP(T15,Ltg_EFixtureSch_PROP,2,FALSE)),0.000001,VLOOKUP(T15,Ltg_EFixtureSch_PROP,2,FALSE)*SUM(U15:V15))),0)</f>
        <v>0</v>
      </c>
      <c r="AR15" s="1973">
        <f t="shared" ref="AR15:AR27" si="41">IF(ISTEXT(T15),(IF(ISERROR(VLOOKUP(T15,Ltg_EFixtureSch_PROP,2,FALSE)),0.000001,VLOOKUP(T15,Ltg_EFixtureSch_PROP,2,FALSE)*U15)),0)</f>
        <v>0</v>
      </c>
      <c r="AS15" s="1973">
        <f t="shared" ref="AS15:AS27" si="42">IF(ISTEXT(T15),(IF(ISERROR(VLOOKUP(T15,Ltg_EFixtureSch_PROP,2,FALSE)),0.000001,VLOOKUP(T15,Ltg_EFixtureSch_PROP,2,FALSE)*V15)),0)</f>
        <v>0</v>
      </c>
      <c r="AT15" s="1972">
        <f t="shared" ref="AT15:AT27" si="43">IF(ISTEXT(W15),(IF(ISERROR(VLOOKUP(W15,Ltg_EFixtureSch_PROP,2,FALSE)),0.000001,VLOOKUP(W15,Ltg_EFixtureSch_PROP,2,FALSE)*SUM(X15:Y15))),0)</f>
        <v>0</v>
      </c>
      <c r="AU15" s="1973">
        <f t="shared" ref="AU15:AU27" si="44">IF(ISTEXT(W15),(IF(ISERROR(VLOOKUP(W15,Ltg_EFixtureSch_PROP,2,FALSE)),0.000001,VLOOKUP(W15,Ltg_EFixtureSch_PROP,2,FALSE)*X15)),0)</f>
        <v>0</v>
      </c>
      <c r="AV15" s="1973">
        <f t="shared" ref="AV15:AV27" si="45">IF(ISTEXT(W15),(IF(ISERROR(VLOOKUP(W15,Ltg_EFixtureSch_PROP,2,FALSE)),0.000001,VLOOKUP(W15,Ltg_EFixtureSch_PROP,2,FALSE)*Y15)),0)</f>
        <v>0</v>
      </c>
      <c r="AW15" s="1972">
        <f t="shared" ref="AW15:AW27" si="46">IF(ISTEXT(Z15),(IF(ISERROR(VLOOKUP(Z15,Ltg_EFixtureSch_PROP,2,FALSE)),0.000001,VLOOKUP(Z15,Ltg_EFixtureSch_PROP,2,FALSE)*AA15)),0)</f>
        <v>0</v>
      </c>
      <c r="AX15" s="1973">
        <f t="shared" ref="AX15:AZ30" si="47">SUM(AB15,AE15,AH15,AK15,AN15,AQ15,AT15)</f>
        <v>0</v>
      </c>
      <c r="AY15" s="1973">
        <f t="shared" si="47"/>
        <v>0</v>
      </c>
      <c r="AZ15" s="1973">
        <f t="shared" si="47"/>
        <v>0</v>
      </c>
      <c r="BB15" s="1941">
        <f t="shared" ref="BB15:BK46" ca="1" si="48">IFERROR(ROUNDDOWN(SUMIF($E15:$Y15,BB$11,$AB15:$AV15)/BB$10,0),0)</f>
        <v>0</v>
      </c>
      <c r="BC15" s="1941">
        <f t="shared" ref="BC15:BK29" ca="1" si="49">IFERROR(ROUNDDOWN(SUMIF($E15:$Y15,BC$11,$AB15:$AV15)/BC$10,0),0)</f>
        <v>0</v>
      </c>
      <c r="BD15" s="1941">
        <f t="shared" ca="1" si="49"/>
        <v>0</v>
      </c>
      <c r="BE15" s="1941">
        <f t="shared" ca="1" si="49"/>
        <v>0</v>
      </c>
      <c r="BF15" s="1941">
        <f t="shared" ca="1" si="49"/>
        <v>0</v>
      </c>
      <c r="BG15" s="1941">
        <f t="shared" ca="1" si="49"/>
        <v>0</v>
      </c>
      <c r="BH15" s="1941">
        <f t="shared" ca="1" si="49"/>
        <v>0</v>
      </c>
      <c r="BI15" s="1941">
        <f t="shared" ca="1" si="49"/>
        <v>0</v>
      </c>
      <c r="BJ15" s="1941">
        <f t="shared" ca="1" si="49"/>
        <v>0</v>
      </c>
      <c r="BK15" s="1941">
        <f t="shared" ca="1" si="49"/>
        <v>0</v>
      </c>
      <c r="BL15" s="1941"/>
    </row>
    <row r="16" spans="1:64" ht="18" x14ac:dyDescent="0.45">
      <c r="A16" s="1966"/>
      <c r="B16" s="1966"/>
      <c r="C16" s="1967"/>
      <c r="D16" s="1968"/>
      <c r="E16" s="1969"/>
      <c r="F16" s="1970"/>
      <c r="G16" s="1971"/>
      <c r="H16" s="1969"/>
      <c r="I16" s="1970"/>
      <c r="J16" s="1971"/>
      <c r="K16" s="1969"/>
      <c r="L16" s="1970"/>
      <c r="M16" s="1971"/>
      <c r="N16" s="1969"/>
      <c r="O16" s="1970"/>
      <c r="P16" s="1971"/>
      <c r="Q16" s="1969"/>
      <c r="R16" s="1970"/>
      <c r="S16" s="1971"/>
      <c r="T16" s="1969"/>
      <c r="U16" s="1970"/>
      <c r="V16" s="1971"/>
      <c r="W16" s="1969"/>
      <c r="X16" s="1970"/>
      <c r="Y16" s="1971"/>
      <c r="Z16" s="1969"/>
      <c r="AA16" s="1970"/>
      <c r="AB16" s="1972">
        <f t="shared" si="25"/>
        <v>0</v>
      </c>
      <c r="AC16" s="1973">
        <f t="shared" si="26"/>
        <v>0</v>
      </c>
      <c r="AD16" s="1973">
        <f t="shared" si="27"/>
        <v>0</v>
      </c>
      <c r="AE16" s="1972">
        <f t="shared" si="28"/>
        <v>0</v>
      </c>
      <c r="AF16" s="1973">
        <f t="shared" si="29"/>
        <v>0</v>
      </c>
      <c r="AG16" s="1973">
        <f t="shared" si="30"/>
        <v>0</v>
      </c>
      <c r="AH16" s="1972">
        <f t="shared" si="31"/>
        <v>0</v>
      </c>
      <c r="AI16" s="1973">
        <f t="shared" si="32"/>
        <v>0</v>
      </c>
      <c r="AJ16" s="1973">
        <f t="shared" si="33"/>
        <v>0</v>
      </c>
      <c r="AK16" s="1972">
        <f t="shared" si="34"/>
        <v>0</v>
      </c>
      <c r="AL16" s="1973">
        <f t="shared" si="35"/>
        <v>0</v>
      </c>
      <c r="AM16" s="1973">
        <f t="shared" si="36"/>
        <v>0</v>
      </c>
      <c r="AN16" s="1972">
        <f t="shared" si="37"/>
        <v>0</v>
      </c>
      <c r="AO16" s="1973">
        <f t="shared" si="38"/>
        <v>0</v>
      </c>
      <c r="AP16" s="1973">
        <f t="shared" si="39"/>
        <v>0</v>
      </c>
      <c r="AQ16" s="1972">
        <f t="shared" si="40"/>
        <v>0</v>
      </c>
      <c r="AR16" s="1973">
        <f t="shared" si="41"/>
        <v>0</v>
      </c>
      <c r="AS16" s="1973">
        <f t="shared" si="42"/>
        <v>0</v>
      </c>
      <c r="AT16" s="1972">
        <f t="shared" si="43"/>
        <v>0</v>
      </c>
      <c r="AU16" s="1973">
        <f t="shared" si="44"/>
        <v>0</v>
      </c>
      <c r="AV16" s="1973">
        <f t="shared" si="45"/>
        <v>0</v>
      </c>
      <c r="AW16" s="1972">
        <f t="shared" si="46"/>
        <v>0</v>
      </c>
      <c r="AX16" s="1973">
        <f t="shared" si="47"/>
        <v>0</v>
      </c>
      <c r="AY16" s="1973">
        <f t="shared" si="47"/>
        <v>0</v>
      </c>
      <c r="AZ16" s="1973">
        <f t="shared" si="47"/>
        <v>0</v>
      </c>
      <c r="BB16" s="1941">
        <f t="shared" ca="1" si="48"/>
        <v>0</v>
      </c>
      <c r="BC16" s="1941">
        <f t="shared" ca="1" si="49"/>
        <v>0</v>
      </c>
      <c r="BD16" s="1941">
        <f t="shared" ca="1" si="49"/>
        <v>0</v>
      </c>
      <c r="BE16" s="1941">
        <f t="shared" ca="1" si="49"/>
        <v>0</v>
      </c>
      <c r="BF16" s="1941">
        <f t="shared" ca="1" si="49"/>
        <v>0</v>
      </c>
      <c r="BG16" s="1941">
        <f t="shared" ca="1" si="49"/>
        <v>0</v>
      </c>
      <c r="BH16" s="1941">
        <f t="shared" ca="1" si="49"/>
        <v>0</v>
      </c>
      <c r="BI16" s="1941">
        <f t="shared" ca="1" si="49"/>
        <v>0</v>
      </c>
      <c r="BJ16" s="1941">
        <f t="shared" ca="1" si="49"/>
        <v>0</v>
      </c>
      <c r="BK16" s="1941">
        <f t="shared" ca="1" si="49"/>
        <v>0</v>
      </c>
      <c r="BL16" s="1941"/>
    </row>
    <row r="17" spans="1:64" ht="18" x14ac:dyDescent="0.45">
      <c r="A17" s="1966"/>
      <c r="B17" s="1966"/>
      <c r="C17" s="1967"/>
      <c r="D17" s="1968"/>
      <c r="E17" s="1969"/>
      <c r="F17" s="1970"/>
      <c r="G17" s="1971"/>
      <c r="H17" s="1969"/>
      <c r="I17" s="1970"/>
      <c r="J17" s="1971"/>
      <c r="K17" s="1969"/>
      <c r="L17" s="1970"/>
      <c r="M17" s="1971"/>
      <c r="N17" s="1969"/>
      <c r="O17" s="1970"/>
      <c r="P17" s="1971"/>
      <c r="Q17" s="1969"/>
      <c r="R17" s="1970"/>
      <c r="S17" s="1971"/>
      <c r="T17" s="1969"/>
      <c r="U17" s="1970"/>
      <c r="V17" s="1971"/>
      <c r="W17" s="1969"/>
      <c r="X17" s="1970"/>
      <c r="Y17" s="1971"/>
      <c r="Z17" s="1969"/>
      <c r="AA17" s="1970"/>
      <c r="AB17" s="1972">
        <f t="shared" si="25"/>
        <v>0</v>
      </c>
      <c r="AC17" s="1973">
        <f t="shared" si="26"/>
        <v>0</v>
      </c>
      <c r="AD17" s="1973">
        <f t="shared" si="27"/>
        <v>0</v>
      </c>
      <c r="AE17" s="1972">
        <f t="shared" si="28"/>
        <v>0</v>
      </c>
      <c r="AF17" s="1973">
        <f t="shared" si="29"/>
        <v>0</v>
      </c>
      <c r="AG17" s="1973">
        <f t="shared" si="30"/>
        <v>0</v>
      </c>
      <c r="AH17" s="1972">
        <f t="shared" si="31"/>
        <v>0</v>
      </c>
      <c r="AI17" s="1973">
        <f t="shared" si="32"/>
        <v>0</v>
      </c>
      <c r="AJ17" s="1973">
        <f t="shared" si="33"/>
        <v>0</v>
      </c>
      <c r="AK17" s="1972">
        <f t="shared" si="34"/>
        <v>0</v>
      </c>
      <c r="AL17" s="1973">
        <f t="shared" si="35"/>
        <v>0</v>
      </c>
      <c r="AM17" s="1973">
        <f t="shared" si="36"/>
        <v>0</v>
      </c>
      <c r="AN17" s="1972">
        <f t="shared" si="37"/>
        <v>0</v>
      </c>
      <c r="AO17" s="1973">
        <f t="shared" si="38"/>
        <v>0</v>
      </c>
      <c r="AP17" s="1973">
        <f t="shared" si="39"/>
        <v>0</v>
      </c>
      <c r="AQ17" s="1972">
        <f t="shared" si="40"/>
        <v>0</v>
      </c>
      <c r="AR17" s="1973">
        <f t="shared" si="41"/>
        <v>0</v>
      </c>
      <c r="AS17" s="1973">
        <f t="shared" si="42"/>
        <v>0</v>
      </c>
      <c r="AT17" s="1972">
        <f t="shared" si="43"/>
        <v>0</v>
      </c>
      <c r="AU17" s="1973">
        <f t="shared" si="44"/>
        <v>0</v>
      </c>
      <c r="AV17" s="1973">
        <f t="shared" si="45"/>
        <v>0</v>
      </c>
      <c r="AW17" s="1972">
        <f t="shared" si="46"/>
        <v>0</v>
      </c>
      <c r="AX17" s="1973">
        <f t="shared" si="47"/>
        <v>0</v>
      </c>
      <c r="AY17" s="1973">
        <f t="shared" si="47"/>
        <v>0</v>
      </c>
      <c r="AZ17" s="1973">
        <f t="shared" si="47"/>
        <v>0</v>
      </c>
      <c r="BB17" s="1941">
        <f t="shared" ca="1" si="48"/>
        <v>0</v>
      </c>
      <c r="BC17" s="1941">
        <f t="shared" ca="1" si="49"/>
        <v>0</v>
      </c>
      <c r="BD17" s="1941">
        <f t="shared" ca="1" si="49"/>
        <v>0</v>
      </c>
      <c r="BE17" s="1941">
        <f t="shared" ca="1" si="49"/>
        <v>0</v>
      </c>
      <c r="BF17" s="1941">
        <f t="shared" ca="1" si="49"/>
        <v>0</v>
      </c>
      <c r="BG17" s="1941">
        <f t="shared" ca="1" si="49"/>
        <v>0</v>
      </c>
      <c r="BH17" s="1941">
        <f t="shared" ca="1" si="49"/>
        <v>0</v>
      </c>
      <c r="BI17" s="1941">
        <f t="shared" ca="1" si="49"/>
        <v>0</v>
      </c>
      <c r="BJ17" s="1941">
        <f t="shared" ca="1" si="49"/>
        <v>0</v>
      </c>
      <c r="BK17" s="1941">
        <f t="shared" ca="1" si="49"/>
        <v>0</v>
      </c>
      <c r="BL17" s="1941"/>
    </row>
    <row r="18" spans="1:64" ht="18" x14ac:dyDescent="0.45">
      <c r="A18" s="1966"/>
      <c r="B18" s="1966"/>
      <c r="C18" s="1967"/>
      <c r="D18" s="1968"/>
      <c r="E18" s="1969"/>
      <c r="F18" s="1970"/>
      <c r="G18" s="1971"/>
      <c r="H18" s="1969"/>
      <c r="I18" s="1970"/>
      <c r="J18" s="1971"/>
      <c r="K18" s="1969"/>
      <c r="L18" s="1970"/>
      <c r="M18" s="1971"/>
      <c r="N18" s="1969"/>
      <c r="O18" s="1970"/>
      <c r="P18" s="1971"/>
      <c r="Q18" s="1969"/>
      <c r="R18" s="1970"/>
      <c r="S18" s="1971"/>
      <c r="T18" s="1969"/>
      <c r="U18" s="1970"/>
      <c r="V18" s="1971"/>
      <c r="W18" s="1969"/>
      <c r="X18" s="1970"/>
      <c r="Y18" s="1971"/>
      <c r="Z18" s="1969"/>
      <c r="AA18" s="1970"/>
      <c r="AB18" s="1972">
        <f t="shared" si="25"/>
        <v>0</v>
      </c>
      <c r="AC18" s="1973">
        <f t="shared" si="26"/>
        <v>0</v>
      </c>
      <c r="AD18" s="1973">
        <f t="shared" si="27"/>
        <v>0</v>
      </c>
      <c r="AE18" s="1972">
        <f t="shared" si="28"/>
        <v>0</v>
      </c>
      <c r="AF18" s="1973">
        <f t="shared" si="29"/>
        <v>0</v>
      </c>
      <c r="AG18" s="1973">
        <f t="shared" si="30"/>
        <v>0</v>
      </c>
      <c r="AH18" s="1972">
        <f t="shared" si="31"/>
        <v>0</v>
      </c>
      <c r="AI18" s="1973">
        <f t="shared" si="32"/>
        <v>0</v>
      </c>
      <c r="AJ18" s="1973">
        <f t="shared" si="33"/>
        <v>0</v>
      </c>
      <c r="AK18" s="1972">
        <f t="shared" si="34"/>
        <v>0</v>
      </c>
      <c r="AL18" s="1973">
        <f t="shared" si="35"/>
        <v>0</v>
      </c>
      <c r="AM18" s="1973">
        <f t="shared" si="36"/>
        <v>0</v>
      </c>
      <c r="AN18" s="1972">
        <f t="shared" si="37"/>
        <v>0</v>
      </c>
      <c r="AO18" s="1973">
        <f t="shared" si="38"/>
        <v>0</v>
      </c>
      <c r="AP18" s="1973">
        <f t="shared" si="39"/>
        <v>0</v>
      </c>
      <c r="AQ18" s="1972">
        <f t="shared" si="40"/>
        <v>0</v>
      </c>
      <c r="AR18" s="1973">
        <f t="shared" si="41"/>
        <v>0</v>
      </c>
      <c r="AS18" s="1973">
        <f t="shared" si="42"/>
        <v>0</v>
      </c>
      <c r="AT18" s="1972">
        <f t="shared" si="43"/>
        <v>0</v>
      </c>
      <c r="AU18" s="1973">
        <f t="shared" si="44"/>
        <v>0</v>
      </c>
      <c r="AV18" s="1973">
        <f t="shared" si="45"/>
        <v>0</v>
      </c>
      <c r="AW18" s="1972">
        <f t="shared" si="46"/>
        <v>0</v>
      </c>
      <c r="AX18" s="1973">
        <f t="shared" si="47"/>
        <v>0</v>
      </c>
      <c r="AY18" s="1973">
        <f t="shared" si="47"/>
        <v>0</v>
      </c>
      <c r="AZ18" s="1973">
        <f t="shared" si="47"/>
        <v>0</v>
      </c>
      <c r="BB18" s="1941">
        <f t="shared" ca="1" si="48"/>
        <v>0</v>
      </c>
      <c r="BC18" s="1941">
        <f t="shared" ca="1" si="49"/>
        <v>0</v>
      </c>
      <c r="BD18" s="1941">
        <f t="shared" ca="1" si="49"/>
        <v>0</v>
      </c>
      <c r="BE18" s="1941">
        <f t="shared" ca="1" si="49"/>
        <v>0</v>
      </c>
      <c r="BF18" s="1941">
        <f t="shared" ca="1" si="49"/>
        <v>0</v>
      </c>
      <c r="BG18" s="1941">
        <f t="shared" ca="1" si="49"/>
        <v>0</v>
      </c>
      <c r="BH18" s="1941">
        <f t="shared" ca="1" si="49"/>
        <v>0</v>
      </c>
      <c r="BI18" s="1941">
        <f t="shared" ca="1" si="49"/>
        <v>0</v>
      </c>
      <c r="BJ18" s="1941">
        <f t="shared" ca="1" si="49"/>
        <v>0</v>
      </c>
      <c r="BK18" s="1941">
        <f t="shared" ca="1" si="49"/>
        <v>0</v>
      </c>
      <c r="BL18" s="1941"/>
    </row>
    <row r="19" spans="1:64" ht="18" x14ac:dyDescent="0.45">
      <c r="A19" s="1966"/>
      <c r="B19" s="1966"/>
      <c r="C19" s="1967"/>
      <c r="D19" s="1968"/>
      <c r="E19" s="1969"/>
      <c r="F19" s="1970"/>
      <c r="G19" s="1971"/>
      <c r="H19" s="1969"/>
      <c r="I19" s="1970"/>
      <c r="J19" s="1971"/>
      <c r="K19" s="1969"/>
      <c r="L19" s="1970"/>
      <c r="M19" s="1971"/>
      <c r="N19" s="1969"/>
      <c r="O19" s="1970"/>
      <c r="P19" s="1971"/>
      <c r="Q19" s="1969"/>
      <c r="R19" s="1970"/>
      <c r="S19" s="1971"/>
      <c r="T19" s="1969"/>
      <c r="U19" s="1970"/>
      <c r="V19" s="1971"/>
      <c r="W19" s="1969"/>
      <c r="X19" s="1970"/>
      <c r="Y19" s="1971"/>
      <c r="Z19" s="1969"/>
      <c r="AA19" s="1970"/>
      <c r="AB19" s="1972">
        <f t="shared" si="25"/>
        <v>0</v>
      </c>
      <c r="AC19" s="1973">
        <f t="shared" si="26"/>
        <v>0</v>
      </c>
      <c r="AD19" s="1973">
        <f t="shared" si="27"/>
        <v>0</v>
      </c>
      <c r="AE19" s="1972">
        <f t="shared" si="28"/>
        <v>0</v>
      </c>
      <c r="AF19" s="1973">
        <f t="shared" si="29"/>
        <v>0</v>
      </c>
      <c r="AG19" s="1973">
        <f t="shared" si="30"/>
        <v>0</v>
      </c>
      <c r="AH19" s="1972">
        <f t="shared" si="31"/>
        <v>0</v>
      </c>
      <c r="AI19" s="1973">
        <f t="shared" si="32"/>
        <v>0</v>
      </c>
      <c r="AJ19" s="1973">
        <f t="shared" si="33"/>
        <v>0</v>
      </c>
      <c r="AK19" s="1972">
        <f t="shared" si="34"/>
        <v>0</v>
      </c>
      <c r="AL19" s="1973">
        <f t="shared" si="35"/>
        <v>0</v>
      </c>
      <c r="AM19" s="1973">
        <f t="shared" si="36"/>
        <v>0</v>
      </c>
      <c r="AN19" s="1972">
        <f t="shared" si="37"/>
        <v>0</v>
      </c>
      <c r="AO19" s="1973">
        <f t="shared" si="38"/>
        <v>0</v>
      </c>
      <c r="AP19" s="1973">
        <f t="shared" si="39"/>
        <v>0</v>
      </c>
      <c r="AQ19" s="1972">
        <f t="shared" si="40"/>
        <v>0</v>
      </c>
      <c r="AR19" s="1973">
        <f t="shared" si="41"/>
        <v>0</v>
      </c>
      <c r="AS19" s="1973">
        <f t="shared" si="42"/>
        <v>0</v>
      </c>
      <c r="AT19" s="1972">
        <f t="shared" si="43"/>
        <v>0</v>
      </c>
      <c r="AU19" s="1973">
        <f t="shared" si="44"/>
        <v>0</v>
      </c>
      <c r="AV19" s="1973">
        <f t="shared" si="45"/>
        <v>0</v>
      </c>
      <c r="AW19" s="1972">
        <f t="shared" si="46"/>
        <v>0</v>
      </c>
      <c r="AX19" s="1973">
        <f t="shared" si="47"/>
        <v>0</v>
      </c>
      <c r="AY19" s="1973">
        <f t="shared" si="47"/>
        <v>0</v>
      </c>
      <c r="AZ19" s="1973">
        <f t="shared" si="47"/>
        <v>0</v>
      </c>
      <c r="BB19" s="1941">
        <f t="shared" ca="1" si="48"/>
        <v>0</v>
      </c>
      <c r="BC19" s="1941">
        <f t="shared" ca="1" si="49"/>
        <v>0</v>
      </c>
      <c r="BD19" s="1941">
        <f t="shared" ca="1" si="49"/>
        <v>0</v>
      </c>
      <c r="BE19" s="1941">
        <f t="shared" ca="1" si="49"/>
        <v>0</v>
      </c>
      <c r="BF19" s="1941">
        <f t="shared" ca="1" si="49"/>
        <v>0</v>
      </c>
      <c r="BG19" s="1941">
        <f t="shared" ca="1" si="49"/>
        <v>0</v>
      </c>
      <c r="BH19" s="1941">
        <f t="shared" ca="1" si="49"/>
        <v>0</v>
      </c>
      <c r="BI19" s="1941">
        <f t="shared" ca="1" si="49"/>
        <v>0</v>
      </c>
      <c r="BJ19" s="1941">
        <f t="shared" ca="1" si="49"/>
        <v>0</v>
      </c>
      <c r="BK19" s="1941">
        <f t="shared" ca="1" si="49"/>
        <v>0</v>
      </c>
      <c r="BL19" s="1941"/>
    </row>
    <row r="20" spans="1:64" ht="18" x14ac:dyDescent="0.45">
      <c r="A20" s="1966"/>
      <c r="B20" s="1966"/>
      <c r="C20" s="1967"/>
      <c r="D20" s="1968"/>
      <c r="E20" s="1969"/>
      <c r="F20" s="1970"/>
      <c r="G20" s="1971"/>
      <c r="H20" s="1969"/>
      <c r="I20" s="1970"/>
      <c r="J20" s="1971"/>
      <c r="K20" s="1969"/>
      <c r="L20" s="1970"/>
      <c r="M20" s="1971"/>
      <c r="N20" s="1969"/>
      <c r="O20" s="1970"/>
      <c r="P20" s="1971"/>
      <c r="Q20" s="1969"/>
      <c r="R20" s="1970"/>
      <c r="S20" s="1971"/>
      <c r="T20" s="1969"/>
      <c r="U20" s="1970"/>
      <c r="V20" s="1971"/>
      <c r="W20" s="1969"/>
      <c r="X20" s="1970"/>
      <c r="Y20" s="1971"/>
      <c r="Z20" s="1969"/>
      <c r="AA20" s="1970"/>
      <c r="AB20" s="1972">
        <f t="shared" si="25"/>
        <v>0</v>
      </c>
      <c r="AC20" s="1973">
        <f t="shared" si="26"/>
        <v>0</v>
      </c>
      <c r="AD20" s="1973">
        <f t="shared" si="27"/>
        <v>0</v>
      </c>
      <c r="AE20" s="1972">
        <f t="shared" si="28"/>
        <v>0</v>
      </c>
      <c r="AF20" s="1973">
        <f t="shared" si="29"/>
        <v>0</v>
      </c>
      <c r="AG20" s="1973">
        <f t="shared" si="30"/>
        <v>0</v>
      </c>
      <c r="AH20" s="1972">
        <f t="shared" si="31"/>
        <v>0</v>
      </c>
      <c r="AI20" s="1973">
        <f t="shared" si="32"/>
        <v>0</v>
      </c>
      <c r="AJ20" s="1973">
        <f t="shared" si="33"/>
        <v>0</v>
      </c>
      <c r="AK20" s="1972">
        <f t="shared" si="34"/>
        <v>0</v>
      </c>
      <c r="AL20" s="1973">
        <f t="shared" si="35"/>
        <v>0</v>
      </c>
      <c r="AM20" s="1973">
        <f t="shared" si="36"/>
        <v>0</v>
      </c>
      <c r="AN20" s="1972">
        <f t="shared" si="37"/>
        <v>0</v>
      </c>
      <c r="AO20" s="1973">
        <f t="shared" si="38"/>
        <v>0</v>
      </c>
      <c r="AP20" s="1973">
        <f t="shared" si="39"/>
        <v>0</v>
      </c>
      <c r="AQ20" s="1972">
        <f t="shared" si="40"/>
        <v>0</v>
      </c>
      <c r="AR20" s="1973">
        <f t="shared" si="41"/>
        <v>0</v>
      </c>
      <c r="AS20" s="1973">
        <f t="shared" si="42"/>
        <v>0</v>
      </c>
      <c r="AT20" s="1972">
        <f t="shared" si="43"/>
        <v>0</v>
      </c>
      <c r="AU20" s="1973">
        <f t="shared" si="44"/>
        <v>0</v>
      </c>
      <c r="AV20" s="1973">
        <f t="shared" si="45"/>
        <v>0</v>
      </c>
      <c r="AW20" s="1972">
        <f t="shared" si="46"/>
        <v>0</v>
      </c>
      <c r="AX20" s="1973">
        <f t="shared" si="47"/>
        <v>0</v>
      </c>
      <c r="AY20" s="1973">
        <f t="shared" si="47"/>
        <v>0</v>
      </c>
      <c r="AZ20" s="1973">
        <f t="shared" si="47"/>
        <v>0</v>
      </c>
      <c r="BB20" s="1941">
        <f t="shared" ca="1" si="48"/>
        <v>0</v>
      </c>
      <c r="BC20" s="1941">
        <f t="shared" ca="1" si="49"/>
        <v>0</v>
      </c>
      <c r="BD20" s="1941">
        <f t="shared" ca="1" si="49"/>
        <v>0</v>
      </c>
      <c r="BE20" s="1941">
        <f t="shared" ca="1" si="49"/>
        <v>0</v>
      </c>
      <c r="BF20" s="1941">
        <f t="shared" ca="1" si="49"/>
        <v>0</v>
      </c>
      <c r="BG20" s="1941">
        <f t="shared" ca="1" si="49"/>
        <v>0</v>
      </c>
      <c r="BH20" s="1941">
        <f t="shared" ca="1" si="49"/>
        <v>0</v>
      </c>
      <c r="BI20" s="1941">
        <f t="shared" ca="1" si="49"/>
        <v>0</v>
      </c>
      <c r="BJ20" s="1941">
        <f t="shared" ca="1" si="49"/>
        <v>0</v>
      </c>
      <c r="BK20" s="1941">
        <f t="shared" ca="1" si="49"/>
        <v>0</v>
      </c>
      <c r="BL20" s="1941"/>
    </row>
    <row r="21" spans="1:64" ht="18" x14ac:dyDescent="0.45">
      <c r="A21" s="1966"/>
      <c r="B21" s="1966"/>
      <c r="C21" s="1967"/>
      <c r="D21" s="1968"/>
      <c r="E21" s="1969"/>
      <c r="F21" s="1970"/>
      <c r="G21" s="1971"/>
      <c r="H21" s="1969"/>
      <c r="I21" s="1970"/>
      <c r="J21" s="1971"/>
      <c r="K21" s="1969"/>
      <c r="L21" s="1970"/>
      <c r="M21" s="1971"/>
      <c r="N21" s="1969"/>
      <c r="O21" s="1970"/>
      <c r="P21" s="1971"/>
      <c r="Q21" s="1969"/>
      <c r="R21" s="1970"/>
      <c r="S21" s="1971"/>
      <c r="T21" s="1969"/>
      <c r="U21" s="1970"/>
      <c r="V21" s="1971"/>
      <c r="W21" s="1969"/>
      <c r="X21" s="1970"/>
      <c r="Y21" s="1971"/>
      <c r="Z21" s="1969"/>
      <c r="AA21" s="1970"/>
      <c r="AB21" s="1972">
        <f t="shared" si="25"/>
        <v>0</v>
      </c>
      <c r="AC21" s="1973">
        <f t="shared" si="26"/>
        <v>0</v>
      </c>
      <c r="AD21" s="1973">
        <f t="shared" si="27"/>
        <v>0</v>
      </c>
      <c r="AE21" s="1972">
        <f t="shared" si="28"/>
        <v>0</v>
      </c>
      <c r="AF21" s="1973">
        <f t="shared" si="29"/>
        <v>0</v>
      </c>
      <c r="AG21" s="1973">
        <f t="shared" si="30"/>
        <v>0</v>
      </c>
      <c r="AH21" s="1972">
        <f t="shared" si="31"/>
        <v>0</v>
      </c>
      <c r="AI21" s="1973">
        <f t="shared" si="32"/>
        <v>0</v>
      </c>
      <c r="AJ21" s="1973">
        <f t="shared" si="33"/>
        <v>0</v>
      </c>
      <c r="AK21" s="1972">
        <f t="shared" si="34"/>
        <v>0</v>
      </c>
      <c r="AL21" s="1973">
        <f t="shared" si="35"/>
        <v>0</v>
      </c>
      <c r="AM21" s="1973">
        <f t="shared" si="36"/>
        <v>0</v>
      </c>
      <c r="AN21" s="1972">
        <f t="shared" si="37"/>
        <v>0</v>
      </c>
      <c r="AO21" s="1973">
        <f t="shared" si="38"/>
        <v>0</v>
      </c>
      <c r="AP21" s="1973">
        <f t="shared" si="39"/>
        <v>0</v>
      </c>
      <c r="AQ21" s="1972">
        <f t="shared" si="40"/>
        <v>0</v>
      </c>
      <c r="AR21" s="1973">
        <f t="shared" si="41"/>
        <v>0</v>
      </c>
      <c r="AS21" s="1973">
        <f t="shared" si="42"/>
        <v>0</v>
      </c>
      <c r="AT21" s="1972">
        <f t="shared" si="43"/>
        <v>0</v>
      </c>
      <c r="AU21" s="1973">
        <f t="shared" si="44"/>
        <v>0</v>
      </c>
      <c r="AV21" s="1973">
        <f t="shared" si="45"/>
        <v>0</v>
      </c>
      <c r="AW21" s="1972">
        <f t="shared" si="46"/>
        <v>0</v>
      </c>
      <c r="AX21" s="1973">
        <f t="shared" si="47"/>
        <v>0</v>
      </c>
      <c r="AY21" s="1973">
        <f t="shared" si="47"/>
        <v>0</v>
      </c>
      <c r="AZ21" s="1973">
        <f t="shared" si="47"/>
        <v>0</v>
      </c>
      <c r="BB21" s="1941">
        <f t="shared" ca="1" si="48"/>
        <v>0</v>
      </c>
      <c r="BC21" s="1941">
        <f t="shared" ca="1" si="49"/>
        <v>0</v>
      </c>
      <c r="BD21" s="1941">
        <f t="shared" ca="1" si="49"/>
        <v>0</v>
      </c>
      <c r="BE21" s="1941">
        <f t="shared" ca="1" si="49"/>
        <v>0</v>
      </c>
      <c r="BF21" s="1941">
        <f t="shared" ca="1" si="49"/>
        <v>0</v>
      </c>
      <c r="BG21" s="1941">
        <f t="shared" ca="1" si="49"/>
        <v>0</v>
      </c>
      <c r="BH21" s="1941">
        <f t="shared" ca="1" si="49"/>
        <v>0</v>
      </c>
      <c r="BI21" s="1941">
        <f t="shared" ca="1" si="49"/>
        <v>0</v>
      </c>
      <c r="BJ21" s="1941">
        <f t="shared" ca="1" si="49"/>
        <v>0</v>
      </c>
      <c r="BK21" s="1941">
        <f t="shared" ca="1" si="49"/>
        <v>0</v>
      </c>
      <c r="BL21" s="1941"/>
    </row>
    <row r="22" spans="1:64" ht="18" x14ac:dyDescent="0.45">
      <c r="A22" s="1966"/>
      <c r="B22" s="1966"/>
      <c r="C22" s="1967" t="str">
        <f t="shared" ref="C22:C45" si="50">IFERROR(VLOOKUP(B22,$B$84:$C$96,2,FALSE),"")</f>
        <v/>
      </c>
      <c r="D22" s="1968"/>
      <c r="E22" s="1969"/>
      <c r="F22" s="1970"/>
      <c r="G22" s="1971"/>
      <c r="H22" s="1969"/>
      <c r="I22" s="1970"/>
      <c r="J22" s="1971"/>
      <c r="K22" s="1969"/>
      <c r="L22" s="1970"/>
      <c r="M22" s="1971"/>
      <c r="N22" s="1969"/>
      <c r="O22" s="1970"/>
      <c r="P22" s="1971"/>
      <c r="Q22" s="1969"/>
      <c r="R22" s="1970"/>
      <c r="S22" s="1971"/>
      <c r="T22" s="1969"/>
      <c r="U22" s="1970"/>
      <c r="V22" s="1971"/>
      <c r="W22" s="1969"/>
      <c r="X22" s="1970"/>
      <c r="Y22" s="1971"/>
      <c r="Z22" s="1969"/>
      <c r="AA22" s="1970"/>
      <c r="AB22" s="1972">
        <f t="shared" si="25"/>
        <v>0</v>
      </c>
      <c r="AC22" s="1973">
        <f t="shared" si="26"/>
        <v>0</v>
      </c>
      <c r="AD22" s="1973">
        <f t="shared" si="27"/>
        <v>0</v>
      </c>
      <c r="AE22" s="1972">
        <f t="shared" si="28"/>
        <v>0</v>
      </c>
      <c r="AF22" s="1973">
        <f t="shared" si="29"/>
        <v>0</v>
      </c>
      <c r="AG22" s="1973">
        <f t="shared" si="30"/>
        <v>0</v>
      </c>
      <c r="AH22" s="1972">
        <f t="shared" si="31"/>
        <v>0</v>
      </c>
      <c r="AI22" s="1973">
        <f t="shared" si="32"/>
        <v>0</v>
      </c>
      <c r="AJ22" s="1973">
        <f t="shared" si="33"/>
        <v>0</v>
      </c>
      <c r="AK22" s="1972">
        <f t="shared" si="34"/>
        <v>0</v>
      </c>
      <c r="AL22" s="1973">
        <f t="shared" si="35"/>
        <v>0</v>
      </c>
      <c r="AM22" s="1973">
        <f t="shared" si="36"/>
        <v>0</v>
      </c>
      <c r="AN22" s="1972">
        <f t="shared" si="37"/>
        <v>0</v>
      </c>
      <c r="AO22" s="1973">
        <f t="shared" si="38"/>
        <v>0</v>
      </c>
      <c r="AP22" s="1973">
        <f t="shared" si="39"/>
        <v>0</v>
      </c>
      <c r="AQ22" s="1972">
        <f t="shared" si="40"/>
        <v>0</v>
      </c>
      <c r="AR22" s="1973">
        <f t="shared" si="41"/>
        <v>0</v>
      </c>
      <c r="AS22" s="1973">
        <f t="shared" si="42"/>
        <v>0</v>
      </c>
      <c r="AT22" s="1972">
        <f t="shared" si="43"/>
        <v>0</v>
      </c>
      <c r="AU22" s="1973">
        <f t="shared" si="44"/>
        <v>0</v>
      </c>
      <c r="AV22" s="1973">
        <f t="shared" si="45"/>
        <v>0</v>
      </c>
      <c r="AW22" s="1972">
        <f t="shared" si="46"/>
        <v>0</v>
      </c>
      <c r="AX22" s="1973">
        <f t="shared" si="47"/>
        <v>0</v>
      </c>
      <c r="AY22" s="1973">
        <f t="shared" si="47"/>
        <v>0</v>
      </c>
      <c r="AZ22" s="1973">
        <f t="shared" si="47"/>
        <v>0</v>
      </c>
      <c r="BB22" s="1941">
        <f t="shared" ca="1" si="48"/>
        <v>0</v>
      </c>
      <c r="BC22" s="1941">
        <f t="shared" ca="1" si="49"/>
        <v>0</v>
      </c>
      <c r="BD22" s="1941">
        <f t="shared" ca="1" si="49"/>
        <v>0</v>
      </c>
      <c r="BE22" s="1941">
        <f t="shared" ca="1" si="49"/>
        <v>0</v>
      </c>
      <c r="BF22" s="1941">
        <f t="shared" ca="1" si="49"/>
        <v>0</v>
      </c>
      <c r="BG22" s="1941">
        <f t="shared" ca="1" si="49"/>
        <v>0</v>
      </c>
      <c r="BH22" s="1941">
        <f t="shared" ca="1" si="49"/>
        <v>0</v>
      </c>
      <c r="BI22" s="1941">
        <f t="shared" ca="1" si="49"/>
        <v>0</v>
      </c>
      <c r="BJ22" s="1941">
        <f t="shared" ca="1" si="49"/>
        <v>0</v>
      </c>
      <c r="BK22" s="1941">
        <f t="shared" ca="1" si="49"/>
        <v>0</v>
      </c>
      <c r="BL22" s="1941"/>
    </row>
    <row r="23" spans="1:64" ht="18" x14ac:dyDescent="0.45">
      <c r="A23" s="1966"/>
      <c r="B23" s="1966"/>
      <c r="C23" s="1967" t="str">
        <f t="shared" si="50"/>
        <v/>
      </c>
      <c r="D23" s="1968"/>
      <c r="E23" s="1969"/>
      <c r="F23" s="1970"/>
      <c r="G23" s="1971"/>
      <c r="H23" s="1969"/>
      <c r="I23" s="1970"/>
      <c r="J23" s="1971"/>
      <c r="K23" s="1969"/>
      <c r="L23" s="1970"/>
      <c r="M23" s="1971"/>
      <c r="N23" s="1969"/>
      <c r="O23" s="1970"/>
      <c r="P23" s="1971"/>
      <c r="Q23" s="1969"/>
      <c r="R23" s="1970"/>
      <c r="S23" s="1971"/>
      <c r="T23" s="1969"/>
      <c r="U23" s="1970"/>
      <c r="V23" s="1971"/>
      <c r="W23" s="1969"/>
      <c r="X23" s="1970"/>
      <c r="Y23" s="1971"/>
      <c r="Z23" s="1969"/>
      <c r="AA23" s="1970"/>
      <c r="AB23" s="1972">
        <f t="shared" si="25"/>
        <v>0</v>
      </c>
      <c r="AC23" s="1973">
        <f t="shared" si="26"/>
        <v>0</v>
      </c>
      <c r="AD23" s="1973">
        <f t="shared" si="27"/>
        <v>0</v>
      </c>
      <c r="AE23" s="1972">
        <f t="shared" si="28"/>
        <v>0</v>
      </c>
      <c r="AF23" s="1973">
        <f t="shared" si="29"/>
        <v>0</v>
      </c>
      <c r="AG23" s="1973">
        <f t="shared" si="30"/>
        <v>0</v>
      </c>
      <c r="AH23" s="1972">
        <f t="shared" si="31"/>
        <v>0</v>
      </c>
      <c r="AI23" s="1973">
        <f t="shared" si="32"/>
        <v>0</v>
      </c>
      <c r="AJ23" s="1973">
        <f t="shared" si="33"/>
        <v>0</v>
      </c>
      <c r="AK23" s="1972">
        <f t="shared" si="34"/>
        <v>0</v>
      </c>
      <c r="AL23" s="1973">
        <f t="shared" si="35"/>
        <v>0</v>
      </c>
      <c r="AM23" s="1973">
        <f t="shared" si="36"/>
        <v>0</v>
      </c>
      <c r="AN23" s="1972">
        <f t="shared" si="37"/>
        <v>0</v>
      </c>
      <c r="AO23" s="1973">
        <f t="shared" si="38"/>
        <v>0</v>
      </c>
      <c r="AP23" s="1973">
        <f t="shared" si="39"/>
        <v>0</v>
      </c>
      <c r="AQ23" s="1972">
        <f t="shared" si="40"/>
        <v>0</v>
      </c>
      <c r="AR23" s="1973">
        <f t="shared" si="41"/>
        <v>0</v>
      </c>
      <c r="AS23" s="1973">
        <f t="shared" si="42"/>
        <v>0</v>
      </c>
      <c r="AT23" s="1972">
        <f t="shared" si="43"/>
        <v>0</v>
      </c>
      <c r="AU23" s="1973">
        <f t="shared" si="44"/>
        <v>0</v>
      </c>
      <c r="AV23" s="1973">
        <f t="shared" si="45"/>
        <v>0</v>
      </c>
      <c r="AW23" s="1972">
        <f t="shared" si="46"/>
        <v>0</v>
      </c>
      <c r="AX23" s="1973">
        <f t="shared" si="47"/>
        <v>0</v>
      </c>
      <c r="AY23" s="1973">
        <f t="shared" si="47"/>
        <v>0</v>
      </c>
      <c r="AZ23" s="1973">
        <f t="shared" si="47"/>
        <v>0</v>
      </c>
      <c r="BB23" s="1941">
        <f t="shared" ca="1" si="48"/>
        <v>0</v>
      </c>
      <c r="BC23" s="1941">
        <f t="shared" ca="1" si="49"/>
        <v>0</v>
      </c>
      <c r="BD23" s="1941">
        <f t="shared" ca="1" si="49"/>
        <v>0</v>
      </c>
      <c r="BE23" s="1941">
        <f t="shared" ca="1" si="49"/>
        <v>0</v>
      </c>
      <c r="BF23" s="1941">
        <f t="shared" ca="1" si="49"/>
        <v>0</v>
      </c>
      <c r="BG23" s="1941">
        <f t="shared" ca="1" si="49"/>
        <v>0</v>
      </c>
      <c r="BH23" s="1941">
        <f t="shared" ca="1" si="49"/>
        <v>0</v>
      </c>
      <c r="BI23" s="1941">
        <f t="shared" ca="1" si="49"/>
        <v>0</v>
      </c>
      <c r="BJ23" s="1941">
        <f t="shared" ca="1" si="49"/>
        <v>0</v>
      </c>
      <c r="BK23" s="1941">
        <f t="shared" ca="1" si="49"/>
        <v>0</v>
      </c>
      <c r="BL23" s="1941"/>
    </row>
    <row r="24" spans="1:64" ht="18" x14ac:dyDescent="0.45">
      <c r="A24" s="1966"/>
      <c r="B24" s="1966"/>
      <c r="C24" s="1967" t="str">
        <f t="shared" si="50"/>
        <v/>
      </c>
      <c r="D24" s="1968"/>
      <c r="E24" s="1969"/>
      <c r="F24" s="1970"/>
      <c r="G24" s="1971"/>
      <c r="H24" s="1969"/>
      <c r="I24" s="1970"/>
      <c r="J24" s="1971"/>
      <c r="K24" s="1969"/>
      <c r="L24" s="1970"/>
      <c r="M24" s="1971"/>
      <c r="N24" s="1969"/>
      <c r="O24" s="1970"/>
      <c r="P24" s="1971"/>
      <c r="Q24" s="1969"/>
      <c r="R24" s="1970"/>
      <c r="S24" s="1971"/>
      <c r="T24" s="1969"/>
      <c r="U24" s="1970"/>
      <c r="V24" s="1971"/>
      <c r="W24" s="1969"/>
      <c r="X24" s="1970"/>
      <c r="Y24" s="1971"/>
      <c r="Z24" s="1969"/>
      <c r="AA24" s="1970"/>
      <c r="AB24" s="1972">
        <f t="shared" si="25"/>
        <v>0</v>
      </c>
      <c r="AC24" s="1973">
        <f t="shared" si="26"/>
        <v>0</v>
      </c>
      <c r="AD24" s="1973">
        <f t="shared" si="27"/>
        <v>0</v>
      </c>
      <c r="AE24" s="1972">
        <f t="shared" si="28"/>
        <v>0</v>
      </c>
      <c r="AF24" s="1973">
        <f t="shared" si="29"/>
        <v>0</v>
      </c>
      <c r="AG24" s="1973">
        <f t="shared" si="30"/>
        <v>0</v>
      </c>
      <c r="AH24" s="1972">
        <f t="shared" si="31"/>
        <v>0</v>
      </c>
      <c r="AI24" s="1973">
        <f t="shared" si="32"/>
        <v>0</v>
      </c>
      <c r="AJ24" s="1973">
        <f t="shared" si="33"/>
        <v>0</v>
      </c>
      <c r="AK24" s="1972">
        <f t="shared" si="34"/>
        <v>0</v>
      </c>
      <c r="AL24" s="1973">
        <f t="shared" si="35"/>
        <v>0</v>
      </c>
      <c r="AM24" s="1973">
        <f t="shared" si="36"/>
        <v>0</v>
      </c>
      <c r="AN24" s="1972">
        <f t="shared" si="37"/>
        <v>0</v>
      </c>
      <c r="AO24" s="1973">
        <f t="shared" si="38"/>
        <v>0</v>
      </c>
      <c r="AP24" s="1973">
        <f t="shared" si="39"/>
        <v>0</v>
      </c>
      <c r="AQ24" s="1972">
        <f t="shared" si="40"/>
        <v>0</v>
      </c>
      <c r="AR24" s="1973">
        <f t="shared" si="41"/>
        <v>0</v>
      </c>
      <c r="AS24" s="1973">
        <f t="shared" si="42"/>
        <v>0</v>
      </c>
      <c r="AT24" s="1972">
        <f t="shared" si="43"/>
        <v>0</v>
      </c>
      <c r="AU24" s="1973">
        <f t="shared" si="44"/>
        <v>0</v>
      </c>
      <c r="AV24" s="1973">
        <f t="shared" si="45"/>
        <v>0</v>
      </c>
      <c r="AW24" s="1972">
        <f t="shared" si="46"/>
        <v>0</v>
      </c>
      <c r="AX24" s="1973">
        <f t="shared" si="47"/>
        <v>0</v>
      </c>
      <c r="AY24" s="1973">
        <f t="shared" si="47"/>
        <v>0</v>
      </c>
      <c r="AZ24" s="1973">
        <f t="shared" si="47"/>
        <v>0</v>
      </c>
      <c r="BB24" s="1941">
        <f t="shared" ca="1" si="48"/>
        <v>0</v>
      </c>
      <c r="BC24" s="1941">
        <f t="shared" ca="1" si="49"/>
        <v>0</v>
      </c>
      <c r="BD24" s="1941">
        <f t="shared" ca="1" si="49"/>
        <v>0</v>
      </c>
      <c r="BE24" s="1941">
        <f t="shared" ca="1" si="49"/>
        <v>0</v>
      </c>
      <c r="BF24" s="1941">
        <f t="shared" ca="1" si="49"/>
        <v>0</v>
      </c>
      <c r="BG24" s="1941">
        <f t="shared" ca="1" si="49"/>
        <v>0</v>
      </c>
      <c r="BH24" s="1941">
        <f t="shared" ca="1" si="49"/>
        <v>0</v>
      </c>
      <c r="BI24" s="1941">
        <f t="shared" ca="1" si="49"/>
        <v>0</v>
      </c>
      <c r="BJ24" s="1941">
        <f t="shared" ca="1" si="49"/>
        <v>0</v>
      </c>
      <c r="BK24" s="1941">
        <f t="shared" ca="1" si="49"/>
        <v>0</v>
      </c>
      <c r="BL24" s="1941"/>
    </row>
    <row r="25" spans="1:64" ht="18" x14ac:dyDescent="0.45">
      <c r="A25" s="1966"/>
      <c r="B25" s="1966"/>
      <c r="C25" s="1967" t="str">
        <f t="shared" si="50"/>
        <v/>
      </c>
      <c r="D25" s="1968"/>
      <c r="E25" s="1969"/>
      <c r="F25" s="1970"/>
      <c r="G25" s="1971"/>
      <c r="H25" s="1969"/>
      <c r="I25" s="1970"/>
      <c r="J25" s="1971"/>
      <c r="K25" s="1969"/>
      <c r="L25" s="1970"/>
      <c r="M25" s="1971"/>
      <c r="N25" s="1969"/>
      <c r="O25" s="1970"/>
      <c r="P25" s="1971"/>
      <c r="Q25" s="1969"/>
      <c r="R25" s="1970"/>
      <c r="S25" s="1971"/>
      <c r="T25" s="1969"/>
      <c r="U25" s="1970"/>
      <c r="V25" s="1971"/>
      <c r="W25" s="1969"/>
      <c r="X25" s="1970"/>
      <c r="Y25" s="1971"/>
      <c r="Z25" s="1969"/>
      <c r="AA25" s="1970"/>
      <c r="AB25" s="1972">
        <f t="shared" si="25"/>
        <v>0</v>
      </c>
      <c r="AC25" s="1973">
        <f t="shared" si="26"/>
        <v>0</v>
      </c>
      <c r="AD25" s="1973">
        <f t="shared" si="27"/>
        <v>0</v>
      </c>
      <c r="AE25" s="1972">
        <f t="shared" si="28"/>
        <v>0</v>
      </c>
      <c r="AF25" s="1973">
        <f t="shared" si="29"/>
        <v>0</v>
      </c>
      <c r="AG25" s="1973">
        <f t="shared" si="30"/>
        <v>0</v>
      </c>
      <c r="AH25" s="1972">
        <f t="shared" si="31"/>
        <v>0</v>
      </c>
      <c r="AI25" s="1973">
        <f t="shared" si="32"/>
        <v>0</v>
      </c>
      <c r="AJ25" s="1973">
        <f t="shared" si="33"/>
        <v>0</v>
      </c>
      <c r="AK25" s="1972">
        <f t="shared" si="34"/>
        <v>0</v>
      </c>
      <c r="AL25" s="1973">
        <f t="shared" si="35"/>
        <v>0</v>
      </c>
      <c r="AM25" s="1973">
        <f t="shared" si="36"/>
        <v>0</v>
      </c>
      <c r="AN25" s="1972">
        <f t="shared" si="37"/>
        <v>0</v>
      </c>
      <c r="AO25" s="1973">
        <f t="shared" si="38"/>
        <v>0</v>
      </c>
      <c r="AP25" s="1973">
        <f t="shared" si="39"/>
        <v>0</v>
      </c>
      <c r="AQ25" s="1972">
        <f t="shared" si="40"/>
        <v>0</v>
      </c>
      <c r="AR25" s="1973">
        <f t="shared" si="41"/>
        <v>0</v>
      </c>
      <c r="AS25" s="1973">
        <f t="shared" si="42"/>
        <v>0</v>
      </c>
      <c r="AT25" s="1972">
        <f t="shared" si="43"/>
        <v>0</v>
      </c>
      <c r="AU25" s="1973">
        <f t="shared" si="44"/>
        <v>0</v>
      </c>
      <c r="AV25" s="1973">
        <f t="shared" si="45"/>
        <v>0</v>
      </c>
      <c r="AW25" s="1972">
        <f t="shared" si="46"/>
        <v>0</v>
      </c>
      <c r="AX25" s="1973">
        <f t="shared" si="47"/>
        <v>0</v>
      </c>
      <c r="AY25" s="1973">
        <f t="shared" si="47"/>
        <v>0</v>
      </c>
      <c r="AZ25" s="1973">
        <f t="shared" si="47"/>
        <v>0</v>
      </c>
      <c r="BB25" s="1941">
        <f t="shared" ca="1" si="48"/>
        <v>0</v>
      </c>
      <c r="BC25" s="1941">
        <f t="shared" ca="1" si="49"/>
        <v>0</v>
      </c>
      <c r="BD25" s="1941">
        <f t="shared" ca="1" si="49"/>
        <v>0</v>
      </c>
      <c r="BE25" s="1941">
        <f t="shared" ca="1" si="49"/>
        <v>0</v>
      </c>
      <c r="BF25" s="1941">
        <f t="shared" ca="1" si="49"/>
        <v>0</v>
      </c>
      <c r="BG25" s="1941">
        <f t="shared" ca="1" si="49"/>
        <v>0</v>
      </c>
      <c r="BH25" s="1941">
        <f t="shared" ca="1" si="49"/>
        <v>0</v>
      </c>
      <c r="BI25" s="1941">
        <f t="shared" ca="1" si="49"/>
        <v>0</v>
      </c>
      <c r="BJ25" s="1941">
        <f t="shared" ca="1" si="49"/>
        <v>0</v>
      </c>
      <c r="BK25" s="1941">
        <f t="shared" ca="1" si="49"/>
        <v>0</v>
      </c>
      <c r="BL25" s="1941"/>
    </row>
    <row r="26" spans="1:64" ht="18" x14ac:dyDescent="0.45">
      <c r="A26" s="1966"/>
      <c r="B26" s="1966"/>
      <c r="C26" s="1967" t="str">
        <f t="shared" si="50"/>
        <v/>
      </c>
      <c r="D26" s="1968"/>
      <c r="E26" s="1969"/>
      <c r="F26" s="1970"/>
      <c r="G26" s="1971"/>
      <c r="H26" s="1969"/>
      <c r="I26" s="1970"/>
      <c r="J26" s="1971"/>
      <c r="K26" s="1969"/>
      <c r="L26" s="1970"/>
      <c r="M26" s="1971"/>
      <c r="N26" s="1969"/>
      <c r="O26" s="1970"/>
      <c r="P26" s="1971"/>
      <c r="Q26" s="1969"/>
      <c r="R26" s="1970"/>
      <c r="S26" s="1971"/>
      <c r="T26" s="1969"/>
      <c r="U26" s="1970"/>
      <c r="V26" s="1971"/>
      <c r="W26" s="1969"/>
      <c r="X26" s="1970"/>
      <c r="Y26" s="1971"/>
      <c r="Z26" s="1969"/>
      <c r="AA26" s="1970"/>
      <c r="AB26" s="1972">
        <f t="shared" si="25"/>
        <v>0</v>
      </c>
      <c r="AC26" s="1973">
        <f t="shared" si="26"/>
        <v>0</v>
      </c>
      <c r="AD26" s="1973">
        <f t="shared" si="27"/>
        <v>0</v>
      </c>
      <c r="AE26" s="1972">
        <f t="shared" si="28"/>
        <v>0</v>
      </c>
      <c r="AF26" s="1973">
        <f t="shared" si="29"/>
        <v>0</v>
      </c>
      <c r="AG26" s="1973">
        <f t="shared" si="30"/>
        <v>0</v>
      </c>
      <c r="AH26" s="1972">
        <f t="shared" si="31"/>
        <v>0</v>
      </c>
      <c r="AI26" s="1973">
        <f t="shared" si="32"/>
        <v>0</v>
      </c>
      <c r="AJ26" s="1973">
        <f t="shared" si="33"/>
        <v>0</v>
      </c>
      <c r="AK26" s="1972">
        <f t="shared" si="34"/>
        <v>0</v>
      </c>
      <c r="AL26" s="1973">
        <f t="shared" si="35"/>
        <v>0</v>
      </c>
      <c r="AM26" s="1973">
        <f t="shared" si="36"/>
        <v>0</v>
      </c>
      <c r="AN26" s="1972">
        <f t="shared" si="37"/>
        <v>0</v>
      </c>
      <c r="AO26" s="1973">
        <f t="shared" si="38"/>
        <v>0</v>
      </c>
      <c r="AP26" s="1973">
        <f t="shared" si="39"/>
        <v>0</v>
      </c>
      <c r="AQ26" s="1972">
        <f t="shared" si="40"/>
        <v>0</v>
      </c>
      <c r="AR26" s="1973">
        <f t="shared" si="41"/>
        <v>0</v>
      </c>
      <c r="AS26" s="1973">
        <f t="shared" si="42"/>
        <v>0</v>
      </c>
      <c r="AT26" s="1972">
        <f t="shared" si="43"/>
        <v>0</v>
      </c>
      <c r="AU26" s="1973">
        <f t="shared" si="44"/>
        <v>0</v>
      </c>
      <c r="AV26" s="1973">
        <f t="shared" si="45"/>
        <v>0</v>
      </c>
      <c r="AW26" s="1972">
        <f t="shared" si="46"/>
        <v>0</v>
      </c>
      <c r="AX26" s="1973">
        <f t="shared" si="47"/>
        <v>0</v>
      </c>
      <c r="AY26" s="1973">
        <f t="shared" si="47"/>
        <v>0</v>
      </c>
      <c r="AZ26" s="1973">
        <f t="shared" si="47"/>
        <v>0</v>
      </c>
      <c r="BB26" s="1941">
        <f t="shared" ca="1" si="48"/>
        <v>0</v>
      </c>
      <c r="BC26" s="1941">
        <f t="shared" ca="1" si="49"/>
        <v>0</v>
      </c>
      <c r="BD26" s="1941">
        <f t="shared" ca="1" si="49"/>
        <v>0</v>
      </c>
      <c r="BE26" s="1941">
        <f t="shared" ca="1" si="49"/>
        <v>0</v>
      </c>
      <c r="BF26" s="1941">
        <f t="shared" ca="1" si="49"/>
        <v>0</v>
      </c>
      <c r="BG26" s="1941">
        <f t="shared" ca="1" si="49"/>
        <v>0</v>
      </c>
      <c r="BH26" s="1941">
        <f t="shared" ca="1" si="49"/>
        <v>0</v>
      </c>
      <c r="BI26" s="1941">
        <f t="shared" ca="1" si="49"/>
        <v>0</v>
      </c>
      <c r="BJ26" s="1941">
        <f t="shared" ca="1" si="49"/>
        <v>0</v>
      </c>
      <c r="BK26" s="1941">
        <f t="shared" ca="1" si="49"/>
        <v>0</v>
      </c>
      <c r="BL26" s="1941"/>
    </row>
    <row r="27" spans="1:64" ht="18" x14ac:dyDescent="0.45">
      <c r="A27" s="1966"/>
      <c r="B27" s="1966"/>
      <c r="C27" s="1967" t="str">
        <f t="shared" si="50"/>
        <v/>
      </c>
      <c r="D27" s="1968"/>
      <c r="E27" s="1969"/>
      <c r="F27" s="1970"/>
      <c r="G27" s="1971"/>
      <c r="H27" s="1969"/>
      <c r="I27" s="1970"/>
      <c r="J27" s="1971"/>
      <c r="K27" s="1969"/>
      <c r="L27" s="1970"/>
      <c r="M27" s="1971"/>
      <c r="N27" s="1969"/>
      <c r="O27" s="1970"/>
      <c r="P27" s="1971"/>
      <c r="Q27" s="1969"/>
      <c r="R27" s="1970"/>
      <c r="S27" s="1971"/>
      <c r="T27" s="1969"/>
      <c r="U27" s="1970"/>
      <c r="V27" s="1971"/>
      <c r="W27" s="1969"/>
      <c r="X27" s="1970"/>
      <c r="Y27" s="1971"/>
      <c r="Z27" s="1969"/>
      <c r="AA27" s="1970"/>
      <c r="AB27" s="1972">
        <f t="shared" si="25"/>
        <v>0</v>
      </c>
      <c r="AC27" s="1973">
        <f t="shared" si="26"/>
        <v>0</v>
      </c>
      <c r="AD27" s="1973">
        <f t="shared" si="27"/>
        <v>0</v>
      </c>
      <c r="AE27" s="1972">
        <f t="shared" si="28"/>
        <v>0</v>
      </c>
      <c r="AF27" s="1973">
        <f t="shared" si="29"/>
        <v>0</v>
      </c>
      <c r="AG27" s="1973">
        <f t="shared" si="30"/>
        <v>0</v>
      </c>
      <c r="AH27" s="1972">
        <f t="shared" si="31"/>
        <v>0</v>
      </c>
      <c r="AI27" s="1973">
        <f t="shared" si="32"/>
        <v>0</v>
      </c>
      <c r="AJ27" s="1973">
        <f t="shared" si="33"/>
        <v>0</v>
      </c>
      <c r="AK27" s="1972">
        <f t="shared" si="34"/>
        <v>0</v>
      </c>
      <c r="AL27" s="1973">
        <f t="shared" si="35"/>
        <v>0</v>
      </c>
      <c r="AM27" s="1973">
        <f t="shared" si="36"/>
        <v>0</v>
      </c>
      <c r="AN27" s="1972">
        <f t="shared" si="37"/>
        <v>0</v>
      </c>
      <c r="AO27" s="1973">
        <f t="shared" si="38"/>
        <v>0</v>
      </c>
      <c r="AP27" s="1973">
        <f t="shared" si="39"/>
        <v>0</v>
      </c>
      <c r="AQ27" s="1972">
        <f t="shared" si="40"/>
        <v>0</v>
      </c>
      <c r="AR27" s="1973">
        <f t="shared" si="41"/>
        <v>0</v>
      </c>
      <c r="AS27" s="1973">
        <f t="shared" si="42"/>
        <v>0</v>
      </c>
      <c r="AT27" s="1972">
        <f t="shared" si="43"/>
        <v>0</v>
      </c>
      <c r="AU27" s="1973">
        <f t="shared" si="44"/>
        <v>0</v>
      </c>
      <c r="AV27" s="1973">
        <f t="shared" si="45"/>
        <v>0</v>
      </c>
      <c r="AW27" s="1972">
        <f t="shared" si="46"/>
        <v>0</v>
      </c>
      <c r="AX27" s="1973">
        <f t="shared" si="47"/>
        <v>0</v>
      </c>
      <c r="AY27" s="1973">
        <f t="shared" si="47"/>
        <v>0</v>
      </c>
      <c r="AZ27" s="1973">
        <f t="shared" si="47"/>
        <v>0</v>
      </c>
      <c r="BB27" s="1941">
        <f t="shared" ca="1" si="48"/>
        <v>0</v>
      </c>
      <c r="BC27" s="1941">
        <f t="shared" ca="1" si="49"/>
        <v>0</v>
      </c>
      <c r="BD27" s="1941">
        <f t="shared" ca="1" si="49"/>
        <v>0</v>
      </c>
      <c r="BE27" s="1941">
        <f t="shared" ca="1" si="49"/>
        <v>0</v>
      </c>
      <c r="BF27" s="1941">
        <f t="shared" ca="1" si="49"/>
        <v>0</v>
      </c>
      <c r="BG27" s="1941">
        <f t="shared" ca="1" si="49"/>
        <v>0</v>
      </c>
      <c r="BH27" s="1941">
        <f t="shared" ca="1" si="49"/>
        <v>0</v>
      </c>
      <c r="BI27" s="1941">
        <f t="shared" ca="1" si="49"/>
        <v>0</v>
      </c>
      <c r="BJ27" s="1941">
        <f t="shared" ca="1" si="49"/>
        <v>0</v>
      </c>
      <c r="BK27" s="1941">
        <f t="shared" ca="1" si="49"/>
        <v>0</v>
      </c>
      <c r="BL27" s="1941"/>
    </row>
    <row r="28" spans="1:64" ht="18" x14ac:dyDescent="0.45">
      <c r="A28" s="1966"/>
      <c r="B28" s="1966"/>
      <c r="C28" s="1967" t="str">
        <f t="shared" si="50"/>
        <v/>
      </c>
      <c r="D28" s="1968"/>
      <c r="E28" s="1969"/>
      <c r="F28" s="1970"/>
      <c r="G28" s="1971"/>
      <c r="H28" s="1969"/>
      <c r="I28" s="1970"/>
      <c r="J28" s="1971"/>
      <c r="K28" s="1969"/>
      <c r="L28" s="1970"/>
      <c r="M28" s="1971"/>
      <c r="N28" s="1969"/>
      <c r="O28" s="1970"/>
      <c r="P28" s="1971"/>
      <c r="Q28" s="1969"/>
      <c r="R28" s="1970"/>
      <c r="S28" s="1971"/>
      <c r="T28" s="1969"/>
      <c r="U28" s="1970"/>
      <c r="V28" s="1971"/>
      <c r="W28" s="1969"/>
      <c r="X28" s="1970"/>
      <c r="Y28" s="1971"/>
      <c r="Z28" s="1969"/>
      <c r="AA28" s="1970"/>
      <c r="AB28" s="1972">
        <f t="shared" si="2"/>
        <v>0</v>
      </c>
      <c r="AC28" s="1973">
        <f t="shared" si="3"/>
        <v>0</v>
      </c>
      <c r="AD28" s="1973">
        <f t="shared" si="4"/>
        <v>0</v>
      </c>
      <c r="AE28" s="1972">
        <f t="shared" si="5"/>
        <v>0</v>
      </c>
      <c r="AF28" s="1973">
        <f t="shared" si="6"/>
        <v>0</v>
      </c>
      <c r="AG28" s="1973">
        <f t="shared" si="7"/>
        <v>0</v>
      </c>
      <c r="AH28" s="1972">
        <f t="shared" si="8"/>
        <v>0</v>
      </c>
      <c r="AI28" s="1973">
        <f t="shared" si="9"/>
        <v>0</v>
      </c>
      <c r="AJ28" s="1973">
        <f t="shared" si="10"/>
        <v>0</v>
      </c>
      <c r="AK28" s="1972">
        <f t="shared" si="11"/>
        <v>0</v>
      </c>
      <c r="AL28" s="1973">
        <f t="shared" si="12"/>
        <v>0</v>
      </c>
      <c r="AM28" s="1973">
        <f t="shared" si="13"/>
        <v>0</v>
      </c>
      <c r="AN28" s="1972">
        <f t="shared" si="14"/>
        <v>0</v>
      </c>
      <c r="AO28" s="1973">
        <f t="shared" si="15"/>
        <v>0</v>
      </c>
      <c r="AP28" s="1973">
        <f t="shared" si="16"/>
        <v>0</v>
      </c>
      <c r="AQ28" s="1972">
        <f t="shared" si="17"/>
        <v>0</v>
      </c>
      <c r="AR28" s="1973">
        <f t="shared" si="18"/>
        <v>0</v>
      </c>
      <c r="AS28" s="1973">
        <f t="shared" si="19"/>
        <v>0</v>
      </c>
      <c r="AT28" s="1972">
        <f t="shared" si="20"/>
        <v>0</v>
      </c>
      <c r="AU28" s="1973">
        <f t="shared" si="21"/>
        <v>0</v>
      </c>
      <c r="AV28" s="1973">
        <f t="shared" si="22"/>
        <v>0</v>
      </c>
      <c r="AW28" s="1972">
        <f t="shared" si="23"/>
        <v>0</v>
      </c>
      <c r="AX28" s="1973">
        <f t="shared" si="47"/>
        <v>0</v>
      </c>
      <c r="AY28" s="1973">
        <f t="shared" si="47"/>
        <v>0</v>
      </c>
      <c r="AZ28" s="1973">
        <f t="shared" si="47"/>
        <v>0</v>
      </c>
      <c r="BB28" s="1941">
        <f t="shared" ca="1" si="48"/>
        <v>0</v>
      </c>
      <c r="BC28" s="1941">
        <f t="shared" ca="1" si="49"/>
        <v>0</v>
      </c>
      <c r="BD28" s="1941">
        <f t="shared" ca="1" si="49"/>
        <v>0</v>
      </c>
      <c r="BE28" s="1941">
        <f t="shared" ca="1" si="49"/>
        <v>0</v>
      </c>
      <c r="BF28" s="1941">
        <f t="shared" ca="1" si="49"/>
        <v>0</v>
      </c>
      <c r="BG28" s="1941">
        <f t="shared" ca="1" si="49"/>
        <v>0</v>
      </c>
      <c r="BH28" s="1941">
        <f t="shared" ca="1" si="49"/>
        <v>0</v>
      </c>
      <c r="BI28" s="1941">
        <f t="shared" ca="1" si="49"/>
        <v>0</v>
      </c>
      <c r="BJ28" s="1941">
        <f t="shared" ca="1" si="49"/>
        <v>0</v>
      </c>
      <c r="BK28" s="1941">
        <f t="shared" ca="1" si="49"/>
        <v>0</v>
      </c>
      <c r="BL28" s="1941"/>
    </row>
    <row r="29" spans="1:64" ht="18" x14ac:dyDescent="0.45">
      <c r="A29" s="1966"/>
      <c r="B29" s="1966"/>
      <c r="C29" s="1967" t="str">
        <f t="shared" si="50"/>
        <v/>
      </c>
      <c r="D29" s="1968"/>
      <c r="E29" s="1969"/>
      <c r="F29" s="1970"/>
      <c r="G29" s="1971"/>
      <c r="H29" s="1969"/>
      <c r="I29" s="1970"/>
      <c r="J29" s="1971"/>
      <c r="K29" s="1969"/>
      <c r="L29" s="1970"/>
      <c r="M29" s="1971"/>
      <c r="N29" s="1969"/>
      <c r="O29" s="1970"/>
      <c r="P29" s="1971"/>
      <c r="Q29" s="1969"/>
      <c r="R29" s="1970"/>
      <c r="S29" s="1971"/>
      <c r="T29" s="1969"/>
      <c r="U29" s="1970"/>
      <c r="V29" s="1971"/>
      <c r="W29" s="1969"/>
      <c r="X29" s="1970"/>
      <c r="Y29" s="1971"/>
      <c r="Z29" s="1969"/>
      <c r="AA29" s="1970"/>
      <c r="AB29" s="1972">
        <f t="shared" si="2"/>
        <v>0</v>
      </c>
      <c r="AC29" s="1973">
        <f t="shared" si="3"/>
        <v>0</v>
      </c>
      <c r="AD29" s="1973">
        <f t="shared" si="4"/>
        <v>0</v>
      </c>
      <c r="AE29" s="1972">
        <f t="shared" si="5"/>
        <v>0</v>
      </c>
      <c r="AF29" s="1973">
        <f t="shared" si="6"/>
        <v>0</v>
      </c>
      <c r="AG29" s="1973">
        <f t="shared" si="7"/>
        <v>0</v>
      </c>
      <c r="AH29" s="1972">
        <f t="shared" si="8"/>
        <v>0</v>
      </c>
      <c r="AI29" s="1973">
        <f t="shared" si="9"/>
        <v>0</v>
      </c>
      <c r="AJ29" s="1973">
        <f t="shared" si="10"/>
        <v>0</v>
      </c>
      <c r="AK29" s="1972">
        <f t="shared" si="11"/>
        <v>0</v>
      </c>
      <c r="AL29" s="1973">
        <f t="shared" si="12"/>
        <v>0</v>
      </c>
      <c r="AM29" s="1973">
        <f t="shared" si="13"/>
        <v>0</v>
      </c>
      <c r="AN29" s="1972">
        <f t="shared" si="14"/>
        <v>0</v>
      </c>
      <c r="AO29" s="1973">
        <f t="shared" si="15"/>
        <v>0</v>
      </c>
      <c r="AP29" s="1973">
        <f t="shared" si="16"/>
        <v>0</v>
      </c>
      <c r="AQ29" s="1972">
        <f t="shared" si="17"/>
        <v>0</v>
      </c>
      <c r="AR29" s="1973">
        <f t="shared" si="18"/>
        <v>0</v>
      </c>
      <c r="AS29" s="1973">
        <f t="shared" si="19"/>
        <v>0</v>
      </c>
      <c r="AT29" s="1972">
        <f t="shared" si="20"/>
        <v>0</v>
      </c>
      <c r="AU29" s="1973">
        <f t="shared" si="21"/>
        <v>0</v>
      </c>
      <c r="AV29" s="1973">
        <f t="shared" si="22"/>
        <v>0</v>
      </c>
      <c r="AW29" s="1972">
        <f t="shared" si="23"/>
        <v>0</v>
      </c>
      <c r="AX29" s="1973">
        <f t="shared" si="47"/>
        <v>0</v>
      </c>
      <c r="AY29" s="1973">
        <f t="shared" si="47"/>
        <v>0</v>
      </c>
      <c r="AZ29" s="1973">
        <f t="shared" si="47"/>
        <v>0</v>
      </c>
      <c r="BB29" s="1941">
        <f t="shared" ca="1" si="48"/>
        <v>0</v>
      </c>
      <c r="BC29" s="1941">
        <f t="shared" ca="1" si="49"/>
        <v>0</v>
      </c>
      <c r="BD29" s="1941">
        <f t="shared" ca="1" si="49"/>
        <v>0</v>
      </c>
      <c r="BE29" s="1941">
        <f t="shared" ca="1" si="49"/>
        <v>0</v>
      </c>
      <c r="BF29" s="1941">
        <f t="shared" ca="1" si="49"/>
        <v>0</v>
      </c>
      <c r="BG29" s="1941">
        <f t="shared" ca="1" si="49"/>
        <v>0</v>
      </c>
      <c r="BH29" s="1941">
        <f t="shared" ca="1" si="49"/>
        <v>0</v>
      </c>
      <c r="BI29" s="1941">
        <f t="shared" ca="1" si="49"/>
        <v>0</v>
      </c>
      <c r="BJ29" s="1941">
        <f t="shared" ca="1" si="49"/>
        <v>0</v>
      </c>
      <c r="BK29" s="1941">
        <f t="shared" ca="1" si="49"/>
        <v>0</v>
      </c>
      <c r="BL29" s="1941"/>
    </row>
    <row r="30" spans="1:64" ht="18" x14ac:dyDescent="0.45">
      <c r="A30" s="1966"/>
      <c r="B30" s="1966"/>
      <c r="C30" s="1967" t="str">
        <f t="shared" si="50"/>
        <v/>
      </c>
      <c r="D30" s="1968"/>
      <c r="E30" s="1969"/>
      <c r="F30" s="1970"/>
      <c r="G30" s="1971"/>
      <c r="H30" s="1969"/>
      <c r="I30" s="1970"/>
      <c r="J30" s="1971"/>
      <c r="K30" s="1969"/>
      <c r="L30" s="1970"/>
      <c r="M30" s="1971"/>
      <c r="N30" s="1969"/>
      <c r="O30" s="1970"/>
      <c r="P30" s="1971"/>
      <c r="Q30" s="1969"/>
      <c r="R30" s="1970"/>
      <c r="S30" s="1971"/>
      <c r="T30" s="1969"/>
      <c r="U30" s="1970"/>
      <c r="V30" s="1971"/>
      <c r="W30" s="1969"/>
      <c r="X30" s="1970"/>
      <c r="Y30" s="1971"/>
      <c r="Z30" s="1969"/>
      <c r="AA30" s="1970"/>
      <c r="AB30" s="1972">
        <f t="shared" si="2"/>
        <v>0</v>
      </c>
      <c r="AC30" s="1973">
        <f t="shared" si="3"/>
        <v>0</v>
      </c>
      <c r="AD30" s="1973">
        <f t="shared" si="4"/>
        <v>0</v>
      </c>
      <c r="AE30" s="1972">
        <f t="shared" si="5"/>
        <v>0</v>
      </c>
      <c r="AF30" s="1973">
        <f t="shared" si="6"/>
        <v>0</v>
      </c>
      <c r="AG30" s="1973">
        <f t="shared" si="7"/>
        <v>0</v>
      </c>
      <c r="AH30" s="1972">
        <f t="shared" si="8"/>
        <v>0</v>
      </c>
      <c r="AI30" s="1973">
        <f t="shared" si="9"/>
        <v>0</v>
      </c>
      <c r="AJ30" s="1973">
        <f t="shared" si="10"/>
        <v>0</v>
      </c>
      <c r="AK30" s="1972">
        <f t="shared" si="11"/>
        <v>0</v>
      </c>
      <c r="AL30" s="1973">
        <f t="shared" si="12"/>
        <v>0</v>
      </c>
      <c r="AM30" s="1973">
        <f t="shared" si="13"/>
        <v>0</v>
      </c>
      <c r="AN30" s="1972">
        <f t="shared" si="14"/>
        <v>0</v>
      </c>
      <c r="AO30" s="1973">
        <f t="shared" si="15"/>
        <v>0</v>
      </c>
      <c r="AP30" s="1973">
        <f t="shared" si="16"/>
        <v>0</v>
      </c>
      <c r="AQ30" s="1972">
        <f t="shared" si="17"/>
        <v>0</v>
      </c>
      <c r="AR30" s="1973">
        <f t="shared" si="18"/>
        <v>0</v>
      </c>
      <c r="AS30" s="1973">
        <f t="shared" si="19"/>
        <v>0</v>
      </c>
      <c r="AT30" s="1972">
        <f t="shared" si="20"/>
        <v>0</v>
      </c>
      <c r="AU30" s="1973">
        <f t="shared" si="21"/>
        <v>0</v>
      </c>
      <c r="AV30" s="1973">
        <f t="shared" si="22"/>
        <v>0</v>
      </c>
      <c r="AW30" s="1972">
        <f t="shared" si="23"/>
        <v>0</v>
      </c>
      <c r="AX30" s="1973">
        <f t="shared" si="47"/>
        <v>0</v>
      </c>
      <c r="AY30" s="1973">
        <f t="shared" si="47"/>
        <v>0</v>
      </c>
      <c r="AZ30" s="1973">
        <f t="shared" si="47"/>
        <v>0</v>
      </c>
      <c r="BB30" s="1941">
        <f t="shared" ca="1" si="48"/>
        <v>0</v>
      </c>
      <c r="BC30" s="1941">
        <f t="shared" ca="1" si="48"/>
        <v>0</v>
      </c>
      <c r="BD30" s="1941">
        <f t="shared" ca="1" si="48"/>
        <v>0</v>
      </c>
      <c r="BE30" s="1941">
        <f t="shared" ca="1" si="48"/>
        <v>0</v>
      </c>
      <c r="BF30" s="1941">
        <f t="shared" ca="1" si="48"/>
        <v>0</v>
      </c>
      <c r="BG30" s="1941">
        <f t="shared" ca="1" si="48"/>
        <v>0</v>
      </c>
      <c r="BH30" s="1941">
        <f t="shared" ca="1" si="48"/>
        <v>0</v>
      </c>
      <c r="BI30" s="1941">
        <f t="shared" ca="1" si="48"/>
        <v>0</v>
      </c>
      <c r="BJ30" s="1941">
        <f t="shared" ca="1" si="48"/>
        <v>0</v>
      </c>
      <c r="BK30" s="1941">
        <f t="shared" ca="1" si="48"/>
        <v>0</v>
      </c>
      <c r="BL30" s="1941"/>
    </row>
    <row r="31" spans="1:64" ht="18" x14ac:dyDescent="0.45">
      <c r="A31" s="1966"/>
      <c r="B31" s="1966"/>
      <c r="C31" s="1967" t="str">
        <f t="shared" si="50"/>
        <v/>
      </c>
      <c r="D31" s="1968"/>
      <c r="E31" s="1969"/>
      <c r="F31" s="1970"/>
      <c r="G31" s="1971"/>
      <c r="H31" s="1969"/>
      <c r="I31" s="1970"/>
      <c r="J31" s="1971"/>
      <c r="K31" s="1969"/>
      <c r="L31" s="1970"/>
      <c r="M31" s="1971"/>
      <c r="N31" s="1969"/>
      <c r="O31" s="1970"/>
      <c r="P31" s="1971"/>
      <c r="Q31" s="1969"/>
      <c r="R31" s="1970"/>
      <c r="S31" s="1971"/>
      <c r="T31" s="1969"/>
      <c r="U31" s="1970"/>
      <c r="V31" s="1971"/>
      <c r="W31" s="1969"/>
      <c r="X31" s="1970"/>
      <c r="Y31" s="1971"/>
      <c r="Z31" s="1969"/>
      <c r="AA31" s="1970"/>
      <c r="AB31" s="1972">
        <f t="shared" si="2"/>
        <v>0</v>
      </c>
      <c r="AC31" s="1973">
        <f t="shared" si="3"/>
        <v>0</v>
      </c>
      <c r="AD31" s="1973">
        <f t="shared" si="4"/>
        <v>0</v>
      </c>
      <c r="AE31" s="1972">
        <f t="shared" si="5"/>
        <v>0</v>
      </c>
      <c r="AF31" s="1973">
        <f t="shared" si="6"/>
        <v>0</v>
      </c>
      <c r="AG31" s="1973">
        <f t="shared" si="7"/>
        <v>0</v>
      </c>
      <c r="AH31" s="1972">
        <f t="shared" si="8"/>
        <v>0</v>
      </c>
      <c r="AI31" s="1973">
        <f t="shared" si="9"/>
        <v>0</v>
      </c>
      <c r="AJ31" s="1973">
        <f t="shared" si="10"/>
        <v>0</v>
      </c>
      <c r="AK31" s="1972">
        <f t="shared" si="11"/>
        <v>0</v>
      </c>
      <c r="AL31" s="1973">
        <f t="shared" si="12"/>
        <v>0</v>
      </c>
      <c r="AM31" s="1973">
        <f t="shared" si="13"/>
        <v>0</v>
      </c>
      <c r="AN31" s="1972">
        <f t="shared" si="14"/>
        <v>0</v>
      </c>
      <c r="AO31" s="1973">
        <f t="shared" si="15"/>
        <v>0</v>
      </c>
      <c r="AP31" s="1973">
        <f t="shared" si="16"/>
        <v>0</v>
      </c>
      <c r="AQ31" s="1972">
        <f t="shared" si="17"/>
        <v>0</v>
      </c>
      <c r="AR31" s="1973">
        <f t="shared" si="18"/>
        <v>0</v>
      </c>
      <c r="AS31" s="1973">
        <f t="shared" si="19"/>
        <v>0</v>
      </c>
      <c r="AT31" s="1972">
        <f t="shared" si="20"/>
        <v>0</v>
      </c>
      <c r="AU31" s="1973">
        <f t="shared" si="21"/>
        <v>0</v>
      </c>
      <c r="AV31" s="1973">
        <f t="shared" si="22"/>
        <v>0</v>
      </c>
      <c r="AW31" s="1972">
        <f t="shared" si="23"/>
        <v>0</v>
      </c>
      <c r="AX31" s="1973">
        <f t="shared" ref="AX31:AZ72" si="51">SUM(AB31,AE31,AH31,AK31,AN31,AQ31,AT31)</f>
        <v>0</v>
      </c>
      <c r="AY31" s="1973">
        <f t="shared" si="51"/>
        <v>0</v>
      </c>
      <c r="AZ31" s="1973">
        <f t="shared" si="51"/>
        <v>0</v>
      </c>
      <c r="BB31" s="1941">
        <f t="shared" ca="1" si="48"/>
        <v>0</v>
      </c>
      <c r="BC31" s="1941">
        <f t="shared" ca="1" si="48"/>
        <v>0</v>
      </c>
      <c r="BD31" s="1941">
        <f t="shared" ca="1" si="48"/>
        <v>0</v>
      </c>
      <c r="BE31" s="1941">
        <f t="shared" ca="1" si="48"/>
        <v>0</v>
      </c>
      <c r="BF31" s="1941">
        <f t="shared" ca="1" si="48"/>
        <v>0</v>
      </c>
      <c r="BG31" s="1941">
        <f t="shared" ca="1" si="48"/>
        <v>0</v>
      </c>
      <c r="BH31" s="1941">
        <f t="shared" ca="1" si="48"/>
        <v>0</v>
      </c>
      <c r="BI31" s="1941">
        <f t="shared" ca="1" si="48"/>
        <v>0</v>
      </c>
      <c r="BJ31" s="1941">
        <f t="shared" ca="1" si="48"/>
        <v>0</v>
      </c>
      <c r="BK31" s="1941">
        <f t="shared" ca="1" si="48"/>
        <v>0</v>
      </c>
      <c r="BL31" s="1941"/>
    </row>
    <row r="32" spans="1:64" ht="18" x14ac:dyDescent="0.45">
      <c r="A32" s="1966"/>
      <c r="B32" s="1966"/>
      <c r="C32" s="1967" t="str">
        <f t="shared" si="50"/>
        <v/>
      </c>
      <c r="D32" s="1968"/>
      <c r="E32" s="1969"/>
      <c r="F32" s="1970"/>
      <c r="G32" s="1971"/>
      <c r="H32" s="1969"/>
      <c r="I32" s="1970"/>
      <c r="J32" s="1971"/>
      <c r="K32" s="1969"/>
      <c r="L32" s="1970"/>
      <c r="M32" s="1971"/>
      <c r="N32" s="1969"/>
      <c r="O32" s="1970"/>
      <c r="P32" s="1971"/>
      <c r="Q32" s="1969"/>
      <c r="R32" s="1970"/>
      <c r="S32" s="1971"/>
      <c r="T32" s="1969"/>
      <c r="U32" s="1970"/>
      <c r="V32" s="1971"/>
      <c r="W32" s="1969"/>
      <c r="X32" s="1970"/>
      <c r="Y32" s="1971"/>
      <c r="Z32" s="1969"/>
      <c r="AA32" s="1970"/>
      <c r="AB32" s="1972">
        <f t="shared" si="2"/>
        <v>0</v>
      </c>
      <c r="AC32" s="1973">
        <f t="shared" si="3"/>
        <v>0</v>
      </c>
      <c r="AD32" s="1973">
        <f t="shared" si="4"/>
        <v>0</v>
      </c>
      <c r="AE32" s="1972">
        <f t="shared" si="5"/>
        <v>0</v>
      </c>
      <c r="AF32" s="1973">
        <f t="shared" si="6"/>
        <v>0</v>
      </c>
      <c r="AG32" s="1973">
        <f t="shared" si="7"/>
        <v>0</v>
      </c>
      <c r="AH32" s="1972">
        <f t="shared" si="8"/>
        <v>0</v>
      </c>
      <c r="AI32" s="1973">
        <f t="shared" si="9"/>
        <v>0</v>
      </c>
      <c r="AJ32" s="1973">
        <f t="shared" si="10"/>
        <v>0</v>
      </c>
      <c r="AK32" s="1972">
        <f t="shared" si="11"/>
        <v>0</v>
      </c>
      <c r="AL32" s="1973">
        <f t="shared" si="12"/>
        <v>0</v>
      </c>
      <c r="AM32" s="1973">
        <f t="shared" si="13"/>
        <v>0</v>
      </c>
      <c r="AN32" s="1972">
        <f t="shared" si="14"/>
        <v>0</v>
      </c>
      <c r="AO32" s="1973">
        <f t="shared" si="15"/>
        <v>0</v>
      </c>
      <c r="AP32" s="1973">
        <f t="shared" si="16"/>
        <v>0</v>
      </c>
      <c r="AQ32" s="1972">
        <f t="shared" si="17"/>
        <v>0</v>
      </c>
      <c r="AR32" s="1973">
        <f t="shared" si="18"/>
        <v>0</v>
      </c>
      <c r="AS32" s="1973">
        <f t="shared" si="19"/>
        <v>0</v>
      </c>
      <c r="AT32" s="1972">
        <f t="shared" si="20"/>
        <v>0</v>
      </c>
      <c r="AU32" s="1973">
        <f t="shared" si="21"/>
        <v>0</v>
      </c>
      <c r="AV32" s="1973">
        <f t="shared" si="22"/>
        <v>0</v>
      </c>
      <c r="AW32" s="1972">
        <f t="shared" si="23"/>
        <v>0</v>
      </c>
      <c r="AX32" s="1973">
        <f t="shared" si="51"/>
        <v>0</v>
      </c>
      <c r="AY32" s="1973">
        <f t="shared" si="51"/>
        <v>0</v>
      </c>
      <c r="AZ32" s="1973">
        <f t="shared" si="51"/>
        <v>0</v>
      </c>
      <c r="BB32" s="1941">
        <f t="shared" ca="1" si="48"/>
        <v>0</v>
      </c>
      <c r="BC32" s="1941">
        <f t="shared" ca="1" si="48"/>
        <v>0</v>
      </c>
      <c r="BD32" s="1941">
        <f t="shared" ca="1" si="48"/>
        <v>0</v>
      </c>
      <c r="BE32" s="1941">
        <f t="shared" ca="1" si="48"/>
        <v>0</v>
      </c>
      <c r="BF32" s="1941">
        <f t="shared" ca="1" si="48"/>
        <v>0</v>
      </c>
      <c r="BG32" s="1941">
        <f t="shared" ca="1" si="48"/>
        <v>0</v>
      </c>
      <c r="BH32" s="1941">
        <f t="shared" ca="1" si="48"/>
        <v>0</v>
      </c>
      <c r="BI32" s="1941">
        <f t="shared" ca="1" si="48"/>
        <v>0</v>
      </c>
      <c r="BJ32" s="1941">
        <f t="shared" ca="1" si="48"/>
        <v>0</v>
      </c>
      <c r="BK32" s="1941">
        <f t="shared" ca="1" si="48"/>
        <v>0</v>
      </c>
      <c r="BL32" s="1941"/>
    </row>
    <row r="33" spans="1:64" ht="18" x14ac:dyDescent="0.45">
      <c r="A33" s="1966"/>
      <c r="B33" s="1966"/>
      <c r="C33" s="1967" t="str">
        <f t="shared" si="50"/>
        <v/>
      </c>
      <c r="D33" s="1968"/>
      <c r="E33" s="1969"/>
      <c r="F33" s="1970"/>
      <c r="G33" s="1971"/>
      <c r="H33" s="1969"/>
      <c r="I33" s="1970"/>
      <c r="J33" s="1971"/>
      <c r="K33" s="1969"/>
      <c r="L33" s="1970"/>
      <c r="M33" s="1971"/>
      <c r="N33" s="1969"/>
      <c r="O33" s="1970"/>
      <c r="P33" s="1971"/>
      <c r="Q33" s="1969"/>
      <c r="R33" s="1970"/>
      <c r="S33" s="1971"/>
      <c r="T33" s="1969"/>
      <c r="U33" s="1970"/>
      <c r="V33" s="1971"/>
      <c r="W33" s="1969"/>
      <c r="X33" s="1970"/>
      <c r="Y33" s="1971"/>
      <c r="Z33" s="1969"/>
      <c r="AA33" s="1970"/>
      <c r="AB33" s="1972">
        <f t="shared" si="2"/>
        <v>0</v>
      </c>
      <c r="AC33" s="1973">
        <f t="shared" si="3"/>
        <v>0</v>
      </c>
      <c r="AD33" s="1973">
        <f t="shared" si="4"/>
        <v>0</v>
      </c>
      <c r="AE33" s="1972">
        <f t="shared" si="5"/>
        <v>0</v>
      </c>
      <c r="AF33" s="1973">
        <f t="shared" si="6"/>
        <v>0</v>
      </c>
      <c r="AG33" s="1973">
        <f t="shared" si="7"/>
        <v>0</v>
      </c>
      <c r="AH33" s="1972">
        <f t="shared" si="8"/>
        <v>0</v>
      </c>
      <c r="AI33" s="1973">
        <f t="shared" si="9"/>
        <v>0</v>
      </c>
      <c r="AJ33" s="1973">
        <f t="shared" si="10"/>
        <v>0</v>
      </c>
      <c r="AK33" s="1972">
        <f t="shared" si="11"/>
        <v>0</v>
      </c>
      <c r="AL33" s="1973">
        <f t="shared" si="12"/>
        <v>0</v>
      </c>
      <c r="AM33" s="1973">
        <f t="shared" si="13"/>
        <v>0</v>
      </c>
      <c r="AN33" s="1972">
        <f t="shared" si="14"/>
        <v>0</v>
      </c>
      <c r="AO33" s="1973">
        <f t="shared" si="15"/>
        <v>0</v>
      </c>
      <c r="AP33" s="1973">
        <f t="shared" si="16"/>
        <v>0</v>
      </c>
      <c r="AQ33" s="1972">
        <f t="shared" si="17"/>
        <v>0</v>
      </c>
      <c r="AR33" s="1973">
        <f t="shared" si="18"/>
        <v>0</v>
      </c>
      <c r="AS33" s="1973">
        <f t="shared" si="19"/>
        <v>0</v>
      </c>
      <c r="AT33" s="1972">
        <f t="shared" si="20"/>
        <v>0</v>
      </c>
      <c r="AU33" s="1973">
        <f t="shared" si="21"/>
        <v>0</v>
      </c>
      <c r="AV33" s="1973">
        <f t="shared" si="22"/>
        <v>0</v>
      </c>
      <c r="AW33" s="1972">
        <f t="shared" si="23"/>
        <v>0</v>
      </c>
      <c r="AX33" s="1973">
        <f t="shared" si="51"/>
        <v>0</v>
      </c>
      <c r="AY33" s="1973">
        <f t="shared" si="51"/>
        <v>0</v>
      </c>
      <c r="AZ33" s="1973">
        <f t="shared" si="51"/>
        <v>0</v>
      </c>
      <c r="BB33" s="1941">
        <f t="shared" ca="1" si="48"/>
        <v>0</v>
      </c>
      <c r="BC33" s="1941">
        <f t="shared" ca="1" si="48"/>
        <v>0</v>
      </c>
      <c r="BD33" s="1941">
        <f t="shared" ca="1" si="48"/>
        <v>0</v>
      </c>
      <c r="BE33" s="1941">
        <f t="shared" ca="1" si="48"/>
        <v>0</v>
      </c>
      <c r="BF33" s="1941">
        <f t="shared" ca="1" si="48"/>
        <v>0</v>
      </c>
      <c r="BG33" s="1941">
        <f t="shared" ca="1" si="48"/>
        <v>0</v>
      </c>
      <c r="BH33" s="1941">
        <f t="shared" ca="1" si="48"/>
        <v>0</v>
      </c>
      <c r="BI33" s="1941">
        <f t="shared" ca="1" si="48"/>
        <v>0</v>
      </c>
      <c r="BJ33" s="1941">
        <f t="shared" ca="1" si="48"/>
        <v>0</v>
      </c>
      <c r="BK33" s="1941">
        <f t="shared" ca="1" si="48"/>
        <v>0</v>
      </c>
      <c r="BL33" s="1941"/>
    </row>
    <row r="34" spans="1:64" ht="18" x14ac:dyDescent="0.45">
      <c r="A34" s="1966"/>
      <c r="B34" s="1966"/>
      <c r="C34" s="1967" t="str">
        <f t="shared" si="50"/>
        <v/>
      </c>
      <c r="D34" s="1968"/>
      <c r="E34" s="1969"/>
      <c r="F34" s="1970"/>
      <c r="G34" s="1971"/>
      <c r="H34" s="1969"/>
      <c r="I34" s="1970"/>
      <c r="J34" s="1971"/>
      <c r="K34" s="1969"/>
      <c r="L34" s="1970"/>
      <c r="M34" s="1971"/>
      <c r="N34" s="1969"/>
      <c r="O34" s="1970"/>
      <c r="P34" s="1971"/>
      <c r="Q34" s="1969"/>
      <c r="R34" s="1970"/>
      <c r="S34" s="1971"/>
      <c r="T34" s="1969"/>
      <c r="U34" s="1970"/>
      <c r="V34" s="1971"/>
      <c r="W34" s="1969"/>
      <c r="X34" s="1970"/>
      <c r="Y34" s="1971"/>
      <c r="Z34" s="1969"/>
      <c r="AA34" s="1970"/>
      <c r="AB34" s="1972">
        <f t="shared" si="2"/>
        <v>0</v>
      </c>
      <c r="AC34" s="1973">
        <f t="shared" si="3"/>
        <v>0</v>
      </c>
      <c r="AD34" s="1973">
        <f t="shared" si="4"/>
        <v>0</v>
      </c>
      <c r="AE34" s="1972">
        <f t="shared" si="5"/>
        <v>0</v>
      </c>
      <c r="AF34" s="1973">
        <f t="shared" si="6"/>
        <v>0</v>
      </c>
      <c r="AG34" s="1973">
        <f t="shared" si="7"/>
        <v>0</v>
      </c>
      <c r="AH34" s="1972">
        <f t="shared" si="8"/>
        <v>0</v>
      </c>
      <c r="AI34" s="1973">
        <f t="shared" si="9"/>
        <v>0</v>
      </c>
      <c r="AJ34" s="1973">
        <f t="shared" si="10"/>
        <v>0</v>
      </c>
      <c r="AK34" s="1972">
        <f t="shared" si="11"/>
        <v>0</v>
      </c>
      <c r="AL34" s="1973">
        <f t="shared" si="12"/>
        <v>0</v>
      </c>
      <c r="AM34" s="1973">
        <f t="shared" si="13"/>
        <v>0</v>
      </c>
      <c r="AN34" s="1972">
        <f t="shared" si="14"/>
        <v>0</v>
      </c>
      <c r="AO34" s="1973">
        <f t="shared" si="15"/>
        <v>0</v>
      </c>
      <c r="AP34" s="1973">
        <f t="shared" si="16"/>
        <v>0</v>
      </c>
      <c r="AQ34" s="1972">
        <f t="shared" si="17"/>
        <v>0</v>
      </c>
      <c r="AR34" s="1973">
        <f t="shared" si="18"/>
        <v>0</v>
      </c>
      <c r="AS34" s="1973">
        <f t="shared" si="19"/>
        <v>0</v>
      </c>
      <c r="AT34" s="1972">
        <f t="shared" si="20"/>
        <v>0</v>
      </c>
      <c r="AU34" s="1973">
        <f t="shared" si="21"/>
        <v>0</v>
      </c>
      <c r="AV34" s="1973">
        <f t="shared" si="22"/>
        <v>0</v>
      </c>
      <c r="AW34" s="1972">
        <f t="shared" si="23"/>
        <v>0</v>
      </c>
      <c r="AX34" s="1973">
        <f t="shared" si="51"/>
        <v>0</v>
      </c>
      <c r="AY34" s="1973">
        <f t="shared" si="51"/>
        <v>0</v>
      </c>
      <c r="AZ34" s="1973">
        <f t="shared" si="51"/>
        <v>0</v>
      </c>
      <c r="BB34" s="1941">
        <f t="shared" ca="1" si="48"/>
        <v>0</v>
      </c>
      <c r="BC34" s="1941">
        <f t="shared" ca="1" si="48"/>
        <v>0</v>
      </c>
      <c r="BD34" s="1941">
        <f t="shared" ca="1" si="48"/>
        <v>0</v>
      </c>
      <c r="BE34" s="1941">
        <f t="shared" ca="1" si="48"/>
        <v>0</v>
      </c>
      <c r="BF34" s="1941">
        <f t="shared" ca="1" si="48"/>
        <v>0</v>
      </c>
      <c r="BG34" s="1941">
        <f t="shared" ca="1" si="48"/>
        <v>0</v>
      </c>
      <c r="BH34" s="1941">
        <f t="shared" ca="1" si="48"/>
        <v>0</v>
      </c>
      <c r="BI34" s="1941">
        <f t="shared" ca="1" si="48"/>
        <v>0</v>
      </c>
      <c r="BJ34" s="1941">
        <f t="shared" ca="1" si="48"/>
        <v>0</v>
      </c>
      <c r="BK34" s="1941">
        <f t="shared" ca="1" si="48"/>
        <v>0</v>
      </c>
      <c r="BL34" s="1941"/>
    </row>
    <row r="35" spans="1:64" ht="18" x14ac:dyDescent="0.45">
      <c r="A35" s="1966"/>
      <c r="B35" s="1966"/>
      <c r="C35" s="1967" t="str">
        <f t="shared" si="50"/>
        <v/>
      </c>
      <c r="D35" s="1968"/>
      <c r="E35" s="1969"/>
      <c r="F35" s="1970"/>
      <c r="G35" s="1971"/>
      <c r="H35" s="1969"/>
      <c r="I35" s="1970"/>
      <c r="J35" s="1971"/>
      <c r="K35" s="1969"/>
      <c r="L35" s="1970"/>
      <c r="M35" s="1971"/>
      <c r="N35" s="1969"/>
      <c r="O35" s="1970"/>
      <c r="P35" s="1971"/>
      <c r="Q35" s="1969"/>
      <c r="R35" s="1970"/>
      <c r="S35" s="1971"/>
      <c r="T35" s="1969"/>
      <c r="U35" s="1970"/>
      <c r="V35" s="1971"/>
      <c r="W35" s="1969"/>
      <c r="X35" s="1970"/>
      <c r="Y35" s="1971"/>
      <c r="Z35" s="1969"/>
      <c r="AA35" s="1970"/>
      <c r="AB35" s="1972">
        <f t="shared" si="2"/>
        <v>0</v>
      </c>
      <c r="AC35" s="1973">
        <f t="shared" si="3"/>
        <v>0</v>
      </c>
      <c r="AD35" s="1973">
        <f t="shared" si="4"/>
        <v>0</v>
      </c>
      <c r="AE35" s="1972">
        <f t="shared" si="5"/>
        <v>0</v>
      </c>
      <c r="AF35" s="1973">
        <f t="shared" si="6"/>
        <v>0</v>
      </c>
      <c r="AG35" s="1973">
        <f t="shared" si="7"/>
        <v>0</v>
      </c>
      <c r="AH35" s="1972">
        <f t="shared" si="8"/>
        <v>0</v>
      </c>
      <c r="AI35" s="1973">
        <f t="shared" si="9"/>
        <v>0</v>
      </c>
      <c r="AJ35" s="1973">
        <f t="shared" si="10"/>
        <v>0</v>
      </c>
      <c r="AK35" s="1972">
        <f t="shared" si="11"/>
        <v>0</v>
      </c>
      <c r="AL35" s="1973">
        <f t="shared" si="12"/>
        <v>0</v>
      </c>
      <c r="AM35" s="1973">
        <f t="shared" si="13"/>
        <v>0</v>
      </c>
      <c r="AN35" s="1972">
        <f t="shared" si="14"/>
        <v>0</v>
      </c>
      <c r="AO35" s="1973">
        <f t="shared" si="15"/>
        <v>0</v>
      </c>
      <c r="AP35" s="1973">
        <f t="shared" si="16"/>
        <v>0</v>
      </c>
      <c r="AQ35" s="1972">
        <f t="shared" si="17"/>
        <v>0</v>
      </c>
      <c r="AR35" s="1973">
        <f t="shared" si="18"/>
        <v>0</v>
      </c>
      <c r="AS35" s="1973">
        <f t="shared" si="19"/>
        <v>0</v>
      </c>
      <c r="AT35" s="1972">
        <f t="shared" si="20"/>
        <v>0</v>
      </c>
      <c r="AU35" s="1973">
        <f t="shared" si="21"/>
        <v>0</v>
      </c>
      <c r="AV35" s="1973">
        <f t="shared" si="22"/>
        <v>0</v>
      </c>
      <c r="AW35" s="1972">
        <f t="shared" si="23"/>
        <v>0</v>
      </c>
      <c r="AX35" s="1973">
        <f t="shared" si="51"/>
        <v>0</v>
      </c>
      <c r="AY35" s="1973">
        <f t="shared" si="51"/>
        <v>0</v>
      </c>
      <c r="AZ35" s="1973">
        <f t="shared" si="51"/>
        <v>0</v>
      </c>
      <c r="BB35" s="1941">
        <f t="shared" ca="1" si="48"/>
        <v>0</v>
      </c>
      <c r="BC35" s="1941">
        <f t="shared" ca="1" si="48"/>
        <v>0</v>
      </c>
      <c r="BD35" s="1941">
        <f t="shared" ca="1" si="48"/>
        <v>0</v>
      </c>
      <c r="BE35" s="1941">
        <f t="shared" ca="1" si="48"/>
        <v>0</v>
      </c>
      <c r="BF35" s="1941">
        <f t="shared" ca="1" si="48"/>
        <v>0</v>
      </c>
      <c r="BG35" s="1941">
        <f t="shared" ca="1" si="48"/>
        <v>0</v>
      </c>
      <c r="BH35" s="1941">
        <f t="shared" ca="1" si="48"/>
        <v>0</v>
      </c>
      <c r="BI35" s="1941">
        <f t="shared" ca="1" si="48"/>
        <v>0</v>
      </c>
      <c r="BJ35" s="1941">
        <f t="shared" ca="1" si="48"/>
        <v>0</v>
      </c>
      <c r="BK35" s="1941">
        <f t="shared" ca="1" si="48"/>
        <v>0</v>
      </c>
      <c r="BL35" s="1941"/>
    </row>
    <row r="36" spans="1:64" ht="18" x14ac:dyDescent="0.45">
      <c r="A36" s="1966"/>
      <c r="B36" s="1966"/>
      <c r="C36" s="1967" t="str">
        <f t="shared" si="50"/>
        <v/>
      </c>
      <c r="D36" s="1968"/>
      <c r="E36" s="1969"/>
      <c r="F36" s="1970"/>
      <c r="G36" s="1971"/>
      <c r="H36" s="1969"/>
      <c r="I36" s="1970"/>
      <c r="J36" s="1971"/>
      <c r="K36" s="1969"/>
      <c r="L36" s="1970"/>
      <c r="M36" s="1971"/>
      <c r="N36" s="1969"/>
      <c r="O36" s="1970"/>
      <c r="P36" s="1971"/>
      <c r="Q36" s="1969"/>
      <c r="R36" s="1970"/>
      <c r="S36" s="1971"/>
      <c r="T36" s="1969"/>
      <c r="U36" s="1970"/>
      <c r="V36" s="1971"/>
      <c r="W36" s="1969"/>
      <c r="X36" s="1970"/>
      <c r="Y36" s="1971"/>
      <c r="Z36" s="1969"/>
      <c r="AA36" s="1970"/>
      <c r="AB36" s="1972">
        <f t="shared" si="2"/>
        <v>0</v>
      </c>
      <c r="AC36" s="1973">
        <f t="shared" si="3"/>
        <v>0</v>
      </c>
      <c r="AD36" s="1973">
        <f t="shared" si="4"/>
        <v>0</v>
      </c>
      <c r="AE36" s="1972">
        <f t="shared" si="5"/>
        <v>0</v>
      </c>
      <c r="AF36" s="1973">
        <f t="shared" si="6"/>
        <v>0</v>
      </c>
      <c r="AG36" s="1973">
        <f t="shared" si="7"/>
        <v>0</v>
      </c>
      <c r="AH36" s="1972">
        <f t="shared" si="8"/>
        <v>0</v>
      </c>
      <c r="AI36" s="1973">
        <f t="shared" si="9"/>
        <v>0</v>
      </c>
      <c r="AJ36" s="1973">
        <f t="shared" si="10"/>
        <v>0</v>
      </c>
      <c r="AK36" s="1972">
        <f t="shared" si="11"/>
        <v>0</v>
      </c>
      <c r="AL36" s="1973">
        <f t="shared" si="12"/>
        <v>0</v>
      </c>
      <c r="AM36" s="1973">
        <f t="shared" si="13"/>
        <v>0</v>
      </c>
      <c r="AN36" s="1972">
        <f t="shared" si="14"/>
        <v>0</v>
      </c>
      <c r="AO36" s="1973">
        <f t="shared" si="15"/>
        <v>0</v>
      </c>
      <c r="AP36" s="1973">
        <f t="shared" si="16"/>
        <v>0</v>
      </c>
      <c r="AQ36" s="1972">
        <f t="shared" si="17"/>
        <v>0</v>
      </c>
      <c r="AR36" s="1973">
        <f t="shared" si="18"/>
        <v>0</v>
      </c>
      <c r="AS36" s="1973">
        <f t="shared" si="19"/>
        <v>0</v>
      </c>
      <c r="AT36" s="1972">
        <f t="shared" si="20"/>
        <v>0</v>
      </c>
      <c r="AU36" s="1973">
        <f t="shared" si="21"/>
        <v>0</v>
      </c>
      <c r="AV36" s="1973">
        <f t="shared" si="22"/>
        <v>0</v>
      </c>
      <c r="AW36" s="1972">
        <f t="shared" si="23"/>
        <v>0</v>
      </c>
      <c r="AX36" s="1973">
        <f t="shared" si="51"/>
        <v>0</v>
      </c>
      <c r="AY36" s="1973">
        <f t="shared" si="51"/>
        <v>0</v>
      </c>
      <c r="AZ36" s="1973">
        <f t="shared" si="51"/>
        <v>0</v>
      </c>
      <c r="BB36" s="1941">
        <f t="shared" ca="1" si="48"/>
        <v>0</v>
      </c>
      <c r="BC36" s="1941">
        <f t="shared" ca="1" si="48"/>
        <v>0</v>
      </c>
      <c r="BD36" s="1941">
        <f t="shared" ca="1" si="48"/>
        <v>0</v>
      </c>
      <c r="BE36" s="1941">
        <f t="shared" ca="1" si="48"/>
        <v>0</v>
      </c>
      <c r="BF36" s="1941">
        <f t="shared" ca="1" si="48"/>
        <v>0</v>
      </c>
      <c r="BG36" s="1941">
        <f t="shared" ca="1" si="48"/>
        <v>0</v>
      </c>
      <c r="BH36" s="1941">
        <f t="shared" ca="1" si="48"/>
        <v>0</v>
      </c>
      <c r="BI36" s="1941">
        <f t="shared" ca="1" si="48"/>
        <v>0</v>
      </c>
      <c r="BJ36" s="1941">
        <f t="shared" ca="1" si="48"/>
        <v>0</v>
      </c>
      <c r="BK36" s="1941">
        <f t="shared" ca="1" si="48"/>
        <v>0</v>
      </c>
      <c r="BL36" s="1941"/>
    </row>
    <row r="37" spans="1:64" ht="18" x14ac:dyDescent="0.45">
      <c r="A37" s="1966"/>
      <c r="B37" s="1966"/>
      <c r="C37" s="1967" t="str">
        <f t="shared" si="50"/>
        <v/>
      </c>
      <c r="D37" s="1968"/>
      <c r="E37" s="1969"/>
      <c r="F37" s="1970"/>
      <c r="G37" s="1971"/>
      <c r="H37" s="1969"/>
      <c r="I37" s="1970"/>
      <c r="J37" s="1971"/>
      <c r="K37" s="1969"/>
      <c r="L37" s="1970"/>
      <c r="M37" s="1971"/>
      <c r="N37" s="1969"/>
      <c r="O37" s="1970"/>
      <c r="P37" s="1971"/>
      <c r="Q37" s="1969"/>
      <c r="R37" s="1970"/>
      <c r="S37" s="1971"/>
      <c r="T37" s="1969"/>
      <c r="U37" s="1970"/>
      <c r="V37" s="1971"/>
      <c r="W37" s="1969"/>
      <c r="X37" s="1970"/>
      <c r="Y37" s="1971"/>
      <c r="Z37" s="1969"/>
      <c r="AA37" s="1970"/>
      <c r="AB37" s="1972">
        <f t="shared" si="2"/>
        <v>0</v>
      </c>
      <c r="AC37" s="1973">
        <f t="shared" si="3"/>
        <v>0</v>
      </c>
      <c r="AD37" s="1973">
        <f t="shared" si="4"/>
        <v>0</v>
      </c>
      <c r="AE37" s="1972">
        <f t="shared" si="5"/>
        <v>0</v>
      </c>
      <c r="AF37" s="1973">
        <f t="shared" si="6"/>
        <v>0</v>
      </c>
      <c r="AG37" s="1973">
        <f t="shared" si="7"/>
        <v>0</v>
      </c>
      <c r="AH37" s="1972">
        <f t="shared" si="8"/>
        <v>0</v>
      </c>
      <c r="AI37" s="1973">
        <f t="shared" si="9"/>
        <v>0</v>
      </c>
      <c r="AJ37" s="1973">
        <f t="shared" si="10"/>
        <v>0</v>
      </c>
      <c r="AK37" s="1972">
        <f t="shared" si="11"/>
        <v>0</v>
      </c>
      <c r="AL37" s="1973">
        <f t="shared" si="12"/>
        <v>0</v>
      </c>
      <c r="AM37" s="1973">
        <f t="shared" si="13"/>
        <v>0</v>
      </c>
      <c r="AN37" s="1972">
        <f t="shared" si="14"/>
        <v>0</v>
      </c>
      <c r="AO37" s="1973">
        <f t="shared" si="15"/>
        <v>0</v>
      </c>
      <c r="AP37" s="1973">
        <f t="shared" si="16"/>
        <v>0</v>
      </c>
      <c r="AQ37" s="1972">
        <f t="shared" si="17"/>
        <v>0</v>
      </c>
      <c r="AR37" s="1973">
        <f t="shared" si="18"/>
        <v>0</v>
      </c>
      <c r="AS37" s="1973">
        <f t="shared" si="19"/>
        <v>0</v>
      </c>
      <c r="AT37" s="1972">
        <f t="shared" si="20"/>
        <v>0</v>
      </c>
      <c r="AU37" s="1973">
        <f t="shared" si="21"/>
        <v>0</v>
      </c>
      <c r="AV37" s="1973">
        <f t="shared" si="22"/>
        <v>0</v>
      </c>
      <c r="AW37" s="1972">
        <f t="shared" si="23"/>
        <v>0</v>
      </c>
      <c r="AX37" s="1973">
        <f t="shared" si="51"/>
        <v>0</v>
      </c>
      <c r="AY37" s="1973">
        <f t="shared" si="51"/>
        <v>0</v>
      </c>
      <c r="AZ37" s="1973">
        <f t="shared" si="51"/>
        <v>0</v>
      </c>
      <c r="BB37" s="1941">
        <f t="shared" ca="1" si="48"/>
        <v>0</v>
      </c>
      <c r="BC37" s="1941">
        <f t="shared" ca="1" si="48"/>
        <v>0</v>
      </c>
      <c r="BD37" s="1941">
        <f t="shared" ca="1" si="48"/>
        <v>0</v>
      </c>
      <c r="BE37" s="1941">
        <f t="shared" ca="1" si="48"/>
        <v>0</v>
      </c>
      <c r="BF37" s="1941">
        <f t="shared" ca="1" si="48"/>
        <v>0</v>
      </c>
      <c r="BG37" s="1941">
        <f t="shared" ca="1" si="48"/>
        <v>0</v>
      </c>
      <c r="BH37" s="1941">
        <f t="shared" ca="1" si="48"/>
        <v>0</v>
      </c>
      <c r="BI37" s="1941">
        <f t="shared" ca="1" si="48"/>
        <v>0</v>
      </c>
      <c r="BJ37" s="1941">
        <f t="shared" ca="1" si="48"/>
        <v>0</v>
      </c>
      <c r="BK37" s="1941">
        <f t="shared" ca="1" si="48"/>
        <v>0</v>
      </c>
      <c r="BL37" s="1941"/>
    </row>
    <row r="38" spans="1:64" ht="18" x14ac:dyDescent="0.45">
      <c r="A38" s="1966"/>
      <c r="B38" s="1966"/>
      <c r="C38" s="1967" t="str">
        <f t="shared" si="50"/>
        <v/>
      </c>
      <c r="D38" s="1968"/>
      <c r="E38" s="1969"/>
      <c r="F38" s="1970"/>
      <c r="G38" s="1971"/>
      <c r="H38" s="1969"/>
      <c r="I38" s="1970"/>
      <c r="J38" s="1971"/>
      <c r="K38" s="1969"/>
      <c r="L38" s="1970"/>
      <c r="M38" s="1971"/>
      <c r="N38" s="1969"/>
      <c r="O38" s="1970"/>
      <c r="P38" s="1971"/>
      <c r="Q38" s="1969"/>
      <c r="R38" s="1970"/>
      <c r="S38" s="1971"/>
      <c r="T38" s="1969"/>
      <c r="U38" s="1970"/>
      <c r="V38" s="1971"/>
      <c r="W38" s="1969"/>
      <c r="X38" s="1970"/>
      <c r="Y38" s="1971"/>
      <c r="Z38" s="1969"/>
      <c r="AA38" s="1970"/>
      <c r="AB38" s="1972">
        <f t="shared" si="2"/>
        <v>0</v>
      </c>
      <c r="AC38" s="1973">
        <f t="shared" si="3"/>
        <v>0</v>
      </c>
      <c r="AD38" s="1973">
        <f t="shared" si="4"/>
        <v>0</v>
      </c>
      <c r="AE38" s="1972">
        <f t="shared" si="5"/>
        <v>0</v>
      </c>
      <c r="AF38" s="1973">
        <f t="shared" si="6"/>
        <v>0</v>
      </c>
      <c r="AG38" s="1973">
        <f t="shared" si="7"/>
        <v>0</v>
      </c>
      <c r="AH38" s="1972">
        <f t="shared" si="8"/>
        <v>0</v>
      </c>
      <c r="AI38" s="1973">
        <f t="shared" si="9"/>
        <v>0</v>
      </c>
      <c r="AJ38" s="1973">
        <f t="shared" si="10"/>
        <v>0</v>
      </c>
      <c r="AK38" s="1972">
        <f t="shared" si="11"/>
        <v>0</v>
      </c>
      <c r="AL38" s="1973">
        <f t="shared" si="12"/>
        <v>0</v>
      </c>
      <c r="AM38" s="1973">
        <f t="shared" si="13"/>
        <v>0</v>
      </c>
      <c r="AN38" s="1972">
        <f t="shared" si="14"/>
        <v>0</v>
      </c>
      <c r="AO38" s="1973">
        <f t="shared" si="15"/>
        <v>0</v>
      </c>
      <c r="AP38" s="1973">
        <f t="shared" si="16"/>
        <v>0</v>
      </c>
      <c r="AQ38" s="1972">
        <f t="shared" si="17"/>
        <v>0</v>
      </c>
      <c r="AR38" s="1973">
        <f t="shared" si="18"/>
        <v>0</v>
      </c>
      <c r="AS38" s="1973">
        <f t="shared" si="19"/>
        <v>0</v>
      </c>
      <c r="AT38" s="1972">
        <f t="shared" si="20"/>
        <v>0</v>
      </c>
      <c r="AU38" s="1973">
        <f t="shared" si="21"/>
        <v>0</v>
      </c>
      <c r="AV38" s="1973">
        <f t="shared" si="22"/>
        <v>0</v>
      </c>
      <c r="AW38" s="1972">
        <f t="shared" si="23"/>
        <v>0</v>
      </c>
      <c r="AX38" s="1973">
        <f t="shared" si="51"/>
        <v>0</v>
      </c>
      <c r="AY38" s="1973">
        <f t="shared" si="51"/>
        <v>0</v>
      </c>
      <c r="AZ38" s="1973">
        <f t="shared" si="51"/>
        <v>0</v>
      </c>
      <c r="BB38" s="1941">
        <f t="shared" ca="1" si="48"/>
        <v>0</v>
      </c>
      <c r="BC38" s="1941">
        <f t="shared" ca="1" si="48"/>
        <v>0</v>
      </c>
      <c r="BD38" s="1941">
        <f t="shared" ca="1" si="48"/>
        <v>0</v>
      </c>
      <c r="BE38" s="1941">
        <f t="shared" ca="1" si="48"/>
        <v>0</v>
      </c>
      <c r="BF38" s="1941">
        <f t="shared" ca="1" si="48"/>
        <v>0</v>
      </c>
      <c r="BG38" s="1941">
        <f t="shared" ca="1" si="48"/>
        <v>0</v>
      </c>
      <c r="BH38" s="1941">
        <f t="shared" ca="1" si="48"/>
        <v>0</v>
      </c>
      <c r="BI38" s="1941">
        <f t="shared" ca="1" si="48"/>
        <v>0</v>
      </c>
      <c r="BJ38" s="1941">
        <f t="shared" ca="1" si="48"/>
        <v>0</v>
      </c>
      <c r="BK38" s="1941">
        <f t="shared" ca="1" si="48"/>
        <v>0</v>
      </c>
      <c r="BL38" s="1941"/>
    </row>
    <row r="39" spans="1:64" ht="18" x14ac:dyDescent="0.45">
      <c r="A39" s="1966"/>
      <c r="B39" s="1966"/>
      <c r="C39" s="1967" t="str">
        <f t="shared" si="50"/>
        <v/>
      </c>
      <c r="D39" s="1968"/>
      <c r="E39" s="1969"/>
      <c r="F39" s="1970"/>
      <c r="G39" s="1971"/>
      <c r="H39" s="1969"/>
      <c r="I39" s="1970"/>
      <c r="J39" s="1971"/>
      <c r="K39" s="1969"/>
      <c r="L39" s="1970"/>
      <c r="M39" s="1971"/>
      <c r="N39" s="1969"/>
      <c r="O39" s="1970"/>
      <c r="P39" s="1971"/>
      <c r="Q39" s="1969"/>
      <c r="R39" s="1970"/>
      <c r="S39" s="1971"/>
      <c r="T39" s="1969"/>
      <c r="U39" s="1970"/>
      <c r="V39" s="1971"/>
      <c r="W39" s="1969"/>
      <c r="X39" s="1970"/>
      <c r="Y39" s="1971"/>
      <c r="Z39" s="1969"/>
      <c r="AA39" s="1970"/>
      <c r="AB39" s="1972">
        <f t="shared" si="2"/>
        <v>0</v>
      </c>
      <c r="AC39" s="1973">
        <f t="shared" si="3"/>
        <v>0</v>
      </c>
      <c r="AD39" s="1973">
        <f t="shared" si="4"/>
        <v>0</v>
      </c>
      <c r="AE39" s="1972">
        <f t="shared" si="5"/>
        <v>0</v>
      </c>
      <c r="AF39" s="1973">
        <f t="shared" si="6"/>
        <v>0</v>
      </c>
      <c r="AG39" s="1973">
        <f t="shared" si="7"/>
        <v>0</v>
      </c>
      <c r="AH39" s="1972">
        <f t="shared" si="8"/>
        <v>0</v>
      </c>
      <c r="AI39" s="1973">
        <f t="shared" si="9"/>
        <v>0</v>
      </c>
      <c r="AJ39" s="1973">
        <f t="shared" si="10"/>
        <v>0</v>
      </c>
      <c r="AK39" s="1972">
        <f t="shared" si="11"/>
        <v>0</v>
      </c>
      <c r="AL39" s="1973">
        <f t="shared" si="12"/>
        <v>0</v>
      </c>
      <c r="AM39" s="1973">
        <f t="shared" si="13"/>
        <v>0</v>
      </c>
      <c r="AN39" s="1972">
        <f t="shared" si="14"/>
        <v>0</v>
      </c>
      <c r="AO39" s="1973">
        <f t="shared" si="15"/>
        <v>0</v>
      </c>
      <c r="AP39" s="1973">
        <f t="shared" si="16"/>
        <v>0</v>
      </c>
      <c r="AQ39" s="1972">
        <f t="shared" si="17"/>
        <v>0</v>
      </c>
      <c r="AR39" s="1973">
        <f t="shared" si="18"/>
        <v>0</v>
      </c>
      <c r="AS39" s="1973">
        <f t="shared" si="19"/>
        <v>0</v>
      </c>
      <c r="AT39" s="1972">
        <f t="shared" si="20"/>
        <v>0</v>
      </c>
      <c r="AU39" s="1973">
        <f t="shared" si="21"/>
        <v>0</v>
      </c>
      <c r="AV39" s="1973">
        <f t="shared" si="22"/>
        <v>0</v>
      </c>
      <c r="AW39" s="1972">
        <f t="shared" si="23"/>
        <v>0</v>
      </c>
      <c r="AX39" s="1973">
        <f t="shared" si="51"/>
        <v>0</v>
      </c>
      <c r="AY39" s="1973">
        <f t="shared" si="51"/>
        <v>0</v>
      </c>
      <c r="AZ39" s="1973">
        <f t="shared" si="51"/>
        <v>0</v>
      </c>
      <c r="BB39" s="1941">
        <f t="shared" ca="1" si="48"/>
        <v>0</v>
      </c>
      <c r="BC39" s="1941">
        <f t="shared" ca="1" si="48"/>
        <v>0</v>
      </c>
      <c r="BD39" s="1941">
        <f t="shared" ca="1" si="48"/>
        <v>0</v>
      </c>
      <c r="BE39" s="1941">
        <f t="shared" ca="1" si="48"/>
        <v>0</v>
      </c>
      <c r="BF39" s="1941">
        <f t="shared" ca="1" si="48"/>
        <v>0</v>
      </c>
      <c r="BG39" s="1941">
        <f t="shared" ca="1" si="48"/>
        <v>0</v>
      </c>
      <c r="BH39" s="1941">
        <f t="shared" ca="1" si="48"/>
        <v>0</v>
      </c>
      <c r="BI39" s="1941">
        <f t="shared" ca="1" si="48"/>
        <v>0</v>
      </c>
      <c r="BJ39" s="1941">
        <f t="shared" ca="1" si="48"/>
        <v>0</v>
      </c>
      <c r="BK39" s="1941">
        <f t="shared" ca="1" si="48"/>
        <v>0</v>
      </c>
      <c r="BL39" s="1941"/>
    </row>
    <row r="40" spans="1:64" ht="18" x14ac:dyDescent="0.45">
      <c r="A40" s="1966"/>
      <c r="B40" s="1966"/>
      <c r="C40" s="1967" t="str">
        <f t="shared" si="50"/>
        <v/>
      </c>
      <c r="D40" s="1968"/>
      <c r="E40" s="1969"/>
      <c r="F40" s="1970"/>
      <c r="G40" s="1971"/>
      <c r="H40" s="1969"/>
      <c r="I40" s="1970"/>
      <c r="J40" s="1971"/>
      <c r="K40" s="1969"/>
      <c r="L40" s="1970"/>
      <c r="M40" s="1971"/>
      <c r="N40" s="1969"/>
      <c r="O40" s="1970"/>
      <c r="P40" s="1971"/>
      <c r="Q40" s="1969"/>
      <c r="R40" s="1970"/>
      <c r="S40" s="1971"/>
      <c r="T40" s="1969"/>
      <c r="U40" s="1970"/>
      <c r="V40" s="1971"/>
      <c r="W40" s="1969"/>
      <c r="X40" s="1970"/>
      <c r="Y40" s="1971"/>
      <c r="Z40" s="1969"/>
      <c r="AA40" s="1970"/>
      <c r="AB40" s="1972">
        <f t="shared" si="2"/>
        <v>0</v>
      </c>
      <c r="AC40" s="1973">
        <f t="shared" si="3"/>
        <v>0</v>
      </c>
      <c r="AD40" s="1973">
        <f t="shared" si="4"/>
        <v>0</v>
      </c>
      <c r="AE40" s="1972">
        <f t="shared" si="5"/>
        <v>0</v>
      </c>
      <c r="AF40" s="1973">
        <f t="shared" si="6"/>
        <v>0</v>
      </c>
      <c r="AG40" s="1973">
        <f t="shared" si="7"/>
        <v>0</v>
      </c>
      <c r="AH40" s="1972">
        <f t="shared" si="8"/>
        <v>0</v>
      </c>
      <c r="AI40" s="1973">
        <f t="shared" si="9"/>
        <v>0</v>
      </c>
      <c r="AJ40" s="1973">
        <f t="shared" si="10"/>
        <v>0</v>
      </c>
      <c r="AK40" s="1972">
        <f t="shared" si="11"/>
        <v>0</v>
      </c>
      <c r="AL40" s="1973">
        <f t="shared" si="12"/>
        <v>0</v>
      </c>
      <c r="AM40" s="1973">
        <f t="shared" si="13"/>
        <v>0</v>
      </c>
      <c r="AN40" s="1972">
        <f t="shared" si="14"/>
        <v>0</v>
      </c>
      <c r="AO40" s="1973">
        <f t="shared" si="15"/>
        <v>0</v>
      </c>
      <c r="AP40" s="1973">
        <f t="shared" si="16"/>
        <v>0</v>
      </c>
      <c r="AQ40" s="1972">
        <f t="shared" si="17"/>
        <v>0</v>
      </c>
      <c r="AR40" s="1973">
        <f t="shared" si="18"/>
        <v>0</v>
      </c>
      <c r="AS40" s="1973">
        <f t="shared" si="19"/>
        <v>0</v>
      </c>
      <c r="AT40" s="1972">
        <f t="shared" si="20"/>
        <v>0</v>
      </c>
      <c r="AU40" s="1973">
        <f t="shared" si="21"/>
        <v>0</v>
      </c>
      <c r="AV40" s="1973">
        <f t="shared" si="22"/>
        <v>0</v>
      </c>
      <c r="AW40" s="1972">
        <f t="shared" si="23"/>
        <v>0</v>
      </c>
      <c r="AX40" s="1973">
        <f t="shared" si="51"/>
        <v>0</v>
      </c>
      <c r="AY40" s="1973">
        <f t="shared" si="51"/>
        <v>0</v>
      </c>
      <c r="AZ40" s="1973">
        <f t="shared" si="51"/>
        <v>0</v>
      </c>
      <c r="BB40" s="1941">
        <f t="shared" ca="1" si="48"/>
        <v>0</v>
      </c>
      <c r="BC40" s="1941">
        <f t="shared" ca="1" si="48"/>
        <v>0</v>
      </c>
      <c r="BD40" s="1941">
        <f t="shared" ca="1" si="48"/>
        <v>0</v>
      </c>
      <c r="BE40" s="1941">
        <f t="shared" ca="1" si="48"/>
        <v>0</v>
      </c>
      <c r="BF40" s="1941">
        <f t="shared" ca="1" si="48"/>
        <v>0</v>
      </c>
      <c r="BG40" s="1941">
        <f t="shared" ca="1" si="48"/>
        <v>0</v>
      </c>
      <c r="BH40" s="1941">
        <f t="shared" ca="1" si="48"/>
        <v>0</v>
      </c>
      <c r="BI40" s="1941">
        <f t="shared" ca="1" si="48"/>
        <v>0</v>
      </c>
      <c r="BJ40" s="1941">
        <f t="shared" ca="1" si="48"/>
        <v>0</v>
      </c>
      <c r="BK40" s="1941">
        <f t="shared" ca="1" si="48"/>
        <v>0</v>
      </c>
      <c r="BL40" s="1941"/>
    </row>
    <row r="41" spans="1:64" ht="18" x14ac:dyDescent="0.45">
      <c r="A41" s="1966"/>
      <c r="B41" s="1966"/>
      <c r="C41" s="1967" t="str">
        <f t="shared" si="50"/>
        <v/>
      </c>
      <c r="D41" s="1968"/>
      <c r="E41" s="1969"/>
      <c r="F41" s="1970"/>
      <c r="G41" s="1971"/>
      <c r="H41" s="1969"/>
      <c r="I41" s="1970"/>
      <c r="J41" s="1971"/>
      <c r="K41" s="1969"/>
      <c r="L41" s="1970"/>
      <c r="M41" s="1971"/>
      <c r="N41" s="1969"/>
      <c r="O41" s="1970"/>
      <c r="P41" s="1971"/>
      <c r="Q41" s="1969"/>
      <c r="R41" s="1970"/>
      <c r="S41" s="1971"/>
      <c r="T41" s="1969"/>
      <c r="U41" s="1970"/>
      <c r="V41" s="1971"/>
      <c r="W41" s="1969"/>
      <c r="X41" s="1970"/>
      <c r="Y41" s="1971"/>
      <c r="Z41" s="1969"/>
      <c r="AA41" s="1970"/>
      <c r="AB41" s="1972">
        <f t="shared" si="2"/>
        <v>0</v>
      </c>
      <c r="AC41" s="1973">
        <f t="shared" si="3"/>
        <v>0</v>
      </c>
      <c r="AD41" s="1973">
        <f t="shared" si="4"/>
        <v>0</v>
      </c>
      <c r="AE41" s="1972">
        <f t="shared" si="5"/>
        <v>0</v>
      </c>
      <c r="AF41" s="1973">
        <f t="shared" si="6"/>
        <v>0</v>
      </c>
      <c r="AG41" s="1973">
        <f t="shared" si="7"/>
        <v>0</v>
      </c>
      <c r="AH41" s="1972">
        <f t="shared" si="8"/>
        <v>0</v>
      </c>
      <c r="AI41" s="1973">
        <f t="shared" si="9"/>
        <v>0</v>
      </c>
      <c r="AJ41" s="1973">
        <f t="shared" si="10"/>
        <v>0</v>
      </c>
      <c r="AK41" s="1972">
        <f t="shared" si="11"/>
        <v>0</v>
      </c>
      <c r="AL41" s="1973">
        <f t="shared" si="12"/>
        <v>0</v>
      </c>
      <c r="AM41" s="1973">
        <f t="shared" si="13"/>
        <v>0</v>
      </c>
      <c r="AN41" s="1972">
        <f t="shared" si="14"/>
        <v>0</v>
      </c>
      <c r="AO41" s="1973">
        <f t="shared" si="15"/>
        <v>0</v>
      </c>
      <c r="AP41" s="1973">
        <f t="shared" si="16"/>
        <v>0</v>
      </c>
      <c r="AQ41" s="1972">
        <f t="shared" si="17"/>
        <v>0</v>
      </c>
      <c r="AR41" s="1973">
        <f t="shared" si="18"/>
        <v>0</v>
      </c>
      <c r="AS41" s="1973">
        <f t="shared" si="19"/>
        <v>0</v>
      </c>
      <c r="AT41" s="1972">
        <f t="shared" si="20"/>
        <v>0</v>
      </c>
      <c r="AU41" s="1973">
        <f t="shared" si="21"/>
        <v>0</v>
      </c>
      <c r="AV41" s="1973">
        <f t="shared" si="22"/>
        <v>0</v>
      </c>
      <c r="AW41" s="1972">
        <f t="shared" si="23"/>
        <v>0</v>
      </c>
      <c r="AX41" s="1973">
        <f t="shared" si="51"/>
        <v>0</v>
      </c>
      <c r="AY41" s="1973">
        <f t="shared" si="51"/>
        <v>0</v>
      </c>
      <c r="AZ41" s="1973">
        <f t="shared" si="51"/>
        <v>0</v>
      </c>
      <c r="BB41" s="1941">
        <f t="shared" ca="1" si="48"/>
        <v>0</v>
      </c>
      <c r="BC41" s="1941">
        <f t="shared" ca="1" si="48"/>
        <v>0</v>
      </c>
      <c r="BD41" s="1941">
        <f t="shared" ca="1" si="48"/>
        <v>0</v>
      </c>
      <c r="BE41" s="1941">
        <f t="shared" ca="1" si="48"/>
        <v>0</v>
      </c>
      <c r="BF41" s="1941">
        <f t="shared" ca="1" si="48"/>
        <v>0</v>
      </c>
      <c r="BG41" s="1941">
        <f t="shared" ca="1" si="48"/>
        <v>0</v>
      </c>
      <c r="BH41" s="1941">
        <f t="shared" ca="1" si="48"/>
        <v>0</v>
      </c>
      <c r="BI41" s="1941">
        <f t="shared" ca="1" si="48"/>
        <v>0</v>
      </c>
      <c r="BJ41" s="1941">
        <f t="shared" ca="1" si="48"/>
        <v>0</v>
      </c>
      <c r="BK41" s="1941">
        <f t="shared" ca="1" si="48"/>
        <v>0</v>
      </c>
      <c r="BL41" s="1941"/>
    </row>
    <row r="42" spans="1:64" ht="18" x14ac:dyDescent="0.45">
      <c r="A42" s="1966"/>
      <c r="B42" s="1966"/>
      <c r="C42" s="1967" t="str">
        <f t="shared" si="50"/>
        <v/>
      </c>
      <c r="D42" s="1968"/>
      <c r="E42" s="1969"/>
      <c r="F42" s="1970"/>
      <c r="G42" s="1971"/>
      <c r="H42" s="1969"/>
      <c r="I42" s="1970"/>
      <c r="J42" s="1971"/>
      <c r="K42" s="1969"/>
      <c r="L42" s="1970"/>
      <c r="M42" s="1971"/>
      <c r="N42" s="1969"/>
      <c r="O42" s="1970"/>
      <c r="P42" s="1971"/>
      <c r="Q42" s="1969"/>
      <c r="R42" s="1970"/>
      <c r="S42" s="1971"/>
      <c r="T42" s="1969"/>
      <c r="U42" s="1970"/>
      <c r="V42" s="1971"/>
      <c r="W42" s="1969"/>
      <c r="X42" s="1970"/>
      <c r="Y42" s="1971"/>
      <c r="Z42" s="1969"/>
      <c r="AA42" s="1970"/>
      <c r="AB42" s="1972">
        <f t="shared" si="2"/>
        <v>0</v>
      </c>
      <c r="AC42" s="1973">
        <f t="shared" si="3"/>
        <v>0</v>
      </c>
      <c r="AD42" s="1973">
        <f t="shared" si="4"/>
        <v>0</v>
      </c>
      <c r="AE42" s="1972">
        <f t="shared" si="5"/>
        <v>0</v>
      </c>
      <c r="AF42" s="1973">
        <f t="shared" si="6"/>
        <v>0</v>
      </c>
      <c r="AG42" s="1973">
        <f t="shared" si="7"/>
        <v>0</v>
      </c>
      <c r="AH42" s="1972">
        <f t="shared" si="8"/>
        <v>0</v>
      </c>
      <c r="AI42" s="1973">
        <f t="shared" si="9"/>
        <v>0</v>
      </c>
      <c r="AJ42" s="1973">
        <f t="shared" si="10"/>
        <v>0</v>
      </c>
      <c r="AK42" s="1972">
        <f t="shared" si="11"/>
        <v>0</v>
      </c>
      <c r="AL42" s="1973">
        <f t="shared" si="12"/>
        <v>0</v>
      </c>
      <c r="AM42" s="1973">
        <f t="shared" si="13"/>
        <v>0</v>
      </c>
      <c r="AN42" s="1972">
        <f t="shared" si="14"/>
        <v>0</v>
      </c>
      <c r="AO42" s="1973">
        <f t="shared" si="15"/>
        <v>0</v>
      </c>
      <c r="AP42" s="1973">
        <f t="shared" si="16"/>
        <v>0</v>
      </c>
      <c r="AQ42" s="1972">
        <f t="shared" si="17"/>
        <v>0</v>
      </c>
      <c r="AR42" s="1973">
        <f t="shared" si="18"/>
        <v>0</v>
      </c>
      <c r="AS42" s="1973">
        <f t="shared" si="19"/>
        <v>0</v>
      </c>
      <c r="AT42" s="1972">
        <f t="shared" si="20"/>
        <v>0</v>
      </c>
      <c r="AU42" s="1973">
        <f t="shared" si="21"/>
        <v>0</v>
      </c>
      <c r="AV42" s="1973">
        <f t="shared" si="22"/>
        <v>0</v>
      </c>
      <c r="AW42" s="1972">
        <f t="shared" si="23"/>
        <v>0</v>
      </c>
      <c r="AX42" s="1973">
        <f t="shared" si="51"/>
        <v>0</v>
      </c>
      <c r="AY42" s="1973">
        <f t="shared" si="51"/>
        <v>0</v>
      </c>
      <c r="AZ42" s="1973">
        <f t="shared" si="51"/>
        <v>0</v>
      </c>
      <c r="BB42" s="1941">
        <f t="shared" ca="1" si="48"/>
        <v>0</v>
      </c>
      <c r="BC42" s="1941">
        <f t="shared" ca="1" si="48"/>
        <v>0</v>
      </c>
      <c r="BD42" s="1941">
        <f t="shared" ca="1" si="48"/>
        <v>0</v>
      </c>
      <c r="BE42" s="1941">
        <f t="shared" ca="1" si="48"/>
        <v>0</v>
      </c>
      <c r="BF42" s="1941">
        <f t="shared" ca="1" si="48"/>
        <v>0</v>
      </c>
      <c r="BG42" s="1941">
        <f t="shared" ca="1" si="48"/>
        <v>0</v>
      </c>
      <c r="BH42" s="1941">
        <f t="shared" ca="1" si="48"/>
        <v>0</v>
      </c>
      <c r="BI42" s="1941">
        <f t="shared" ca="1" si="48"/>
        <v>0</v>
      </c>
      <c r="BJ42" s="1941">
        <f t="shared" ca="1" si="48"/>
        <v>0</v>
      </c>
      <c r="BK42" s="1941">
        <f t="shared" ca="1" si="48"/>
        <v>0</v>
      </c>
      <c r="BL42" s="1941"/>
    </row>
    <row r="43" spans="1:64" ht="18" x14ac:dyDescent="0.45">
      <c r="A43" s="1966"/>
      <c r="B43" s="1966"/>
      <c r="C43" s="1967" t="str">
        <f t="shared" si="50"/>
        <v/>
      </c>
      <c r="D43" s="1968"/>
      <c r="E43" s="1969"/>
      <c r="F43" s="1970"/>
      <c r="G43" s="1971"/>
      <c r="H43" s="1969"/>
      <c r="I43" s="1970"/>
      <c r="J43" s="1971"/>
      <c r="K43" s="1969"/>
      <c r="L43" s="1970"/>
      <c r="M43" s="1971"/>
      <c r="N43" s="1969"/>
      <c r="O43" s="1970"/>
      <c r="P43" s="1971"/>
      <c r="Q43" s="1969"/>
      <c r="R43" s="1970"/>
      <c r="S43" s="1971"/>
      <c r="T43" s="1969"/>
      <c r="U43" s="1970"/>
      <c r="V43" s="1971"/>
      <c r="W43" s="1969"/>
      <c r="X43" s="1970"/>
      <c r="Y43" s="1971"/>
      <c r="Z43" s="1969"/>
      <c r="AA43" s="1970"/>
      <c r="AB43" s="1972">
        <f t="shared" si="2"/>
        <v>0</v>
      </c>
      <c r="AC43" s="1973">
        <f t="shared" si="3"/>
        <v>0</v>
      </c>
      <c r="AD43" s="1973">
        <f t="shared" si="4"/>
        <v>0</v>
      </c>
      <c r="AE43" s="1972">
        <f t="shared" si="5"/>
        <v>0</v>
      </c>
      <c r="AF43" s="1973">
        <f t="shared" si="6"/>
        <v>0</v>
      </c>
      <c r="AG43" s="1973">
        <f t="shared" si="7"/>
        <v>0</v>
      </c>
      <c r="AH43" s="1972">
        <f t="shared" si="8"/>
        <v>0</v>
      </c>
      <c r="AI43" s="1973">
        <f t="shared" si="9"/>
        <v>0</v>
      </c>
      <c r="AJ43" s="1973">
        <f t="shared" si="10"/>
        <v>0</v>
      </c>
      <c r="AK43" s="1972">
        <f t="shared" si="11"/>
        <v>0</v>
      </c>
      <c r="AL43" s="1973">
        <f t="shared" si="12"/>
        <v>0</v>
      </c>
      <c r="AM43" s="1973">
        <f t="shared" si="13"/>
        <v>0</v>
      </c>
      <c r="AN43" s="1972">
        <f t="shared" si="14"/>
        <v>0</v>
      </c>
      <c r="AO43" s="1973">
        <f t="shared" si="15"/>
        <v>0</v>
      </c>
      <c r="AP43" s="1973">
        <f t="shared" si="16"/>
        <v>0</v>
      </c>
      <c r="AQ43" s="1972">
        <f t="shared" si="17"/>
        <v>0</v>
      </c>
      <c r="AR43" s="1973">
        <f t="shared" si="18"/>
        <v>0</v>
      </c>
      <c r="AS43" s="1973">
        <f t="shared" si="19"/>
        <v>0</v>
      </c>
      <c r="AT43" s="1972">
        <f t="shared" si="20"/>
        <v>0</v>
      </c>
      <c r="AU43" s="1973">
        <f t="shared" si="21"/>
        <v>0</v>
      </c>
      <c r="AV43" s="1973">
        <f t="shared" si="22"/>
        <v>0</v>
      </c>
      <c r="AW43" s="1972">
        <f t="shared" si="23"/>
        <v>0</v>
      </c>
      <c r="AX43" s="1973">
        <f t="shared" si="51"/>
        <v>0</v>
      </c>
      <c r="AY43" s="1973">
        <f t="shared" si="51"/>
        <v>0</v>
      </c>
      <c r="AZ43" s="1973">
        <f t="shared" si="51"/>
        <v>0</v>
      </c>
      <c r="BB43" s="1941">
        <f t="shared" ca="1" si="48"/>
        <v>0</v>
      </c>
      <c r="BC43" s="1941">
        <f t="shared" ca="1" si="48"/>
        <v>0</v>
      </c>
      <c r="BD43" s="1941">
        <f t="shared" ca="1" si="48"/>
        <v>0</v>
      </c>
      <c r="BE43" s="1941">
        <f t="shared" ca="1" si="48"/>
        <v>0</v>
      </c>
      <c r="BF43" s="1941">
        <f t="shared" ca="1" si="48"/>
        <v>0</v>
      </c>
      <c r="BG43" s="1941">
        <f t="shared" ca="1" si="48"/>
        <v>0</v>
      </c>
      <c r="BH43" s="1941">
        <f t="shared" ca="1" si="48"/>
        <v>0</v>
      </c>
      <c r="BI43" s="1941">
        <f t="shared" ca="1" si="48"/>
        <v>0</v>
      </c>
      <c r="BJ43" s="1941">
        <f t="shared" ca="1" si="48"/>
        <v>0</v>
      </c>
      <c r="BK43" s="1941">
        <f t="shared" ca="1" si="48"/>
        <v>0</v>
      </c>
      <c r="BL43" s="1941"/>
    </row>
    <row r="44" spans="1:64" ht="18" x14ac:dyDescent="0.45">
      <c r="A44" s="1966"/>
      <c r="B44" s="1966"/>
      <c r="C44" s="1967" t="str">
        <f t="shared" si="50"/>
        <v/>
      </c>
      <c r="D44" s="1968"/>
      <c r="E44" s="1969"/>
      <c r="F44" s="1970"/>
      <c r="G44" s="1971"/>
      <c r="H44" s="1969"/>
      <c r="I44" s="1970"/>
      <c r="J44" s="1971"/>
      <c r="K44" s="1969"/>
      <c r="L44" s="1970"/>
      <c r="M44" s="1971"/>
      <c r="N44" s="1969"/>
      <c r="O44" s="1970"/>
      <c r="P44" s="1971"/>
      <c r="Q44" s="1969"/>
      <c r="R44" s="1970"/>
      <c r="S44" s="1971"/>
      <c r="T44" s="1969"/>
      <c r="U44" s="1970"/>
      <c r="V44" s="1971"/>
      <c r="W44" s="1969"/>
      <c r="X44" s="1970"/>
      <c r="Y44" s="1971"/>
      <c r="Z44" s="1969"/>
      <c r="AA44" s="1970"/>
      <c r="AB44" s="1972">
        <f t="shared" si="2"/>
        <v>0</v>
      </c>
      <c r="AC44" s="1973">
        <f t="shared" si="3"/>
        <v>0</v>
      </c>
      <c r="AD44" s="1973">
        <f t="shared" si="4"/>
        <v>0</v>
      </c>
      <c r="AE44" s="1972">
        <f t="shared" si="5"/>
        <v>0</v>
      </c>
      <c r="AF44" s="1973">
        <f t="shared" si="6"/>
        <v>0</v>
      </c>
      <c r="AG44" s="1973">
        <f t="shared" si="7"/>
        <v>0</v>
      </c>
      <c r="AH44" s="1972">
        <f t="shared" si="8"/>
        <v>0</v>
      </c>
      <c r="AI44" s="1973">
        <f t="shared" si="9"/>
        <v>0</v>
      </c>
      <c r="AJ44" s="1973">
        <f t="shared" si="10"/>
        <v>0</v>
      </c>
      <c r="AK44" s="1972">
        <f t="shared" si="11"/>
        <v>0</v>
      </c>
      <c r="AL44" s="1973">
        <f t="shared" si="12"/>
        <v>0</v>
      </c>
      <c r="AM44" s="1973">
        <f t="shared" si="13"/>
        <v>0</v>
      </c>
      <c r="AN44" s="1972">
        <f t="shared" si="14"/>
        <v>0</v>
      </c>
      <c r="AO44" s="1973">
        <f t="shared" si="15"/>
        <v>0</v>
      </c>
      <c r="AP44" s="1973">
        <f t="shared" si="16"/>
        <v>0</v>
      </c>
      <c r="AQ44" s="1972">
        <f t="shared" si="17"/>
        <v>0</v>
      </c>
      <c r="AR44" s="1973">
        <f t="shared" si="18"/>
        <v>0</v>
      </c>
      <c r="AS44" s="1973">
        <f t="shared" si="19"/>
        <v>0</v>
      </c>
      <c r="AT44" s="1972">
        <f t="shared" si="20"/>
        <v>0</v>
      </c>
      <c r="AU44" s="1973">
        <f t="shared" si="21"/>
        <v>0</v>
      </c>
      <c r="AV44" s="1973">
        <f t="shared" si="22"/>
        <v>0</v>
      </c>
      <c r="AW44" s="1972">
        <f t="shared" si="23"/>
        <v>0</v>
      </c>
      <c r="AX44" s="1973">
        <f t="shared" si="51"/>
        <v>0</v>
      </c>
      <c r="AY44" s="1973">
        <f t="shared" si="51"/>
        <v>0</v>
      </c>
      <c r="AZ44" s="1973">
        <f t="shared" si="51"/>
        <v>0</v>
      </c>
      <c r="BB44" s="1941">
        <f t="shared" ca="1" si="48"/>
        <v>0</v>
      </c>
      <c r="BC44" s="1941">
        <f t="shared" ca="1" si="48"/>
        <v>0</v>
      </c>
      <c r="BD44" s="1941">
        <f t="shared" ca="1" si="48"/>
        <v>0</v>
      </c>
      <c r="BE44" s="1941">
        <f t="shared" ca="1" si="48"/>
        <v>0</v>
      </c>
      <c r="BF44" s="1941">
        <f t="shared" ca="1" si="48"/>
        <v>0</v>
      </c>
      <c r="BG44" s="1941">
        <f t="shared" ca="1" si="48"/>
        <v>0</v>
      </c>
      <c r="BH44" s="1941">
        <f t="shared" ca="1" si="48"/>
        <v>0</v>
      </c>
      <c r="BI44" s="1941">
        <f t="shared" ca="1" si="48"/>
        <v>0</v>
      </c>
      <c r="BJ44" s="1941">
        <f t="shared" ca="1" si="48"/>
        <v>0</v>
      </c>
      <c r="BK44" s="1941">
        <f t="shared" ca="1" si="48"/>
        <v>0</v>
      </c>
      <c r="BL44" s="1941"/>
    </row>
    <row r="45" spans="1:64" ht="18" x14ac:dyDescent="0.45">
      <c r="A45" s="1966"/>
      <c r="B45" s="1966"/>
      <c r="C45" s="1967" t="str">
        <f t="shared" si="50"/>
        <v/>
      </c>
      <c r="D45" s="1968"/>
      <c r="E45" s="1969"/>
      <c r="F45" s="1970"/>
      <c r="G45" s="1971"/>
      <c r="H45" s="1969"/>
      <c r="I45" s="1970"/>
      <c r="J45" s="1971"/>
      <c r="K45" s="1969"/>
      <c r="L45" s="1970"/>
      <c r="M45" s="1971"/>
      <c r="N45" s="1969"/>
      <c r="O45" s="1970"/>
      <c r="P45" s="1971"/>
      <c r="Q45" s="1969"/>
      <c r="R45" s="1970"/>
      <c r="S45" s="1971"/>
      <c r="T45" s="1969"/>
      <c r="U45" s="1970"/>
      <c r="V45" s="1971"/>
      <c r="W45" s="1969"/>
      <c r="X45" s="1970"/>
      <c r="Y45" s="1971"/>
      <c r="Z45" s="1969"/>
      <c r="AA45" s="1970"/>
      <c r="AB45" s="1972">
        <f t="shared" si="2"/>
        <v>0</v>
      </c>
      <c r="AC45" s="1973">
        <f t="shared" si="3"/>
        <v>0</v>
      </c>
      <c r="AD45" s="1973">
        <f t="shared" si="4"/>
        <v>0</v>
      </c>
      <c r="AE45" s="1972">
        <f t="shared" si="5"/>
        <v>0</v>
      </c>
      <c r="AF45" s="1973">
        <f t="shared" si="6"/>
        <v>0</v>
      </c>
      <c r="AG45" s="1973">
        <f t="shared" si="7"/>
        <v>0</v>
      </c>
      <c r="AH45" s="1972">
        <f t="shared" si="8"/>
        <v>0</v>
      </c>
      <c r="AI45" s="1973">
        <f t="shared" si="9"/>
        <v>0</v>
      </c>
      <c r="AJ45" s="1973">
        <f t="shared" si="10"/>
        <v>0</v>
      </c>
      <c r="AK45" s="1972">
        <f t="shared" si="11"/>
        <v>0</v>
      </c>
      <c r="AL45" s="1973">
        <f t="shared" si="12"/>
        <v>0</v>
      </c>
      <c r="AM45" s="1973">
        <f t="shared" si="13"/>
        <v>0</v>
      </c>
      <c r="AN45" s="1972">
        <f t="shared" si="14"/>
        <v>0</v>
      </c>
      <c r="AO45" s="1973">
        <f t="shared" si="15"/>
        <v>0</v>
      </c>
      <c r="AP45" s="1973">
        <f t="shared" si="16"/>
        <v>0</v>
      </c>
      <c r="AQ45" s="1972">
        <f t="shared" si="17"/>
        <v>0</v>
      </c>
      <c r="AR45" s="1973">
        <f t="shared" si="18"/>
        <v>0</v>
      </c>
      <c r="AS45" s="1973">
        <f t="shared" si="19"/>
        <v>0</v>
      </c>
      <c r="AT45" s="1972">
        <f t="shared" si="20"/>
        <v>0</v>
      </c>
      <c r="AU45" s="1973">
        <f t="shared" si="21"/>
        <v>0</v>
      </c>
      <c r="AV45" s="1973">
        <f t="shared" si="22"/>
        <v>0</v>
      </c>
      <c r="AW45" s="1972">
        <f t="shared" si="23"/>
        <v>0</v>
      </c>
      <c r="AX45" s="1973">
        <f t="shared" si="51"/>
        <v>0</v>
      </c>
      <c r="AY45" s="1973">
        <f t="shared" si="51"/>
        <v>0</v>
      </c>
      <c r="AZ45" s="1973">
        <f t="shared" si="51"/>
        <v>0</v>
      </c>
      <c r="BB45" s="1941">
        <f t="shared" ca="1" si="48"/>
        <v>0</v>
      </c>
      <c r="BC45" s="1941">
        <f t="shared" ca="1" si="48"/>
        <v>0</v>
      </c>
      <c r="BD45" s="1941">
        <f t="shared" ca="1" si="48"/>
        <v>0</v>
      </c>
      <c r="BE45" s="1941">
        <f t="shared" ca="1" si="48"/>
        <v>0</v>
      </c>
      <c r="BF45" s="1941">
        <f t="shared" ca="1" si="48"/>
        <v>0</v>
      </c>
      <c r="BG45" s="1941">
        <f t="shared" ca="1" si="48"/>
        <v>0</v>
      </c>
      <c r="BH45" s="1941">
        <f t="shared" ca="1" si="48"/>
        <v>0</v>
      </c>
      <c r="BI45" s="1941">
        <f t="shared" ca="1" si="48"/>
        <v>0</v>
      </c>
      <c r="BJ45" s="1941">
        <f t="shared" ca="1" si="48"/>
        <v>0</v>
      </c>
      <c r="BK45" s="1941">
        <f t="shared" ca="1" si="48"/>
        <v>0</v>
      </c>
      <c r="BL45" s="1941"/>
    </row>
    <row r="46" spans="1:64" ht="18" x14ac:dyDescent="0.45">
      <c r="A46" s="1966"/>
      <c r="B46" s="1966"/>
      <c r="C46" s="1967" t="str">
        <f t="shared" ref="C46:C71" si="52">IFERROR(VLOOKUP(B46,$B$84:$C$96,2,FALSE),"")</f>
        <v/>
      </c>
      <c r="D46" s="1968"/>
      <c r="E46" s="1969"/>
      <c r="F46" s="1970"/>
      <c r="G46" s="1971"/>
      <c r="H46" s="1969"/>
      <c r="I46" s="1970"/>
      <c r="J46" s="1971"/>
      <c r="K46" s="1969"/>
      <c r="L46" s="1970"/>
      <c r="M46" s="1971"/>
      <c r="N46" s="1969"/>
      <c r="O46" s="1970"/>
      <c r="P46" s="1971"/>
      <c r="Q46" s="1969"/>
      <c r="R46" s="1970"/>
      <c r="S46" s="1971"/>
      <c r="T46" s="1969"/>
      <c r="U46" s="1970"/>
      <c r="V46" s="1971"/>
      <c r="W46" s="1969"/>
      <c r="X46" s="1970"/>
      <c r="Y46" s="1971"/>
      <c r="Z46" s="1969"/>
      <c r="AA46" s="1970"/>
      <c r="AB46" s="1972">
        <f t="shared" si="2"/>
        <v>0</v>
      </c>
      <c r="AC46" s="1973">
        <f t="shared" si="3"/>
        <v>0</v>
      </c>
      <c r="AD46" s="1973">
        <f t="shared" si="4"/>
        <v>0</v>
      </c>
      <c r="AE46" s="1972">
        <f t="shared" si="5"/>
        <v>0</v>
      </c>
      <c r="AF46" s="1973">
        <f t="shared" si="6"/>
        <v>0</v>
      </c>
      <c r="AG46" s="1973">
        <f t="shared" si="7"/>
        <v>0</v>
      </c>
      <c r="AH46" s="1972">
        <f t="shared" si="8"/>
        <v>0</v>
      </c>
      <c r="AI46" s="1973">
        <f t="shared" si="9"/>
        <v>0</v>
      </c>
      <c r="AJ46" s="1973">
        <f t="shared" si="10"/>
        <v>0</v>
      </c>
      <c r="AK46" s="1972">
        <f t="shared" si="11"/>
        <v>0</v>
      </c>
      <c r="AL46" s="1973">
        <f t="shared" si="12"/>
        <v>0</v>
      </c>
      <c r="AM46" s="1973">
        <f t="shared" si="13"/>
        <v>0</v>
      </c>
      <c r="AN46" s="1972">
        <f t="shared" si="14"/>
        <v>0</v>
      </c>
      <c r="AO46" s="1973">
        <f t="shared" si="15"/>
        <v>0</v>
      </c>
      <c r="AP46" s="1973">
        <f t="shared" si="16"/>
        <v>0</v>
      </c>
      <c r="AQ46" s="1972">
        <f t="shared" si="17"/>
        <v>0</v>
      </c>
      <c r="AR46" s="1973">
        <f t="shared" si="18"/>
        <v>0</v>
      </c>
      <c r="AS46" s="1973">
        <f t="shared" si="19"/>
        <v>0</v>
      </c>
      <c r="AT46" s="1972">
        <f t="shared" si="20"/>
        <v>0</v>
      </c>
      <c r="AU46" s="1973">
        <f t="shared" si="21"/>
        <v>0</v>
      </c>
      <c r="AV46" s="1973">
        <f t="shared" si="22"/>
        <v>0</v>
      </c>
      <c r="AW46" s="1972">
        <f t="shared" si="23"/>
        <v>0</v>
      </c>
      <c r="AX46" s="1973">
        <f t="shared" si="51"/>
        <v>0</v>
      </c>
      <c r="AY46" s="1973">
        <f t="shared" si="51"/>
        <v>0</v>
      </c>
      <c r="AZ46" s="1973">
        <f t="shared" si="51"/>
        <v>0</v>
      </c>
      <c r="BB46" s="1941">
        <f t="shared" ca="1" si="48"/>
        <v>0</v>
      </c>
      <c r="BC46" s="1941">
        <f t="shared" ca="1" si="48"/>
        <v>0</v>
      </c>
      <c r="BD46" s="1941">
        <f t="shared" ca="1" si="48"/>
        <v>0</v>
      </c>
      <c r="BE46" s="1941">
        <f t="shared" ca="1" si="48"/>
        <v>0</v>
      </c>
      <c r="BF46" s="1941">
        <f t="shared" ca="1" si="48"/>
        <v>0</v>
      </c>
      <c r="BG46" s="1941">
        <f t="shared" ca="1" si="48"/>
        <v>0</v>
      </c>
      <c r="BH46" s="1941">
        <f t="shared" ca="1" si="48"/>
        <v>0</v>
      </c>
      <c r="BI46" s="1941">
        <f t="shared" ca="1" si="48"/>
        <v>0</v>
      </c>
      <c r="BJ46" s="1941">
        <f t="shared" ca="1" si="48"/>
        <v>0</v>
      </c>
      <c r="BK46" s="1941">
        <f t="shared" ca="1" si="48"/>
        <v>0</v>
      </c>
      <c r="BL46" s="1941"/>
    </row>
    <row r="47" spans="1:64" ht="18" x14ac:dyDescent="0.45">
      <c r="A47" s="1966"/>
      <c r="B47" s="1966"/>
      <c r="C47" s="1967" t="str">
        <f t="shared" si="52"/>
        <v/>
      </c>
      <c r="D47" s="1968"/>
      <c r="E47" s="1969"/>
      <c r="F47" s="1970"/>
      <c r="G47" s="1971"/>
      <c r="H47" s="1969"/>
      <c r="I47" s="1970"/>
      <c r="J47" s="1971"/>
      <c r="K47" s="1969"/>
      <c r="L47" s="1970"/>
      <c r="M47" s="1971"/>
      <c r="N47" s="1969"/>
      <c r="O47" s="1970"/>
      <c r="P47" s="1971"/>
      <c r="Q47" s="1969"/>
      <c r="R47" s="1970"/>
      <c r="S47" s="1971"/>
      <c r="T47" s="1969"/>
      <c r="U47" s="1970"/>
      <c r="V47" s="1971"/>
      <c r="W47" s="1969"/>
      <c r="X47" s="1970"/>
      <c r="Y47" s="1971"/>
      <c r="Z47" s="1969"/>
      <c r="AA47" s="1970"/>
      <c r="AB47" s="1972">
        <f t="shared" si="2"/>
        <v>0</v>
      </c>
      <c r="AC47" s="1973">
        <f t="shared" si="3"/>
        <v>0</v>
      </c>
      <c r="AD47" s="1973">
        <f t="shared" si="4"/>
        <v>0</v>
      </c>
      <c r="AE47" s="1972">
        <f t="shared" si="5"/>
        <v>0</v>
      </c>
      <c r="AF47" s="1973">
        <f t="shared" si="6"/>
        <v>0</v>
      </c>
      <c r="AG47" s="1973">
        <f t="shared" si="7"/>
        <v>0</v>
      </c>
      <c r="AH47" s="1972">
        <f t="shared" si="8"/>
        <v>0</v>
      </c>
      <c r="AI47" s="1973">
        <f t="shared" si="9"/>
        <v>0</v>
      </c>
      <c r="AJ47" s="1973">
        <f t="shared" si="10"/>
        <v>0</v>
      </c>
      <c r="AK47" s="1972">
        <f t="shared" si="11"/>
        <v>0</v>
      </c>
      <c r="AL47" s="1973">
        <f t="shared" si="12"/>
        <v>0</v>
      </c>
      <c r="AM47" s="1973">
        <f t="shared" si="13"/>
        <v>0</v>
      </c>
      <c r="AN47" s="1972">
        <f t="shared" si="14"/>
        <v>0</v>
      </c>
      <c r="AO47" s="1973">
        <f t="shared" si="15"/>
        <v>0</v>
      </c>
      <c r="AP47" s="1973">
        <f t="shared" si="16"/>
        <v>0</v>
      </c>
      <c r="AQ47" s="1972">
        <f t="shared" si="17"/>
        <v>0</v>
      </c>
      <c r="AR47" s="1973">
        <f t="shared" si="18"/>
        <v>0</v>
      </c>
      <c r="AS47" s="1973">
        <f t="shared" si="19"/>
        <v>0</v>
      </c>
      <c r="AT47" s="1972">
        <f t="shared" si="20"/>
        <v>0</v>
      </c>
      <c r="AU47" s="1973">
        <f t="shared" si="21"/>
        <v>0</v>
      </c>
      <c r="AV47" s="1973">
        <f t="shared" si="22"/>
        <v>0</v>
      </c>
      <c r="AW47" s="1972">
        <f t="shared" si="23"/>
        <v>0</v>
      </c>
      <c r="AX47" s="1973">
        <f t="shared" si="51"/>
        <v>0</v>
      </c>
      <c r="AY47" s="1973">
        <f t="shared" si="51"/>
        <v>0</v>
      </c>
      <c r="AZ47" s="1973">
        <f t="shared" si="51"/>
        <v>0</v>
      </c>
      <c r="BB47" s="1941">
        <f t="shared" ref="BB47:BK72" ca="1" si="53">IFERROR(ROUNDDOWN(SUMIF($E47:$Y47,BB$11,$AB47:$AV47)/BB$10,0),0)</f>
        <v>0</v>
      </c>
      <c r="BC47" s="1941">
        <f t="shared" ca="1" si="53"/>
        <v>0</v>
      </c>
      <c r="BD47" s="1941">
        <f t="shared" ca="1" si="53"/>
        <v>0</v>
      </c>
      <c r="BE47" s="1941">
        <f t="shared" ca="1" si="53"/>
        <v>0</v>
      </c>
      <c r="BF47" s="1941">
        <f t="shared" ca="1" si="53"/>
        <v>0</v>
      </c>
      <c r="BG47" s="1941">
        <f t="shared" ca="1" si="53"/>
        <v>0</v>
      </c>
      <c r="BH47" s="1941">
        <f t="shared" ca="1" si="53"/>
        <v>0</v>
      </c>
      <c r="BI47" s="1941">
        <f t="shared" ca="1" si="53"/>
        <v>0</v>
      </c>
      <c r="BJ47" s="1941">
        <f t="shared" ca="1" si="53"/>
        <v>0</v>
      </c>
      <c r="BK47" s="1941">
        <f t="shared" ca="1" si="53"/>
        <v>0</v>
      </c>
      <c r="BL47" s="1941"/>
    </row>
    <row r="48" spans="1:64" ht="18" x14ac:dyDescent="0.45">
      <c r="A48" s="1966"/>
      <c r="B48" s="1966"/>
      <c r="C48" s="1967" t="str">
        <f t="shared" si="52"/>
        <v/>
      </c>
      <c r="D48" s="1968"/>
      <c r="E48" s="1969"/>
      <c r="F48" s="1970"/>
      <c r="G48" s="1971"/>
      <c r="H48" s="1969"/>
      <c r="I48" s="1970"/>
      <c r="J48" s="1971"/>
      <c r="K48" s="1969"/>
      <c r="L48" s="1970"/>
      <c r="M48" s="1971"/>
      <c r="N48" s="1969"/>
      <c r="O48" s="1970"/>
      <c r="P48" s="1971"/>
      <c r="Q48" s="1969"/>
      <c r="R48" s="1970"/>
      <c r="S48" s="1971"/>
      <c r="T48" s="1969"/>
      <c r="U48" s="1970"/>
      <c r="V48" s="1971"/>
      <c r="W48" s="1969"/>
      <c r="X48" s="1970"/>
      <c r="Y48" s="1971"/>
      <c r="Z48" s="1969"/>
      <c r="AA48" s="1970"/>
      <c r="AB48" s="1972">
        <f t="shared" si="2"/>
        <v>0</v>
      </c>
      <c r="AC48" s="1973">
        <f t="shared" si="3"/>
        <v>0</v>
      </c>
      <c r="AD48" s="1973">
        <f t="shared" si="4"/>
        <v>0</v>
      </c>
      <c r="AE48" s="1972">
        <f t="shared" si="5"/>
        <v>0</v>
      </c>
      <c r="AF48" s="1973">
        <f t="shared" si="6"/>
        <v>0</v>
      </c>
      <c r="AG48" s="1973">
        <f t="shared" si="7"/>
        <v>0</v>
      </c>
      <c r="AH48" s="1972">
        <f t="shared" si="8"/>
        <v>0</v>
      </c>
      <c r="AI48" s="1973">
        <f t="shared" si="9"/>
        <v>0</v>
      </c>
      <c r="AJ48" s="1973">
        <f t="shared" si="10"/>
        <v>0</v>
      </c>
      <c r="AK48" s="1972">
        <f t="shared" si="11"/>
        <v>0</v>
      </c>
      <c r="AL48" s="1973">
        <f t="shared" si="12"/>
        <v>0</v>
      </c>
      <c r="AM48" s="1973">
        <f t="shared" si="13"/>
        <v>0</v>
      </c>
      <c r="AN48" s="1972">
        <f t="shared" si="14"/>
        <v>0</v>
      </c>
      <c r="AO48" s="1973">
        <f t="shared" si="15"/>
        <v>0</v>
      </c>
      <c r="AP48" s="1973">
        <f t="shared" si="16"/>
        <v>0</v>
      </c>
      <c r="AQ48" s="1972">
        <f t="shared" si="17"/>
        <v>0</v>
      </c>
      <c r="AR48" s="1973">
        <f t="shared" si="18"/>
        <v>0</v>
      </c>
      <c r="AS48" s="1973">
        <f t="shared" si="19"/>
        <v>0</v>
      </c>
      <c r="AT48" s="1972">
        <f t="shared" si="20"/>
        <v>0</v>
      </c>
      <c r="AU48" s="1973">
        <f t="shared" si="21"/>
        <v>0</v>
      </c>
      <c r="AV48" s="1973">
        <f t="shared" si="22"/>
        <v>0</v>
      </c>
      <c r="AW48" s="1972">
        <f t="shared" si="23"/>
        <v>0</v>
      </c>
      <c r="AX48" s="1973">
        <f t="shared" si="51"/>
        <v>0</v>
      </c>
      <c r="AY48" s="1973">
        <f t="shared" si="51"/>
        <v>0</v>
      </c>
      <c r="AZ48" s="1973">
        <f t="shared" si="51"/>
        <v>0</v>
      </c>
      <c r="BB48" s="1941">
        <f t="shared" ca="1" si="53"/>
        <v>0</v>
      </c>
      <c r="BC48" s="1941">
        <f t="shared" ca="1" si="53"/>
        <v>0</v>
      </c>
      <c r="BD48" s="1941">
        <f t="shared" ca="1" si="53"/>
        <v>0</v>
      </c>
      <c r="BE48" s="1941">
        <f t="shared" ca="1" si="53"/>
        <v>0</v>
      </c>
      <c r="BF48" s="1941">
        <f t="shared" ca="1" si="53"/>
        <v>0</v>
      </c>
      <c r="BG48" s="1941">
        <f t="shared" ca="1" si="53"/>
        <v>0</v>
      </c>
      <c r="BH48" s="1941">
        <f t="shared" ca="1" si="53"/>
        <v>0</v>
      </c>
      <c r="BI48" s="1941">
        <f t="shared" ca="1" si="53"/>
        <v>0</v>
      </c>
      <c r="BJ48" s="1941">
        <f t="shared" ca="1" si="53"/>
        <v>0</v>
      </c>
      <c r="BK48" s="1941">
        <f t="shared" ca="1" si="53"/>
        <v>0</v>
      </c>
      <c r="BL48" s="1941"/>
    </row>
    <row r="49" spans="1:64" ht="18" x14ac:dyDescent="0.45">
      <c r="A49" s="1966"/>
      <c r="B49" s="1966"/>
      <c r="C49" s="1967" t="str">
        <f t="shared" si="52"/>
        <v/>
      </c>
      <c r="D49" s="1968"/>
      <c r="E49" s="1969"/>
      <c r="F49" s="1970"/>
      <c r="G49" s="1971"/>
      <c r="H49" s="1969"/>
      <c r="I49" s="1970"/>
      <c r="J49" s="1971"/>
      <c r="K49" s="1969"/>
      <c r="L49" s="1970"/>
      <c r="M49" s="1971"/>
      <c r="N49" s="1969"/>
      <c r="O49" s="1970"/>
      <c r="P49" s="1971"/>
      <c r="Q49" s="1969"/>
      <c r="R49" s="1970"/>
      <c r="S49" s="1971"/>
      <c r="T49" s="1969"/>
      <c r="U49" s="1970"/>
      <c r="V49" s="1971"/>
      <c r="W49" s="1969"/>
      <c r="X49" s="1970"/>
      <c r="Y49" s="1971"/>
      <c r="Z49" s="1969"/>
      <c r="AA49" s="1970"/>
      <c r="AB49" s="1972">
        <f t="shared" si="2"/>
        <v>0</v>
      </c>
      <c r="AC49" s="1973">
        <f t="shared" si="3"/>
        <v>0</v>
      </c>
      <c r="AD49" s="1973">
        <f t="shared" si="4"/>
        <v>0</v>
      </c>
      <c r="AE49" s="1972">
        <f t="shared" si="5"/>
        <v>0</v>
      </c>
      <c r="AF49" s="1973">
        <f t="shared" si="6"/>
        <v>0</v>
      </c>
      <c r="AG49" s="1973">
        <f t="shared" si="7"/>
        <v>0</v>
      </c>
      <c r="AH49" s="1972">
        <f t="shared" si="8"/>
        <v>0</v>
      </c>
      <c r="AI49" s="1973">
        <f t="shared" si="9"/>
        <v>0</v>
      </c>
      <c r="AJ49" s="1973">
        <f t="shared" si="10"/>
        <v>0</v>
      </c>
      <c r="AK49" s="1972">
        <f t="shared" si="11"/>
        <v>0</v>
      </c>
      <c r="AL49" s="1973">
        <f t="shared" si="12"/>
        <v>0</v>
      </c>
      <c r="AM49" s="1973">
        <f t="shared" si="13"/>
        <v>0</v>
      </c>
      <c r="AN49" s="1972">
        <f t="shared" si="14"/>
        <v>0</v>
      </c>
      <c r="AO49" s="1973">
        <f t="shared" si="15"/>
        <v>0</v>
      </c>
      <c r="AP49" s="1973">
        <f t="shared" si="16"/>
        <v>0</v>
      </c>
      <c r="AQ49" s="1972">
        <f t="shared" si="17"/>
        <v>0</v>
      </c>
      <c r="AR49" s="1973">
        <f t="shared" si="18"/>
        <v>0</v>
      </c>
      <c r="AS49" s="1973">
        <f t="shared" si="19"/>
        <v>0</v>
      </c>
      <c r="AT49" s="1972">
        <f t="shared" si="20"/>
        <v>0</v>
      </c>
      <c r="AU49" s="1973">
        <f t="shared" si="21"/>
        <v>0</v>
      </c>
      <c r="AV49" s="1973">
        <f t="shared" si="22"/>
        <v>0</v>
      </c>
      <c r="AW49" s="1972">
        <f t="shared" si="23"/>
        <v>0</v>
      </c>
      <c r="AX49" s="1973">
        <f t="shared" si="51"/>
        <v>0</v>
      </c>
      <c r="AY49" s="1973">
        <f t="shared" si="51"/>
        <v>0</v>
      </c>
      <c r="AZ49" s="1973">
        <f t="shared" si="51"/>
        <v>0</v>
      </c>
      <c r="BB49" s="1941">
        <f t="shared" ca="1" si="53"/>
        <v>0</v>
      </c>
      <c r="BC49" s="1941">
        <f t="shared" ca="1" si="53"/>
        <v>0</v>
      </c>
      <c r="BD49" s="1941">
        <f t="shared" ca="1" si="53"/>
        <v>0</v>
      </c>
      <c r="BE49" s="1941">
        <f t="shared" ca="1" si="53"/>
        <v>0</v>
      </c>
      <c r="BF49" s="1941">
        <f t="shared" ca="1" si="53"/>
        <v>0</v>
      </c>
      <c r="BG49" s="1941">
        <f t="shared" ca="1" si="53"/>
        <v>0</v>
      </c>
      <c r="BH49" s="1941">
        <f t="shared" ca="1" si="53"/>
        <v>0</v>
      </c>
      <c r="BI49" s="1941">
        <f t="shared" ca="1" si="53"/>
        <v>0</v>
      </c>
      <c r="BJ49" s="1941">
        <f t="shared" ca="1" si="53"/>
        <v>0</v>
      </c>
      <c r="BK49" s="1941">
        <f t="shared" ca="1" si="53"/>
        <v>0</v>
      </c>
      <c r="BL49" s="1941"/>
    </row>
    <row r="50" spans="1:64" ht="18" x14ac:dyDescent="0.45">
      <c r="A50" s="1966"/>
      <c r="B50" s="1966"/>
      <c r="C50" s="1967" t="str">
        <f t="shared" si="52"/>
        <v/>
      </c>
      <c r="D50" s="1968"/>
      <c r="E50" s="1969"/>
      <c r="F50" s="1970"/>
      <c r="G50" s="1971"/>
      <c r="H50" s="1969"/>
      <c r="I50" s="1970"/>
      <c r="J50" s="1971"/>
      <c r="K50" s="1969"/>
      <c r="L50" s="1970"/>
      <c r="M50" s="1971"/>
      <c r="N50" s="1969"/>
      <c r="O50" s="1970"/>
      <c r="P50" s="1971"/>
      <c r="Q50" s="1969"/>
      <c r="R50" s="1970"/>
      <c r="S50" s="1971"/>
      <c r="T50" s="1969"/>
      <c r="U50" s="1970"/>
      <c r="V50" s="1971"/>
      <c r="W50" s="1969"/>
      <c r="X50" s="1970"/>
      <c r="Y50" s="1971"/>
      <c r="Z50" s="1969"/>
      <c r="AA50" s="1970"/>
      <c r="AB50" s="1972">
        <f t="shared" si="2"/>
        <v>0</v>
      </c>
      <c r="AC50" s="1973">
        <f t="shared" si="3"/>
        <v>0</v>
      </c>
      <c r="AD50" s="1973">
        <f t="shared" si="4"/>
        <v>0</v>
      </c>
      <c r="AE50" s="1972">
        <f t="shared" si="5"/>
        <v>0</v>
      </c>
      <c r="AF50" s="1973">
        <f t="shared" si="6"/>
        <v>0</v>
      </c>
      <c r="AG50" s="1973">
        <f t="shared" si="7"/>
        <v>0</v>
      </c>
      <c r="AH50" s="1972">
        <f t="shared" si="8"/>
        <v>0</v>
      </c>
      <c r="AI50" s="1973">
        <f t="shared" si="9"/>
        <v>0</v>
      </c>
      <c r="AJ50" s="1973">
        <f t="shared" si="10"/>
        <v>0</v>
      </c>
      <c r="AK50" s="1972">
        <f t="shared" si="11"/>
        <v>0</v>
      </c>
      <c r="AL50" s="1973">
        <f t="shared" si="12"/>
        <v>0</v>
      </c>
      <c r="AM50" s="1973">
        <f t="shared" si="13"/>
        <v>0</v>
      </c>
      <c r="AN50" s="1972">
        <f t="shared" si="14"/>
        <v>0</v>
      </c>
      <c r="AO50" s="1973">
        <f t="shared" si="15"/>
        <v>0</v>
      </c>
      <c r="AP50" s="1973">
        <f t="shared" si="16"/>
        <v>0</v>
      </c>
      <c r="AQ50" s="1972">
        <f t="shared" si="17"/>
        <v>0</v>
      </c>
      <c r="AR50" s="1973">
        <f t="shared" si="18"/>
        <v>0</v>
      </c>
      <c r="AS50" s="1973">
        <f t="shared" si="19"/>
        <v>0</v>
      </c>
      <c r="AT50" s="1972">
        <f t="shared" si="20"/>
        <v>0</v>
      </c>
      <c r="AU50" s="1973">
        <f t="shared" si="21"/>
        <v>0</v>
      </c>
      <c r="AV50" s="1973">
        <f t="shared" si="22"/>
        <v>0</v>
      </c>
      <c r="AW50" s="1972">
        <f t="shared" si="23"/>
        <v>0</v>
      </c>
      <c r="AX50" s="1973">
        <f t="shared" si="51"/>
        <v>0</v>
      </c>
      <c r="AY50" s="1973">
        <f t="shared" si="51"/>
        <v>0</v>
      </c>
      <c r="AZ50" s="1973">
        <f t="shared" si="51"/>
        <v>0</v>
      </c>
      <c r="BB50" s="1941">
        <f t="shared" ca="1" si="53"/>
        <v>0</v>
      </c>
      <c r="BC50" s="1941">
        <f t="shared" ca="1" si="53"/>
        <v>0</v>
      </c>
      <c r="BD50" s="1941">
        <f t="shared" ca="1" si="53"/>
        <v>0</v>
      </c>
      <c r="BE50" s="1941">
        <f t="shared" ca="1" si="53"/>
        <v>0</v>
      </c>
      <c r="BF50" s="1941">
        <f t="shared" ca="1" si="53"/>
        <v>0</v>
      </c>
      <c r="BG50" s="1941">
        <f t="shared" ca="1" si="53"/>
        <v>0</v>
      </c>
      <c r="BH50" s="1941">
        <f t="shared" ca="1" si="53"/>
        <v>0</v>
      </c>
      <c r="BI50" s="1941">
        <f t="shared" ca="1" si="53"/>
        <v>0</v>
      </c>
      <c r="BJ50" s="1941">
        <f t="shared" ca="1" si="53"/>
        <v>0</v>
      </c>
      <c r="BK50" s="1941">
        <f t="shared" ca="1" si="53"/>
        <v>0</v>
      </c>
      <c r="BL50" s="1941"/>
    </row>
    <row r="51" spans="1:64" ht="18" x14ac:dyDescent="0.45">
      <c r="A51" s="1966"/>
      <c r="B51" s="1966"/>
      <c r="C51" s="1967" t="str">
        <f t="shared" si="52"/>
        <v/>
      </c>
      <c r="D51" s="1968"/>
      <c r="E51" s="1969"/>
      <c r="F51" s="1970"/>
      <c r="G51" s="1971"/>
      <c r="H51" s="1969"/>
      <c r="I51" s="1970"/>
      <c r="J51" s="1971"/>
      <c r="K51" s="1969"/>
      <c r="L51" s="1970"/>
      <c r="M51" s="1971"/>
      <c r="N51" s="1969"/>
      <c r="O51" s="1970"/>
      <c r="P51" s="1971"/>
      <c r="Q51" s="1969"/>
      <c r="R51" s="1970"/>
      <c r="S51" s="1971"/>
      <c r="T51" s="1969"/>
      <c r="U51" s="1970"/>
      <c r="V51" s="1971"/>
      <c r="W51" s="1969"/>
      <c r="X51" s="1970"/>
      <c r="Y51" s="1971"/>
      <c r="Z51" s="1969"/>
      <c r="AA51" s="1970"/>
      <c r="AB51" s="1972">
        <f t="shared" ref="AB51:AB62" si="54">IF(ISTEXT(E51),(IF(ISERROR(VLOOKUP(E51,Ltg_EFixtureSch_PROP,2,FALSE)),0.000001,VLOOKUP(E51,Ltg_EFixtureSch_PROP,2,FALSE)*SUM(F51:G51))),0)</f>
        <v>0</v>
      </c>
      <c r="AC51" s="1973">
        <f t="shared" ref="AC51:AC62" si="55">IF(ISTEXT(E51),(IF(ISERROR(VLOOKUP(E51,Ltg_EFixtureSch_PROP,2,FALSE)),0.000001,VLOOKUP(E51,Ltg_EFixtureSch_PROP,2,FALSE)*F51)),0)</f>
        <v>0</v>
      </c>
      <c r="AD51" s="1973">
        <f t="shared" ref="AD51:AD62" si="56">IF(ISTEXT(E51),(IF(ISERROR(VLOOKUP(E51,Ltg_EFixtureSch_PROP,2,FALSE)),0.000001,VLOOKUP(E51,Ltg_EFixtureSch_PROP,2,FALSE)*G51)),0)</f>
        <v>0</v>
      </c>
      <c r="AE51" s="1972">
        <f t="shared" ref="AE51:AE62" si="57">IF(ISTEXT(H51),(IF(ISERROR(VLOOKUP(H51,Ltg_EFixtureSch_PROP,2,FALSE)),0.000001,VLOOKUP(H51,Ltg_EFixtureSch_PROP,2,FALSE)*SUM(I51:J51))),0)</f>
        <v>0</v>
      </c>
      <c r="AF51" s="1973">
        <f t="shared" ref="AF51:AF62" si="58">IF(ISTEXT(H51),(IF(ISERROR(VLOOKUP(H51,Ltg_EFixtureSch_PROP,2,FALSE)),0.000001,VLOOKUP(H51,Ltg_EFixtureSch_PROP,2,FALSE)*I51)),0)</f>
        <v>0</v>
      </c>
      <c r="AG51" s="1973">
        <f t="shared" ref="AG51:AG62" si="59">IF(ISTEXT(H51),(IF(ISERROR(VLOOKUP(H51,Ltg_EFixtureSch_PROP,2,FALSE)),0.000001,VLOOKUP(H51,Ltg_EFixtureSch_PROP,2,FALSE)*J51)),0)</f>
        <v>0</v>
      </c>
      <c r="AH51" s="1972">
        <f t="shared" ref="AH51:AH62" si="60">IF(ISTEXT(K51),(IF(ISERROR(VLOOKUP(K51,Ltg_EFixtureSch_PROP,2,FALSE)),0.000001,VLOOKUP(K51,Ltg_EFixtureSch_PROP,2,FALSE)*SUM(L51:M51))),0)</f>
        <v>0</v>
      </c>
      <c r="AI51" s="1973">
        <f t="shared" ref="AI51:AI62" si="61">IF(ISTEXT(K51),(IF(ISERROR(VLOOKUP(K51,Ltg_EFixtureSch_PROP,2,FALSE)),0.000001,VLOOKUP(K51,Ltg_EFixtureSch_PROP,2,FALSE)*L51)),0)</f>
        <v>0</v>
      </c>
      <c r="AJ51" s="1973">
        <f t="shared" ref="AJ51:AJ62" si="62">IF(ISTEXT(K51),(IF(ISERROR(VLOOKUP(K51,Ltg_EFixtureSch_PROP,2,FALSE)),0.000001,VLOOKUP(K51,Ltg_EFixtureSch_PROP,2,FALSE)*M51)),0)</f>
        <v>0</v>
      </c>
      <c r="AK51" s="1972">
        <f t="shared" ref="AK51:AK62" si="63">IF(ISTEXT(N51),(IF(ISERROR(VLOOKUP(N51,Ltg_EFixtureSch_PROP,2,FALSE)),0.000001,VLOOKUP(N51,Ltg_EFixtureSch_PROP,2,FALSE)*SUM(O51:P51))),0)</f>
        <v>0</v>
      </c>
      <c r="AL51" s="1973">
        <f t="shared" ref="AL51:AL62" si="64">IF(ISTEXT(N51),(IF(ISERROR(VLOOKUP(N51,Ltg_EFixtureSch_PROP,2,FALSE)),0.000001,VLOOKUP(N51,Ltg_EFixtureSch_PROP,2,FALSE)*O51)),0)</f>
        <v>0</v>
      </c>
      <c r="AM51" s="1973">
        <f t="shared" ref="AM51:AM62" si="65">IF(ISTEXT(N51),(IF(ISERROR(VLOOKUP(N51,Ltg_EFixtureSch_PROP,2,FALSE)),0.000001,VLOOKUP(N51,Ltg_EFixtureSch_PROP,2,FALSE)*P51)),0)</f>
        <v>0</v>
      </c>
      <c r="AN51" s="1972">
        <f t="shared" ref="AN51:AN62" si="66">IF(ISTEXT(Q51),(IF(ISERROR(VLOOKUP(Q51,Ltg_EFixtureSch_PROP,2,FALSE)),0.000001,VLOOKUP(Q51,Ltg_EFixtureSch_PROP,2,FALSE)*SUM(R51:S51))),0)</f>
        <v>0</v>
      </c>
      <c r="AO51" s="1973">
        <f t="shared" ref="AO51:AO62" si="67">IF(ISTEXT(Q51),(IF(ISERROR(VLOOKUP(Q51,Ltg_EFixtureSch_PROP,2,FALSE)),0.000001,VLOOKUP(Q51,Ltg_EFixtureSch_PROP,2,FALSE)*R51)),0)</f>
        <v>0</v>
      </c>
      <c r="AP51" s="1973">
        <f t="shared" ref="AP51:AP62" si="68">IF(ISTEXT(Q51),(IF(ISERROR(VLOOKUP(Q51,Ltg_EFixtureSch_PROP,2,FALSE)),0.000001,VLOOKUP(Q51,Ltg_EFixtureSch_PROP,2,FALSE)*S51)),0)</f>
        <v>0</v>
      </c>
      <c r="AQ51" s="1972">
        <f t="shared" ref="AQ51:AQ62" si="69">IF(ISTEXT(T51),(IF(ISERROR(VLOOKUP(T51,Ltg_EFixtureSch_PROP,2,FALSE)),0.000001,VLOOKUP(T51,Ltg_EFixtureSch_PROP,2,FALSE)*SUM(U51:V51))),0)</f>
        <v>0</v>
      </c>
      <c r="AR51" s="1973">
        <f t="shared" ref="AR51:AR62" si="70">IF(ISTEXT(T51),(IF(ISERROR(VLOOKUP(T51,Ltg_EFixtureSch_PROP,2,FALSE)),0.000001,VLOOKUP(T51,Ltg_EFixtureSch_PROP,2,FALSE)*U51)),0)</f>
        <v>0</v>
      </c>
      <c r="AS51" s="1973">
        <f t="shared" ref="AS51:AS62" si="71">IF(ISTEXT(T51),(IF(ISERROR(VLOOKUP(T51,Ltg_EFixtureSch_PROP,2,FALSE)),0.000001,VLOOKUP(T51,Ltg_EFixtureSch_PROP,2,FALSE)*V51)),0)</f>
        <v>0</v>
      </c>
      <c r="AT51" s="1972">
        <f t="shared" ref="AT51:AT62" si="72">IF(ISTEXT(W51),(IF(ISERROR(VLOOKUP(W51,Ltg_EFixtureSch_PROP,2,FALSE)),0.000001,VLOOKUP(W51,Ltg_EFixtureSch_PROP,2,FALSE)*SUM(X51:Y51))),0)</f>
        <v>0</v>
      </c>
      <c r="AU51" s="1973">
        <f t="shared" ref="AU51:AU62" si="73">IF(ISTEXT(W51),(IF(ISERROR(VLOOKUP(W51,Ltg_EFixtureSch_PROP,2,FALSE)),0.000001,VLOOKUP(W51,Ltg_EFixtureSch_PROP,2,FALSE)*X51)),0)</f>
        <v>0</v>
      </c>
      <c r="AV51" s="1973">
        <f t="shared" ref="AV51:AV62" si="74">IF(ISTEXT(W51),(IF(ISERROR(VLOOKUP(W51,Ltg_EFixtureSch_PROP,2,FALSE)),0.000001,VLOOKUP(W51,Ltg_EFixtureSch_PROP,2,FALSE)*Y51)),0)</f>
        <v>0</v>
      </c>
      <c r="AW51" s="1972">
        <f t="shared" ref="AW51:AW62" si="75">IF(ISTEXT(Z51),(IF(ISERROR(VLOOKUP(Z51,Ltg_EFixtureSch_PROP,2,FALSE)),0.000001,VLOOKUP(Z51,Ltg_EFixtureSch_PROP,2,FALSE)*AA51)),0)</f>
        <v>0</v>
      </c>
      <c r="AX51" s="1973">
        <f t="shared" si="51"/>
        <v>0</v>
      </c>
      <c r="AY51" s="1973">
        <f t="shared" si="51"/>
        <v>0</v>
      </c>
      <c r="AZ51" s="1973">
        <f t="shared" si="51"/>
        <v>0</v>
      </c>
      <c r="BB51" s="1941">
        <f t="shared" ca="1" si="53"/>
        <v>0</v>
      </c>
      <c r="BC51" s="1941">
        <f t="shared" ca="1" si="53"/>
        <v>0</v>
      </c>
      <c r="BD51" s="1941">
        <f t="shared" ca="1" si="53"/>
        <v>0</v>
      </c>
      <c r="BE51" s="1941">
        <f t="shared" ca="1" si="53"/>
        <v>0</v>
      </c>
      <c r="BF51" s="1941">
        <f t="shared" ca="1" si="53"/>
        <v>0</v>
      </c>
      <c r="BG51" s="1941">
        <f t="shared" ca="1" si="53"/>
        <v>0</v>
      </c>
      <c r="BH51" s="1941">
        <f t="shared" ca="1" si="53"/>
        <v>0</v>
      </c>
      <c r="BI51" s="1941">
        <f t="shared" ca="1" si="53"/>
        <v>0</v>
      </c>
      <c r="BJ51" s="1941">
        <f t="shared" ca="1" si="53"/>
        <v>0</v>
      </c>
      <c r="BK51" s="1941">
        <f t="shared" ca="1" si="53"/>
        <v>0</v>
      </c>
      <c r="BL51" s="1941"/>
    </row>
    <row r="52" spans="1:64" ht="18" x14ac:dyDescent="0.45">
      <c r="A52" s="1966"/>
      <c r="B52" s="1966"/>
      <c r="C52" s="1967" t="str">
        <f t="shared" si="52"/>
        <v/>
      </c>
      <c r="D52" s="1968"/>
      <c r="E52" s="1969"/>
      <c r="F52" s="1970"/>
      <c r="G52" s="1971"/>
      <c r="H52" s="1969"/>
      <c r="I52" s="1970"/>
      <c r="J52" s="1971"/>
      <c r="K52" s="1969"/>
      <c r="L52" s="1970"/>
      <c r="M52" s="1971"/>
      <c r="N52" s="1969"/>
      <c r="O52" s="1970"/>
      <c r="P52" s="1971"/>
      <c r="Q52" s="1969"/>
      <c r="R52" s="1970"/>
      <c r="S52" s="1971"/>
      <c r="T52" s="1969"/>
      <c r="U52" s="1970"/>
      <c r="V52" s="1971"/>
      <c r="W52" s="1969"/>
      <c r="X52" s="1970"/>
      <c r="Y52" s="1971"/>
      <c r="Z52" s="1969"/>
      <c r="AA52" s="1970"/>
      <c r="AB52" s="1972">
        <f t="shared" si="54"/>
        <v>0</v>
      </c>
      <c r="AC52" s="1973">
        <f t="shared" si="55"/>
        <v>0</v>
      </c>
      <c r="AD52" s="1973">
        <f t="shared" si="56"/>
        <v>0</v>
      </c>
      <c r="AE52" s="1972">
        <f t="shared" si="57"/>
        <v>0</v>
      </c>
      <c r="AF52" s="1973">
        <f t="shared" si="58"/>
        <v>0</v>
      </c>
      <c r="AG52" s="1973">
        <f t="shared" si="59"/>
        <v>0</v>
      </c>
      <c r="AH52" s="1972">
        <f t="shared" si="60"/>
        <v>0</v>
      </c>
      <c r="AI52" s="1973">
        <f t="shared" si="61"/>
        <v>0</v>
      </c>
      <c r="AJ52" s="1973">
        <f t="shared" si="62"/>
        <v>0</v>
      </c>
      <c r="AK52" s="1972">
        <f t="shared" si="63"/>
        <v>0</v>
      </c>
      <c r="AL52" s="1973">
        <f t="shared" si="64"/>
        <v>0</v>
      </c>
      <c r="AM52" s="1973">
        <f t="shared" si="65"/>
        <v>0</v>
      </c>
      <c r="AN52" s="1972">
        <f t="shared" si="66"/>
        <v>0</v>
      </c>
      <c r="AO52" s="1973">
        <f t="shared" si="67"/>
        <v>0</v>
      </c>
      <c r="AP52" s="1973">
        <f t="shared" si="68"/>
        <v>0</v>
      </c>
      <c r="AQ52" s="1972">
        <f t="shared" si="69"/>
        <v>0</v>
      </c>
      <c r="AR52" s="1973">
        <f t="shared" si="70"/>
        <v>0</v>
      </c>
      <c r="AS52" s="1973">
        <f t="shared" si="71"/>
        <v>0</v>
      </c>
      <c r="AT52" s="1972">
        <f t="shared" si="72"/>
        <v>0</v>
      </c>
      <c r="AU52" s="1973">
        <f t="shared" si="73"/>
        <v>0</v>
      </c>
      <c r="AV52" s="1973">
        <f t="shared" si="74"/>
        <v>0</v>
      </c>
      <c r="AW52" s="1972">
        <f t="shared" si="75"/>
        <v>0</v>
      </c>
      <c r="AX52" s="1973">
        <f t="shared" si="51"/>
        <v>0</v>
      </c>
      <c r="AY52" s="1973">
        <f t="shared" si="51"/>
        <v>0</v>
      </c>
      <c r="AZ52" s="1973">
        <f t="shared" si="51"/>
        <v>0</v>
      </c>
      <c r="BB52" s="1941">
        <f t="shared" ca="1" si="53"/>
        <v>0</v>
      </c>
      <c r="BC52" s="1941">
        <f t="shared" ca="1" si="53"/>
        <v>0</v>
      </c>
      <c r="BD52" s="1941">
        <f t="shared" ca="1" si="53"/>
        <v>0</v>
      </c>
      <c r="BE52" s="1941">
        <f t="shared" ca="1" si="53"/>
        <v>0</v>
      </c>
      <c r="BF52" s="1941">
        <f t="shared" ca="1" si="53"/>
        <v>0</v>
      </c>
      <c r="BG52" s="1941">
        <f t="shared" ca="1" si="53"/>
        <v>0</v>
      </c>
      <c r="BH52" s="1941">
        <f t="shared" ca="1" si="53"/>
        <v>0</v>
      </c>
      <c r="BI52" s="1941">
        <f t="shared" ca="1" si="53"/>
        <v>0</v>
      </c>
      <c r="BJ52" s="1941">
        <f t="shared" ca="1" si="53"/>
        <v>0</v>
      </c>
      <c r="BK52" s="1941">
        <f t="shared" ca="1" si="53"/>
        <v>0</v>
      </c>
      <c r="BL52" s="1941"/>
    </row>
    <row r="53" spans="1:64" ht="18" x14ac:dyDescent="0.45">
      <c r="A53" s="1966"/>
      <c r="B53" s="1966"/>
      <c r="C53" s="1967" t="str">
        <f t="shared" si="52"/>
        <v/>
      </c>
      <c r="D53" s="1968"/>
      <c r="E53" s="1969"/>
      <c r="F53" s="1970"/>
      <c r="G53" s="1971"/>
      <c r="H53" s="1969"/>
      <c r="I53" s="1970"/>
      <c r="J53" s="1971"/>
      <c r="K53" s="1969"/>
      <c r="L53" s="1970"/>
      <c r="M53" s="1971"/>
      <c r="N53" s="1969"/>
      <c r="O53" s="1970"/>
      <c r="P53" s="1971"/>
      <c r="Q53" s="1969"/>
      <c r="R53" s="1970"/>
      <c r="S53" s="1971"/>
      <c r="T53" s="1969"/>
      <c r="U53" s="1970"/>
      <c r="V53" s="1971"/>
      <c r="W53" s="1969"/>
      <c r="X53" s="1970"/>
      <c r="Y53" s="1971"/>
      <c r="Z53" s="1969"/>
      <c r="AA53" s="1970"/>
      <c r="AB53" s="1972">
        <f t="shared" si="54"/>
        <v>0</v>
      </c>
      <c r="AC53" s="1973">
        <f t="shared" si="55"/>
        <v>0</v>
      </c>
      <c r="AD53" s="1973">
        <f t="shared" si="56"/>
        <v>0</v>
      </c>
      <c r="AE53" s="1972">
        <f t="shared" si="57"/>
        <v>0</v>
      </c>
      <c r="AF53" s="1973">
        <f t="shared" si="58"/>
        <v>0</v>
      </c>
      <c r="AG53" s="1973">
        <f t="shared" si="59"/>
        <v>0</v>
      </c>
      <c r="AH53" s="1972">
        <f t="shared" si="60"/>
        <v>0</v>
      </c>
      <c r="AI53" s="1973">
        <f t="shared" si="61"/>
        <v>0</v>
      </c>
      <c r="AJ53" s="1973">
        <f t="shared" si="62"/>
        <v>0</v>
      </c>
      <c r="AK53" s="1972">
        <f t="shared" si="63"/>
        <v>0</v>
      </c>
      <c r="AL53" s="1973">
        <f t="shared" si="64"/>
        <v>0</v>
      </c>
      <c r="AM53" s="1973">
        <f t="shared" si="65"/>
        <v>0</v>
      </c>
      <c r="AN53" s="1972">
        <f t="shared" si="66"/>
        <v>0</v>
      </c>
      <c r="AO53" s="1973">
        <f t="shared" si="67"/>
        <v>0</v>
      </c>
      <c r="AP53" s="1973">
        <f t="shared" si="68"/>
        <v>0</v>
      </c>
      <c r="AQ53" s="1972">
        <f t="shared" si="69"/>
        <v>0</v>
      </c>
      <c r="AR53" s="1973">
        <f t="shared" si="70"/>
        <v>0</v>
      </c>
      <c r="AS53" s="1973">
        <f t="shared" si="71"/>
        <v>0</v>
      </c>
      <c r="AT53" s="1972">
        <f t="shared" si="72"/>
        <v>0</v>
      </c>
      <c r="AU53" s="1973">
        <f t="shared" si="73"/>
        <v>0</v>
      </c>
      <c r="AV53" s="1973">
        <f t="shared" si="74"/>
        <v>0</v>
      </c>
      <c r="AW53" s="1972">
        <f t="shared" si="75"/>
        <v>0</v>
      </c>
      <c r="AX53" s="1973">
        <f t="shared" si="51"/>
        <v>0</v>
      </c>
      <c r="AY53" s="1973">
        <f t="shared" si="51"/>
        <v>0</v>
      </c>
      <c r="AZ53" s="1973">
        <f t="shared" si="51"/>
        <v>0</v>
      </c>
      <c r="BB53" s="1941">
        <f t="shared" ca="1" si="53"/>
        <v>0</v>
      </c>
      <c r="BC53" s="1941">
        <f t="shared" ca="1" si="53"/>
        <v>0</v>
      </c>
      <c r="BD53" s="1941">
        <f t="shared" ca="1" si="53"/>
        <v>0</v>
      </c>
      <c r="BE53" s="1941">
        <f t="shared" ca="1" si="53"/>
        <v>0</v>
      </c>
      <c r="BF53" s="1941">
        <f t="shared" ca="1" si="53"/>
        <v>0</v>
      </c>
      <c r="BG53" s="1941">
        <f t="shared" ca="1" si="53"/>
        <v>0</v>
      </c>
      <c r="BH53" s="1941">
        <f t="shared" ca="1" si="53"/>
        <v>0</v>
      </c>
      <c r="BI53" s="1941">
        <f t="shared" ca="1" si="53"/>
        <v>0</v>
      </c>
      <c r="BJ53" s="1941">
        <f t="shared" ca="1" si="53"/>
        <v>0</v>
      </c>
      <c r="BK53" s="1941">
        <f t="shared" ca="1" si="53"/>
        <v>0</v>
      </c>
      <c r="BL53" s="1941"/>
    </row>
    <row r="54" spans="1:64" ht="18" x14ac:dyDescent="0.45">
      <c r="A54" s="1966"/>
      <c r="B54" s="1966"/>
      <c r="C54" s="1967" t="str">
        <f t="shared" si="52"/>
        <v/>
      </c>
      <c r="D54" s="1968"/>
      <c r="E54" s="1969"/>
      <c r="F54" s="1970"/>
      <c r="G54" s="1971"/>
      <c r="H54" s="1969"/>
      <c r="I54" s="1970"/>
      <c r="J54" s="1971"/>
      <c r="K54" s="1969"/>
      <c r="L54" s="1970"/>
      <c r="M54" s="1971"/>
      <c r="N54" s="1969"/>
      <c r="O54" s="1970"/>
      <c r="P54" s="1971"/>
      <c r="Q54" s="1969"/>
      <c r="R54" s="1970"/>
      <c r="S54" s="1971"/>
      <c r="T54" s="1969"/>
      <c r="U54" s="1970"/>
      <c r="V54" s="1971"/>
      <c r="W54" s="1969"/>
      <c r="X54" s="1970"/>
      <c r="Y54" s="1971"/>
      <c r="Z54" s="1969"/>
      <c r="AA54" s="1970"/>
      <c r="AB54" s="1972">
        <f t="shared" si="54"/>
        <v>0</v>
      </c>
      <c r="AC54" s="1973">
        <f t="shared" si="55"/>
        <v>0</v>
      </c>
      <c r="AD54" s="1973">
        <f t="shared" si="56"/>
        <v>0</v>
      </c>
      <c r="AE54" s="1972">
        <f t="shared" si="57"/>
        <v>0</v>
      </c>
      <c r="AF54" s="1973">
        <f t="shared" si="58"/>
        <v>0</v>
      </c>
      <c r="AG54" s="1973">
        <f t="shared" si="59"/>
        <v>0</v>
      </c>
      <c r="AH54" s="1972">
        <f t="shared" si="60"/>
        <v>0</v>
      </c>
      <c r="AI54" s="1973">
        <f t="shared" si="61"/>
        <v>0</v>
      </c>
      <c r="AJ54" s="1973">
        <f t="shared" si="62"/>
        <v>0</v>
      </c>
      <c r="AK54" s="1972">
        <f t="shared" si="63"/>
        <v>0</v>
      </c>
      <c r="AL54" s="1973">
        <f t="shared" si="64"/>
        <v>0</v>
      </c>
      <c r="AM54" s="1973">
        <f t="shared" si="65"/>
        <v>0</v>
      </c>
      <c r="AN54" s="1972">
        <f t="shared" si="66"/>
        <v>0</v>
      </c>
      <c r="AO54" s="1973">
        <f t="shared" si="67"/>
        <v>0</v>
      </c>
      <c r="AP54" s="1973">
        <f t="shared" si="68"/>
        <v>0</v>
      </c>
      <c r="AQ54" s="1972">
        <f t="shared" si="69"/>
        <v>0</v>
      </c>
      <c r="AR54" s="1973">
        <f t="shared" si="70"/>
        <v>0</v>
      </c>
      <c r="AS54" s="1973">
        <f t="shared" si="71"/>
        <v>0</v>
      </c>
      <c r="AT54" s="1972">
        <f t="shared" si="72"/>
        <v>0</v>
      </c>
      <c r="AU54" s="1973">
        <f t="shared" si="73"/>
        <v>0</v>
      </c>
      <c r="AV54" s="1973">
        <f t="shared" si="74"/>
        <v>0</v>
      </c>
      <c r="AW54" s="1972">
        <f t="shared" si="75"/>
        <v>0</v>
      </c>
      <c r="AX54" s="1973">
        <f t="shared" si="51"/>
        <v>0</v>
      </c>
      <c r="AY54" s="1973">
        <f t="shared" si="51"/>
        <v>0</v>
      </c>
      <c r="AZ54" s="1973">
        <f t="shared" si="51"/>
        <v>0</v>
      </c>
      <c r="BB54" s="1941">
        <f t="shared" ca="1" si="53"/>
        <v>0</v>
      </c>
      <c r="BC54" s="1941">
        <f t="shared" ca="1" si="53"/>
        <v>0</v>
      </c>
      <c r="BD54" s="1941">
        <f t="shared" ca="1" si="53"/>
        <v>0</v>
      </c>
      <c r="BE54" s="1941">
        <f t="shared" ca="1" si="53"/>
        <v>0</v>
      </c>
      <c r="BF54" s="1941">
        <f t="shared" ca="1" si="53"/>
        <v>0</v>
      </c>
      <c r="BG54" s="1941">
        <f t="shared" ca="1" si="53"/>
        <v>0</v>
      </c>
      <c r="BH54" s="1941">
        <f t="shared" ca="1" si="53"/>
        <v>0</v>
      </c>
      <c r="BI54" s="1941">
        <f t="shared" ca="1" si="53"/>
        <v>0</v>
      </c>
      <c r="BJ54" s="1941">
        <f t="shared" ca="1" si="53"/>
        <v>0</v>
      </c>
      <c r="BK54" s="1941">
        <f t="shared" ca="1" si="53"/>
        <v>0</v>
      </c>
      <c r="BL54" s="1941"/>
    </row>
    <row r="55" spans="1:64" ht="18" x14ac:dyDescent="0.45">
      <c r="A55" s="1966"/>
      <c r="B55" s="1966"/>
      <c r="C55" s="1967" t="str">
        <f t="shared" si="52"/>
        <v/>
      </c>
      <c r="D55" s="1968"/>
      <c r="E55" s="1969"/>
      <c r="F55" s="1970"/>
      <c r="G55" s="1971"/>
      <c r="H55" s="1969"/>
      <c r="I55" s="1970"/>
      <c r="J55" s="1971"/>
      <c r="K55" s="1969"/>
      <c r="L55" s="1970"/>
      <c r="M55" s="1971"/>
      <c r="N55" s="1969"/>
      <c r="O55" s="1970"/>
      <c r="P55" s="1971"/>
      <c r="Q55" s="1969"/>
      <c r="R55" s="1970"/>
      <c r="S55" s="1971"/>
      <c r="T55" s="1969"/>
      <c r="U55" s="1970"/>
      <c r="V55" s="1971"/>
      <c r="W55" s="1969"/>
      <c r="X55" s="1970"/>
      <c r="Y55" s="1971"/>
      <c r="Z55" s="1969"/>
      <c r="AA55" s="1970"/>
      <c r="AB55" s="1972">
        <f t="shared" si="54"/>
        <v>0</v>
      </c>
      <c r="AC55" s="1973">
        <f t="shared" si="55"/>
        <v>0</v>
      </c>
      <c r="AD55" s="1973">
        <f t="shared" si="56"/>
        <v>0</v>
      </c>
      <c r="AE55" s="1972">
        <f t="shared" si="57"/>
        <v>0</v>
      </c>
      <c r="AF55" s="1973">
        <f t="shared" si="58"/>
        <v>0</v>
      </c>
      <c r="AG55" s="1973">
        <f t="shared" si="59"/>
        <v>0</v>
      </c>
      <c r="AH55" s="1972">
        <f t="shared" si="60"/>
        <v>0</v>
      </c>
      <c r="AI55" s="1973">
        <f t="shared" si="61"/>
        <v>0</v>
      </c>
      <c r="AJ55" s="1973">
        <f t="shared" si="62"/>
        <v>0</v>
      </c>
      <c r="AK55" s="1972">
        <f t="shared" si="63"/>
        <v>0</v>
      </c>
      <c r="AL55" s="1973">
        <f t="shared" si="64"/>
        <v>0</v>
      </c>
      <c r="AM55" s="1973">
        <f t="shared" si="65"/>
        <v>0</v>
      </c>
      <c r="AN55" s="1972">
        <f t="shared" si="66"/>
        <v>0</v>
      </c>
      <c r="AO55" s="1973">
        <f t="shared" si="67"/>
        <v>0</v>
      </c>
      <c r="AP55" s="1973">
        <f t="shared" si="68"/>
        <v>0</v>
      </c>
      <c r="AQ55" s="1972">
        <f t="shared" si="69"/>
        <v>0</v>
      </c>
      <c r="AR55" s="1973">
        <f t="shared" si="70"/>
        <v>0</v>
      </c>
      <c r="AS55" s="1973">
        <f t="shared" si="71"/>
        <v>0</v>
      </c>
      <c r="AT55" s="1972">
        <f t="shared" si="72"/>
        <v>0</v>
      </c>
      <c r="AU55" s="1973">
        <f t="shared" si="73"/>
        <v>0</v>
      </c>
      <c r="AV55" s="1973">
        <f t="shared" si="74"/>
        <v>0</v>
      </c>
      <c r="AW55" s="1972">
        <f t="shared" si="75"/>
        <v>0</v>
      </c>
      <c r="AX55" s="1973">
        <f t="shared" si="51"/>
        <v>0</v>
      </c>
      <c r="AY55" s="1973">
        <f t="shared" si="51"/>
        <v>0</v>
      </c>
      <c r="AZ55" s="1973">
        <f t="shared" si="51"/>
        <v>0</v>
      </c>
      <c r="BB55" s="1941">
        <f t="shared" ca="1" si="53"/>
        <v>0</v>
      </c>
      <c r="BC55" s="1941">
        <f t="shared" ca="1" si="53"/>
        <v>0</v>
      </c>
      <c r="BD55" s="1941">
        <f t="shared" ca="1" si="53"/>
        <v>0</v>
      </c>
      <c r="BE55" s="1941">
        <f t="shared" ca="1" si="53"/>
        <v>0</v>
      </c>
      <c r="BF55" s="1941">
        <f t="shared" ca="1" si="53"/>
        <v>0</v>
      </c>
      <c r="BG55" s="1941">
        <f t="shared" ca="1" si="53"/>
        <v>0</v>
      </c>
      <c r="BH55" s="1941">
        <f t="shared" ca="1" si="53"/>
        <v>0</v>
      </c>
      <c r="BI55" s="1941">
        <f t="shared" ca="1" si="53"/>
        <v>0</v>
      </c>
      <c r="BJ55" s="1941">
        <f t="shared" ca="1" si="53"/>
        <v>0</v>
      </c>
      <c r="BK55" s="1941">
        <f t="shared" ca="1" si="53"/>
        <v>0</v>
      </c>
      <c r="BL55" s="1941"/>
    </row>
    <row r="56" spans="1:64" ht="18" x14ac:dyDescent="0.45">
      <c r="A56" s="1966"/>
      <c r="B56" s="1966"/>
      <c r="C56" s="1967" t="str">
        <f t="shared" si="52"/>
        <v/>
      </c>
      <c r="D56" s="1968"/>
      <c r="E56" s="1969"/>
      <c r="F56" s="1970"/>
      <c r="G56" s="1971"/>
      <c r="H56" s="1969"/>
      <c r="I56" s="1970"/>
      <c r="J56" s="1971"/>
      <c r="K56" s="1969"/>
      <c r="L56" s="1970"/>
      <c r="M56" s="1971"/>
      <c r="N56" s="1969"/>
      <c r="O56" s="1970"/>
      <c r="P56" s="1971"/>
      <c r="Q56" s="1969"/>
      <c r="R56" s="1970"/>
      <c r="S56" s="1971"/>
      <c r="T56" s="1969"/>
      <c r="U56" s="1970"/>
      <c r="V56" s="1971"/>
      <c r="W56" s="1969"/>
      <c r="X56" s="1970"/>
      <c r="Y56" s="1971"/>
      <c r="Z56" s="1969"/>
      <c r="AA56" s="1970"/>
      <c r="AB56" s="1972">
        <f t="shared" si="54"/>
        <v>0</v>
      </c>
      <c r="AC56" s="1973">
        <f t="shared" si="55"/>
        <v>0</v>
      </c>
      <c r="AD56" s="1973">
        <f t="shared" si="56"/>
        <v>0</v>
      </c>
      <c r="AE56" s="1972">
        <f t="shared" si="57"/>
        <v>0</v>
      </c>
      <c r="AF56" s="1973">
        <f t="shared" si="58"/>
        <v>0</v>
      </c>
      <c r="AG56" s="1973">
        <f t="shared" si="59"/>
        <v>0</v>
      </c>
      <c r="AH56" s="1972">
        <f t="shared" si="60"/>
        <v>0</v>
      </c>
      <c r="AI56" s="1973">
        <f t="shared" si="61"/>
        <v>0</v>
      </c>
      <c r="AJ56" s="1973">
        <f t="shared" si="62"/>
        <v>0</v>
      </c>
      <c r="AK56" s="1972">
        <f t="shared" si="63"/>
        <v>0</v>
      </c>
      <c r="AL56" s="1973">
        <f t="shared" si="64"/>
        <v>0</v>
      </c>
      <c r="AM56" s="1973">
        <f t="shared" si="65"/>
        <v>0</v>
      </c>
      <c r="AN56" s="1972">
        <f t="shared" si="66"/>
        <v>0</v>
      </c>
      <c r="AO56" s="1973">
        <f t="shared" si="67"/>
        <v>0</v>
      </c>
      <c r="AP56" s="1973">
        <f t="shared" si="68"/>
        <v>0</v>
      </c>
      <c r="AQ56" s="1972">
        <f t="shared" si="69"/>
        <v>0</v>
      </c>
      <c r="AR56" s="1973">
        <f t="shared" si="70"/>
        <v>0</v>
      </c>
      <c r="AS56" s="1973">
        <f t="shared" si="71"/>
        <v>0</v>
      </c>
      <c r="AT56" s="1972">
        <f t="shared" si="72"/>
        <v>0</v>
      </c>
      <c r="AU56" s="1973">
        <f t="shared" si="73"/>
        <v>0</v>
      </c>
      <c r="AV56" s="1973">
        <f t="shared" si="74"/>
        <v>0</v>
      </c>
      <c r="AW56" s="1972">
        <f t="shared" si="75"/>
        <v>0</v>
      </c>
      <c r="AX56" s="1973">
        <f t="shared" si="51"/>
        <v>0</v>
      </c>
      <c r="AY56" s="1973">
        <f t="shared" si="51"/>
        <v>0</v>
      </c>
      <c r="AZ56" s="1973">
        <f t="shared" si="51"/>
        <v>0</v>
      </c>
      <c r="BB56" s="1941">
        <f t="shared" ca="1" si="53"/>
        <v>0</v>
      </c>
      <c r="BC56" s="1941">
        <f t="shared" ca="1" si="53"/>
        <v>0</v>
      </c>
      <c r="BD56" s="1941">
        <f t="shared" ca="1" si="53"/>
        <v>0</v>
      </c>
      <c r="BE56" s="1941">
        <f t="shared" ca="1" si="53"/>
        <v>0</v>
      </c>
      <c r="BF56" s="1941">
        <f t="shared" ca="1" si="53"/>
        <v>0</v>
      </c>
      <c r="BG56" s="1941">
        <f t="shared" ca="1" si="53"/>
        <v>0</v>
      </c>
      <c r="BH56" s="1941">
        <f t="shared" ca="1" si="53"/>
        <v>0</v>
      </c>
      <c r="BI56" s="1941">
        <f t="shared" ca="1" si="53"/>
        <v>0</v>
      </c>
      <c r="BJ56" s="1941">
        <f t="shared" ca="1" si="53"/>
        <v>0</v>
      </c>
      <c r="BK56" s="1941">
        <f t="shared" ca="1" si="53"/>
        <v>0</v>
      </c>
      <c r="BL56" s="1941"/>
    </row>
    <row r="57" spans="1:64" ht="18" x14ac:dyDescent="0.45">
      <c r="A57" s="1966"/>
      <c r="B57" s="1966"/>
      <c r="C57" s="1967" t="str">
        <f t="shared" si="52"/>
        <v/>
      </c>
      <c r="D57" s="1968"/>
      <c r="E57" s="1969"/>
      <c r="F57" s="1970"/>
      <c r="G57" s="1971"/>
      <c r="H57" s="1969"/>
      <c r="I57" s="1970"/>
      <c r="J57" s="1971"/>
      <c r="K57" s="1969"/>
      <c r="L57" s="1970"/>
      <c r="M57" s="1971"/>
      <c r="N57" s="1969"/>
      <c r="O57" s="1970"/>
      <c r="P57" s="1971"/>
      <c r="Q57" s="1969"/>
      <c r="R57" s="1970"/>
      <c r="S57" s="1971"/>
      <c r="T57" s="1969"/>
      <c r="U57" s="1970"/>
      <c r="V57" s="1971"/>
      <c r="W57" s="1969"/>
      <c r="X57" s="1970"/>
      <c r="Y57" s="1971"/>
      <c r="Z57" s="1969"/>
      <c r="AA57" s="1970"/>
      <c r="AB57" s="1972">
        <f t="shared" si="54"/>
        <v>0</v>
      </c>
      <c r="AC57" s="1973">
        <f t="shared" si="55"/>
        <v>0</v>
      </c>
      <c r="AD57" s="1973">
        <f t="shared" si="56"/>
        <v>0</v>
      </c>
      <c r="AE57" s="1972">
        <f t="shared" si="57"/>
        <v>0</v>
      </c>
      <c r="AF57" s="1973">
        <f t="shared" si="58"/>
        <v>0</v>
      </c>
      <c r="AG57" s="1973">
        <f t="shared" si="59"/>
        <v>0</v>
      </c>
      <c r="AH57" s="1972">
        <f t="shared" si="60"/>
        <v>0</v>
      </c>
      <c r="AI57" s="1973">
        <f t="shared" si="61"/>
        <v>0</v>
      </c>
      <c r="AJ57" s="1973">
        <f t="shared" si="62"/>
        <v>0</v>
      </c>
      <c r="AK57" s="1972">
        <f t="shared" si="63"/>
        <v>0</v>
      </c>
      <c r="AL57" s="1973">
        <f t="shared" si="64"/>
        <v>0</v>
      </c>
      <c r="AM57" s="1973">
        <f t="shared" si="65"/>
        <v>0</v>
      </c>
      <c r="AN57" s="1972">
        <f t="shared" si="66"/>
        <v>0</v>
      </c>
      <c r="AO57" s="1973">
        <f t="shared" si="67"/>
        <v>0</v>
      </c>
      <c r="AP57" s="1973">
        <f t="shared" si="68"/>
        <v>0</v>
      </c>
      <c r="AQ57" s="1972">
        <f t="shared" si="69"/>
        <v>0</v>
      </c>
      <c r="AR57" s="1973">
        <f t="shared" si="70"/>
        <v>0</v>
      </c>
      <c r="AS57" s="1973">
        <f t="shared" si="71"/>
        <v>0</v>
      </c>
      <c r="AT57" s="1972">
        <f t="shared" si="72"/>
        <v>0</v>
      </c>
      <c r="AU57" s="1973">
        <f t="shared" si="73"/>
        <v>0</v>
      </c>
      <c r="AV57" s="1973">
        <f t="shared" si="74"/>
        <v>0</v>
      </c>
      <c r="AW57" s="1972">
        <f t="shared" si="75"/>
        <v>0</v>
      </c>
      <c r="AX57" s="1973">
        <f t="shared" si="51"/>
        <v>0</v>
      </c>
      <c r="AY57" s="1973">
        <f t="shared" si="51"/>
        <v>0</v>
      </c>
      <c r="AZ57" s="1973">
        <f t="shared" si="51"/>
        <v>0</v>
      </c>
      <c r="BB57" s="1941">
        <f t="shared" ca="1" si="53"/>
        <v>0</v>
      </c>
      <c r="BC57" s="1941">
        <f t="shared" ca="1" si="53"/>
        <v>0</v>
      </c>
      <c r="BD57" s="1941">
        <f t="shared" ca="1" si="53"/>
        <v>0</v>
      </c>
      <c r="BE57" s="1941">
        <f t="shared" ca="1" si="53"/>
        <v>0</v>
      </c>
      <c r="BF57" s="1941">
        <f t="shared" ca="1" si="53"/>
        <v>0</v>
      </c>
      <c r="BG57" s="1941">
        <f t="shared" ca="1" si="53"/>
        <v>0</v>
      </c>
      <c r="BH57" s="1941">
        <f t="shared" ca="1" si="53"/>
        <v>0</v>
      </c>
      <c r="BI57" s="1941">
        <f t="shared" ca="1" si="53"/>
        <v>0</v>
      </c>
      <c r="BJ57" s="1941">
        <f t="shared" ca="1" si="53"/>
        <v>0</v>
      </c>
      <c r="BK57" s="1941">
        <f t="shared" ca="1" si="53"/>
        <v>0</v>
      </c>
      <c r="BL57" s="1941"/>
    </row>
    <row r="58" spans="1:64" ht="18" x14ac:dyDescent="0.45">
      <c r="A58" s="1966"/>
      <c r="B58" s="1966"/>
      <c r="C58" s="1967" t="str">
        <f t="shared" si="52"/>
        <v/>
      </c>
      <c r="D58" s="1968"/>
      <c r="E58" s="1969"/>
      <c r="F58" s="1970"/>
      <c r="G58" s="1971"/>
      <c r="H58" s="1969"/>
      <c r="I58" s="1970"/>
      <c r="J58" s="1971"/>
      <c r="K58" s="1969"/>
      <c r="L58" s="1970"/>
      <c r="M58" s="1971"/>
      <c r="N58" s="1969"/>
      <c r="O58" s="1970"/>
      <c r="P58" s="1971"/>
      <c r="Q58" s="1969"/>
      <c r="R58" s="1970"/>
      <c r="S58" s="1971"/>
      <c r="T58" s="1969"/>
      <c r="U58" s="1970"/>
      <c r="V58" s="1971"/>
      <c r="W58" s="1969"/>
      <c r="X58" s="1970"/>
      <c r="Y58" s="1971"/>
      <c r="Z58" s="1969"/>
      <c r="AA58" s="1970"/>
      <c r="AB58" s="1972">
        <f t="shared" si="54"/>
        <v>0</v>
      </c>
      <c r="AC58" s="1973">
        <f t="shared" si="55"/>
        <v>0</v>
      </c>
      <c r="AD58" s="1973">
        <f t="shared" si="56"/>
        <v>0</v>
      </c>
      <c r="AE58" s="1972">
        <f t="shared" si="57"/>
        <v>0</v>
      </c>
      <c r="AF58" s="1973">
        <f t="shared" si="58"/>
        <v>0</v>
      </c>
      <c r="AG58" s="1973">
        <f t="shared" si="59"/>
        <v>0</v>
      </c>
      <c r="AH58" s="1972">
        <f t="shared" si="60"/>
        <v>0</v>
      </c>
      <c r="AI58" s="1973">
        <f t="shared" si="61"/>
        <v>0</v>
      </c>
      <c r="AJ58" s="1973">
        <f t="shared" si="62"/>
        <v>0</v>
      </c>
      <c r="AK58" s="1972">
        <f t="shared" si="63"/>
        <v>0</v>
      </c>
      <c r="AL58" s="1973">
        <f t="shared" si="64"/>
        <v>0</v>
      </c>
      <c r="AM58" s="1973">
        <f t="shared" si="65"/>
        <v>0</v>
      </c>
      <c r="AN58" s="1972">
        <f t="shared" si="66"/>
        <v>0</v>
      </c>
      <c r="AO58" s="1973">
        <f t="shared" si="67"/>
        <v>0</v>
      </c>
      <c r="AP58" s="1973">
        <f t="shared" si="68"/>
        <v>0</v>
      </c>
      <c r="AQ58" s="1972">
        <f t="shared" si="69"/>
        <v>0</v>
      </c>
      <c r="AR58" s="1973">
        <f t="shared" si="70"/>
        <v>0</v>
      </c>
      <c r="AS58" s="1973">
        <f t="shared" si="71"/>
        <v>0</v>
      </c>
      <c r="AT58" s="1972">
        <f t="shared" si="72"/>
        <v>0</v>
      </c>
      <c r="AU58" s="1973">
        <f t="shared" si="73"/>
        <v>0</v>
      </c>
      <c r="AV58" s="1973">
        <f t="shared" si="74"/>
        <v>0</v>
      </c>
      <c r="AW58" s="1972">
        <f t="shared" si="75"/>
        <v>0</v>
      </c>
      <c r="AX58" s="1973">
        <f t="shared" si="51"/>
        <v>0</v>
      </c>
      <c r="AY58" s="1973">
        <f t="shared" si="51"/>
        <v>0</v>
      </c>
      <c r="AZ58" s="1973">
        <f t="shared" si="51"/>
        <v>0</v>
      </c>
      <c r="BB58" s="1941">
        <f t="shared" ca="1" si="53"/>
        <v>0</v>
      </c>
      <c r="BC58" s="1941">
        <f t="shared" ca="1" si="53"/>
        <v>0</v>
      </c>
      <c r="BD58" s="1941">
        <f t="shared" ca="1" si="53"/>
        <v>0</v>
      </c>
      <c r="BE58" s="1941">
        <f t="shared" ca="1" si="53"/>
        <v>0</v>
      </c>
      <c r="BF58" s="1941">
        <f t="shared" ca="1" si="53"/>
        <v>0</v>
      </c>
      <c r="BG58" s="1941">
        <f t="shared" ca="1" si="53"/>
        <v>0</v>
      </c>
      <c r="BH58" s="1941">
        <f t="shared" ca="1" si="53"/>
        <v>0</v>
      </c>
      <c r="BI58" s="1941">
        <f t="shared" ca="1" si="53"/>
        <v>0</v>
      </c>
      <c r="BJ58" s="1941">
        <f t="shared" ca="1" si="53"/>
        <v>0</v>
      </c>
      <c r="BK58" s="1941">
        <f t="shared" ca="1" si="53"/>
        <v>0</v>
      </c>
      <c r="BL58" s="1941"/>
    </row>
    <row r="59" spans="1:64" ht="18" x14ac:dyDescent="0.45">
      <c r="A59" s="1966"/>
      <c r="B59" s="1966"/>
      <c r="C59" s="1967" t="str">
        <f t="shared" si="52"/>
        <v/>
      </c>
      <c r="D59" s="1968"/>
      <c r="E59" s="1969"/>
      <c r="F59" s="1970"/>
      <c r="G59" s="1971"/>
      <c r="H59" s="1969"/>
      <c r="I59" s="1970"/>
      <c r="J59" s="1971"/>
      <c r="K59" s="1969"/>
      <c r="L59" s="1970"/>
      <c r="M59" s="1971"/>
      <c r="N59" s="1969"/>
      <c r="O59" s="1970"/>
      <c r="P59" s="1971"/>
      <c r="Q59" s="1969"/>
      <c r="R59" s="1970"/>
      <c r="S59" s="1971"/>
      <c r="T59" s="1969"/>
      <c r="U59" s="1970"/>
      <c r="V59" s="1971"/>
      <c r="W59" s="1969"/>
      <c r="X59" s="1970"/>
      <c r="Y59" s="1971"/>
      <c r="Z59" s="1969"/>
      <c r="AA59" s="1970"/>
      <c r="AB59" s="1972">
        <f t="shared" si="54"/>
        <v>0</v>
      </c>
      <c r="AC59" s="1973">
        <f t="shared" si="55"/>
        <v>0</v>
      </c>
      <c r="AD59" s="1973">
        <f t="shared" si="56"/>
        <v>0</v>
      </c>
      <c r="AE59" s="1972">
        <f t="shared" si="57"/>
        <v>0</v>
      </c>
      <c r="AF59" s="1973">
        <f t="shared" si="58"/>
        <v>0</v>
      </c>
      <c r="AG59" s="1973">
        <f t="shared" si="59"/>
        <v>0</v>
      </c>
      <c r="AH59" s="1972">
        <f t="shared" si="60"/>
        <v>0</v>
      </c>
      <c r="AI59" s="1973">
        <f t="shared" si="61"/>
        <v>0</v>
      </c>
      <c r="AJ59" s="1973">
        <f t="shared" si="62"/>
        <v>0</v>
      </c>
      <c r="AK59" s="1972">
        <f t="shared" si="63"/>
        <v>0</v>
      </c>
      <c r="AL59" s="1973">
        <f t="shared" si="64"/>
        <v>0</v>
      </c>
      <c r="AM59" s="1973">
        <f t="shared" si="65"/>
        <v>0</v>
      </c>
      <c r="AN59" s="1972">
        <f t="shared" si="66"/>
        <v>0</v>
      </c>
      <c r="AO59" s="1973">
        <f t="shared" si="67"/>
        <v>0</v>
      </c>
      <c r="AP59" s="1973">
        <f t="shared" si="68"/>
        <v>0</v>
      </c>
      <c r="AQ59" s="1972">
        <f t="shared" si="69"/>
        <v>0</v>
      </c>
      <c r="AR59" s="1973">
        <f t="shared" si="70"/>
        <v>0</v>
      </c>
      <c r="AS59" s="1973">
        <f t="shared" si="71"/>
        <v>0</v>
      </c>
      <c r="AT59" s="1972">
        <f t="shared" si="72"/>
        <v>0</v>
      </c>
      <c r="AU59" s="1973">
        <f t="shared" si="73"/>
        <v>0</v>
      </c>
      <c r="AV59" s="1973">
        <f t="shared" si="74"/>
        <v>0</v>
      </c>
      <c r="AW59" s="1972">
        <f t="shared" si="75"/>
        <v>0</v>
      </c>
      <c r="AX59" s="1973">
        <f t="shared" si="51"/>
        <v>0</v>
      </c>
      <c r="AY59" s="1973">
        <f t="shared" si="51"/>
        <v>0</v>
      </c>
      <c r="AZ59" s="1973">
        <f t="shared" si="51"/>
        <v>0</v>
      </c>
      <c r="BB59" s="1941">
        <f t="shared" ca="1" si="53"/>
        <v>0</v>
      </c>
      <c r="BC59" s="1941">
        <f t="shared" ca="1" si="53"/>
        <v>0</v>
      </c>
      <c r="BD59" s="1941">
        <f t="shared" ca="1" si="53"/>
        <v>0</v>
      </c>
      <c r="BE59" s="1941">
        <f t="shared" ca="1" si="53"/>
        <v>0</v>
      </c>
      <c r="BF59" s="1941">
        <f t="shared" ca="1" si="53"/>
        <v>0</v>
      </c>
      <c r="BG59" s="1941">
        <f t="shared" ca="1" si="53"/>
        <v>0</v>
      </c>
      <c r="BH59" s="1941">
        <f t="shared" ca="1" si="53"/>
        <v>0</v>
      </c>
      <c r="BI59" s="1941">
        <f t="shared" ca="1" si="53"/>
        <v>0</v>
      </c>
      <c r="BJ59" s="1941">
        <f t="shared" ca="1" si="53"/>
        <v>0</v>
      </c>
      <c r="BK59" s="1941">
        <f t="shared" ca="1" si="53"/>
        <v>0</v>
      </c>
      <c r="BL59" s="1941"/>
    </row>
    <row r="60" spans="1:64" ht="18" x14ac:dyDescent="0.45">
      <c r="A60" s="1966"/>
      <c r="B60" s="1966"/>
      <c r="C60" s="1967" t="str">
        <f t="shared" si="52"/>
        <v/>
      </c>
      <c r="D60" s="1968"/>
      <c r="E60" s="1969"/>
      <c r="F60" s="1970"/>
      <c r="G60" s="1971"/>
      <c r="H60" s="1969"/>
      <c r="I60" s="1970"/>
      <c r="J60" s="1971"/>
      <c r="K60" s="1969"/>
      <c r="L60" s="1970"/>
      <c r="M60" s="1971"/>
      <c r="N60" s="1969"/>
      <c r="O60" s="1970"/>
      <c r="P60" s="1971"/>
      <c r="Q60" s="1969"/>
      <c r="R60" s="1970"/>
      <c r="S60" s="1971"/>
      <c r="T60" s="1969"/>
      <c r="U60" s="1970"/>
      <c r="V60" s="1971"/>
      <c r="W60" s="1969"/>
      <c r="X60" s="1970"/>
      <c r="Y60" s="1971"/>
      <c r="Z60" s="1969"/>
      <c r="AA60" s="1970"/>
      <c r="AB60" s="1972">
        <f t="shared" si="54"/>
        <v>0</v>
      </c>
      <c r="AC60" s="1973">
        <f t="shared" si="55"/>
        <v>0</v>
      </c>
      <c r="AD60" s="1973">
        <f t="shared" si="56"/>
        <v>0</v>
      </c>
      <c r="AE60" s="1972">
        <f t="shared" si="57"/>
        <v>0</v>
      </c>
      <c r="AF60" s="1973">
        <f t="shared" si="58"/>
        <v>0</v>
      </c>
      <c r="AG60" s="1973">
        <f t="shared" si="59"/>
        <v>0</v>
      </c>
      <c r="AH60" s="1972">
        <f t="shared" si="60"/>
        <v>0</v>
      </c>
      <c r="AI60" s="1973">
        <f t="shared" si="61"/>
        <v>0</v>
      </c>
      <c r="AJ60" s="1973">
        <f t="shared" si="62"/>
        <v>0</v>
      </c>
      <c r="AK60" s="1972">
        <f t="shared" si="63"/>
        <v>0</v>
      </c>
      <c r="AL60" s="1973">
        <f t="shared" si="64"/>
        <v>0</v>
      </c>
      <c r="AM60" s="1973">
        <f t="shared" si="65"/>
        <v>0</v>
      </c>
      <c r="AN60" s="1972">
        <f t="shared" si="66"/>
        <v>0</v>
      </c>
      <c r="AO60" s="1973">
        <f t="shared" si="67"/>
        <v>0</v>
      </c>
      <c r="AP60" s="1973">
        <f t="shared" si="68"/>
        <v>0</v>
      </c>
      <c r="AQ60" s="1972">
        <f t="shared" si="69"/>
        <v>0</v>
      </c>
      <c r="AR60" s="1973">
        <f t="shared" si="70"/>
        <v>0</v>
      </c>
      <c r="AS60" s="1973">
        <f t="shared" si="71"/>
        <v>0</v>
      </c>
      <c r="AT60" s="1972">
        <f t="shared" si="72"/>
        <v>0</v>
      </c>
      <c r="AU60" s="1973">
        <f t="shared" si="73"/>
        <v>0</v>
      </c>
      <c r="AV60" s="1973">
        <f t="shared" si="74"/>
        <v>0</v>
      </c>
      <c r="AW60" s="1972">
        <f t="shared" si="75"/>
        <v>0</v>
      </c>
      <c r="AX60" s="1973">
        <f t="shared" si="51"/>
        <v>0</v>
      </c>
      <c r="AY60" s="1973">
        <f t="shared" si="51"/>
        <v>0</v>
      </c>
      <c r="AZ60" s="1973">
        <f t="shared" si="51"/>
        <v>0</v>
      </c>
      <c r="BB60" s="1941">
        <f t="shared" ca="1" si="53"/>
        <v>0</v>
      </c>
      <c r="BC60" s="1941">
        <f t="shared" ca="1" si="53"/>
        <v>0</v>
      </c>
      <c r="BD60" s="1941">
        <f t="shared" ca="1" si="53"/>
        <v>0</v>
      </c>
      <c r="BE60" s="1941">
        <f t="shared" ca="1" si="53"/>
        <v>0</v>
      </c>
      <c r="BF60" s="1941">
        <f t="shared" ca="1" si="53"/>
        <v>0</v>
      </c>
      <c r="BG60" s="1941">
        <f t="shared" ca="1" si="53"/>
        <v>0</v>
      </c>
      <c r="BH60" s="1941">
        <f t="shared" ca="1" si="53"/>
        <v>0</v>
      </c>
      <c r="BI60" s="1941">
        <f t="shared" ca="1" si="53"/>
        <v>0</v>
      </c>
      <c r="BJ60" s="1941">
        <f t="shared" ca="1" si="53"/>
        <v>0</v>
      </c>
      <c r="BK60" s="1941">
        <f t="shared" ca="1" si="53"/>
        <v>0</v>
      </c>
      <c r="BL60" s="1941"/>
    </row>
    <row r="61" spans="1:64" ht="18" x14ac:dyDescent="0.45">
      <c r="A61" s="1966"/>
      <c r="B61" s="1966"/>
      <c r="C61" s="1967" t="str">
        <f t="shared" si="52"/>
        <v/>
      </c>
      <c r="D61" s="1968"/>
      <c r="E61" s="1969"/>
      <c r="F61" s="1970"/>
      <c r="G61" s="1971"/>
      <c r="H61" s="1969"/>
      <c r="I61" s="1970"/>
      <c r="J61" s="1971"/>
      <c r="K61" s="1969"/>
      <c r="L61" s="1970"/>
      <c r="M61" s="1971"/>
      <c r="N61" s="1969"/>
      <c r="O61" s="1970"/>
      <c r="P61" s="1971"/>
      <c r="Q61" s="1969"/>
      <c r="R61" s="1970"/>
      <c r="S61" s="1971"/>
      <c r="T61" s="1969"/>
      <c r="U61" s="1970"/>
      <c r="V61" s="1971"/>
      <c r="W61" s="1969"/>
      <c r="X61" s="1970"/>
      <c r="Y61" s="1971"/>
      <c r="Z61" s="1969"/>
      <c r="AA61" s="1970"/>
      <c r="AB61" s="1972">
        <f t="shared" si="54"/>
        <v>0</v>
      </c>
      <c r="AC61" s="1973">
        <f t="shared" si="55"/>
        <v>0</v>
      </c>
      <c r="AD61" s="1973">
        <f t="shared" si="56"/>
        <v>0</v>
      </c>
      <c r="AE61" s="1972">
        <f t="shared" si="57"/>
        <v>0</v>
      </c>
      <c r="AF61" s="1973">
        <f t="shared" si="58"/>
        <v>0</v>
      </c>
      <c r="AG61" s="1973">
        <f t="shared" si="59"/>
        <v>0</v>
      </c>
      <c r="AH61" s="1972">
        <f t="shared" si="60"/>
        <v>0</v>
      </c>
      <c r="AI61" s="1973">
        <f t="shared" si="61"/>
        <v>0</v>
      </c>
      <c r="AJ61" s="1973">
        <f t="shared" si="62"/>
        <v>0</v>
      </c>
      <c r="AK61" s="1972">
        <f t="shared" si="63"/>
        <v>0</v>
      </c>
      <c r="AL61" s="1973">
        <f t="shared" si="64"/>
        <v>0</v>
      </c>
      <c r="AM61" s="1973">
        <f t="shared" si="65"/>
        <v>0</v>
      </c>
      <c r="AN61" s="1972">
        <f t="shared" si="66"/>
        <v>0</v>
      </c>
      <c r="AO61" s="1973">
        <f t="shared" si="67"/>
        <v>0</v>
      </c>
      <c r="AP61" s="1973">
        <f t="shared" si="68"/>
        <v>0</v>
      </c>
      <c r="AQ61" s="1972">
        <f t="shared" si="69"/>
        <v>0</v>
      </c>
      <c r="AR61" s="1973">
        <f t="shared" si="70"/>
        <v>0</v>
      </c>
      <c r="AS61" s="1973">
        <f t="shared" si="71"/>
        <v>0</v>
      </c>
      <c r="AT61" s="1972">
        <f t="shared" si="72"/>
        <v>0</v>
      </c>
      <c r="AU61" s="1973">
        <f t="shared" si="73"/>
        <v>0</v>
      </c>
      <c r="AV61" s="1973">
        <f t="shared" si="74"/>
        <v>0</v>
      </c>
      <c r="AW61" s="1972">
        <f t="shared" si="75"/>
        <v>0</v>
      </c>
      <c r="AX61" s="1973">
        <f t="shared" si="51"/>
        <v>0</v>
      </c>
      <c r="AY61" s="1973">
        <f t="shared" si="51"/>
        <v>0</v>
      </c>
      <c r="AZ61" s="1973">
        <f t="shared" si="51"/>
        <v>0</v>
      </c>
      <c r="BB61" s="1941">
        <f t="shared" ca="1" si="53"/>
        <v>0</v>
      </c>
      <c r="BC61" s="1941">
        <f t="shared" ca="1" si="53"/>
        <v>0</v>
      </c>
      <c r="BD61" s="1941">
        <f t="shared" ca="1" si="53"/>
        <v>0</v>
      </c>
      <c r="BE61" s="1941">
        <f t="shared" ca="1" si="53"/>
        <v>0</v>
      </c>
      <c r="BF61" s="1941">
        <f t="shared" ca="1" si="53"/>
        <v>0</v>
      </c>
      <c r="BG61" s="1941">
        <f t="shared" ca="1" si="53"/>
        <v>0</v>
      </c>
      <c r="BH61" s="1941">
        <f t="shared" ca="1" si="53"/>
        <v>0</v>
      </c>
      <c r="BI61" s="1941">
        <f t="shared" ca="1" si="53"/>
        <v>0</v>
      </c>
      <c r="BJ61" s="1941">
        <f t="shared" ca="1" si="53"/>
        <v>0</v>
      </c>
      <c r="BK61" s="1941">
        <f t="shared" ca="1" si="53"/>
        <v>0</v>
      </c>
      <c r="BL61" s="1941"/>
    </row>
    <row r="62" spans="1:64" ht="18" x14ac:dyDescent="0.45">
      <c r="A62" s="1966"/>
      <c r="B62" s="1966"/>
      <c r="C62" s="1967" t="str">
        <f t="shared" si="52"/>
        <v/>
      </c>
      <c r="D62" s="1968"/>
      <c r="E62" s="1969"/>
      <c r="F62" s="1970"/>
      <c r="G62" s="1971"/>
      <c r="H62" s="1969"/>
      <c r="I62" s="1970"/>
      <c r="J62" s="1971"/>
      <c r="K62" s="1969"/>
      <c r="L62" s="1970"/>
      <c r="M62" s="1971"/>
      <c r="N62" s="1969"/>
      <c r="O62" s="1970"/>
      <c r="P62" s="1971"/>
      <c r="Q62" s="1969"/>
      <c r="R62" s="1970"/>
      <c r="S62" s="1971"/>
      <c r="T62" s="1969"/>
      <c r="U62" s="1970"/>
      <c r="V62" s="1971"/>
      <c r="W62" s="1969"/>
      <c r="X62" s="1970"/>
      <c r="Y62" s="1971"/>
      <c r="Z62" s="1969"/>
      <c r="AA62" s="1970"/>
      <c r="AB62" s="1972">
        <f t="shared" si="54"/>
        <v>0</v>
      </c>
      <c r="AC62" s="1973">
        <f t="shared" si="55"/>
        <v>0</v>
      </c>
      <c r="AD62" s="1973">
        <f t="shared" si="56"/>
        <v>0</v>
      </c>
      <c r="AE62" s="1972">
        <f t="shared" si="57"/>
        <v>0</v>
      </c>
      <c r="AF62" s="1973">
        <f t="shared" si="58"/>
        <v>0</v>
      </c>
      <c r="AG62" s="1973">
        <f t="shared" si="59"/>
        <v>0</v>
      </c>
      <c r="AH62" s="1972">
        <f t="shared" si="60"/>
        <v>0</v>
      </c>
      <c r="AI62" s="1973">
        <f t="shared" si="61"/>
        <v>0</v>
      </c>
      <c r="AJ62" s="1973">
        <f t="shared" si="62"/>
        <v>0</v>
      </c>
      <c r="AK62" s="1972">
        <f t="shared" si="63"/>
        <v>0</v>
      </c>
      <c r="AL62" s="1973">
        <f t="shared" si="64"/>
        <v>0</v>
      </c>
      <c r="AM62" s="1973">
        <f t="shared" si="65"/>
        <v>0</v>
      </c>
      <c r="AN62" s="1972">
        <f t="shared" si="66"/>
        <v>0</v>
      </c>
      <c r="AO62" s="1973">
        <f t="shared" si="67"/>
        <v>0</v>
      </c>
      <c r="AP62" s="1973">
        <f t="shared" si="68"/>
        <v>0</v>
      </c>
      <c r="AQ62" s="1972">
        <f t="shared" si="69"/>
        <v>0</v>
      </c>
      <c r="AR62" s="1973">
        <f t="shared" si="70"/>
        <v>0</v>
      </c>
      <c r="AS62" s="1973">
        <f t="shared" si="71"/>
        <v>0</v>
      </c>
      <c r="AT62" s="1972">
        <f t="shared" si="72"/>
        <v>0</v>
      </c>
      <c r="AU62" s="1973">
        <f t="shared" si="73"/>
        <v>0</v>
      </c>
      <c r="AV62" s="1973">
        <f t="shared" si="74"/>
        <v>0</v>
      </c>
      <c r="AW62" s="1972">
        <f t="shared" si="75"/>
        <v>0</v>
      </c>
      <c r="AX62" s="1973">
        <f t="shared" si="51"/>
        <v>0</v>
      </c>
      <c r="AY62" s="1973">
        <f t="shared" si="51"/>
        <v>0</v>
      </c>
      <c r="AZ62" s="1973">
        <f t="shared" si="51"/>
        <v>0</v>
      </c>
      <c r="BB62" s="1941">
        <f t="shared" ca="1" si="53"/>
        <v>0</v>
      </c>
      <c r="BC62" s="1941">
        <f t="shared" ca="1" si="53"/>
        <v>0</v>
      </c>
      <c r="BD62" s="1941">
        <f t="shared" ca="1" si="53"/>
        <v>0</v>
      </c>
      <c r="BE62" s="1941">
        <f t="shared" ca="1" si="53"/>
        <v>0</v>
      </c>
      <c r="BF62" s="1941">
        <f t="shared" ca="1" si="53"/>
        <v>0</v>
      </c>
      <c r="BG62" s="1941">
        <f t="shared" ca="1" si="53"/>
        <v>0</v>
      </c>
      <c r="BH62" s="1941">
        <f t="shared" ca="1" si="53"/>
        <v>0</v>
      </c>
      <c r="BI62" s="1941">
        <f t="shared" ca="1" si="53"/>
        <v>0</v>
      </c>
      <c r="BJ62" s="1941">
        <f t="shared" ca="1" si="53"/>
        <v>0</v>
      </c>
      <c r="BK62" s="1941">
        <f t="shared" ca="1" si="53"/>
        <v>0</v>
      </c>
      <c r="BL62" s="1941"/>
    </row>
    <row r="63" spans="1:64" ht="18" x14ac:dyDescent="0.45">
      <c r="A63" s="1966"/>
      <c r="B63" s="1966"/>
      <c r="C63" s="1967" t="str">
        <f t="shared" si="52"/>
        <v/>
      </c>
      <c r="D63" s="1968"/>
      <c r="E63" s="1969"/>
      <c r="F63" s="1970"/>
      <c r="G63" s="1971"/>
      <c r="H63" s="1969"/>
      <c r="I63" s="1970"/>
      <c r="J63" s="1971"/>
      <c r="K63" s="1969"/>
      <c r="L63" s="1970"/>
      <c r="M63" s="1971"/>
      <c r="N63" s="1969"/>
      <c r="O63" s="1970"/>
      <c r="P63" s="1971"/>
      <c r="Q63" s="1969"/>
      <c r="R63" s="1970"/>
      <c r="S63" s="1971"/>
      <c r="T63" s="1969"/>
      <c r="U63" s="1970"/>
      <c r="V63" s="1971"/>
      <c r="W63" s="1969"/>
      <c r="X63" s="1970"/>
      <c r="Y63" s="1971"/>
      <c r="Z63" s="1969"/>
      <c r="AA63" s="1970"/>
      <c r="AB63" s="1972">
        <f t="shared" si="2"/>
        <v>0</v>
      </c>
      <c r="AC63" s="1973">
        <f t="shared" si="3"/>
        <v>0</v>
      </c>
      <c r="AD63" s="1973">
        <f t="shared" si="4"/>
        <v>0</v>
      </c>
      <c r="AE63" s="1972">
        <f t="shared" si="5"/>
        <v>0</v>
      </c>
      <c r="AF63" s="1973">
        <f t="shared" si="6"/>
        <v>0</v>
      </c>
      <c r="AG63" s="1973">
        <f t="shared" si="7"/>
        <v>0</v>
      </c>
      <c r="AH63" s="1972">
        <f t="shared" si="8"/>
        <v>0</v>
      </c>
      <c r="AI63" s="1973">
        <f t="shared" si="9"/>
        <v>0</v>
      </c>
      <c r="AJ63" s="1973">
        <f t="shared" si="10"/>
        <v>0</v>
      </c>
      <c r="AK63" s="1972">
        <f t="shared" si="11"/>
        <v>0</v>
      </c>
      <c r="AL63" s="1973">
        <f t="shared" si="12"/>
        <v>0</v>
      </c>
      <c r="AM63" s="1973">
        <f t="shared" si="13"/>
        <v>0</v>
      </c>
      <c r="AN63" s="1972">
        <f t="shared" si="14"/>
        <v>0</v>
      </c>
      <c r="AO63" s="1973">
        <f t="shared" si="15"/>
        <v>0</v>
      </c>
      <c r="AP63" s="1973">
        <f t="shared" si="16"/>
        <v>0</v>
      </c>
      <c r="AQ63" s="1972">
        <f t="shared" si="17"/>
        <v>0</v>
      </c>
      <c r="AR63" s="1973">
        <f t="shared" si="18"/>
        <v>0</v>
      </c>
      <c r="AS63" s="1973">
        <f t="shared" si="19"/>
        <v>0</v>
      </c>
      <c r="AT63" s="1972">
        <f t="shared" si="20"/>
        <v>0</v>
      </c>
      <c r="AU63" s="1973">
        <f t="shared" si="21"/>
        <v>0</v>
      </c>
      <c r="AV63" s="1973">
        <f t="shared" si="22"/>
        <v>0</v>
      </c>
      <c r="AW63" s="1972">
        <f t="shared" si="23"/>
        <v>0</v>
      </c>
      <c r="AX63" s="1973">
        <f t="shared" si="51"/>
        <v>0</v>
      </c>
      <c r="AY63" s="1973">
        <f t="shared" si="51"/>
        <v>0</v>
      </c>
      <c r="AZ63" s="1973">
        <f t="shared" si="51"/>
        <v>0</v>
      </c>
      <c r="BB63" s="1941">
        <f t="shared" ca="1" si="53"/>
        <v>0</v>
      </c>
      <c r="BC63" s="1941">
        <f t="shared" ca="1" si="53"/>
        <v>0</v>
      </c>
      <c r="BD63" s="1941">
        <f t="shared" ca="1" si="53"/>
        <v>0</v>
      </c>
      <c r="BE63" s="1941">
        <f t="shared" ca="1" si="53"/>
        <v>0</v>
      </c>
      <c r="BF63" s="1941">
        <f t="shared" ca="1" si="53"/>
        <v>0</v>
      </c>
      <c r="BG63" s="1941">
        <f t="shared" ca="1" si="53"/>
        <v>0</v>
      </c>
      <c r="BH63" s="1941">
        <f t="shared" ca="1" si="53"/>
        <v>0</v>
      </c>
      <c r="BI63" s="1941">
        <f t="shared" ca="1" si="53"/>
        <v>0</v>
      </c>
      <c r="BJ63" s="1941">
        <f t="shared" ca="1" si="53"/>
        <v>0</v>
      </c>
      <c r="BK63" s="1941">
        <f t="shared" ca="1" si="53"/>
        <v>0</v>
      </c>
      <c r="BL63" s="1941"/>
    </row>
    <row r="64" spans="1:64" ht="18" x14ac:dyDescent="0.45">
      <c r="A64" s="1966"/>
      <c r="B64" s="1966"/>
      <c r="C64" s="1967" t="str">
        <f t="shared" si="52"/>
        <v/>
      </c>
      <c r="D64" s="1968"/>
      <c r="E64" s="1969"/>
      <c r="F64" s="1970"/>
      <c r="G64" s="1971"/>
      <c r="H64" s="1969"/>
      <c r="I64" s="1970"/>
      <c r="J64" s="1971"/>
      <c r="K64" s="1969"/>
      <c r="L64" s="1970"/>
      <c r="M64" s="1971"/>
      <c r="N64" s="1969"/>
      <c r="O64" s="1970"/>
      <c r="P64" s="1971"/>
      <c r="Q64" s="1969"/>
      <c r="R64" s="1970"/>
      <c r="S64" s="1971"/>
      <c r="T64" s="1969"/>
      <c r="U64" s="1970"/>
      <c r="V64" s="1971"/>
      <c r="W64" s="1969"/>
      <c r="X64" s="1970"/>
      <c r="Y64" s="1971"/>
      <c r="Z64" s="1969"/>
      <c r="AA64" s="1970"/>
      <c r="AB64" s="1972">
        <f t="shared" si="2"/>
        <v>0</v>
      </c>
      <c r="AC64" s="1973">
        <f t="shared" si="3"/>
        <v>0</v>
      </c>
      <c r="AD64" s="1973">
        <f t="shared" si="4"/>
        <v>0</v>
      </c>
      <c r="AE64" s="1972">
        <f t="shared" si="5"/>
        <v>0</v>
      </c>
      <c r="AF64" s="1973">
        <f t="shared" si="6"/>
        <v>0</v>
      </c>
      <c r="AG64" s="1973">
        <f t="shared" si="7"/>
        <v>0</v>
      </c>
      <c r="AH64" s="1972">
        <f t="shared" si="8"/>
        <v>0</v>
      </c>
      <c r="AI64" s="1973">
        <f t="shared" si="9"/>
        <v>0</v>
      </c>
      <c r="AJ64" s="1973">
        <f t="shared" si="10"/>
        <v>0</v>
      </c>
      <c r="AK64" s="1972">
        <f t="shared" si="11"/>
        <v>0</v>
      </c>
      <c r="AL64" s="1973">
        <f t="shared" si="12"/>
        <v>0</v>
      </c>
      <c r="AM64" s="1973">
        <f t="shared" si="13"/>
        <v>0</v>
      </c>
      <c r="AN64" s="1972">
        <f t="shared" si="14"/>
        <v>0</v>
      </c>
      <c r="AO64" s="1973">
        <f t="shared" si="15"/>
        <v>0</v>
      </c>
      <c r="AP64" s="1973">
        <f t="shared" si="16"/>
        <v>0</v>
      </c>
      <c r="AQ64" s="1972">
        <f t="shared" si="17"/>
        <v>0</v>
      </c>
      <c r="AR64" s="1973">
        <f t="shared" si="18"/>
        <v>0</v>
      </c>
      <c r="AS64" s="1973">
        <f t="shared" si="19"/>
        <v>0</v>
      </c>
      <c r="AT64" s="1972">
        <f t="shared" si="20"/>
        <v>0</v>
      </c>
      <c r="AU64" s="1973">
        <f t="shared" si="21"/>
        <v>0</v>
      </c>
      <c r="AV64" s="1973">
        <f t="shared" si="22"/>
        <v>0</v>
      </c>
      <c r="AW64" s="1972">
        <f t="shared" si="23"/>
        <v>0</v>
      </c>
      <c r="AX64" s="1973">
        <f t="shared" si="51"/>
        <v>0</v>
      </c>
      <c r="AY64" s="1973">
        <f t="shared" si="51"/>
        <v>0</v>
      </c>
      <c r="AZ64" s="1973">
        <f t="shared" si="51"/>
        <v>0</v>
      </c>
      <c r="BB64" s="1941">
        <f t="shared" ca="1" si="53"/>
        <v>0</v>
      </c>
      <c r="BC64" s="1941">
        <f t="shared" ca="1" si="53"/>
        <v>0</v>
      </c>
      <c r="BD64" s="1941">
        <f t="shared" ca="1" si="53"/>
        <v>0</v>
      </c>
      <c r="BE64" s="1941">
        <f t="shared" ca="1" si="53"/>
        <v>0</v>
      </c>
      <c r="BF64" s="1941">
        <f t="shared" ca="1" si="53"/>
        <v>0</v>
      </c>
      <c r="BG64" s="1941">
        <f t="shared" ca="1" si="53"/>
        <v>0</v>
      </c>
      <c r="BH64" s="1941">
        <f t="shared" ca="1" si="53"/>
        <v>0</v>
      </c>
      <c r="BI64" s="1941">
        <f t="shared" ca="1" si="53"/>
        <v>0</v>
      </c>
      <c r="BJ64" s="1941">
        <f t="shared" ca="1" si="53"/>
        <v>0</v>
      </c>
      <c r="BK64" s="1941">
        <f t="shared" ca="1" si="53"/>
        <v>0</v>
      </c>
      <c r="BL64" s="1941"/>
    </row>
    <row r="65" spans="1:69" ht="18" x14ac:dyDescent="0.45">
      <c r="A65" s="1966"/>
      <c r="B65" s="1966"/>
      <c r="C65" s="1967" t="str">
        <f t="shared" si="52"/>
        <v/>
      </c>
      <c r="D65" s="1968"/>
      <c r="E65" s="1969"/>
      <c r="F65" s="1970"/>
      <c r="G65" s="1971"/>
      <c r="H65" s="1969"/>
      <c r="I65" s="1970"/>
      <c r="J65" s="1971"/>
      <c r="K65" s="1969"/>
      <c r="L65" s="1970"/>
      <c r="M65" s="1971"/>
      <c r="N65" s="1969"/>
      <c r="O65" s="1970"/>
      <c r="P65" s="1971"/>
      <c r="Q65" s="1969"/>
      <c r="R65" s="1970"/>
      <c r="S65" s="1971"/>
      <c r="T65" s="1969"/>
      <c r="U65" s="1970"/>
      <c r="V65" s="1971"/>
      <c r="W65" s="1969"/>
      <c r="X65" s="1970"/>
      <c r="Y65" s="1971"/>
      <c r="Z65" s="1969"/>
      <c r="AA65" s="1970"/>
      <c r="AB65" s="1972">
        <f t="shared" si="2"/>
        <v>0</v>
      </c>
      <c r="AC65" s="1973">
        <f t="shared" si="3"/>
        <v>0</v>
      </c>
      <c r="AD65" s="1973">
        <f t="shared" si="4"/>
        <v>0</v>
      </c>
      <c r="AE65" s="1972">
        <f t="shared" si="5"/>
        <v>0</v>
      </c>
      <c r="AF65" s="1973">
        <f t="shared" si="6"/>
        <v>0</v>
      </c>
      <c r="AG65" s="1973">
        <f t="shared" si="7"/>
        <v>0</v>
      </c>
      <c r="AH65" s="1972">
        <f t="shared" si="8"/>
        <v>0</v>
      </c>
      <c r="AI65" s="1973">
        <f t="shared" si="9"/>
        <v>0</v>
      </c>
      <c r="AJ65" s="1973">
        <f t="shared" si="10"/>
        <v>0</v>
      </c>
      <c r="AK65" s="1972">
        <f t="shared" si="11"/>
        <v>0</v>
      </c>
      <c r="AL65" s="1973">
        <f t="shared" si="12"/>
        <v>0</v>
      </c>
      <c r="AM65" s="1973">
        <f t="shared" si="13"/>
        <v>0</v>
      </c>
      <c r="AN65" s="1972">
        <f t="shared" si="14"/>
        <v>0</v>
      </c>
      <c r="AO65" s="1973">
        <f t="shared" si="15"/>
        <v>0</v>
      </c>
      <c r="AP65" s="1973">
        <f t="shared" si="16"/>
        <v>0</v>
      </c>
      <c r="AQ65" s="1972">
        <f t="shared" si="17"/>
        <v>0</v>
      </c>
      <c r="AR65" s="1973">
        <f t="shared" si="18"/>
        <v>0</v>
      </c>
      <c r="AS65" s="1973">
        <f t="shared" si="19"/>
        <v>0</v>
      </c>
      <c r="AT65" s="1972">
        <f t="shared" si="20"/>
        <v>0</v>
      </c>
      <c r="AU65" s="1973">
        <f t="shared" si="21"/>
        <v>0</v>
      </c>
      <c r="AV65" s="1973">
        <f t="shared" si="22"/>
        <v>0</v>
      </c>
      <c r="AW65" s="1972">
        <f t="shared" si="23"/>
        <v>0</v>
      </c>
      <c r="AX65" s="1973">
        <f t="shared" si="51"/>
        <v>0</v>
      </c>
      <c r="AY65" s="1973">
        <f t="shared" si="51"/>
        <v>0</v>
      </c>
      <c r="AZ65" s="1973">
        <f t="shared" si="51"/>
        <v>0</v>
      </c>
      <c r="BB65" s="1941">
        <f t="shared" ca="1" si="53"/>
        <v>0</v>
      </c>
      <c r="BC65" s="1941">
        <f t="shared" ca="1" si="53"/>
        <v>0</v>
      </c>
      <c r="BD65" s="1941">
        <f t="shared" ca="1" si="53"/>
        <v>0</v>
      </c>
      <c r="BE65" s="1941">
        <f t="shared" ca="1" si="53"/>
        <v>0</v>
      </c>
      <c r="BF65" s="1941">
        <f t="shared" ca="1" si="53"/>
        <v>0</v>
      </c>
      <c r="BG65" s="1941">
        <f t="shared" ca="1" si="53"/>
        <v>0</v>
      </c>
      <c r="BH65" s="1941">
        <f t="shared" ca="1" si="53"/>
        <v>0</v>
      </c>
      <c r="BI65" s="1941">
        <f t="shared" ca="1" si="53"/>
        <v>0</v>
      </c>
      <c r="BJ65" s="1941">
        <f t="shared" ca="1" si="53"/>
        <v>0</v>
      </c>
      <c r="BK65" s="1941">
        <f t="shared" ca="1" si="53"/>
        <v>0</v>
      </c>
      <c r="BL65" s="1941"/>
    </row>
    <row r="66" spans="1:69" ht="18" x14ac:dyDescent="0.45">
      <c r="A66" s="1966"/>
      <c r="B66" s="1966"/>
      <c r="C66" s="1967" t="str">
        <f t="shared" si="52"/>
        <v/>
      </c>
      <c r="D66" s="1968"/>
      <c r="E66" s="1969"/>
      <c r="F66" s="1970"/>
      <c r="G66" s="1971"/>
      <c r="H66" s="1969"/>
      <c r="I66" s="1970"/>
      <c r="J66" s="1971"/>
      <c r="K66" s="1969"/>
      <c r="L66" s="1970"/>
      <c r="M66" s="1971"/>
      <c r="N66" s="1969"/>
      <c r="O66" s="1970"/>
      <c r="P66" s="1971"/>
      <c r="Q66" s="1969"/>
      <c r="R66" s="1970"/>
      <c r="S66" s="1971"/>
      <c r="T66" s="1969"/>
      <c r="U66" s="1970"/>
      <c r="V66" s="1971"/>
      <c r="W66" s="1969"/>
      <c r="X66" s="1970"/>
      <c r="Y66" s="1971"/>
      <c r="Z66" s="1969"/>
      <c r="AA66" s="1970"/>
      <c r="AB66" s="1972">
        <f t="shared" si="2"/>
        <v>0</v>
      </c>
      <c r="AC66" s="1973">
        <f t="shared" si="3"/>
        <v>0</v>
      </c>
      <c r="AD66" s="1973">
        <f t="shared" si="4"/>
        <v>0</v>
      </c>
      <c r="AE66" s="1972">
        <f t="shared" si="5"/>
        <v>0</v>
      </c>
      <c r="AF66" s="1973">
        <f t="shared" si="6"/>
        <v>0</v>
      </c>
      <c r="AG66" s="1973">
        <f t="shared" si="7"/>
        <v>0</v>
      </c>
      <c r="AH66" s="1972">
        <f t="shared" si="8"/>
        <v>0</v>
      </c>
      <c r="AI66" s="1973">
        <f t="shared" si="9"/>
        <v>0</v>
      </c>
      <c r="AJ66" s="1973">
        <f t="shared" si="10"/>
        <v>0</v>
      </c>
      <c r="AK66" s="1972">
        <f t="shared" si="11"/>
        <v>0</v>
      </c>
      <c r="AL66" s="1973">
        <f t="shared" si="12"/>
        <v>0</v>
      </c>
      <c r="AM66" s="1973">
        <f t="shared" si="13"/>
        <v>0</v>
      </c>
      <c r="AN66" s="1972">
        <f t="shared" si="14"/>
        <v>0</v>
      </c>
      <c r="AO66" s="1973">
        <f t="shared" si="15"/>
        <v>0</v>
      </c>
      <c r="AP66" s="1973">
        <f t="shared" si="16"/>
        <v>0</v>
      </c>
      <c r="AQ66" s="1972">
        <f t="shared" si="17"/>
        <v>0</v>
      </c>
      <c r="AR66" s="1973">
        <f t="shared" si="18"/>
        <v>0</v>
      </c>
      <c r="AS66" s="1973">
        <f t="shared" si="19"/>
        <v>0</v>
      </c>
      <c r="AT66" s="1972">
        <f t="shared" si="20"/>
        <v>0</v>
      </c>
      <c r="AU66" s="1973">
        <f t="shared" si="21"/>
        <v>0</v>
      </c>
      <c r="AV66" s="1973">
        <f t="shared" si="22"/>
        <v>0</v>
      </c>
      <c r="AW66" s="1972">
        <f t="shared" si="23"/>
        <v>0</v>
      </c>
      <c r="AX66" s="1973">
        <f t="shared" si="51"/>
        <v>0</v>
      </c>
      <c r="AY66" s="1973">
        <f t="shared" si="51"/>
        <v>0</v>
      </c>
      <c r="AZ66" s="1973">
        <f t="shared" si="51"/>
        <v>0</v>
      </c>
      <c r="BB66" s="1941">
        <f t="shared" ca="1" si="53"/>
        <v>0</v>
      </c>
      <c r="BC66" s="1941">
        <f t="shared" ca="1" si="53"/>
        <v>0</v>
      </c>
      <c r="BD66" s="1941">
        <f t="shared" ca="1" si="53"/>
        <v>0</v>
      </c>
      <c r="BE66" s="1941">
        <f t="shared" ca="1" si="53"/>
        <v>0</v>
      </c>
      <c r="BF66" s="1941">
        <f t="shared" ca="1" si="53"/>
        <v>0</v>
      </c>
      <c r="BG66" s="1941">
        <f t="shared" ca="1" si="53"/>
        <v>0</v>
      </c>
      <c r="BH66" s="1941">
        <f t="shared" ca="1" si="53"/>
        <v>0</v>
      </c>
      <c r="BI66" s="1941">
        <f t="shared" ca="1" si="53"/>
        <v>0</v>
      </c>
      <c r="BJ66" s="1941">
        <f t="shared" ca="1" si="53"/>
        <v>0</v>
      </c>
      <c r="BK66" s="1941">
        <f t="shared" ca="1" si="53"/>
        <v>0</v>
      </c>
      <c r="BL66" s="1941"/>
    </row>
    <row r="67" spans="1:69" ht="18" x14ac:dyDescent="0.45">
      <c r="A67" s="1966"/>
      <c r="B67" s="1966"/>
      <c r="C67" s="1967" t="str">
        <f t="shared" si="52"/>
        <v/>
      </c>
      <c r="D67" s="1968"/>
      <c r="E67" s="1969"/>
      <c r="F67" s="1970"/>
      <c r="G67" s="1971"/>
      <c r="H67" s="1969"/>
      <c r="I67" s="1970"/>
      <c r="J67" s="1971"/>
      <c r="K67" s="1969"/>
      <c r="L67" s="1970"/>
      <c r="M67" s="1971"/>
      <c r="N67" s="1969"/>
      <c r="O67" s="1970"/>
      <c r="P67" s="1971"/>
      <c r="Q67" s="1969"/>
      <c r="R67" s="1970"/>
      <c r="S67" s="1971"/>
      <c r="T67" s="1969"/>
      <c r="U67" s="1970"/>
      <c r="V67" s="1971"/>
      <c r="W67" s="1969"/>
      <c r="X67" s="1970"/>
      <c r="Y67" s="1971"/>
      <c r="Z67" s="1969"/>
      <c r="AA67" s="1970"/>
      <c r="AB67" s="1972">
        <f t="shared" si="2"/>
        <v>0</v>
      </c>
      <c r="AC67" s="1973">
        <f t="shared" si="3"/>
        <v>0</v>
      </c>
      <c r="AD67" s="1973">
        <f t="shared" si="4"/>
        <v>0</v>
      </c>
      <c r="AE67" s="1972">
        <f t="shared" si="5"/>
        <v>0</v>
      </c>
      <c r="AF67" s="1973">
        <f t="shared" si="6"/>
        <v>0</v>
      </c>
      <c r="AG67" s="1973">
        <f t="shared" si="7"/>
        <v>0</v>
      </c>
      <c r="AH67" s="1972">
        <f t="shared" si="8"/>
        <v>0</v>
      </c>
      <c r="AI67" s="1973">
        <f t="shared" si="9"/>
        <v>0</v>
      </c>
      <c r="AJ67" s="1973">
        <f t="shared" si="10"/>
        <v>0</v>
      </c>
      <c r="AK67" s="1972">
        <f t="shared" si="11"/>
        <v>0</v>
      </c>
      <c r="AL67" s="1973">
        <f t="shared" si="12"/>
        <v>0</v>
      </c>
      <c r="AM67" s="1973">
        <f t="shared" si="13"/>
        <v>0</v>
      </c>
      <c r="AN67" s="1972">
        <f t="shared" si="14"/>
        <v>0</v>
      </c>
      <c r="AO67" s="1973">
        <f t="shared" si="15"/>
        <v>0</v>
      </c>
      <c r="AP67" s="1973">
        <f t="shared" si="16"/>
        <v>0</v>
      </c>
      <c r="AQ67" s="1972">
        <f t="shared" si="17"/>
        <v>0</v>
      </c>
      <c r="AR67" s="1973">
        <f t="shared" si="18"/>
        <v>0</v>
      </c>
      <c r="AS67" s="1973">
        <f t="shared" si="19"/>
        <v>0</v>
      </c>
      <c r="AT67" s="1972">
        <f t="shared" si="20"/>
        <v>0</v>
      </c>
      <c r="AU67" s="1973">
        <f t="shared" si="21"/>
        <v>0</v>
      </c>
      <c r="AV67" s="1973">
        <f t="shared" si="22"/>
        <v>0</v>
      </c>
      <c r="AW67" s="1972">
        <f t="shared" si="23"/>
        <v>0</v>
      </c>
      <c r="AX67" s="1973">
        <f t="shared" si="51"/>
        <v>0</v>
      </c>
      <c r="AY67" s="1973">
        <f t="shared" si="51"/>
        <v>0</v>
      </c>
      <c r="AZ67" s="1973">
        <f t="shared" si="51"/>
        <v>0</v>
      </c>
      <c r="BB67" s="1941">
        <f t="shared" ca="1" si="53"/>
        <v>0</v>
      </c>
      <c r="BC67" s="1941">
        <f t="shared" ca="1" si="53"/>
        <v>0</v>
      </c>
      <c r="BD67" s="1941">
        <f t="shared" ca="1" si="53"/>
        <v>0</v>
      </c>
      <c r="BE67" s="1941">
        <f t="shared" ca="1" si="53"/>
        <v>0</v>
      </c>
      <c r="BF67" s="1941">
        <f t="shared" ca="1" si="53"/>
        <v>0</v>
      </c>
      <c r="BG67" s="1941">
        <f t="shared" ca="1" si="53"/>
        <v>0</v>
      </c>
      <c r="BH67" s="1941">
        <f t="shared" ca="1" si="53"/>
        <v>0</v>
      </c>
      <c r="BI67" s="1941">
        <f t="shared" ca="1" si="53"/>
        <v>0</v>
      </c>
      <c r="BJ67" s="1941">
        <f t="shared" ca="1" si="53"/>
        <v>0</v>
      </c>
      <c r="BK67" s="1941">
        <f t="shared" ca="1" si="53"/>
        <v>0</v>
      </c>
      <c r="BL67" s="1941"/>
    </row>
    <row r="68" spans="1:69" ht="18" x14ac:dyDescent="0.45">
      <c r="A68" s="1966"/>
      <c r="B68" s="1966"/>
      <c r="C68" s="1967" t="str">
        <f t="shared" si="52"/>
        <v/>
      </c>
      <c r="D68" s="1968"/>
      <c r="E68" s="1969"/>
      <c r="F68" s="1970"/>
      <c r="G68" s="1971"/>
      <c r="H68" s="1969"/>
      <c r="I68" s="1970"/>
      <c r="J68" s="1971"/>
      <c r="K68" s="1969"/>
      <c r="L68" s="1970"/>
      <c r="M68" s="1971"/>
      <c r="N68" s="1969"/>
      <c r="O68" s="1970"/>
      <c r="P68" s="1971"/>
      <c r="Q68" s="1969"/>
      <c r="R68" s="1970"/>
      <c r="S68" s="1971"/>
      <c r="T68" s="1969"/>
      <c r="U68" s="1970"/>
      <c r="V68" s="1971"/>
      <c r="W68" s="1969"/>
      <c r="X68" s="1970"/>
      <c r="Y68" s="1971"/>
      <c r="Z68" s="1969"/>
      <c r="AA68" s="1970"/>
      <c r="AB68" s="1972">
        <f t="shared" si="2"/>
        <v>0</v>
      </c>
      <c r="AC68" s="1973">
        <f t="shared" si="3"/>
        <v>0</v>
      </c>
      <c r="AD68" s="1973">
        <f t="shared" si="4"/>
        <v>0</v>
      </c>
      <c r="AE68" s="1972">
        <f t="shared" si="5"/>
        <v>0</v>
      </c>
      <c r="AF68" s="1973">
        <f t="shared" si="6"/>
        <v>0</v>
      </c>
      <c r="AG68" s="1973">
        <f t="shared" si="7"/>
        <v>0</v>
      </c>
      <c r="AH68" s="1972">
        <f t="shared" si="8"/>
        <v>0</v>
      </c>
      <c r="AI68" s="1973">
        <f t="shared" si="9"/>
        <v>0</v>
      </c>
      <c r="AJ68" s="1973">
        <f t="shared" si="10"/>
        <v>0</v>
      </c>
      <c r="AK68" s="1972">
        <f t="shared" si="11"/>
        <v>0</v>
      </c>
      <c r="AL68" s="1973">
        <f t="shared" si="12"/>
        <v>0</v>
      </c>
      <c r="AM68" s="1973">
        <f t="shared" si="13"/>
        <v>0</v>
      </c>
      <c r="AN68" s="1972">
        <f t="shared" si="14"/>
        <v>0</v>
      </c>
      <c r="AO68" s="1973">
        <f t="shared" si="15"/>
        <v>0</v>
      </c>
      <c r="AP68" s="1973">
        <f t="shared" si="16"/>
        <v>0</v>
      </c>
      <c r="AQ68" s="1972">
        <f t="shared" si="17"/>
        <v>0</v>
      </c>
      <c r="AR68" s="1973">
        <f t="shared" si="18"/>
        <v>0</v>
      </c>
      <c r="AS68" s="1973">
        <f t="shared" si="19"/>
        <v>0</v>
      </c>
      <c r="AT68" s="1972">
        <f t="shared" si="20"/>
        <v>0</v>
      </c>
      <c r="AU68" s="1973">
        <f t="shared" si="21"/>
        <v>0</v>
      </c>
      <c r="AV68" s="1973">
        <f t="shared" si="22"/>
        <v>0</v>
      </c>
      <c r="AW68" s="1972">
        <f t="shared" si="23"/>
        <v>0</v>
      </c>
      <c r="AX68" s="1973">
        <f t="shared" si="51"/>
        <v>0</v>
      </c>
      <c r="AY68" s="1973">
        <f t="shared" si="51"/>
        <v>0</v>
      </c>
      <c r="AZ68" s="1973">
        <f t="shared" si="51"/>
        <v>0</v>
      </c>
      <c r="BB68" s="1941">
        <f t="shared" ca="1" si="53"/>
        <v>0</v>
      </c>
      <c r="BC68" s="1941">
        <f t="shared" ca="1" si="53"/>
        <v>0</v>
      </c>
      <c r="BD68" s="1941">
        <f t="shared" ca="1" si="53"/>
        <v>0</v>
      </c>
      <c r="BE68" s="1941">
        <f t="shared" ca="1" si="53"/>
        <v>0</v>
      </c>
      <c r="BF68" s="1941">
        <f t="shared" ca="1" si="53"/>
        <v>0</v>
      </c>
      <c r="BG68" s="1941">
        <f t="shared" ca="1" si="53"/>
        <v>0</v>
      </c>
      <c r="BH68" s="1941">
        <f t="shared" ca="1" si="53"/>
        <v>0</v>
      </c>
      <c r="BI68" s="1941">
        <f t="shared" ca="1" si="53"/>
        <v>0</v>
      </c>
      <c r="BJ68" s="1941">
        <f t="shared" ca="1" si="53"/>
        <v>0</v>
      </c>
      <c r="BK68" s="1941">
        <f t="shared" ca="1" si="53"/>
        <v>0</v>
      </c>
      <c r="BL68" s="1941"/>
    </row>
    <row r="69" spans="1:69" ht="18" x14ac:dyDescent="0.45">
      <c r="A69" s="1966"/>
      <c r="B69" s="1966"/>
      <c r="C69" s="1967" t="str">
        <f t="shared" si="52"/>
        <v/>
      </c>
      <c r="D69" s="1968"/>
      <c r="E69" s="1969"/>
      <c r="F69" s="1970"/>
      <c r="G69" s="1971"/>
      <c r="H69" s="1969"/>
      <c r="I69" s="1970"/>
      <c r="J69" s="1971"/>
      <c r="K69" s="1969"/>
      <c r="L69" s="1970"/>
      <c r="M69" s="1971"/>
      <c r="N69" s="1969"/>
      <c r="O69" s="1970"/>
      <c r="P69" s="1971"/>
      <c r="Q69" s="1969"/>
      <c r="R69" s="1970"/>
      <c r="S69" s="1971"/>
      <c r="T69" s="1969"/>
      <c r="U69" s="1970"/>
      <c r="V69" s="1971"/>
      <c r="W69" s="1969"/>
      <c r="X69" s="1970"/>
      <c r="Y69" s="1971"/>
      <c r="Z69" s="1969"/>
      <c r="AA69" s="1970"/>
      <c r="AB69" s="1972">
        <f t="shared" si="2"/>
        <v>0</v>
      </c>
      <c r="AC69" s="1973">
        <f t="shared" si="3"/>
        <v>0</v>
      </c>
      <c r="AD69" s="1973">
        <f t="shared" si="4"/>
        <v>0</v>
      </c>
      <c r="AE69" s="1972">
        <f t="shared" si="5"/>
        <v>0</v>
      </c>
      <c r="AF69" s="1973">
        <f t="shared" si="6"/>
        <v>0</v>
      </c>
      <c r="AG69" s="1973">
        <f t="shared" si="7"/>
        <v>0</v>
      </c>
      <c r="AH69" s="1972">
        <f t="shared" si="8"/>
        <v>0</v>
      </c>
      <c r="AI69" s="1973">
        <f t="shared" si="9"/>
        <v>0</v>
      </c>
      <c r="AJ69" s="1973">
        <f t="shared" si="10"/>
        <v>0</v>
      </c>
      <c r="AK69" s="1972">
        <f t="shared" si="11"/>
        <v>0</v>
      </c>
      <c r="AL69" s="1973">
        <f t="shared" si="12"/>
        <v>0</v>
      </c>
      <c r="AM69" s="1973">
        <f t="shared" si="13"/>
        <v>0</v>
      </c>
      <c r="AN69" s="1972">
        <f t="shared" si="14"/>
        <v>0</v>
      </c>
      <c r="AO69" s="1973">
        <f t="shared" si="15"/>
        <v>0</v>
      </c>
      <c r="AP69" s="1973">
        <f t="shared" si="16"/>
        <v>0</v>
      </c>
      <c r="AQ69" s="1972">
        <f t="shared" si="17"/>
        <v>0</v>
      </c>
      <c r="AR69" s="1973">
        <f t="shared" si="18"/>
        <v>0</v>
      </c>
      <c r="AS69" s="1973">
        <f t="shared" si="19"/>
        <v>0</v>
      </c>
      <c r="AT69" s="1972">
        <f t="shared" si="20"/>
        <v>0</v>
      </c>
      <c r="AU69" s="1973">
        <f t="shared" si="21"/>
        <v>0</v>
      </c>
      <c r="AV69" s="1973">
        <f t="shared" si="22"/>
        <v>0</v>
      </c>
      <c r="AW69" s="1972">
        <f t="shared" si="23"/>
        <v>0</v>
      </c>
      <c r="AX69" s="1973">
        <f t="shared" si="51"/>
        <v>0</v>
      </c>
      <c r="AY69" s="1973">
        <f t="shared" si="51"/>
        <v>0</v>
      </c>
      <c r="AZ69" s="1973">
        <f t="shared" si="51"/>
        <v>0</v>
      </c>
      <c r="BB69" s="1941">
        <f t="shared" ca="1" si="53"/>
        <v>0</v>
      </c>
      <c r="BC69" s="1941">
        <f t="shared" ca="1" si="53"/>
        <v>0</v>
      </c>
      <c r="BD69" s="1941">
        <f t="shared" ca="1" si="53"/>
        <v>0</v>
      </c>
      <c r="BE69" s="1941">
        <f t="shared" ca="1" si="53"/>
        <v>0</v>
      </c>
      <c r="BF69" s="1941">
        <f t="shared" ca="1" si="53"/>
        <v>0</v>
      </c>
      <c r="BG69" s="1941">
        <f t="shared" ca="1" si="53"/>
        <v>0</v>
      </c>
      <c r="BH69" s="1941">
        <f t="shared" ca="1" si="53"/>
        <v>0</v>
      </c>
      <c r="BI69" s="1941">
        <f t="shared" ca="1" si="53"/>
        <v>0</v>
      </c>
      <c r="BJ69" s="1941">
        <f t="shared" ca="1" si="53"/>
        <v>0</v>
      </c>
      <c r="BK69" s="1941">
        <f t="shared" ca="1" si="53"/>
        <v>0</v>
      </c>
      <c r="BL69" s="1941"/>
    </row>
    <row r="70" spans="1:69" ht="18" x14ac:dyDescent="0.45">
      <c r="A70" s="1966"/>
      <c r="B70" s="1966"/>
      <c r="C70" s="1967" t="str">
        <f t="shared" si="52"/>
        <v/>
      </c>
      <c r="D70" s="1968"/>
      <c r="E70" s="1969"/>
      <c r="F70" s="1970"/>
      <c r="G70" s="1971"/>
      <c r="H70" s="1969"/>
      <c r="I70" s="1970"/>
      <c r="J70" s="1971"/>
      <c r="K70" s="1969"/>
      <c r="L70" s="1970"/>
      <c r="M70" s="1971"/>
      <c r="N70" s="1969"/>
      <c r="O70" s="1970"/>
      <c r="P70" s="1971"/>
      <c r="Q70" s="1969"/>
      <c r="R70" s="1970"/>
      <c r="S70" s="1971"/>
      <c r="T70" s="1969"/>
      <c r="U70" s="1970"/>
      <c r="V70" s="1971"/>
      <c r="W70" s="1969"/>
      <c r="X70" s="1970"/>
      <c r="Y70" s="1971"/>
      <c r="Z70" s="1969"/>
      <c r="AA70" s="1970"/>
      <c r="AB70" s="1972">
        <f t="shared" si="2"/>
        <v>0</v>
      </c>
      <c r="AC70" s="1973">
        <f t="shared" si="3"/>
        <v>0</v>
      </c>
      <c r="AD70" s="1973">
        <f t="shared" si="4"/>
        <v>0</v>
      </c>
      <c r="AE70" s="1972">
        <f t="shared" si="5"/>
        <v>0</v>
      </c>
      <c r="AF70" s="1973">
        <f t="shared" si="6"/>
        <v>0</v>
      </c>
      <c r="AG70" s="1973">
        <f t="shared" si="7"/>
        <v>0</v>
      </c>
      <c r="AH70" s="1972">
        <f t="shared" si="8"/>
        <v>0</v>
      </c>
      <c r="AI70" s="1973">
        <f t="shared" si="9"/>
        <v>0</v>
      </c>
      <c r="AJ70" s="1973">
        <f t="shared" si="10"/>
        <v>0</v>
      </c>
      <c r="AK70" s="1972">
        <f t="shared" si="11"/>
        <v>0</v>
      </c>
      <c r="AL70" s="1973">
        <f t="shared" si="12"/>
        <v>0</v>
      </c>
      <c r="AM70" s="1973">
        <f t="shared" si="13"/>
        <v>0</v>
      </c>
      <c r="AN70" s="1972">
        <f t="shared" si="14"/>
        <v>0</v>
      </c>
      <c r="AO70" s="1973">
        <f t="shared" si="15"/>
        <v>0</v>
      </c>
      <c r="AP70" s="1973">
        <f t="shared" si="16"/>
        <v>0</v>
      </c>
      <c r="AQ70" s="1972">
        <f t="shared" si="17"/>
        <v>0</v>
      </c>
      <c r="AR70" s="1973">
        <f t="shared" si="18"/>
        <v>0</v>
      </c>
      <c r="AS70" s="1973">
        <f t="shared" si="19"/>
        <v>0</v>
      </c>
      <c r="AT70" s="1972">
        <f t="shared" si="20"/>
        <v>0</v>
      </c>
      <c r="AU70" s="1973">
        <f t="shared" si="21"/>
        <v>0</v>
      </c>
      <c r="AV70" s="1973">
        <f t="shared" si="22"/>
        <v>0</v>
      </c>
      <c r="AW70" s="1972">
        <f t="shared" si="23"/>
        <v>0</v>
      </c>
      <c r="AX70" s="1973">
        <f t="shared" si="51"/>
        <v>0</v>
      </c>
      <c r="AY70" s="1973">
        <f t="shared" si="51"/>
        <v>0</v>
      </c>
      <c r="AZ70" s="1973">
        <f t="shared" si="51"/>
        <v>0</v>
      </c>
      <c r="BB70" s="1941">
        <f t="shared" ca="1" si="53"/>
        <v>0</v>
      </c>
      <c r="BC70" s="1941">
        <f t="shared" ca="1" si="53"/>
        <v>0</v>
      </c>
      <c r="BD70" s="1941">
        <f t="shared" ca="1" si="53"/>
        <v>0</v>
      </c>
      <c r="BE70" s="1941">
        <f t="shared" ca="1" si="53"/>
        <v>0</v>
      </c>
      <c r="BF70" s="1941">
        <f t="shared" ca="1" si="53"/>
        <v>0</v>
      </c>
      <c r="BG70" s="1941">
        <f t="shared" ca="1" si="53"/>
        <v>0</v>
      </c>
      <c r="BH70" s="1941">
        <f t="shared" ca="1" si="53"/>
        <v>0</v>
      </c>
      <c r="BI70" s="1941">
        <f t="shared" ca="1" si="53"/>
        <v>0</v>
      </c>
      <c r="BJ70" s="1941">
        <f t="shared" ca="1" si="53"/>
        <v>0</v>
      </c>
      <c r="BK70" s="1941">
        <f t="shared" ca="1" si="53"/>
        <v>0</v>
      </c>
      <c r="BL70" s="1941"/>
    </row>
    <row r="71" spans="1:69" ht="18" x14ac:dyDescent="0.45">
      <c r="A71" s="1966"/>
      <c r="B71" s="1966"/>
      <c r="C71" s="1967" t="str">
        <f t="shared" si="52"/>
        <v/>
      </c>
      <c r="D71" s="1968"/>
      <c r="E71" s="1969"/>
      <c r="F71" s="1970"/>
      <c r="G71" s="1971"/>
      <c r="H71" s="1969"/>
      <c r="I71" s="1970"/>
      <c r="J71" s="1971"/>
      <c r="K71" s="1969"/>
      <c r="L71" s="1970"/>
      <c r="M71" s="1971"/>
      <c r="N71" s="1969"/>
      <c r="O71" s="1970"/>
      <c r="P71" s="1971"/>
      <c r="Q71" s="1969"/>
      <c r="R71" s="1970"/>
      <c r="S71" s="1971"/>
      <c r="T71" s="1969"/>
      <c r="U71" s="1970"/>
      <c r="V71" s="1971"/>
      <c r="W71" s="1969"/>
      <c r="X71" s="1970"/>
      <c r="Y71" s="1971"/>
      <c r="Z71" s="1969"/>
      <c r="AA71" s="1970"/>
      <c r="AB71" s="1972">
        <f t="shared" si="2"/>
        <v>0</v>
      </c>
      <c r="AC71" s="1973">
        <f t="shared" si="3"/>
        <v>0</v>
      </c>
      <c r="AD71" s="1973">
        <f t="shared" si="4"/>
        <v>0</v>
      </c>
      <c r="AE71" s="1972">
        <f t="shared" si="5"/>
        <v>0</v>
      </c>
      <c r="AF71" s="1973">
        <f t="shared" si="6"/>
        <v>0</v>
      </c>
      <c r="AG71" s="1973">
        <f t="shared" si="7"/>
        <v>0</v>
      </c>
      <c r="AH71" s="1972">
        <f t="shared" si="8"/>
        <v>0</v>
      </c>
      <c r="AI71" s="1973">
        <f t="shared" si="9"/>
        <v>0</v>
      </c>
      <c r="AJ71" s="1973">
        <f t="shared" si="10"/>
        <v>0</v>
      </c>
      <c r="AK71" s="1972">
        <f t="shared" si="11"/>
        <v>0</v>
      </c>
      <c r="AL71" s="1973">
        <f t="shared" si="12"/>
        <v>0</v>
      </c>
      <c r="AM71" s="1973">
        <f t="shared" si="13"/>
        <v>0</v>
      </c>
      <c r="AN71" s="1972">
        <f t="shared" si="14"/>
        <v>0</v>
      </c>
      <c r="AO71" s="1973">
        <f t="shared" si="15"/>
        <v>0</v>
      </c>
      <c r="AP71" s="1973">
        <f t="shared" si="16"/>
        <v>0</v>
      </c>
      <c r="AQ71" s="1972">
        <f t="shared" si="17"/>
        <v>0</v>
      </c>
      <c r="AR71" s="1973">
        <f t="shared" si="18"/>
        <v>0</v>
      </c>
      <c r="AS71" s="1973">
        <f t="shared" si="19"/>
        <v>0</v>
      </c>
      <c r="AT71" s="1972">
        <f t="shared" si="20"/>
        <v>0</v>
      </c>
      <c r="AU71" s="1973">
        <f t="shared" si="21"/>
        <v>0</v>
      </c>
      <c r="AV71" s="1973">
        <f t="shared" si="22"/>
        <v>0</v>
      </c>
      <c r="AW71" s="1972">
        <f t="shared" si="23"/>
        <v>0</v>
      </c>
      <c r="AX71" s="1973">
        <f t="shared" si="51"/>
        <v>0</v>
      </c>
      <c r="AY71" s="1973">
        <f t="shared" si="51"/>
        <v>0</v>
      </c>
      <c r="AZ71" s="1973">
        <f t="shared" si="51"/>
        <v>0</v>
      </c>
      <c r="BB71" s="1941">
        <f t="shared" ca="1" si="53"/>
        <v>0</v>
      </c>
      <c r="BC71" s="1941">
        <f t="shared" ca="1" si="53"/>
        <v>0</v>
      </c>
      <c r="BD71" s="1941">
        <f t="shared" ca="1" si="53"/>
        <v>0</v>
      </c>
      <c r="BE71" s="1941">
        <f t="shared" ca="1" si="53"/>
        <v>0</v>
      </c>
      <c r="BF71" s="1941">
        <f t="shared" ca="1" si="53"/>
        <v>0</v>
      </c>
      <c r="BG71" s="1941">
        <f t="shared" ca="1" si="53"/>
        <v>0</v>
      </c>
      <c r="BH71" s="1941">
        <f t="shared" ca="1" si="53"/>
        <v>0</v>
      </c>
      <c r="BI71" s="1941">
        <f t="shared" ca="1" si="53"/>
        <v>0</v>
      </c>
      <c r="BJ71" s="1941">
        <f t="shared" ca="1" si="53"/>
        <v>0</v>
      </c>
      <c r="BK71" s="1941">
        <f t="shared" ca="1" si="53"/>
        <v>0</v>
      </c>
      <c r="BL71" s="1941"/>
    </row>
    <row r="72" spans="1:69" ht="18" x14ac:dyDescent="0.45">
      <c r="A72" s="1966"/>
      <c r="B72" s="1966"/>
      <c r="C72" s="1967"/>
      <c r="D72" s="1968"/>
      <c r="E72" s="1969"/>
      <c r="F72" s="1970"/>
      <c r="G72" s="1971"/>
      <c r="H72" s="1969"/>
      <c r="I72" s="1970"/>
      <c r="J72" s="1971"/>
      <c r="K72" s="1969"/>
      <c r="L72" s="1970"/>
      <c r="M72" s="1971"/>
      <c r="N72" s="1969"/>
      <c r="O72" s="1970"/>
      <c r="P72" s="1971"/>
      <c r="Q72" s="1969"/>
      <c r="R72" s="1970"/>
      <c r="S72" s="1971"/>
      <c r="T72" s="1969"/>
      <c r="U72" s="1970"/>
      <c r="V72" s="1971"/>
      <c r="W72" s="1969"/>
      <c r="X72" s="1970"/>
      <c r="Y72" s="1971"/>
      <c r="Z72" s="1969"/>
      <c r="AA72" s="1970"/>
      <c r="AB72" s="1972">
        <f t="shared" si="2"/>
        <v>0</v>
      </c>
      <c r="AC72" s="1973">
        <f t="shared" si="3"/>
        <v>0</v>
      </c>
      <c r="AD72" s="1973">
        <f t="shared" si="4"/>
        <v>0</v>
      </c>
      <c r="AE72" s="1972">
        <f t="shared" si="5"/>
        <v>0</v>
      </c>
      <c r="AF72" s="1973">
        <f t="shared" si="6"/>
        <v>0</v>
      </c>
      <c r="AG72" s="1973">
        <f t="shared" si="7"/>
        <v>0</v>
      </c>
      <c r="AH72" s="1972">
        <f t="shared" si="8"/>
        <v>0</v>
      </c>
      <c r="AI72" s="1973">
        <f t="shared" si="9"/>
        <v>0</v>
      </c>
      <c r="AJ72" s="1973">
        <f t="shared" si="10"/>
        <v>0</v>
      </c>
      <c r="AK72" s="1972">
        <f t="shared" si="11"/>
        <v>0</v>
      </c>
      <c r="AL72" s="1973">
        <f t="shared" si="12"/>
        <v>0</v>
      </c>
      <c r="AM72" s="1973">
        <f t="shared" si="13"/>
        <v>0</v>
      </c>
      <c r="AN72" s="1972">
        <f t="shared" si="14"/>
        <v>0</v>
      </c>
      <c r="AO72" s="1973">
        <f t="shared" si="15"/>
        <v>0</v>
      </c>
      <c r="AP72" s="1973">
        <f t="shared" si="16"/>
        <v>0</v>
      </c>
      <c r="AQ72" s="1972">
        <f t="shared" si="17"/>
        <v>0</v>
      </c>
      <c r="AR72" s="1973">
        <f t="shared" si="18"/>
        <v>0</v>
      </c>
      <c r="AS72" s="1973">
        <f t="shared" si="19"/>
        <v>0</v>
      </c>
      <c r="AT72" s="1972">
        <f t="shared" si="20"/>
        <v>0</v>
      </c>
      <c r="AU72" s="1973">
        <f t="shared" si="21"/>
        <v>0</v>
      </c>
      <c r="AV72" s="1973">
        <f t="shared" si="22"/>
        <v>0</v>
      </c>
      <c r="AW72" s="1972">
        <f t="shared" si="23"/>
        <v>0</v>
      </c>
      <c r="AX72" s="1973">
        <f t="shared" si="51"/>
        <v>0</v>
      </c>
      <c r="AY72" s="1973">
        <f t="shared" si="51"/>
        <v>0</v>
      </c>
      <c r="AZ72" s="1973">
        <f t="shared" si="51"/>
        <v>0</v>
      </c>
      <c r="BB72" s="1941">
        <f t="shared" ca="1" si="53"/>
        <v>0</v>
      </c>
      <c r="BC72" s="1941">
        <f t="shared" ca="1" si="53"/>
        <v>0</v>
      </c>
      <c r="BD72" s="1941">
        <f t="shared" ca="1" si="53"/>
        <v>0</v>
      </c>
      <c r="BE72" s="1941">
        <f t="shared" ca="1" si="53"/>
        <v>0</v>
      </c>
      <c r="BF72" s="1941">
        <f t="shared" ca="1" si="53"/>
        <v>0</v>
      </c>
      <c r="BG72" s="1941">
        <f t="shared" ref="BG72:BK72" ca="1" si="76">IFERROR(ROUNDDOWN(SUMIF($E72:$Y72,BG$11,$AB72:$AV72)/BG$10,0),0)</f>
        <v>0</v>
      </c>
      <c r="BH72" s="1941">
        <f t="shared" ca="1" si="76"/>
        <v>0</v>
      </c>
      <c r="BI72" s="1941">
        <f t="shared" ca="1" si="76"/>
        <v>0</v>
      </c>
      <c r="BJ72" s="1941">
        <f t="shared" ca="1" si="76"/>
        <v>0</v>
      </c>
      <c r="BK72" s="1941">
        <f t="shared" ca="1" si="76"/>
        <v>0</v>
      </c>
      <c r="BL72" s="1941"/>
    </row>
    <row r="73" spans="1:69" ht="15" x14ac:dyDescent="0.4">
      <c r="A73" s="1974"/>
      <c r="C73" s="1975"/>
      <c r="D73" s="1939"/>
      <c r="AB73" s="1939"/>
      <c r="AC73" s="1939"/>
      <c r="AD73" s="1939"/>
      <c r="AE73" s="1939"/>
      <c r="AF73" s="1939"/>
      <c r="AG73" s="1939"/>
      <c r="AH73" s="1939"/>
      <c r="AI73" s="1939"/>
      <c r="AJ73" s="1939"/>
      <c r="AK73" s="1939"/>
      <c r="AL73" s="1939"/>
      <c r="AM73" s="1939"/>
      <c r="AN73" s="1939"/>
      <c r="AO73" s="1939"/>
      <c r="AP73" s="1939"/>
      <c r="AQ73" s="1939"/>
      <c r="AR73" s="1939"/>
      <c r="AS73" s="1939"/>
      <c r="AT73" s="1939"/>
      <c r="AU73" s="1939"/>
      <c r="AV73" s="1939"/>
      <c r="AW73" s="1939"/>
      <c r="AX73" s="1939"/>
      <c r="AY73" s="1939"/>
      <c r="AZ73" s="1939"/>
      <c r="BB73" s="1941"/>
      <c r="BC73" s="1941"/>
      <c r="BD73" s="1941"/>
      <c r="BE73" s="1941"/>
      <c r="BF73" s="1941"/>
      <c r="BG73" s="1941"/>
      <c r="BH73" s="1941"/>
      <c r="BI73" s="1941"/>
      <c r="BJ73" s="1941"/>
      <c r="BK73" s="1941"/>
      <c r="BL73" s="1941"/>
    </row>
    <row r="74" spans="1:69" x14ac:dyDescent="0.35">
      <c r="C74" s="1975"/>
      <c r="D74" s="1939"/>
      <c r="AB74" s="1939"/>
      <c r="AC74" s="1939"/>
      <c r="AD74" s="1939"/>
      <c r="AE74" s="1939"/>
      <c r="AF74" s="1939"/>
      <c r="AG74" s="1939"/>
      <c r="AH74" s="1939"/>
      <c r="AI74" s="1939"/>
      <c r="AJ74" s="1939"/>
      <c r="AK74" s="1939"/>
      <c r="AL74" s="1939"/>
      <c r="AM74" s="1939"/>
      <c r="AN74" s="1939"/>
      <c r="AO74" s="1939"/>
      <c r="AP74" s="1939"/>
      <c r="AQ74" s="1939"/>
      <c r="AR74" s="1939"/>
      <c r="AS74" s="1939"/>
      <c r="AT74" s="1939"/>
      <c r="AU74" s="1939"/>
      <c r="AV74" s="1939"/>
      <c r="AW74" s="1939"/>
      <c r="AX74" s="1939"/>
      <c r="AY74" s="1939"/>
      <c r="AZ74" s="1939"/>
    </row>
    <row r="75" spans="1:69" x14ac:dyDescent="0.35">
      <c r="C75" s="1975"/>
      <c r="D75" s="1939"/>
      <c r="AB75" s="1939"/>
      <c r="AC75" s="1939"/>
      <c r="AD75" s="1939"/>
      <c r="AE75" s="1939"/>
      <c r="AF75" s="1939"/>
      <c r="AG75" s="1939"/>
      <c r="AH75" s="1939"/>
      <c r="AI75" s="1939"/>
      <c r="AJ75" s="1939"/>
      <c r="AK75" s="1939"/>
      <c r="AL75" s="1939"/>
      <c r="AM75" s="1939"/>
      <c r="AN75" s="1939"/>
      <c r="AO75" s="1939"/>
      <c r="AP75" s="1939"/>
      <c r="AQ75" s="1939"/>
      <c r="AR75" s="1939"/>
      <c r="AS75" s="1939"/>
      <c r="AT75" s="1939"/>
      <c r="AU75" s="1939"/>
      <c r="AV75" s="1939"/>
      <c r="AW75" s="1939"/>
      <c r="AX75" s="1939"/>
      <c r="AY75" s="1939"/>
      <c r="AZ75" s="1939"/>
      <c r="BB75" s="1941"/>
      <c r="BC75" s="1941"/>
      <c r="BD75" s="1941"/>
      <c r="BE75" s="1941"/>
      <c r="BF75" s="1941"/>
      <c r="BG75" s="1941"/>
      <c r="BH75" s="1941"/>
      <c r="BI75" s="1941"/>
    </row>
    <row r="76" spans="1:69" x14ac:dyDescent="0.35">
      <c r="C76" s="1975"/>
      <c r="D76" s="1939"/>
      <c r="AB76" s="1939"/>
      <c r="AC76" s="1939"/>
      <c r="AD76" s="1939"/>
      <c r="AE76" s="1939"/>
      <c r="AF76" s="1939"/>
      <c r="AG76" s="1939"/>
      <c r="AH76" s="1939"/>
      <c r="AI76" s="1939"/>
      <c r="AJ76" s="1939"/>
      <c r="AK76" s="1939"/>
      <c r="AL76" s="1939"/>
      <c r="AM76" s="1939"/>
      <c r="AN76" s="1939"/>
      <c r="AO76" s="1939"/>
      <c r="AP76" s="1939"/>
      <c r="AQ76" s="1939"/>
      <c r="AR76" s="1939"/>
      <c r="AS76" s="1939"/>
      <c r="AT76" s="1939"/>
      <c r="AU76" s="1939"/>
      <c r="AV76" s="1939"/>
      <c r="AW76" s="1939"/>
      <c r="AX76" s="1939"/>
      <c r="AY76" s="1939"/>
      <c r="AZ76" s="1939"/>
    </row>
    <row r="77" spans="1:69" x14ac:dyDescent="0.35">
      <c r="C77" s="1975"/>
      <c r="D77" s="1939"/>
      <c r="AC77" s="1939"/>
      <c r="AD77" s="1939"/>
      <c r="AE77" s="1939"/>
      <c r="AF77" s="1939"/>
      <c r="AG77" s="1939"/>
      <c r="AH77" s="1939"/>
      <c r="AI77" s="1939"/>
      <c r="AJ77" s="1939"/>
      <c r="AK77" s="1939"/>
      <c r="AL77" s="1939"/>
      <c r="AM77" s="1939"/>
      <c r="AN77" s="1939"/>
      <c r="AO77" s="1939"/>
      <c r="AP77" s="1939"/>
      <c r="AQ77" s="1939"/>
      <c r="AR77" s="1939"/>
      <c r="AS77" s="1939"/>
      <c r="AT77" s="1939"/>
      <c r="AU77" s="1939"/>
      <c r="AV77" s="1939"/>
      <c r="AW77" s="1939"/>
      <c r="AY77" s="1933"/>
      <c r="BP77" s="1941"/>
      <c r="BQ77" s="1941"/>
    </row>
    <row r="78" spans="1:69" x14ac:dyDescent="0.35">
      <c r="C78" s="1975"/>
      <c r="D78" s="1939"/>
      <c r="AC78" s="1939"/>
      <c r="AD78" s="1939"/>
      <c r="AE78" s="1939"/>
      <c r="AF78" s="1939"/>
      <c r="AG78" s="1939"/>
      <c r="AH78" s="1939"/>
      <c r="AI78" s="1939"/>
      <c r="AJ78" s="1939"/>
      <c r="AK78" s="1939"/>
      <c r="AL78" s="1939"/>
      <c r="AM78" s="1939"/>
      <c r="AN78" s="1939"/>
      <c r="AO78" s="1939"/>
      <c r="AP78" s="1939"/>
      <c r="AQ78" s="1939"/>
      <c r="AR78" s="1939"/>
      <c r="AS78" s="1939"/>
      <c r="AT78" s="1939"/>
      <c r="AU78" s="1939"/>
      <c r="AV78" s="1939"/>
      <c r="AW78" s="1939"/>
      <c r="AY78" s="1933"/>
      <c r="BP78" s="1941"/>
      <c r="BQ78" s="1941"/>
    </row>
    <row r="79" spans="1:69" ht="18" x14ac:dyDescent="0.45">
      <c r="B79" s="1976"/>
      <c r="C79" s="1977"/>
      <c r="D79" s="1978"/>
      <c r="E79" s="1976"/>
      <c r="F79" s="1976"/>
      <c r="G79" s="1976"/>
      <c r="H79" s="1976"/>
      <c r="I79" s="1976"/>
      <c r="J79" s="1976"/>
      <c r="Q79" s="2624"/>
      <c r="R79" s="2624"/>
      <c r="S79" s="2624"/>
      <c r="AC79" s="1939"/>
      <c r="AD79" s="1939"/>
      <c r="AE79" s="1939"/>
      <c r="AF79" s="1939"/>
      <c r="AG79" s="1939"/>
      <c r="AH79" s="1939"/>
      <c r="AI79" s="1939"/>
      <c r="AJ79" s="1939"/>
      <c r="AK79" s="1939"/>
      <c r="AL79" s="1939"/>
      <c r="AM79" s="1939"/>
      <c r="AN79" s="1939"/>
      <c r="AO79" s="1939"/>
      <c r="AP79" s="1939"/>
      <c r="AQ79" s="1939"/>
      <c r="AR79" s="1939"/>
      <c r="AS79" s="1939"/>
      <c r="AT79" s="1939"/>
      <c r="AU79" s="1939"/>
      <c r="AV79" s="1939"/>
      <c r="AW79" s="1939"/>
      <c r="AY79" s="1933"/>
    </row>
    <row r="80" spans="1:69" ht="28.8" x14ac:dyDescent="0.45">
      <c r="A80" s="1979"/>
      <c r="B80" s="2038" t="s">
        <v>2211</v>
      </c>
      <c r="C80" s="1977"/>
      <c r="D80" s="1978"/>
      <c r="E80" s="1976"/>
      <c r="F80" s="1976"/>
      <c r="G80" s="1976"/>
      <c r="H80" s="1976"/>
      <c r="I80" s="1976"/>
      <c r="J80" s="1976"/>
      <c r="Q80" s="1935"/>
      <c r="R80" s="1935"/>
      <c r="S80" s="1935"/>
      <c r="AD80" s="1980"/>
      <c r="AE80" s="1980"/>
      <c r="AF80" s="1980"/>
      <c r="AG80" s="1980"/>
      <c r="AH80" s="1980"/>
      <c r="AI80" s="1980"/>
      <c r="AJ80" s="1980"/>
      <c r="AK80" s="1980"/>
      <c r="AL80" s="1980"/>
      <c r="AM80" s="1980"/>
      <c r="AN80" s="1980"/>
      <c r="AO80" s="1980"/>
      <c r="AP80" s="1980"/>
      <c r="AQ80" s="1980"/>
      <c r="AR80" s="1980"/>
      <c r="AS80" s="1980"/>
      <c r="AT80" s="1980"/>
      <c r="AU80" s="1981"/>
      <c r="AV80" s="1981"/>
      <c r="AW80" s="1981"/>
      <c r="AX80" s="1981"/>
      <c r="AY80" s="1981"/>
      <c r="AZ80" s="1981"/>
    </row>
    <row r="81" spans="1:52" s="2041" customFormat="1" ht="72" x14ac:dyDescent="0.4">
      <c r="A81" s="2039"/>
      <c r="B81" s="2039"/>
      <c r="C81" s="1982" t="s">
        <v>32</v>
      </c>
      <c r="D81" s="1983" t="s">
        <v>31</v>
      </c>
      <c r="E81" s="1982" t="s">
        <v>30</v>
      </c>
      <c r="F81" s="1984" t="s">
        <v>1975</v>
      </c>
      <c r="G81" s="1984" t="s">
        <v>2089</v>
      </c>
      <c r="H81" s="1984" t="s">
        <v>2090</v>
      </c>
      <c r="I81" s="1985" t="s">
        <v>2091</v>
      </c>
      <c r="J81" s="1985" t="s">
        <v>2089</v>
      </c>
      <c r="K81" s="1985" t="s">
        <v>2090</v>
      </c>
      <c r="L81" s="2040" t="s">
        <v>1264</v>
      </c>
      <c r="M81" s="2040" t="s">
        <v>2112</v>
      </c>
      <c r="N81" s="2040" t="s">
        <v>2113</v>
      </c>
      <c r="O81" s="2039"/>
      <c r="P81" s="2039"/>
      <c r="Q81" s="2273" t="s">
        <v>722</v>
      </c>
      <c r="R81" s="2274" t="s">
        <v>2209</v>
      </c>
      <c r="S81" s="2274" t="s">
        <v>1974</v>
      </c>
      <c r="T81" s="2274" t="s">
        <v>2210</v>
      </c>
      <c r="U81" s="2274" t="s">
        <v>2211</v>
      </c>
      <c r="AC81" s="2042"/>
      <c r="AD81" s="2042"/>
      <c r="AE81" s="2042"/>
      <c r="AF81" s="2042"/>
      <c r="AG81" s="2042"/>
      <c r="AH81" s="2042"/>
      <c r="AI81" s="2042"/>
      <c r="AJ81" s="2042"/>
      <c r="AK81" s="2042"/>
      <c r="AL81" s="2042"/>
      <c r="AM81" s="2042"/>
      <c r="AN81" s="2042"/>
      <c r="AO81" s="2042"/>
      <c r="AP81" s="2042"/>
      <c r="AQ81" s="2042"/>
      <c r="AR81" s="2042"/>
      <c r="AS81" s="2042"/>
      <c r="AT81" s="2043"/>
      <c r="AU81" s="2043"/>
      <c r="AV81" s="2043"/>
      <c r="AW81" s="2043"/>
      <c r="AX81" s="2043"/>
      <c r="AY81" s="2043"/>
    </row>
    <row r="82" spans="1:52" ht="18" x14ac:dyDescent="0.45">
      <c r="A82" s="1986"/>
      <c r="B82" s="1987"/>
      <c r="C82" s="2625" t="s">
        <v>556</v>
      </c>
      <c r="D82" s="2626"/>
      <c r="E82" s="2627"/>
      <c r="F82" s="1988">
        <v>1</v>
      </c>
      <c r="G82" s="1989">
        <v>0</v>
      </c>
      <c r="H82" s="1989">
        <v>0</v>
      </c>
      <c r="I82" s="1990" t="s">
        <v>555</v>
      </c>
      <c r="J82" s="2168">
        <v>0</v>
      </c>
      <c r="K82" s="2168">
        <v>0</v>
      </c>
      <c r="L82" s="1976"/>
      <c r="M82" s="1976"/>
      <c r="N82" s="1976"/>
      <c r="O82" s="1981"/>
      <c r="P82" s="1981"/>
      <c r="Q82" s="2275"/>
      <c r="R82" s="2275"/>
      <c r="S82" s="2275"/>
      <c r="T82" s="2275"/>
      <c r="U82" s="2275"/>
      <c r="AC82" s="1980"/>
      <c r="AD82" s="1980"/>
      <c r="AE82" s="1980"/>
      <c r="AF82" s="1980"/>
      <c r="AG82" s="1980"/>
      <c r="AH82" s="1980"/>
      <c r="AI82" s="1980"/>
      <c r="AJ82" s="1980"/>
      <c r="AK82" s="1980"/>
      <c r="AL82" s="1980"/>
      <c r="AM82" s="1980"/>
      <c r="AN82" s="1980"/>
      <c r="AO82" s="1980"/>
      <c r="AP82" s="1980"/>
      <c r="AQ82" s="1980"/>
      <c r="AR82" s="1980"/>
      <c r="AS82" s="1980"/>
      <c r="AT82" s="1981"/>
      <c r="AU82" s="1981"/>
      <c r="AV82" s="1981"/>
      <c r="AW82" s="1981"/>
      <c r="AX82" s="1981"/>
      <c r="AY82" s="1981"/>
    </row>
    <row r="83" spans="1:52" ht="18" x14ac:dyDescent="0.45">
      <c r="A83" s="1986"/>
      <c r="B83" s="2628" t="s">
        <v>742</v>
      </c>
      <c r="C83" s="2629"/>
      <c r="D83" s="2629"/>
      <c r="E83" s="2629"/>
      <c r="F83" s="2629"/>
      <c r="G83" s="2629"/>
      <c r="H83" s="2629"/>
      <c r="I83" s="2629"/>
      <c r="J83" s="2629"/>
      <c r="K83" s="2630"/>
      <c r="L83" s="1976"/>
      <c r="M83" s="1976"/>
      <c r="N83" s="1976"/>
      <c r="O83" s="1981"/>
      <c r="P83" s="1981"/>
      <c r="Q83" s="2276" t="s">
        <v>2214</v>
      </c>
      <c r="R83" s="2276"/>
      <c r="S83" s="2276"/>
      <c r="T83" s="2276"/>
      <c r="U83" s="2276"/>
      <c r="Y83" s="2278" t="s">
        <v>2212</v>
      </c>
      <c r="AC83" s="1980"/>
      <c r="AD83" s="1980"/>
      <c r="AE83" s="1980"/>
      <c r="AF83" s="1980"/>
      <c r="AG83" s="1980"/>
      <c r="AH83" s="1980"/>
      <c r="AI83" s="1980"/>
      <c r="AJ83" s="1980"/>
      <c r="AK83" s="1980"/>
      <c r="AL83" s="1980"/>
      <c r="AM83" s="1980"/>
      <c r="AN83" s="1980"/>
      <c r="AO83" s="1980"/>
      <c r="AP83" s="1980"/>
      <c r="AQ83" s="1980"/>
      <c r="AR83" s="1980"/>
      <c r="AS83" s="1980"/>
      <c r="AT83" s="1981"/>
      <c r="AU83" s="1981"/>
      <c r="AV83" s="1981"/>
      <c r="AW83" s="1981"/>
      <c r="AX83" s="1981"/>
      <c r="AY83" s="1981"/>
    </row>
    <row r="84" spans="1:52" ht="18" x14ac:dyDescent="0.45">
      <c r="A84" s="1986"/>
      <c r="B84" s="1991" t="str">
        <f>Q84</f>
        <v>Base Site Allowance (Zone 2)</v>
      </c>
      <c r="C84" s="1992" t="s">
        <v>555</v>
      </c>
      <c r="D84" s="1992" t="s">
        <v>555</v>
      </c>
      <c r="E84" s="1991">
        <f ca="1">IF($B$80=$R$81,R84*SUM(F85:F92,F94),OFFSET($Q$81,MATCH($B84,$Q$84:$Q$94,0)+2,MATCH($B$80,$R$81:$U$81,0)))</f>
        <v>280</v>
      </c>
      <c r="F84" s="1993">
        <f ca="1">E84</f>
        <v>280</v>
      </c>
      <c r="G84" s="1993">
        <f ca="1">F84</f>
        <v>280</v>
      </c>
      <c r="H84" s="1994" t="s">
        <v>555</v>
      </c>
      <c r="I84" s="1994" t="s">
        <v>555</v>
      </c>
      <c r="J84" s="1994" t="s">
        <v>555</v>
      </c>
      <c r="K84" s="1994" t="s">
        <v>555</v>
      </c>
      <c r="L84" s="1976">
        <f>(6+6*0.7)*365</f>
        <v>3722.9999999999995</v>
      </c>
      <c r="M84" s="2192">
        <f ca="1">IFERROR((G84*$L84+H84*8760)/1000,0)</f>
        <v>0</v>
      </c>
      <c r="N84" s="2192">
        <f>IFERROR((J84*$L84+K84*8760)/1000,0)</f>
        <v>0</v>
      </c>
      <c r="O84" s="1981"/>
      <c r="P84" s="1981"/>
      <c r="Q84" s="1976" t="s">
        <v>2213</v>
      </c>
      <c r="R84" s="2193">
        <v>0</v>
      </c>
      <c r="S84" s="2277">
        <v>600</v>
      </c>
      <c r="T84" s="2277">
        <v>400</v>
      </c>
      <c r="U84" s="2277">
        <v>280</v>
      </c>
      <c r="AD84" s="1980"/>
      <c r="AE84" s="1980"/>
      <c r="AF84" s="1980"/>
      <c r="AG84" s="1980"/>
      <c r="AH84" s="1980"/>
      <c r="AI84" s="1980"/>
      <c r="AJ84" s="1980"/>
      <c r="AK84" s="1980"/>
      <c r="AL84" s="1980"/>
      <c r="AM84" s="1980"/>
      <c r="AN84" s="1980"/>
      <c r="AO84" s="1980"/>
      <c r="AP84" s="1980"/>
      <c r="AQ84" s="1980"/>
      <c r="AR84" s="1980"/>
      <c r="AS84" s="1980"/>
      <c r="AT84" s="1980"/>
      <c r="AU84" s="1981"/>
      <c r="AV84" s="1981"/>
      <c r="AW84" s="1981"/>
      <c r="AX84" s="1981"/>
      <c r="AY84" s="1981"/>
      <c r="AZ84" s="1981"/>
    </row>
    <row r="85" spans="1:52" ht="18" x14ac:dyDescent="0.45">
      <c r="A85" s="1986"/>
      <c r="B85" s="1991" t="str">
        <f t="shared" ref="B85:B92" si="77">Q85</f>
        <v>Parking lots and drives</v>
      </c>
      <c r="C85" s="1992" t="s">
        <v>21</v>
      </c>
      <c r="D85" s="1995">
        <f t="shared" ref="D85:D94" si="78">SUMIF($B$14:$B$72,B85,$D$14:$D$72)</f>
        <v>0</v>
      </c>
      <c r="E85" s="1991">
        <f t="shared" ref="E85:E92" ca="1" si="79">OFFSET($Q$81,MATCH($B85,$Q$84:$Q$94,0)+2,MATCH($B$80,$R$81:$U$81,0))</f>
        <v>2.5999999999999999E-2</v>
      </c>
      <c r="F85" s="1993">
        <f ca="1">D85*E85*$F$82</f>
        <v>0</v>
      </c>
      <c r="G85" s="1993">
        <f ca="1">IFERROR($F85*(J85/$I85),0)</f>
        <v>0</v>
      </c>
      <c r="H85" s="1993">
        <f ca="1">IFERROR($F85*(K85/$I85),0)</f>
        <v>0</v>
      </c>
      <c r="I85" s="1993">
        <f>SUMIF($B$14:$B$78,$B85,$AX$14:$AX$78)</f>
        <v>0</v>
      </c>
      <c r="J85" s="1993">
        <f>SUMIF($B$14:$B$72,$B85,$AY$14:$AY$72)</f>
        <v>0</v>
      </c>
      <c r="K85" s="1993">
        <f t="shared" ref="K85:K94" ca="1" si="80">SUMIF($B$14:$B$72,$B85,$AZ$14:$AZ$68)</f>
        <v>0</v>
      </c>
      <c r="L85" s="1976">
        <f t="shared" ref="L85:L92" si="81">(6+6*0.7)*365</f>
        <v>3722.9999999999995</v>
      </c>
      <c r="M85" s="2192">
        <f t="shared" ref="M85:M97" ca="1" si="82">IFERROR((G85*$L85+H85*8760)/1000,0)</f>
        <v>0</v>
      </c>
      <c r="N85" s="2192">
        <f t="shared" ref="N85:N97" ca="1" si="83">IFERROR((J85*$L85+K85*8760)/1000,0)</f>
        <v>0</v>
      </c>
      <c r="Q85" s="1976" t="s">
        <v>29</v>
      </c>
      <c r="R85" s="2277">
        <v>0.15</v>
      </c>
      <c r="S85" s="2277">
        <v>0.06</v>
      </c>
      <c r="T85" s="2277">
        <v>0.04</v>
      </c>
      <c r="U85" s="2277">
        <v>2.5999999999999999E-2</v>
      </c>
      <c r="AD85" s="1980"/>
      <c r="AE85" s="1980"/>
      <c r="AF85" s="1980"/>
      <c r="AG85" s="1980"/>
      <c r="AH85" s="1980"/>
      <c r="AI85" s="1980"/>
      <c r="AJ85" s="1980"/>
      <c r="AK85" s="1980"/>
      <c r="AL85" s="1980"/>
      <c r="AM85" s="1980"/>
      <c r="AN85" s="1980"/>
      <c r="AO85" s="1980"/>
      <c r="AP85" s="1980"/>
      <c r="AQ85" s="1980"/>
      <c r="AR85" s="1980"/>
      <c r="AS85" s="1980"/>
      <c r="AT85" s="1980"/>
      <c r="AU85" s="1981"/>
      <c r="AV85" s="1981"/>
      <c r="AW85" s="1981"/>
      <c r="AX85" s="1981"/>
      <c r="AY85" s="1981"/>
      <c r="AZ85" s="1981"/>
    </row>
    <row r="86" spans="1:52" ht="18" x14ac:dyDescent="0.45">
      <c r="A86" s="1986"/>
      <c r="B86" s="1996" t="str">
        <f t="shared" si="77"/>
        <v>Walkways &lt; 10ft</v>
      </c>
      <c r="C86" s="1997" t="s">
        <v>23</v>
      </c>
      <c r="D86" s="1995">
        <f t="shared" si="78"/>
        <v>0</v>
      </c>
      <c r="E86" s="1991">
        <f t="shared" ca="1" si="79"/>
        <v>7.0000000000000007E-2</v>
      </c>
      <c r="F86" s="1993">
        <f t="shared" ref="F86:F92" ca="1" si="84">D86*E86*$F$82</f>
        <v>0</v>
      </c>
      <c r="G86" s="1993">
        <f t="shared" ref="G86:G92" ca="1" si="85">IFERROR($F86*(J86/$I86),0)</f>
        <v>0</v>
      </c>
      <c r="H86" s="1993">
        <f t="shared" ref="H86:H92" ca="1" si="86">IFERROR($F86*(K86/$I86),0)</f>
        <v>0</v>
      </c>
      <c r="I86" s="1993">
        <f t="shared" ref="I86:I92" si="87">SUMIF($B$14:$B$78,$B86,$AX$14:$AX$78)</f>
        <v>0</v>
      </c>
      <c r="J86" s="1993">
        <f t="shared" ref="J86:J92" si="88">SUMIF($B$14:$B$72,$B86,$AY$14:$AY$72)</f>
        <v>0</v>
      </c>
      <c r="K86" s="1993">
        <f t="shared" ca="1" si="80"/>
        <v>0</v>
      </c>
      <c r="L86" s="1976">
        <f t="shared" si="81"/>
        <v>3722.9999999999995</v>
      </c>
      <c r="M86" s="2192">
        <f t="shared" ca="1" si="82"/>
        <v>0</v>
      </c>
      <c r="N86" s="2192">
        <f t="shared" ca="1" si="83"/>
        <v>0</v>
      </c>
      <c r="O86" s="1998"/>
      <c r="Q86" s="1976" t="s">
        <v>28</v>
      </c>
      <c r="R86" s="2277">
        <v>1</v>
      </c>
      <c r="S86" s="2277">
        <v>0.7</v>
      </c>
      <c r="T86" s="2277">
        <v>0.5</v>
      </c>
      <c r="U86" s="2277">
        <v>7.0000000000000007E-2</v>
      </c>
      <c r="AD86" s="1980"/>
      <c r="AE86" s="1980"/>
      <c r="AF86" s="1980"/>
      <c r="AG86" s="1980"/>
      <c r="AH86" s="1980"/>
      <c r="AI86" s="1980"/>
      <c r="AJ86" s="1980"/>
      <c r="AK86" s="1980"/>
      <c r="AL86" s="1980"/>
      <c r="AM86" s="1980"/>
      <c r="AN86" s="1980"/>
      <c r="AO86" s="1980"/>
      <c r="AP86" s="1980"/>
      <c r="AQ86" s="1980"/>
      <c r="AR86" s="1980"/>
      <c r="AS86" s="1980"/>
      <c r="AT86" s="1980"/>
      <c r="AU86" s="1981"/>
      <c r="AV86" s="1981"/>
      <c r="AW86" s="1981"/>
      <c r="AX86" s="1981"/>
      <c r="AY86" s="1981"/>
      <c r="AZ86" s="1981"/>
    </row>
    <row r="87" spans="1:52" ht="18" x14ac:dyDescent="0.45">
      <c r="A87" s="1986"/>
      <c r="B87" s="1996" t="str">
        <f t="shared" si="77"/>
        <v>Walkways &gt; 10ft, Plaza, etc</v>
      </c>
      <c r="C87" s="1997" t="s">
        <v>21</v>
      </c>
      <c r="D87" s="1995">
        <f t="shared" si="78"/>
        <v>0</v>
      </c>
      <c r="E87" s="1991">
        <f t="shared" ca="1" si="79"/>
        <v>7.0000000000000007E-2</v>
      </c>
      <c r="F87" s="1993">
        <f t="shared" ca="1" si="84"/>
        <v>0</v>
      </c>
      <c r="G87" s="1993">
        <f t="shared" ca="1" si="85"/>
        <v>0</v>
      </c>
      <c r="H87" s="1993">
        <f t="shared" ca="1" si="86"/>
        <v>0</v>
      </c>
      <c r="I87" s="1993">
        <f t="shared" si="87"/>
        <v>0</v>
      </c>
      <c r="J87" s="1993">
        <f t="shared" si="88"/>
        <v>0</v>
      </c>
      <c r="K87" s="1993">
        <f t="shared" ca="1" si="80"/>
        <v>0</v>
      </c>
      <c r="L87" s="1976">
        <f t="shared" si="81"/>
        <v>3722.9999999999995</v>
      </c>
      <c r="M87" s="2192">
        <f t="shared" ca="1" si="82"/>
        <v>0</v>
      </c>
      <c r="N87" s="2192">
        <f t="shared" ca="1" si="83"/>
        <v>0</v>
      </c>
      <c r="Q87" s="1976" t="s">
        <v>27</v>
      </c>
      <c r="R87" s="2277">
        <v>0.2</v>
      </c>
      <c r="S87" s="2277">
        <v>0.14000000000000001</v>
      </c>
      <c r="T87" s="2277">
        <v>0.1</v>
      </c>
      <c r="U87" s="2277">
        <v>7.0000000000000007E-2</v>
      </c>
      <c r="AD87" s="1980"/>
      <c r="AE87" s="1980"/>
      <c r="AF87" s="1980"/>
      <c r="AG87" s="1980"/>
      <c r="AH87" s="1980"/>
      <c r="AI87" s="1980"/>
      <c r="AJ87" s="1980"/>
      <c r="AK87" s="1980"/>
      <c r="AL87" s="1980"/>
      <c r="AM87" s="1980"/>
      <c r="AN87" s="1980"/>
      <c r="AO87" s="1980"/>
      <c r="AP87" s="1980"/>
      <c r="AQ87" s="1980"/>
      <c r="AR87" s="1980"/>
      <c r="AS87" s="1980"/>
      <c r="AT87" s="1980"/>
      <c r="AU87" s="1981"/>
      <c r="AV87" s="1981"/>
      <c r="AW87" s="1981"/>
      <c r="AX87" s="1981"/>
      <c r="AY87" s="1981"/>
      <c r="AZ87" s="1981"/>
    </row>
    <row r="88" spans="1:52" ht="18" x14ac:dyDescent="0.45">
      <c r="A88" s="1986"/>
      <c r="B88" s="1996" t="str">
        <f t="shared" si="77"/>
        <v>Stairways</v>
      </c>
      <c r="C88" s="1997" t="s">
        <v>21</v>
      </c>
      <c r="D88" s="1995">
        <f t="shared" si="78"/>
        <v>0</v>
      </c>
      <c r="E88" s="1991" t="str">
        <f t="shared" ca="1" si="79"/>
        <v>N/A</v>
      </c>
      <c r="F88" s="1993" t="e">
        <f t="shared" ca="1" si="84"/>
        <v>#VALUE!</v>
      </c>
      <c r="G88" s="1993">
        <f t="shared" ca="1" si="85"/>
        <v>0</v>
      </c>
      <c r="H88" s="1993">
        <f t="shared" ca="1" si="86"/>
        <v>0</v>
      </c>
      <c r="I88" s="1993">
        <f t="shared" si="87"/>
        <v>0</v>
      </c>
      <c r="J88" s="1993">
        <f t="shared" si="88"/>
        <v>0</v>
      </c>
      <c r="K88" s="1993">
        <f t="shared" ca="1" si="80"/>
        <v>0</v>
      </c>
      <c r="L88" s="1976">
        <f t="shared" si="81"/>
        <v>3722.9999999999995</v>
      </c>
      <c r="M88" s="2192">
        <f t="shared" ca="1" si="82"/>
        <v>0</v>
      </c>
      <c r="N88" s="2192">
        <f t="shared" ca="1" si="83"/>
        <v>0</v>
      </c>
      <c r="Q88" s="1976" t="s">
        <v>26</v>
      </c>
      <c r="R88" s="2277">
        <v>1</v>
      </c>
      <c r="S88" s="2277">
        <v>1</v>
      </c>
      <c r="T88" s="2277">
        <v>0.7</v>
      </c>
      <c r="U88" s="2277" t="s">
        <v>170</v>
      </c>
      <c r="AD88" s="1980"/>
      <c r="AE88" s="1980"/>
      <c r="AF88" s="1980"/>
      <c r="AG88" s="1980"/>
      <c r="AH88" s="1980"/>
      <c r="AI88" s="1980"/>
      <c r="AJ88" s="1980"/>
      <c r="AK88" s="1980"/>
      <c r="AL88" s="1980"/>
      <c r="AM88" s="1980"/>
      <c r="AN88" s="1980"/>
      <c r="AO88" s="1980"/>
      <c r="AP88" s="1980"/>
      <c r="AQ88" s="1980"/>
      <c r="AR88" s="1980"/>
      <c r="AS88" s="1980"/>
      <c r="AT88" s="1980"/>
      <c r="AU88" s="1981"/>
      <c r="AV88" s="1981"/>
      <c r="AW88" s="1981"/>
      <c r="AX88" s="1981"/>
      <c r="AY88" s="1981"/>
      <c r="AZ88" s="1981"/>
    </row>
    <row r="89" spans="1:52" ht="18" x14ac:dyDescent="0.45">
      <c r="A89" s="1986"/>
      <c r="B89" s="1996" t="str">
        <f t="shared" si="77"/>
        <v>Landscape</v>
      </c>
      <c r="C89" s="1997" t="s">
        <v>21</v>
      </c>
      <c r="D89" s="1995">
        <f t="shared" si="78"/>
        <v>0</v>
      </c>
      <c r="E89" s="1991">
        <f t="shared" ca="1" si="79"/>
        <v>2.5000000000000001E-2</v>
      </c>
      <c r="F89" s="1993">
        <f t="shared" ca="1" si="84"/>
        <v>0</v>
      </c>
      <c r="G89" s="1993">
        <f t="shared" ca="1" si="85"/>
        <v>0</v>
      </c>
      <c r="H89" s="1993">
        <f t="shared" ca="1" si="86"/>
        <v>0</v>
      </c>
      <c r="I89" s="1993">
        <f t="shared" si="87"/>
        <v>0</v>
      </c>
      <c r="J89" s="1993">
        <f t="shared" si="88"/>
        <v>0</v>
      </c>
      <c r="K89" s="1993">
        <f t="shared" ca="1" si="80"/>
        <v>0</v>
      </c>
      <c r="L89" s="1976">
        <f>6*365</f>
        <v>2190</v>
      </c>
      <c r="M89" s="2192">
        <f t="shared" ca="1" si="82"/>
        <v>0</v>
      </c>
      <c r="N89" s="2192">
        <f t="shared" ca="1" si="83"/>
        <v>0</v>
      </c>
      <c r="Q89" s="1976" t="s">
        <v>1905</v>
      </c>
      <c r="R89" s="2277">
        <v>0.2</v>
      </c>
      <c r="S89" s="2277">
        <v>0.05</v>
      </c>
      <c r="T89" s="2277">
        <v>0.04</v>
      </c>
      <c r="U89" s="2277">
        <v>2.5000000000000001E-2</v>
      </c>
      <c r="V89" s="1981"/>
      <c r="W89" s="1981"/>
      <c r="X89" s="1981"/>
      <c r="Y89" s="1981"/>
      <c r="Z89" s="1981"/>
      <c r="AA89" s="1981"/>
      <c r="AB89" s="1981"/>
      <c r="AC89" s="1981"/>
      <c r="AD89" s="1981"/>
      <c r="AE89" s="1981"/>
      <c r="AF89" s="1981"/>
      <c r="AG89" s="1981"/>
      <c r="AH89" s="1981"/>
      <c r="AI89" s="1981"/>
      <c r="AJ89" s="1981"/>
      <c r="AK89" s="1981"/>
      <c r="AL89" s="1981"/>
      <c r="AM89" s="1981"/>
      <c r="AN89" s="1981"/>
      <c r="AO89" s="1981"/>
      <c r="AP89" s="1981"/>
      <c r="AQ89" s="1981"/>
      <c r="AR89" s="1981"/>
      <c r="AS89" s="1981"/>
      <c r="AT89" s="1981"/>
      <c r="AU89" s="1981"/>
      <c r="AV89" s="1981"/>
      <c r="AW89" s="1981"/>
      <c r="AX89" s="1981"/>
      <c r="AY89" s="1981"/>
      <c r="AZ89" s="1981"/>
    </row>
    <row r="90" spans="1:52" ht="18" x14ac:dyDescent="0.45">
      <c r="A90" s="1986"/>
      <c r="B90" s="1996" t="str">
        <f t="shared" si="77"/>
        <v>Main entries</v>
      </c>
      <c r="C90" s="1997" t="s">
        <v>23</v>
      </c>
      <c r="D90" s="1995">
        <f t="shared" si="78"/>
        <v>0</v>
      </c>
      <c r="E90" s="1991">
        <f t="shared" ca="1" si="79"/>
        <v>9.8000000000000007</v>
      </c>
      <c r="F90" s="1993">
        <f t="shared" ca="1" si="84"/>
        <v>0</v>
      </c>
      <c r="G90" s="1993">
        <f t="shared" ca="1" si="85"/>
        <v>0</v>
      </c>
      <c r="H90" s="1993">
        <f t="shared" ca="1" si="86"/>
        <v>0</v>
      </c>
      <c r="I90" s="1993">
        <f t="shared" si="87"/>
        <v>0</v>
      </c>
      <c r="J90" s="1993">
        <f t="shared" si="88"/>
        <v>0</v>
      </c>
      <c r="K90" s="1993">
        <f t="shared" ca="1" si="80"/>
        <v>0</v>
      </c>
      <c r="L90" s="1976">
        <f t="shared" si="81"/>
        <v>3722.9999999999995</v>
      </c>
      <c r="M90" s="2192">
        <f t="shared" ca="1" si="82"/>
        <v>0</v>
      </c>
      <c r="N90" s="2192">
        <f t="shared" ca="1" si="83"/>
        <v>0</v>
      </c>
      <c r="Q90" s="1976" t="s">
        <v>25</v>
      </c>
      <c r="R90" s="2277">
        <v>30</v>
      </c>
      <c r="S90" s="2277">
        <v>20</v>
      </c>
      <c r="T90" s="2277">
        <v>14</v>
      </c>
      <c r="U90" s="2277">
        <v>9.8000000000000007</v>
      </c>
      <c r="V90" s="1981"/>
      <c r="W90" s="1981"/>
      <c r="X90" s="1981"/>
      <c r="Y90" s="1981"/>
      <c r="Z90" s="1981"/>
      <c r="AA90" s="1981"/>
      <c r="AB90" s="1981"/>
      <c r="AC90" s="1981"/>
      <c r="AD90" s="1981"/>
      <c r="AE90" s="1981"/>
      <c r="AF90" s="1981"/>
      <c r="AG90" s="1981"/>
      <c r="AH90" s="1981"/>
      <c r="AI90" s="1981"/>
      <c r="AJ90" s="1981"/>
      <c r="AK90" s="1981"/>
      <c r="AL90" s="1981"/>
      <c r="AM90" s="1981"/>
      <c r="AN90" s="1981"/>
      <c r="AO90" s="1981"/>
      <c r="AP90" s="1981"/>
      <c r="AQ90" s="1981"/>
      <c r="AR90" s="1981"/>
      <c r="AS90" s="1981"/>
      <c r="AT90" s="1981"/>
      <c r="AU90" s="1981"/>
      <c r="AV90" s="1981"/>
      <c r="AW90" s="1981"/>
      <c r="AX90" s="1981"/>
      <c r="AY90" s="1981"/>
      <c r="AZ90" s="1981"/>
    </row>
    <row r="91" spans="1:52" ht="18" x14ac:dyDescent="0.45">
      <c r="A91" s="1986"/>
      <c r="B91" s="1996" t="str">
        <f t="shared" si="77"/>
        <v>Other doors</v>
      </c>
      <c r="C91" s="1997" t="s">
        <v>23</v>
      </c>
      <c r="D91" s="1995">
        <f t="shared" si="78"/>
        <v>0</v>
      </c>
      <c r="E91" s="1991">
        <f t="shared" ca="1" si="79"/>
        <v>9.8000000000000007</v>
      </c>
      <c r="F91" s="1993">
        <f t="shared" ca="1" si="84"/>
        <v>0</v>
      </c>
      <c r="G91" s="1993">
        <f t="shared" ca="1" si="85"/>
        <v>0</v>
      </c>
      <c r="H91" s="1993">
        <f t="shared" ca="1" si="86"/>
        <v>0</v>
      </c>
      <c r="I91" s="1993">
        <f t="shared" si="87"/>
        <v>0</v>
      </c>
      <c r="J91" s="1993">
        <f t="shared" si="88"/>
        <v>0</v>
      </c>
      <c r="K91" s="1993">
        <f t="shared" ca="1" si="80"/>
        <v>0</v>
      </c>
      <c r="L91" s="1976">
        <f t="shared" si="81"/>
        <v>3722.9999999999995</v>
      </c>
      <c r="M91" s="2192">
        <f t="shared" ca="1" si="82"/>
        <v>0</v>
      </c>
      <c r="N91" s="2192">
        <f t="shared" ca="1" si="83"/>
        <v>0</v>
      </c>
      <c r="Q91" s="1976" t="s">
        <v>24</v>
      </c>
      <c r="R91" s="2277">
        <v>20</v>
      </c>
      <c r="S91" s="2277">
        <v>20</v>
      </c>
      <c r="T91" s="2277">
        <v>14</v>
      </c>
      <c r="U91" s="2277">
        <v>9.8000000000000007</v>
      </c>
      <c r="V91" s="1981"/>
      <c r="W91" s="1981"/>
      <c r="X91" s="1981"/>
      <c r="Y91" s="1981"/>
      <c r="Z91" s="1981"/>
      <c r="AA91" s="1981"/>
      <c r="AB91" s="1981"/>
      <c r="AC91" s="1981"/>
      <c r="AD91" s="1981"/>
      <c r="AE91" s="1981"/>
      <c r="AF91" s="1981"/>
      <c r="AG91" s="1981"/>
      <c r="AH91" s="1981"/>
      <c r="AI91" s="1981"/>
      <c r="AJ91" s="1981"/>
      <c r="AK91" s="1981"/>
      <c r="AL91" s="1981"/>
      <c r="AM91" s="1981"/>
      <c r="AN91" s="1981"/>
      <c r="AO91" s="1981"/>
      <c r="AP91" s="1981"/>
      <c r="AQ91" s="1981"/>
      <c r="AR91" s="1981"/>
      <c r="AS91" s="1981"/>
      <c r="AT91" s="1981"/>
      <c r="AU91" s="1981"/>
      <c r="AV91" s="1981"/>
      <c r="AW91" s="1981"/>
      <c r="AX91" s="1981"/>
      <c r="AY91" s="1981"/>
      <c r="AZ91" s="1981"/>
    </row>
    <row r="92" spans="1:52" ht="18" x14ac:dyDescent="0.45">
      <c r="A92" s="1986"/>
      <c r="B92" s="1996" t="str">
        <f t="shared" si="77"/>
        <v>Canopies and overhangs</v>
      </c>
      <c r="C92" s="1997" t="s">
        <v>21</v>
      </c>
      <c r="D92" s="1995">
        <f t="shared" si="78"/>
        <v>0</v>
      </c>
      <c r="E92" s="1991">
        <f t="shared" ca="1" si="79"/>
        <v>0.126</v>
      </c>
      <c r="F92" s="1993">
        <f t="shared" ca="1" si="84"/>
        <v>0</v>
      </c>
      <c r="G92" s="1993">
        <f t="shared" ca="1" si="85"/>
        <v>0</v>
      </c>
      <c r="H92" s="1993">
        <f t="shared" ca="1" si="86"/>
        <v>0</v>
      </c>
      <c r="I92" s="1993">
        <f t="shared" si="87"/>
        <v>0</v>
      </c>
      <c r="J92" s="1993">
        <f t="shared" si="88"/>
        <v>0</v>
      </c>
      <c r="K92" s="1993">
        <f t="shared" ca="1" si="80"/>
        <v>0</v>
      </c>
      <c r="L92" s="1976">
        <f t="shared" si="81"/>
        <v>3722.9999999999995</v>
      </c>
      <c r="M92" s="2192">
        <f t="shared" ca="1" si="82"/>
        <v>0</v>
      </c>
      <c r="N92" s="2192">
        <f t="shared" ca="1" si="83"/>
        <v>0</v>
      </c>
      <c r="Q92" s="1976" t="s">
        <v>22</v>
      </c>
      <c r="R92" s="2277">
        <v>1.25</v>
      </c>
      <c r="S92" s="2277">
        <v>0.25</v>
      </c>
      <c r="T92" s="2277">
        <v>0.2</v>
      </c>
      <c r="U92" s="2277">
        <v>0.126</v>
      </c>
      <c r="V92" s="1981"/>
      <c r="W92" s="1981"/>
      <c r="X92" s="1981"/>
      <c r="Y92" s="1981"/>
      <c r="Z92" s="1981"/>
      <c r="AA92" s="1981"/>
      <c r="AB92" s="1981"/>
      <c r="AC92" s="1981"/>
      <c r="AD92" s="1981"/>
      <c r="AE92" s="1981"/>
      <c r="AF92" s="1981"/>
      <c r="AG92" s="1981"/>
      <c r="AH92" s="1981"/>
      <c r="AI92" s="1981"/>
      <c r="AJ92" s="1981"/>
      <c r="AK92" s="1981"/>
      <c r="AL92" s="1981"/>
      <c r="AM92" s="1981"/>
      <c r="AN92" s="1981"/>
      <c r="AO92" s="1981"/>
      <c r="AP92" s="1981"/>
      <c r="AQ92" s="1981"/>
      <c r="AR92" s="1981"/>
      <c r="AS92" s="1981"/>
      <c r="AT92" s="1981"/>
      <c r="AU92" s="1981"/>
      <c r="AV92" s="1981"/>
      <c r="AW92" s="1981"/>
      <c r="AX92" s="1981"/>
      <c r="AY92" s="1981"/>
      <c r="AZ92" s="1981"/>
    </row>
    <row r="93" spans="1:52" ht="18" x14ac:dyDescent="0.45">
      <c r="A93" s="1986"/>
      <c r="B93" s="2628" t="s">
        <v>743</v>
      </c>
      <c r="C93" s="2629"/>
      <c r="D93" s="2629"/>
      <c r="E93" s="2629"/>
      <c r="F93" s="2629"/>
      <c r="G93" s="2629"/>
      <c r="H93" s="2629"/>
      <c r="I93" s="2629"/>
      <c r="J93" s="2629"/>
      <c r="K93" s="2630"/>
      <c r="L93" s="1976"/>
      <c r="M93" s="2192"/>
      <c r="N93" s="2192"/>
      <c r="Q93" s="2276" t="s">
        <v>2215</v>
      </c>
      <c r="R93" s="2276"/>
      <c r="S93" s="2276"/>
      <c r="T93" s="2276"/>
      <c r="U93" s="2276"/>
      <c r="V93" s="1981"/>
      <c r="W93" s="1981"/>
      <c r="X93" s="1981"/>
      <c r="Y93" s="1981"/>
      <c r="Z93" s="1981"/>
      <c r="AA93" s="1981"/>
      <c r="AB93" s="1981"/>
      <c r="AC93" s="1981"/>
      <c r="AD93" s="1981"/>
      <c r="AE93" s="1981"/>
      <c r="AF93" s="1981"/>
      <c r="AG93" s="1981"/>
      <c r="AH93" s="1981"/>
      <c r="AI93" s="1981"/>
      <c r="AJ93" s="1981"/>
      <c r="AK93" s="1981"/>
      <c r="AL93" s="1981"/>
      <c r="AM93" s="1981"/>
      <c r="AN93" s="1981"/>
      <c r="AO93" s="1981"/>
      <c r="AP93" s="1981"/>
      <c r="AQ93" s="1981"/>
      <c r="AR93" s="1981"/>
      <c r="AS93" s="1981"/>
      <c r="AT93" s="1981"/>
      <c r="AU93" s="1981"/>
      <c r="AV93" s="1981"/>
      <c r="AW93" s="1981"/>
      <c r="AX93" s="1981"/>
      <c r="AY93" s="1981"/>
      <c r="AZ93" s="1981"/>
    </row>
    <row r="94" spans="1:52" ht="18" x14ac:dyDescent="0.45">
      <c r="A94" s="1986"/>
      <c r="B94" s="1996" t="s">
        <v>20</v>
      </c>
      <c r="C94" s="1997" t="s">
        <v>23</v>
      </c>
      <c r="D94" s="1995">
        <f t="shared" si="78"/>
        <v>0</v>
      </c>
      <c r="E94" s="1991">
        <f ca="1">OFFSET($Q$81,MATCH($B94,$Q$84:$Q$94,0)+2,MATCH($B$80,$R$81:$U$81,0))</f>
        <v>1.875</v>
      </c>
      <c r="F94" s="1993">
        <f ca="1">D94*E94*$F$82</f>
        <v>0</v>
      </c>
      <c r="G94" s="1993">
        <f t="shared" ref="G94" ca="1" si="89">IFERROR($F94*(J94/$I94),0)</f>
        <v>0</v>
      </c>
      <c r="H94" s="1993">
        <f t="shared" ref="H94" ca="1" si="90">IFERROR($F94*(K94/$I94),0)</f>
        <v>0</v>
      </c>
      <c r="I94" s="1993">
        <f>SUMIF($B$14:$B$78,$B94,$AX$14:$AX$78)</f>
        <v>0</v>
      </c>
      <c r="J94" s="1993">
        <f t="shared" ref="J94" si="91">SUMIF($B$14:$B$72,$B94,$AY$14:$AY$72)</f>
        <v>0</v>
      </c>
      <c r="K94" s="1993">
        <f t="shared" ca="1" si="80"/>
        <v>0</v>
      </c>
      <c r="L94" s="1976">
        <f>6*365</f>
        <v>2190</v>
      </c>
      <c r="M94" s="2192">
        <f ca="1">IFERROR((G94*$L94+H94*8760)/1000,0)</f>
        <v>0</v>
      </c>
      <c r="N94" s="2192">
        <f t="shared" ca="1" si="83"/>
        <v>0</v>
      </c>
      <c r="Q94" s="1976" t="s">
        <v>20</v>
      </c>
      <c r="R94" s="2277">
        <v>5</v>
      </c>
      <c r="S94" s="2277">
        <v>2.5</v>
      </c>
      <c r="T94" s="2277">
        <v>2.5</v>
      </c>
      <c r="U94" s="2277">
        <f>0.075*25</f>
        <v>1.875</v>
      </c>
      <c r="V94" s="1981"/>
      <c r="W94" s="1981"/>
      <c r="X94" s="1981"/>
      <c r="Y94" s="1981"/>
      <c r="Z94" s="1981"/>
      <c r="AA94" s="1981"/>
      <c r="AB94" s="1981"/>
      <c r="AC94" s="1981"/>
      <c r="AD94" s="1981"/>
      <c r="AE94" s="1981"/>
      <c r="AF94" s="1981"/>
      <c r="AG94" s="1981"/>
      <c r="AH94" s="1981"/>
      <c r="AI94" s="1981"/>
      <c r="AJ94" s="1981"/>
      <c r="AK94" s="1981"/>
      <c r="AL94" s="1981"/>
      <c r="AM94" s="1981"/>
      <c r="AN94" s="1981"/>
      <c r="AO94" s="1981"/>
      <c r="AP94" s="1981"/>
      <c r="AQ94" s="1981"/>
      <c r="AR94" s="1981"/>
      <c r="AS94" s="1981"/>
      <c r="AT94" s="1981"/>
      <c r="AU94" s="1981"/>
      <c r="AV94" s="1981"/>
      <c r="AW94" s="1981"/>
      <c r="AX94" s="1981"/>
      <c r="AY94" s="1981"/>
      <c r="AZ94" s="1981"/>
    </row>
    <row r="95" spans="1:52" ht="18" x14ac:dyDescent="0.45">
      <c r="A95" s="1986"/>
      <c r="B95" s="1999"/>
      <c r="C95" s="2000"/>
      <c r="D95" s="2000"/>
      <c r="E95" s="2001" t="s">
        <v>795</v>
      </c>
      <c r="F95" s="2002" t="e">
        <f ca="1">SUM(F84:F94)</f>
        <v>#VALUE!</v>
      </c>
      <c r="G95" s="2002">
        <f t="shared" ref="G95:H95" ca="1" si="92">SUM(G84:G94)</f>
        <v>280</v>
      </c>
      <c r="H95" s="2002">
        <f t="shared" ca="1" si="92"/>
        <v>0</v>
      </c>
      <c r="I95" s="2003">
        <f t="shared" ref="I95:K95" si="93">SUM(I85:I94)</f>
        <v>0</v>
      </c>
      <c r="J95" s="2003">
        <f t="shared" si="93"/>
        <v>0</v>
      </c>
      <c r="K95" s="2003">
        <f t="shared" ca="1" si="93"/>
        <v>0</v>
      </c>
      <c r="L95" s="2004"/>
      <c r="M95" s="2192"/>
      <c r="N95" s="2192"/>
      <c r="O95" s="1981"/>
      <c r="P95" s="1981"/>
      <c r="Q95" s="1981"/>
      <c r="R95" s="1981"/>
      <c r="S95" s="1981"/>
      <c r="AY95" s="1933"/>
    </row>
    <row r="96" spans="1:52" ht="18" x14ac:dyDescent="0.45">
      <c r="A96" s="1986"/>
      <c r="B96" s="1976"/>
      <c r="C96" s="1976"/>
      <c r="D96" s="1976"/>
      <c r="E96" s="1976"/>
      <c r="F96" s="2005"/>
      <c r="G96" s="2005"/>
      <c r="H96" s="2006"/>
      <c r="I96" s="2007"/>
      <c r="J96" s="2007"/>
      <c r="K96" s="2008"/>
      <c r="L96" s="1976"/>
      <c r="M96" s="2192"/>
      <c r="N96" s="2192"/>
      <c r="AY96" s="1933"/>
    </row>
    <row r="97" spans="1:51" ht="18" x14ac:dyDescent="0.45">
      <c r="A97" s="1986"/>
      <c r="B97" s="1996" t="s">
        <v>794</v>
      </c>
      <c r="C97" s="1997" t="s">
        <v>23</v>
      </c>
      <c r="D97" s="2009">
        <f>SUMIF($B$14:$B$72,B97,$D$14:$D$72)</f>
        <v>0</v>
      </c>
      <c r="E97" s="1996">
        <v>20</v>
      </c>
      <c r="F97" s="2010">
        <f t="shared" ref="F97" si="94">D97*E97*$F$82</f>
        <v>0</v>
      </c>
      <c r="G97" s="2010">
        <f t="shared" ref="G97" si="95">IFERROR($F97*(J97/$I97),0)</f>
        <v>0</v>
      </c>
      <c r="H97" s="2010">
        <f t="shared" ref="H97" ca="1" si="96">IFERROR($F97*(K97/$I97),0)</f>
        <v>0</v>
      </c>
      <c r="I97" s="2003">
        <f>SUMIF($B$14:$B$78,$B97,$AX$14:$AX$78)</f>
        <v>0</v>
      </c>
      <c r="J97" s="2003">
        <f t="shared" ref="J97" si="97">SUMIF($B$14:$B$72,$B97,$AY$14:$AY$72)</f>
        <v>0</v>
      </c>
      <c r="K97" s="2003">
        <f t="shared" ref="K97" ca="1" si="98">SUMIF($B$14:$B$72,$B97,$AZ$14:$AZ$68)</f>
        <v>0</v>
      </c>
      <c r="L97" s="1976">
        <f>3*365</f>
        <v>1095</v>
      </c>
      <c r="M97" s="2192">
        <f t="shared" ca="1" si="82"/>
        <v>0</v>
      </c>
      <c r="N97" s="2192">
        <f t="shared" ca="1" si="83"/>
        <v>0</v>
      </c>
      <c r="AY97" s="1933"/>
    </row>
    <row r="98" spans="1:51" ht="18" x14ac:dyDescent="0.45">
      <c r="A98" s="1986"/>
      <c r="B98" s="1976"/>
      <c r="C98" s="1976"/>
      <c r="D98" s="1976"/>
      <c r="E98" s="1976"/>
      <c r="F98" s="1976"/>
      <c r="I98" s="2007"/>
      <c r="J98" s="2007"/>
      <c r="K98" s="2007"/>
      <c r="L98" s="1976"/>
      <c r="M98" s="1976"/>
      <c r="N98" s="1976"/>
      <c r="AY98" s="1933"/>
    </row>
    <row r="99" spans="1:51" ht="18" x14ac:dyDescent="0.45">
      <c r="A99" s="1986"/>
      <c r="B99" s="2621" t="s">
        <v>796</v>
      </c>
      <c r="C99" s="2622"/>
      <c r="D99" s="2622"/>
      <c r="E99" s="2623"/>
      <c r="F99" s="2011" t="e">
        <f t="shared" ref="F99:K99" ca="1" si="99">SUM(F95:F97)</f>
        <v>#VALUE!</v>
      </c>
      <c r="G99" s="2011">
        <f t="shared" ca="1" si="99"/>
        <v>280</v>
      </c>
      <c r="H99" s="2011">
        <f t="shared" ca="1" si="99"/>
        <v>0</v>
      </c>
      <c r="I99" s="2012">
        <f t="shared" si="99"/>
        <v>0</v>
      </c>
      <c r="J99" s="2012">
        <f t="shared" si="99"/>
        <v>0</v>
      </c>
      <c r="K99" s="2012">
        <f t="shared" ca="1" si="99"/>
        <v>0</v>
      </c>
      <c r="L99" s="2193"/>
      <c r="M99" s="2192">
        <f ca="1">SUM(M84:M97)</f>
        <v>0</v>
      </c>
      <c r="N99" s="2192">
        <f ca="1">SUM(N84:N97)</f>
        <v>0</v>
      </c>
      <c r="AY99" s="1933"/>
    </row>
    <row r="100" spans="1:51" ht="18" x14ac:dyDescent="0.45">
      <c r="H100" s="2013"/>
      <c r="J100" s="1976"/>
      <c r="N100" s="2193" t="e">
        <f ca="1">(M99-N99)/M99</f>
        <v>#DIV/0!</v>
      </c>
      <c r="AY100" s="1933"/>
    </row>
    <row r="101" spans="1:51" ht="15" x14ac:dyDescent="0.4">
      <c r="D101" s="2195" t="s">
        <v>2117</v>
      </c>
      <c r="E101" s="1981" t="s">
        <v>2114</v>
      </c>
      <c r="F101" s="2194" t="e">
        <f ca="1">F99-SUM(F102:F103)</f>
        <v>#VALUE!</v>
      </c>
      <c r="G101" s="1981" t="s">
        <v>1058</v>
      </c>
      <c r="H101" s="1981"/>
      <c r="I101" s="2194">
        <f>I99-SUM(I102:I103)</f>
        <v>0</v>
      </c>
      <c r="J101" s="1981" t="s">
        <v>1058</v>
      </c>
      <c r="K101" s="1981"/>
      <c r="AY101" s="1933"/>
    </row>
    <row r="102" spans="1:51" ht="15" x14ac:dyDescent="0.4">
      <c r="D102" s="1981"/>
      <c r="E102" s="1981" t="s">
        <v>2115</v>
      </c>
      <c r="F102" s="2194">
        <f ca="1">F89+F94</f>
        <v>0</v>
      </c>
      <c r="G102" s="1981" t="s">
        <v>1058</v>
      </c>
      <c r="H102" s="2194"/>
      <c r="I102" s="2194">
        <f>I89+I94</f>
        <v>0</v>
      </c>
      <c r="J102" s="1981" t="s">
        <v>1058</v>
      </c>
      <c r="K102" s="1981"/>
      <c r="AY102" s="1933"/>
    </row>
    <row r="103" spans="1:51" ht="15" x14ac:dyDescent="0.4">
      <c r="D103" s="1981"/>
      <c r="E103" s="1981" t="s">
        <v>2116</v>
      </c>
      <c r="F103" s="2194">
        <f>F97</f>
        <v>0</v>
      </c>
      <c r="G103" s="1981" t="s">
        <v>1058</v>
      </c>
      <c r="H103" s="2194"/>
      <c r="I103" s="2194">
        <f>I97</f>
        <v>0</v>
      </c>
      <c r="J103" s="1981" t="s">
        <v>1058</v>
      </c>
      <c r="K103" s="1981"/>
      <c r="AY103" s="1933"/>
    </row>
    <row r="104" spans="1:51" ht="19.8" x14ac:dyDescent="0.5">
      <c r="A104" s="2037"/>
      <c r="B104" s="2035"/>
      <c r="C104" s="2035"/>
      <c r="D104" s="2035"/>
      <c r="E104" s="2035"/>
      <c r="F104" s="2036"/>
      <c r="G104" s="2035"/>
      <c r="H104" s="2035"/>
      <c r="I104" s="2035"/>
      <c r="J104" s="2035"/>
      <c r="K104" s="2035"/>
      <c r="L104" s="2035"/>
      <c r="M104" s="2035"/>
      <c r="N104" s="2035"/>
      <c r="O104" s="2035"/>
      <c r="P104" s="2035"/>
      <c r="Q104" s="2035"/>
      <c r="R104" s="2035"/>
      <c r="S104" s="2035"/>
      <c r="T104" s="2035"/>
      <c r="U104" s="2035"/>
      <c r="V104" s="2035"/>
      <c r="AY104" s="1933"/>
    </row>
    <row r="105" spans="1:51" x14ac:dyDescent="0.35">
      <c r="B105" s="2015">
        <v>1</v>
      </c>
      <c r="C105" s="2015">
        <v>2</v>
      </c>
      <c r="D105" s="2015">
        <v>3</v>
      </c>
      <c r="E105" s="2015">
        <v>4</v>
      </c>
      <c r="F105" s="2015">
        <v>5</v>
      </c>
      <c r="G105" s="2015">
        <v>6</v>
      </c>
      <c r="H105" s="2015">
        <v>7</v>
      </c>
      <c r="I105" s="2015">
        <v>8</v>
      </c>
      <c r="J105" s="2015">
        <v>9</v>
      </c>
      <c r="K105" s="2015">
        <v>10</v>
      </c>
      <c r="L105" s="2015"/>
      <c r="AY105" s="1933"/>
    </row>
    <row r="106" spans="1:51" x14ac:dyDescent="0.35">
      <c r="B106" s="2016" t="s">
        <v>315</v>
      </c>
      <c r="C106" s="2016" t="s">
        <v>723</v>
      </c>
      <c r="D106" s="2016" t="s">
        <v>724</v>
      </c>
      <c r="E106" s="2017" t="s">
        <v>725</v>
      </c>
      <c r="F106" s="2018" t="s">
        <v>726</v>
      </c>
      <c r="G106" s="2016"/>
      <c r="H106" s="2019" t="s">
        <v>727</v>
      </c>
      <c r="I106" s="2020" t="s">
        <v>728</v>
      </c>
      <c r="J106" s="2021" t="s">
        <v>729</v>
      </c>
      <c r="K106" s="2022" t="s">
        <v>730</v>
      </c>
      <c r="L106" s="2016" t="s">
        <v>731</v>
      </c>
      <c r="M106" s="2016"/>
      <c r="AY106" s="1933"/>
    </row>
    <row r="107" spans="1:51" x14ac:dyDescent="0.35">
      <c r="B107" s="1933" t="s">
        <v>732</v>
      </c>
      <c r="C107" s="2023">
        <v>133693</v>
      </c>
      <c r="D107" s="2023">
        <v>1008</v>
      </c>
      <c r="E107" s="2023">
        <v>7113</v>
      </c>
      <c r="F107" s="2023">
        <v>4660</v>
      </c>
      <c r="H107" s="2014">
        <f t="shared" ref="H107:H112" si="100">E107/C107</f>
        <v>5.3203982257859425E-2</v>
      </c>
      <c r="I107" s="2014">
        <f t="shared" ref="I107:I112" si="101">E107/D107</f>
        <v>7.0565476190476186</v>
      </c>
      <c r="J107" s="2024">
        <f t="shared" ref="J107:J112" si="102">F107/C107</f>
        <v>3.485597600472725E-2</v>
      </c>
      <c r="K107" s="2014">
        <f t="shared" ref="K107:K112" si="103">F107/D107</f>
        <v>4.6230158730158726</v>
      </c>
      <c r="L107" s="2025">
        <f t="shared" ref="L107:L112" si="104">(H107-J107)/H107</f>
        <v>0.34486152115844226</v>
      </c>
      <c r="M107" s="2025"/>
      <c r="AY107" s="1933"/>
    </row>
    <row r="108" spans="1:51" x14ac:dyDescent="0.35">
      <c r="B108" s="1933" t="s">
        <v>733</v>
      </c>
      <c r="C108" s="2023">
        <v>12300</v>
      </c>
      <c r="D108" s="2023">
        <v>550</v>
      </c>
      <c r="E108" s="2023">
        <v>569</v>
      </c>
      <c r="F108" s="2023">
        <v>300</v>
      </c>
      <c r="H108" s="2014">
        <f t="shared" si="100"/>
        <v>4.6260162601626013E-2</v>
      </c>
      <c r="I108" s="2014">
        <f t="shared" si="101"/>
        <v>1.0345454545454544</v>
      </c>
      <c r="J108" s="2024">
        <f t="shared" si="102"/>
        <v>2.4390243902439025E-2</v>
      </c>
      <c r="K108" s="2014">
        <f t="shared" si="103"/>
        <v>0.54545454545454541</v>
      </c>
      <c r="L108" s="2025">
        <f t="shared" si="104"/>
        <v>0.47275922671353249</v>
      </c>
      <c r="M108" s="2025"/>
      <c r="AY108" s="1933"/>
    </row>
    <row r="109" spans="1:51" x14ac:dyDescent="0.35">
      <c r="B109" s="1933" t="s">
        <v>734</v>
      </c>
      <c r="C109" s="2026">
        <v>4900</v>
      </c>
      <c r="D109" s="2026">
        <v>328</v>
      </c>
      <c r="E109" s="2026">
        <v>352</v>
      </c>
      <c r="F109" s="2026">
        <v>320</v>
      </c>
      <c r="H109" s="2014">
        <f t="shared" si="100"/>
        <v>7.1836734693877552E-2</v>
      </c>
      <c r="I109" s="2014">
        <f t="shared" si="101"/>
        <v>1.0731707317073171</v>
      </c>
      <c r="J109" s="2024">
        <f t="shared" si="102"/>
        <v>6.5306122448979598E-2</v>
      </c>
      <c r="K109" s="2014">
        <f t="shared" si="103"/>
        <v>0.97560975609756095</v>
      </c>
      <c r="L109" s="2025">
        <f t="shared" si="104"/>
        <v>9.0909090909090842E-2</v>
      </c>
      <c r="M109" s="2025"/>
      <c r="AY109" s="1933"/>
    </row>
    <row r="110" spans="1:51" x14ac:dyDescent="0.35">
      <c r="B110" s="1933" t="s">
        <v>735</v>
      </c>
      <c r="C110" s="2026">
        <v>2000</v>
      </c>
      <c r="D110" s="2026">
        <v>192</v>
      </c>
      <c r="E110" s="2026">
        <v>351</v>
      </c>
      <c r="F110" s="2026">
        <v>351</v>
      </c>
      <c r="H110" s="2014">
        <f t="shared" si="100"/>
        <v>0.17549999999999999</v>
      </c>
      <c r="I110" s="2014">
        <f t="shared" si="101"/>
        <v>1.828125</v>
      </c>
      <c r="J110" s="2024">
        <f t="shared" si="102"/>
        <v>0.17549999999999999</v>
      </c>
      <c r="K110" s="2014">
        <f t="shared" si="103"/>
        <v>1.828125</v>
      </c>
      <c r="L110" s="2025">
        <f t="shared" si="104"/>
        <v>0</v>
      </c>
      <c r="M110" s="2025"/>
      <c r="AY110" s="1933"/>
    </row>
    <row r="111" spans="1:51" x14ac:dyDescent="0.35">
      <c r="B111" s="1933" t="s">
        <v>736</v>
      </c>
      <c r="C111" s="2026">
        <v>5120</v>
      </c>
      <c r="D111" s="2026">
        <v>340</v>
      </c>
      <c r="E111" s="2026">
        <v>1890</v>
      </c>
      <c r="F111" s="2026">
        <v>1115</v>
      </c>
      <c r="H111" s="2014">
        <f t="shared" si="100"/>
        <v>0.369140625</v>
      </c>
      <c r="I111" s="2014">
        <f t="shared" si="101"/>
        <v>5.5588235294117645</v>
      </c>
      <c r="J111" s="2024">
        <f t="shared" si="102"/>
        <v>0.2177734375</v>
      </c>
      <c r="K111" s="2014">
        <f t="shared" si="103"/>
        <v>3.2794117647058822</v>
      </c>
      <c r="L111" s="2025">
        <f t="shared" si="104"/>
        <v>0.41005291005291006</v>
      </c>
      <c r="M111" s="2025"/>
      <c r="AY111" s="1933"/>
    </row>
    <row r="112" spans="1:51" x14ac:dyDescent="0.35">
      <c r="B112" s="1933" t="s">
        <v>737</v>
      </c>
      <c r="C112" s="2023">
        <v>4723</v>
      </c>
      <c r="D112" s="2023">
        <v>368</v>
      </c>
      <c r="E112" s="2023">
        <v>2678</v>
      </c>
      <c r="F112" s="2023">
        <v>1584</v>
      </c>
      <c r="H112" s="2014">
        <f t="shared" si="100"/>
        <v>0.56701249206013127</v>
      </c>
      <c r="I112" s="2014">
        <f t="shared" si="101"/>
        <v>7.2771739130434785</v>
      </c>
      <c r="J112" s="2024">
        <f t="shared" si="102"/>
        <v>0.33538005504975649</v>
      </c>
      <c r="K112" s="2014">
        <f t="shared" si="103"/>
        <v>4.3043478260869561</v>
      </c>
      <c r="L112" s="2025">
        <f t="shared" si="104"/>
        <v>0.40851381628080663</v>
      </c>
      <c r="M112" s="2025"/>
      <c r="AY112" s="1933"/>
    </row>
    <row r="113" spans="2:51" x14ac:dyDescent="0.35">
      <c r="H113" s="2014"/>
      <c r="I113" s="2014"/>
      <c r="J113" s="2024"/>
      <c r="K113" s="2014"/>
      <c r="L113" s="2025"/>
      <c r="AY113" s="1933"/>
    </row>
    <row r="114" spans="2:51" x14ac:dyDescent="0.35">
      <c r="B114" s="1933">
        <v>3</v>
      </c>
      <c r="H114" s="2014"/>
      <c r="I114" s="2014"/>
      <c r="J114" s="2024"/>
      <c r="K114" s="2014"/>
      <c r="L114" s="2025"/>
      <c r="AY114" s="1933"/>
    </row>
    <row r="115" spans="2:51" x14ac:dyDescent="0.35">
      <c r="B115" s="1933" t="str">
        <f>B109</f>
        <v xml:space="preserve">220 10th </v>
      </c>
      <c r="C115" s="2027">
        <f t="shared" ref="C115:L115" si="105">C109</f>
        <v>4900</v>
      </c>
      <c r="D115" s="2027">
        <f t="shared" si="105"/>
        <v>328</v>
      </c>
      <c r="E115" s="1941">
        <f t="shared" si="105"/>
        <v>352</v>
      </c>
      <c r="F115" s="1941">
        <f t="shared" si="105"/>
        <v>320</v>
      </c>
      <c r="H115" s="2014">
        <f t="shared" si="105"/>
        <v>7.1836734693877552E-2</v>
      </c>
      <c r="I115" s="2014">
        <f t="shared" si="105"/>
        <v>1.0731707317073171</v>
      </c>
      <c r="J115" s="2024">
        <f t="shared" si="105"/>
        <v>6.5306122448979598E-2</v>
      </c>
      <c r="K115" s="2014">
        <f t="shared" si="105"/>
        <v>0.97560975609756095</v>
      </c>
      <c r="L115" s="2025">
        <f t="shared" si="105"/>
        <v>9.0909090909090842E-2</v>
      </c>
      <c r="AY115" s="1933"/>
    </row>
    <row r="116" spans="2:51" x14ac:dyDescent="0.35">
      <c r="B116" s="2028" t="s">
        <v>738</v>
      </c>
      <c r="C116" s="2029">
        <v>3239.24</v>
      </c>
      <c r="D116" s="2030">
        <v>260</v>
      </c>
      <c r="E116" s="2031">
        <f>D116*I116</f>
        <v>279.02439024390247</v>
      </c>
      <c r="F116" s="2031">
        <f>D116*K116</f>
        <v>253.65853658536585</v>
      </c>
      <c r="G116" s="2028"/>
      <c r="H116" s="2032"/>
      <c r="I116" s="2032">
        <f>I115</f>
        <v>1.0731707317073171</v>
      </c>
      <c r="J116" s="2033"/>
      <c r="K116" s="2032">
        <f>K115</f>
        <v>0.97560975609756095</v>
      </c>
      <c r="L116" s="2034">
        <f>(I116-K116)/I116</f>
        <v>9.0909090909090981E-2</v>
      </c>
      <c r="AY116" s="1933"/>
    </row>
    <row r="117" spans="2:51" x14ac:dyDescent="0.35">
      <c r="C117" s="1934"/>
      <c r="D117" s="1934"/>
      <c r="K117" s="2014"/>
      <c r="AY117" s="1933"/>
    </row>
    <row r="118" spans="2:51" x14ac:dyDescent="0.35">
      <c r="K118" s="2014"/>
      <c r="AY118" s="1933"/>
    </row>
    <row r="119" spans="2:51" x14ac:dyDescent="0.35">
      <c r="K119" s="2014"/>
      <c r="AY119" s="1933"/>
    </row>
    <row r="120" spans="2:51" x14ac:dyDescent="0.35">
      <c r="AY120" s="1933"/>
    </row>
    <row r="121" spans="2:51" x14ac:dyDescent="0.35">
      <c r="AY121" s="1933"/>
    </row>
    <row r="122" spans="2:51" x14ac:dyDescent="0.35">
      <c r="AY122" s="1933"/>
    </row>
    <row r="123" spans="2:51" x14ac:dyDescent="0.35">
      <c r="AY123" s="1933"/>
    </row>
    <row r="124" spans="2:51" x14ac:dyDescent="0.35">
      <c r="AY124" s="1933"/>
    </row>
    <row r="125" spans="2:51" x14ac:dyDescent="0.35">
      <c r="AY125" s="1933"/>
    </row>
    <row r="126" spans="2:51" x14ac:dyDescent="0.35">
      <c r="AY126" s="1933"/>
    </row>
    <row r="127" spans="2:51" x14ac:dyDescent="0.35">
      <c r="AY127" s="1933"/>
    </row>
    <row r="128" spans="2:51" x14ac:dyDescent="0.35">
      <c r="AY128" s="1933"/>
    </row>
    <row r="129" spans="51:51" x14ac:dyDescent="0.35">
      <c r="AY129" s="1933"/>
    </row>
    <row r="130" spans="51:51" x14ac:dyDescent="0.35">
      <c r="AY130" s="1933"/>
    </row>
    <row r="131" spans="51:51" x14ac:dyDescent="0.35">
      <c r="AY131" s="1933"/>
    </row>
    <row r="132" spans="51:51" x14ac:dyDescent="0.35">
      <c r="AY132" s="1933"/>
    </row>
    <row r="133" spans="51:51" x14ac:dyDescent="0.35">
      <c r="AY133" s="1933"/>
    </row>
    <row r="134" spans="51:51" x14ac:dyDescent="0.35">
      <c r="AY134" s="1933"/>
    </row>
    <row r="135" spans="51:51" x14ac:dyDescent="0.35">
      <c r="AY135" s="1933"/>
    </row>
    <row r="136" spans="51:51" x14ac:dyDescent="0.35">
      <c r="AY136" s="1933"/>
    </row>
    <row r="137" spans="51:51" x14ac:dyDescent="0.35">
      <c r="AY137" s="1933"/>
    </row>
    <row r="138" spans="51:51" x14ac:dyDescent="0.35">
      <c r="AY138" s="1933"/>
    </row>
    <row r="139" spans="51:51" x14ac:dyDescent="0.35">
      <c r="AY139" s="1933"/>
    </row>
    <row r="140" spans="51:51" x14ac:dyDescent="0.35">
      <c r="AY140" s="1933"/>
    </row>
    <row r="141" spans="51:51" x14ac:dyDescent="0.35">
      <c r="AY141" s="1933"/>
    </row>
    <row r="142" spans="51:51" x14ac:dyDescent="0.35">
      <c r="AY142" s="1933"/>
    </row>
    <row r="143" spans="51:51" x14ac:dyDescent="0.35">
      <c r="AY143" s="1933"/>
    </row>
    <row r="144" spans="51:51" x14ac:dyDescent="0.35">
      <c r="AY144" s="1933"/>
    </row>
    <row r="145" spans="51:51" x14ac:dyDescent="0.35">
      <c r="AY145" s="1933"/>
    </row>
    <row r="146" spans="51:51" x14ac:dyDescent="0.35">
      <c r="AY146" s="1933"/>
    </row>
    <row r="147" spans="51:51" x14ac:dyDescent="0.35">
      <c r="AY147" s="1933"/>
    </row>
    <row r="148" spans="51:51" x14ac:dyDescent="0.35">
      <c r="AY148" s="1933"/>
    </row>
    <row r="149" spans="51:51" x14ac:dyDescent="0.35">
      <c r="AY149" s="1933"/>
    </row>
    <row r="150" spans="51:51" x14ac:dyDescent="0.35">
      <c r="AY150" s="1933"/>
    </row>
    <row r="151" spans="51:51" x14ac:dyDescent="0.35">
      <c r="AY151" s="1933"/>
    </row>
    <row r="152" spans="51:51" x14ac:dyDescent="0.35">
      <c r="AY152" s="1933"/>
    </row>
    <row r="153" spans="51:51" x14ac:dyDescent="0.35">
      <c r="AY153" s="1933"/>
    </row>
    <row r="154" spans="51:51" x14ac:dyDescent="0.35">
      <c r="AY154" s="1933"/>
    </row>
    <row r="155" spans="51:51" x14ac:dyDescent="0.35">
      <c r="AY155" s="1933"/>
    </row>
    <row r="156" spans="51:51" x14ac:dyDescent="0.35">
      <c r="AY156" s="1933"/>
    </row>
    <row r="157" spans="51:51" x14ac:dyDescent="0.35">
      <c r="AY157" s="1933"/>
    </row>
    <row r="158" spans="51:51" x14ac:dyDescent="0.35">
      <c r="AY158" s="1933"/>
    </row>
    <row r="159" spans="51:51" x14ac:dyDescent="0.35">
      <c r="AY159" s="1933"/>
    </row>
    <row r="160" spans="51:51" x14ac:dyDescent="0.35">
      <c r="AY160" s="1933"/>
    </row>
    <row r="161" spans="51:51" x14ac:dyDescent="0.35">
      <c r="AY161" s="1933"/>
    </row>
    <row r="162" spans="51:51" x14ac:dyDescent="0.35">
      <c r="AY162" s="1933"/>
    </row>
    <row r="163" spans="51:51" x14ac:dyDescent="0.35">
      <c r="AY163" s="1933"/>
    </row>
    <row r="164" spans="51:51" x14ac:dyDescent="0.35">
      <c r="AY164" s="1933"/>
    </row>
    <row r="165" spans="51:51" x14ac:dyDescent="0.35">
      <c r="AY165" s="1933"/>
    </row>
    <row r="166" spans="51:51" x14ac:dyDescent="0.35">
      <c r="AY166" s="1933"/>
    </row>
    <row r="167" spans="51:51" x14ac:dyDescent="0.35">
      <c r="AY167" s="1933"/>
    </row>
    <row r="168" spans="51:51" x14ac:dyDescent="0.35">
      <c r="AY168" s="1933"/>
    </row>
    <row r="169" spans="51:51" x14ac:dyDescent="0.35">
      <c r="AY169" s="1933"/>
    </row>
    <row r="170" spans="51:51" x14ac:dyDescent="0.35">
      <c r="AY170" s="1933"/>
    </row>
    <row r="171" spans="51:51" x14ac:dyDescent="0.35">
      <c r="AY171" s="1933"/>
    </row>
    <row r="172" spans="51:51" x14ac:dyDescent="0.35">
      <c r="AY172" s="1933"/>
    </row>
    <row r="173" spans="51:51" x14ac:dyDescent="0.35">
      <c r="AY173" s="1933"/>
    </row>
    <row r="174" spans="51:51" x14ac:dyDescent="0.35">
      <c r="AY174" s="1933"/>
    </row>
    <row r="175" spans="51:51" x14ac:dyDescent="0.35">
      <c r="AY175" s="1933"/>
    </row>
    <row r="176" spans="51:51" x14ac:dyDescent="0.35">
      <c r="AY176" s="1933"/>
    </row>
    <row r="177" spans="51:51" x14ac:dyDescent="0.35">
      <c r="AY177" s="1933"/>
    </row>
    <row r="178" spans="51:51" x14ac:dyDescent="0.35">
      <c r="AY178" s="1933"/>
    </row>
    <row r="179" spans="51:51" x14ac:dyDescent="0.35">
      <c r="AY179" s="1933"/>
    </row>
    <row r="180" spans="51:51" x14ac:dyDescent="0.35">
      <c r="AY180" s="1933"/>
    </row>
    <row r="181" spans="51:51" x14ac:dyDescent="0.35">
      <c r="AY181" s="1933"/>
    </row>
    <row r="182" spans="51:51" x14ac:dyDescent="0.35">
      <c r="AY182" s="1933"/>
    </row>
    <row r="183" spans="51:51" x14ac:dyDescent="0.35">
      <c r="AY183" s="1933"/>
    </row>
    <row r="184" spans="51:51" x14ac:dyDescent="0.35">
      <c r="AY184" s="1933"/>
    </row>
    <row r="185" spans="51:51" x14ac:dyDescent="0.35">
      <c r="AY185" s="1933"/>
    </row>
    <row r="186" spans="51:51" x14ac:dyDescent="0.35">
      <c r="AY186" s="1933"/>
    </row>
    <row r="187" spans="51:51" x14ac:dyDescent="0.35">
      <c r="AY187" s="1933"/>
    </row>
    <row r="188" spans="51:51" x14ac:dyDescent="0.35">
      <c r="AY188" s="1933"/>
    </row>
    <row r="189" spans="51:51" x14ac:dyDescent="0.35">
      <c r="AY189" s="1933"/>
    </row>
    <row r="190" spans="51:51" x14ac:dyDescent="0.35">
      <c r="AY190" s="1933"/>
    </row>
    <row r="191" spans="51:51" x14ac:dyDescent="0.35">
      <c r="AY191" s="1933"/>
    </row>
    <row r="192" spans="51:51" x14ac:dyDescent="0.35">
      <c r="AY192" s="1933"/>
    </row>
    <row r="193" spans="51:51" x14ac:dyDescent="0.35">
      <c r="AY193" s="1933"/>
    </row>
    <row r="194" spans="51:51" x14ac:dyDescent="0.35">
      <c r="AY194" s="1933"/>
    </row>
    <row r="195" spans="51:51" x14ac:dyDescent="0.35">
      <c r="AY195" s="1933"/>
    </row>
    <row r="196" spans="51:51" x14ac:dyDescent="0.35">
      <c r="AY196" s="1933"/>
    </row>
    <row r="197" spans="51:51" x14ac:dyDescent="0.35">
      <c r="AY197" s="1933"/>
    </row>
    <row r="198" spans="51:51" x14ac:dyDescent="0.35">
      <c r="AY198" s="1933"/>
    </row>
    <row r="199" spans="51:51" x14ac:dyDescent="0.35">
      <c r="AY199" s="1933"/>
    </row>
    <row r="200" spans="51:51" x14ac:dyDescent="0.35">
      <c r="AY200" s="1933"/>
    </row>
    <row r="201" spans="51:51" x14ac:dyDescent="0.35">
      <c r="AY201" s="1933"/>
    </row>
    <row r="202" spans="51:51" x14ac:dyDescent="0.35">
      <c r="AY202" s="1933"/>
    </row>
    <row r="203" spans="51:51" x14ac:dyDescent="0.35">
      <c r="AY203" s="1933"/>
    </row>
    <row r="204" spans="51:51" x14ac:dyDescent="0.35">
      <c r="AY204" s="1933"/>
    </row>
    <row r="205" spans="51:51" x14ac:dyDescent="0.35">
      <c r="AY205" s="1933"/>
    </row>
    <row r="206" spans="51:51" x14ac:dyDescent="0.35">
      <c r="AY206" s="1933"/>
    </row>
    <row r="207" spans="51:51" x14ac:dyDescent="0.35">
      <c r="AY207" s="1933"/>
    </row>
    <row r="208" spans="51:51" x14ac:dyDescent="0.35">
      <c r="AY208" s="1933"/>
    </row>
    <row r="209" spans="51:51" x14ac:dyDescent="0.35">
      <c r="AY209" s="1933"/>
    </row>
    <row r="210" spans="51:51" x14ac:dyDescent="0.35">
      <c r="AY210" s="1933"/>
    </row>
    <row r="211" spans="51:51" x14ac:dyDescent="0.35">
      <c r="AY211" s="1933"/>
    </row>
    <row r="212" spans="51:51" x14ac:dyDescent="0.35">
      <c r="AY212" s="1933"/>
    </row>
    <row r="213" spans="51:51" x14ac:dyDescent="0.35">
      <c r="AY213" s="1933"/>
    </row>
    <row r="214" spans="51:51" x14ac:dyDescent="0.35">
      <c r="AY214" s="1933"/>
    </row>
    <row r="215" spans="51:51" x14ac:dyDescent="0.35">
      <c r="AY215" s="1933"/>
    </row>
    <row r="216" spans="51:51" x14ac:dyDescent="0.35">
      <c r="AY216" s="1933"/>
    </row>
    <row r="217" spans="51:51" x14ac:dyDescent="0.35">
      <c r="AY217" s="1933"/>
    </row>
    <row r="218" spans="51:51" x14ac:dyDescent="0.35">
      <c r="AY218" s="1933"/>
    </row>
    <row r="219" spans="51:51" x14ac:dyDescent="0.35">
      <c r="AY219" s="1933"/>
    </row>
    <row r="220" spans="51:51" x14ac:dyDescent="0.35">
      <c r="AY220" s="1933"/>
    </row>
    <row r="221" spans="51:51" x14ac:dyDescent="0.35">
      <c r="AY221" s="1933"/>
    </row>
    <row r="222" spans="51:51" x14ac:dyDescent="0.35">
      <c r="AY222" s="1933"/>
    </row>
    <row r="223" spans="51:51" x14ac:dyDescent="0.35">
      <c r="AY223" s="1933"/>
    </row>
    <row r="224" spans="51:51" x14ac:dyDescent="0.35">
      <c r="AY224" s="1933"/>
    </row>
    <row r="225" spans="51:51" x14ac:dyDescent="0.35">
      <c r="AY225" s="1933"/>
    </row>
    <row r="226" spans="51:51" x14ac:dyDescent="0.35">
      <c r="AY226" s="1933"/>
    </row>
    <row r="227" spans="51:51" x14ac:dyDescent="0.35">
      <c r="AY227" s="1933"/>
    </row>
    <row r="228" spans="51:51" x14ac:dyDescent="0.35">
      <c r="AY228" s="1933"/>
    </row>
    <row r="229" spans="51:51" x14ac:dyDescent="0.35">
      <c r="AY229" s="1933"/>
    </row>
    <row r="230" spans="51:51" x14ac:dyDescent="0.35">
      <c r="AY230" s="1933"/>
    </row>
    <row r="231" spans="51:51" x14ac:dyDescent="0.35">
      <c r="AY231" s="1933"/>
    </row>
    <row r="232" spans="51:51" x14ac:dyDescent="0.35">
      <c r="AY232" s="1933"/>
    </row>
    <row r="233" spans="51:51" x14ac:dyDescent="0.35">
      <c r="AY233" s="1933"/>
    </row>
    <row r="234" spans="51:51" x14ac:dyDescent="0.35">
      <c r="AY234" s="1933"/>
    </row>
    <row r="235" spans="51:51" x14ac:dyDescent="0.35">
      <c r="AY235" s="1933"/>
    </row>
    <row r="236" spans="51:51" x14ac:dyDescent="0.35">
      <c r="AY236" s="1933"/>
    </row>
    <row r="237" spans="51:51" x14ac:dyDescent="0.35">
      <c r="AY237" s="1933"/>
    </row>
    <row r="238" spans="51:51" x14ac:dyDescent="0.35">
      <c r="AY238" s="1933"/>
    </row>
    <row r="239" spans="51:51" x14ac:dyDescent="0.35">
      <c r="AY239" s="1933"/>
    </row>
    <row r="240" spans="51:51" x14ac:dyDescent="0.35">
      <c r="AY240" s="1933"/>
    </row>
    <row r="241" spans="51:51" x14ac:dyDescent="0.35">
      <c r="AY241" s="1933"/>
    </row>
    <row r="242" spans="51:51" x14ac:dyDescent="0.35">
      <c r="AY242" s="1933"/>
    </row>
    <row r="243" spans="51:51" x14ac:dyDescent="0.35">
      <c r="AY243" s="1933"/>
    </row>
    <row r="244" spans="51:51" x14ac:dyDescent="0.35">
      <c r="AY244" s="1933"/>
    </row>
    <row r="245" spans="51:51" x14ac:dyDescent="0.35">
      <c r="AY245" s="1933"/>
    </row>
    <row r="246" spans="51:51" x14ac:dyDescent="0.35">
      <c r="AY246" s="1933"/>
    </row>
    <row r="247" spans="51:51" x14ac:dyDescent="0.35">
      <c r="AY247" s="1933"/>
    </row>
    <row r="248" spans="51:51" x14ac:dyDescent="0.35">
      <c r="AY248" s="1933"/>
    </row>
    <row r="249" spans="51:51" x14ac:dyDescent="0.35">
      <c r="AY249" s="1933"/>
    </row>
    <row r="250" spans="51:51" x14ac:dyDescent="0.35">
      <c r="AY250" s="1933"/>
    </row>
    <row r="251" spans="51:51" x14ac:dyDescent="0.35">
      <c r="AY251" s="1933"/>
    </row>
    <row r="252" spans="51:51" x14ac:dyDescent="0.35">
      <c r="AY252" s="1933"/>
    </row>
    <row r="253" spans="51:51" x14ac:dyDescent="0.35">
      <c r="AY253" s="1933"/>
    </row>
    <row r="254" spans="51:51" x14ac:dyDescent="0.35">
      <c r="AY254" s="1933"/>
    </row>
    <row r="255" spans="51:51" x14ac:dyDescent="0.35">
      <c r="AY255" s="1933"/>
    </row>
    <row r="256" spans="51:51" x14ac:dyDescent="0.35">
      <c r="AY256" s="1933"/>
    </row>
    <row r="257" spans="51:51" x14ac:dyDescent="0.35">
      <c r="AY257" s="1933"/>
    </row>
    <row r="258" spans="51:51" x14ac:dyDescent="0.35">
      <c r="AY258" s="1933"/>
    </row>
    <row r="259" spans="51:51" x14ac:dyDescent="0.35">
      <c r="AY259" s="1933"/>
    </row>
    <row r="260" spans="51:51" x14ac:dyDescent="0.35">
      <c r="AY260" s="1933"/>
    </row>
    <row r="261" spans="51:51" x14ac:dyDescent="0.35">
      <c r="AY261" s="1933"/>
    </row>
    <row r="262" spans="51:51" x14ac:dyDescent="0.35">
      <c r="AY262" s="1933"/>
    </row>
    <row r="263" spans="51:51" x14ac:dyDescent="0.35">
      <c r="AY263" s="1933"/>
    </row>
    <row r="264" spans="51:51" x14ac:dyDescent="0.35">
      <c r="AY264" s="1933"/>
    </row>
    <row r="265" spans="51:51" x14ac:dyDescent="0.35">
      <c r="AY265" s="1933"/>
    </row>
    <row r="266" spans="51:51" x14ac:dyDescent="0.35">
      <c r="AY266" s="1933"/>
    </row>
    <row r="267" spans="51:51" x14ac:dyDescent="0.35">
      <c r="AY267" s="1933"/>
    </row>
    <row r="268" spans="51:51" x14ac:dyDescent="0.35">
      <c r="AY268" s="1933"/>
    </row>
    <row r="269" spans="51:51" x14ac:dyDescent="0.35">
      <c r="AY269" s="1933"/>
    </row>
    <row r="270" spans="51:51" x14ac:dyDescent="0.35">
      <c r="AY270" s="1933"/>
    </row>
    <row r="271" spans="51:51" x14ac:dyDescent="0.35">
      <c r="AY271" s="1933"/>
    </row>
    <row r="272" spans="51:51" x14ac:dyDescent="0.35">
      <c r="AY272" s="1933"/>
    </row>
    <row r="273" spans="51:51" x14ac:dyDescent="0.35">
      <c r="AY273" s="1933"/>
    </row>
    <row r="274" spans="51:51" x14ac:dyDescent="0.35">
      <c r="AY274" s="1933"/>
    </row>
    <row r="275" spans="51:51" x14ac:dyDescent="0.35">
      <c r="AY275" s="1933"/>
    </row>
    <row r="276" spans="51:51" x14ac:dyDescent="0.35">
      <c r="AY276" s="1933"/>
    </row>
    <row r="277" spans="51:51" x14ac:dyDescent="0.35">
      <c r="AY277" s="1933"/>
    </row>
    <row r="278" spans="51:51" x14ac:dyDescent="0.35">
      <c r="AY278" s="1933"/>
    </row>
    <row r="279" spans="51:51" x14ac:dyDescent="0.35">
      <c r="AY279" s="1933"/>
    </row>
    <row r="280" spans="51:51" x14ac:dyDescent="0.35">
      <c r="AY280" s="1933"/>
    </row>
    <row r="281" spans="51:51" x14ac:dyDescent="0.35">
      <c r="AY281" s="1933"/>
    </row>
    <row r="282" spans="51:51" x14ac:dyDescent="0.35">
      <c r="AY282" s="1933"/>
    </row>
    <row r="283" spans="51:51" x14ac:dyDescent="0.35">
      <c r="AY283" s="1933"/>
    </row>
    <row r="284" spans="51:51" x14ac:dyDescent="0.35">
      <c r="AY284" s="1933"/>
    </row>
    <row r="285" spans="51:51" x14ac:dyDescent="0.35">
      <c r="AY285" s="1933"/>
    </row>
    <row r="286" spans="51:51" x14ac:dyDescent="0.35">
      <c r="AY286" s="1933"/>
    </row>
    <row r="287" spans="51:51" x14ac:dyDescent="0.35">
      <c r="AY287" s="1933"/>
    </row>
    <row r="288" spans="51:51" x14ac:dyDescent="0.35">
      <c r="AY288" s="1933"/>
    </row>
    <row r="289" spans="51:51" x14ac:dyDescent="0.35">
      <c r="AY289" s="1933"/>
    </row>
    <row r="290" spans="51:51" x14ac:dyDescent="0.35">
      <c r="AY290" s="1933"/>
    </row>
    <row r="291" spans="51:51" x14ac:dyDescent="0.35">
      <c r="AY291" s="1933"/>
    </row>
    <row r="292" spans="51:51" x14ac:dyDescent="0.35">
      <c r="AY292" s="1933"/>
    </row>
    <row r="293" spans="51:51" x14ac:dyDescent="0.35">
      <c r="AY293" s="1933"/>
    </row>
    <row r="294" spans="51:51" x14ac:dyDescent="0.35">
      <c r="AY294" s="1933"/>
    </row>
    <row r="295" spans="51:51" x14ac:dyDescent="0.35">
      <c r="AY295" s="1933"/>
    </row>
    <row r="296" spans="51:51" x14ac:dyDescent="0.35">
      <c r="AY296" s="1933"/>
    </row>
    <row r="297" spans="51:51" x14ac:dyDescent="0.35">
      <c r="AY297" s="1933"/>
    </row>
    <row r="298" spans="51:51" x14ac:dyDescent="0.35">
      <c r="AY298" s="1933"/>
    </row>
    <row r="299" spans="51:51" x14ac:dyDescent="0.35">
      <c r="AY299" s="1933"/>
    </row>
    <row r="300" spans="51:51" x14ac:dyDescent="0.35">
      <c r="AY300" s="1933"/>
    </row>
    <row r="301" spans="51:51" x14ac:dyDescent="0.35">
      <c r="AY301" s="1933"/>
    </row>
    <row r="302" spans="51:51" x14ac:dyDescent="0.35">
      <c r="AY302" s="1933"/>
    </row>
    <row r="303" spans="51:51" x14ac:dyDescent="0.35">
      <c r="AY303" s="1933"/>
    </row>
    <row r="304" spans="51:51" x14ac:dyDescent="0.35">
      <c r="AY304" s="1933"/>
    </row>
    <row r="305" spans="51:51" x14ac:dyDescent="0.35">
      <c r="AY305" s="1933"/>
    </row>
    <row r="306" spans="51:51" x14ac:dyDescent="0.35">
      <c r="AY306" s="1933"/>
    </row>
    <row r="307" spans="51:51" x14ac:dyDescent="0.35">
      <c r="AY307" s="1933"/>
    </row>
    <row r="308" spans="51:51" x14ac:dyDescent="0.35">
      <c r="AY308" s="1933"/>
    </row>
    <row r="309" spans="51:51" x14ac:dyDescent="0.35">
      <c r="AY309" s="1933"/>
    </row>
    <row r="310" spans="51:51" x14ac:dyDescent="0.35">
      <c r="AY310" s="1933"/>
    </row>
    <row r="311" spans="51:51" x14ac:dyDescent="0.35">
      <c r="AY311" s="1933"/>
    </row>
    <row r="312" spans="51:51" x14ac:dyDescent="0.35">
      <c r="AY312" s="1933"/>
    </row>
    <row r="313" spans="51:51" x14ac:dyDescent="0.35">
      <c r="AY313" s="1933"/>
    </row>
    <row r="314" spans="51:51" x14ac:dyDescent="0.35">
      <c r="AY314" s="1933"/>
    </row>
    <row r="315" spans="51:51" x14ac:dyDescent="0.35">
      <c r="AY315" s="1933"/>
    </row>
    <row r="316" spans="51:51" x14ac:dyDescent="0.35">
      <c r="AY316" s="1933"/>
    </row>
    <row r="317" spans="51:51" x14ac:dyDescent="0.35">
      <c r="AY317" s="1933"/>
    </row>
    <row r="318" spans="51:51" x14ac:dyDescent="0.35">
      <c r="AY318" s="1933"/>
    </row>
    <row r="319" spans="51:51" x14ac:dyDescent="0.35">
      <c r="AY319" s="1933"/>
    </row>
    <row r="320" spans="51:51" x14ac:dyDescent="0.35">
      <c r="AY320" s="1933"/>
    </row>
    <row r="321" spans="51:51" x14ac:dyDescent="0.35">
      <c r="AY321" s="1933"/>
    </row>
    <row r="322" spans="51:51" x14ac:dyDescent="0.35">
      <c r="AY322" s="1933"/>
    </row>
    <row r="323" spans="51:51" x14ac:dyDescent="0.35">
      <c r="AY323" s="1933"/>
    </row>
    <row r="324" spans="51:51" x14ac:dyDescent="0.35">
      <c r="AY324" s="1933"/>
    </row>
    <row r="325" spans="51:51" x14ac:dyDescent="0.35">
      <c r="AY325" s="1933"/>
    </row>
    <row r="326" spans="51:51" x14ac:dyDescent="0.35">
      <c r="AY326" s="1933"/>
    </row>
    <row r="327" spans="51:51" x14ac:dyDescent="0.35">
      <c r="AY327" s="1933"/>
    </row>
    <row r="328" spans="51:51" x14ac:dyDescent="0.35">
      <c r="AY328" s="1933"/>
    </row>
    <row r="329" spans="51:51" x14ac:dyDescent="0.35">
      <c r="AY329" s="1933"/>
    </row>
    <row r="330" spans="51:51" x14ac:dyDescent="0.35">
      <c r="AY330" s="1933"/>
    </row>
    <row r="331" spans="51:51" x14ac:dyDescent="0.35">
      <c r="AY331" s="1933"/>
    </row>
    <row r="332" spans="51:51" x14ac:dyDescent="0.35">
      <c r="AY332" s="1933"/>
    </row>
    <row r="333" spans="51:51" x14ac:dyDescent="0.35">
      <c r="AY333" s="1933"/>
    </row>
    <row r="334" spans="51:51" x14ac:dyDescent="0.35">
      <c r="AY334" s="1933"/>
    </row>
    <row r="335" spans="51:51" x14ac:dyDescent="0.35">
      <c r="AY335" s="1933"/>
    </row>
    <row r="336" spans="51:51" x14ac:dyDescent="0.35">
      <c r="AY336" s="1933"/>
    </row>
    <row r="337" spans="51:51" x14ac:dyDescent="0.35">
      <c r="AY337" s="1933"/>
    </row>
    <row r="338" spans="51:51" x14ac:dyDescent="0.35">
      <c r="AY338" s="1933"/>
    </row>
    <row r="339" spans="51:51" x14ac:dyDescent="0.35">
      <c r="AY339" s="1933"/>
    </row>
    <row r="340" spans="51:51" x14ac:dyDescent="0.35">
      <c r="AY340" s="1933"/>
    </row>
    <row r="341" spans="51:51" x14ac:dyDescent="0.35">
      <c r="AY341" s="1933"/>
    </row>
    <row r="342" spans="51:51" x14ac:dyDescent="0.35">
      <c r="AY342" s="1933"/>
    </row>
    <row r="343" spans="51:51" x14ac:dyDescent="0.35">
      <c r="AY343" s="1933"/>
    </row>
    <row r="344" spans="51:51" x14ac:dyDescent="0.35">
      <c r="AY344" s="1933"/>
    </row>
    <row r="345" spans="51:51" x14ac:dyDescent="0.35">
      <c r="AY345" s="1933"/>
    </row>
    <row r="346" spans="51:51" x14ac:dyDescent="0.35">
      <c r="AY346" s="1933"/>
    </row>
    <row r="347" spans="51:51" x14ac:dyDescent="0.35">
      <c r="AY347" s="1933"/>
    </row>
    <row r="348" spans="51:51" x14ac:dyDescent="0.35">
      <c r="AY348" s="1933"/>
    </row>
    <row r="349" spans="51:51" x14ac:dyDescent="0.35">
      <c r="AY349" s="1933"/>
    </row>
    <row r="350" spans="51:51" x14ac:dyDescent="0.35">
      <c r="AY350" s="1933"/>
    </row>
    <row r="351" spans="51:51" x14ac:dyDescent="0.35">
      <c r="AY351" s="1933"/>
    </row>
    <row r="352" spans="51:51" x14ac:dyDescent="0.35">
      <c r="AY352" s="1933"/>
    </row>
    <row r="353" spans="51:51" x14ac:dyDescent="0.35">
      <c r="AY353" s="1933"/>
    </row>
    <row r="354" spans="51:51" x14ac:dyDescent="0.35">
      <c r="AY354" s="1933"/>
    </row>
    <row r="355" spans="51:51" x14ac:dyDescent="0.35">
      <c r="AY355" s="1933"/>
    </row>
    <row r="356" spans="51:51" x14ac:dyDescent="0.35">
      <c r="AY356" s="1933"/>
    </row>
  </sheetData>
  <autoFilter ref="A12:BQ72" xr:uid="{00000000-0009-0000-0000-000011000000}"/>
  <mergeCells count="5">
    <mergeCell ref="B99:E99"/>
    <mergeCell ref="Q79:S79"/>
    <mergeCell ref="C82:E82"/>
    <mergeCell ref="B83:K83"/>
    <mergeCell ref="B93:K93"/>
  </mergeCells>
  <conditionalFormatting sqref="AB14:AW72">
    <cfRule type="cellIs" dxfId="15" priority="1" operator="equal">
      <formula>0.000001</formula>
    </cfRule>
  </conditionalFormatting>
  <dataValidations count="3">
    <dataValidation type="list" allowBlank="1" showInputMessage="1" showErrorMessage="1" sqref="B21:B72 A14:B20 A21" xr:uid="{00000000-0002-0000-1100-000000000000}">
      <formula1>$B$84:$B$97</formula1>
    </dataValidation>
    <dataValidation type="list" allowBlank="1" showInputMessage="1" showErrorMessage="1" sqref="B73:B76" xr:uid="{00000000-0002-0000-1100-000002000000}">
      <formula1>$B$84:$B$93</formula1>
    </dataValidation>
    <dataValidation type="list" allowBlank="1" showInputMessage="1" showErrorMessage="1" sqref="B80" xr:uid="{7293DCFF-2D1B-4078-BC7A-A38266224DCA}">
      <formula1>$R$81:$U$81</formula1>
    </dataValidation>
  </dataValidations>
  <pageMargins left="0.5" right="0.5" top="1" bottom="1" header="0.5" footer="0.5"/>
  <pageSetup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16833" r:id="rId4" name="Button 1">
              <controlPr defaultSize="0" print="0" autoFill="0" autoPict="0" macro="[0]!MatchAndCopyExtData">
                <anchor moveWithCells="1" sizeWithCells="1">
                  <from>
                    <xdr:col>4</xdr:col>
                    <xdr:colOff>426720</xdr:colOff>
                    <xdr:row>1</xdr:row>
                    <xdr:rowOff>60960</xdr:rowOff>
                  </from>
                  <to>
                    <xdr:col>6</xdr:col>
                    <xdr:colOff>83820</xdr:colOff>
                    <xdr:row>3</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FFFF00"/>
  </sheetPr>
  <dimension ref="A1:AH132"/>
  <sheetViews>
    <sheetView workbookViewId="0"/>
  </sheetViews>
  <sheetFormatPr defaultRowHeight="13.2" outlineLevelCol="1" x14ac:dyDescent="0.25"/>
  <cols>
    <col min="1" max="1" width="15.33203125" style="235" bestFit="1" customWidth="1"/>
    <col min="2" max="4" width="11.6640625" style="235" customWidth="1"/>
    <col min="5" max="5" width="8.88671875" style="235" customWidth="1"/>
    <col min="6" max="8" width="8.6640625" style="235" customWidth="1"/>
    <col min="9" max="9" width="10.6640625" style="235" hidden="1" customWidth="1"/>
    <col min="10" max="11" width="10.6640625" style="235" customWidth="1"/>
    <col min="12" max="12" width="11" style="235" customWidth="1" outlineLevel="1"/>
    <col min="13" max="13" width="9" style="235" customWidth="1" outlineLevel="1"/>
    <col min="14" max="15" width="9.6640625" style="235" customWidth="1" outlineLevel="1"/>
    <col min="16" max="17" width="9.6640625" style="235" customWidth="1"/>
    <col min="18" max="19" width="12.5546875" style="235" hidden="1" customWidth="1" outlineLevel="1"/>
    <col min="20" max="20" width="12.5546875" style="235" customWidth="1" collapsed="1"/>
    <col min="21" max="21" width="8.6640625" style="235" customWidth="1"/>
    <col min="22" max="22" width="12.5546875" style="235" customWidth="1"/>
    <col min="23" max="26" width="8.6640625" style="235" customWidth="1"/>
    <col min="27" max="29" width="9.6640625" style="235" customWidth="1"/>
    <col min="30" max="30" width="10.6640625" style="235" customWidth="1"/>
    <col min="31" max="32" width="0" style="235" hidden="1" customWidth="1"/>
    <col min="33" max="33" width="11" style="235" hidden="1" customWidth="1"/>
    <col min="34" max="34" width="22.5546875" style="235" hidden="1" customWidth="1"/>
    <col min="35" max="39" width="0" style="235" hidden="1" customWidth="1"/>
    <col min="40" max="271" width="9.109375" style="235"/>
    <col min="272" max="272" width="13.109375" style="235" customWidth="1"/>
    <col min="273" max="273" width="18.6640625" style="235" customWidth="1"/>
    <col min="274" max="274" width="8.33203125" style="235" customWidth="1"/>
    <col min="275" max="275" width="8.44140625" style="235" customWidth="1"/>
    <col min="276" max="276" width="7.5546875" style="235" customWidth="1"/>
    <col min="277" max="277" width="9.33203125" style="235" customWidth="1"/>
    <col min="278" max="278" width="12.109375" style="235" customWidth="1"/>
    <col min="279" max="279" width="9.109375" style="235"/>
    <col min="280" max="280" width="12.88671875" style="235" customWidth="1"/>
    <col min="281" max="281" width="9.109375" style="235"/>
    <col min="282" max="282" width="16.6640625" style="235" customWidth="1"/>
    <col min="283" max="283" width="9.109375" style="235"/>
    <col min="284" max="284" width="11.109375" style="235" customWidth="1"/>
    <col min="285" max="527" width="9.109375" style="235"/>
    <col min="528" max="528" width="13.109375" style="235" customWidth="1"/>
    <col min="529" max="529" width="18.6640625" style="235" customWidth="1"/>
    <col min="530" max="530" width="8.33203125" style="235" customWidth="1"/>
    <col min="531" max="531" width="8.44140625" style="235" customWidth="1"/>
    <col min="532" max="532" width="7.5546875" style="235" customWidth="1"/>
    <col min="533" max="533" width="9.33203125" style="235" customWidth="1"/>
    <col min="534" max="534" width="12.109375" style="235" customWidth="1"/>
    <col min="535" max="535" width="9.109375" style="235"/>
    <col min="536" max="536" width="12.88671875" style="235" customWidth="1"/>
    <col min="537" max="537" width="9.109375" style="235"/>
    <col min="538" max="538" width="16.6640625" style="235" customWidth="1"/>
    <col min="539" max="539" width="9.109375" style="235"/>
    <col min="540" max="540" width="11.109375" style="235" customWidth="1"/>
    <col min="541" max="783" width="9.109375" style="235"/>
    <col min="784" max="784" width="13.109375" style="235" customWidth="1"/>
    <col min="785" max="785" width="18.6640625" style="235" customWidth="1"/>
    <col min="786" max="786" width="8.33203125" style="235" customWidth="1"/>
    <col min="787" max="787" width="8.44140625" style="235" customWidth="1"/>
    <col min="788" max="788" width="7.5546875" style="235" customWidth="1"/>
    <col min="789" max="789" width="9.33203125" style="235" customWidth="1"/>
    <col min="790" max="790" width="12.109375" style="235" customWidth="1"/>
    <col min="791" max="791" width="9.109375" style="235"/>
    <col min="792" max="792" width="12.88671875" style="235" customWidth="1"/>
    <col min="793" max="793" width="9.109375" style="235"/>
    <col min="794" max="794" width="16.6640625" style="235" customWidth="1"/>
    <col min="795" max="795" width="9.109375" style="235"/>
    <col min="796" max="796" width="11.109375" style="235" customWidth="1"/>
    <col min="797" max="1039" width="9.109375" style="235"/>
    <col min="1040" max="1040" width="13.109375" style="235" customWidth="1"/>
    <col min="1041" max="1041" width="18.6640625" style="235" customWidth="1"/>
    <col min="1042" max="1042" width="8.33203125" style="235" customWidth="1"/>
    <col min="1043" max="1043" width="8.44140625" style="235" customWidth="1"/>
    <col min="1044" max="1044" width="7.5546875" style="235" customWidth="1"/>
    <col min="1045" max="1045" width="9.33203125" style="235" customWidth="1"/>
    <col min="1046" max="1046" width="12.109375" style="235" customWidth="1"/>
    <col min="1047" max="1047" width="9.109375" style="235"/>
    <col min="1048" max="1048" width="12.88671875" style="235" customWidth="1"/>
    <col min="1049" max="1049" width="9.109375" style="235"/>
    <col min="1050" max="1050" width="16.6640625" style="235" customWidth="1"/>
    <col min="1051" max="1051" width="9.109375" style="235"/>
    <col min="1052" max="1052" width="11.109375" style="235" customWidth="1"/>
    <col min="1053" max="1295" width="9.109375" style="235"/>
    <col min="1296" max="1296" width="13.109375" style="235" customWidth="1"/>
    <col min="1297" max="1297" width="18.6640625" style="235" customWidth="1"/>
    <col min="1298" max="1298" width="8.33203125" style="235" customWidth="1"/>
    <col min="1299" max="1299" width="8.44140625" style="235" customWidth="1"/>
    <col min="1300" max="1300" width="7.5546875" style="235" customWidth="1"/>
    <col min="1301" max="1301" width="9.33203125" style="235" customWidth="1"/>
    <col min="1302" max="1302" width="12.109375" style="235" customWidth="1"/>
    <col min="1303" max="1303" width="9.109375" style="235"/>
    <col min="1304" max="1304" width="12.88671875" style="235" customWidth="1"/>
    <col min="1305" max="1305" width="9.109375" style="235"/>
    <col min="1306" max="1306" width="16.6640625" style="235" customWidth="1"/>
    <col min="1307" max="1307" width="9.109375" style="235"/>
    <col min="1308" max="1308" width="11.109375" style="235" customWidth="1"/>
    <col min="1309" max="1551" width="9.109375" style="235"/>
    <col min="1552" max="1552" width="13.109375" style="235" customWidth="1"/>
    <col min="1553" max="1553" width="18.6640625" style="235" customWidth="1"/>
    <col min="1554" max="1554" width="8.33203125" style="235" customWidth="1"/>
    <col min="1555" max="1555" width="8.44140625" style="235" customWidth="1"/>
    <col min="1556" max="1556" width="7.5546875" style="235" customWidth="1"/>
    <col min="1557" max="1557" width="9.33203125" style="235" customWidth="1"/>
    <col min="1558" max="1558" width="12.109375" style="235" customWidth="1"/>
    <col min="1559" max="1559" width="9.109375" style="235"/>
    <col min="1560" max="1560" width="12.88671875" style="235" customWidth="1"/>
    <col min="1561" max="1561" width="9.109375" style="235"/>
    <col min="1562" max="1562" width="16.6640625" style="235" customWidth="1"/>
    <col min="1563" max="1563" width="9.109375" style="235"/>
    <col min="1564" max="1564" width="11.109375" style="235" customWidth="1"/>
    <col min="1565" max="1807" width="9.109375" style="235"/>
    <col min="1808" max="1808" width="13.109375" style="235" customWidth="1"/>
    <col min="1809" max="1809" width="18.6640625" style="235" customWidth="1"/>
    <col min="1810" max="1810" width="8.33203125" style="235" customWidth="1"/>
    <col min="1811" max="1811" width="8.44140625" style="235" customWidth="1"/>
    <col min="1812" max="1812" width="7.5546875" style="235" customWidth="1"/>
    <col min="1813" max="1813" width="9.33203125" style="235" customWidth="1"/>
    <col min="1814" max="1814" width="12.109375" style="235" customWidth="1"/>
    <col min="1815" max="1815" width="9.109375" style="235"/>
    <col min="1816" max="1816" width="12.88671875" style="235" customWidth="1"/>
    <col min="1817" max="1817" width="9.109375" style="235"/>
    <col min="1818" max="1818" width="16.6640625" style="235" customWidth="1"/>
    <col min="1819" max="1819" width="9.109375" style="235"/>
    <col min="1820" max="1820" width="11.109375" style="235" customWidth="1"/>
    <col min="1821" max="2063" width="9.109375" style="235"/>
    <col min="2064" max="2064" width="13.109375" style="235" customWidth="1"/>
    <col min="2065" max="2065" width="18.6640625" style="235" customWidth="1"/>
    <col min="2066" max="2066" width="8.33203125" style="235" customWidth="1"/>
    <col min="2067" max="2067" width="8.44140625" style="235" customWidth="1"/>
    <col min="2068" max="2068" width="7.5546875" style="235" customWidth="1"/>
    <col min="2069" max="2069" width="9.33203125" style="235" customWidth="1"/>
    <col min="2070" max="2070" width="12.109375" style="235" customWidth="1"/>
    <col min="2071" max="2071" width="9.109375" style="235"/>
    <col min="2072" max="2072" width="12.88671875" style="235" customWidth="1"/>
    <col min="2073" max="2073" width="9.109375" style="235"/>
    <col min="2074" max="2074" width="16.6640625" style="235" customWidth="1"/>
    <col min="2075" max="2075" width="9.109375" style="235"/>
    <col min="2076" max="2076" width="11.109375" style="235" customWidth="1"/>
    <col min="2077" max="2319" width="9.109375" style="235"/>
    <col min="2320" max="2320" width="13.109375" style="235" customWidth="1"/>
    <col min="2321" max="2321" width="18.6640625" style="235" customWidth="1"/>
    <col min="2322" max="2322" width="8.33203125" style="235" customWidth="1"/>
    <col min="2323" max="2323" width="8.44140625" style="235" customWidth="1"/>
    <col min="2324" max="2324" width="7.5546875" style="235" customWidth="1"/>
    <col min="2325" max="2325" width="9.33203125" style="235" customWidth="1"/>
    <col min="2326" max="2326" width="12.109375" style="235" customWidth="1"/>
    <col min="2327" max="2327" width="9.109375" style="235"/>
    <col min="2328" max="2328" width="12.88671875" style="235" customWidth="1"/>
    <col min="2329" max="2329" width="9.109375" style="235"/>
    <col min="2330" max="2330" width="16.6640625" style="235" customWidth="1"/>
    <col min="2331" max="2331" width="9.109375" style="235"/>
    <col min="2332" max="2332" width="11.109375" style="235" customWidth="1"/>
    <col min="2333" max="2575" width="9.109375" style="235"/>
    <col min="2576" max="2576" width="13.109375" style="235" customWidth="1"/>
    <col min="2577" max="2577" width="18.6640625" style="235" customWidth="1"/>
    <col min="2578" max="2578" width="8.33203125" style="235" customWidth="1"/>
    <col min="2579" max="2579" width="8.44140625" style="235" customWidth="1"/>
    <col min="2580" max="2580" width="7.5546875" style="235" customWidth="1"/>
    <col min="2581" max="2581" width="9.33203125" style="235" customWidth="1"/>
    <col min="2582" max="2582" width="12.109375" style="235" customWidth="1"/>
    <col min="2583" max="2583" width="9.109375" style="235"/>
    <col min="2584" max="2584" width="12.88671875" style="235" customWidth="1"/>
    <col min="2585" max="2585" width="9.109375" style="235"/>
    <col min="2586" max="2586" width="16.6640625" style="235" customWidth="1"/>
    <col min="2587" max="2587" width="9.109375" style="235"/>
    <col min="2588" max="2588" width="11.109375" style="235" customWidth="1"/>
    <col min="2589" max="2831" width="9.109375" style="235"/>
    <col min="2832" max="2832" width="13.109375" style="235" customWidth="1"/>
    <col min="2833" max="2833" width="18.6640625" style="235" customWidth="1"/>
    <col min="2834" max="2834" width="8.33203125" style="235" customWidth="1"/>
    <col min="2835" max="2835" width="8.44140625" style="235" customWidth="1"/>
    <col min="2836" max="2836" width="7.5546875" style="235" customWidth="1"/>
    <col min="2837" max="2837" width="9.33203125" style="235" customWidth="1"/>
    <col min="2838" max="2838" width="12.109375" style="235" customWidth="1"/>
    <col min="2839" max="2839" width="9.109375" style="235"/>
    <col min="2840" max="2840" width="12.88671875" style="235" customWidth="1"/>
    <col min="2841" max="2841" width="9.109375" style="235"/>
    <col min="2842" max="2842" width="16.6640625" style="235" customWidth="1"/>
    <col min="2843" max="2843" width="9.109375" style="235"/>
    <col min="2844" max="2844" width="11.109375" style="235" customWidth="1"/>
    <col min="2845" max="3087" width="9.109375" style="235"/>
    <col min="3088" max="3088" width="13.109375" style="235" customWidth="1"/>
    <col min="3089" max="3089" width="18.6640625" style="235" customWidth="1"/>
    <col min="3090" max="3090" width="8.33203125" style="235" customWidth="1"/>
    <col min="3091" max="3091" width="8.44140625" style="235" customWidth="1"/>
    <col min="3092" max="3092" width="7.5546875" style="235" customWidth="1"/>
    <col min="3093" max="3093" width="9.33203125" style="235" customWidth="1"/>
    <col min="3094" max="3094" width="12.109375" style="235" customWidth="1"/>
    <col min="3095" max="3095" width="9.109375" style="235"/>
    <col min="3096" max="3096" width="12.88671875" style="235" customWidth="1"/>
    <col min="3097" max="3097" width="9.109375" style="235"/>
    <col min="3098" max="3098" width="16.6640625" style="235" customWidth="1"/>
    <col min="3099" max="3099" width="9.109375" style="235"/>
    <col min="3100" max="3100" width="11.109375" style="235" customWidth="1"/>
    <col min="3101" max="3343" width="9.109375" style="235"/>
    <col min="3344" max="3344" width="13.109375" style="235" customWidth="1"/>
    <col min="3345" max="3345" width="18.6640625" style="235" customWidth="1"/>
    <col min="3346" max="3346" width="8.33203125" style="235" customWidth="1"/>
    <col min="3347" max="3347" width="8.44140625" style="235" customWidth="1"/>
    <col min="3348" max="3348" width="7.5546875" style="235" customWidth="1"/>
    <col min="3349" max="3349" width="9.33203125" style="235" customWidth="1"/>
    <col min="3350" max="3350" width="12.109375" style="235" customWidth="1"/>
    <col min="3351" max="3351" width="9.109375" style="235"/>
    <col min="3352" max="3352" width="12.88671875" style="235" customWidth="1"/>
    <col min="3353" max="3353" width="9.109375" style="235"/>
    <col min="3354" max="3354" width="16.6640625" style="235" customWidth="1"/>
    <col min="3355" max="3355" width="9.109375" style="235"/>
    <col min="3356" max="3356" width="11.109375" style="235" customWidth="1"/>
    <col min="3357" max="3599" width="9.109375" style="235"/>
    <col min="3600" max="3600" width="13.109375" style="235" customWidth="1"/>
    <col min="3601" max="3601" width="18.6640625" style="235" customWidth="1"/>
    <col min="3602" max="3602" width="8.33203125" style="235" customWidth="1"/>
    <col min="3603" max="3603" width="8.44140625" style="235" customWidth="1"/>
    <col min="3604" max="3604" width="7.5546875" style="235" customWidth="1"/>
    <col min="3605" max="3605" width="9.33203125" style="235" customWidth="1"/>
    <col min="3606" max="3606" width="12.109375" style="235" customWidth="1"/>
    <col min="3607" max="3607" width="9.109375" style="235"/>
    <col min="3608" max="3608" width="12.88671875" style="235" customWidth="1"/>
    <col min="3609" max="3609" width="9.109375" style="235"/>
    <col min="3610" max="3610" width="16.6640625" style="235" customWidth="1"/>
    <col min="3611" max="3611" width="9.109375" style="235"/>
    <col min="3612" max="3612" width="11.109375" style="235" customWidth="1"/>
    <col min="3613" max="3855" width="9.109375" style="235"/>
    <col min="3856" max="3856" width="13.109375" style="235" customWidth="1"/>
    <col min="3857" max="3857" width="18.6640625" style="235" customWidth="1"/>
    <col min="3858" max="3858" width="8.33203125" style="235" customWidth="1"/>
    <col min="3859" max="3859" width="8.44140625" style="235" customWidth="1"/>
    <col min="3860" max="3860" width="7.5546875" style="235" customWidth="1"/>
    <col min="3861" max="3861" width="9.33203125" style="235" customWidth="1"/>
    <col min="3862" max="3862" width="12.109375" style="235" customWidth="1"/>
    <col min="3863" max="3863" width="9.109375" style="235"/>
    <col min="3864" max="3864" width="12.88671875" style="235" customWidth="1"/>
    <col min="3865" max="3865" width="9.109375" style="235"/>
    <col min="3866" max="3866" width="16.6640625" style="235" customWidth="1"/>
    <col min="3867" max="3867" width="9.109375" style="235"/>
    <col min="3868" max="3868" width="11.109375" style="235" customWidth="1"/>
    <col min="3869" max="4111" width="9.109375" style="235"/>
    <col min="4112" max="4112" width="13.109375" style="235" customWidth="1"/>
    <col min="4113" max="4113" width="18.6640625" style="235" customWidth="1"/>
    <col min="4114" max="4114" width="8.33203125" style="235" customWidth="1"/>
    <col min="4115" max="4115" width="8.44140625" style="235" customWidth="1"/>
    <col min="4116" max="4116" width="7.5546875" style="235" customWidth="1"/>
    <col min="4117" max="4117" width="9.33203125" style="235" customWidth="1"/>
    <col min="4118" max="4118" width="12.109375" style="235" customWidth="1"/>
    <col min="4119" max="4119" width="9.109375" style="235"/>
    <col min="4120" max="4120" width="12.88671875" style="235" customWidth="1"/>
    <col min="4121" max="4121" width="9.109375" style="235"/>
    <col min="4122" max="4122" width="16.6640625" style="235" customWidth="1"/>
    <col min="4123" max="4123" width="9.109375" style="235"/>
    <col min="4124" max="4124" width="11.109375" style="235" customWidth="1"/>
    <col min="4125" max="4367" width="9.109375" style="235"/>
    <col min="4368" max="4368" width="13.109375" style="235" customWidth="1"/>
    <col min="4369" max="4369" width="18.6640625" style="235" customWidth="1"/>
    <col min="4370" max="4370" width="8.33203125" style="235" customWidth="1"/>
    <col min="4371" max="4371" width="8.44140625" style="235" customWidth="1"/>
    <col min="4372" max="4372" width="7.5546875" style="235" customWidth="1"/>
    <col min="4373" max="4373" width="9.33203125" style="235" customWidth="1"/>
    <col min="4374" max="4374" width="12.109375" style="235" customWidth="1"/>
    <col min="4375" max="4375" width="9.109375" style="235"/>
    <col min="4376" max="4376" width="12.88671875" style="235" customWidth="1"/>
    <col min="4377" max="4377" width="9.109375" style="235"/>
    <col min="4378" max="4378" width="16.6640625" style="235" customWidth="1"/>
    <col min="4379" max="4379" width="9.109375" style="235"/>
    <col min="4380" max="4380" width="11.109375" style="235" customWidth="1"/>
    <col min="4381" max="4623" width="9.109375" style="235"/>
    <col min="4624" max="4624" width="13.109375" style="235" customWidth="1"/>
    <col min="4625" max="4625" width="18.6640625" style="235" customWidth="1"/>
    <col min="4626" max="4626" width="8.33203125" style="235" customWidth="1"/>
    <col min="4627" max="4627" width="8.44140625" style="235" customWidth="1"/>
    <col min="4628" max="4628" width="7.5546875" style="235" customWidth="1"/>
    <col min="4629" max="4629" width="9.33203125" style="235" customWidth="1"/>
    <col min="4630" max="4630" width="12.109375" style="235" customWidth="1"/>
    <col min="4631" max="4631" width="9.109375" style="235"/>
    <col min="4632" max="4632" width="12.88671875" style="235" customWidth="1"/>
    <col min="4633" max="4633" width="9.109375" style="235"/>
    <col min="4634" max="4634" width="16.6640625" style="235" customWidth="1"/>
    <col min="4635" max="4635" width="9.109375" style="235"/>
    <col min="4636" max="4636" width="11.109375" style="235" customWidth="1"/>
    <col min="4637" max="4879" width="9.109375" style="235"/>
    <col min="4880" max="4880" width="13.109375" style="235" customWidth="1"/>
    <col min="4881" max="4881" width="18.6640625" style="235" customWidth="1"/>
    <col min="4882" max="4882" width="8.33203125" style="235" customWidth="1"/>
    <col min="4883" max="4883" width="8.44140625" style="235" customWidth="1"/>
    <col min="4884" max="4884" width="7.5546875" style="235" customWidth="1"/>
    <col min="4885" max="4885" width="9.33203125" style="235" customWidth="1"/>
    <col min="4886" max="4886" width="12.109375" style="235" customWidth="1"/>
    <col min="4887" max="4887" width="9.109375" style="235"/>
    <col min="4888" max="4888" width="12.88671875" style="235" customWidth="1"/>
    <col min="4889" max="4889" width="9.109375" style="235"/>
    <col min="4890" max="4890" width="16.6640625" style="235" customWidth="1"/>
    <col min="4891" max="4891" width="9.109375" style="235"/>
    <col min="4892" max="4892" width="11.109375" style="235" customWidth="1"/>
    <col min="4893" max="5135" width="9.109375" style="235"/>
    <col min="5136" max="5136" width="13.109375" style="235" customWidth="1"/>
    <col min="5137" max="5137" width="18.6640625" style="235" customWidth="1"/>
    <col min="5138" max="5138" width="8.33203125" style="235" customWidth="1"/>
    <col min="5139" max="5139" width="8.44140625" style="235" customWidth="1"/>
    <col min="5140" max="5140" width="7.5546875" style="235" customWidth="1"/>
    <col min="5141" max="5141" width="9.33203125" style="235" customWidth="1"/>
    <col min="5142" max="5142" width="12.109375" style="235" customWidth="1"/>
    <col min="5143" max="5143" width="9.109375" style="235"/>
    <col min="5144" max="5144" width="12.88671875" style="235" customWidth="1"/>
    <col min="5145" max="5145" width="9.109375" style="235"/>
    <col min="5146" max="5146" width="16.6640625" style="235" customWidth="1"/>
    <col min="5147" max="5147" width="9.109375" style="235"/>
    <col min="5148" max="5148" width="11.109375" style="235" customWidth="1"/>
    <col min="5149" max="5391" width="9.109375" style="235"/>
    <col min="5392" max="5392" width="13.109375" style="235" customWidth="1"/>
    <col min="5393" max="5393" width="18.6640625" style="235" customWidth="1"/>
    <col min="5394" max="5394" width="8.33203125" style="235" customWidth="1"/>
    <col min="5395" max="5395" width="8.44140625" style="235" customWidth="1"/>
    <col min="5396" max="5396" width="7.5546875" style="235" customWidth="1"/>
    <col min="5397" max="5397" width="9.33203125" style="235" customWidth="1"/>
    <col min="5398" max="5398" width="12.109375" style="235" customWidth="1"/>
    <col min="5399" max="5399" width="9.109375" style="235"/>
    <col min="5400" max="5400" width="12.88671875" style="235" customWidth="1"/>
    <col min="5401" max="5401" width="9.109375" style="235"/>
    <col min="5402" max="5402" width="16.6640625" style="235" customWidth="1"/>
    <col min="5403" max="5403" width="9.109375" style="235"/>
    <col min="5404" max="5404" width="11.109375" style="235" customWidth="1"/>
    <col min="5405" max="5647" width="9.109375" style="235"/>
    <col min="5648" max="5648" width="13.109375" style="235" customWidth="1"/>
    <col min="5649" max="5649" width="18.6640625" style="235" customWidth="1"/>
    <col min="5650" max="5650" width="8.33203125" style="235" customWidth="1"/>
    <col min="5651" max="5651" width="8.44140625" style="235" customWidth="1"/>
    <col min="5652" max="5652" width="7.5546875" style="235" customWidth="1"/>
    <col min="5653" max="5653" width="9.33203125" style="235" customWidth="1"/>
    <col min="5654" max="5654" width="12.109375" style="235" customWidth="1"/>
    <col min="5655" max="5655" width="9.109375" style="235"/>
    <col min="5656" max="5656" width="12.88671875" style="235" customWidth="1"/>
    <col min="5657" max="5657" width="9.109375" style="235"/>
    <col min="5658" max="5658" width="16.6640625" style="235" customWidth="1"/>
    <col min="5659" max="5659" width="9.109375" style="235"/>
    <col min="5660" max="5660" width="11.109375" style="235" customWidth="1"/>
    <col min="5661" max="5903" width="9.109375" style="235"/>
    <col min="5904" max="5904" width="13.109375" style="235" customWidth="1"/>
    <col min="5905" max="5905" width="18.6640625" style="235" customWidth="1"/>
    <col min="5906" max="5906" width="8.33203125" style="235" customWidth="1"/>
    <col min="5907" max="5907" width="8.44140625" style="235" customWidth="1"/>
    <col min="5908" max="5908" width="7.5546875" style="235" customWidth="1"/>
    <col min="5909" max="5909" width="9.33203125" style="235" customWidth="1"/>
    <col min="5910" max="5910" width="12.109375" style="235" customWidth="1"/>
    <col min="5911" max="5911" width="9.109375" style="235"/>
    <col min="5912" max="5912" width="12.88671875" style="235" customWidth="1"/>
    <col min="5913" max="5913" width="9.109375" style="235"/>
    <col min="5914" max="5914" width="16.6640625" style="235" customWidth="1"/>
    <col min="5915" max="5915" width="9.109375" style="235"/>
    <col min="5916" max="5916" width="11.109375" style="235" customWidth="1"/>
    <col min="5917" max="6159" width="9.109375" style="235"/>
    <col min="6160" max="6160" width="13.109375" style="235" customWidth="1"/>
    <col min="6161" max="6161" width="18.6640625" style="235" customWidth="1"/>
    <col min="6162" max="6162" width="8.33203125" style="235" customWidth="1"/>
    <col min="6163" max="6163" width="8.44140625" style="235" customWidth="1"/>
    <col min="6164" max="6164" width="7.5546875" style="235" customWidth="1"/>
    <col min="6165" max="6165" width="9.33203125" style="235" customWidth="1"/>
    <col min="6166" max="6166" width="12.109375" style="235" customWidth="1"/>
    <col min="6167" max="6167" width="9.109375" style="235"/>
    <col min="6168" max="6168" width="12.88671875" style="235" customWidth="1"/>
    <col min="6169" max="6169" width="9.109375" style="235"/>
    <col min="6170" max="6170" width="16.6640625" style="235" customWidth="1"/>
    <col min="6171" max="6171" width="9.109375" style="235"/>
    <col min="6172" max="6172" width="11.109375" style="235" customWidth="1"/>
    <col min="6173" max="6415" width="9.109375" style="235"/>
    <col min="6416" max="6416" width="13.109375" style="235" customWidth="1"/>
    <col min="6417" max="6417" width="18.6640625" style="235" customWidth="1"/>
    <col min="6418" max="6418" width="8.33203125" style="235" customWidth="1"/>
    <col min="6419" max="6419" width="8.44140625" style="235" customWidth="1"/>
    <col min="6420" max="6420" width="7.5546875" style="235" customWidth="1"/>
    <col min="6421" max="6421" width="9.33203125" style="235" customWidth="1"/>
    <col min="6422" max="6422" width="12.109375" style="235" customWidth="1"/>
    <col min="6423" max="6423" width="9.109375" style="235"/>
    <col min="6424" max="6424" width="12.88671875" style="235" customWidth="1"/>
    <col min="6425" max="6425" width="9.109375" style="235"/>
    <col min="6426" max="6426" width="16.6640625" style="235" customWidth="1"/>
    <col min="6427" max="6427" width="9.109375" style="235"/>
    <col min="6428" max="6428" width="11.109375" style="235" customWidth="1"/>
    <col min="6429" max="6671" width="9.109375" style="235"/>
    <col min="6672" max="6672" width="13.109375" style="235" customWidth="1"/>
    <col min="6673" max="6673" width="18.6640625" style="235" customWidth="1"/>
    <col min="6674" max="6674" width="8.33203125" style="235" customWidth="1"/>
    <col min="6675" max="6675" width="8.44140625" style="235" customWidth="1"/>
    <col min="6676" max="6676" width="7.5546875" style="235" customWidth="1"/>
    <col min="6677" max="6677" width="9.33203125" style="235" customWidth="1"/>
    <col min="6678" max="6678" width="12.109375" style="235" customWidth="1"/>
    <col min="6679" max="6679" width="9.109375" style="235"/>
    <col min="6680" max="6680" width="12.88671875" style="235" customWidth="1"/>
    <col min="6681" max="6681" width="9.109375" style="235"/>
    <col min="6682" max="6682" width="16.6640625" style="235" customWidth="1"/>
    <col min="6683" max="6683" width="9.109375" style="235"/>
    <col min="6684" max="6684" width="11.109375" style="235" customWidth="1"/>
    <col min="6685" max="6927" width="9.109375" style="235"/>
    <col min="6928" max="6928" width="13.109375" style="235" customWidth="1"/>
    <col min="6929" max="6929" width="18.6640625" style="235" customWidth="1"/>
    <col min="6930" max="6930" width="8.33203125" style="235" customWidth="1"/>
    <col min="6931" max="6931" width="8.44140625" style="235" customWidth="1"/>
    <col min="6932" max="6932" width="7.5546875" style="235" customWidth="1"/>
    <col min="6933" max="6933" width="9.33203125" style="235" customWidth="1"/>
    <col min="6934" max="6934" width="12.109375" style="235" customWidth="1"/>
    <col min="6935" max="6935" width="9.109375" style="235"/>
    <col min="6936" max="6936" width="12.88671875" style="235" customWidth="1"/>
    <col min="6937" max="6937" width="9.109375" style="235"/>
    <col min="6938" max="6938" width="16.6640625" style="235" customWidth="1"/>
    <col min="6939" max="6939" width="9.109375" style="235"/>
    <col min="6940" max="6940" width="11.109375" style="235" customWidth="1"/>
    <col min="6941" max="7183" width="9.109375" style="235"/>
    <col min="7184" max="7184" width="13.109375" style="235" customWidth="1"/>
    <col min="7185" max="7185" width="18.6640625" style="235" customWidth="1"/>
    <col min="7186" max="7186" width="8.33203125" style="235" customWidth="1"/>
    <col min="7187" max="7187" width="8.44140625" style="235" customWidth="1"/>
    <col min="7188" max="7188" width="7.5546875" style="235" customWidth="1"/>
    <col min="7189" max="7189" width="9.33203125" style="235" customWidth="1"/>
    <col min="7190" max="7190" width="12.109375" style="235" customWidth="1"/>
    <col min="7191" max="7191" width="9.109375" style="235"/>
    <col min="7192" max="7192" width="12.88671875" style="235" customWidth="1"/>
    <col min="7193" max="7193" width="9.109375" style="235"/>
    <col min="7194" max="7194" width="16.6640625" style="235" customWidth="1"/>
    <col min="7195" max="7195" width="9.109375" style="235"/>
    <col min="7196" max="7196" width="11.109375" style="235" customWidth="1"/>
    <col min="7197" max="7439" width="9.109375" style="235"/>
    <col min="7440" max="7440" width="13.109375" style="235" customWidth="1"/>
    <col min="7441" max="7441" width="18.6640625" style="235" customWidth="1"/>
    <col min="7442" max="7442" width="8.33203125" style="235" customWidth="1"/>
    <col min="7443" max="7443" width="8.44140625" style="235" customWidth="1"/>
    <col min="7444" max="7444" width="7.5546875" style="235" customWidth="1"/>
    <col min="7445" max="7445" width="9.33203125" style="235" customWidth="1"/>
    <col min="7446" max="7446" width="12.109375" style="235" customWidth="1"/>
    <col min="7447" max="7447" width="9.109375" style="235"/>
    <col min="7448" max="7448" width="12.88671875" style="235" customWidth="1"/>
    <col min="7449" max="7449" width="9.109375" style="235"/>
    <col min="7450" max="7450" width="16.6640625" style="235" customWidth="1"/>
    <col min="7451" max="7451" width="9.109375" style="235"/>
    <col min="7452" max="7452" width="11.109375" style="235" customWidth="1"/>
    <col min="7453" max="7695" width="9.109375" style="235"/>
    <col min="7696" max="7696" width="13.109375" style="235" customWidth="1"/>
    <col min="7697" max="7697" width="18.6640625" style="235" customWidth="1"/>
    <col min="7698" max="7698" width="8.33203125" style="235" customWidth="1"/>
    <col min="7699" max="7699" width="8.44140625" style="235" customWidth="1"/>
    <col min="7700" max="7700" width="7.5546875" style="235" customWidth="1"/>
    <col min="7701" max="7701" width="9.33203125" style="235" customWidth="1"/>
    <col min="7702" max="7702" width="12.109375" style="235" customWidth="1"/>
    <col min="7703" max="7703" width="9.109375" style="235"/>
    <col min="7704" max="7704" width="12.88671875" style="235" customWidth="1"/>
    <col min="7705" max="7705" width="9.109375" style="235"/>
    <col min="7706" max="7706" width="16.6640625" style="235" customWidth="1"/>
    <col min="7707" max="7707" width="9.109375" style="235"/>
    <col min="7708" max="7708" width="11.109375" style="235" customWidth="1"/>
    <col min="7709" max="7951" width="9.109375" style="235"/>
    <col min="7952" max="7952" width="13.109375" style="235" customWidth="1"/>
    <col min="7953" max="7953" width="18.6640625" style="235" customWidth="1"/>
    <col min="7954" max="7954" width="8.33203125" style="235" customWidth="1"/>
    <col min="7955" max="7955" width="8.44140625" style="235" customWidth="1"/>
    <col min="7956" max="7956" width="7.5546875" style="235" customWidth="1"/>
    <col min="7957" max="7957" width="9.33203125" style="235" customWidth="1"/>
    <col min="7958" max="7958" width="12.109375" style="235" customWidth="1"/>
    <col min="7959" max="7959" width="9.109375" style="235"/>
    <col min="7960" max="7960" width="12.88671875" style="235" customWidth="1"/>
    <col min="7961" max="7961" width="9.109375" style="235"/>
    <col min="7962" max="7962" width="16.6640625" style="235" customWidth="1"/>
    <col min="7963" max="7963" width="9.109375" style="235"/>
    <col min="7964" max="7964" width="11.109375" style="235" customWidth="1"/>
    <col min="7965" max="8207" width="9.109375" style="235"/>
    <col min="8208" max="8208" width="13.109375" style="235" customWidth="1"/>
    <col min="8209" max="8209" width="18.6640625" style="235" customWidth="1"/>
    <col min="8210" max="8210" width="8.33203125" style="235" customWidth="1"/>
    <col min="8211" max="8211" width="8.44140625" style="235" customWidth="1"/>
    <col min="8212" max="8212" width="7.5546875" style="235" customWidth="1"/>
    <col min="8213" max="8213" width="9.33203125" style="235" customWidth="1"/>
    <col min="8214" max="8214" width="12.109375" style="235" customWidth="1"/>
    <col min="8215" max="8215" width="9.109375" style="235"/>
    <col min="8216" max="8216" width="12.88671875" style="235" customWidth="1"/>
    <col min="8217" max="8217" width="9.109375" style="235"/>
    <col min="8218" max="8218" width="16.6640625" style="235" customWidth="1"/>
    <col min="8219" max="8219" width="9.109375" style="235"/>
    <col min="8220" max="8220" width="11.109375" style="235" customWidth="1"/>
    <col min="8221" max="8463" width="9.109375" style="235"/>
    <col min="8464" max="8464" width="13.109375" style="235" customWidth="1"/>
    <col min="8465" max="8465" width="18.6640625" style="235" customWidth="1"/>
    <col min="8466" max="8466" width="8.33203125" style="235" customWidth="1"/>
    <col min="8467" max="8467" width="8.44140625" style="235" customWidth="1"/>
    <col min="8468" max="8468" width="7.5546875" style="235" customWidth="1"/>
    <col min="8469" max="8469" width="9.33203125" style="235" customWidth="1"/>
    <col min="8470" max="8470" width="12.109375" style="235" customWidth="1"/>
    <col min="8471" max="8471" width="9.109375" style="235"/>
    <col min="8472" max="8472" width="12.88671875" style="235" customWidth="1"/>
    <col min="8473" max="8473" width="9.109375" style="235"/>
    <col min="8474" max="8474" width="16.6640625" style="235" customWidth="1"/>
    <col min="8475" max="8475" width="9.109375" style="235"/>
    <col min="8476" max="8476" width="11.109375" style="235" customWidth="1"/>
    <col min="8477" max="8719" width="9.109375" style="235"/>
    <col min="8720" max="8720" width="13.109375" style="235" customWidth="1"/>
    <col min="8721" max="8721" width="18.6640625" style="235" customWidth="1"/>
    <col min="8722" max="8722" width="8.33203125" style="235" customWidth="1"/>
    <col min="8723" max="8723" width="8.44140625" style="235" customWidth="1"/>
    <col min="8724" max="8724" width="7.5546875" style="235" customWidth="1"/>
    <col min="8725" max="8725" width="9.33203125" style="235" customWidth="1"/>
    <col min="8726" max="8726" width="12.109375" style="235" customWidth="1"/>
    <col min="8727" max="8727" width="9.109375" style="235"/>
    <col min="8728" max="8728" width="12.88671875" style="235" customWidth="1"/>
    <col min="8729" max="8729" width="9.109375" style="235"/>
    <col min="8730" max="8730" width="16.6640625" style="235" customWidth="1"/>
    <col min="8731" max="8731" width="9.109375" style="235"/>
    <col min="8732" max="8732" width="11.109375" style="235" customWidth="1"/>
    <col min="8733" max="8975" width="9.109375" style="235"/>
    <col min="8976" max="8976" width="13.109375" style="235" customWidth="1"/>
    <col min="8977" max="8977" width="18.6640625" style="235" customWidth="1"/>
    <col min="8978" max="8978" width="8.33203125" style="235" customWidth="1"/>
    <col min="8979" max="8979" width="8.44140625" style="235" customWidth="1"/>
    <col min="8980" max="8980" width="7.5546875" style="235" customWidth="1"/>
    <col min="8981" max="8981" width="9.33203125" style="235" customWidth="1"/>
    <col min="8982" max="8982" width="12.109375" style="235" customWidth="1"/>
    <col min="8983" max="8983" width="9.109375" style="235"/>
    <col min="8984" max="8984" width="12.88671875" style="235" customWidth="1"/>
    <col min="8985" max="8985" width="9.109375" style="235"/>
    <col min="8986" max="8986" width="16.6640625" style="235" customWidth="1"/>
    <col min="8987" max="8987" width="9.109375" style="235"/>
    <col min="8988" max="8988" width="11.109375" style="235" customWidth="1"/>
    <col min="8989" max="9231" width="9.109375" style="235"/>
    <col min="9232" max="9232" width="13.109375" style="235" customWidth="1"/>
    <col min="9233" max="9233" width="18.6640625" style="235" customWidth="1"/>
    <col min="9234" max="9234" width="8.33203125" style="235" customWidth="1"/>
    <col min="9235" max="9235" width="8.44140625" style="235" customWidth="1"/>
    <col min="9236" max="9236" width="7.5546875" style="235" customWidth="1"/>
    <col min="9237" max="9237" width="9.33203125" style="235" customWidth="1"/>
    <col min="9238" max="9238" width="12.109375" style="235" customWidth="1"/>
    <col min="9239" max="9239" width="9.109375" style="235"/>
    <col min="9240" max="9240" width="12.88671875" style="235" customWidth="1"/>
    <col min="9241" max="9241" width="9.109375" style="235"/>
    <col min="9242" max="9242" width="16.6640625" style="235" customWidth="1"/>
    <col min="9243" max="9243" width="9.109375" style="235"/>
    <col min="9244" max="9244" width="11.109375" style="235" customWidth="1"/>
    <col min="9245" max="9487" width="9.109375" style="235"/>
    <col min="9488" max="9488" width="13.109375" style="235" customWidth="1"/>
    <col min="9489" max="9489" width="18.6640625" style="235" customWidth="1"/>
    <col min="9490" max="9490" width="8.33203125" style="235" customWidth="1"/>
    <col min="9491" max="9491" width="8.44140625" style="235" customWidth="1"/>
    <col min="9492" max="9492" width="7.5546875" style="235" customWidth="1"/>
    <col min="9493" max="9493" width="9.33203125" style="235" customWidth="1"/>
    <col min="9494" max="9494" width="12.109375" style="235" customWidth="1"/>
    <col min="9495" max="9495" width="9.109375" style="235"/>
    <col min="9496" max="9496" width="12.88671875" style="235" customWidth="1"/>
    <col min="9497" max="9497" width="9.109375" style="235"/>
    <col min="9498" max="9498" width="16.6640625" style="235" customWidth="1"/>
    <col min="9499" max="9499" width="9.109375" style="235"/>
    <col min="9500" max="9500" width="11.109375" style="235" customWidth="1"/>
    <col min="9501" max="9743" width="9.109375" style="235"/>
    <col min="9744" max="9744" width="13.109375" style="235" customWidth="1"/>
    <col min="9745" max="9745" width="18.6640625" style="235" customWidth="1"/>
    <col min="9746" max="9746" width="8.33203125" style="235" customWidth="1"/>
    <col min="9747" max="9747" width="8.44140625" style="235" customWidth="1"/>
    <col min="9748" max="9748" width="7.5546875" style="235" customWidth="1"/>
    <col min="9749" max="9749" width="9.33203125" style="235" customWidth="1"/>
    <col min="9750" max="9750" width="12.109375" style="235" customWidth="1"/>
    <col min="9751" max="9751" width="9.109375" style="235"/>
    <col min="9752" max="9752" width="12.88671875" style="235" customWidth="1"/>
    <col min="9753" max="9753" width="9.109375" style="235"/>
    <col min="9754" max="9754" width="16.6640625" style="235" customWidth="1"/>
    <col min="9755" max="9755" width="9.109375" style="235"/>
    <col min="9756" max="9756" width="11.109375" style="235" customWidth="1"/>
    <col min="9757" max="9999" width="9.109375" style="235"/>
    <col min="10000" max="10000" width="13.109375" style="235" customWidth="1"/>
    <col min="10001" max="10001" width="18.6640625" style="235" customWidth="1"/>
    <col min="10002" max="10002" width="8.33203125" style="235" customWidth="1"/>
    <col min="10003" max="10003" width="8.44140625" style="235" customWidth="1"/>
    <col min="10004" max="10004" width="7.5546875" style="235" customWidth="1"/>
    <col min="10005" max="10005" width="9.33203125" style="235" customWidth="1"/>
    <col min="10006" max="10006" width="12.109375" style="235" customWidth="1"/>
    <col min="10007" max="10007" width="9.109375" style="235"/>
    <col min="10008" max="10008" width="12.88671875" style="235" customWidth="1"/>
    <col min="10009" max="10009" width="9.109375" style="235"/>
    <col min="10010" max="10010" width="16.6640625" style="235" customWidth="1"/>
    <col min="10011" max="10011" width="9.109375" style="235"/>
    <col min="10012" max="10012" width="11.109375" style="235" customWidth="1"/>
    <col min="10013" max="10255" width="9.109375" style="235"/>
    <col min="10256" max="10256" width="13.109375" style="235" customWidth="1"/>
    <col min="10257" max="10257" width="18.6640625" style="235" customWidth="1"/>
    <col min="10258" max="10258" width="8.33203125" style="235" customWidth="1"/>
    <col min="10259" max="10259" width="8.44140625" style="235" customWidth="1"/>
    <col min="10260" max="10260" width="7.5546875" style="235" customWidth="1"/>
    <col min="10261" max="10261" width="9.33203125" style="235" customWidth="1"/>
    <col min="10262" max="10262" width="12.109375" style="235" customWidth="1"/>
    <col min="10263" max="10263" width="9.109375" style="235"/>
    <col min="10264" max="10264" width="12.88671875" style="235" customWidth="1"/>
    <col min="10265" max="10265" width="9.109375" style="235"/>
    <col min="10266" max="10266" width="16.6640625" style="235" customWidth="1"/>
    <col min="10267" max="10267" width="9.109375" style="235"/>
    <col min="10268" max="10268" width="11.109375" style="235" customWidth="1"/>
    <col min="10269" max="10511" width="9.109375" style="235"/>
    <col min="10512" max="10512" width="13.109375" style="235" customWidth="1"/>
    <col min="10513" max="10513" width="18.6640625" style="235" customWidth="1"/>
    <col min="10514" max="10514" width="8.33203125" style="235" customWidth="1"/>
    <col min="10515" max="10515" width="8.44140625" style="235" customWidth="1"/>
    <col min="10516" max="10516" width="7.5546875" style="235" customWidth="1"/>
    <col min="10517" max="10517" width="9.33203125" style="235" customWidth="1"/>
    <col min="10518" max="10518" width="12.109375" style="235" customWidth="1"/>
    <col min="10519" max="10519" width="9.109375" style="235"/>
    <col min="10520" max="10520" width="12.88671875" style="235" customWidth="1"/>
    <col min="10521" max="10521" width="9.109375" style="235"/>
    <col min="10522" max="10522" width="16.6640625" style="235" customWidth="1"/>
    <col min="10523" max="10523" width="9.109375" style="235"/>
    <col min="10524" max="10524" width="11.109375" style="235" customWidth="1"/>
    <col min="10525" max="10767" width="9.109375" style="235"/>
    <col min="10768" max="10768" width="13.109375" style="235" customWidth="1"/>
    <col min="10769" max="10769" width="18.6640625" style="235" customWidth="1"/>
    <col min="10770" max="10770" width="8.33203125" style="235" customWidth="1"/>
    <col min="10771" max="10771" width="8.44140625" style="235" customWidth="1"/>
    <col min="10772" max="10772" width="7.5546875" style="235" customWidth="1"/>
    <col min="10773" max="10773" width="9.33203125" style="235" customWidth="1"/>
    <col min="10774" max="10774" width="12.109375" style="235" customWidth="1"/>
    <col min="10775" max="10775" width="9.109375" style="235"/>
    <col min="10776" max="10776" width="12.88671875" style="235" customWidth="1"/>
    <col min="10777" max="10777" width="9.109375" style="235"/>
    <col min="10778" max="10778" width="16.6640625" style="235" customWidth="1"/>
    <col min="10779" max="10779" width="9.109375" style="235"/>
    <col min="10780" max="10780" width="11.109375" style="235" customWidth="1"/>
    <col min="10781" max="11023" width="9.109375" style="235"/>
    <col min="11024" max="11024" width="13.109375" style="235" customWidth="1"/>
    <col min="11025" max="11025" width="18.6640625" style="235" customWidth="1"/>
    <col min="11026" max="11026" width="8.33203125" style="235" customWidth="1"/>
    <col min="11027" max="11027" width="8.44140625" style="235" customWidth="1"/>
    <col min="11028" max="11028" width="7.5546875" style="235" customWidth="1"/>
    <col min="11029" max="11029" width="9.33203125" style="235" customWidth="1"/>
    <col min="11030" max="11030" width="12.109375" style="235" customWidth="1"/>
    <col min="11031" max="11031" width="9.109375" style="235"/>
    <col min="11032" max="11032" width="12.88671875" style="235" customWidth="1"/>
    <col min="11033" max="11033" width="9.109375" style="235"/>
    <col min="11034" max="11034" width="16.6640625" style="235" customWidth="1"/>
    <col min="11035" max="11035" width="9.109375" style="235"/>
    <col min="11036" max="11036" width="11.109375" style="235" customWidth="1"/>
    <col min="11037" max="11279" width="9.109375" style="235"/>
    <col min="11280" max="11280" width="13.109375" style="235" customWidth="1"/>
    <col min="11281" max="11281" width="18.6640625" style="235" customWidth="1"/>
    <col min="11282" max="11282" width="8.33203125" style="235" customWidth="1"/>
    <col min="11283" max="11283" width="8.44140625" style="235" customWidth="1"/>
    <col min="11284" max="11284" width="7.5546875" style="235" customWidth="1"/>
    <col min="11285" max="11285" width="9.33203125" style="235" customWidth="1"/>
    <col min="11286" max="11286" width="12.109375" style="235" customWidth="1"/>
    <col min="11287" max="11287" width="9.109375" style="235"/>
    <col min="11288" max="11288" width="12.88671875" style="235" customWidth="1"/>
    <col min="11289" max="11289" width="9.109375" style="235"/>
    <col min="11290" max="11290" width="16.6640625" style="235" customWidth="1"/>
    <col min="11291" max="11291" width="9.109375" style="235"/>
    <col min="11292" max="11292" width="11.109375" style="235" customWidth="1"/>
    <col min="11293" max="11535" width="9.109375" style="235"/>
    <col min="11536" max="11536" width="13.109375" style="235" customWidth="1"/>
    <col min="11537" max="11537" width="18.6640625" style="235" customWidth="1"/>
    <col min="11538" max="11538" width="8.33203125" style="235" customWidth="1"/>
    <col min="11539" max="11539" width="8.44140625" style="235" customWidth="1"/>
    <col min="11540" max="11540" width="7.5546875" style="235" customWidth="1"/>
    <col min="11541" max="11541" width="9.33203125" style="235" customWidth="1"/>
    <col min="11542" max="11542" width="12.109375" style="235" customWidth="1"/>
    <col min="11543" max="11543" width="9.109375" style="235"/>
    <col min="11544" max="11544" width="12.88671875" style="235" customWidth="1"/>
    <col min="11545" max="11545" width="9.109375" style="235"/>
    <col min="11546" max="11546" width="16.6640625" style="235" customWidth="1"/>
    <col min="11547" max="11547" width="9.109375" style="235"/>
    <col min="11548" max="11548" width="11.109375" style="235" customWidth="1"/>
    <col min="11549" max="11791" width="9.109375" style="235"/>
    <col min="11792" max="11792" width="13.109375" style="235" customWidth="1"/>
    <col min="11793" max="11793" width="18.6640625" style="235" customWidth="1"/>
    <col min="11794" max="11794" width="8.33203125" style="235" customWidth="1"/>
    <col min="11795" max="11795" width="8.44140625" style="235" customWidth="1"/>
    <col min="11796" max="11796" width="7.5546875" style="235" customWidth="1"/>
    <col min="11797" max="11797" width="9.33203125" style="235" customWidth="1"/>
    <col min="11798" max="11798" width="12.109375" style="235" customWidth="1"/>
    <col min="11799" max="11799" width="9.109375" style="235"/>
    <col min="11800" max="11800" width="12.88671875" style="235" customWidth="1"/>
    <col min="11801" max="11801" width="9.109375" style="235"/>
    <col min="11802" max="11802" width="16.6640625" style="235" customWidth="1"/>
    <col min="11803" max="11803" width="9.109375" style="235"/>
    <col min="11804" max="11804" width="11.109375" style="235" customWidth="1"/>
    <col min="11805" max="12047" width="9.109375" style="235"/>
    <col min="12048" max="12048" width="13.109375" style="235" customWidth="1"/>
    <col min="12049" max="12049" width="18.6640625" style="235" customWidth="1"/>
    <col min="12050" max="12050" width="8.33203125" style="235" customWidth="1"/>
    <col min="12051" max="12051" width="8.44140625" style="235" customWidth="1"/>
    <col min="12052" max="12052" width="7.5546875" style="235" customWidth="1"/>
    <col min="12053" max="12053" width="9.33203125" style="235" customWidth="1"/>
    <col min="12054" max="12054" width="12.109375" style="235" customWidth="1"/>
    <col min="12055" max="12055" width="9.109375" style="235"/>
    <col min="12056" max="12056" width="12.88671875" style="235" customWidth="1"/>
    <col min="12057" max="12057" width="9.109375" style="235"/>
    <col min="12058" max="12058" width="16.6640625" style="235" customWidth="1"/>
    <col min="12059" max="12059" width="9.109375" style="235"/>
    <col min="12060" max="12060" width="11.109375" style="235" customWidth="1"/>
    <col min="12061" max="12303" width="9.109375" style="235"/>
    <col min="12304" max="12304" width="13.109375" style="235" customWidth="1"/>
    <col min="12305" max="12305" width="18.6640625" style="235" customWidth="1"/>
    <col min="12306" max="12306" width="8.33203125" style="235" customWidth="1"/>
    <col min="12307" max="12307" width="8.44140625" style="235" customWidth="1"/>
    <col min="12308" max="12308" width="7.5546875" style="235" customWidth="1"/>
    <col min="12309" max="12309" width="9.33203125" style="235" customWidth="1"/>
    <col min="12310" max="12310" width="12.109375" style="235" customWidth="1"/>
    <col min="12311" max="12311" width="9.109375" style="235"/>
    <col min="12312" max="12312" width="12.88671875" style="235" customWidth="1"/>
    <col min="12313" max="12313" width="9.109375" style="235"/>
    <col min="12314" max="12314" width="16.6640625" style="235" customWidth="1"/>
    <col min="12315" max="12315" width="9.109375" style="235"/>
    <col min="12316" max="12316" width="11.109375" style="235" customWidth="1"/>
    <col min="12317" max="12559" width="9.109375" style="235"/>
    <col min="12560" max="12560" width="13.109375" style="235" customWidth="1"/>
    <col min="12561" max="12561" width="18.6640625" style="235" customWidth="1"/>
    <col min="12562" max="12562" width="8.33203125" style="235" customWidth="1"/>
    <col min="12563" max="12563" width="8.44140625" style="235" customWidth="1"/>
    <col min="12564" max="12564" width="7.5546875" style="235" customWidth="1"/>
    <col min="12565" max="12565" width="9.33203125" style="235" customWidth="1"/>
    <col min="12566" max="12566" width="12.109375" style="235" customWidth="1"/>
    <col min="12567" max="12567" width="9.109375" style="235"/>
    <col min="12568" max="12568" width="12.88671875" style="235" customWidth="1"/>
    <col min="12569" max="12569" width="9.109375" style="235"/>
    <col min="12570" max="12570" width="16.6640625" style="235" customWidth="1"/>
    <col min="12571" max="12571" width="9.109375" style="235"/>
    <col min="12572" max="12572" width="11.109375" style="235" customWidth="1"/>
    <col min="12573" max="12815" width="9.109375" style="235"/>
    <col min="12816" max="12816" width="13.109375" style="235" customWidth="1"/>
    <col min="12817" max="12817" width="18.6640625" style="235" customWidth="1"/>
    <col min="12818" max="12818" width="8.33203125" style="235" customWidth="1"/>
    <col min="12819" max="12819" width="8.44140625" style="235" customWidth="1"/>
    <col min="12820" max="12820" width="7.5546875" style="235" customWidth="1"/>
    <col min="12821" max="12821" width="9.33203125" style="235" customWidth="1"/>
    <col min="12822" max="12822" width="12.109375" style="235" customWidth="1"/>
    <col min="12823" max="12823" width="9.109375" style="235"/>
    <col min="12824" max="12824" width="12.88671875" style="235" customWidth="1"/>
    <col min="12825" max="12825" width="9.109375" style="235"/>
    <col min="12826" max="12826" width="16.6640625" style="235" customWidth="1"/>
    <col min="12827" max="12827" width="9.109375" style="235"/>
    <col min="12828" max="12828" width="11.109375" style="235" customWidth="1"/>
    <col min="12829" max="13071" width="9.109375" style="235"/>
    <col min="13072" max="13072" width="13.109375" style="235" customWidth="1"/>
    <col min="13073" max="13073" width="18.6640625" style="235" customWidth="1"/>
    <col min="13074" max="13074" width="8.33203125" style="235" customWidth="1"/>
    <col min="13075" max="13075" width="8.44140625" style="235" customWidth="1"/>
    <col min="13076" max="13076" width="7.5546875" style="235" customWidth="1"/>
    <col min="13077" max="13077" width="9.33203125" style="235" customWidth="1"/>
    <col min="13078" max="13078" width="12.109375" style="235" customWidth="1"/>
    <col min="13079" max="13079" width="9.109375" style="235"/>
    <col min="13080" max="13080" width="12.88671875" style="235" customWidth="1"/>
    <col min="13081" max="13081" width="9.109375" style="235"/>
    <col min="13082" max="13082" width="16.6640625" style="235" customWidth="1"/>
    <col min="13083" max="13083" width="9.109375" style="235"/>
    <col min="13084" max="13084" width="11.109375" style="235" customWidth="1"/>
    <col min="13085" max="13327" width="9.109375" style="235"/>
    <col min="13328" max="13328" width="13.109375" style="235" customWidth="1"/>
    <col min="13329" max="13329" width="18.6640625" style="235" customWidth="1"/>
    <col min="13330" max="13330" width="8.33203125" style="235" customWidth="1"/>
    <col min="13331" max="13331" width="8.44140625" style="235" customWidth="1"/>
    <col min="13332" max="13332" width="7.5546875" style="235" customWidth="1"/>
    <col min="13333" max="13333" width="9.33203125" style="235" customWidth="1"/>
    <col min="13334" max="13334" width="12.109375" style="235" customWidth="1"/>
    <col min="13335" max="13335" width="9.109375" style="235"/>
    <col min="13336" max="13336" width="12.88671875" style="235" customWidth="1"/>
    <col min="13337" max="13337" width="9.109375" style="235"/>
    <col min="13338" max="13338" width="16.6640625" style="235" customWidth="1"/>
    <col min="13339" max="13339" width="9.109375" style="235"/>
    <col min="13340" max="13340" width="11.109375" style="235" customWidth="1"/>
    <col min="13341" max="13583" width="9.109375" style="235"/>
    <col min="13584" max="13584" width="13.109375" style="235" customWidth="1"/>
    <col min="13585" max="13585" width="18.6640625" style="235" customWidth="1"/>
    <col min="13586" max="13586" width="8.33203125" style="235" customWidth="1"/>
    <col min="13587" max="13587" width="8.44140625" style="235" customWidth="1"/>
    <col min="13588" max="13588" width="7.5546875" style="235" customWidth="1"/>
    <col min="13589" max="13589" width="9.33203125" style="235" customWidth="1"/>
    <col min="13590" max="13590" width="12.109375" style="235" customWidth="1"/>
    <col min="13591" max="13591" width="9.109375" style="235"/>
    <col min="13592" max="13592" width="12.88671875" style="235" customWidth="1"/>
    <col min="13593" max="13593" width="9.109375" style="235"/>
    <col min="13594" max="13594" width="16.6640625" style="235" customWidth="1"/>
    <col min="13595" max="13595" width="9.109375" style="235"/>
    <col min="13596" max="13596" width="11.109375" style="235" customWidth="1"/>
    <col min="13597" max="13839" width="9.109375" style="235"/>
    <col min="13840" max="13840" width="13.109375" style="235" customWidth="1"/>
    <col min="13841" max="13841" width="18.6640625" style="235" customWidth="1"/>
    <col min="13842" max="13842" width="8.33203125" style="235" customWidth="1"/>
    <col min="13843" max="13843" width="8.44140625" style="235" customWidth="1"/>
    <col min="13844" max="13844" width="7.5546875" style="235" customWidth="1"/>
    <col min="13845" max="13845" width="9.33203125" style="235" customWidth="1"/>
    <col min="13846" max="13846" width="12.109375" style="235" customWidth="1"/>
    <col min="13847" max="13847" width="9.109375" style="235"/>
    <col min="13848" max="13848" width="12.88671875" style="235" customWidth="1"/>
    <col min="13849" max="13849" width="9.109375" style="235"/>
    <col min="13850" max="13850" width="16.6640625" style="235" customWidth="1"/>
    <col min="13851" max="13851" width="9.109375" style="235"/>
    <col min="13852" max="13852" width="11.109375" style="235" customWidth="1"/>
    <col min="13853" max="14095" width="9.109375" style="235"/>
    <col min="14096" max="14096" width="13.109375" style="235" customWidth="1"/>
    <col min="14097" max="14097" width="18.6640625" style="235" customWidth="1"/>
    <col min="14098" max="14098" width="8.33203125" style="235" customWidth="1"/>
    <col min="14099" max="14099" width="8.44140625" style="235" customWidth="1"/>
    <col min="14100" max="14100" width="7.5546875" style="235" customWidth="1"/>
    <col min="14101" max="14101" width="9.33203125" style="235" customWidth="1"/>
    <col min="14102" max="14102" width="12.109375" style="235" customWidth="1"/>
    <col min="14103" max="14103" width="9.109375" style="235"/>
    <col min="14104" max="14104" width="12.88671875" style="235" customWidth="1"/>
    <col min="14105" max="14105" width="9.109375" style="235"/>
    <col min="14106" max="14106" width="16.6640625" style="235" customWidth="1"/>
    <col min="14107" max="14107" width="9.109375" style="235"/>
    <col min="14108" max="14108" width="11.109375" style="235" customWidth="1"/>
    <col min="14109" max="14351" width="9.109375" style="235"/>
    <col min="14352" max="14352" width="13.109375" style="235" customWidth="1"/>
    <col min="14353" max="14353" width="18.6640625" style="235" customWidth="1"/>
    <col min="14354" max="14354" width="8.33203125" style="235" customWidth="1"/>
    <col min="14355" max="14355" width="8.44140625" style="235" customWidth="1"/>
    <col min="14356" max="14356" width="7.5546875" style="235" customWidth="1"/>
    <col min="14357" max="14357" width="9.33203125" style="235" customWidth="1"/>
    <col min="14358" max="14358" width="12.109375" style="235" customWidth="1"/>
    <col min="14359" max="14359" width="9.109375" style="235"/>
    <col min="14360" max="14360" width="12.88671875" style="235" customWidth="1"/>
    <col min="14361" max="14361" width="9.109375" style="235"/>
    <col min="14362" max="14362" width="16.6640625" style="235" customWidth="1"/>
    <col min="14363" max="14363" width="9.109375" style="235"/>
    <col min="14364" max="14364" width="11.109375" style="235" customWidth="1"/>
    <col min="14365" max="14607" width="9.109375" style="235"/>
    <col min="14608" max="14608" width="13.109375" style="235" customWidth="1"/>
    <col min="14609" max="14609" width="18.6640625" style="235" customWidth="1"/>
    <col min="14610" max="14610" width="8.33203125" style="235" customWidth="1"/>
    <col min="14611" max="14611" width="8.44140625" style="235" customWidth="1"/>
    <col min="14612" max="14612" width="7.5546875" style="235" customWidth="1"/>
    <col min="14613" max="14613" width="9.33203125" style="235" customWidth="1"/>
    <col min="14614" max="14614" width="12.109375" style="235" customWidth="1"/>
    <col min="14615" max="14615" width="9.109375" style="235"/>
    <col min="14616" max="14616" width="12.88671875" style="235" customWidth="1"/>
    <col min="14617" max="14617" width="9.109375" style="235"/>
    <col min="14618" max="14618" width="16.6640625" style="235" customWidth="1"/>
    <col min="14619" max="14619" width="9.109375" style="235"/>
    <col min="14620" max="14620" width="11.109375" style="235" customWidth="1"/>
    <col min="14621" max="14863" width="9.109375" style="235"/>
    <col min="14864" max="14864" width="13.109375" style="235" customWidth="1"/>
    <col min="14865" max="14865" width="18.6640625" style="235" customWidth="1"/>
    <col min="14866" max="14866" width="8.33203125" style="235" customWidth="1"/>
    <col min="14867" max="14867" width="8.44140625" style="235" customWidth="1"/>
    <col min="14868" max="14868" width="7.5546875" style="235" customWidth="1"/>
    <col min="14869" max="14869" width="9.33203125" style="235" customWidth="1"/>
    <col min="14870" max="14870" width="12.109375" style="235" customWidth="1"/>
    <col min="14871" max="14871" width="9.109375" style="235"/>
    <col min="14872" max="14872" width="12.88671875" style="235" customWidth="1"/>
    <col min="14873" max="14873" width="9.109375" style="235"/>
    <col min="14874" max="14874" width="16.6640625" style="235" customWidth="1"/>
    <col min="14875" max="14875" width="9.109375" style="235"/>
    <col min="14876" max="14876" width="11.109375" style="235" customWidth="1"/>
    <col min="14877" max="15119" width="9.109375" style="235"/>
    <col min="15120" max="15120" width="13.109375" style="235" customWidth="1"/>
    <col min="15121" max="15121" width="18.6640625" style="235" customWidth="1"/>
    <col min="15122" max="15122" width="8.33203125" style="235" customWidth="1"/>
    <col min="15123" max="15123" width="8.44140625" style="235" customWidth="1"/>
    <col min="15124" max="15124" width="7.5546875" style="235" customWidth="1"/>
    <col min="15125" max="15125" width="9.33203125" style="235" customWidth="1"/>
    <col min="15126" max="15126" width="12.109375" style="235" customWidth="1"/>
    <col min="15127" max="15127" width="9.109375" style="235"/>
    <col min="15128" max="15128" width="12.88671875" style="235" customWidth="1"/>
    <col min="15129" max="15129" width="9.109375" style="235"/>
    <col min="15130" max="15130" width="16.6640625" style="235" customWidth="1"/>
    <col min="15131" max="15131" width="9.109375" style="235"/>
    <col min="15132" max="15132" width="11.109375" style="235" customWidth="1"/>
    <col min="15133" max="15375" width="9.109375" style="235"/>
    <col min="15376" max="15376" width="13.109375" style="235" customWidth="1"/>
    <col min="15377" max="15377" width="18.6640625" style="235" customWidth="1"/>
    <col min="15378" max="15378" width="8.33203125" style="235" customWidth="1"/>
    <col min="15379" max="15379" width="8.44140625" style="235" customWidth="1"/>
    <col min="15380" max="15380" width="7.5546875" style="235" customWidth="1"/>
    <col min="15381" max="15381" width="9.33203125" style="235" customWidth="1"/>
    <col min="15382" max="15382" width="12.109375" style="235" customWidth="1"/>
    <col min="15383" max="15383" width="9.109375" style="235"/>
    <col min="15384" max="15384" width="12.88671875" style="235" customWidth="1"/>
    <col min="15385" max="15385" width="9.109375" style="235"/>
    <col min="15386" max="15386" width="16.6640625" style="235" customWidth="1"/>
    <col min="15387" max="15387" width="9.109375" style="235"/>
    <col min="15388" max="15388" width="11.109375" style="235" customWidth="1"/>
    <col min="15389" max="15631" width="9.109375" style="235"/>
    <col min="15632" max="15632" width="13.109375" style="235" customWidth="1"/>
    <col min="15633" max="15633" width="18.6640625" style="235" customWidth="1"/>
    <col min="15634" max="15634" width="8.33203125" style="235" customWidth="1"/>
    <col min="15635" max="15635" width="8.44140625" style="235" customWidth="1"/>
    <col min="15636" max="15636" width="7.5546875" style="235" customWidth="1"/>
    <col min="15637" max="15637" width="9.33203125" style="235" customWidth="1"/>
    <col min="15638" max="15638" width="12.109375" style="235" customWidth="1"/>
    <col min="15639" max="15639" width="9.109375" style="235"/>
    <col min="15640" max="15640" width="12.88671875" style="235" customWidth="1"/>
    <col min="15641" max="15641" width="9.109375" style="235"/>
    <col min="15642" max="15642" width="16.6640625" style="235" customWidth="1"/>
    <col min="15643" max="15643" width="9.109375" style="235"/>
    <col min="15644" max="15644" width="11.109375" style="235" customWidth="1"/>
    <col min="15645" max="15887" width="9.109375" style="235"/>
    <col min="15888" max="15888" width="13.109375" style="235" customWidth="1"/>
    <col min="15889" max="15889" width="18.6640625" style="235" customWidth="1"/>
    <col min="15890" max="15890" width="8.33203125" style="235" customWidth="1"/>
    <col min="15891" max="15891" width="8.44140625" style="235" customWidth="1"/>
    <col min="15892" max="15892" width="7.5546875" style="235" customWidth="1"/>
    <col min="15893" max="15893" width="9.33203125" style="235" customWidth="1"/>
    <col min="15894" max="15894" width="12.109375" style="235" customWidth="1"/>
    <col min="15895" max="15895" width="9.109375" style="235"/>
    <col min="15896" max="15896" width="12.88671875" style="235" customWidth="1"/>
    <col min="15897" max="15897" width="9.109375" style="235"/>
    <col min="15898" max="15898" width="16.6640625" style="235" customWidth="1"/>
    <col min="15899" max="15899" width="9.109375" style="235"/>
    <col min="15900" max="15900" width="11.109375" style="235" customWidth="1"/>
    <col min="15901" max="16143" width="9.109375" style="235"/>
    <col min="16144" max="16144" width="13.109375" style="235" customWidth="1"/>
    <col min="16145" max="16145" width="18.6640625" style="235" customWidth="1"/>
    <col min="16146" max="16146" width="8.33203125" style="235" customWidth="1"/>
    <col min="16147" max="16147" width="8.44140625" style="235" customWidth="1"/>
    <col min="16148" max="16148" width="7.5546875" style="235" customWidth="1"/>
    <col min="16149" max="16149" width="9.33203125" style="235" customWidth="1"/>
    <col min="16150" max="16150" width="12.109375" style="235" customWidth="1"/>
    <col min="16151" max="16151" width="9.109375" style="235"/>
    <col min="16152" max="16152" width="12.88671875" style="235" customWidth="1"/>
    <col min="16153" max="16153" width="9.109375" style="235"/>
    <col min="16154" max="16154" width="16.6640625" style="235" customWidth="1"/>
    <col min="16155" max="16155" width="9.109375" style="235"/>
    <col min="16156" max="16156" width="11.109375" style="235" customWidth="1"/>
    <col min="16157" max="16384" width="9.109375" style="235"/>
  </cols>
  <sheetData>
    <row r="1" spans="1:27" customFormat="1" ht="18" x14ac:dyDescent="0.35">
      <c r="B1" s="9" t="s">
        <v>757</v>
      </c>
    </row>
    <row r="2" spans="1:27" customFormat="1" ht="14.4" x14ac:dyDescent="0.3">
      <c r="B2" s="163" t="s">
        <v>752</v>
      </c>
      <c r="C2" s="548">
        <v>42417</v>
      </c>
    </row>
    <row r="3" spans="1:27" customFormat="1" ht="14.4" x14ac:dyDescent="0.3">
      <c r="B3" s="163" t="s">
        <v>753</v>
      </c>
      <c r="C3" s="163" t="s">
        <v>792</v>
      </c>
    </row>
    <row r="4" spans="1:27" customFormat="1" ht="14.4" x14ac:dyDescent="0.3"/>
    <row r="5" spans="1:27" x14ac:dyDescent="0.25">
      <c r="A5" s="498"/>
      <c r="B5" s="236"/>
      <c r="C5" s="236"/>
      <c r="D5" s="236"/>
      <c r="E5" s="237" t="s">
        <v>467</v>
      </c>
      <c r="F5" s="237"/>
      <c r="G5" s="237"/>
      <c r="H5" s="236"/>
      <c r="I5" s="236"/>
      <c r="J5" s="236"/>
      <c r="K5" s="236"/>
      <c r="L5" s="236"/>
      <c r="M5" s="236"/>
      <c r="N5" s="236"/>
      <c r="O5" s="236"/>
      <c r="P5" s="236"/>
      <c r="Q5" s="236"/>
      <c r="R5" s="236"/>
      <c r="S5" s="236"/>
      <c r="T5" s="236"/>
      <c r="U5" s="236"/>
      <c r="V5" s="236"/>
      <c r="W5" s="236"/>
      <c r="X5" s="236"/>
      <c r="Y5" s="236"/>
      <c r="Z5" s="236"/>
      <c r="AA5" s="236"/>
    </row>
    <row r="6" spans="1:27" ht="12.75" customHeight="1" x14ac:dyDescent="0.25">
      <c r="B6" s="238">
        <v>1</v>
      </c>
      <c r="C6" s="238"/>
      <c r="D6" s="238"/>
      <c r="E6" s="239" t="s">
        <v>468</v>
      </c>
      <c r="F6" s="239"/>
      <c r="G6" s="239"/>
      <c r="H6" s="239"/>
      <c r="I6" s="239"/>
      <c r="J6" s="239"/>
      <c r="K6" s="239"/>
      <c r="L6" s="239"/>
      <c r="M6" s="239"/>
      <c r="N6" s="239"/>
      <c r="O6" s="239"/>
      <c r="P6" s="239"/>
      <c r="Q6" s="239"/>
      <c r="R6" s="239"/>
      <c r="S6" s="239"/>
      <c r="T6" s="239"/>
      <c r="U6" s="239"/>
      <c r="V6" s="239"/>
      <c r="W6" s="239"/>
      <c r="X6" s="239"/>
      <c r="Y6" s="239"/>
      <c r="Z6" s="239"/>
      <c r="AA6" s="239"/>
    </row>
    <row r="7" spans="1:27" ht="41.25" customHeight="1" x14ac:dyDescent="0.25">
      <c r="B7" s="238">
        <v>2</v>
      </c>
      <c r="C7" s="238"/>
      <c r="D7" s="238"/>
      <c r="E7" s="2633" t="s">
        <v>469</v>
      </c>
      <c r="F7" s="2633"/>
      <c r="G7" s="2633"/>
      <c r="H7" s="2633"/>
      <c r="I7" s="2633"/>
      <c r="J7" s="2633"/>
      <c r="K7" s="2633"/>
      <c r="L7" s="2633"/>
      <c r="M7" s="2633"/>
      <c r="N7" s="2633"/>
      <c r="O7" s="2633"/>
      <c r="P7" s="2633"/>
      <c r="Q7" s="2633"/>
      <c r="R7" s="2633"/>
      <c r="S7" s="2633"/>
      <c r="T7" s="2633"/>
      <c r="U7" s="2633"/>
      <c r="V7" s="2633"/>
      <c r="W7" s="2633"/>
      <c r="X7" s="2633"/>
      <c r="Y7" s="2633"/>
      <c r="Z7" s="2633"/>
      <c r="AA7" s="2633"/>
    </row>
    <row r="8" spans="1:27" ht="26.25" customHeight="1" x14ac:dyDescent="0.25">
      <c r="B8" s="238">
        <v>3</v>
      </c>
      <c r="C8" s="238"/>
      <c r="D8" s="238"/>
      <c r="E8" s="2634" t="s">
        <v>470</v>
      </c>
      <c r="F8" s="2634"/>
      <c r="G8" s="2634"/>
      <c r="H8" s="2634"/>
      <c r="I8" s="2634"/>
      <c r="J8" s="2634"/>
      <c r="K8" s="2634"/>
      <c r="L8" s="2634"/>
      <c r="M8" s="2634"/>
      <c r="N8" s="2634"/>
      <c r="O8" s="2634"/>
      <c r="P8" s="2634"/>
      <c r="Q8" s="2634"/>
      <c r="R8" s="2634"/>
      <c r="S8" s="2634"/>
      <c r="T8" s="2634"/>
      <c r="U8" s="2634"/>
      <c r="V8" s="2634"/>
      <c r="W8" s="2634"/>
      <c r="X8" s="2634"/>
      <c r="Y8" s="2634"/>
      <c r="Z8" s="2634"/>
      <c r="AA8" s="2634"/>
    </row>
    <row r="9" spans="1:27" ht="40.5" customHeight="1" x14ac:dyDescent="0.25">
      <c r="B9" s="238">
        <v>4</v>
      </c>
      <c r="C9" s="238"/>
      <c r="D9" s="238"/>
      <c r="E9" s="2633" t="s">
        <v>471</v>
      </c>
      <c r="F9" s="2633"/>
      <c r="G9" s="2633"/>
      <c r="H9" s="2633"/>
      <c r="I9" s="2633"/>
      <c r="J9" s="2633"/>
      <c r="K9" s="2633"/>
      <c r="L9" s="2633"/>
      <c r="M9" s="2633"/>
      <c r="N9" s="2633"/>
      <c r="O9" s="2633"/>
      <c r="P9" s="2633"/>
      <c r="Q9" s="2633"/>
      <c r="R9" s="2633"/>
      <c r="S9" s="2633"/>
      <c r="T9" s="2633"/>
      <c r="U9" s="2633"/>
      <c r="V9" s="2633"/>
      <c r="W9" s="2633"/>
      <c r="X9" s="2633"/>
      <c r="Y9" s="2633"/>
      <c r="Z9" s="2633"/>
      <c r="AA9" s="2633"/>
    </row>
    <row r="10" spans="1:27" ht="12.75" customHeight="1" x14ac:dyDescent="0.25">
      <c r="B10" s="238">
        <v>5</v>
      </c>
      <c r="C10" s="238"/>
      <c r="D10" s="238"/>
      <c r="E10" s="240" t="s">
        <v>472</v>
      </c>
      <c r="F10" s="240"/>
      <c r="G10" s="240"/>
      <c r="H10" s="240"/>
      <c r="I10" s="240"/>
      <c r="J10" s="240"/>
      <c r="K10" s="240"/>
      <c r="L10" s="240"/>
      <c r="M10" s="240"/>
      <c r="N10" s="240"/>
      <c r="O10" s="240"/>
      <c r="P10" s="240"/>
      <c r="Q10" s="240"/>
      <c r="R10" s="240"/>
      <c r="S10" s="240"/>
      <c r="T10" s="240"/>
      <c r="U10" s="240"/>
      <c r="V10" s="240"/>
      <c r="W10" s="240"/>
      <c r="X10" s="240"/>
      <c r="Y10" s="240"/>
      <c r="Z10" s="240"/>
      <c r="AA10" s="240"/>
    </row>
    <row r="11" spans="1:27" x14ac:dyDescent="0.25">
      <c r="B11" s="238">
        <v>6</v>
      </c>
      <c r="C11" s="238"/>
      <c r="D11" s="238"/>
      <c r="E11" s="241" t="s">
        <v>473</v>
      </c>
      <c r="F11" s="241"/>
      <c r="G11" s="241"/>
      <c r="H11" s="241"/>
      <c r="I11" s="241"/>
      <c r="J11" s="241"/>
      <c r="K11" s="241"/>
      <c r="L11" s="241"/>
      <c r="M11" s="236"/>
      <c r="N11" s="236"/>
      <c r="O11" s="236"/>
      <c r="P11" s="236"/>
      <c r="Q11" s="236"/>
      <c r="R11" s="236"/>
      <c r="S11" s="236"/>
      <c r="T11" s="236"/>
      <c r="U11" s="236"/>
      <c r="V11" s="2635" t="s">
        <v>474</v>
      </c>
      <c r="W11" s="2636"/>
      <c r="X11" s="242">
        <v>1.1000000000000001</v>
      </c>
      <c r="Y11" s="242" t="s">
        <v>303</v>
      </c>
      <c r="Z11" s="236"/>
      <c r="AA11" s="236"/>
    </row>
    <row r="12" spans="1:27" x14ac:dyDescent="0.25">
      <c r="B12" s="238">
        <v>7</v>
      </c>
      <c r="C12" s="238"/>
      <c r="D12" s="238"/>
      <c r="E12" s="243" t="s">
        <v>475</v>
      </c>
      <c r="F12" s="243"/>
      <c r="G12" s="243"/>
      <c r="H12" s="236"/>
      <c r="I12" s="236"/>
      <c r="J12" s="236"/>
      <c r="K12" s="236"/>
      <c r="L12" s="236"/>
      <c r="M12" s="236"/>
      <c r="N12" s="236"/>
      <c r="O12" s="236"/>
      <c r="P12" s="236"/>
      <c r="Q12" s="236"/>
      <c r="R12" s="236"/>
      <c r="S12" s="236"/>
      <c r="T12" s="236"/>
      <c r="U12" s="236"/>
      <c r="V12" s="2637" t="s">
        <v>476</v>
      </c>
      <c r="W12" s="2638"/>
      <c r="X12" s="244">
        <v>16</v>
      </c>
      <c r="Y12" s="244" t="s">
        <v>477</v>
      </c>
      <c r="Z12" s="236"/>
      <c r="AA12" s="236"/>
    </row>
    <row r="13" spans="1:27" x14ac:dyDescent="0.25">
      <c r="B13" s="238"/>
      <c r="C13" s="238"/>
      <c r="D13" s="238"/>
      <c r="E13" s="236"/>
      <c r="F13" s="236"/>
      <c r="G13" s="236"/>
      <c r="H13" s="236"/>
      <c r="I13" s="236"/>
      <c r="J13" s="236"/>
      <c r="K13" s="236"/>
      <c r="L13" s="236"/>
      <c r="M13" s="236"/>
      <c r="N13" s="236"/>
      <c r="O13" s="236"/>
      <c r="P13" s="236"/>
      <c r="Q13" s="236"/>
      <c r="R13" s="236"/>
      <c r="S13" s="236"/>
      <c r="T13" s="236"/>
      <c r="V13" s="2631" t="s">
        <v>478</v>
      </c>
      <c r="W13" s="2632"/>
      <c r="X13" s="245">
        <v>0.5</v>
      </c>
      <c r="Y13" s="244" t="s">
        <v>303</v>
      </c>
      <c r="Z13" s="236"/>
      <c r="AA13" s="236"/>
    </row>
    <row r="14" spans="1:27" x14ac:dyDescent="0.25">
      <c r="B14" s="238"/>
      <c r="C14" s="238">
        <v>1</v>
      </c>
      <c r="D14" s="366">
        <f>1+C14</f>
        <v>2</v>
      </c>
      <c r="E14" s="366">
        <f t="shared" ref="E14:AA14" si="0">1+D14</f>
        <v>3</v>
      </c>
      <c r="F14" s="366">
        <f t="shared" si="0"/>
        <v>4</v>
      </c>
      <c r="G14" s="366">
        <f t="shared" si="0"/>
        <v>5</v>
      </c>
      <c r="H14" s="366">
        <f t="shared" si="0"/>
        <v>6</v>
      </c>
      <c r="I14" s="366">
        <f t="shared" si="0"/>
        <v>7</v>
      </c>
      <c r="J14" s="366">
        <f t="shared" si="0"/>
        <v>8</v>
      </c>
      <c r="K14" s="366">
        <f t="shared" si="0"/>
        <v>9</v>
      </c>
      <c r="L14" s="366">
        <f t="shared" si="0"/>
        <v>10</v>
      </c>
      <c r="M14" s="366">
        <f t="shared" si="0"/>
        <v>11</v>
      </c>
      <c r="N14" s="366">
        <f t="shared" si="0"/>
        <v>12</v>
      </c>
      <c r="O14" s="366">
        <f t="shared" si="0"/>
        <v>13</v>
      </c>
      <c r="P14" s="366">
        <f t="shared" si="0"/>
        <v>14</v>
      </c>
      <c r="Q14" s="366">
        <f t="shared" si="0"/>
        <v>15</v>
      </c>
      <c r="R14" s="366">
        <f t="shared" si="0"/>
        <v>16</v>
      </c>
      <c r="S14" s="366">
        <f t="shared" si="0"/>
        <v>17</v>
      </c>
      <c r="T14" s="366">
        <f t="shared" si="0"/>
        <v>18</v>
      </c>
      <c r="U14" s="366">
        <f t="shared" si="0"/>
        <v>19</v>
      </c>
      <c r="V14" s="366">
        <f t="shared" si="0"/>
        <v>20</v>
      </c>
      <c r="W14" s="366">
        <f t="shared" si="0"/>
        <v>21</v>
      </c>
      <c r="X14" s="366">
        <f t="shared" si="0"/>
        <v>22</v>
      </c>
      <c r="Y14" s="366">
        <f t="shared" si="0"/>
        <v>23</v>
      </c>
      <c r="Z14" s="366">
        <f t="shared" si="0"/>
        <v>24</v>
      </c>
      <c r="AA14" s="366">
        <f t="shared" si="0"/>
        <v>25</v>
      </c>
    </row>
    <row r="15" spans="1:27" x14ac:dyDescent="0.25">
      <c r="B15" s="236"/>
      <c r="C15" s="236"/>
      <c r="D15" s="236"/>
      <c r="E15" s="246" t="s">
        <v>479</v>
      </c>
      <c r="F15" s="246"/>
      <c r="G15" s="246"/>
      <c r="H15" s="236"/>
      <c r="I15" s="236"/>
      <c r="J15" s="236"/>
      <c r="K15" s="236"/>
      <c r="L15" s="236"/>
      <c r="M15" s="236"/>
      <c r="N15" s="236"/>
      <c r="O15" s="236"/>
      <c r="P15" s="236"/>
      <c r="Q15" s="236"/>
      <c r="R15" s="236"/>
      <c r="S15" s="236"/>
      <c r="T15" s="236"/>
      <c r="U15" s="236"/>
      <c r="V15" s="236"/>
      <c r="W15" s="236"/>
      <c r="X15" s="236"/>
      <c r="Y15" s="236"/>
    </row>
    <row r="16" spans="1:27" s="247" customFormat="1" x14ac:dyDescent="0.25">
      <c r="B16" s="248" t="s">
        <v>480</v>
      </c>
      <c r="C16" s="247">
        <f>Unit_Sum!E15</f>
        <v>4</v>
      </c>
      <c r="D16" s="248">
        <f>Unit_Sum!D15</f>
        <v>3</v>
      </c>
      <c r="E16" s="249"/>
      <c r="F16" s="249"/>
      <c r="G16" s="249"/>
      <c r="H16" s="248"/>
      <c r="I16" s="248"/>
      <c r="J16" s="248"/>
      <c r="K16" s="248"/>
      <c r="L16" s="248"/>
      <c r="M16" s="248">
        <v>2</v>
      </c>
      <c r="N16" s="248">
        <v>9</v>
      </c>
      <c r="O16" s="248">
        <v>2</v>
      </c>
      <c r="P16" s="248">
        <v>9</v>
      </c>
      <c r="Q16" s="248"/>
      <c r="R16" s="248"/>
      <c r="S16" s="248"/>
      <c r="T16" s="248">
        <f>Unit_Sum!E15</f>
        <v>4</v>
      </c>
      <c r="U16" s="248"/>
      <c r="V16" s="248"/>
      <c r="W16" s="248"/>
      <c r="X16" s="248"/>
      <c r="Y16" s="248"/>
    </row>
    <row r="17" spans="1:34" ht="64.5" customHeight="1" x14ac:dyDescent="0.25">
      <c r="B17" s="250" t="s">
        <v>96</v>
      </c>
      <c r="C17" s="251" t="s">
        <v>481</v>
      </c>
      <c r="D17" s="252" t="s">
        <v>482</v>
      </c>
      <c r="E17" s="250" t="s">
        <v>483</v>
      </c>
      <c r="F17" s="251" t="s">
        <v>484</v>
      </c>
      <c r="G17" s="252" t="s">
        <v>485</v>
      </c>
      <c r="H17" s="250" t="s">
        <v>486</v>
      </c>
      <c r="I17" s="251" t="s">
        <v>487</v>
      </c>
      <c r="J17" s="251" t="s">
        <v>488</v>
      </c>
      <c r="K17" s="253" t="s">
        <v>489</v>
      </c>
      <c r="L17" s="250" t="s">
        <v>490</v>
      </c>
      <c r="M17" s="251" t="s">
        <v>491</v>
      </c>
      <c r="N17" s="251" t="s">
        <v>492</v>
      </c>
      <c r="O17" s="252" t="s">
        <v>493</v>
      </c>
      <c r="P17" s="250" t="s">
        <v>494</v>
      </c>
      <c r="Q17" s="251" t="s">
        <v>495</v>
      </c>
      <c r="R17" s="251" t="s">
        <v>496</v>
      </c>
      <c r="S17" s="251" t="s">
        <v>497</v>
      </c>
      <c r="T17" s="252" t="s">
        <v>498</v>
      </c>
      <c r="U17" s="250" t="s">
        <v>499</v>
      </c>
      <c r="V17" s="251" t="s">
        <v>500</v>
      </c>
      <c r="W17" s="252" t="s">
        <v>501</v>
      </c>
      <c r="X17" s="2639" t="s">
        <v>502</v>
      </c>
      <c r="Y17" s="2640"/>
      <c r="Z17" s="2641"/>
      <c r="AB17" s="250" t="s">
        <v>503</v>
      </c>
      <c r="AC17" s="251" t="s">
        <v>504</v>
      </c>
      <c r="AD17" s="252" t="s">
        <v>505</v>
      </c>
    </row>
    <row r="18" spans="1:34" ht="15.75" customHeight="1" x14ac:dyDescent="0.25">
      <c r="B18" s="254"/>
      <c r="C18" s="255" t="s">
        <v>136</v>
      </c>
      <c r="D18" s="256" t="s">
        <v>506</v>
      </c>
      <c r="E18" s="257"/>
      <c r="F18" s="255" t="s">
        <v>136</v>
      </c>
      <c r="G18" s="256" t="s">
        <v>136</v>
      </c>
      <c r="H18" s="258"/>
      <c r="I18" s="255" t="s">
        <v>506</v>
      </c>
      <c r="J18" s="255"/>
      <c r="K18" s="259" t="s">
        <v>506</v>
      </c>
      <c r="L18" s="258" t="s">
        <v>507</v>
      </c>
      <c r="M18" s="255" t="s">
        <v>508</v>
      </c>
      <c r="N18" s="255" t="s">
        <v>507</v>
      </c>
      <c r="O18" s="256" t="s">
        <v>508</v>
      </c>
      <c r="P18" s="258" t="s">
        <v>507</v>
      </c>
      <c r="Q18" s="255" t="s">
        <v>509</v>
      </c>
      <c r="R18" s="255" t="s">
        <v>136</v>
      </c>
      <c r="S18" s="255" t="s">
        <v>136</v>
      </c>
      <c r="T18" s="256" t="s">
        <v>136</v>
      </c>
      <c r="U18" s="258" t="s">
        <v>137</v>
      </c>
      <c r="V18" s="255"/>
      <c r="W18" s="256"/>
      <c r="X18" s="258" t="s">
        <v>510</v>
      </c>
      <c r="Y18" s="255" t="s">
        <v>511</v>
      </c>
      <c r="Z18" s="256" t="s">
        <v>137</v>
      </c>
      <c r="AB18" s="258" t="s">
        <v>136</v>
      </c>
      <c r="AC18" s="255" t="s">
        <v>136</v>
      </c>
      <c r="AD18" s="256" t="s">
        <v>507</v>
      </c>
      <c r="AH18" s="355" t="s">
        <v>529</v>
      </c>
    </row>
    <row r="19" spans="1:34" ht="15.75" customHeight="1" x14ac:dyDescent="0.3">
      <c r="A19"/>
      <c r="B19" s="260" t="s">
        <v>598</v>
      </c>
      <c r="C19" s="261" t="e">
        <f ca="1">IF(ISBLANK($B19),0,OFFSET(UnitSummary_Ref,MATCH($B19,OFFSET(UnitSummary_Ref,1,2,96,1),0),C$16,1,1))</f>
        <v>#N/A</v>
      </c>
      <c r="D19" s="262" t="e">
        <f ca="1">IF(ISBLANK($B19),0,OFFSET(UnitSummary_Ref,MATCH($B19,OFFSET(UnitSummary_Ref,1,2,96,1),0),D$16,1,1))</f>
        <v>#N/A</v>
      </c>
      <c r="E19" s="263" t="s">
        <v>82</v>
      </c>
      <c r="F19" s="264">
        <f>SUM(F20:F24)</f>
        <v>246</v>
      </c>
      <c r="G19" s="265">
        <f>SUM(G20:G24)</f>
        <v>246</v>
      </c>
      <c r="H19" s="266" t="s">
        <v>512</v>
      </c>
      <c r="I19" s="267" t="s">
        <v>512</v>
      </c>
      <c r="J19" s="267" t="s">
        <v>512</v>
      </c>
      <c r="K19" s="268" t="s">
        <v>512</v>
      </c>
      <c r="L19" s="266" t="s">
        <v>512</v>
      </c>
      <c r="M19" s="267" t="s">
        <v>512</v>
      </c>
      <c r="N19" s="267" t="s">
        <v>512</v>
      </c>
      <c r="O19" s="269" t="s">
        <v>512</v>
      </c>
      <c r="P19" s="270">
        <f>SUM(P20:P24)</f>
        <v>0</v>
      </c>
      <c r="Q19" s="261">
        <f>SUM(Q20:Q24)</f>
        <v>0</v>
      </c>
      <c r="R19" s="261"/>
      <c r="S19" s="261"/>
      <c r="T19" s="271" t="e">
        <f>SUM(T20:T24)</f>
        <v>#VALUE!</v>
      </c>
      <c r="U19" s="272" t="e">
        <f>$P19/$T19</f>
        <v>#VALUE!</v>
      </c>
      <c r="V19" s="261" t="e">
        <f ca="1">$C19-$T19</f>
        <v>#N/A</v>
      </c>
      <c r="W19" s="273" t="e">
        <f ca="1">(($T19*$U19)+($V19*$X$11))/$C19</f>
        <v>#VALUE!</v>
      </c>
      <c r="X19" s="270">
        <f>IF(Q19&gt;0, Q19/T19,0)</f>
        <v>0</v>
      </c>
      <c r="Y19" s="261">
        <f t="shared" ref="Y19:Y45" si="1">IF($Q19&gt;0, $Q19/$P19,0)</f>
        <v>0</v>
      </c>
      <c r="Z19" s="273">
        <f t="shared" ref="Z19:Z45" si="2">IF($P19&gt;0, $P19/$T19,0)</f>
        <v>0</v>
      </c>
      <c r="AB19" s="274" t="e">
        <f ca="1">$C19*$D19</f>
        <v>#N/A</v>
      </c>
      <c r="AC19" s="275" t="e">
        <f ca="1">$T19*$D19</f>
        <v>#VALUE!</v>
      </c>
      <c r="AD19" s="276" t="e">
        <f ca="1">P19*D19</f>
        <v>#N/A</v>
      </c>
      <c r="AH19" s="356" t="s">
        <v>83</v>
      </c>
    </row>
    <row r="20" spans="1:34" ht="15" customHeight="1" x14ac:dyDescent="0.3">
      <c r="A20"/>
      <c r="B20" s="2642"/>
      <c r="C20" s="2645"/>
      <c r="D20" s="2648"/>
      <c r="E20" s="277" t="s">
        <v>78</v>
      </c>
      <c r="F20" s="278">
        <v>98</v>
      </c>
      <c r="G20" s="279">
        <f>F20</f>
        <v>98</v>
      </c>
      <c r="H20" s="277" t="s">
        <v>604</v>
      </c>
      <c r="I20" s="280">
        <v>1</v>
      </c>
      <c r="J20" s="280"/>
      <c r="K20" s="281"/>
      <c r="L20" s="282" t="e">
        <f>IF(ISBLANK(H20),0,VLOOKUP($H20,ResLtgSchPropArray,M$16,FALSE)*I20)</f>
        <v>#N/A</v>
      </c>
      <c r="M20" s="283">
        <f>IFERROR(VLOOKUP($H20,ResLtgSchPropArray,N$16,FALSE)*I20,0)</f>
        <v>0</v>
      </c>
      <c r="N20" s="284">
        <f>IF(ISBLANK(J20),0,VLOOKUP($J20,ResLtgSchPropArray,O$16,FALSE)*K20)</f>
        <v>0</v>
      </c>
      <c r="O20" s="285">
        <f>IFERROR(VLOOKUP($J20,ResLtgSchPropArray,P$16,FALSE)*K20,0)</f>
        <v>0</v>
      </c>
      <c r="P20" s="282" t="str">
        <f>IFERROR(L20+N20,"")</f>
        <v/>
      </c>
      <c r="Q20" s="283">
        <f t="shared" ref="P20:Q24" si="3">IFERROR(M20+O20,"")</f>
        <v>0</v>
      </c>
      <c r="R20" s="284">
        <f>Q20/$X$12</f>
        <v>0</v>
      </c>
      <c r="S20" s="283" t="e">
        <f>P20/$X$13</f>
        <v>#VALUE!</v>
      </c>
      <c r="T20" s="286" t="e">
        <f>IF($R20&lt;$F20,MIN($G20,$R20,$S20),MIN($G20,$R20))</f>
        <v>#VALUE!</v>
      </c>
      <c r="U20" s="287"/>
      <c r="V20" s="288"/>
      <c r="W20" s="289"/>
      <c r="X20" s="290">
        <f>IF($Q20&gt;0, $Q20/$T20,0)</f>
        <v>0</v>
      </c>
      <c r="Y20" s="291">
        <f t="shared" si="1"/>
        <v>0</v>
      </c>
      <c r="Z20" s="292" t="e">
        <f t="shared" si="2"/>
        <v>#VALUE!</v>
      </c>
      <c r="AA20" s="293"/>
      <c r="AB20" s="282"/>
      <c r="AC20" s="283"/>
      <c r="AD20" s="285"/>
      <c r="AE20" s="294"/>
      <c r="AH20" s="356" t="s">
        <v>301</v>
      </c>
    </row>
    <row r="21" spans="1:34" ht="15" customHeight="1" x14ac:dyDescent="0.3">
      <c r="A21"/>
      <c r="B21" s="2643"/>
      <c r="C21" s="2646"/>
      <c r="D21" s="2649"/>
      <c r="E21" s="277" t="s">
        <v>154</v>
      </c>
      <c r="F21" s="278">
        <v>78</v>
      </c>
      <c r="G21" s="279">
        <v>78</v>
      </c>
      <c r="H21" s="277" t="s">
        <v>603</v>
      </c>
      <c r="I21" s="280">
        <v>2</v>
      </c>
      <c r="J21" s="280"/>
      <c r="K21" s="281"/>
      <c r="L21" s="282" t="e">
        <f>IF(ISBLANK(H21),0,VLOOKUP($H21,ResLtgSchPropArray,M$16,FALSE)*I21)</f>
        <v>#N/A</v>
      </c>
      <c r="M21" s="283">
        <f>IFERROR(VLOOKUP($H21,ResLtgSchPropArray,N$16,FALSE)*I21,0)</f>
        <v>0</v>
      </c>
      <c r="N21" s="284">
        <f>IF(ISBLANK(J21),0,VLOOKUP($J21,ResLtgSchPropArray,O$16,FALSE)*K21)</f>
        <v>0</v>
      </c>
      <c r="O21" s="285">
        <f>IFERROR(VLOOKUP($J21,ResLtgSchPropArray,P$16,FALSE)*K21,0)</f>
        <v>0</v>
      </c>
      <c r="P21" s="282" t="str">
        <f t="shared" si="3"/>
        <v/>
      </c>
      <c r="Q21" s="283">
        <f t="shared" si="3"/>
        <v>0</v>
      </c>
      <c r="R21" s="283">
        <f>Q21/$X$12</f>
        <v>0</v>
      </c>
      <c r="S21" s="283" t="e">
        <f>P21/$X$13</f>
        <v>#VALUE!</v>
      </c>
      <c r="T21" s="286" t="e">
        <f>IF($R21&lt;$F21,MIN($G21,$R21,$S21),MIN($G21,$R21))</f>
        <v>#VALUE!</v>
      </c>
      <c r="U21" s="296"/>
      <c r="V21" s="297"/>
      <c r="W21" s="298"/>
      <c r="X21" s="290">
        <f>IF($Q21&gt;0, $Q21/$T21,0)</f>
        <v>0</v>
      </c>
      <c r="Y21" s="291">
        <f t="shared" si="1"/>
        <v>0</v>
      </c>
      <c r="Z21" s="292" t="e">
        <f t="shared" si="2"/>
        <v>#VALUE!</v>
      </c>
      <c r="AA21" s="293"/>
      <c r="AB21" s="282"/>
      <c r="AC21" s="283"/>
      <c r="AD21" s="286"/>
      <c r="AE21" s="294"/>
      <c r="AH21" s="356" t="s">
        <v>94</v>
      </c>
    </row>
    <row r="22" spans="1:34" ht="15" customHeight="1" x14ac:dyDescent="0.3">
      <c r="A22"/>
      <c r="B22" s="2643"/>
      <c r="C22" s="2646"/>
      <c r="D22" s="2649"/>
      <c r="E22" s="319" t="s">
        <v>94</v>
      </c>
      <c r="F22" s="320">
        <v>20</v>
      </c>
      <c r="G22" s="279">
        <f>F22</f>
        <v>20</v>
      </c>
      <c r="H22" s="364" t="s">
        <v>605</v>
      </c>
      <c r="I22" s="359">
        <v>1</v>
      </c>
      <c r="J22" s="359"/>
      <c r="K22" s="360"/>
      <c r="L22" s="282" t="e">
        <f>IF(ISBLANK(H22),0,VLOOKUP($H22,ResLtgSchPropArray,M$16,FALSE)*I22)</f>
        <v>#N/A</v>
      </c>
      <c r="M22" s="283">
        <f>IFERROR(VLOOKUP($H22,ResLtgSchPropArray,N$16,FALSE)*I22,0)</f>
        <v>0</v>
      </c>
      <c r="N22" s="284">
        <f>IF(ISBLANK(J22),0,VLOOKUP($J22,ResLtgSchPropArray,O$16,FALSE)*K22)</f>
        <v>0</v>
      </c>
      <c r="O22" s="285">
        <f>IFERROR(VLOOKUP($J22,ResLtgSchPropArray,P$16,FALSE)*K22,0)</f>
        <v>0</v>
      </c>
      <c r="P22" s="282" t="str">
        <f>IFERROR(L22+N22,"")</f>
        <v/>
      </c>
      <c r="Q22" s="283">
        <f>IFERROR(M22+O22,"")</f>
        <v>0</v>
      </c>
      <c r="R22" s="283">
        <f>Q22/$X$12</f>
        <v>0</v>
      </c>
      <c r="S22" s="283" t="e">
        <f>P22/$X$13</f>
        <v>#VALUE!</v>
      </c>
      <c r="T22" s="286" t="e">
        <f>IF($R22&lt;$F22,MIN($G22,$R22,$S22),MIN($G22,$R22))</f>
        <v>#VALUE!</v>
      </c>
      <c r="U22" s="296"/>
      <c r="V22" s="297"/>
      <c r="W22" s="298"/>
      <c r="X22" s="290">
        <f>IF($Q22&gt;0, $Q22/$T22,0)</f>
        <v>0</v>
      </c>
      <c r="Y22" s="291">
        <f t="shared" si="1"/>
        <v>0</v>
      </c>
      <c r="Z22" s="292" t="e">
        <f t="shared" si="2"/>
        <v>#VALUE!</v>
      </c>
      <c r="AA22" s="293"/>
      <c r="AB22" s="282"/>
      <c r="AC22" s="283"/>
      <c r="AD22" s="286"/>
      <c r="AE22" s="294"/>
      <c r="AH22" s="356" t="s">
        <v>154</v>
      </c>
    </row>
    <row r="23" spans="1:34" ht="15" customHeight="1" x14ac:dyDescent="0.3">
      <c r="A23"/>
      <c r="B23" s="2643"/>
      <c r="C23" s="2646"/>
      <c r="D23" s="2649"/>
      <c r="E23" s="319" t="s">
        <v>83</v>
      </c>
      <c r="F23" s="320">
        <v>50</v>
      </c>
      <c r="G23" s="279">
        <f>F23</f>
        <v>50</v>
      </c>
      <c r="H23" s="364" t="s">
        <v>606</v>
      </c>
      <c r="I23" s="359">
        <v>1</v>
      </c>
      <c r="J23" s="359" t="s">
        <v>607</v>
      </c>
      <c r="K23" s="360">
        <v>1</v>
      </c>
      <c r="L23" s="282" t="e">
        <f>IF(ISBLANK(H23),0,VLOOKUP($H23,ResLtgSchPropArray,M$16,FALSE)*I23)</f>
        <v>#N/A</v>
      </c>
      <c r="M23" s="283">
        <f>IFERROR(VLOOKUP($H23,ResLtgSchPropArray,N$16,FALSE)*I23,0)</f>
        <v>0</v>
      </c>
      <c r="N23" s="284" t="e">
        <f>IF(ISBLANK(J23),0,VLOOKUP($J23,ResLtgSchPropArray,O$16,FALSE)*K23)</f>
        <v>#N/A</v>
      </c>
      <c r="O23" s="285">
        <f>IFERROR(VLOOKUP($J23,ResLtgSchPropArray,P$16,FALSE)*K23,0)</f>
        <v>0</v>
      </c>
      <c r="P23" s="282" t="str">
        <f>IFERROR(L23+N23,"")</f>
        <v/>
      </c>
      <c r="Q23" s="283">
        <f>IFERROR(M23+O23,"")</f>
        <v>0</v>
      </c>
      <c r="R23" s="283">
        <f>Q23/$X$12</f>
        <v>0</v>
      </c>
      <c r="S23" s="283" t="e">
        <f>P23/$X$13</f>
        <v>#VALUE!</v>
      </c>
      <c r="T23" s="286" t="e">
        <f>IF($R23&lt;$F23,MIN($G23,$R23,$S23),MIN($G23,$R23))</f>
        <v>#VALUE!</v>
      </c>
      <c r="U23" s="296"/>
      <c r="V23" s="297"/>
      <c r="W23" s="298"/>
      <c r="X23" s="290">
        <f>IF($Q23&gt;0, $Q23/$T23,0)</f>
        <v>0</v>
      </c>
      <c r="Y23" s="291">
        <f t="shared" si="1"/>
        <v>0</v>
      </c>
      <c r="Z23" s="292" t="e">
        <f t="shared" si="2"/>
        <v>#VALUE!</v>
      </c>
      <c r="AA23" s="293"/>
      <c r="AB23" s="282"/>
      <c r="AC23" s="283"/>
      <c r="AD23" s="286"/>
      <c r="AE23" s="294"/>
      <c r="AH23" s="356" t="s">
        <v>515</v>
      </c>
    </row>
    <row r="24" spans="1:34" ht="15" customHeight="1" x14ac:dyDescent="0.3">
      <c r="A24"/>
      <c r="B24" s="2644"/>
      <c r="C24" s="2647"/>
      <c r="D24" s="2650"/>
      <c r="E24" s="299" t="s">
        <v>514</v>
      </c>
      <c r="F24" s="299"/>
      <c r="G24" s="300"/>
      <c r="H24" s="301"/>
      <c r="I24" s="302"/>
      <c r="J24" s="302"/>
      <c r="K24" s="303"/>
      <c r="L24" s="304">
        <f>IF(ISBLANK(H24),0,VLOOKUP($H24,ResLtgSchPropArray,M$16,FALSE)*I24)</f>
        <v>0</v>
      </c>
      <c r="M24" s="305">
        <f>IFERROR(VLOOKUP($H24,ResLtgSchPropArray,N$16,FALSE)*I24,0)</f>
        <v>0</v>
      </c>
      <c r="N24" s="306">
        <f>IF(ISBLANK(J24),0,VLOOKUP($J24,ResLtgSchPropArray,O$16,FALSE)*K24)</f>
        <v>0</v>
      </c>
      <c r="O24" s="307">
        <f>IFERROR(VLOOKUP($J24,ResLtgSchPropArray,P$16,FALSE)*K24,0)</f>
        <v>0</v>
      </c>
      <c r="P24" s="304">
        <f t="shared" si="3"/>
        <v>0</v>
      </c>
      <c r="Q24" s="305">
        <f t="shared" si="3"/>
        <v>0</v>
      </c>
      <c r="R24" s="305">
        <f>Q24/$X$12</f>
        <v>0</v>
      </c>
      <c r="S24" s="305">
        <f>P24/$X$13</f>
        <v>0</v>
      </c>
      <c r="T24" s="308">
        <f>IF($R24&lt;$F24,MIN($G24,$R24,$S24),MIN($G24,$R24))</f>
        <v>0</v>
      </c>
      <c r="U24" s="309"/>
      <c r="V24" s="310"/>
      <c r="W24" s="311"/>
      <c r="X24" s="312">
        <f>IF($Q24&gt;0, $Q24/$T24,0)</f>
        <v>0</v>
      </c>
      <c r="Y24" s="313">
        <f t="shared" si="1"/>
        <v>0</v>
      </c>
      <c r="Z24" s="314">
        <f t="shared" si="2"/>
        <v>0</v>
      </c>
      <c r="AB24" s="304"/>
      <c r="AC24" s="305"/>
      <c r="AD24" s="308"/>
      <c r="AH24" s="356" t="s">
        <v>530</v>
      </c>
    </row>
    <row r="25" spans="1:34" ht="15" customHeight="1" x14ac:dyDescent="0.25">
      <c r="B25" s="260" t="s">
        <v>596</v>
      </c>
      <c r="C25" s="261" t="e">
        <f ca="1">IF(ISBLANK($B25),0,OFFSET(UnitSummary_Ref,MATCH($B25,OFFSET(UnitSummary_Ref,1,2,96,1),0),C$16,1,1))</f>
        <v>#N/A</v>
      </c>
      <c r="D25" s="262" t="e">
        <f ca="1">IF(ISBLANK($B25),0,OFFSET(UnitSummary_Ref,MATCH($B25,OFFSET(UnitSummary_Ref,1,2,96,1),0),D$16,1,1))</f>
        <v>#N/A</v>
      </c>
      <c r="E25" s="263" t="s">
        <v>82</v>
      </c>
      <c r="F25" s="264">
        <f>SUM(F26:F30)</f>
        <v>452</v>
      </c>
      <c r="G25" s="265">
        <f>SUM(G26:G30)</f>
        <v>452</v>
      </c>
      <c r="H25" s="266" t="s">
        <v>512</v>
      </c>
      <c r="I25" s="267" t="s">
        <v>512</v>
      </c>
      <c r="J25" s="267" t="s">
        <v>512</v>
      </c>
      <c r="K25" s="268" t="s">
        <v>512</v>
      </c>
      <c r="L25" s="266" t="s">
        <v>512</v>
      </c>
      <c r="M25" s="267" t="s">
        <v>512</v>
      </c>
      <c r="N25" s="267" t="s">
        <v>512</v>
      </c>
      <c r="O25" s="269" t="s">
        <v>512</v>
      </c>
      <c r="P25" s="270">
        <f>SUM(P26:P30)</f>
        <v>0</v>
      </c>
      <c r="Q25" s="261">
        <f>SUM(Q26:Q30)</f>
        <v>0</v>
      </c>
      <c r="R25" s="261"/>
      <c r="S25" s="261"/>
      <c r="T25" s="271" t="e">
        <f>SUM(T26:T30)</f>
        <v>#VALUE!</v>
      </c>
      <c r="U25" s="272" t="e">
        <f>$P25/$T25</f>
        <v>#VALUE!</v>
      </c>
      <c r="V25" s="261" t="e">
        <f ca="1">$C25-$T25</f>
        <v>#N/A</v>
      </c>
      <c r="W25" s="273" t="e">
        <f ca="1">(($T25*$U25)+($V25*$X$11))/$C25</f>
        <v>#VALUE!</v>
      </c>
      <c r="X25" s="270">
        <f>IF(Q25&gt;0, Q25/T25,0)</f>
        <v>0</v>
      </c>
      <c r="Y25" s="261">
        <f t="shared" si="1"/>
        <v>0</v>
      </c>
      <c r="Z25" s="273">
        <f t="shared" si="2"/>
        <v>0</v>
      </c>
      <c r="AB25" s="274" t="e">
        <f ca="1">$C25*$D25</f>
        <v>#N/A</v>
      </c>
      <c r="AC25" s="275" t="e">
        <f ca="1">$T25*$D25</f>
        <v>#VALUE!</v>
      </c>
      <c r="AD25" s="276" t="e">
        <f ca="1">P25*D25</f>
        <v>#N/A</v>
      </c>
      <c r="AH25" s="356" t="s">
        <v>609</v>
      </c>
    </row>
    <row r="26" spans="1:34" ht="15" customHeight="1" x14ac:dyDescent="0.25">
      <c r="B26" s="2642"/>
      <c r="C26" s="2645"/>
      <c r="D26" s="2648"/>
      <c r="E26" s="277" t="s">
        <v>154</v>
      </c>
      <c r="F26" s="278">
        <v>65</v>
      </c>
      <c r="G26" s="279">
        <f>F26</f>
        <v>65</v>
      </c>
      <c r="H26" s="277" t="s">
        <v>603</v>
      </c>
      <c r="I26" s="280">
        <v>2</v>
      </c>
      <c r="J26" s="280"/>
      <c r="K26" s="281"/>
      <c r="L26" s="282" t="e">
        <f>IF(ISBLANK(H26),0,VLOOKUP($H26,ResLtgSchPropArray,M$16,FALSE)*I26)</f>
        <v>#N/A</v>
      </c>
      <c r="M26" s="283">
        <f>IFERROR(VLOOKUP($H26,ResLtgSchPropArray,N$16,FALSE)*I26,0)</f>
        <v>0</v>
      </c>
      <c r="N26" s="284">
        <f>IF(ISBLANK(J26),0,VLOOKUP($J26,ResLtgSchPropArray,O$16,FALSE)*K26)</f>
        <v>0</v>
      </c>
      <c r="O26" s="285">
        <f>IFERROR(VLOOKUP($J26,ResLtgSchPropArray,P$16,FALSE)*K26,0)</f>
        <v>0</v>
      </c>
      <c r="P26" s="282" t="str">
        <f t="shared" ref="P26:Q30" si="4">IFERROR(L26+N26,"")</f>
        <v/>
      </c>
      <c r="Q26" s="283">
        <f t="shared" si="4"/>
        <v>0</v>
      </c>
      <c r="R26" s="284">
        <f>Q26/$X$12</f>
        <v>0</v>
      </c>
      <c r="S26" s="283" t="e">
        <f>P26/$X$13</f>
        <v>#VALUE!</v>
      </c>
      <c r="T26" s="286" t="e">
        <f>IF($R26&lt;$F26,MIN($G26,$R26,$S26),MIN($G26,$R26))</f>
        <v>#VALUE!</v>
      </c>
      <c r="U26" s="287"/>
      <c r="V26" s="288"/>
      <c r="W26" s="289"/>
      <c r="X26" s="290">
        <f>IF($Q26&gt;0, $Q26/$T26,0)</f>
        <v>0</v>
      </c>
      <c r="Y26" s="291">
        <f t="shared" si="1"/>
        <v>0</v>
      </c>
      <c r="Z26" s="292" t="e">
        <f t="shared" si="2"/>
        <v>#VALUE!</v>
      </c>
      <c r="AB26" s="282"/>
      <c r="AC26" s="283"/>
      <c r="AD26" s="285"/>
      <c r="AH26" s="356" t="s">
        <v>78</v>
      </c>
    </row>
    <row r="27" spans="1:34" ht="15" customHeight="1" x14ac:dyDescent="0.25">
      <c r="B27" s="2643"/>
      <c r="C27" s="2646"/>
      <c r="D27" s="2649"/>
      <c r="E27" s="277" t="s">
        <v>609</v>
      </c>
      <c r="F27" s="278">
        <v>297</v>
      </c>
      <c r="G27" s="279">
        <f>F27</f>
        <v>297</v>
      </c>
      <c r="H27" s="277" t="s">
        <v>604</v>
      </c>
      <c r="I27" s="280">
        <v>2</v>
      </c>
      <c r="J27" s="280"/>
      <c r="K27" s="281"/>
      <c r="L27" s="282" t="e">
        <f>IF(ISBLANK(H27),0,VLOOKUP($H27,ResLtgSchPropArray,M$16,FALSE)*I27)</f>
        <v>#N/A</v>
      </c>
      <c r="M27" s="283">
        <f>IFERROR(VLOOKUP($H27,ResLtgSchPropArray,N$16,FALSE)*I27,0)</f>
        <v>0</v>
      </c>
      <c r="N27" s="284">
        <f>IF(ISBLANK(J27),0,VLOOKUP($J27,ResLtgSchPropArray,O$16,FALSE)*K27)</f>
        <v>0</v>
      </c>
      <c r="O27" s="285">
        <f>IFERROR(VLOOKUP($J27,ResLtgSchPropArray,P$16,FALSE)*K27,0)</f>
        <v>0</v>
      </c>
      <c r="P27" s="282" t="str">
        <f t="shared" si="4"/>
        <v/>
      </c>
      <c r="Q27" s="283">
        <f t="shared" si="4"/>
        <v>0</v>
      </c>
      <c r="R27" s="283">
        <f>Q27/$X$12</f>
        <v>0</v>
      </c>
      <c r="S27" s="283" t="e">
        <f>P27/$X$13</f>
        <v>#VALUE!</v>
      </c>
      <c r="T27" s="286" t="e">
        <f>IF($R27&lt;$F27,MIN($G27,$R27,$S27),MIN($G27,$R27))</f>
        <v>#VALUE!</v>
      </c>
      <c r="U27" s="296"/>
      <c r="V27" s="297"/>
      <c r="W27" s="298"/>
      <c r="X27" s="290">
        <f>IF($Q27&gt;0, $Q27/$T27,0)</f>
        <v>0</v>
      </c>
      <c r="Y27" s="291">
        <f t="shared" si="1"/>
        <v>0</v>
      </c>
      <c r="Z27" s="292" t="e">
        <f t="shared" si="2"/>
        <v>#VALUE!</v>
      </c>
      <c r="AB27" s="282"/>
      <c r="AC27" s="283"/>
      <c r="AD27" s="286"/>
      <c r="AH27" s="356" t="s">
        <v>95</v>
      </c>
    </row>
    <row r="28" spans="1:34" ht="15" customHeight="1" x14ac:dyDescent="0.25">
      <c r="B28" s="2643"/>
      <c r="C28" s="2646"/>
      <c r="D28" s="2649"/>
      <c r="E28" s="319" t="s">
        <v>94</v>
      </c>
      <c r="F28" s="320">
        <v>14</v>
      </c>
      <c r="G28" s="279">
        <f>F28</f>
        <v>14</v>
      </c>
      <c r="H28" s="277" t="s">
        <v>605</v>
      </c>
      <c r="I28" s="359">
        <v>1</v>
      </c>
      <c r="J28" s="359"/>
      <c r="K28" s="360"/>
      <c r="L28" s="282" t="e">
        <f>IF(ISBLANK(H28),0,VLOOKUP($H28,ResLtgSchPropArray,M$16,FALSE)*I28)</f>
        <v>#N/A</v>
      </c>
      <c r="M28" s="283">
        <f>IFERROR(VLOOKUP($H28,ResLtgSchPropArray,N$16,FALSE)*I28,0)</f>
        <v>0</v>
      </c>
      <c r="N28" s="284">
        <f>IF(ISBLANK(J28),0,VLOOKUP($J28,ResLtgSchPropArray,O$16,FALSE)*K28)</f>
        <v>0</v>
      </c>
      <c r="O28" s="285">
        <f>IFERROR(VLOOKUP($J28,ResLtgSchPropArray,P$16,FALSE)*K28,0)</f>
        <v>0</v>
      </c>
      <c r="P28" s="282" t="str">
        <f>IFERROR(L28+N28,"")</f>
        <v/>
      </c>
      <c r="Q28" s="283">
        <f>IFERROR(M28+O28,"")</f>
        <v>0</v>
      </c>
      <c r="R28" s="283">
        <f>Q28/$X$12</f>
        <v>0</v>
      </c>
      <c r="S28" s="283" t="e">
        <f>P28/$X$13</f>
        <v>#VALUE!</v>
      </c>
      <c r="T28" s="286" t="e">
        <f>IF($R28&lt;$F28,MIN($G28,$R28,$S28),MIN($G28,$R28))</f>
        <v>#VALUE!</v>
      </c>
      <c r="U28" s="296"/>
      <c r="V28" s="297"/>
      <c r="W28" s="298"/>
      <c r="X28" s="290">
        <f>IF($Q28&gt;0, $Q28/$T28,0)</f>
        <v>0</v>
      </c>
      <c r="Y28" s="291">
        <f t="shared" si="1"/>
        <v>0</v>
      </c>
      <c r="Z28" s="292" t="e">
        <f t="shared" si="2"/>
        <v>#VALUE!</v>
      </c>
      <c r="AB28" s="361"/>
      <c r="AC28" s="362"/>
      <c r="AD28" s="363"/>
      <c r="AH28" s="356" t="s">
        <v>50</v>
      </c>
    </row>
    <row r="29" spans="1:34" ht="15" customHeight="1" x14ac:dyDescent="0.25">
      <c r="B29" s="2643"/>
      <c r="C29" s="2646"/>
      <c r="D29" s="2649"/>
      <c r="E29" s="319" t="s">
        <v>83</v>
      </c>
      <c r="F29" s="320">
        <v>76</v>
      </c>
      <c r="G29" s="279">
        <f>F29</f>
        <v>76</v>
      </c>
      <c r="H29" s="277" t="s">
        <v>606</v>
      </c>
      <c r="I29" s="359">
        <v>1</v>
      </c>
      <c r="J29" s="359" t="s">
        <v>607</v>
      </c>
      <c r="K29" s="360">
        <v>1</v>
      </c>
      <c r="L29" s="282" t="e">
        <f>IF(ISBLANK(H29),0,VLOOKUP($H29,ResLtgSchPropArray,M$16,FALSE)*I29)</f>
        <v>#N/A</v>
      </c>
      <c r="M29" s="283">
        <f>IFERROR(VLOOKUP($H29,ResLtgSchPropArray,N$16,FALSE)*I29,0)</f>
        <v>0</v>
      </c>
      <c r="N29" s="284" t="e">
        <f>IF(ISBLANK(J29),0,VLOOKUP($J29,ResLtgSchPropArray,O$16,FALSE)*K29)</f>
        <v>#N/A</v>
      </c>
      <c r="O29" s="285">
        <f>IFERROR(VLOOKUP($J29,ResLtgSchPropArray,P$16,FALSE)*K29,0)</f>
        <v>0</v>
      </c>
      <c r="P29" s="282" t="str">
        <f>IFERROR(L29+N29,"")</f>
        <v/>
      </c>
      <c r="Q29" s="283">
        <f>IFERROR(M29+O29,"")</f>
        <v>0</v>
      </c>
      <c r="R29" s="283">
        <f>Q29/$X$12</f>
        <v>0</v>
      </c>
      <c r="S29" s="283" t="e">
        <f>P29/$X$13</f>
        <v>#VALUE!</v>
      </c>
      <c r="T29" s="286" t="e">
        <f>IF($R29&lt;$F29,MIN($G29,$R29,$S29),MIN($G29,$R29))</f>
        <v>#VALUE!</v>
      </c>
      <c r="U29" s="296"/>
      <c r="V29" s="297"/>
      <c r="W29" s="298"/>
      <c r="X29" s="290">
        <f>IF($Q29&gt;0, $Q29/$T29,0)</f>
        <v>0</v>
      </c>
      <c r="Y29" s="291">
        <f t="shared" si="1"/>
        <v>0</v>
      </c>
      <c r="Z29" s="292" t="e">
        <f t="shared" si="2"/>
        <v>#VALUE!</v>
      </c>
      <c r="AB29" s="361"/>
      <c r="AC29" s="362"/>
      <c r="AD29" s="363"/>
      <c r="AH29" s="356" t="s">
        <v>531</v>
      </c>
    </row>
    <row r="30" spans="1:34" ht="15" customHeight="1" x14ac:dyDescent="0.25">
      <c r="B30" s="2644"/>
      <c r="C30" s="2647"/>
      <c r="D30" s="2650"/>
      <c r="E30" s="299" t="s">
        <v>514</v>
      </c>
      <c r="F30" s="299"/>
      <c r="G30" s="300"/>
      <c r="H30" s="301"/>
      <c r="I30" s="302"/>
      <c r="J30" s="302"/>
      <c r="K30" s="303"/>
      <c r="L30" s="304">
        <f>IF(ISBLANK(H30),0,VLOOKUP($H30,ResLtgSchPropArray,M$16,FALSE)*I30)</f>
        <v>0</v>
      </c>
      <c r="M30" s="305">
        <f>IFERROR(VLOOKUP($H30,ResLtgSchPropArray,N$16,FALSE)*I30,0)</f>
        <v>0</v>
      </c>
      <c r="N30" s="306">
        <f>IF(ISBLANK(J30),0,VLOOKUP($J30,ResLtgSchPropArray,O$16,FALSE)*K30)</f>
        <v>0</v>
      </c>
      <c r="O30" s="307">
        <f>IFERROR(VLOOKUP($J30,ResLtgSchPropArray,P$16,FALSE)*K30,0)</f>
        <v>0</v>
      </c>
      <c r="P30" s="304">
        <f t="shared" si="4"/>
        <v>0</v>
      </c>
      <c r="Q30" s="305">
        <f t="shared" si="4"/>
        <v>0</v>
      </c>
      <c r="R30" s="305">
        <f>Q30/$X$12</f>
        <v>0</v>
      </c>
      <c r="S30" s="305">
        <f>P30/$X$13</f>
        <v>0</v>
      </c>
      <c r="T30" s="308">
        <f>IF($R30&lt;$F30,MIN($G30,$R30,$S30),MIN($G30,$R30))</f>
        <v>0</v>
      </c>
      <c r="U30" s="309"/>
      <c r="V30" s="310"/>
      <c r="W30" s="311"/>
      <c r="X30" s="312">
        <f>IF($Q30&gt;0, $Q30/$T30,0)</f>
        <v>0</v>
      </c>
      <c r="Y30" s="313">
        <f t="shared" si="1"/>
        <v>0</v>
      </c>
      <c r="Z30" s="314">
        <f t="shared" si="2"/>
        <v>0</v>
      </c>
      <c r="AB30" s="304"/>
      <c r="AC30" s="305"/>
      <c r="AD30" s="308"/>
      <c r="AH30" s="356" t="s">
        <v>513</v>
      </c>
    </row>
    <row r="31" spans="1:34" ht="15" customHeight="1" x14ac:dyDescent="0.25">
      <c r="B31" s="260" t="s">
        <v>464</v>
      </c>
      <c r="C31" s="261" t="e">
        <f ca="1">IF(ISBLANK($B31),0,OFFSET(UnitSummary_Ref,MATCH($B31,OFFSET(UnitSummary_Ref,1,2,96,1),0),C$16,1,1))</f>
        <v>#N/A</v>
      </c>
      <c r="D31" s="262" t="e">
        <f ca="1">IF(ISBLANK($B31),0,OFFSET(UnitSummary_Ref,MATCH($B31,OFFSET(UnitSummary_Ref,1,2,96,1),0),D$16,1,1))</f>
        <v>#N/A</v>
      </c>
      <c r="E31" s="263" t="s">
        <v>82</v>
      </c>
      <c r="F31" s="264">
        <f>SUM(F32:F36)</f>
        <v>254</v>
      </c>
      <c r="G31" s="265">
        <f>SUM(G32:G36)</f>
        <v>233</v>
      </c>
      <c r="H31" s="266" t="s">
        <v>512</v>
      </c>
      <c r="I31" s="267" t="s">
        <v>512</v>
      </c>
      <c r="J31" s="267" t="s">
        <v>512</v>
      </c>
      <c r="K31" s="268" t="s">
        <v>512</v>
      </c>
      <c r="L31" s="266" t="s">
        <v>512</v>
      </c>
      <c r="M31" s="267" t="s">
        <v>512</v>
      </c>
      <c r="N31" s="267" t="s">
        <v>512</v>
      </c>
      <c r="O31" s="269" t="s">
        <v>512</v>
      </c>
      <c r="P31" s="270">
        <f>SUM(P32:P36)</f>
        <v>0</v>
      </c>
      <c r="Q31" s="261">
        <f>SUM(Q32:Q36)</f>
        <v>0</v>
      </c>
      <c r="R31" s="261"/>
      <c r="S31" s="261"/>
      <c r="T31" s="271" t="e">
        <f>SUM(T32:T36)</f>
        <v>#VALUE!</v>
      </c>
      <c r="U31" s="272" t="e">
        <f>$P31/$T31</f>
        <v>#VALUE!</v>
      </c>
      <c r="V31" s="261" t="e">
        <f ca="1">$C31-$T31</f>
        <v>#N/A</v>
      </c>
      <c r="W31" s="273" t="e">
        <f ca="1">(($T31*$U31)+($V31*$X$11))/$C31</f>
        <v>#VALUE!</v>
      </c>
      <c r="X31" s="270">
        <f>IF(Q31&gt;0, Q31/T31,0)</f>
        <v>0</v>
      </c>
      <c r="Y31" s="261">
        <f t="shared" si="1"/>
        <v>0</v>
      </c>
      <c r="Z31" s="273">
        <f t="shared" si="2"/>
        <v>0</v>
      </c>
      <c r="AB31" s="274" t="e">
        <f ca="1">$C31*$D31</f>
        <v>#N/A</v>
      </c>
      <c r="AC31" s="275" t="e">
        <f ca="1">$T31*$D31</f>
        <v>#VALUE!</v>
      </c>
      <c r="AD31" s="276" t="e">
        <f ca="1">P31*D31</f>
        <v>#N/A</v>
      </c>
      <c r="AH31" s="356" t="s">
        <v>219</v>
      </c>
    </row>
    <row r="32" spans="1:34" ht="15" customHeight="1" x14ac:dyDescent="0.25">
      <c r="B32" s="2642"/>
      <c r="C32" s="2645"/>
      <c r="D32" s="2648"/>
      <c r="E32" s="277" t="s">
        <v>95</v>
      </c>
      <c r="F32" s="278">
        <v>99</v>
      </c>
      <c r="G32" s="279">
        <f>F32</f>
        <v>99</v>
      </c>
      <c r="H32" s="277" t="s">
        <v>604</v>
      </c>
      <c r="I32" s="280">
        <v>1</v>
      </c>
      <c r="J32" s="280"/>
      <c r="K32" s="281"/>
      <c r="L32" s="282" t="e">
        <f>IF(ISBLANK(H32),0,VLOOKUP($H32,ResLtgSchPropArray,M$16,FALSE)*I32)</f>
        <v>#N/A</v>
      </c>
      <c r="M32" s="283">
        <f>IFERROR(VLOOKUP($H32,ResLtgSchPropArray,N$16,FALSE)*I32,0)</f>
        <v>0</v>
      </c>
      <c r="N32" s="284">
        <f>IF(ISBLANK(J32),0,VLOOKUP($J32,ResLtgSchPropArray,O$16,FALSE)*K32)</f>
        <v>0</v>
      </c>
      <c r="O32" s="285">
        <f>IFERROR(VLOOKUP($J32,ResLtgSchPropArray,P$16,FALSE)*K32,0)</f>
        <v>0</v>
      </c>
      <c r="P32" s="282" t="str">
        <f t="shared" ref="P32:Q36" si="5">IFERROR(L32+N32,"")</f>
        <v/>
      </c>
      <c r="Q32" s="283">
        <f t="shared" si="5"/>
        <v>0</v>
      </c>
      <c r="R32" s="284">
        <f>Q32/$X$12</f>
        <v>0</v>
      </c>
      <c r="S32" s="283" t="e">
        <f>P32/$X$13</f>
        <v>#VALUE!</v>
      </c>
      <c r="T32" s="286" t="e">
        <f>IF($R32&lt;$F32,MIN($G32,$R32,$S32),MIN($G32,$R32))</f>
        <v>#VALUE!</v>
      </c>
      <c r="U32" s="287"/>
      <c r="V32" s="288"/>
      <c r="W32" s="289"/>
      <c r="X32" s="290">
        <f>IF($Q32&gt;0, $Q32/$T32,0)</f>
        <v>0</v>
      </c>
      <c r="Y32" s="291">
        <f t="shared" si="1"/>
        <v>0</v>
      </c>
      <c r="Z32" s="292" t="e">
        <f t="shared" si="2"/>
        <v>#VALUE!</v>
      </c>
      <c r="AB32" s="282"/>
      <c r="AC32" s="283"/>
      <c r="AD32" s="285"/>
      <c r="AH32" s="356" t="s">
        <v>82</v>
      </c>
    </row>
    <row r="33" spans="1:34" ht="15" customHeight="1" x14ac:dyDescent="0.25">
      <c r="B33" s="2643"/>
      <c r="C33" s="2646"/>
      <c r="D33" s="2649"/>
      <c r="E33" s="277" t="s">
        <v>78</v>
      </c>
      <c r="F33" s="278">
        <v>74</v>
      </c>
      <c r="G33" s="279">
        <f>F33</f>
        <v>74</v>
      </c>
      <c r="H33" s="295" t="s">
        <v>604</v>
      </c>
      <c r="I33" s="280">
        <v>1</v>
      </c>
      <c r="J33" s="280"/>
      <c r="K33" s="281"/>
      <c r="L33" s="282" t="e">
        <f>IF(ISBLANK(H33),0,VLOOKUP($H33,ResLtgSchPropArray,M$16,FALSE)*I33)</f>
        <v>#N/A</v>
      </c>
      <c r="M33" s="283">
        <f>IFERROR(VLOOKUP($H33,ResLtgSchPropArray,N$16,FALSE)*I33,0)</f>
        <v>0</v>
      </c>
      <c r="N33" s="284">
        <f>IF(ISBLANK(J33),0,VLOOKUP($J33,ResLtgSchPropArray,O$16,FALSE)*K33)</f>
        <v>0</v>
      </c>
      <c r="O33" s="285">
        <f>IFERROR(VLOOKUP($J33,ResLtgSchPropArray,P$16,FALSE)*K33,0)</f>
        <v>0</v>
      </c>
      <c r="P33" s="282" t="str">
        <f t="shared" si="5"/>
        <v/>
      </c>
      <c r="Q33" s="283">
        <f t="shared" si="5"/>
        <v>0</v>
      </c>
      <c r="R33" s="283">
        <f>Q33/$X$12</f>
        <v>0</v>
      </c>
      <c r="S33" s="283" t="e">
        <f>P33/$X$13</f>
        <v>#VALUE!</v>
      </c>
      <c r="T33" s="286" t="e">
        <f>IF($R33&lt;$F33,MIN($G33,$R33,$S33),MIN($G33,$R33))</f>
        <v>#VALUE!</v>
      </c>
      <c r="U33" s="296"/>
      <c r="V33" s="297"/>
      <c r="W33" s="298"/>
      <c r="X33" s="290">
        <f>IF($Q33&gt;0, $Q33/$T33,0)</f>
        <v>0</v>
      </c>
      <c r="Y33" s="291">
        <f t="shared" si="1"/>
        <v>0</v>
      </c>
      <c r="Z33" s="292" t="e">
        <f t="shared" si="2"/>
        <v>#VALUE!</v>
      </c>
      <c r="AB33" s="282"/>
      <c r="AC33" s="283"/>
      <c r="AD33" s="286"/>
      <c r="AH33" s="356" t="s">
        <v>514</v>
      </c>
    </row>
    <row r="34" spans="1:34" ht="15" customHeight="1" x14ac:dyDescent="0.25">
      <c r="B34" s="2643"/>
      <c r="C34" s="2646"/>
      <c r="D34" s="2649"/>
      <c r="E34" s="277" t="s">
        <v>83</v>
      </c>
      <c r="F34" s="278">
        <v>60</v>
      </c>
      <c r="G34" s="279">
        <f>F34</f>
        <v>60</v>
      </c>
      <c r="H34" s="277" t="s">
        <v>606</v>
      </c>
      <c r="I34" s="359">
        <v>1</v>
      </c>
      <c r="J34" s="359" t="s">
        <v>607</v>
      </c>
      <c r="K34" s="360">
        <v>1</v>
      </c>
      <c r="L34" s="282" t="e">
        <f>IF(ISBLANK(H34),0,VLOOKUP($H34,ResLtgSchPropArray,M$16,FALSE)*I34)</f>
        <v>#N/A</v>
      </c>
      <c r="M34" s="283">
        <f>IFERROR(VLOOKUP($H34,ResLtgSchPropArray,N$16,FALSE)*I34,0)</f>
        <v>0</v>
      </c>
      <c r="N34" s="284" t="e">
        <f>IF(ISBLANK(J34),0,VLOOKUP($J34,ResLtgSchPropArray,O$16,FALSE)*K34)</f>
        <v>#N/A</v>
      </c>
      <c r="O34" s="285">
        <f>IFERROR(VLOOKUP($J34,ResLtgSchPropArray,P$16,FALSE)*K34,0)</f>
        <v>0</v>
      </c>
      <c r="P34" s="282" t="str">
        <f t="shared" si="5"/>
        <v/>
      </c>
      <c r="Q34" s="283">
        <f t="shared" si="5"/>
        <v>0</v>
      </c>
      <c r="R34" s="283">
        <f>Q34/$X$12</f>
        <v>0</v>
      </c>
      <c r="S34" s="283" t="e">
        <f>P34/$X$13</f>
        <v>#VALUE!</v>
      </c>
      <c r="T34" s="286" t="e">
        <f>IF($R34&lt;$F34,MIN($G34,$R34,$S34),MIN($G34,$R34))</f>
        <v>#VALUE!</v>
      </c>
      <c r="U34" s="296"/>
      <c r="V34" s="297"/>
      <c r="W34" s="298"/>
      <c r="X34" s="290">
        <f>IF($Q34&gt;0, $Q34/$T34,0)</f>
        <v>0</v>
      </c>
      <c r="Y34" s="291">
        <f t="shared" si="1"/>
        <v>0</v>
      </c>
      <c r="Z34" s="292" t="e">
        <f t="shared" si="2"/>
        <v>#VALUE!</v>
      </c>
      <c r="AB34" s="282"/>
      <c r="AC34" s="283"/>
      <c r="AD34" s="286"/>
      <c r="AH34" s="356" t="s">
        <v>517</v>
      </c>
    </row>
    <row r="35" spans="1:34" ht="15" customHeight="1" x14ac:dyDescent="0.25">
      <c r="B35" s="2643"/>
      <c r="C35" s="2646"/>
      <c r="D35" s="2649"/>
      <c r="E35" s="319" t="s">
        <v>94</v>
      </c>
      <c r="F35" s="320">
        <v>21</v>
      </c>
      <c r="G35" s="358"/>
      <c r="H35" s="364" t="s">
        <v>605</v>
      </c>
      <c r="I35" s="359">
        <v>1</v>
      </c>
      <c r="J35" s="359"/>
      <c r="K35" s="360"/>
      <c r="L35" s="282" t="e">
        <f>IF(ISBLANK(H35),0,VLOOKUP($H35,ResLtgSchPropArray,M$16,FALSE)*I35)</f>
        <v>#N/A</v>
      </c>
      <c r="M35" s="283">
        <f>IFERROR(VLOOKUP($H35,ResLtgSchPropArray,N$16,FALSE)*I35,0)</f>
        <v>0</v>
      </c>
      <c r="N35" s="284">
        <f>IF(ISBLANK(J35),0,VLOOKUP($J35,ResLtgSchPropArray,O$16,FALSE)*K35)</f>
        <v>0</v>
      </c>
      <c r="O35" s="285">
        <f>IFERROR(VLOOKUP($J35,ResLtgSchPropArray,P$16,FALSE)*K35,0)</f>
        <v>0</v>
      </c>
      <c r="P35" s="282" t="str">
        <f>IFERROR(L35+N35,"")</f>
        <v/>
      </c>
      <c r="Q35" s="283">
        <f>IFERROR(M35+O35,"")</f>
        <v>0</v>
      </c>
      <c r="R35" s="283">
        <f>Q35/$X$12</f>
        <v>0</v>
      </c>
      <c r="S35" s="283" t="e">
        <f>P35/$X$13</f>
        <v>#VALUE!</v>
      </c>
      <c r="T35" s="286" t="e">
        <f>IF($R35&lt;$F35,MIN($G35,$R35,$S35),MIN($G35,$R35))</f>
        <v>#VALUE!</v>
      </c>
      <c r="U35" s="296"/>
      <c r="V35" s="297"/>
      <c r="W35" s="298"/>
      <c r="X35" s="290">
        <f>IF($Q35&gt;0, $Q35/$T35,0)</f>
        <v>0</v>
      </c>
      <c r="Y35" s="291">
        <f t="shared" si="1"/>
        <v>0</v>
      </c>
      <c r="Z35" s="292" t="e">
        <f t="shared" si="2"/>
        <v>#VALUE!</v>
      </c>
      <c r="AB35" s="282"/>
      <c r="AC35" s="283"/>
      <c r="AD35" s="286"/>
    </row>
    <row r="36" spans="1:34" ht="15" customHeight="1" x14ac:dyDescent="0.25">
      <c r="B36" s="2644"/>
      <c r="C36" s="2647"/>
      <c r="D36" s="2650"/>
      <c r="E36" s="299" t="s">
        <v>514</v>
      </c>
      <c r="F36" s="299"/>
      <c r="G36" s="300"/>
      <c r="H36" s="301"/>
      <c r="I36" s="302"/>
      <c r="J36" s="302"/>
      <c r="K36" s="303"/>
      <c r="L36" s="304">
        <f>IF(ISBLANK(H36),0,VLOOKUP($H36,ResLtgSchPropArray,M$16,FALSE)*I36)</f>
        <v>0</v>
      </c>
      <c r="M36" s="305">
        <f>IFERROR(VLOOKUP($H36,ResLtgSchPropArray,N$16,FALSE)*I36,0)</f>
        <v>0</v>
      </c>
      <c r="N36" s="306">
        <f>IF(ISBLANK(J36),0,VLOOKUP($J36,ResLtgSchPropArray,O$16,FALSE)*K36)</f>
        <v>0</v>
      </c>
      <c r="O36" s="307">
        <f>IFERROR(VLOOKUP($J36,ResLtgSchPropArray,P$16,FALSE)*K36,0)</f>
        <v>0</v>
      </c>
      <c r="P36" s="304">
        <f t="shared" si="5"/>
        <v>0</v>
      </c>
      <c r="Q36" s="305">
        <f t="shared" si="5"/>
        <v>0</v>
      </c>
      <c r="R36" s="305">
        <f>Q36/$X$12</f>
        <v>0</v>
      </c>
      <c r="S36" s="305">
        <f>P36/$X$13</f>
        <v>0</v>
      </c>
      <c r="T36" s="308">
        <f>IF($R36&lt;$F36,MIN($G36,$R36,$S36),MIN($G36,$R36))</f>
        <v>0</v>
      </c>
      <c r="U36" s="309"/>
      <c r="V36" s="310"/>
      <c r="W36" s="311"/>
      <c r="X36" s="312">
        <f>IF($Q36&gt;0, $Q36/$T36,0)</f>
        <v>0</v>
      </c>
      <c r="Y36" s="313">
        <f t="shared" si="1"/>
        <v>0</v>
      </c>
      <c r="Z36" s="314">
        <f t="shared" si="2"/>
        <v>0</v>
      </c>
      <c r="AB36" s="304"/>
      <c r="AC36" s="305"/>
      <c r="AD36" s="308"/>
    </row>
    <row r="37" spans="1:34" ht="12.75" customHeight="1" x14ac:dyDescent="0.25">
      <c r="B37" s="260" t="s">
        <v>601</v>
      </c>
      <c r="C37" s="261" t="e">
        <f ca="1">IF(ISBLANK($B37),0,OFFSET(UnitSummary_Ref,MATCH($B37,OFFSET(UnitSummary_Ref,1,2,96,1),0),C$16,1,1))</f>
        <v>#N/A</v>
      </c>
      <c r="D37" s="262" t="e">
        <f ca="1">IF(ISBLANK($B37),0,OFFSET(UnitSummary_Ref,MATCH($B37,OFFSET(UnitSummary_Ref,1,2,96,1),0),D$16,1,1))</f>
        <v>#N/A</v>
      </c>
      <c r="E37" s="263" t="s">
        <v>82</v>
      </c>
      <c r="F37" s="264">
        <f>SUM(F38:F43)</f>
        <v>180</v>
      </c>
      <c r="G37" s="265">
        <f>SUM(G38:G43)</f>
        <v>180</v>
      </c>
      <c r="H37" s="266" t="s">
        <v>512</v>
      </c>
      <c r="I37" s="267" t="s">
        <v>512</v>
      </c>
      <c r="J37" s="267" t="s">
        <v>512</v>
      </c>
      <c r="K37" s="268" t="s">
        <v>512</v>
      </c>
      <c r="L37" s="266" t="s">
        <v>512</v>
      </c>
      <c r="M37" s="267" t="s">
        <v>512</v>
      </c>
      <c r="N37" s="267" t="s">
        <v>512</v>
      </c>
      <c r="O37" s="269" t="s">
        <v>512</v>
      </c>
      <c r="P37" s="270">
        <f>SUM(P38:P43)</f>
        <v>0</v>
      </c>
      <c r="Q37" s="261">
        <f>SUM(Q38:Q43)</f>
        <v>0</v>
      </c>
      <c r="R37" s="261"/>
      <c r="S37" s="261"/>
      <c r="T37" s="271" t="e">
        <f>SUM(T38:T43)</f>
        <v>#VALUE!</v>
      </c>
      <c r="U37" s="272" t="e">
        <f>$P37/$T37</f>
        <v>#VALUE!</v>
      </c>
      <c r="V37" s="261" t="e">
        <f ca="1">$C37-$T37</f>
        <v>#N/A</v>
      </c>
      <c r="W37" s="273" t="e">
        <f ca="1">(($T37*$U37)+($V37*$X$11))/$C37</f>
        <v>#VALUE!</v>
      </c>
      <c r="X37" s="270">
        <f>IF(Q37&gt;0, Q37/T37,0)</f>
        <v>0</v>
      </c>
      <c r="Y37" s="261">
        <f t="shared" si="1"/>
        <v>0</v>
      </c>
      <c r="Z37" s="273">
        <f t="shared" si="2"/>
        <v>0</v>
      </c>
      <c r="AB37" s="274" t="e">
        <f ca="1">$C37*$D37</f>
        <v>#N/A</v>
      </c>
      <c r="AC37" s="275" t="e">
        <f ca="1">$T37*$D37</f>
        <v>#VALUE!</v>
      </c>
      <c r="AD37" s="276" t="e">
        <f ca="1">P37*D37</f>
        <v>#N/A</v>
      </c>
    </row>
    <row r="38" spans="1:34" ht="12.75" customHeight="1" x14ac:dyDescent="0.25">
      <c r="B38" s="2642"/>
      <c r="C38" s="2645"/>
      <c r="D38" s="2648"/>
      <c r="E38" s="277" t="s">
        <v>154</v>
      </c>
      <c r="F38" s="278">
        <v>42</v>
      </c>
      <c r="G38" s="279">
        <f>F38</f>
        <v>42</v>
      </c>
      <c r="H38" s="277" t="s">
        <v>603</v>
      </c>
      <c r="I38" s="280">
        <v>1</v>
      </c>
      <c r="J38" s="280"/>
      <c r="K38" s="281"/>
      <c r="L38" s="282" t="e">
        <f t="shared" ref="L38:L43" si="6">IF(ISBLANK(H38),0,VLOOKUP($H38,ResLtgSchPropArray,M$16,FALSE)*I38)</f>
        <v>#N/A</v>
      </c>
      <c r="M38" s="283">
        <f t="shared" ref="M38:M43" si="7">IFERROR(VLOOKUP($H38,ResLtgSchPropArray,N$16,FALSE)*I38,0)</f>
        <v>0</v>
      </c>
      <c r="N38" s="284">
        <f t="shared" ref="N38:N43" si="8">IF(ISBLANK(J38),0,VLOOKUP($J38,ResLtgSchPropArray,O$16,FALSE)*K38)</f>
        <v>0</v>
      </c>
      <c r="O38" s="285">
        <f t="shared" ref="O38:O43" si="9">IFERROR(VLOOKUP($J38,ResLtgSchPropArray,P$16,FALSE)*K38,0)</f>
        <v>0</v>
      </c>
      <c r="P38" s="282" t="str">
        <f t="shared" ref="P38:Q43" si="10">IFERROR(L38+N38,"")</f>
        <v/>
      </c>
      <c r="Q38" s="283">
        <f t="shared" si="10"/>
        <v>0</v>
      </c>
      <c r="R38" s="284">
        <f t="shared" ref="R38:R43" si="11">Q38/$X$12</f>
        <v>0</v>
      </c>
      <c r="S38" s="283" t="e">
        <f t="shared" ref="S38:S43" si="12">P38/$X$13</f>
        <v>#VALUE!</v>
      </c>
      <c r="T38" s="286" t="e">
        <f t="shared" ref="T38:T43" si="13">IF($R38&lt;$F38,MIN($G38,$R38,$S38),MIN($G38,$R38))</f>
        <v>#VALUE!</v>
      </c>
      <c r="U38" s="287"/>
      <c r="V38" s="288"/>
      <c r="W38" s="289"/>
      <c r="X38" s="290">
        <f t="shared" ref="X38:X43" si="14">IF($Q38&gt;0, $Q38/$T38,0)</f>
        <v>0</v>
      </c>
      <c r="Y38" s="291">
        <f t="shared" si="1"/>
        <v>0</v>
      </c>
      <c r="Z38" s="292" t="e">
        <f t="shared" si="2"/>
        <v>#VALUE!</v>
      </c>
      <c r="AB38" s="282"/>
      <c r="AC38" s="283"/>
      <c r="AD38" s="285"/>
    </row>
    <row r="39" spans="1:34" x14ac:dyDescent="0.25">
      <c r="B39" s="2643"/>
      <c r="C39" s="2646"/>
      <c r="D39" s="2649"/>
      <c r="E39" s="277" t="s">
        <v>83</v>
      </c>
      <c r="F39" s="278">
        <v>52</v>
      </c>
      <c r="G39" s="279">
        <f>F39</f>
        <v>52</v>
      </c>
      <c r="H39" s="277" t="s">
        <v>606</v>
      </c>
      <c r="I39" s="359">
        <v>1</v>
      </c>
      <c r="J39" s="359" t="s">
        <v>607</v>
      </c>
      <c r="K39" s="360">
        <v>1</v>
      </c>
      <c r="L39" s="282" t="e">
        <f t="shared" si="6"/>
        <v>#N/A</v>
      </c>
      <c r="M39" s="283">
        <f t="shared" si="7"/>
        <v>0</v>
      </c>
      <c r="N39" s="284" t="e">
        <f t="shared" si="8"/>
        <v>#N/A</v>
      </c>
      <c r="O39" s="285">
        <f t="shared" si="9"/>
        <v>0</v>
      </c>
      <c r="P39" s="282" t="str">
        <f t="shared" si="10"/>
        <v/>
      </c>
      <c r="Q39" s="283">
        <f t="shared" si="10"/>
        <v>0</v>
      </c>
      <c r="R39" s="283">
        <f t="shared" si="11"/>
        <v>0</v>
      </c>
      <c r="S39" s="283" t="e">
        <f t="shared" si="12"/>
        <v>#VALUE!</v>
      </c>
      <c r="T39" s="286" t="e">
        <f t="shared" si="13"/>
        <v>#VALUE!</v>
      </c>
      <c r="U39" s="296"/>
      <c r="V39" s="297"/>
      <c r="W39" s="298"/>
      <c r="X39" s="290">
        <f t="shared" si="14"/>
        <v>0</v>
      </c>
      <c r="Y39" s="291">
        <f t="shared" si="1"/>
        <v>0</v>
      </c>
      <c r="Z39" s="292" t="e">
        <f t="shared" si="2"/>
        <v>#VALUE!</v>
      </c>
      <c r="AB39" s="282"/>
      <c r="AC39" s="283"/>
      <c r="AD39" s="286"/>
    </row>
    <row r="40" spans="1:34" ht="12.75" customHeight="1" x14ac:dyDescent="0.25">
      <c r="B40" s="2643"/>
      <c r="C40" s="2646"/>
      <c r="D40" s="2649"/>
      <c r="E40" s="277" t="s">
        <v>94</v>
      </c>
      <c r="F40" s="278">
        <v>13</v>
      </c>
      <c r="G40" s="279">
        <f>F40</f>
        <v>13</v>
      </c>
      <c r="H40" s="277" t="s">
        <v>605</v>
      </c>
      <c r="I40" s="280">
        <v>1</v>
      </c>
      <c r="J40" s="280"/>
      <c r="K40" s="281"/>
      <c r="L40" s="282" t="e">
        <f>IF(ISBLANK(H40),0,VLOOKUP($H40,ResLtgSchPropArray,M$16,FALSE)*I40)</f>
        <v>#N/A</v>
      </c>
      <c r="M40" s="283">
        <f>IFERROR(VLOOKUP($H40,ResLtgSchPropArray,N$16,FALSE)*I40,0)</f>
        <v>0</v>
      </c>
      <c r="N40" s="284">
        <f>IF(ISBLANK(J40),0,VLOOKUP($J40,ResLtgSchPropArray,O$16,FALSE)*K40)</f>
        <v>0</v>
      </c>
      <c r="O40" s="285">
        <f>IFERROR(VLOOKUP($J40,ResLtgSchPropArray,P$16,FALSE)*K40,0)</f>
        <v>0</v>
      </c>
      <c r="P40" s="282" t="str">
        <f t="shared" ref="P40:Q42" si="15">IFERROR(L40+N40,"")</f>
        <v/>
      </c>
      <c r="Q40" s="283">
        <f t="shared" si="15"/>
        <v>0</v>
      </c>
      <c r="R40" s="283">
        <f t="shared" si="11"/>
        <v>0</v>
      </c>
      <c r="S40" s="283" t="e">
        <f t="shared" si="12"/>
        <v>#VALUE!</v>
      </c>
      <c r="T40" s="286" t="e">
        <f t="shared" si="13"/>
        <v>#VALUE!</v>
      </c>
      <c r="U40" s="296"/>
      <c r="V40" s="297"/>
      <c r="W40" s="298"/>
      <c r="X40" s="290">
        <f t="shared" si="14"/>
        <v>0</v>
      </c>
      <c r="Y40" s="291">
        <f t="shared" si="1"/>
        <v>0</v>
      </c>
      <c r="Z40" s="292" t="e">
        <f t="shared" si="2"/>
        <v>#VALUE!</v>
      </c>
      <c r="AB40" s="282"/>
      <c r="AC40" s="283"/>
      <c r="AD40" s="286"/>
    </row>
    <row r="41" spans="1:34" ht="12.75" customHeight="1" x14ac:dyDescent="0.25">
      <c r="B41" s="2643"/>
      <c r="C41" s="2646"/>
      <c r="D41" s="2649"/>
      <c r="E41" s="277" t="s">
        <v>78</v>
      </c>
      <c r="F41" s="278">
        <v>73</v>
      </c>
      <c r="G41" s="279">
        <f>F41</f>
        <v>73</v>
      </c>
      <c r="H41" s="277" t="s">
        <v>604</v>
      </c>
      <c r="I41" s="280">
        <v>1</v>
      </c>
      <c r="J41" s="280"/>
      <c r="K41" s="281"/>
      <c r="L41" s="282" t="e">
        <f>IF(ISBLANK(H41),0,VLOOKUP($H41,ResLtgSchPropArray,M$16,FALSE)*I41)</f>
        <v>#N/A</v>
      </c>
      <c r="M41" s="283">
        <f>IFERROR(VLOOKUP($H41,ResLtgSchPropArray,N$16,FALSE)*I41,0)</f>
        <v>0</v>
      </c>
      <c r="N41" s="284">
        <f>IF(ISBLANK(J41),0,VLOOKUP($J41,ResLtgSchPropArray,O$16,FALSE)*K41)</f>
        <v>0</v>
      </c>
      <c r="O41" s="285">
        <f>IFERROR(VLOOKUP($J41,ResLtgSchPropArray,P$16,FALSE)*K41,0)</f>
        <v>0</v>
      </c>
      <c r="P41" s="282" t="str">
        <f t="shared" si="15"/>
        <v/>
      </c>
      <c r="Q41" s="283">
        <f t="shared" si="15"/>
        <v>0</v>
      </c>
      <c r="R41" s="283">
        <f t="shared" si="11"/>
        <v>0</v>
      </c>
      <c r="S41" s="283" t="e">
        <f t="shared" si="12"/>
        <v>#VALUE!</v>
      </c>
      <c r="T41" s="286" t="e">
        <f t="shared" si="13"/>
        <v>#VALUE!</v>
      </c>
      <c r="U41" s="296"/>
      <c r="V41" s="297"/>
      <c r="W41" s="298"/>
      <c r="X41" s="290">
        <f t="shared" si="14"/>
        <v>0</v>
      </c>
      <c r="Y41" s="291">
        <f t="shared" si="1"/>
        <v>0</v>
      </c>
      <c r="Z41" s="292" t="e">
        <f t="shared" si="2"/>
        <v>#VALUE!</v>
      </c>
      <c r="AB41" s="282"/>
      <c r="AC41" s="283"/>
      <c r="AD41" s="286"/>
    </row>
    <row r="42" spans="1:34" ht="12.75" customHeight="1" x14ac:dyDescent="0.25">
      <c r="B42" s="2643"/>
      <c r="C42" s="2646"/>
      <c r="D42" s="2649"/>
      <c r="E42" s="277" t="s">
        <v>301</v>
      </c>
      <c r="F42" s="278"/>
      <c r="G42" s="279">
        <f>F42</f>
        <v>0</v>
      </c>
      <c r="H42" s="295"/>
      <c r="I42" s="280"/>
      <c r="J42" s="280"/>
      <c r="K42" s="281"/>
      <c r="L42" s="282">
        <f>IF(ISBLANK(H42),0,VLOOKUP($H42,ResLtgSchPropArray,M$16,FALSE)*I42)</f>
        <v>0</v>
      </c>
      <c r="M42" s="283">
        <f>IFERROR(VLOOKUP($H42,ResLtgSchPropArray,N$16,FALSE)*I42,0)</f>
        <v>0</v>
      </c>
      <c r="N42" s="284">
        <f>IF(ISBLANK(J42),0,VLOOKUP($J42,ResLtgSchPropArray,O$16,FALSE)*K42)</f>
        <v>0</v>
      </c>
      <c r="O42" s="285">
        <f>IFERROR(VLOOKUP($J42,ResLtgSchPropArray,P$16,FALSE)*K42,0)</f>
        <v>0</v>
      </c>
      <c r="P42" s="282">
        <f t="shared" si="15"/>
        <v>0</v>
      </c>
      <c r="Q42" s="283">
        <f t="shared" si="15"/>
        <v>0</v>
      </c>
      <c r="R42" s="283">
        <f t="shared" si="11"/>
        <v>0</v>
      </c>
      <c r="S42" s="283">
        <f t="shared" si="12"/>
        <v>0</v>
      </c>
      <c r="T42" s="286">
        <f t="shared" si="13"/>
        <v>0</v>
      </c>
      <c r="U42" s="296"/>
      <c r="V42" s="297"/>
      <c r="W42" s="298"/>
      <c r="X42" s="290">
        <f t="shared" si="14"/>
        <v>0</v>
      </c>
      <c r="Y42" s="291">
        <f t="shared" si="1"/>
        <v>0</v>
      </c>
      <c r="Z42" s="292">
        <f t="shared" si="2"/>
        <v>0</v>
      </c>
      <c r="AB42" s="282"/>
      <c r="AC42" s="283"/>
      <c r="AD42" s="286"/>
    </row>
    <row r="43" spans="1:34" ht="12.75" customHeight="1" x14ac:dyDescent="0.25">
      <c r="B43" s="2644"/>
      <c r="C43" s="2647"/>
      <c r="D43" s="2650"/>
      <c r="E43" s="299" t="s">
        <v>514</v>
      </c>
      <c r="F43" s="299"/>
      <c r="G43" s="300"/>
      <c r="H43" s="301"/>
      <c r="I43" s="302"/>
      <c r="J43" s="302"/>
      <c r="K43" s="303"/>
      <c r="L43" s="304">
        <f t="shared" si="6"/>
        <v>0</v>
      </c>
      <c r="M43" s="305">
        <f t="shared" si="7"/>
        <v>0</v>
      </c>
      <c r="N43" s="306">
        <f t="shared" si="8"/>
        <v>0</v>
      </c>
      <c r="O43" s="307">
        <f t="shared" si="9"/>
        <v>0</v>
      </c>
      <c r="P43" s="304">
        <f t="shared" si="10"/>
        <v>0</v>
      </c>
      <c r="Q43" s="305">
        <f t="shared" si="10"/>
        <v>0</v>
      </c>
      <c r="R43" s="305">
        <f t="shared" si="11"/>
        <v>0</v>
      </c>
      <c r="S43" s="305">
        <f t="shared" si="12"/>
        <v>0</v>
      </c>
      <c r="T43" s="308">
        <f t="shared" si="13"/>
        <v>0</v>
      </c>
      <c r="U43" s="309"/>
      <c r="V43" s="310"/>
      <c r="W43" s="311"/>
      <c r="X43" s="312">
        <f t="shared" si="14"/>
        <v>0</v>
      </c>
      <c r="Y43" s="313">
        <f t="shared" si="1"/>
        <v>0</v>
      </c>
      <c r="Z43" s="314">
        <f t="shared" si="2"/>
        <v>0</v>
      </c>
      <c r="AB43" s="315"/>
      <c r="AC43" s="316"/>
      <c r="AD43" s="317"/>
    </row>
    <row r="44" spans="1:34" ht="15" customHeight="1" x14ac:dyDescent="0.3">
      <c r="A44" s="162"/>
      <c r="B44" s="260" t="s">
        <v>600</v>
      </c>
      <c r="C44" s="261" t="e">
        <f ca="1">IF(ISBLANK($B44),0,OFFSET(UnitSummary_Ref,MATCH($B44,OFFSET(UnitSummary_Ref,1,2,96,1),0),T$16,1,1))</f>
        <v>#N/A</v>
      </c>
      <c r="D44" s="262" t="e">
        <f ca="1">IF(ISBLANK($B44),0,OFFSET(UnitSummary_Ref,MATCH($B44,OFFSET(UnitSummary_Ref,1,2,96,1),0),D$16,1,1))</f>
        <v>#N/A</v>
      </c>
      <c r="E44" s="263" t="s">
        <v>82</v>
      </c>
      <c r="F44" s="264">
        <f>SUM(F45:F49)</f>
        <v>243</v>
      </c>
      <c r="G44" s="265">
        <f>SUM(G45:G49)</f>
        <v>243</v>
      </c>
      <c r="H44" s="266" t="s">
        <v>512</v>
      </c>
      <c r="I44" s="267" t="s">
        <v>512</v>
      </c>
      <c r="J44" s="267" t="s">
        <v>512</v>
      </c>
      <c r="K44" s="268" t="s">
        <v>512</v>
      </c>
      <c r="L44" s="266" t="s">
        <v>512</v>
      </c>
      <c r="M44" s="267" t="s">
        <v>512</v>
      </c>
      <c r="N44" s="267" t="s">
        <v>512</v>
      </c>
      <c r="O44" s="269" t="s">
        <v>512</v>
      </c>
      <c r="P44" s="270">
        <f>SUM(P45:P49)</f>
        <v>0</v>
      </c>
      <c r="Q44" s="261">
        <f>SUM(Q45:Q49)</f>
        <v>0</v>
      </c>
      <c r="R44" s="261"/>
      <c r="S44" s="261"/>
      <c r="T44" s="271" t="e">
        <f>SUM(T45:T49)</f>
        <v>#VALUE!</v>
      </c>
      <c r="U44" s="272" t="e">
        <f>$P44/$T44</f>
        <v>#VALUE!</v>
      </c>
      <c r="V44" s="261" t="e">
        <f ca="1">$C44-$T44</f>
        <v>#N/A</v>
      </c>
      <c r="W44" s="273" t="e">
        <f ca="1">(($T44*$U44)+($V44*$X$11))/$C44</f>
        <v>#VALUE!</v>
      </c>
      <c r="X44" s="270">
        <f>IF(Q44&gt;0, Q44/T44,0)</f>
        <v>0</v>
      </c>
      <c r="Y44" s="261">
        <f t="shared" si="1"/>
        <v>0</v>
      </c>
      <c r="Z44" s="273">
        <f t="shared" si="2"/>
        <v>0</v>
      </c>
      <c r="AB44" s="274" t="e">
        <f ca="1">$C44*$D44</f>
        <v>#N/A</v>
      </c>
      <c r="AC44" s="275" t="e">
        <f ca="1">$T44*$D44</f>
        <v>#VALUE!</v>
      </c>
      <c r="AD44" s="276" t="e">
        <f ca="1">P44*D44</f>
        <v>#N/A</v>
      </c>
    </row>
    <row r="45" spans="1:34" ht="12.75" customHeight="1" x14ac:dyDescent="0.25">
      <c r="B45" s="2642"/>
      <c r="C45" s="2645"/>
      <c r="D45" s="2648"/>
      <c r="E45" s="277" t="s">
        <v>154</v>
      </c>
      <c r="F45" s="278">
        <v>82</v>
      </c>
      <c r="G45" s="279">
        <f t="shared" ref="G45:G48" si="16">F45</f>
        <v>82</v>
      </c>
      <c r="H45" s="277" t="s">
        <v>603</v>
      </c>
      <c r="I45" s="280">
        <v>2</v>
      </c>
      <c r="J45" s="280"/>
      <c r="K45" s="281"/>
      <c r="L45" s="282" t="e">
        <f t="shared" ref="L45:L49" si="17">IF(ISBLANK(H45),0,VLOOKUP($H45,ResLtgSchPropArray,M$16,FALSE)*I45)</f>
        <v>#N/A</v>
      </c>
      <c r="M45" s="283">
        <f t="shared" ref="M45:M49" si="18">IFERROR(VLOOKUP($H45,ResLtgSchPropArray,N$16,FALSE)*I45,0)</f>
        <v>0</v>
      </c>
      <c r="N45" s="284">
        <f t="shared" ref="N45:N49" si="19">IF(ISBLANK(J45),0,VLOOKUP($J45,ResLtgSchPropArray,O$16,FALSE)*K45)</f>
        <v>0</v>
      </c>
      <c r="O45" s="285">
        <f t="shared" ref="O45:O49" si="20">IFERROR(VLOOKUP($J45,ResLtgSchPropArray,P$16,FALSE)*K45,0)</f>
        <v>0</v>
      </c>
      <c r="P45" s="282" t="str">
        <f t="shared" ref="P45:Q49" si="21">IFERROR(L45+N45,"")</f>
        <v/>
      </c>
      <c r="Q45" s="283">
        <f t="shared" si="21"/>
        <v>0</v>
      </c>
      <c r="R45" s="284">
        <f>Q45/$X$12</f>
        <v>0</v>
      </c>
      <c r="S45" s="283" t="e">
        <f>P45/$X$13</f>
        <v>#VALUE!</v>
      </c>
      <c r="T45" s="286" t="e">
        <f t="shared" ref="T45:T49" si="22">IF($R45&lt;$F45,MIN($G45,$R45,$S45),MIN($G45,$R45))</f>
        <v>#VALUE!</v>
      </c>
      <c r="U45" s="287"/>
      <c r="V45" s="288"/>
      <c r="W45" s="289"/>
      <c r="X45" s="290">
        <f>IF($Q45&gt;0, $Q45/$T45,0)</f>
        <v>0</v>
      </c>
      <c r="Y45" s="291">
        <f t="shared" si="1"/>
        <v>0</v>
      </c>
      <c r="Z45" s="292" t="e">
        <f t="shared" si="2"/>
        <v>#VALUE!</v>
      </c>
      <c r="AB45" s="282"/>
      <c r="AC45" s="283"/>
      <c r="AD45" s="285"/>
    </row>
    <row r="46" spans="1:34" ht="12.75" customHeight="1" x14ac:dyDescent="0.25">
      <c r="B46" s="2643"/>
      <c r="C46" s="2646"/>
      <c r="D46" s="2649"/>
      <c r="E46" s="277" t="s">
        <v>78</v>
      </c>
      <c r="F46" s="278">
        <v>74</v>
      </c>
      <c r="G46" s="279">
        <f t="shared" si="16"/>
        <v>74</v>
      </c>
      <c r="H46" s="277" t="s">
        <v>604</v>
      </c>
      <c r="I46" s="280">
        <v>1</v>
      </c>
      <c r="J46" s="280"/>
      <c r="K46" s="281"/>
      <c r="L46" s="282" t="e">
        <f t="shared" si="17"/>
        <v>#N/A</v>
      </c>
      <c r="M46" s="283">
        <f t="shared" si="18"/>
        <v>0</v>
      </c>
      <c r="N46" s="284">
        <f t="shared" si="19"/>
        <v>0</v>
      </c>
      <c r="O46" s="285">
        <f t="shared" si="20"/>
        <v>0</v>
      </c>
      <c r="P46" s="282" t="str">
        <f t="shared" si="21"/>
        <v/>
      </c>
      <c r="Q46" s="283">
        <f t="shared" si="21"/>
        <v>0</v>
      </c>
      <c r="R46" s="283">
        <f t="shared" ref="R46:R49" si="23">Q46/$X$12</f>
        <v>0</v>
      </c>
      <c r="S46" s="283" t="e">
        <f t="shared" ref="S46:S49" si="24">P46/$X$13</f>
        <v>#VALUE!</v>
      </c>
      <c r="T46" s="286" t="e">
        <f t="shared" si="22"/>
        <v>#VALUE!</v>
      </c>
      <c r="U46" s="296"/>
      <c r="V46" s="297"/>
      <c r="W46" s="298"/>
      <c r="X46" s="290">
        <f t="shared" ref="X46:X49" si="25">IF($Q46&gt;0, $Q46/$T46,0)</f>
        <v>0</v>
      </c>
      <c r="Y46" s="291">
        <f t="shared" ref="Y46:Y49" si="26">IF($Q46&gt;0, $Q46/$P46,0)</f>
        <v>0</v>
      </c>
      <c r="Z46" s="292" t="e">
        <f t="shared" ref="Z46:Z49" si="27">IF($P46&gt;0, $P46/$T46,0)</f>
        <v>#VALUE!</v>
      </c>
      <c r="AB46" s="282"/>
      <c r="AC46" s="283"/>
      <c r="AD46" s="286"/>
    </row>
    <row r="47" spans="1:34" x14ac:dyDescent="0.25">
      <c r="B47" s="2643"/>
      <c r="C47" s="2646"/>
      <c r="D47" s="2649"/>
      <c r="E47" s="277" t="s">
        <v>83</v>
      </c>
      <c r="F47" s="278">
        <v>76</v>
      </c>
      <c r="G47" s="279">
        <f t="shared" si="16"/>
        <v>76</v>
      </c>
      <c r="H47" s="277" t="s">
        <v>606</v>
      </c>
      <c r="I47" s="359">
        <v>1</v>
      </c>
      <c r="J47" s="359" t="s">
        <v>607</v>
      </c>
      <c r="K47" s="360">
        <v>1</v>
      </c>
      <c r="L47" s="282" t="e">
        <f t="shared" si="17"/>
        <v>#N/A</v>
      </c>
      <c r="M47" s="283">
        <f t="shared" si="18"/>
        <v>0</v>
      </c>
      <c r="N47" s="284" t="e">
        <f t="shared" si="19"/>
        <v>#N/A</v>
      </c>
      <c r="O47" s="285">
        <f t="shared" si="20"/>
        <v>0</v>
      </c>
      <c r="P47" s="282" t="str">
        <f t="shared" si="21"/>
        <v/>
      </c>
      <c r="Q47" s="283">
        <f t="shared" si="21"/>
        <v>0</v>
      </c>
      <c r="R47" s="283">
        <f t="shared" si="23"/>
        <v>0</v>
      </c>
      <c r="S47" s="283" t="e">
        <f t="shared" si="24"/>
        <v>#VALUE!</v>
      </c>
      <c r="T47" s="286" t="e">
        <f t="shared" si="22"/>
        <v>#VALUE!</v>
      </c>
      <c r="U47" s="296"/>
      <c r="V47" s="297"/>
      <c r="W47" s="298"/>
      <c r="X47" s="290">
        <f t="shared" si="25"/>
        <v>0</v>
      </c>
      <c r="Y47" s="291">
        <f t="shared" si="26"/>
        <v>0</v>
      </c>
      <c r="Z47" s="292" t="e">
        <f t="shared" si="27"/>
        <v>#VALUE!</v>
      </c>
      <c r="AB47" s="282"/>
      <c r="AC47" s="283"/>
      <c r="AD47" s="286"/>
    </row>
    <row r="48" spans="1:34" ht="12.75" customHeight="1" x14ac:dyDescent="0.25">
      <c r="B48" s="2643"/>
      <c r="C48" s="2646"/>
      <c r="D48" s="2649"/>
      <c r="E48" s="277" t="s">
        <v>94</v>
      </c>
      <c r="F48" s="278">
        <v>11</v>
      </c>
      <c r="G48" s="279">
        <f t="shared" si="16"/>
        <v>11</v>
      </c>
      <c r="H48" s="277" t="s">
        <v>605</v>
      </c>
      <c r="I48" s="280">
        <v>1</v>
      </c>
      <c r="J48" s="280"/>
      <c r="K48" s="281"/>
      <c r="L48" s="282" t="e">
        <f t="shared" si="17"/>
        <v>#N/A</v>
      </c>
      <c r="M48" s="283">
        <f t="shared" si="18"/>
        <v>0</v>
      </c>
      <c r="N48" s="284">
        <f t="shared" si="19"/>
        <v>0</v>
      </c>
      <c r="O48" s="285">
        <f t="shared" si="20"/>
        <v>0</v>
      </c>
      <c r="P48" s="282" t="str">
        <f t="shared" si="21"/>
        <v/>
      </c>
      <c r="Q48" s="283">
        <f t="shared" si="21"/>
        <v>0</v>
      </c>
      <c r="R48" s="283">
        <f t="shared" si="23"/>
        <v>0</v>
      </c>
      <c r="S48" s="283" t="e">
        <f t="shared" si="24"/>
        <v>#VALUE!</v>
      </c>
      <c r="T48" s="286" t="e">
        <f t="shared" si="22"/>
        <v>#VALUE!</v>
      </c>
      <c r="U48" s="296"/>
      <c r="V48" s="297"/>
      <c r="W48" s="298"/>
      <c r="X48" s="290">
        <f t="shared" si="25"/>
        <v>0</v>
      </c>
      <c r="Y48" s="291">
        <f t="shared" si="26"/>
        <v>0</v>
      </c>
      <c r="Z48" s="292" t="e">
        <f t="shared" si="27"/>
        <v>#VALUE!</v>
      </c>
      <c r="AB48" s="282"/>
      <c r="AC48" s="283"/>
      <c r="AD48" s="286"/>
    </row>
    <row r="49" spans="1:30" ht="12.75" customHeight="1" x14ac:dyDescent="0.25">
      <c r="B49" s="2644"/>
      <c r="C49" s="2647"/>
      <c r="D49" s="2650"/>
      <c r="E49" s="301" t="s">
        <v>514</v>
      </c>
      <c r="F49" s="299"/>
      <c r="G49" s="300"/>
      <c r="H49" s="301"/>
      <c r="I49" s="302"/>
      <c r="J49" s="302"/>
      <c r="K49" s="303"/>
      <c r="L49" s="304">
        <f t="shared" si="17"/>
        <v>0</v>
      </c>
      <c r="M49" s="305">
        <f t="shared" si="18"/>
        <v>0</v>
      </c>
      <c r="N49" s="306">
        <f t="shared" si="19"/>
        <v>0</v>
      </c>
      <c r="O49" s="307">
        <f t="shared" si="20"/>
        <v>0</v>
      </c>
      <c r="P49" s="304">
        <f t="shared" si="21"/>
        <v>0</v>
      </c>
      <c r="Q49" s="305">
        <f t="shared" si="21"/>
        <v>0</v>
      </c>
      <c r="R49" s="305">
        <f t="shared" si="23"/>
        <v>0</v>
      </c>
      <c r="S49" s="305">
        <f t="shared" si="24"/>
        <v>0</v>
      </c>
      <c r="T49" s="308">
        <f t="shared" si="22"/>
        <v>0</v>
      </c>
      <c r="U49" s="309"/>
      <c r="V49" s="310"/>
      <c r="W49" s="311"/>
      <c r="X49" s="312">
        <f t="shared" si="25"/>
        <v>0</v>
      </c>
      <c r="Y49" s="313">
        <f t="shared" si="26"/>
        <v>0</v>
      </c>
      <c r="Z49" s="314">
        <f t="shared" si="27"/>
        <v>0</v>
      </c>
      <c r="AB49" s="315"/>
      <c r="AC49" s="316"/>
      <c r="AD49" s="317"/>
    </row>
    <row r="50" spans="1:30" ht="15" customHeight="1" x14ac:dyDescent="0.3">
      <c r="A50"/>
      <c r="B50" s="260" t="s">
        <v>462</v>
      </c>
      <c r="C50" s="261" t="e">
        <f ca="1">IF(ISBLANK($B50),0,OFFSET(UnitSummary_Ref,MATCH($B50,OFFSET(UnitSummary_Ref,1,2,96,1),0),T$16,1,1))</f>
        <v>#N/A</v>
      </c>
      <c r="D50" s="262" t="e">
        <f ca="1">IF(ISBLANK($B50),0,OFFSET(UnitSummary_Ref,MATCH($B50,OFFSET(UnitSummary_Ref,1,2,96,1),0),D$16,1,1))</f>
        <v>#N/A</v>
      </c>
      <c r="E50" s="263" t="s">
        <v>82</v>
      </c>
      <c r="F50" s="264">
        <f>SUM(F51:F55)</f>
        <v>275</v>
      </c>
      <c r="G50" s="265">
        <f>SUM(G51:G55)</f>
        <v>275</v>
      </c>
      <c r="H50" s="266" t="s">
        <v>512</v>
      </c>
      <c r="I50" s="267" t="s">
        <v>512</v>
      </c>
      <c r="J50" s="267" t="s">
        <v>512</v>
      </c>
      <c r="K50" s="268" t="s">
        <v>512</v>
      </c>
      <c r="L50" s="266" t="s">
        <v>512</v>
      </c>
      <c r="M50" s="267" t="s">
        <v>512</v>
      </c>
      <c r="N50" s="267" t="s">
        <v>512</v>
      </c>
      <c r="O50" s="269" t="s">
        <v>512</v>
      </c>
      <c r="P50" s="270">
        <f>SUM(P51:P55)</f>
        <v>0</v>
      </c>
      <c r="Q50" s="261">
        <f>SUM(Q51:Q55)</f>
        <v>0</v>
      </c>
      <c r="R50" s="261"/>
      <c r="S50" s="261"/>
      <c r="T50" s="271" t="e">
        <f>SUM(T51:T55)</f>
        <v>#VALUE!</v>
      </c>
      <c r="U50" s="272" t="e">
        <f>$P50/$T50</f>
        <v>#VALUE!</v>
      </c>
      <c r="V50" s="261" t="e">
        <f ca="1">$C50-$T50</f>
        <v>#N/A</v>
      </c>
      <c r="W50" s="273" t="e">
        <f ca="1">(($T50*$U50)+($V50*$X$11))/$C50</f>
        <v>#VALUE!</v>
      </c>
      <c r="X50" s="270">
        <f>IF(Q50&gt;0, Q50/T50,0)</f>
        <v>0</v>
      </c>
      <c r="Y50" s="261">
        <f>IF($Q50&gt;0, $Q50/$P50,0)</f>
        <v>0</v>
      </c>
      <c r="Z50" s="273">
        <f>IF($P50&gt;0, $P50/$T50,0)</f>
        <v>0</v>
      </c>
      <c r="AB50" s="274" t="e">
        <f ca="1">$C50*$D50</f>
        <v>#N/A</v>
      </c>
      <c r="AC50" s="275" t="e">
        <f ca="1">$T50*$D50</f>
        <v>#VALUE!</v>
      </c>
      <c r="AD50" s="276" t="e">
        <f ca="1">P50*D50</f>
        <v>#N/A</v>
      </c>
    </row>
    <row r="51" spans="1:30" ht="15" customHeight="1" x14ac:dyDescent="0.3">
      <c r="A51"/>
      <c r="B51" s="2642"/>
      <c r="C51" s="2645"/>
      <c r="D51" s="2648"/>
      <c r="E51" s="277" t="s">
        <v>154</v>
      </c>
      <c r="F51" s="278">
        <v>91</v>
      </c>
      <c r="G51" s="279">
        <f t="shared" ref="G51:G54" si="28">F51</f>
        <v>91</v>
      </c>
      <c r="H51" s="277" t="s">
        <v>603</v>
      </c>
      <c r="I51" s="280">
        <v>3</v>
      </c>
      <c r="J51" s="280"/>
      <c r="K51" s="281"/>
      <c r="L51" s="282" t="e">
        <f t="shared" ref="L51:L55" si="29">IF(ISBLANK(H51),0,VLOOKUP($H51,ResLtgSchPropArray,M$16,FALSE)*I51)</f>
        <v>#N/A</v>
      </c>
      <c r="M51" s="283">
        <f t="shared" ref="M51:M55" si="30">IFERROR(VLOOKUP($H51,ResLtgSchPropArray,N$16,FALSE)*I51,0)</f>
        <v>0</v>
      </c>
      <c r="N51" s="284">
        <f t="shared" ref="N51:N55" si="31">IF(ISBLANK(J51),0,VLOOKUP($J51,ResLtgSchPropArray,O$16,FALSE)*K51)</f>
        <v>0</v>
      </c>
      <c r="O51" s="285">
        <f t="shared" ref="O51:O55" si="32">IFERROR(VLOOKUP($J51,ResLtgSchPropArray,P$16,FALSE)*K51,0)</f>
        <v>0</v>
      </c>
      <c r="P51" s="282" t="str">
        <f t="shared" ref="P51:Q55" si="33">IFERROR(L51+N51,"")</f>
        <v/>
      </c>
      <c r="Q51" s="283">
        <f t="shared" si="33"/>
        <v>0</v>
      </c>
      <c r="R51" s="284">
        <f>Q51/$X$12</f>
        <v>0</v>
      </c>
      <c r="S51" s="283" t="e">
        <f>P51/$X$13</f>
        <v>#VALUE!</v>
      </c>
      <c r="T51" s="286" t="e">
        <f t="shared" ref="T51:T55" si="34">IF($R51&lt;$F51,MIN($G51,$R51,$S51),MIN($G51,$R51))</f>
        <v>#VALUE!</v>
      </c>
      <c r="U51" s="287"/>
      <c r="V51" s="288"/>
      <c r="W51" s="289"/>
      <c r="X51" s="290">
        <f>IF($Q51&gt;0, $Q51/$T51,0)</f>
        <v>0</v>
      </c>
      <c r="Y51" s="291">
        <f>IF($Q51&gt;0, $Q51/$P51,0)</f>
        <v>0</v>
      </c>
      <c r="Z51" s="292" t="e">
        <f>IF($P51&gt;0, $P51/$T51,0)</f>
        <v>#VALUE!</v>
      </c>
      <c r="AB51" s="282"/>
      <c r="AC51" s="283"/>
      <c r="AD51" s="285"/>
    </row>
    <row r="52" spans="1:30" ht="15" customHeight="1" x14ac:dyDescent="0.3">
      <c r="A52"/>
      <c r="B52" s="2643"/>
      <c r="C52" s="2646"/>
      <c r="D52" s="2649"/>
      <c r="E52" s="277" t="s">
        <v>78</v>
      </c>
      <c r="F52" s="278">
        <v>110</v>
      </c>
      <c r="G52" s="279">
        <f t="shared" si="28"/>
        <v>110</v>
      </c>
      <c r="H52" s="277" t="s">
        <v>604</v>
      </c>
      <c r="I52" s="280">
        <v>1</v>
      </c>
      <c r="J52" s="280"/>
      <c r="K52" s="281"/>
      <c r="L52" s="282" t="e">
        <f t="shared" si="29"/>
        <v>#N/A</v>
      </c>
      <c r="M52" s="283">
        <f t="shared" si="30"/>
        <v>0</v>
      </c>
      <c r="N52" s="284">
        <f t="shared" si="31"/>
        <v>0</v>
      </c>
      <c r="O52" s="285">
        <f t="shared" si="32"/>
        <v>0</v>
      </c>
      <c r="P52" s="282" t="str">
        <f t="shared" si="33"/>
        <v/>
      </c>
      <c r="Q52" s="283">
        <f t="shared" si="33"/>
        <v>0</v>
      </c>
      <c r="R52" s="283">
        <f t="shared" ref="R52:R55" si="35">Q52/$X$12</f>
        <v>0</v>
      </c>
      <c r="S52" s="283" t="e">
        <f t="shared" ref="S52:S55" si="36">P52/$X$13</f>
        <v>#VALUE!</v>
      </c>
      <c r="T52" s="286" t="e">
        <f t="shared" si="34"/>
        <v>#VALUE!</v>
      </c>
      <c r="U52" s="296"/>
      <c r="V52" s="297"/>
      <c r="W52" s="298"/>
      <c r="X52" s="290">
        <f t="shared" ref="X52:X55" si="37">IF($Q52&gt;0, $Q52/$T52,0)</f>
        <v>0</v>
      </c>
      <c r="Y52" s="291">
        <f t="shared" ref="Y52:Y55" si="38">IF($Q52&gt;0, $Q52/$P52,0)</f>
        <v>0</v>
      </c>
      <c r="Z52" s="292" t="e">
        <f t="shared" ref="Z52:Z55" si="39">IF($P52&gt;0, $P52/$T52,0)</f>
        <v>#VALUE!</v>
      </c>
      <c r="AB52" s="282"/>
      <c r="AC52" s="283"/>
      <c r="AD52" s="286"/>
    </row>
    <row r="53" spans="1:30" ht="14.4" x14ac:dyDescent="0.3">
      <c r="A53"/>
      <c r="B53" s="2643"/>
      <c r="C53" s="2646"/>
      <c r="D53" s="2649"/>
      <c r="E53" s="277" t="s">
        <v>83</v>
      </c>
      <c r="F53" s="278">
        <v>58</v>
      </c>
      <c r="G53" s="279">
        <f t="shared" si="28"/>
        <v>58</v>
      </c>
      <c r="H53" s="277" t="s">
        <v>606</v>
      </c>
      <c r="I53" s="359">
        <v>1</v>
      </c>
      <c r="J53" s="359" t="s">
        <v>607</v>
      </c>
      <c r="K53" s="360">
        <v>1</v>
      </c>
      <c r="L53" s="282" t="e">
        <f t="shared" si="29"/>
        <v>#N/A</v>
      </c>
      <c r="M53" s="283">
        <f t="shared" si="30"/>
        <v>0</v>
      </c>
      <c r="N53" s="284" t="e">
        <f t="shared" si="31"/>
        <v>#N/A</v>
      </c>
      <c r="O53" s="285">
        <f t="shared" si="32"/>
        <v>0</v>
      </c>
      <c r="P53" s="282" t="str">
        <f t="shared" si="33"/>
        <v/>
      </c>
      <c r="Q53" s="283">
        <f t="shared" si="33"/>
        <v>0</v>
      </c>
      <c r="R53" s="283">
        <f t="shared" si="35"/>
        <v>0</v>
      </c>
      <c r="S53" s="283" t="e">
        <f t="shared" si="36"/>
        <v>#VALUE!</v>
      </c>
      <c r="T53" s="286" t="e">
        <f t="shared" si="34"/>
        <v>#VALUE!</v>
      </c>
      <c r="U53" s="296"/>
      <c r="V53" s="297"/>
      <c r="W53" s="298"/>
      <c r="X53" s="290">
        <f t="shared" si="37"/>
        <v>0</v>
      </c>
      <c r="Y53" s="291">
        <f t="shared" si="38"/>
        <v>0</v>
      </c>
      <c r="Z53" s="292" t="e">
        <f t="shared" si="39"/>
        <v>#VALUE!</v>
      </c>
      <c r="AB53" s="282"/>
      <c r="AC53" s="283"/>
      <c r="AD53" s="286"/>
    </row>
    <row r="54" spans="1:30" ht="15" customHeight="1" x14ac:dyDescent="0.3">
      <c r="A54"/>
      <c r="B54" s="2643"/>
      <c r="C54" s="2646"/>
      <c r="D54" s="2649"/>
      <c r="E54" s="277" t="s">
        <v>94</v>
      </c>
      <c r="F54" s="278">
        <v>16</v>
      </c>
      <c r="G54" s="279">
        <f t="shared" si="28"/>
        <v>16</v>
      </c>
      <c r="H54" s="277" t="s">
        <v>605</v>
      </c>
      <c r="I54" s="280">
        <v>1</v>
      </c>
      <c r="J54" s="280"/>
      <c r="K54" s="281"/>
      <c r="L54" s="282" t="e">
        <f t="shared" si="29"/>
        <v>#N/A</v>
      </c>
      <c r="M54" s="283">
        <f t="shared" si="30"/>
        <v>0</v>
      </c>
      <c r="N54" s="284">
        <f t="shared" si="31"/>
        <v>0</v>
      </c>
      <c r="O54" s="285">
        <f t="shared" si="32"/>
        <v>0</v>
      </c>
      <c r="P54" s="282" t="str">
        <f t="shared" si="33"/>
        <v/>
      </c>
      <c r="Q54" s="283">
        <f t="shared" si="33"/>
        <v>0</v>
      </c>
      <c r="R54" s="283">
        <f t="shared" si="35"/>
        <v>0</v>
      </c>
      <c r="S54" s="283" t="e">
        <f t="shared" si="36"/>
        <v>#VALUE!</v>
      </c>
      <c r="T54" s="286" t="e">
        <f t="shared" si="34"/>
        <v>#VALUE!</v>
      </c>
      <c r="U54" s="296"/>
      <c r="V54" s="297"/>
      <c r="W54" s="298"/>
      <c r="X54" s="290">
        <f t="shared" si="37"/>
        <v>0</v>
      </c>
      <c r="Y54" s="291">
        <f t="shared" si="38"/>
        <v>0</v>
      </c>
      <c r="Z54" s="292" t="e">
        <f t="shared" si="39"/>
        <v>#VALUE!</v>
      </c>
      <c r="AB54" s="282"/>
      <c r="AC54" s="283"/>
      <c r="AD54" s="286"/>
    </row>
    <row r="55" spans="1:30" ht="15" customHeight="1" x14ac:dyDescent="0.3">
      <c r="A55"/>
      <c r="B55" s="2644"/>
      <c r="C55" s="2647"/>
      <c r="D55" s="2650"/>
      <c r="E55" s="299" t="s">
        <v>514</v>
      </c>
      <c r="F55" s="299"/>
      <c r="G55" s="300"/>
      <c r="H55" s="301"/>
      <c r="I55" s="302"/>
      <c r="J55" s="302"/>
      <c r="K55" s="303"/>
      <c r="L55" s="304">
        <f t="shared" si="29"/>
        <v>0</v>
      </c>
      <c r="M55" s="305">
        <f t="shared" si="30"/>
        <v>0</v>
      </c>
      <c r="N55" s="306">
        <f t="shared" si="31"/>
        <v>0</v>
      </c>
      <c r="O55" s="307">
        <f t="shared" si="32"/>
        <v>0</v>
      </c>
      <c r="P55" s="304">
        <f t="shared" si="33"/>
        <v>0</v>
      </c>
      <c r="Q55" s="305">
        <f t="shared" si="33"/>
        <v>0</v>
      </c>
      <c r="R55" s="305">
        <f t="shared" si="35"/>
        <v>0</v>
      </c>
      <c r="S55" s="305">
        <f t="shared" si="36"/>
        <v>0</v>
      </c>
      <c r="T55" s="308">
        <f t="shared" si="34"/>
        <v>0</v>
      </c>
      <c r="U55" s="309"/>
      <c r="V55" s="310"/>
      <c r="W55" s="311"/>
      <c r="X55" s="312">
        <f t="shared" si="37"/>
        <v>0</v>
      </c>
      <c r="Y55" s="313">
        <f t="shared" si="38"/>
        <v>0</v>
      </c>
      <c r="Z55" s="314">
        <f t="shared" si="39"/>
        <v>0</v>
      </c>
      <c r="AB55" s="315"/>
      <c r="AC55" s="316"/>
      <c r="AD55" s="317"/>
    </row>
    <row r="56" spans="1:30" ht="15" customHeight="1" x14ac:dyDescent="0.3">
      <c r="A56" s="162"/>
      <c r="B56" s="260" t="s">
        <v>463</v>
      </c>
      <c r="C56" s="261" t="e">
        <f ca="1">IF(ISBLANK($B56),0,OFFSET(UnitSummary_Ref,MATCH($B56,OFFSET(UnitSummary_Ref,1,2,96,1),0),T$16,1,1))</f>
        <v>#N/A</v>
      </c>
      <c r="D56" s="262" t="e">
        <f ca="1">IF(ISBLANK($B56),0,OFFSET(UnitSummary_Ref,MATCH($B56,OFFSET(UnitSummary_Ref,1,2,96,1),0),D$16,1,1))</f>
        <v>#N/A</v>
      </c>
      <c r="E56" s="263" t="s">
        <v>82</v>
      </c>
      <c r="F56" s="264">
        <f>SUM(F57:F62)</f>
        <v>271</v>
      </c>
      <c r="G56" s="265">
        <f>SUM(G57:G62)</f>
        <v>271</v>
      </c>
      <c r="H56" s="266" t="s">
        <v>512</v>
      </c>
      <c r="I56" s="267" t="s">
        <v>512</v>
      </c>
      <c r="J56" s="267" t="s">
        <v>512</v>
      </c>
      <c r="K56" s="268" t="s">
        <v>512</v>
      </c>
      <c r="L56" s="266" t="s">
        <v>512</v>
      </c>
      <c r="M56" s="267" t="s">
        <v>512</v>
      </c>
      <c r="N56" s="267" t="s">
        <v>512</v>
      </c>
      <c r="O56" s="269" t="s">
        <v>512</v>
      </c>
      <c r="P56" s="270">
        <f>SUM(P57:P62)</f>
        <v>0</v>
      </c>
      <c r="Q56" s="261">
        <f>SUM(Q57:Q62)</f>
        <v>0</v>
      </c>
      <c r="R56" s="261"/>
      <c r="S56" s="261"/>
      <c r="T56" s="271" t="e">
        <f>SUM(T57:T62)</f>
        <v>#VALUE!</v>
      </c>
      <c r="U56" s="272" t="e">
        <f>$P56/$T56</f>
        <v>#VALUE!</v>
      </c>
      <c r="V56" s="261" t="e">
        <f ca="1">$C56-$T56</f>
        <v>#N/A</v>
      </c>
      <c r="W56" s="273" t="e">
        <f ca="1">(($T56*$U56)+($V56*$X$11))/$C56</f>
        <v>#VALUE!</v>
      </c>
      <c r="X56" s="270">
        <f>IF(Q56&gt;0, Q56/T56,0)</f>
        <v>0</v>
      </c>
      <c r="Y56" s="261">
        <f>IF($Q56&gt;0, $Q56/$P56,0)</f>
        <v>0</v>
      </c>
      <c r="Z56" s="273">
        <f>IF($P56&gt;0, $P56/$T56,0)</f>
        <v>0</v>
      </c>
      <c r="AB56" s="274" t="e">
        <f ca="1">$C56*$D56</f>
        <v>#N/A</v>
      </c>
      <c r="AC56" s="275" t="e">
        <f ca="1">$T56*$D56</f>
        <v>#VALUE!</v>
      </c>
      <c r="AD56" s="276" t="e">
        <f ca="1">P56*D56</f>
        <v>#N/A</v>
      </c>
    </row>
    <row r="57" spans="1:30" ht="15" customHeight="1" x14ac:dyDescent="0.3">
      <c r="A57"/>
      <c r="B57" s="2642"/>
      <c r="C57" s="2645"/>
      <c r="D57" s="2648"/>
      <c r="E57" s="277" t="s">
        <v>154</v>
      </c>
      <c r="F57" s="278">
        <v>34</v>
      </c>
      <c r="G57" s="279">
        <f t="shared" ref="G57:G61" si="40">F57</f>
        <v>34</v>
      </c>
      <c r="H57" s="277" t="s">
        <v>603</v>
      </c>
      <c r="I57" s="280">
        <v>1</v>
      </c>
      <c r="J57" s="280"/>
      <c r="K57" s="281"/>
      <c r="L57" s="282" t="e">
        <f t="shared" ref="L57:L62" si="41">IF(ISBLANK(H57),0,VLOOKUP($H57,ResLtgSchPropArray,M$16,FALSE)*I57)</f>
        <v>#N/A</v>
      </c>
      <c r="M57" s="283">
        <f t="shared" ref="M57:M62" si="42">IFERROR(VLOOKUP($H57,ResLtgSchPropArray,N$16,FALSE)*I57,0)</f>
        <v>0</v>
      </c>
      <c r="N57" s="284">
        <f t="shared" ref="N57:N62" si="43">IF(ISBLANK(J57),0,VLOOKUP($J57,ResLtgSchPropArray,O$16,FALSE)*K57)</f>
        <v>0</v>
      </c>
      <c r="O57" s="285">
        <f t="shared" ref="O57:O62" si="44">IFERROR(VLOOKUP($J57,ResLtgSchPropArray,P$16,FALSE)*K57,0)</f>
        <v>0</v>
      </c>
      <c r="P57" s="282" t="str">
        <f t="shared" ref="P57:Q62" si="45">IFERROR(L57+N57,"")</f>
        <v/>
      </c>
      <c r="Q57" s="283">
        <f t="shared" si="45"/>
        <v>0</v>
      </c>
      <c r="R57" s="284">
        <f>Q57/$X$12</f>
        <v>0</v>
      </c>
      <c r="S57" s="283" t="e">
        <f>P57/$X$13</f>
        <v>#VALUE!</v>
      </c>
      <c r="T57" s="286" t="e">
        <f t="shared" ref="T57:T62" si="46">IF($R57&lt;$F57,MIN($G57,$R57,$S57),MIN($G57,$R57))</f>
        <v>#VALUE!</v>
      </c>
      <c r="U57" s="287"/>
      <c r="V57" s="288"/>
      <c r="W57" s="289"/>
      <c r="X57" s="290">
        <f>IF($Q57&gt;0, $Q57/$T57,0)</f>
        <v>0</v>
      </c>
      <c r="Y57" s="291">
        <f>IF($Q57&gt;0, $Q57/$P57,0)</f>
        <v>0</v>
      </c>
      <c r="Z57" s="292" t="e">
        <f>IF($P57&gt;0, $P57/$T57,0)</f>
        <v>#VALUE!</v>
      </c>
      <c r="AB57" s="282"/>
      <c r="AC57" s="283"/>
      <c r="AD57" s="285"/>
    </row>
    <row r="58" spans="1:30" ht="15" customHeight="1" x14ac:dyDescent="0.3">
      <c r="A58"/>
      <c r="B58" s="2643"/>
      <c r="C58" s="2646"/>
      <c r="D58" s="2649"/>
      <c r="E58" s="277" t="s">
        <v>78</v>
      </c>
      <c r="F58" s="278">
        <v>72</v>
      </c>
      <c r="G58" s="279">
        <f t="shared" si="40"/>
        <v>72</v>
      </c>
      <c r="H58" s="277" t="s">
        <v>604</v>
      </c>
      <c r="I58" s="280">
        <v>1</v>
      </c>
      <c r="J58" s="280"/>
      <c r="K58" s="281"/>
      <c r="L58" s="282" t="e">
        <f t="shared" si="41"/>
        <v>#N/A</v>
      </c>
      <c r="M58" s="283">
        <f t="shared" si="42"/>
        <v>0</v>
      </c>
      <c r="N58" s="284">
        <f t="shared" si="43"/>
        <v>0</v>
      </c>
      <c r="O58" s="285">
        <f t="shared" si="44"/>
        <v>0</v>
      </c>
      <c r="P58" s="282" t="str">
        <f t="shared" si="45"/>
        <v/>
      </c>
      <c r="Q58" s="283">
        <f t="shared" si="45"/>
        <v>0</v>
      </c>
      <c r="R58" s="283">
        <f t="shared" ref="R58:R62" si="47">Q58/$X$12</f>
        <v>0</v>
      </c>
      <c r="S58" s="283" t="e">
        <f t="shared" ref="S58:S62" si="48">P58/$X$13</f>
        <v>#VALUE!</v>
      </c>
      <c r="T58" s="286" t="e">
        <f t="shared" si="46"/>
        <v>#VALUE!</v>
      </c>
      <c r="U58" s="296"/>
      <c r="V58" s="297"/>
      <c r="W58" s="298"/>
      <c r="X58" s="290">
        <f t="shared" ref="X58:X62" si="49">IF($Q58&gt;0, $Q58/$T58,0)</f>
        <v>0</v>
      </c>
      <c r="Y58" s="291">
        <f t="shared" ref="Y58:Y62" si="50">IF($Q58&gt;0, $Q58/$P58,0)</f>
        <v>0</v>
      </c>
      <c r="Z58" s="292" t="e">
        <f t="shared" ref="Z58:Z62" si="51">IF($P58&gt;0, $P58/$T58,0)</f>
        <v>#VALUE!</v>
      </c>
      <c r="AB58" s="282"/>
      <c r="AC58" s="283"/>
      <c r="AD58" s="286"/>
    </row>
    <row r="59" spans="1:30" ht="14.4" x14ac:dyDescent="0.3">
      <c r="A59"/>
      <c r="B59" s="2643"/>
      <c r="C59" s="2646"/>
      <c r="D59" s="2649"/>
      <c r="E59" s="277" t="s">
        <v>83</v>
      </c>
      <c r="F59" s="278">
        <v>60</v>
      </c>
      <c r="G59" s="279">
        <f t="shared" si="40"/>
        <v>60</v>
      </c>
      <c r="H59" s="277" t="s">
        <v>606</v>
      </c>
      <c r="I59" s="359">
        <v>1</v>
      </c>
      <c r="J59" s="359" t="s">
        <v>607</v>
      </c>
      <c r="K59" s="360">
        <v>1</v>
      </c>
      <c r="L59" s="282" t="e">
        <f t="shared" si="41"/>
        <v>#N/A</v>
      </c>
      <c r="M59" s="283">
        <f t="shared" si="42"/>
        <v>0</v>
      </c>
      <c r="N59" s="284" t="e">
        <f t="shared" si="43"/>
        <v>#N/A</v>
      </c>
      <c r="O59" s="285">
        <f t="shared" si="44"/>
        <v>0</v>
      </c>
      <c r="P59" s="282" t="str">
        <f t="shared" si="45"/>
        <v/>
      </c>
      <c r="Q59" s="283">
        <f t="shared" si="45"/>
        <v>0</v>
      </c>
      <c r="R59" s="283">
        <f t="shared" si="47"/>
        <v>0</v>
      </c>
      <c r="S59" s="283" t="e">
        <f t="shared" si="48"/>
        <v>#VALUE!</v>
      </c>
      <c r="T59" s="286" t="e">
        <f t="shared" si="46"/>
        <v>#VALUE!</v>
      </c>
      <c r="U59" s="296"/>
      <c r="V59" s="297"/>
      <c r="W59" s="298"/>
      <c r="X59" s="290">
        <f t="shared" si="49"/>
        <v>0</v>
      </c>
      <c r="Y59" s="291">
        <f t="shared" si="50"/>
        <v>0</v>
      </c>
      <c r="Z59" s="292" t="e">
        <f t="shared" si="51"/>
        <v>#VALUE!</v>
      </c>
      <c r="AB59" s="282"/>
      <c r="AC59" s="283"/>
      <c r="AD59" s="286"/>
    </row>
    <row r="60" spans="1:30" ht="15" customHeight="1" x14ac:dyDescent="0.3">
      <c r="A60"/>
      <c r="B60" s="2643"/>
      <c r="C60" s="2646"/>
      <c r="D60" s="2649"/>
      <c r="E60" s="277" t="s">
        <v>95</v>
      </c>
      <c r="F60" s="278">
        <v>90</v>
      </c>
      <c r="G60" s="279">
        <f t="shared" si="40"/>
        <v>90</v>
      </c>
      <c r="H60" s="277" t="s">
        <v>604</v>
      </c>
      <c r="I60" s="280">
        <v>1</v>
      </c>
      <c r="J60" s="280"/>
      <c r="K60" s="281"/>
      <c r="L60" s="282" t="e">
        <f t="shared" si="41"/>
        <v>#N/A</v>
      </c>
      <c r="M60" s="283">
        <f t="shared" si="42"/>
        <v>0</v>
      </c>
      <c r="N60" s="284">
        <f t="shared" si="43"/>
        <v>0</v>
      </c>
      <c r="O60" s="285">
        <f t="shared" si="44"/>
        <v>0</v>
      </c>
      <c r="P60" s="282" t="str">
        <f t="shared" si="45"/>
        <v/>
      </c>
      <c r="Q60" s="283">
        <f t="shared" si="45"/>
        <v>0</v>
      </c>
      <c r="R60" s="283">
        <f t="shared" si="47"/>
        <v>0</v>
      </c>
      <c r="S60" s="283" t="e">
        <f t="shared" si="48"/>
        <v>#VALUE!</v>
      </c>
      <c r="T60" s="286" t="e">
        <f t="shared" si="46"/>
        <v>#VALUE!</v>
      </c>
      <c r="U60" s="296"/>
      <c r="V60" s="297"/>
      <c r="W60" s="298"/>
      <c r="X60" s="290">
        <f t="shared" si="49"/>
        <v>0</v>
      </c>
      <c r="Y60" s="291">
        <f t="shared" si="50"/>
        <v>0</v>
      </c>
      <c r="Z60" s="292" t="e">
        <f t="shared" si="51"/>
        <v>#VALUE!</v>
      </c>
      <c r="AB60" s="282"/>
      <c r="AC60" s="283"/>
      <c r="AD60" s="286"/>
    </row>
    <row r="61" spans="1:30" ht="15" customHeight="1" x14ac:dyDescent="0.3">
      <c r="A61"/>
      <c r="B61" s="2643"/>
      <c r="C61" s="2646"/>
      <c r="D61" s="2649"/>
      <c r="E61" s="277" t="s">
        <v>94</v>
      </c>
      <c r="F61" s="278">
        <v>15</v>
      </c>
      <c r="G61" s="279">
        <f t="shared" si="40"/>
        <v>15</v>
      </c>
      <c r="H61" s="277" t="s">
        <v>605</v>
      </c>
      <c r="I61" s="280">
        <v>1</v>
      </c>
      <c r="J61" s="280"/>
      <c r="K61" s="281"/>
      <c r="L61" s="282" t="e">
        <f t="shared" si="41"/>
        <v>#N/A</v>
      </c>
      <c r="M61" s="283">
        <f t="shared" si="42"/>
        <v>0</v>
      </c>
      <c r="N61" s="284">
        <f t="shared" si="43"/>
        <v>0</v>
      </c>
      <c r="O61" s="285">
        <f t="shared" si="44"/>
        <v>0</v>
      </c>
      <c r="P61" s="282" t="str">
        <f t="shared" si="45"/>
        <v/>
      </c>
      <c r="Q61" s="283">
        <f t="shared" si="45"/>
        <v>0</v>
      </c>
      <c r="R61" s="283">
        <f t="shared" si="47"/>
        <v>0</v>
      </c>
      <c r="S61" s="283" t="e">
        <f t="shared" si="48"/>
        <v>#VALUE!</v>
      </c>
      <c r="T61" s="286" t="e">
        <f t="shared" si="46"/>
        <v>#VALUE!</v>
      </c>
      <c r="U61" s="296"/>
      <c r="V61" s="297"/>
      <c r="W61" s="298"/>
      <c r="X61" s="290">
        <f t="shared" si="49"/>
        <v>0</v>
      </c>
      <c r="Y61" s="291">
        <f t="shared" si="50"/>
        <v>0</v>
      </c>
      <c r="Z61" s="292" t="e">
        <f t="shared" si="51"/>
        <v>#VALUE!</v>
      </c>
      <c r="AB61" s="282"/>
      <c r="AC61" s="283"/>
      <c r="AD61" s="286"/>
    </row>
    <row r="62" spans="1:30" ht="15" customHeight="1" x14ac:dyDescent="0.3">
      <c r="A62"/>
      <c r="B62" s="2644"/>
      <c r="C62" s="2647"/>
      <c r="D62" s="2650"/>
      <c r="E62" s="299" t="s">
        <v>514</v>
      </c>
      <c r="F62" s="299"/>
      <c r="G62" s="300"/>
      <c r="H62" s="301"/>
      <c r="I62" s="302"/>
      <c r="J62" s="302"/>
      <c r="K62" s="303"/>
      <c r="L62" s="304">
        <f t="shared" si="41"/>
        <v>0</v>
      </c>
      <c r="M62" s="305">
        <f t="shared" si="42"/>
        <v>0</v>
      </c>
      <c r="N62" s="306">
        <f t="shared" si="43"/>
        <v>0</v>
      </c>
      <c r="O62" s="307">
        <f t="shared" si="44"/>
        <v>0</v>
      </c>
      <c r="P62" s="304">
        <f t="shared" si="45"/>
        <v>0</v>
      </c>
      <c r="Q62" s="305">
        <f t="shared" si="45"/>
        <v>0</v>
      </c>
      <c r="R62" s="305">
        <f t="shared" si="47"/>
        <v>0</v>
      </c>
      <c r="S62" s="305">
        <f t="shared" si="48"/>
        <v>0</v>
      </c>
      <c r="T62" s="308">
        <f t="shared" si="46"/>
        <v>0</v>
      </c>
      <c r="U62" s="309"/>
      <c r="V62" s="310"/>
      <c r="W62" s="311"/>
      <c r="X62" s="312">
        <f t="shared" si="49"/>
        <v>0</v>
      </c>
      <c r="Y62" s="313">
        <f t="shared" si="50"/>
        <v>0</v>
      </c>
      <c r="Z62" s="314">
        <f t="shared" si="51"/>
        <v>0</v>
      </c>
      <c r="AB62" s="315"/>
      <c r="AC62" s="316"/>
      <c r="AD62" s="317"/>
    </row>
    <row r="63" spans="1:30" ht="15" customHeight="1" x14ac:dyDescent="0.3">
      <c r="A63" s="162"/>
      <c r="B63" s="260" t="s">
        <v>465</v>
      </c>
      <c r="C63" s="261" t="e">
        <f ca="1">IF(ISBLANK($B63),0,OFFSET(UnitSummary_Ref,MATCH($B63,OFFSET(UnitSummary_Ref,1,2,96,1),0),T$16,1,1))</f>
        <v>#N/A</v>
      </c>
      <c r="D63" s="262" t="e">
        <f ca="1">IF(ISBLANK($B63),0,OFFSET(UnitSummary_Ref,MATCH($B63,OFFSET(UnitSummary_Ref,1,2,96,1),0),D$16,1,1))</f>
        <v>#N/A</v>
      </c>
      <c r="E63" s="263" t="s">
        <v>82</v>
      </c>
      <c r="F63" s="264">
        <f>SUM(F64:F70)</f>
        <v>323</v>
      </c>
      <c r="G63" s="265">
        <f>SUM(G64:G70)</f>
        <v>323</v>
      </c>
      <c r="H63" s="266" t="s">
        <v>512</v>
      </c>
      <c r="I63" s="267" t="s">
        <v>512</v>
      </c>
      <c r="J63" s="267" t="s">
        <v>512</v>
      </c>
      <c r="K63" s="268" t="s">
        <v>512</v>
      </c>
      <c r="L63" s="266" t="s">
        <v>512</v>
      </c>
      <c r="M63" s="267" t="s">
        <v>512</v>
      </c>
      <c r="N63" s="267" t="s">
        <v>512</v>
      </c>
      <c r="O63" s="269" t="s">
        <v>512</v>
      </c>
      <c r="P63" s="270">
        <f>SUM(P64:P70)</f>
        <v>0</v>
      </c>
      <c r="Q63" s="261">
        <f>SUM(Q64:Q70)</f>
        <v>0</v>
      </c>
      <c r="R63" s="261"/>
      <c r="S63" s="261"/>
      <c r="T63" s="271" t="e">
        <f>SUM(T64:T70)</f>
        <v>#VALUE!</v>
      </c>
      <c r="U63" s="272" t="e">
        <f>$P63/$T63</f>
        <v>#VALUE!</v>
      </c>
      <c r="V63" s="261" t="e">
        <f ca="1">$C63-$T63</f>
        <v>#N/A</v>
      </c>
      <c r="W63" s="273" t="e">
        <f ca="1">(($T63*$U63)+($V63*$X$11))/$C63</f>
        <v>#VALUE!</v>
      </c>
      <c r="X63" s="270">
        <f>IF(Q63&gt;0, Q63/T63,0)</f>
        <v>0</v>
      </c>
      <c r="Y63" s="261">
        <f>IF($Q63&gt;0, $Q63/$P63,0)</f>
        <v>0</v>
      </c>
      <c r="Z63" s="273">
        <f>IF($P63&gt;0, $P63/$T63,0)</f>
        <v>0</v>
      </c>
      <c r="AB63" s="274" t="e">
        <f ca="1">$C63*$D63</f>
        <v>#N/A</v>
      </c>
      <c r="AC63" s="275" t="e">
        <f ca="1">$T63*$D63</f>
        <v>#VALUE!</v>
      </c>
      <c r="AD63" s="276" t="e">
        <f ca="1">P63*D63</f>
        <v>#N/A</v>
      </c>
    </row>
    <row r="64" spans="1:30" ht="15" customHeight="1" x14ac:dyDescent="0.3">
      <c r="A64"/>
      <c r="B64" s="2642"/>
      <c r="C64" s="2645"/>
      <c r="D64" s="2648"/>
      <c r="E64" s="277" t="s">
        <v>154</v>
      </c>
      <c r="F64" s="278">
        <v>55</v>
      </c>
      <c r="G64" s="279">
        <f t="shared" ref="G64:G69" si="52">F64</f>
        <v>55</v>
      </c>
      <c r="H64" s="277" t="s">
        <v>603</v>
      </c>
      <c r="I64" s="280">
        <v>2</v>
      </c>
      <c r="J64" s="280"/>
      <c r="K64" s="281"/>
      <c r="L64" s="282" t="e">
        <f t="shared" ref="L64:L70" si="53">IF(ISBLANK(H64),0,VLOOKUP($H64,ResLtgSchPropArray,M$16,FALSE)*I64)</f>
        <v>#N/A</v>
      </c>
      <c r="M64" s="283">
        <f t="shared" ref="M64:M70" si="54">IFERROR(VLOOKUP($H64,ResLtgSchPropArray,N$16,FALSE)*I64,0)</f>
        <v>0</v>
      </c>
      <c r="N64" s="284">
        <f t="shared" ref="N64:N70" si="55">IF(ISBLANK(J64),0,VLOOKUP($J64,ResLtgSchPropArray,O$16,FALSE)*K64)</f>
        <v>0</v>
      </c>
      <c r="O64" s="285">
        <f t="shared" ref="O64:O70" si="56">IFERROR(VLOOKUP($J64,ResLtgSchPropArray,P$16,FALSE)*K64,0)</f>
        <v>0</v>
      </c>
      <c r="P64" s="282" t="str">
        <f t="shared" ref="P64:P70" si="57">IFERROR(L64+N64,"")</f>
        <v/>
      </c>
      <c r="Q64" s="283">
        <f t="shared" ref="Q64:Q70" si="58">IFERROR(M64+O64,"")</f>
        <v>0</v>
      </c>
      <c r="R64" s="284">
        <f>Q64/$X$12</f>
        <v>0</v>
      </c>
      <c r="S64" s="283" t="e">
        <f>P64/$X$13</f>
        <v>#VALUE!</v>
      </c>
      <c r="T64" s="286" t="e">
        <f t="shared" ref="T64:T70" si="59">IF($R64&lt;$F64,MIN($G64,$R64,$S64),MIN($G64,$R64))</f>
        <v>#VALUE!</v>
      </c>
      <c r="U64" s="287"/>
      <c r="V64" s="288"/>
      <c r="W64" s="289"/>
      <c r="X64" s="290">
        <f>IF($Q64&gt;0, $Q64/$T64,0)</f>
        <v>0</v>
      </c>
      <c r="Y64" s="291">
        <f>IF($Q64&gt;0, $Q64/$P64,0)</f>
        <v>0</v>
      </c>
      <c r="Z64" s="292" t="e">
        <f>IF($P64&gt;0, $P64/$T64,0)</f>
        <v>#VALUE!</v>
      </c>
      <c r="AB64" s="282"/>
      <c r="AC64" s="283"/>
      <c r="AD64" s="285"/>
    </row>
    <row r="65" spans="1:30" ht="15" customHeight="1" x14ac:dyDescent="0.3">
      <c r="A65"/>
      <c r="B65" s="2643"/>
      <c r="C65" s="2646"/>
      <c r="D65" s="2649"/>
      <c r="E65" s="277" t="s">
        <v>78</v>
      </c>
      <c r="F65" s="278">
        <v>82</v>
      </c>
      <c r="G65" s="279">
        <f t="shared" si="52"/>
        <v>82</v>
      </c>
      <c r="H65" s="277" t="s">
        <v>604</v>
      </c>
      <c r="I65" s="280">
        <v>1</v>
      </c>
      <c r="J65" s="280"/>
      <c r="K65" s="281"/>
      <c r="L65" s="282" t="e">
        <f t="shared" si="53"/>
        <v>#N/A</v>
      </c>
      <c r="M65" s="283">
        <f t="shared" si="54"/>
        <v>0</v>
      </c>
      <c r="N65" s="284">
        <f t="shared" si="55"/>
        <v>0</v>
      </c>
      <c r="O65" s="285">
        <f t="shared" si="56"/>
        <v>0</v>
      </c>
      <c r="P65" s="282" t="str">
        <f t="shared" si="57"/>
        <v/>
      </c>
      <c r="Q65" s="283">
        <f t="shared" si="58"/>
        <v>0</v>
      </c>
      <c r="R65" s="283">
        <f t="shared" ref="R65:R70" si="60">Q65/$X$12</f>
        <v>0</v>
      </c>
      <c r="S65" s="283" t="e">
        <f t="shared" ref="S65:S70" si="61">P65/$X$13</f>
        <v>#VALUE!</v>
      </c>
      <c r="T65" s="286" t="e">
        <f t="shared" si="59"/>
        <v>#VALUE!</v>
      </c>
      <c r="U65" s="296"/>
      <c r="V65" s="297"/>
      <c r="W65" s="298"/>
      <c r="X65" s="290">
        <f t="shared" ref="X65:X70" si="62">IF($Q65&gt;0, $Q65/$T65,0)</f>
        <v>0</v>
      </c>
      <c r="Y65" s="291">
        <f t="shared" ref="Y65:Y70" si="63">IF($Q65&gt;0, $Q65/$P65,0)</f>
        <v>0</v>
      </c>
      <c r="Z65" s="292" t="e">
        <f t="shared" ref="Z65:Z70" si="64">IF($P65&gt;0, $P65/$T65,0)</f>
        <v>#VALUE!</v>
      </c>
      <c r="AB65" s="282"/>
      <c r="AC65" s="283"/>
      <c r="AD65" s="286"/>
    </row>
    <row r="66" spans="1:30" ht="14.4" x14ac:dyDescent="0.3">
      <c r="A66"/>
      <c r="B66" s="2643"/>
      <c r="C66" s="2646"/>
      <c r="D66" s="2649"/>
      <c r="E66" s="277" t="s">
        <v>83</v>
      </c>
      <c r="F66" s="278">
        <v>71</v>
      </c>
      <c r="G66" s="279">
        <f t="shared" si="52"/>
        <v>71</v>
      </c>
      <c r="H66" s="277" t="s">
        <v>606</v>
      </c>
      <c r="I66" s="359">
        <v>1</v>
      </c>
      <c r="J66" s="359" t="s">
        <v>607</v>
      </c>
      <c r="K66" s="360">
        <v>1</v>
      </c>
      <c r="L66" s="282" t="e">
        <f t="shared" si="53"/>
        <v>#N/A</v>
      </c>
      <c r="M66" s="283">
        <f t="shared" si="54"/>
        <v>0</v>
      </c>
      <c r="N66" s="284" t="e">
        <f t="shared" si="55"/>
        <v>#N/A</v>
      </c>
      <c r="O66" s="285">
        <f t="shared" si="56"/>
        <v>0</v>
      </c>
      <c r="P66" s="282" t="str">
        <f t="shared" si="57"/>
        <v/>
      </c>
      <c r="Q66" s="283">
        <f t="shared" si="58"/>
        <v>0</v>
      </c>
      <c r="R66" s="283">
        <f t="shared" si="60"/>
        <v>0</v>
      </c>
      <c r="S66" s="283" t="e">
        <f t="shared" si="61"/>
        <v>#VALUE!</v>
      </c>
      <c r="T66" s="286" t="e">
        <f t="shared" si="59"/>
        <v>#VALUE!</v>
      </c>
      <c r="U66" s="296"/>
      <c r="V66" s="297"/>
      <c r="W66" s="298"/>
      <c r="X66" s="290">
        <f t="shared" si="62"/>
        <v>0</v>
      </c>
      <c r="Y66" s="291">
        <f t="shared" si="63"/>
        <v>0</v>
      </c>
      <c r="Z66" s="292" t="e">
        <f t="shared" si="64"/>
        <v>#VALUE!</v>
      </c>
      <c r="AB66" s="282"/>
      <c r="AC66" s="283"/>
      <c r="AD66" s="286"/>
    </row>
    <row r="67" spans="1:30" ht="15" customHeight="1" x14ac:dyDescent="0.3">
      <c r="A67"/>
      <c r="B67" s="2643"/>
      <c r="C67" s="2646"/>
      <c r="D67" s="2649"/>
      <c r="E67" s="277" t="s">
        <v>95</v>
      </c>
      <c r="F67" s="278">
        <v>115</v>
      </c>
      <c r="G67" s="279">
        <f t="shared" si="52"/>
        <v>115</v>
      </c>
      <c r="H67" s="277" t="s">
        <v>604</v>
      </c>
      <c r="I67" s="280">
        <v>1</v>
      </c>
      <c r="J67" s="280"/>
      <c r="K67" s="281"/>
      <c r="L67" s="282" t="e">
        <f t="shared" si="53"/>
        <v>#N/A</v>
      </c>
      <c r="M67" s="283">
        <f t="shared" si="54"/>
        <v>0</v>
      </c>
      <c r="N67" s="284">
        <f t="shared" si="55"/>
        <v>0</v>
      </c>
      <c r="O67" s="285">
        <f t="shared" si="56"/>
        <v>0</v>
      </c>
      <c r="P67" s="282" t="str">
        <f t="shared" si="57"/>
        <v/>
      </c>
      <c r="Q67" s="283">
        <f t="shared" si="58"/>
        <v>0</v>
      </c>
      <c r="R67" s="283">
        <f t="shared" si="60"/>
        <v>0</v>
      </c>
      <c r="S67" s="283" t="e">
        <f t="shared" si="61"/>
        <v>#VALUE!</v>
      </c>
      <c r="T67" s="286" t="e">
        <f t="shared" si="59"/>
        <v>#VALUE!</v>
      </c>
      <c r="U67" s="296"/>
      <c r="V67" s="297"/>
      <c r="W67" s="298"/>
      <c r="X67" s="290">
        <f t="shared" si="62"/>
        <v>0</v>
      </c>
      <c r="Y67" s="291">
        <f t="shared" si="63"/>
        <v>0</v>
      </c>
      <c r="Z67" s="292" t="e">
        <f t="shared" si="64"/>
        <v>#VALUE!</v>
      </c>
      <c r="AB67" s="282"/>
      <c r="AC67" s="283"/>
      <c r="AD67" s="286"/>
    </row>
    <row r="68" spans="1:30" ht="15" customHeight="1" x14ac:dyDescent="0.3">
      <c r="A68"/>
      <c r="B68" s="2643"/>
      <c r="C68" s="2646"/>
      <c r="D68" s="2649"/>
      <c r="E68" s="277" t="s">
        <v>301</v>
      </c>
      <c r="F68" s="278"/>
      <c r="G68" s="279">
        <f t="shared" si="52"/>
        <v>0</v>
      </c>
      <c r="H68" s="277"/>
      <c r="I68" s="280"/>
      <c r="J68" s="280"/>
      <c r="K68" s="281"/>
      <c r="L68" s="282">
        <f t="shared" si="53"/>
        <v>0</v>
      </c>
      <c r="M68" s="283">
        <f t="shared" si="54"/>
        <v>0</v>
      </c>
      <c r="N68" s="284">
        <f t="shared" si="55"/>
        <v>0</v>
      </c>
      <c r="O68" s="285">
        <f t="shared" si="56"/>
        <v>0</v>
      </c>
      <c r="P68" s="282">
        <f t="shared" si="57"/>
        <v>0</v>
      </c>
      <c r="Q68" s="283">
        <f t="shared" si="58"/>
        <v>0</v>
      </c>
      <c r="R68" s="283">
        <f t="shared" si="60"/>
        <v>0</v>
      </c>
      <c r="S68" s="283">
        <f t="shared" si="61"/>
        <v>0</v>
      </c>
      <c r="T68" s="286">
        <f t="shared" si="59"/>
        <v>0</v>
      </c>
      <c r="U68" s="296"/>
      <c r="V68" s="297"/>
      <c r="W68" s="298"/>
      <c r="X68" s="290">
        <f t="shared" si="62"/>
        <v>0</v>
      </c>
      <c r="Y68" s="291">
        <f t="shared" si="63"/>
        <v>0</v>
      </c>
      <c r="Z68" s="292">
        <f t="shared" si="64"/>
        <v>0</v>
      </c>
      <c r="AB68" s="282"/>
      <c r="AC68" s="283"/>
      <c r="AD68" s="286"/>
    </row>
    <row r="69" spans="1:30" ht="15" customHeight="1" x14ac:dyDescent="0.3">
      <c r="A69"/>
      <c r="B69" s="2643"/>
      <c r="C69" s="2646"/>
      <c r="D69" s="2649"/>
      <c r="E69" s="319" t="s">
        <v>516</v>
      </c>
      <c r="F69" s="320"/>
      <c r="G69" s="279">
        <f t="shared" si="52"/>
        <v>0</v>
      </c>
      <c r="H69" s="277"/>
      <c r="I69" s="280"/>
      <c r="J69" s="280"/>
      <c r="K69" s="281"/>
      <c r="L69" s="282">
        <f t="shared" si="53"/>
        <v>0</v>
      </c>
      <c r="M69" s="283">
        <f t="shared" si="54"/>
        <v>0</v>
      </c>
      <c r="N69" s="284">
        <f t="shared" si="55"/>
        <v>0</v>
      </c>
      <c r="O69" s="285">
        <f t="shared" si="56"/>
        <v>0</v>
      </c>
      <c r="P69" s="282">
        <f t="shared" si="57"/>
        <v>0</v>
      </c>
      <c r="Q69" s="283">
        <f t="shared" si="58"/>
        <v>0</v>
      </c>
      <c r="R69" s="283">
        <f t="shared" si="60"/>
        <v>0</v>
      </c>
      <c r="S69" s="283">
        <f t="shared" si="61"/>
        <v>0</v>
      </c>
      <c r="T69" s="286">
        <f t="shared" si="59"/>
        <v>0</v>
      </c>
      <c r="U69" s="296"/>
      <c r="V69" s="297"/>
      <c r="W69" s="298"/>
      <c r="X69" s="290">
        <f t="shared" si="62"/>
        <v>0</v>
      </c>
      <c r="Y69" s="291">
        <f t="shared" si="63"/>
        <v>0</v>
      </c>
      <c r="Z69" s="292">
        <f t="shared" si="64"/>
        <v>0</v>
      </c>
      <c r="AB69" s="282"/>
      <c r="AC69" s="283"/>
      <c r="AD69" s="286"/>
    </row>
    <row r="70" spans="1:30" ht="15" customHeight="1" x14ac:dyDescent="0.3">
      <c r="A70"/>
      <c r="B70" s="2644"/>
      <c r="C70" s="2647"/>
      <c r="D70" s="2650"/>
      <c r="E70" s="299" t="s">
        <v>514</v>
      </c>
      <c r="F70" s="299"/>
      <c r="G70" s="300"/>
      <c r="H70" s="301"/>
      <c r="I70" s="302"/>
      <c r="J70" s="302"/>
      <c r="K70" s="303"/>
      <c r="L70" s="304">
        <f t="shared" si="53"/>
        <v>0</v>
      </c>
      <c r="M70" s="305">
        <f t="shared" si="54"/>
        <v>0</v>
      </c>
      <c r="N70" s="306">
        <f t="shared" si="55"/>
        <v>0</v>
      </c>
      <c r="O70" s="307">
        <f t="shared" si="56"/>
        <v>0</v>
      </c>
      <c r="P70" s="304">
        <f t="shared" si="57"/>
        <v>0</v>
      </c>
      <c r="Q70" s="305">
        <f t="shared" si="58"/>
        <v>0</v>
      </c>
      <c r="R70" s="305">
        <f t="shared" si="60"/>
        <v>0</v>
      </c>
      <c r="S70" s="305">
        <f t="shared" si="61"/>
        <v>0</v>
      </c>
      <c r="T70" s="308">
        <f t="shared" si="59"/>
        <v>0</v>
      </c>
      <c r="U70" s="309"/>
      <c r="V70" s="310"/>
      <c r="W70" s="311"/>
      <c r="X70" s="312">
        <f t="shared" si="62"/>
        <v>0</v>
      </c>
      <c r="Y70" s="313">
        <f t="shared" si="63"/>
        <v>0</v>
      </c>
      <c r="Z70" s="314">
        <f t="shared" si="64"/>
        <v>0</v>
      </c>
      <c r="AB70" s="315"/>
      <c r="AC70" s="316"/>
      <c r="AD70" s="317"/>
    </row>
    <row r="71" spans="1:30" ht="15" customHeight="1" x14ac:dyDescent="0.3">
      <c r="A71" s="162"/>
      <c r="B71" s="260" t="s">
        <v>595</v>
      </c>
      <c r="C71" s="261" t="e">
        <f ca="1">IF(ISBLANK($B71),0,OFFSET(UnitSummary_Ref,MATCH($B71,OFFSET(UnitSummary_Ref,1,2,96,1),0),T$16,1,1))</f>
        <v>#N/A</v>
      </c>
      <c r="D71" s="262" t="e">
        <f ca="1">IF(ISBLANK($B71),0,OFFSET(UnitSummary_Ref,MATCH($B71,OFFSET(UnitSummary_Ref,1,2,96,1),0),D$16,1,1))</f>
        <v>#N/A</v>
      </c>
      <c r="E71" s="263" t="s">
        <v>82</v>
      </c>
      <c r="F71" s="264">
        <f>SUM(F72:F76)</f>
        <v>265</v>
      </c>
      <c r="G71" s="265">
        <f>SUM(G72:G76)</f>
        <v>265</v>
      </c>
      <c r="H71" s="266" t="s">
        <v>512</v>
      </c>
      <c r="I71" s="267" t="s">
        <v>512</v>
      </c>
      <c r="J71" s="267" t="s">
        <v>512</v>
      </c>
      <c r="K71" s="268" t="s">
        <v>512</v>
      </c>
      <c r="L71" s="266" t="s">
        <v>512</v>
      </c>
      <c r="M71" s="267" t="s">
        <v>512</v>
      </c>
      <c r="N71" s="267" t="s">
        <v>512</v>
      </c>
      <c r="O71" s="269" t="s">
        <v>512</v>
      </c>
      <c r="P71" s="270">
        <f>SUM(P72:P76)</f>
        <v>0</v>
      </c>
      <c r="Q71" s="261">
        <f>SUM(Q72:Q76)</f>
        <v>0</v>
      </c>
      <c r="R71" s="261"/>
      <c r="S71" s="261"/>
      <c r="T71" s="271" t="e">
        <f>SUM(T72:T76)</f>
        <v>#VALUE!</v>
      </c>
      <c r="U71" s="272" t="e">
        <f>$P71/$T71</f>
        <v>#VALUE!</v>
      </c>
      <c r="V71" s="261" t="e">
        <f ca="1">$C71-$T71</f>
        <v>#N/A</v>
      </c>
      <c r="W71" s="273" t="e">
        <f ca="1">(($T71*$U71)+($V71*$X$11))/$C71</f>
        <v>#VALUE!</v>
      </c>
      <c r="X71" s="270">
        <f>IF(Q71&gt;0, Q71/T71,0)</f>
        <v>0</v>
      </c>
      <c r="Y71" s="261">
        <f>IF($Q71&gt;0, $Q71/$P71,0)</f>
        <v>0</v>
      </c>
      <c r="Z71" s="273">
        <f>IF($P71&gt;0, $P71/$T71,0)</f>
        <v>0</v>
      </c>
      <c r="AB71" s="274" t="e">
        <f ca="1">$C71*$D71</f>
        <v>#N/A</v>
      </c>
      <c r="AC71" s="275" t="e">
        <f ca="1">$T71*$D71</f>
        <v>#VALUE!</v>
      </c>
      <c r="AD71" s="276" t="e">
        <f ca="1">P71*D71</f>
        <v>#N/A</v>
      </c>
    </row>
    <row r="72" spans="1:30" ht="15" customHeight="1" x14ac:dyDescent="0.3">
      <c r="A72"/>
      <c r="B72" s="2642"/>
      <c r="C72" s="2645"/>
      <c r="D72" s="2648"/>
      <c r="E72" s="277" t="s">
        <v>154</v>
      </c>
      <c r="F72" s="278">
        <v>80</v>
      </c>
      <c r="G72" s="279">
        <f t="shared" ref="G72:G75" si="65">F72</f>
        <v>80</v>
      </c>
      <c r="H72" s="277" t="s">
        <v>603</v>
      </c>
      <c r="I72" s="280">
        <v>2</v>
      </c>
      <c r="J72" s="280"/>
      <c r="K72" s="281"/>
      <c r="L72" s="282" t="e">
        <f t="shared" ref="L72:L76" si="66">IF(ISBLANK(H72),0,VLOOKUP($H72,ResLtgSchPropArray,M$16,FALSE)*I72)</f>
        <v>#N/A</v>
      </c>
      <c r="M72" s="283">
        <f t="shared" ref="M72:M76" si="67">IFERROR(VLOOKUP($H72,ResLtgSchPropArray,N$16,FALSE)*I72,0)</f>
        <v>0</v>
      </c>
      <c r="N72" s="284">
        <f t="shared" ref="N72:N76" si="68">IF(ISBLANK(J72),0,VLOOKUP($J72,ResLtgSchPropArray,O$16,FALSE)*K72)</f>
        <v>0</v>
      </c>
      <c r="O72" s="285">
        <f t="shared" ref="O72:O76" si="69">IFERROR(VLOOKUP($J72,ResLtgSchPropArray,P$16,FALSE)*K72,0)</f>
        <v>0</v>
      </c>
      <c r="P72" s="282" t="str">
        <f t="shared" ref="P72:Q76" si="70">IFERROR(L72+N72,"")</f>
        <v/>
      </c>
      <c r="Q72" s="283">
        <f t="shared" si="70"/>
        <v>0</v>
      </c>
      <c r="R72" s="284">
        <f>Q72/$X$12</f>
        <v>0</v>
      </c>
      <c r="S72" s="283" t="e">
        <f>P72/$X$13</f>
        <v>#VALUE!</v>
      </c>
      <c r="T72" s="286" t="e">
        <f t="shared" ref="T72:T76" si="71">IF($R72&lt;$F72,MIN($G72,$R72,$S72),MIN($G72,$R72))</f>
        <v>#VALUE!</v>
      </c>
      <c r="U72" s="287"/>
      <c r="V72" s="288"/>
      <c r="W72" s="289"/>
      <c r="X72" s="290">
        <f>IF($Q72&gt;0, $Q72/$T72,0)</f>
        <v>0</v>
      </c>
      <c r="Y72" s="291">
        <f>IF($Q72&gt;0, $Q72/$P72,0)</f>
        <v>0</v>
      </c>
      <c r="Z72" s="292" t="e">
        <f>IF($P72&gt;0, $P72/$T72,0)</f>
        <v>#VALUE!</v>
      </c>
      <c r="AB72" s="282"/>
      <c r="AC72" s="283"/>
      <c r="AD72" s="285"/>
    </row>
    <row r="73" spans="1:30" ht="15" customHeight="1" x14ac:dyDescent="0.3">
      <c r="A73"/>
      <c r="B73" s="2643"/>
      <c r="C73" s="2646"/>
      <c r="D73" s="2649"/>
      <c r="E73" s="277" t="s">
        <v>78</v>
      </c>
      <c r="F73" s="278">
        <v>112</v>
      </c>
      <c r="G73" s="279">
        <f t="shared" si="65"/>
        <v>112</v>
      </c>
      <c r="H73" s="277" t="s">
        <v>604</v>
      </c>
      <c r="I73" s="280">
        <v>1</v>
      </c>
      <c r="J73" s="280"/>
      <c r="K73" s="281"/>
      <c r="L73" s="282" t="e">
        <f t="shared" si="66"/>
        <v>#N/A</v>
      </c>
      <c r="M73" s="283">
        <f t="shared" si="67"/>
        <v>0</v>
      </c>
      <c r="N73" s="284">
        <f t="shared" si="68"/>
        <v>0</v>
      </c>
      <c r="O73" s="285">
        <f t="shared" si="69"/>
        <v>0</v>
      </c>
      <c r="P73" s="282" t="str">
        <f t="shared" si="70"/>
        <v/>
      </c>
      <c r="Q73" s="283">
        <f t="shared" si="70"/>
        <v>0</v>
      </c>
      <c r="R73" s="283">
        <f t="shared" ref="R73:R76" si="72">Q73/$X$12</f>
        <v>0</v>
      </c>
      <c r="S73" s="283" t="e">
        <f t="shared" ref="S73:S76" si="73">P73/$X$13</f>
        <v>#VALUE!</v>
      </c>
      <c r="T73" s="286" t="e">
        <f t="shared" si="71"/>
        <v>#VALUE!</v>
      </c>
      <c r="U73" s="296"/>
      <c r="V73" s="297"/>
      <c r="W73" s="298"/>
      <c r="X73" s="290">
        <f t="shared" ref="X73:X76" si="74">IF($Q73&gt;0, $Q73/$T73,0)</f>
        <v>0</v>
      </c>
      <c r="Y73" s="291">
        <f t="shared" ref="Y73:Y76" si="75">IF($Q73&gt;0, $Q73/$P73,0)</f>
        <v>0</v>
      </c>
      <c r="Z73" s="292" t="e">
        <f t="shared" ref="Z73:Z76" si="76">IF($P73&gt;0, $P73/$T73,0)</f>
        <v>#VALUE!</v>
      </c>
      <c r="AB73" s="282"/>
      <c r="AC73" s="283"/>
      <c r="AD73" s="286"/>
    </row>
    <row r="74" spans="1:30" ht="14.4" x14ac:dyDescent="0.3">
      <c r="A74"/>
      <c r="B74" s="2643"/>
      <c r="C74" s="2646"/>
      <c r="D74" s="2649"/>
      <c r="E74" s="277" t="s">
        <v>83</v>
      </c>
      <c r="F74" s="278">
        <v>52</v>
      </c>
      <c r="G74" s="279">
        <f t="shared" si="65"/>
        <v>52</v>
      </c>
      <c r="H74" s="277" t="s">
        <v>606</v>
      </c>
      <c r="I74" s="359">
        <v>1</v>
      </c>
      <c r="J74" s="359" t="s">
        <v>607</v>
      </c>
      <c r="K74" s="360">
        <v>1</v>
      </c>
      <c r="L74" s="282" t="e">
        <f t="shared" si="66"/>
        <v>#N/A</v>
      </c>
      <c r="M74" s="283">
        <f t="shared" si="67"/>
        <v>0</v>
      </c>
      <c r="N74" s="284" t="e">
        <f t="shared" si="68"/>
        <v>#N/A</v>
      </c>
      <c r="O74" s="285">
        <f t="shared" si="69"/>
        <v>0</v>
      </c>
      <c r="P74" s="282" t="str">
        <f t="shared" si="70"/>
        <v/>
      </c>
      <c r="Q74" s="283">
        <f t="shared" si="70"/>
        <v>0</v>
      </c>
      <c r="R74" s="283">
        <f t="shared" si="72"/>
        <v>0</v>
      </c>
      <c r="S74" s="283" t="e">
        <f t="shared" si="73"/>
        <v>#VALUE!</v>
      </c>
      <c r="T74" s="286" t="e">
        <f t="shared" si="71"/>
        <v>#VALUE!</v>
      </c>
      <c r="U74" s="296"/>
      <c r="V74" s="297"/>
      <c r="W74" s="298"/>
      <c r="X74" s="290">
        <f t="shared" si="74"/>
        <v>0</v>
      </c>
      <c r="Y74" s="291">
        <f t="shared" si="75"/>
        <v>0</v>
      </c>
      <c r="Z74" s="292" t="e">
        <f t="shared" si="76"/>
        <v>#VALUE!</v>
      </c>
      <c r="AB74" s="282"/>
      <c r="AC74" s="283"/>
      <c r="AD74" s="286"/>
    </row>
    <row r="75" spans="1:30" ht="15" customHeight="1" x14ac:dyDescent="0.3">
      <c r="A75"/>
      <c r="B75" s="2643"/>
      <c r="C75" s="2646"/>
      <c r="D75" s="2649"/>
      <c r="E75" s="277" t="s">
        <v>94</v>
      </c>
      <c r="F75" s="278">
        <v>21</v>
      </c>
      <c r="G75" s="279">
        <f t="shared" si="65"/>
        <v>21</v>
      </c>
      <c r="H75" s="277" t="s">
        <v>605</v>
      </c>
      <c r="I75" s="280">
        <v>1</v>
      </c>
      <c r="J75" s="280"/>
      <c r="K75" s="281"/>
      <c r="L75" s="282" t="e">
        <f t="shared" si="66"/>
        <v>#N/A</v>
      </c>
      <c r="M75" s="283">
        <f t="shared" si="67"/>
        <v>0</v>
      </c>
      <c r="N75" s="284">
        <f t="shared" si="68"/>
        <v>0</v>
      </c>
      <c r="O75" s="285">
        <f t="shared" si="69"/>
        <v>0</v>
      </c>
      <c r="P75" s="282" t="str">
        <f t="shared" si="70"/>
        <v/>
      </c>
      <c r="Q75" s="283">
        <f t="shared" si="70"/>
        <v>0</v>
      </c>
      <c r="R75" s="283">
        <f t="shared" si="72"/>
        <v>0</v>
      </c>
      <c r="S75" s="283" t="e">
        <f t="shared" si="73"/>
        <v>#VALUE!</v>
      </c>
      <c r="T75" s="286" t="e">
        <f t="shared" si="71"/>
        <v>#VALUE!</v>
      </c>
      <c r="U75" s="296"/>
      <c r="V75" s="297"/>
      <c r="W75" s="298"/>
      <c r="X75" s="290">
        <f t="shared" si="74"/>
        <v>0</v>
      </c>
      <c r="Y75" s="291">
        <f t="shared" si="75"/>
        <v>0</v>
      </c>
      <c r="Z75" s="292" t="e">
        <f t="shared" si="76"/>
        <v>#VALUE!</v>
      </c>
      <c r="AB75" s="282"/>
      <c r="AC75" s="283"/>
      <c r="AD75" s="286"/>
    </row>
    <row r="76" spans="1:30" ht="15" customHeight="1" x14ac:dyDescent="0.3">
      <c r="A76"/>
      <c r="B76" s="2644"/>
      <c r="C76" s="2647"/>
      <c r="D76" s="2650"/>
      <c r="E76" s="299" t="s">
        <v>514</v>
      </c>
      <c r="F76" s="299"/>
      <c r="G76" s="300"/>
      <c r="H76" s="301"/>
      <c r="I76" s="302"/>
      <c r="J76" s="302"/>
      <c r="K76" s="303"/>
      <c r="L76" s="304">
        <f t="shared" si="66"/>
        <v>0</v>
      </c>
      <c r="M76" s="305">
        <f t="shared" si="67"/>
        <v>0</v>
      </c>
      <c r="N76" s="306">
        <f t="shared" si="68"/>
        <v>0</v>
      </c>
      <c r="O76" s="307">
        <f t="shared" si="69"/>
        <v>0</v>
      </c>
      <c r="P76" s="304">
        <f t="shared" si="70"/>
        <v>0</v>
      </c>
      <c r="Q76" s="305">
        <f t="shared" si="70"/>
        <v>0</v>
      </c>
      <c r="R76" s="305">
        <f t="shared" si="72"/>
        <v>0</v>
      </c>
      <c r="S76" s="305">
        <f t="shared" si="73"/>
        <v>0</v>
      </c>
      <c r="T76" s="308">
        <f t="shared" si="71"/>
        <v>0</v>
      </c>
      <c r="U76" s="309"/>
      <c r="V76" s="310"/>
      <c r="W76" s="311"/>
      <c r="X76" s="312">
        <f t="shared" si="74"/>
        <v>0</v>
      </c>
      <c r="Y76" s="313">
        <f t="shared" si="75"/>
        <v>0</v>
      </c>
      <c r="Z76" s="314">
        <f t="shared" si="76"/>
        <v>0</v>
      </c>
      <c r="AB76" s="315"/>
      <c r="AC76" s="316"/>
      <c r="AD76" s="317"/>
    </row>
    <row r="77" spans="1:30" ht="12.75" customHeight="1" x14ac:dyDescent="0.25">
      <c r="B77" s="321"/>
      <c r="C77" s="322"/>
      <c r="D77" s="323"/>
      <c r="E77" s="323" t="s">
        <v>517</v>
      </c>
      <c r="F77" s="324"/>
      <c r="G77" s="324"/>
      <c r="H77" s="323"/>
      <c r="I77" s="323"/>
      <c r="J77" s="323"/>
      <c r="K77" s="323"/>
      <c r="L77" s="323" t="str">
        <f>IFERROR(VLOOKUP($H77,ResLtgSchPropArray,M$16,FALSE)*I77,"")</f>
        <v/>
      </c>
      <c r="M77" s="323" t="str">
        <f>IFERROR(VLOOKUP($H77,ResLtgSchPropArray,N$16,FALSE)*I77,"")</f>
        <v/>
      </c>
      <c r="N77" s="325">
        <f>IFERROR(VLOOKUP($J77,ResLtgSchPropArray,O$16,FALSE)*K77,0)</f>
        <v>0</v>
      </c>
      <c r="O77" s="325">
        <f>IFERROR(VLOOKUP($J77,ResLtgSchPropArray,P$16,FALSE)*K77,0)</f>
        <v>0</v>
      </c>
      <c r="P77" s="323" t="str">
        <f>IFERROR(L77+N77,"")</f>
        <v/>
      </c>
      <c r="Q77" s="323" t="str">
        <f>IFERROR(M77+O77,"")</f>
        <v/>
      </c>
      <c r="R77" s="323"/>
      <c r="S77" s="323"/>
      <c r="T77" s="323" t="str">
        <f>IFERROR(IF((MIN(Q77/16,F77))=F77,F77,(P77)/0.5),"")</f>
        <v/>
      </c>
      <c r="U77" s="323"/>
      <c r="V77" s="323"/>
      <c r="W77" s="323"/>
      <c r="X77" s="323" t="str">
        <f>IFERROR(IF(Q77&gt;0, Q77/T77, "0.0"),"")</f>
        <v/>
      </c>
      <c r="Y77" s="323" t="str">
        <f>IFERROR(Q77/P77,"")</f>
        <v/>
      </c>
      <c r="Z77" s="326" t="str">
        <f>IFERROR(P77/T77,"")</f>
        <v/>
      </c>
      <c r="AB77" s="327"/>
      <c r="AC77" s="323"/>
      <c r="AD77" s="326"/>
    </row>
    <row r="78" spans="1:30" x14ac:dyDescent="0.25">
      <c r="B78" s="328"/>
      <c r="C78" s="329"/>
      <c r="D78" s="329"/>
      <c r="E78" s="329"/>
      <c r="F78" s="330"/>
      <c r="G78" s="330"/>
      <c r="H78" s="329"/>
      <c r="I78" s="329"/>
      <c r="J78" s="329"/>
      <c r="K78" s="329"/>
      <c r="L78" s="329"/>
      <c r="M78" s="329"/>
      <c r="N78" s="331"/>
      <c r="O78" s="331"/>
      <c r="P78" s="329"/>
      <c r="Q78" s="329"/>
      <c r="R78" s="329"/>
      <c r="S78" s="329"/>
      <c r="T78" s="329"/>
      <c r="U78" s="329"/>
      <c r="V78" s="329"/>
      <c r="W78" s="329"/>
      <c r="X78" s="329"/>
      <c r="Y78" s="329"/>
      <c r="Z78" s="329"/>
      <c r="AD78" s="247"/>
    </row>
    <row r="79" spans="1:30" x14ac:dyDescent="0.25">
      <c r="B79" s="328"/>
      <c r="C79" s="329"/>
      <c r="D79" s="329"/>
      <c r="E79" s="332" t="s">
        <v>82</v>
      </c>
      <c r="F79" s="333"/>
      <c r="G79" s="333"/>
      <c r="H79" s="332"/>
      <c r="I79" s="332"/>
      <c r="J79" s="332"/>
      <c r="K79" s="332"/>
      <c r="L79" s="332"/>
      <c r="M79" s="332"/>
      <c r="T79" s="332"/>
      <c r="U79" s="332"/>
      <c r="V79" s="332"/>
      <c r="W79" s="332"/>
      <c r="X79" s="332"/>
      <c r="Y79" s="332"/>
      <c r="Z79" s="332"/>
      <c r="AA79" s="334"/>
      <c r="AB79" s="335" t="e">
        <f ca="1">SUM(AB19:AB77)</f>
        <v>#N/A</v>
      </c>
      <c r="AC79" s="335" t="e">
        <f ca="1">SUM(AC19:AC77)</f>
        <v>#VALUE!</v>
      </c>
      <c r="AD79" s="335" t="e">
        <f ca="1">SUM(AD19:AD77)</f>
        <v>#N/A</v>
      </c>
    </row>
    <row r="80" spans="1:30" x14ac:dyDescent="0.25">
      <c r="B80" s="236"/>
      <c r="C80" s="236"/>
      <c r="D80" s="236"/>
      <c r="E80" s="236"/>
      <c r="F80" s="236"/>
      <c r="G80" s="236"/>
      <c r="H80" s="236"/>
      <c r="I80" s="236"/>
      <c r="J80" s="236"/>
      <c r="K80" s="236"/>
      <c r="L80" s="236"/>
      <c r="T80" s="236"/>
      <c r="U80" s="236"/>
      <c r="V80" s="236"/>
      <c r="W80" s="236"/>
      <c r="X80" s="236"/>
      <c r="Y80" s="236"/>
      <c r="AB80" s="332"/>
      <c r="AC80" s="332"/>
    </row>
    <row r="81" spans="2:30" hidden="1" x14ac:dyDescent="0.25">
      <c r="B81" s="236"/>
      <c r="C81" s="236"/>
      <c r="D81" s="236"/>
      <c r="E81" s="336" t="s">
        <v>518</v>
      </c>
      <c r="F81" s="337"/>
      <c r="G81" s="337"/>
      <c r="H81" s="338"/>
      <c r="I81" s="338"/>
      <c r="J81" s="338"/>
      <c r="K81" s="339"/>
      <c r="L81" s="330"/>
      <c r="M81" s="367"/>
      <c r="T81" s="236"/>
      <c r="U81" s="236"/>
      <c r="V81" s="236"/>
      <c r="W81" s="236"/>
      <c r="X81" s="236"/>
      <c r="Y81" s="236"/>
      <c r="Z81" s="236"/>
      <c r="AA81" s="340" t="s">
        <v>519</v>
      </c>
      <c r="AB81" s="341">
        <f>Unit_Sum!E77</f>
        <v>82654</v>
      </c>
      <c r="AC81" s="342"/>
      <c r="AD81" s="318"/>
    </row>
    <row r="82" spans="2:30" ht="15" hidden="1" customHeight="1" x14ac:dyDescent="0.25">
      <c r="B82" s="236"/>
      <c r="C82" s="236"/>
      <c r="D82" s="236"/>
      <c r="E82" s="2652" t="s">
        <v>520</v>
      </c>
      <c r="F82" s="2652"/>
      <c r="G82" s="2652"/>
      <c r="H82" s="2652"/>
      <c r="I82" s="2652"/>
      <c r="J82" s="2653"/>
      <c r="K82" s="343" t="e">
        <f ca="1">$AC$79</f>
        <v>#VALUE!</v>
      </c>
      <c r="L82" s="330"/>
      <c r="M82" s="367"/>
      <c r="T82" s="344"/>
      <c r="U82" s="344"/>
      <c r="V82" s="344"/>
      <c r="W82" s="344"/>
      <c r="X82" s="236"/>
      <c r="AA82" s="340" t="s">
        <v>521</v>
      </c>
      <c r="AB82" s="341" t="e">
        <f ca="1">AB81-AB79</f>
        <v>#N/A</v>
      </c>
      <c r="AC82" s="345"/>
    </row>
    <row r="83" spans="2:30" hidden="1" x14ac:dyDescent="0.25">
      <c r="B83" s="236"/>
      <c r="C83" s="236"/>
      <c r="D83" s="236"/>
      <c r="E83" s="2652" t="s">
        <v>522</v>
      </c>
      <c r="F83" s="2652"/>
      <c r="G83" s="2652"/>
      <c r="H83" s="2652"/>
      <c r="I83" s="2652"/>
      <c r="J83" s="2653"/>
      <c r="K83" s="343" t="e">
        <f ca="1">$AD$79</f>
        <v>#N/A</v>
      </c>
      <c r="L83" s="346"/>
      <c r="M83" s="367"/>
      <c r="T83" s="236"/>
      <c r="U83" s="236"/>
      <c r="V83" s="236"/>
      <c r="W83" s="236"/>
      <c r="X83" s="236"/>
      <c r="AB83" s="347"/>
    </row>
    <row r="84" spans="2:30" hidden="1" x14ac:dyDescent="0.25">
      <c r="B84" s="236"/>
      <c r="C84" s="236"/>
      <c r="D84" s="236"/>
      <c r="E84" s="2637" t="s">
        <v>523</v>
      </c>
      <c r="F84" s="2651"/>
      <c r="G84" s="2651"/>
      <c r="H84" s="2651"/>
      <c r="I84" s="2651"/>
      <c r="J84" s="2651"/>
      <c r="K84" s="343" t="e">
        <f ca="1">$AB$79</f>
        <v>#N/A</v>
      </c>
      <c r="L84" s="348"/>
      <c r="M84" s="367"/>
      <c r="T84" s="236"/>
      <c r="U84" s="236"/>
      <c r="V84" s="236"/>
      <c r="W84" s="236"/>
      <c r="X84" s="236"/>
    </row>
    <row r="85" spans="2:30" hidden="1" x14ac:dyDescent="0.25">
      <c r="B85" s="236"/>
      <c r="C85" s="236"/>
      <c r="D85" s="236"/>
      <c r="E85" s="2637" t="s">
        <v>524</v>
      </c>
      <c r="F85" s="2651"/>
      <c r="G85" s="2651"/>
      <c r="H85" s="2651"/>
      <c r="I85" s="2651"/>
      <c r="J85" s="2651"/>
      <c r="K85" s="343" t="e">
        <f ca="1">K84-K82</f>
        <v>#N/A</v>
      </c>
      <c r="L85" s="330"/>
      <c r="T85" s="236"/>
      <c r="U85" s="236"/>
      <c r="V85" s="236"/>
      <c r="W85" s="236"/>
      <c r="X85" s="236"/>
    </row>
    <row r="86" spans="2:30" hidden="1" x14ac:dyDescent="0.25">
      <c r="B86" s="236"/>
      <c r="C86" s="236"/>
      <c r="D86" s="236"/>
      <c r="E86" s="2652" t="s">
        <v>525</v>
      </c>
      <c r="F86" s="2652"/>
      <c r="G86" s="2652"/>
      <c r="H86" s="2652"/>
      <c r="I86" s="2652"/>
      <c r="J86" s="2653"/>
      <c r="K86" s="349" t="e">
        <f ca="1">IF(K82=0,"NA",K83/K82)</f>
        <v>#VALUE!</v>
      </c>
      <c r="T86" s="330"/>
      <c r="U86" s="330"/>
      <c r="V86" s="330"/>
      <c r="W86" s="330"/>
    </row>
    <row r="87" spans="2:30" hidden="1" x14ac:dyDescent="0.25">
      <c r="E87" s="2654" t="s">
        <v>526</v>
      </c>
      <c r="F87" s="2654"/>
      <c r="G87" s="2654"/>
      <c r="H87" s="2654"/>
      <c r="I87" s="2654"/>
      <c r="J87" s="2654"/>
      <c r="K87" s="350" t="e">
        <f ca="1">(K83+K88*(K84-K82))/(K84)</f>
        <v>#N/A</v>
      </c>
      <c r="T87" s="236"/>
      <c r="U87" s="236"/>
      <c r="V87" s="236"/>
      <c r="W87" s="236"/>
    </row>
    <row r="88" spans="2:30" hidden="1" x14ac:dyDescent="0.25">
      <c r="E88" s="2654" t="s">
        <v>527</v>
      </c>
      <c r="F88" s="2654"/>
      <c r="G88" s="2654"/>
      <c r="H88" s="2654"/>
      <c r="I88" s="2654"/>
      <c r="J88" s="2654"/>
      <c r="K88" s="351">
        <f>X11</f>
        <v>1.1000000000000001</v>
      </c>
      <c r="L88" s="352" t="e">
        <f ca="1">1-(K87/K88)</f>
        <v>#N/A</v>
      </c>
    </row>
    <row r="89" spans="2:30" hidden="1" x14ac:dyDescent="0.25">
      <c r="E89" s="236"/>
      <c r="F89" s="236"/>
      <c r="G89" s="236"/>
      <c r="H89" s="236"/>
      <c r="I89" s="236"/>
      <c r="J89" s="236"/>
      <c r="K89" s="353"/>
      <c r="L89" s="352"/>
    </row>
    <row r="90" spans="2:30" hidden="1" x14ac:dyDescent="0.25">
      <c r="H90" s="235" t="s">
        <v>528</v>
      </c>
    </row>
    <row r="91" spans="2:30" hidden="1" x14ac:dyDescent="0.25">
      <c r="E91" s="236" t="s">
        <v>154</v>
      </c>
      <c r="F91" s="236"/>
      <c r="G91" s="236"/>
      <c r="H91" s="354" t="e">
        <f t="shared" ref="H91:H97" si="77">SUMIFS($P$20:$P$77,$E$20:$E$77,$E91)/SUMIFS($T$20:$T$77,$E$20:$E$77,$E91)</f>
        <v>#VALUE!</v>
      </c>
      <c r="I91" s="354"/>
      <c r="J91" s="354"/>
    </row>
    <row r="92" spans="2:30" hidden="1" x14ac:dyDescent="0.25">
      <c r="E92" s="236" t="s">
        <v>78</v>
      </c>
      <c r="F92" s="236"/>
      <c r="G92" s="236"/>
      <c r="H92" s="354" t="e">
        <f t="shared" si="77"/>
        <v>#VALUE!</v>
      </c>
    </row>
    <row r="93" spans="2:30" hidden="1" x14ac:dyDescent="0.25">
      <c r="E93" s="236" t="s">
        <v>83</v>
      </c>
      <c r="F93" s="236"/>
      <c r="G93" s="236"/>
      <c r="H93" s="354" t="e">
        <f t="shared" si="77"/>
        <v>#VALUE!</v>
      </c>
    </row>
    <row r="94" spans="2:30" hidden="1" x14ac:dyDescent="0.25">
      <c r="E94" s="236" t="s">
        <v>609</v>
      </c>
      <c r="F94" s="236"/>
      <c r="G94" s="236"/>
      <c r="H94" s="354" t="e">
        <f t="shared" si="77"/>
        <v>#VALUE!</v>
      </c>
      <c r="M94" s="365"/>
    </row>
    <row r="95" spans="2:30" hidden="1" x14ac:dyDescent="0.25">
      <c r="E95" s="236" t="s">
        <v>301</v>
      </c>
      <c r="F95" s="236"/>
      <c r="G95" s="236"/>
      <c r="H95" s="354" t="e">
        <f t="shared" si="77"/>
        <v>#DIV/0!</v>
      </c>
      <c r="M95" s="365"/>
    </row>
    <row r="96" spans="2:30" hidden="1" x14ac:dyDescent="0.25">
      <c r="E96" s="236" t="s">
        <v>94</v>
      </c>
      <c r="F96" s="236"/>
      <c r="G96" s="236"/>
      <c r="H96" s="354" t="e">
        <f t="shared" si="77"/>
        <v>#VALUE!</v>
      </c>
      <c r="M96" s="365"/>
    </row>
    <row r="97" spans="5:21" hidden="1" x14ac:dyDescent="0.25">
      <c r="E97" s="236" t="s">
        <v>513</v>
      </c>
      <c r="F97" s="236"/>
      <c r="G97" s="236"/>
      <c r="H97" s="354" t="e">
        <f t="shared" si="77"/>
        <v>#DIV/0!</v>
      </c>
      <c r="M97" s="365"/>
    </row>
    <row r="98" spans="5:21" x14ac:dyDescent="0.25">
      <c r="E98" s="236"/>
      <c r="F98" s="236"/>
      <c r="G98" s="236"/>
      <c r="H98" s="354"/>
      <c r="M98" s="365"/>
    </row>
    <row r="99" spans="5:21" x14ac:dyDescent="0.25">
      <c r="M99" s="365"/>
    </row>
    <row r="100" spans="5:21" ht="27.75" customHeight="1" x14ac:dyDescent="0.25">
      <c r="E100" s="2655" t="s">
        <v>536</v>
      </c>
      <c r="F100" s="2656"/>
      <c r="G100" s="2656"/>
      <c r="H100" s="2656"/>
      <c r="I100" s="2656"/>
      <c r="J100" s="2656"/>
      <c r="K100" s="2656"/>
      <c r="L100" s="2656"/>
      <c r="M100" s="2656"/>
      <c r="N100" s="2656"/>
      <c r="O100" s="2656"/>
      <c r="P100" s="2656"/>
      <c r="Q100" s="2657"/>
      <c r="R100" s="236"/>
    </row>
    <row r="101" spans="5:21" s="436" customFormat="1" ht="12" customHeight="1" x14ac:dyDescent="0.25">
      <c r="E101" s="434"/>
      <c r="F101" s="435">
        <f>F14</f>
        <v>4</v>
      </c>
      <c r="G101" s="435">
        <f>E14</f>
        <v>3</v>
      </c>
      <c r="H101" s="435"/>
      <c r="I101" s="439">
        <f>C14</f>
        <v>1</v>
      </c>
      <c r="J101" s="435">
        <f>U14</f>
        <v>19</v>
      </c>
      <c r="K101" s="435">
        <f>T14</f>
        <v>18</v>
      </c>
      <c r="L101" s="435">
        <f>P14</f>
        <v>14</v>
      </c>
      <c r="M101" s="435"/>
      <c r="N101" s="435">
        <f>V14</f>
        <v>20</v>
      </c>
      <c r="O101" s="435"/>
      <c r="P101" s="435"/>
      <c r="Q101" s="437">
        <v>21</v>
      </c>
      <c r="R101" s="438"/>
    </row>
    <row r="102" spans="5:21" s="436" customFormat="1" ht="39.6" x14ac:dyDescent="0.25">
      <c r="E102" s="449" t="s">
        <v>96</v>
      </c>
      <c r="F102" s="450" t="s">
        <v>535</v>
      </c>
      <c r="G102" s="450" t="s">
        <v>554</v>
      </c>
      <c r="H102" s="451" t="s">
        <v>571</v>
      </c>
      <c r="I102" s="459" t="s">
        <v>578</v>
      </c>
      <c r="J102" s="462" t="s">
        <v>581</v>
      </c>
      <c r="K102" s="450" t="s">
        <v>573</v>
      </c>
      <c r="L102" s="451" t="s">
        <v>572</v>
      </c>
      <c r="M102" s="462" t="s">
        <v>580</v>
      </c>
      <c r="N102" s="450" t="s">
        <v>575</v>
      </c>
      <c r="O102" s="451" t="s">
        <v>574</v>
      </c>
      <c r="P102" s="462" t="s">
        <v>576</v>
      </c>
      <c r="Q102" s="451" t="s">
        <v>577</v>
      </c>
      <c r="R102" s="438"/>
      <c r="U102" s="535" t="s">
        <v>579</v>
      </c>
    </row>
    <row r="103" spans="5:21" ht="13.8" thickBot="1" x14ac:dyDescent="0.3">
      <c r="E103" s="455"/>
      <c r="F103" s="456" t="s">
        <v>136</v>
      </c>
      <c r="G103" s="457"/>
      <c r="H103" s="471"/>
      <c r="I103" s="458" t="s">
        <v>136</v>
      </c>
      <c r="J103" s="463" t="s">
        <v>137</v>
      </c>
      <c r="K103" s="456" t="s">
        <v>136</v>
      </c>
      <c r="L103" s="468" t="s">
        <v>507</v>
      </c>
      <c r="M103" s="463" t="s">
        <v>137</v>
      </c>
      <c r="N103" s="456" t="s">
        <v>136</v>
      </c>
      <c r="O103" s="468" t="s">
        <v>507</v>
      </c>
      <c r="P103" s="463" t="s">
        <v>507</v>
      </c>
      <c r="Q103" s="468" t="s">
        <v>137</v>
      </c>
      <c r="R103" s="236"/>
      <c r="U103" s="536"/>
    </row>
    <row r="104" spans="5:21" ht="13.8" thickTop="1" x14ac:dyDescent="0.25">
      <c r="E104" s="474" t="s">
        <v>462</v>
      </c>
      <c r="F104" s="452" t="e">
        <f t="shared" ref="F104:G116" ca="1" si="78">IF(ISBLANK($E104),0,OFFSET(UnitSummary_Ref,MATCH($E104,OFFSET(UnitSummary_Ref,1,2,96,1),0),F$101,1,1))</f>
        <v>#N/A</v>
      </c>
      <c r="G104" s="453" t="e">
        <f t="shared" ca="1" si="78"/>
        <v>#N/A</v>
      </c>
      <c r="H104" s="472" t="s">
        <v>462</v>
      </c>
      <c r="I104" s="460" t="e">
        <f t="shared" ref="I104:J116" ca="1" si="79">IF(ISBLANK($H104),0,OFFSET($B$17,MATCH($H104,OFFSET($B$17,2,0,77,1),0)+1,I$101))</f>
        <v>#N/A</v>
      </c>
      <c r="J104" s="466" t="e">
        <f t="shared" ca="1" si="79"/>
        <v>#VALUE!</v>
      </c>
      <c r="K104" s="452" t="e">
        <f t="shared" ref="K104:K116" ca="1" si="80">IF(ISBLANK($H104),0,OFFSET($B$17,MATCH($H104,OFFSET($B$17,2,0,77,1),0)+1,K$101))*$F104/$I104</f>
        <v>#VALUE!</v>
      </c>
      <c r="L104" s="469" t="e">
        <f t="shared" ref="L104:L116" ca="1" si="81">K104*J104</f>
        <v>#VALUE!</v>
      </c>
      <c r="M104" s="466">
        <f>$X$11</f>
        <v>1.1000000000000001</v>
      </c>
      <c r="N104" s="452" t="e">
        <f t="shared" ref="N104:N116" ca="1" si="82">IF(ISBLANK($H104),0,OFFSET($B$17,MATCH($H104,OFFSET($B$17,2,0,77,1),0)+1,N$101))*$F104/$I104</f>
        <v>#N/A</v>
      </c>
      <c r="O104" s="469" t="e">
        <f t="shared" ref="O104:O116" ca="1" si="83">N104*$X$11</f>
        <v>#N/A</v>
      </c>
      <c r="P104" s="464" t="e">
        <f t="shared" ref="P104:P116" ca="1" si="84">Q104*F104*G104</f>
        <v>#VALUE!</v>
      </c>
      <c r="Q104" s="454" t="e">
        <f t="shared" ref="Q104:Q116" ca="1" si="85">IF(ISBLANK($H104),0,OFFSET($B$17,MATCH($H104,OFFSET($B$17,2,0,77,1),0)+1,Q$101))</f>
        <v>#VALUE!</v>
      </c>
      <c r="R104" s="236"/>
      <c r="U104" s="586" t="e">
        <f t="shared" ref="U104:U124" ca="1" si="86">K104+N104</f>
        <v>#VALUE!</v>
      </c>
    </row>
    <row r="105" spans="5:21" x14ac:dyDescent="0.25">
      <c r="E105" s="475" t="s">
        <v>463</v>
      </c>
      <c r="F105" s="401" t="e">
        <f t="shared" ca="1" si="78"/>
        <v>#N/A</v>
      </c>
      <c r="G105" s="400" t="e">
        <f t="shared" ca="1" si="78"/>
        <v>#N/A</v>
      </c>
      <c r="H105" s="473" t="s">
        <v>463</v>
      </c>
      <c r="I105" s="461" t="e">
        <f t="shared" ca="1" si="79"/>
        <v>#N/A</v>
      </c>
      <c r="J105" s="467" t="e">
        <f t="shared" ca="1" si="79"/>
        <v>#VALUE!</v>
      </c>
      <c r="K105" s="401" t="e">
        <f t="shared" ca="1" si="80"/>
        <v>#VALUE!</v>
      </c>
      <c r="L105" s="470" t="e">
        <f t="shared" ca="1" si="81"/>
        <v>#VALUE!</v>
      </c>
      <c r="M105" s="467">
        <f t="shared" ref="M105:M116" si="87">$X$11</f>
        <v>1.1000000000000001</v>
      </c>
      <c r="N105" s="401" t="e">
        <f t="shared" ca="1" si="82"/>
        <v>#N/A</v>
      </c>
      <c r="O105" s="470" t="e">
        <f t="shared" ca="1" si="83"/>
        <v>#N/A</v>
      </c>
      <c r="P105" s="465" t="e">
        <f t="shared" ca="1" si="84"/>
        <v>#VALUE!</v>
      </c>
      <c r="Q105" s="402" t="e">
        <f t="shared" ca="1" si="85"/>
        <v>#VALUE!</v>
      </c>
      <c r="R105" s="236"/>
      <c r="U105" s="586" t="e">
        <f t="shared" ca="1" si="86"/>
        <v>#VALUE!</v>
      </c>
    </row>
    <row r="106" spans="5:21" x14ac:dyDescent="0.25">
      <c r="E106" s="475" t="s">
        <v>464</v>
      </c>
      <c r="F106" s="401" t="e">
        <f t="shared" ca="1" si="78"/>
        <v>#N/A</v>
      </c>
      <c r="G106" s="400" t="e">
        <f t="shared" ca="1" si="78"/>
        <v>#N/A</v>
      </c>
      <c r="H106" s="473" t="s">
        <v>464</v>
      </c>
      <c r="I106" s="461" t="e">
        <f t="shared" ca="1" si="79"/>
        <v>#N/A</v>
      </c>
      <c r="J106" s="467" t="e">
        <f t="shared" ca="1" si="79"/>
        <v>#VALUE!</v>
      </c>
      <c r="K106" s="401" t="e">
        <f t="shared" ca="1" si="80"/>
        <v>#VALUE!</v>
      </c>
      <c r="L106" s="470" t="e">
        <f t="shared" ca="1" si="81"/>
        <v>#VALUE!</v>
      </c>
      <c r="M106" s="467">
        <f t="shared" si="87"/>
        <v>1.1000000000000001</v>
      </c>
      <c r="N106" s="401" t="e">
        <f t="shared" ca="1" si="82"/>
        <v>#N/A</v>
      </c>
      <c r="O106" s="470" t="e">
        <f t="shared" ca="1" si="83"/>
        <v>#N/A</v>
      </c>
      <c r="P106" s="465" t="e">
        <f t="shared" ca="1" si="84"/>
        <v>#VALUE!</v>
      </c>
      <c r="Q106" s="402" t="e">
        <f t="shared" ca="1" si="85"/>
        <v>#VALUE!</v>
      </c>
      <c r="U106" s="586" t="e">
        <f t="shared" ca="1" si="86"/>
        <v>#VALUE!</v>
      </c>
    </row>
    <row r="107" spans="5:21" x14ac:dyDescent="0.25">
      <c r="E107" s="475" t="s">
        <v>465</v>
      </c>
      <c r="F107" s="401" t="e">
        <f t="shared" ca="1" si="78"/>
        <v>#N/A</v>
      </c>
      <c r="G107" s="400" t="e">
        <f t="shared" ca="1" si="78"/>
        <v>#N/A</v>
      </c>
      <c r="H107" s="473" t="s">
        <v>465</v>
      </c>
      <c r="I107" s="461" t="e">
        <f t="shared" ca="1" si="79"/>
        <v>#N/A</v>
      </c>
      <c r="J107" s="467" t="e">
        <f t="shared" ca="1" si="79"/>
        <v>#VALUE!</v>
      </c>
      <c r="K107" s="401" t="e">
        <f t="shared" ca="1" si="80"/>
        <v>#VALUE!</v>
      </c>
      <c r="L107" s="470" t="e">
        <f t="shared" ca="1" si="81"/>
        <v>#VALUE!</v>
      </c>
      <c r="M107" s="467">
        <f t="shared" si="87"/>
        <v>1.1000000000000001</v>
      </c>
      <c r="N107" s="401" t="e">
        <f t="shared" ca="1" si="82"/>
        <v>#N/A</v>
      </c>
      <c r="O107" s="470" t="e">
        <f t="shared" ca="1" si="83"/>
        <v>#N/A</v>
      </c>
      <c r="P107" s="465" t="e">
        <f t="shared" ca="1" si="84"/>
        <v>#VALUE!</v>
      </c>
      <c r="Q107" s="402" t="e">
        <f t="shared" ca="1" si="85"/>
        <v>#VALUE!</v>
      </c>
      <c r="U107" s="586" t="e">
        <f t="shared" ca="1" si="86"/>
        <v>#VALUE!</v>
      </c>
    </row>
    <row r="108" spans="5:21" x14ac:dyDescent="0.25">
      <c r="E108" s="475" t="s">
        <v>594</v>
      </c>
      <c r="F108" s="401" t="e">
        <f t="shared" ca="1" si="78"/>
        <v>#N/A</v>
      </c>
      <c r="G108" s="400" t="e">
        <f t="shared" ca="1" si="78"/>
        <v>#N/A</v>
      </c>
      <c r="H108" s="473" t="s">
        <v>464</v>
      </c>
      <c r="I108" s="461" t="e">
        <f t="shared" ca="1" si="79"/>
        <v>#N/A</v>
      </c>
      <c r="J108" s="467" t="e">
        <f t="shared" ca="1" si="79"/>
        <v>#VALUE!</v>
      </c>
      <c r="K108" s="401" t="e">
        <f t="shared" ca="1" si="80"/>
        <v>#VALUE!</v>
      </c>
      <c r="L108" s="470" t="e">
        <f t="shared" ca="1" si="81"/>
        <v>#VALUE!</v>
      </c>
      <c r="M108" s="467">
        <f t="shared" si="87"/>
        <v>1.1000000000000001</v>
      </c>
      <c r="N108" s="401" t="e">
        <f t="shared" ca="1" si="82"/>
        <v>#N/A</v>
      </c>
      <c r="O108" s="470" t="e">
        <f t="shared" ca="1" si="83"/>
        <v>#N/A</v>
      </c>
      <c r="P108" s="465" t="e">
        <f t="shared" ca="1" si="84"/>
        <v>#VALUE!</v>
      </c>
      <c r="Q108" s="402" t="e">
        <f t="shared" ca="1" si="85"/>
        <v>#VALUE!</v>
      </c>
      <c r="U108" s="586" t="e">
        <f t="shared" ca="1" si="86"/>
        <v>#VALUE!</v>
      </c>
    </row>
    <row r="109" spans="5:21" x14ac:dyDescent="0.25">
      <c r="E109" s="475" t="s">
        <v>595</v>
      </c>
      <c r="F109" s="401" t="e">
        <f t="shared" ca="1" si="78"/>
        <v>#N/A</v>
      </c>
      <c r="G109" s="400" t="e">
        <f t="shared" ca="1" si="78"/>
        <v>#N/A</v>
      </c>
      <c r="H109" s="473" t="s">
        <v>595</v>
      </c>
      <c r="I109" s="461" t="e">
        <f t="shared" ca="1" si="79"/>
        <v>#N/A</v>
      </c>
      <c r="J109" s="467" t="e">
        <f t="shared" ca="1" si="79"/>
        <v>#VALUE!</v>
      </c>
      <c r="K109" s="401" t="e">
        <f t="shared" ca="1" si="80"/>
        <v>#VALUE!</v>
      </c>
      <c r="L109" s="470" t="e">
        <f t="shared" ca="1" si="81"/>
        <v>#VALUE!</v>
      </c>
      <c r="M109" s="467">
        <f t="shared" si="87"/>
        <v>1.1000000000000001</v>
      </c>
      <c r="N109" s="401" t="e">
        <f t="shared" ca="1" si="82"/>
        <v>#N/A</v>
      </c>
      <c r="O109" s="470" t="e">
        <f t="shared" ca="1" si="83"/>
        <v>#N/A</v>
      </c>
      <c r="P109" s="465" t="e">
        <f t="shared" ca="1" si="84"/>
        <v>#VALUE!</v>
      </c>
      <c r="Q109" s="402" t="e">
        <f t="shared" ca="1" si="85"/>
        <v>#VALUE!</v>
      </c>
      <c r="U109" s="586" t="e">
        <f t="shared" ca="1" si="86"/>
        <v>#VALUE!</v>
      </c>
    </row>
    <row r="110" spans="5:21" x14ac:dyDescent="0.25">
      <c r="E110" s="475" t="s">
        <v>596</v>
      </c>
      <c r="F110" s="401" t="e">
        <f t="shared" ca="1" si="78"/>
        <v>#N/A</v>
      </c>
      <c r="G110" s="400" t="e">
        <f t="shared" ca="1" si="78"/>
        <v>#N/A</v>
      </c>
      <c r="H110" s="473" t="s">
        <v>596</v>
      </c>
      <c r="I110" s="461" t="e">
        <f t="shared" ca="1" si="79"/>
        <v>#N/A</v>
      </c>
      <c r="J110" s="467" t="e">
        <f t="shared" ca="1" si="79"/>
        <v>#VALUE!</v>
      </c>
      <c r="K110" s="401" t="e">
        <f t="shared" ca="1" si="80"/>
        <v>#VALUE!</v>
      </c>
      <c r="L110" s="470" t="e">
        <f t="shared" ca="1" si="81"/>
        <v>#VALUE!</v>
      </c>
      <c r="M110" s="467">
        <f t="shared" si="87"/>
        <v>1.1000000000000001</v>
      </c>
      <c r="N110" s="401" t="e">
        <f t="shared" ca="1" si="82"/>
        <v>#N/A</v>
      </c>
      <c r="O110" s="470" t="e">
        <f t="shared" ca="1" si="83"/>
        <v>#N/A</v>
      </c>
      <c r="P110" s="465" t="e">
        <f t="shared" ca="1" si="84"/>
        <v>#VALUE!</v>
      </c>
      <c r="Q110" s="402" t="e">
        <f t="shared" ca="1" si="85"/>
        <v>#VALUE!</v>
      </c>
      <c r="U110" s="586" t="e">
        <f t="shared" ca="1" si="86"/>
        <v>#VALUE!</v>
      </c>
    </row>
    <row r="111" spans="5:21" x14ac:dyDescent="0.25">
      <c r="E111" s="475" t="s">
        <v>597</v>
      </c>
      <c r="F111" s="401" t="e">
        <f t="shared" ca="1" si="78"/>
        <v>#N/A</v>
      </c>
      <c r="G111" s="400" t="e">
        <f t="shared" ca="1" si="78"/>
        <v>#N/A</v>
      </c>
      <c r="H111" s="473" t="s">
        <v>464</v>
      </c>
      <c r="I111" s="461" t="e">
        <f t="shared" ca="1" si="79"/>
        <v>#N/A</v>
      </c>
      <c r="J111" s="467" t="e">
        <f t="shared" ca="1" si="79"/>
        <v>#VALUE!</v>
      </c>
      <c r="K111" s="401" t="e">
        <f t="shared" ca="1" si="80"/>
        <v>#VALUE!</v>
      </c>
      <c r="L111" s="470" t="e">
        <f t="shared" ca="1" si="81"/>
        <v>#VALUE!</v>
      </c>
      <c r="M111" s="467">
        <f t="shared" si="87"/>
        <v>1.1000000000000001</v>
      </c>
      <c r="N111" s="401" t="e">
        <f t="shared" ca="1" si="82"/>
        <v>#N/A</v>
      </c>
      <c r="O111" s="470" t="e">
        <f t="shared" ca="1" si="83"/>
        <v>#N/A</v>
      </c>
      <c r="P111" s="465" t="e">
        <f t="shared" ca="1" si="84"/>
        <v>#VALUE!</v>
      </c>
      <c r="Q111" s="402" t="e">
        <f t="shared" ca="1" si="85"/>
        <v>#VALUE!</v>
      </c>
      <c r="U111" s="586" t="e">
        <f t="shared" ca="1" si="86"/>
        <v>#VALUE!</v>
      </c>
    </row>
    <row r="112" spans="5:21" x14ac:dyDescent="0.25">
      <c r="E112" s="475" t="s">
        <v>598</v>
      </c>
      <c r="F112" s="401" t="e">
        <f t="shared" ca="1" si="78"/>
        <v>#N/A</v>
      </c>
      <c r="G112" s="400" t="e">
        <f t="shared" ca="1" si="78"/>
        <v>#N/A</v>
      </c>
      <c r="H112" s="473" t="s">
        <v>598</v>
      </c>
      <c r="I112" s="461" t="e">
        <f t="shared" ca="1" si="79"/>
        <v>#N/A</v>
      </c>
      <c r="J112" s="467" t="e">
        <f t="shared" ca="1" si="79"/>
        <v>#VALUE!</v>
      </c>
      <c r="K112" s="401" t="e">
        <f t="shared" ca="1" si="80"/>
        <v>#VALUE!</v>
      </c>
      <c r="L112" s="470" t="e">
        <f t="shared" ca="1" si="81"/>
        <v>#VALUE!</v>
      </c>
      <c r="M112" s="467">
        <f t="shared" si="87"/>
        <v>1.1000000000000001</v>
      </c>
      <c r="N112" s="401" t="e">
        <f t="shared" ca="1" si="82"/>
        <v>#N/A</v>
      </c>
      <c r="O112" s="470" t="e">
        <f t="shared" ca="1" si="83"/>
        <v>#N/A</v>
      </c>
      <c r="P112" s="465" t="e">
        <f t="shared" ca="1" si="84"/>
        <v>#VALUE!</v>
      </c>
      <c r="Q112" s="402" t="e">
        <f t="shared" ca="1" si="85"/>
        <v>#VALUE!</v>
      </c>
      <c r="U112" s="586" t="e">
        <f t="shared" ca="1" si="86"/>
        <v>#VALUE!</v>
      </c>
    </row>
    <row r="113" spans="5:21" x14ac:dyDescent="0.25">
      <c r="E113" s="475" t="s">
        <v>599</v>
      </c>
      <c r="F113" s="401" t="e">
        <f t="shared" ca="1" si="78"/>
        <v>#N/A</v>
      </c>
      <c r="G113" s="400" t="e">
        <f t="shared" ca="1" si="78"/>
        <v>#N/A</v>
      </c>
      <c r="H113" s="473" t="s">
        <v>462</v>
      </c>
      <c r="I113" s="461" t="e">
        <f t="shared" ca="1" si="79"/>
        <v>#N/A</v>
      </c>
      <c r="J113" s="467" t="e">
        <f t="shared" ca="1" si="79"/>
        <v>#VALUE!</v>
      </c>
      <c r="K113" s="401" t="e">
        <f t="shared" ca="1" si="80"/>
        <v>#VALUE!</v>
      </c>
      <c r="L113" s="470" t="e">
        <f t="shared" ca="1" si="81"/>
        <v>#VALUE!</v>
      </c>
      <c r="M113" s="467">
        <f t="shared" si="87"/>
        <v>1.1000000000000001</v>
      </c>
      <c r="N113" s="401" t="e">
        <f t="shared" ca="1" si="82"/>
        <v>#N/A</v>
      </c>
      <c r="O113" s="470" t="e">
        <f t="shared" ca="1" si="83"/>
        <v>#N/A</v>
      </c>
      <c r="P113" s="465" t="e">
        <f t="shared" ca="1" si="84"/>
        <v>#VALUE!</v>
      </c>
      <c r="Q113" s="402" t="e">
        <f t="shared" ca="1" si="85"/>
        <v>#VALUE!</v>
      </c>
      <c r="U113" s="586" t="e">
        <f t="shared" ca="1" si="86"/>
        <v>#VALUE!</v>
      </c>
    </row>
    <row r="114" spans="5:21" x14ac:dyDescent="0.25">
      <c r="E114" s="475" t="s">
        <v>600</v>
      </c>
      <c r="F114" s="401" t="e">
        <f t="shared" ca="1" si="78"/>
        <v>#N/A</v>
      </c>
      <c r="G114" s="400" t="e">
        <f t="shared" ca="1" si="78"/>
        <v>#N/A</v>
      </c>
      <c r="H114" s="473" t="s">
        <v>600</v>
      </c>
      <c r="I114" s="461" t="e">
        <f t="shared" ca="1" si="79"/>
        <v>#N/A</v>
      </c>
      <c r="J114" s="467" t="e">
        <f t="shared" ca="1" si="79"/>
        <v>#VALUE!</v>
      </c>
      <c r="K114" s="401" t="e">
        <f t="shared" ca="1" si="80"/>
        <v>#VALUE!</v>
      </c>
      <c r="L114" s="470" t="e">
        <f t="shared" ca="1" si="81"/>
        <v>#VALUE!</v>
      </c>
      <c r="M114" s="467">
        <f t="shared" si="87"/>
        <v>1.1000000000000001</v>
      </c>
      <c r="N114" s="401" t="e">
        <f t="shared" ca="1" si="82"/>
        <v>#N/A</v>
      </c>
      <c r="O114" s="470" t="e">
        <f t="shared" ca="1" si="83"/>
        <v>#N/A</v>
      </c>
      <c r="P114" s="465" t="e">
        <f t="shared" ca="1" si="84"/>
        <v>#VALUE!</v>
      </c>
      <c r="Q114" s="402" t="e">
        <f t="shared" ca="1" si="85"/>
        <v>#VALUE!</v>
      </c>
      <c r="U114" s="586" t="e">
        <f t="shared" ca="1" si="86"/>
        <v>#VALUE!</v>
      </c>
    </row>
    <row r="115" spans="5:21" x14ac:dyDescent="0.25">
      <c r="E115" s="475" t="s">
        <v>601</v>
      </c>
      <c r="F115" s="401" t="e">
        <f t="shared" ca="1" si="78"/>
        <v>#N/A</v>
      </c>
      <c r="G115" s="400" t="e">
        <f t="shared" ca="1" si="78"/>
        <v>#N/A</v>
      </c>
      <c r="H115" s="473" t="s">
        <v>601</v>
      </c>
      <c r="I115" s="461" t="e">
        <f t="shared" ca="1" si="79"/>
        <v>#N/A</v>
      </c>
      <c r="J115" s="467" t="e">
        <f t="shared" ca="1" si="79"/>
        <v>#VALUE!</v>
      </c>
      <c r="K115" s="401" t="e">
        <f t="shared" ca="1" si="80"/>
        <v>#VALUE!</v>
      </c>
      <c r="L115" s="470" t="e">
        <f t="shared" ca="1" si="81"/>
        <v>#VALUE!</v>
      </c>
      <c r="M115" s="467">
        <f t="shared" si="87"/>
        <v>1.1000000000000001</v>
      </c>
      <c r="N115" s="401" t="e">
        <f t="shared" ca="1" si="82"/>
        <v>#N/A</v>
      </c>
      <c r="O115" s="470" t="e">
        <f t="shared" ca="1" si="83"/>
        <v>#N/A</v>
      </c>
      <c r="P115" s="465" t="e">
        <f t="shared" ca="1" si="84"/>
        <v>#VALUE!</v>
      </c>
      <c r="Q115" s="402" t="e">
        <f t="shared" ca="1" si="85"/>
        <v>#VALUE!</v>
      </c>
      <c r="U115" s="586" t="e">
        <f t="shared" ca="1" si="86"/>
        <v>#VALUE!</v>
      </c>
    </row>
    <row r="116" spans="5:21" x14ac:dyDescent="0.25">
      <c r="E116" s="475" t="s">
        <v>602</v>
      </c>
      <c r="F116" s="401" t="e">
        <f t="shared" ca="1" si="78"/>
        <v>#N/A</v>
      </c>
      <c r="G116" s="400" t="e">
        <f t="shared" ca="1" si="78"/>
        <v>#N/A</v>
      </c>
      <c r="H116" s="473" t="s">
        <v>598</v>
      </c>
      <c r="I116" s="461" t="e">
        <f t="shared" ca="1" si="79"/>
        <v>#N/A</v>
      </c>
      <c r="J116" s="467" t="e">
        <f t="shared" ca="1" si="79"/>
        <v>#VALUE!</v>
      </c>
      <c r="K116" s="401" t="e">
        <f t="shared" ca="1" si="80"/>
        <v>#VALUE!</v>
      </c>
      <c r="L116" s="470" t="e">
        <f t="shared" ca="1" si="81"/>
        <v>#VALUE!</v>
      </c>
      <c r="M116" s="467">
        <f t="shared" si="87"/>
        <v>1.1000000000000001</v>
      </c>
      <c r="N116" s="401" t="e">
        <f t="shared" ca="1" si="82"/>
        <v>#N/A</v>
      </c>
      <c r="O116" s="470" t="e">
        <f t="shared" ca="1" si="83"/>
        <v>#N/A</v>
      </c>
      <c r="P116" s="465" t="e">
        <f t="shared" ca="1" si="84"/>
        <v>#VALUE!</v>
      </c>
      <c r="Q116" s="402" t="e">
        <f t="shared" ca="1" si="85"/>
        <v>#VALUE!</v>
      </c>
      <c r="U116" s="586" t="e">
        <f t="shared" ca="1" si="86"/>
        <v>#VALUE!</v>
      </c>
    </row>
    <row r="117" spans="5:21" x14ac:dyDescent="0.25">
      <c r="E117" s="475"/>
      <c r="F117" s="401"/>
      <c r="G117" s="400"/>
      <c r="H117" s="473"/>
      <c r="I117" s="461"/>
      <c r="J117" s="467"/>
      <c r="K117" s="401"/>
      <c r="L117" s="470"/>
      <c r="M117" s="467"/>
      <c r="N117" s="401"/>
      <c r="O117" s="470"/>
      <c r="P117" s="465"/>
      <c r="Q117" s="402"/>
      <c r="U117" s="586">
        <f t="shared" si="86"/>
        <v>0</v>
      </c>
    </row>
    <row r="118" spans="5:21" x14ac:dyDescent="0.25">
      <c r="E118" s="475"/>
      <c r="F118" s="401"/>
      <c r="G118" s="400"/>
      <c r="H118" s="473"/>
      <c r="I118" s="461"/>
      <c r="J118" s="467"/>
      <c r="K118" s="401"/>
      <c r="L118" s="470"/>
      <c r="M118" s="467"/>
      <c r="N118" s="401"/>
      <c r="O118" s="470"/>
      <c r="P118" s="465"/>
      <c r="Q118" s="402"/>
      <c r="U118" s="586">
        <f t="shared" si="86"/>
        <v>0</v>
      </c>
    </row>
    <row r="119" spans="5:21" x14ac:dyDescent="0.25">
      <c r="E119" s="475"/>
      <c r="F119" s="401"/>
      <c r="G119" s="400"/>
      <c r="H119" s="473"/>
      <c r="I119" s="461"/>
      <c r="J119" s="467"/>
      <c r="K119" s="401"/>
      <c r="L119" s="470"/>
      <c r="M119" s="467"/>
      <c r="N119" s="401"/>
      <c r="O119" s="470"/>
      <c r="P119" s="465"/>
      <c r="Q119" s="402"/>
      <c r="U119" s="586">
        <f t="shared" si="86"/>
        <v>0</v>
      </c>
    </row>
    <row r="120" spans="5:21" x14ac:dyDescent="0.25">
      <c r="E120" s="475"/>
      <c r="F120" s="401"/>
      <c r="G120" s="400"/>
      <c r="H120" s="473"/>
      <c r="I120" s="461"/>
      <c r="J120" s="467"/>
      <c r="K120" s="401"/>
      <c r="L120" s="470"/>
      <c r="M120" s="467"/>
      <c r="N120" s="401"/>
      <c r="O120" s="470"/>
      <c r="P120" s="465"/>
      <c r="Q120" s="402"/>
      <c r="U120" s="586">
        <f t="shared" si="86"/>
        <v>0</v>
      </c>
    </row>
    <row r="121" spans="5:21" x14ac:dyDescent="0.25">
      <c r="E121" s="475"/>
      <c r="F121" s="401"/>
      <c r="G121" s="400"/>
      <c r="H121" s="473"/>
      <c r="I121" s="461"/>
      <c r="J121" s="467"/>
      <c r="K121" s="401"/>
      <c r="L121" s="470"/>
      <c r="M121" s="467"/>
      <c r="N121" s="401"/>
      <c r="O121" s="470"/>
      <c r="P121" s="465"/>
      <c r="Q121" s="402"/>
      <c r="U121" s="586">
        <f t="shared" si="86"/>
        <v>0</v>
      </c>
    </row>
    <row r="122" spans="5:21" x14ac:dyDescent="0.25">
      <c r="E122" s="475"/>
      <c r="F122" s="401"/>
      <c r="G122" s="400"/>
      <c r="H122" s="473"/>
      <c r="I122" s="461"/>
      <c r="J122" s="467"/>
      <c r="K122" s="401"/>
      <c r="L122" s="470"/>
      <c r="M122" s="467"/>
      <c r="N122" s="401"/>
      <c r="O122" s="470"/>
      <c r="P122" s="465"/>
      <c r="Q122" s="402"/>
      <c r="U122" s="586">
        <f t="shared" si="86"/>
        <v>0</v>
      </c>
    </row>
    <row r="123" spans="5:21" x14ac:dyDescent="0.25">
      <c r="E123" s="475"/>
      <c r="F123" s="401"/>
      <c r="G123" s="400"/>
      <c r="H123" s="473"/>
      <c r="I123" s="461"/>
      <c r="J123" s="467"/>
      <c r="K123" s="401"/>
      <c r="L123" s="470"/>
      <c r="M123" s="467"/>
      <c r="N123" s="401"/>
      <c r="O123" s="470"/>
      <c r="P123" s="465"/>
      <c r="Q123" s="402"/>
      <c r="U123" s="586">
        <f t="shared" si="86"/>
        <v>0</v>
      </c>
    </row>
    <row r="124" spans="5:21" x14ac:dyDescent="0.25">
      <c r="E124" s="384" t="s">
        <v>41</v>
      </c>
      <c r="F124" s="441" t="e">
        <f ca="1">SUMPRODUCT(G104:G123,F104:F123)</f>
        <v>#N/A</v>
      </c>
      <c r="G124" s="441" t="e">
        <f ca="1">SUM(G103:G122)</f>
        <v>#N/A</v>
      </c>
      <c r="H124" s="442" t="s">
        <v>512</v>
      </c>
      <c r="I124" s="441"/>
      <c r="J124" s="447" t="e">
        <f ca="1">L124/K124</f>
        <v>#VALUE!</v>
      </c>
      <c r="K124" s="441" t="e">
        <f ca="1">SUMPRODUCT(K104:K122,$G$104:$G$122)</f>
        <v>#VALUE!</v>
      </c>
      <c r="L124" s="442" t="e">
        <f ca="1">SUMPRODUCT(L104:L122,$G$104:$G$122)</f>
        <v>#VALUE!</v>
      </c>
      <c r="M124" s="447" t="e">
        <f ca="1">O124/N124</f>
        <v>#N/A</v>
      </c>
      <c r="N124" s="441" t="e">
        <f ca="1">SUMPRODUCT(N104:N122,$G$104:$G$122)</f>
        <v>#N/A</v>
      </c>
      <c r="O124" s="442" t="e">
        <f ca="1">SUMPRODUCT(O104:O122,$G$104:$G$122)</f>
        <v>#N/A</v>
      </c>
      <c r="P124" s="443" t="e">
        <f ca="1">SUM(P104:P123)</f>
        <v>#VALUE!</v>
      </c>
      <c r="Q124" s="440" t="e">
        <f ca="1">P124/F124</f>
        <v>#VALUE!</v>
      </c>
      <c r="U124" s="586" t="e">
        <f t="shared" ca="1" si="86"/>
        <v>#VALUE!</v>
      </c>
    </row>
    <row r="125" spans="5:21" x14ac:dyDescent="0.25">
      <c r="E125" s="387" t="s">
        <v>47</v>
      </c>
      <c r="F125" s="444"/>
      <c r="G125" s="444"/>
      <c r="H125" s="445"/>
      <c r="I125" s="444"/>
      <c r="J125" s="446"/>
      <c r="K125" s="444"/>
      <c r="L125" s="445"/>
      <c r="M125" s="446"/>
      <c r="N125" s="444"/>
      <c r="O125" s="445"/>
      <c r="P125" s="446"/>
      <c r="Q125" s="448">
        <v>1.1000000000000001</v>
      </c>
    </row>
    <row r="126" spans="5:21" x14ac:dyDescent="0.25">
      <c r="E126" s="235" t="s">
        <v>542</v>
      </c>
    </row>
    <row r="127" spans="5:21" x14ac:dyDescent="0.25">
      <c r="L127" s="393" t="s">
        <v>518</v>
      </c>
      <c r="M127" s="394"/>
      <c r="N127" s="394"/>
      <c r="O127" s="395"/>
      <c r="P127" s="396"/>
    </row>
    <row r="128" spans="5:21" x14ac:dyDescent="0.25">
      <c r="L128" s="390" t="s">
        <v>552</v>
      </c>
      <c r="M128" s="391"/>
      <c r="N128" s="391"/>
      <c r="O128" s="392"/>
      <c r="P128" s="397" t="e">
        <f ca="1">G124</f>
        <v>#N/A</v>
      </c>
    </row>
    <row r="129" spans="12:16" x14ac:dyDescent="0.25">
      <c r="L129" s="379" t="s">
        <v>523</v>
      </c>
      <c r="M129" s="380"/>
      <c r="N129" s="380"/>
      <c r="O129" s="381"/>
      <c r="P129" s="244" t="e">
        <f ca="1">F124</f>
        <v>#N/A</v>
      </c>
    </row>
    <row r="130" spans="12:16" x14ac:dyDescent="0.25">
      <c r="L130" s="379" t="s">
        <v>553</v>
      </c>
      <c r="M130" s="380"/>
      <c r="N130" s="380"/>
      <c r="O130" s="381"/>
      <c r="P130" s="398" t="e">
        <f ca="1">P124</f>
        <v>#VALUE!</v>
      </c>
    </row>
    <row r="131" spans="12:16" x14ac:dyDescent="0.25">
      <c r="L131" s="384" t="s">
        <v>526</v>
      </c>
      <c r="M131" s="385"/>
      <c r="N131" s="385"/>
      <c r="O131" s="386"/>
      <c r="P131" s="399" t="e">
        <f ca="1">Q124</f>
        <v>#VALUE!</v>
      </c>
    </row>
    <row r="132" spans="12:16" x14ac:dyDescent="0.25">
      <c r="L132" s="387" t="s">
        <v>527</v>
      </c>
      <c r="M132" s="388"/>
      <c r="N132" s="388"/>
      <c r="O132" s="389"/>
      <c r="P132" s="389">
        <v>1.1000000000000001</v>
      </c>
    </row>
  </sheetData>
  <autoFilter ref="A17:AM77" xr:uid="{00000000-0009-0000-0000-00000F000000}">
    <filterColumn colId="23" showButton="0"/>
    <filterColumn colId="24" showButton="0"/>
  </autoFilter>
  <mergeCells count="42">
    <mergeCell ref="E85:J85"/>
    <mergeCell ref="E86:J86"/>
    <mergeCell ref="E87:J87"/>
    <mergeCell ref="E88:J88"/>
    <mergeCell ref="E100:Q100"/>
    <mergeCell ref="E84:J84"/>
    <mergeCell ref="B51:B55"/>
    <mergeCell ref="C51:C55"/>
    <mergeCell ref="D51:D55"/>
    <mergeCell ref="B57:B62"/>
    <mergeCell ref="C57:C62"/>
    <mergeCell ref="D57:D62"/>
    <mergeCell ref="B72:B76"/>
    <mergeCell ref="C72:C76"/>
    <mergeCell ref="D72:D76"/>
    <mergeCell ref="E82:J82"/>
    <mergeCell ref="E83:J83"/>
    <mergeCell ref="B64:B70"/>
    <mergeCell ref="C64:C70"/>
    <mergeCell ref="D64:D70"/>
    <mergeCell ref="B45:B49"/>
    <mergeCell ref="C45:C49"/>
    <mergeCell ref="D45:D49"/>
    <mergeCell ref="B32:B36"/>
    <mergeCell ref="C32:C36"/>
    <mergeCell ref="D32:D36"/>
    <mergeCell ref="B38:B43"/>
    <mergeCell ref="C38:C43"/>
    <mergeCell ref="D38:D43"/>
    <mergeCell ref="X17:Z17"/>
    <mergeCell ref="B20:B24"/>
    <mergeCell ref="C20:C24"/>
    <mergeCell ref="D20:D24"/>
    <mergeCell ref="B26:B30"/>
    <mergeCell ref="C26:C30"/>
    <mergeCell ref="D26:D30"/>
    <mergeCell ref="V13:W13"/>
    <mergeCell ref="E7:AA7"/>
    <mergeCell ref="E8:AA8"/>
    <mergeCell ref="E9:AA9"/>
    <mergeCell ref="V11:W11"/>
    <mergeCell ref="V12:W12"/>
  </mergeCells>
  <dataValidations disablePrompts="1" count="2">
    <dataValidation type="list" allowBlank="1" showInputMessage="1" showErrorMessage="1" sqref="E91:G98 JJ20:JJ43 WVV20:WVV43 WLZ20:WLZ43 WCD20:WCD43 VSH20:VSH43 VIL20:VIL43 UYP20:UYP43 UOT20:UOT43 UEX20:UEX43 TVB20:TVB43 TLF20:TLF43 TBJ20:TBJ43 SRN20:SRN43 SHR20:SHR43 RXV20:RXV43 RNZ20:RNZ43 RED20:RED43 QUH20:QUH43 QKL20:QKL43 QAP20:QAP43 PQT20:PQT43 PGX20:PGX43 OXB20:OXB43 ONF20:ONF43 ODJ20:ODJ43 NTN20:NTN43 NJR20:NJR43 MZV20:MZV43 MPZ20:MPZ43 MGD20:MGD43 LWH20:LWH43 LML20:LML43 LCP20:LCP43 KST20:KST43 KIX20:KIX43 JZB20:JZB43 JPF20:JPF43 JFJ20:JFJ43 IVN20:IVN43 ILR20:ILR43 IBV20:IBV43 HRZ20:HRZ43 HID20:HID43 GYH20:GYH43 GOL20:GOL43 GEP20:GEP43 FUT20:FUT43 FKX20:FKX43 FBB20:FBB43 ERF20:ERF43 EHJ20:EHJ43 DXN20:DXN43 DNR20:DNR43 DDV20:DDV43 CTZ20:CTZ43 CKD20:CKD43 CAH20:CAH43 BQL20:BQL43 BGP20:BGP43 AWT20:AWT43 AMX20:AMX43 ADB20:ADB43 TF20:TF43 JM65503:JM65531 TI65503:TI65531 ADE65503:ADE65531 ANA65503:ANA65531 AWW65503:AWW65531 BGS65503:BGS65531 BQO65503:BQO65531 CAK65503:CAK65531 CKG65503:CKG65531 CUC65503:CUC65531 DDY65503:DDY65531 DNU65503:DNU65531 DXQ65503:DXQ65531 EHM65503:EHM65531 ERI65503:ERI65531 FBE65503:FBE65531 FLA65503:FLA65531 FUW65503:FUW65531 GES65503:GES65531 GOO65503:GOO65531 GYK65503:GYK65531 HIG65503:HIG65531 HSC65503:HSC65531 IBY65503:IBY65531 ILU65503:ILU65531 IVQ65503:IVQ65531 JFM65503:JFM65531 JPI65503:JPI65531 JZE65503:JZE65531 KJA65503:KJA65531 KSW65503:KSW65531 LCS65503:LCS65531 LMO65503:LMO65531 LWK65503:LWK65531 MGG65503:MGG65531 MQC65503:MQC65531 MZY65503:MZY65531 NJU65503:NJU65531 NTQ65503:NTQ65531 ODM65503:ODM65531 ONI65503:ONI65531 OXE65503:OXE65531 PHA65503:PHA65531 PQW65503:PQW65531 QAS65503:QAS65531 QKO65503:QKO65531 QUK65503:QUK65531 REG65503:REG65531 ROC65503:ROC65531 RXY65503:RXY65531 SHU65503:SHU65531 SRQ65503:SRQ65531 TBM65503:TBM65531 TLI65503:TLI65531 TVE65503:TVE65531 UFA65503:UFA65531 UOW65503:UOW65531 UYS65503:UYS65531 VIO65503:VIO65531 VSK65503:VSK65531 WCG65503:WCG65531 WMC65503:WMC65531 WVY65503:WVY65531 E131113:G131141 JM131039:JM131067 TI131039:TI131067 ADE131039:ADE131067 ANA131039:ANA131067 AWW131039:AWW131067 BGS131039:BGS131067 BQO131039:BQO131067 CAK131039:CAK131067 CKG131039:CKG131067 CUC131039:CUC131067 DDY131039:DDY131067 DNU131039:DNU131067 DXQ131039:DXQ131067 EHM131039:EHM131067 ERI131039:ERI131067 FBE131039:FBE131067 FLA131039:FLA131067 FUW131039:FUW131067 GES131039:GES131067 GOO131039:GOO131067 GYK131039:GYK131067 HIG131039:HIG131067 HSC131039:HSC131067 IBY131039:IBY131067 ILU131039:ILU131067 IVQ131039:IVQ131067 JFM131039:JFM131067 JPI131039:JPI131067 JZE131039:JZE131067 KJA131039:KJA131067 KSW131039:KSW131067 LCS131039:LCS131067 LMO131039:LMO131067 LWK131039:LWK131067 MGG131039:MGG131067 MQC131039:MQC131067 MZY131039:MZY131067 NJU131039:NJU131067 NTQ131039:NTQ131067 ODM131039:ODM131067 ONI131039:ONI131067 OXE131039:OXE131067 PHA131039:PHA131067 PQW131039:PQW131067 QAS131039:QAS131067 QKO131039:QKO131067 QUK131039:QUK131067 REG131039:REG131067 ROC131039:ROC131067 RXY131039:RXY131067 SHU131039:SHU131067 SRQ131039:SRQ131067 TBM131039:TBM131067 TLI131039:TLI131067 TVE131039:TVE131067 UFA131039:UFA131067 UOW131039:UOW131067 UYS131039:UYS131067 VIO131039:VIO131067 VSK131039:VSK131067 WCG131039:WCG131067 WMC131039:WMC131067 WVY131039:WVY131067 E196649:G196677 JM196575:JM196603 TI196575:TI196603 ADE196575:ADE196603 ANA196575:ANA196603 AWW196575:AWW196603 BGS196575:BGS196603 BQO196575:BQO196603 CAK196575:CAK196603 CKG196575:CKG196603 CUC196575:CUC196603 DDY196575:DDY196603 DNU196575:DNU196603 DXQ196575:DXQ196603 EHM196575:EHM196603 ERI196575:ERI196603 FBE196575:FBE196603 FLA196575:FLA196603 FUW196575:FUW196603 GES196575:GES196603 GOO196575:GOO196603 GYK196575:GYK196603 HIG196575:HIG196603 HSC196575:HSC196603 IBY196575:IBY196603 ILU196575:ILU196603 IVQ196575:IVQ196603 JFM196575:JFM196603 JPI196575:JPI196603 JZE196575:JZE196603 KJA196575:KJA196603 KSW196575:KSW196603 LCS196575:LCS196603 LMO196575:LMO196603 LWK196575:LWK196603 MGG196575:MGG196603 MQC196575:MQC196603 MZY196575:MZY196603 NJU196575:NJU196603 NTQ196575:NTQ196603 ODM196575:ODM196603 ONI196575:ONI196603 OXE196575:OXE196603 PHA196575:PHA196603 PQW196575:PQW196603 QAS196575:QAS196603 QKO196575:QKO196603 QUK196575:QUK196603 REG196575:REG196603 ROC196575:ROC196603 RXY196575:RXY196603 SHU196575:SHU196603 SRQ196575:SRQ196603 TBM196575:TBM196603 TLI196575:TLI196603 TVE196575:TVE196603 UFA196575:UFA196603 UOW196575:UOW196603 UYS196575:UYS196603 VIO196575:VIO196603 VSK196575:VSK196603 WCG196575:WCG196603 WMC196575:WMC196603 WVY196575:WVY196603 E262185:G262213 JM262111:JM262139 TI262111:TI262139 ADE262111:ADE262139 ANA262111:ANA262139 AWW262111:AWW262139 BGS262111:BGS262139 BQO262111:BQO262139 CAK262111:CAK262139 CKG262111:CKG262139 CUC262111:CUC262139 DDY262111:DDY262139 DNU262111:DNU262139 DXQ262111:DXQ262139 EHM262111:EHM262139 ERI262111:ERI262139 FBE262111:FBE262139 FLA262111:FLA262139 FUW262111:FUW262139 GES262111:GES262139 GOO262111:GOO262139 GYK262111:GYK262139 HIG262111:HIG262139 HSC262111:HSC262139 IBY262111:IBY262139 ILU262111:ILU262139 IVQ262111:IVQ262139 JFM262111:JFM262139 JPI262111:JPI262139 JZE262111:JZE262139 KJA262111:KJA262139 KSW262111:KSW262139 LCS262111:LCS262139 LMO262111:LMO262139 LWK262111:LWK262139 MGG262111:MGG262139 MQC262111:MQC262139 MZY262111:MZY262139 NJU262111:NJU262139 NTQ262111:NTQ262139 ODM262111:ODM262139 ONI262111:ONI262139 OXE262111:OXE262139 PHA262111:PHA262139 PQW262111:PQW262139 QAS262111:QAS262139 QKO262111:QKO262139 QUK262111:QUK262139 REG262111:REG262139 ROC262111:ROC262139 RXY262111:RXY262139 SHU262111:SHU262139 SRQ262111:SRQ262139 TBM262111:TBM262139 TLI262111:TLI262139 TVE262111:TVE262139 UFA262111:UFA262139 UOW262111:UOW262139 UYS262111:UYS262139 VIO262111:VIO262139 VSK262111:VSK262139 WCG262111:WCG262139 WMC262111:WMC262139 WVY262111:WVY262139 E327721:G327749 JM327647:JM327675 TI327647:TI327675 ADE327647:ADE327675 ANA327647:ANA327675 AWW327647:AWW327675 BGS327647:BGS327675 BQO327647:BQO327675 CAK327647:CAK327675 CKG327647:CKG327675 CUC327647:CUC327675 DDY327647:DDY327675 DNU327647:DNU327675 DXQ327647:DXQ327675 EHM327647:EHM327675 ERI327647:ERI327675 FBE327647:FBE327675 FLA327647:FLA327675 FUW327647:FUW327675 GES327647:GES327675 GOO327647:GOO327675 GYK327647:GYK327675 HIG327647:HIG327675 HSC327647:HSC327675 IBY327647:IBY327675 ILU327647:ILU327675 IVQ327647:IVQ327675 JFM327647:JFM327675 JPI327647:JPI327675 JZE327647:JZE327675 KJA327647:KJA327675 KSW327647:KSW327675 LCS327647:LCS327675 LMO327647:LMO327675 LWK327647:LWK327675 MGG327647:MGG327675 MQC327647:MQC327675 MZY327647:MZY327675 NJU327647:NJU327675 NTQ327647:NTQ327675 ODM327647:ODM327675 ONI327647:ONI327675 OXE327647:OXE327675 PHA327647:PHA327675 PQW327647:PQW327675 QAS327647:QAS327675 QKO327647:QKO327675 QUK327647:QUK327675 REG327647:REG327675 ROC327647:ROC327675 RXY327647:RXY327675 SHU327647:SHU327675 SRQ327647:SRQ327675 TBM327647:TBM327675 TLI327647:TLI327675 TVE327647:TVE327675 UFA327647:UFA327675 UOW327647:UOW327675 UYS327647:UYS327675 VIO327647:VIO327675 VSK327647:VSK327675 WCG327647:WCG327675 WMC327647:WMC327675 WVY327647:WVY327675 E393257:G393285 JM393183:JM393211 TI393183:TI393211 ADE393183:ADE393211 ANA393183:ANA393211 AWW393183:AWW393211 BGS393183:BGS393211 BQO393183:BQO393211 CAK393183:CAK393211 CKG393183:CKG393211 CUC393183:CUC393211 DDY393183:DDY393211 DNU393183:DNU393211 DXQ393183:DXQ393211 EHM393183:EHM393211 ERI393183:ERI393211 FBE393183:FBE393211 FLA393183:FLA393211 FUW393183:FUW393211 GES393183:GES393211 GOO393183:GOO393211 GYK393183:GYK393211 HIG393183:HIG393211 HSC393183:HSC393211 IBY393183:IBY393211 ILU393183:ILU393211 IVQ393183:IVQ393211 JFM393183:JFM393211 JPI393183:JPI393211 JZE393183:JZE393211 KJA393183:KJA393211 KSW393183:KSW393211 LCS393183:LCS393211 LMO393183:LMO393211 LWK393183:LWK393211 MGG393183:MGG393211 MQC393183:MQC393211 MZY393183:MZY393211 NJU393183:NJU393211 NTQ393183:NTQ393211 ODM393183:ODM393211 ONI393183:ONI393211 OXE393183:OXE393211 PHA393183:PHA393211 PQW393183:PQW393211 QAS393183:QAS393211 QKO393183:QKO393211 QUK393183:QUK393211 REG393183:REG393211 ROC393183:ROC393211 RXY393183:RXY393211 SHU393183:SHU393211 SRQ393183:SRQ393211 TBM393183:TBM393211 TLI393183:TLI393211 TVE393183:TVE393211 UFA393183:UFA393211 UOW393183:UOW393211 UYS393183:UYS393211 VIO393183:VIO393211 VSK393183:VSK393211 WCG393183:WCG393211 WMC393183:WMC393211 WVY393183:WVY393211 E458793:G458821 JM458719:JM458747 TI458719:TI458747 ADE458719:ADE458747 ANA458719:ANA458747 AWW458719:AWW458747 BGS458719:BGS458747 BQO458719:BQO458747 CAK458719:CAK458747 CKG458719:CKG458747 CUC458719:CUC458747 DDY458719:DDY458747 DNU458719:DNU458747 DXQ458719:DXQ458747 EHM458719:EHM458747 ERI458719:ERI458747 FBE458719:FBE458747 FLA458719:FLA458747 FUW458719:FUW458747 GES458719:GES458747 GOO458719:GOO458747 GYK458719:GYK458747 HIG458719:HIG458747 HSC458719:HSC458747 IBY458719:IBY458747 ILU458719:ILU458747 IVQ458719:IVQ458747 JFM458719:JFM458747 JPI458719:JPI458747 JZE458719:JZE458747 KJA458719:KJA458747 KSW458719:KSW458747 LCS458719:LCS458747 LMO458719:LMO458747 LWK458719:LWK458747 MGG458719:MGG458747 MQC458719:MQC458747 MZY458719:MZY458747 NJU458719:NJU458747 NTQ458719:NTQ458747 ODM458719:ODM458747 ONI458719:ONI458747 OXE458719:OXE458747 PHA458719:PHA458747 PQW458719:PQW458747 QAS458719:QAS458747 QKO458719:QKO458747 QUK458719:QUK458747 REG458719:REG458747 ROC458719:ROC458747 RXY458719:RXY458747 SHU458719:SHU458747 SRQ458719:SRQ458747 TBM458719:TBM458747 TLI458719:TLI458747 TVE458719:TVE458747 UFA458719:UFA458747 UOW458719:UOW458747 UYS458719:UYS458747 VIO458719:VIO458747 VSK458719:VSK458747 WCG458719:WCG458747 WMC458719:WMC458747 WVY458719:WVY458747 E524329:G524357 JM524255:JM524283 TI524255:TI524283 ADE524255:ADE524283 ANA524255:ANA524283 AWW524255:AWW524283 BGS524255:BGS524283 BQO524255:BQO524283 CAK524255:CAK524283 CKG524255:CKG524283 CUC524255:CUC524283 DDY524255:DDY524283 DNU524255:DNU524283 DXQ524255:DXQ524283 EHM524255:EHM524283 ERI524255:ERI524283 FBE524255:FBE524283 FLA524255:FLA524283 FUW524255:FUW524283 GES524255:GES524283 GOO524255:GOO524283 GYK524255:GYK524283 HIG524255:HIG524283 HSC524255:HSC524283 IBY524255:IBY524283 ILU524255:ILU524283 IVQ524255:IVQ524283 JFM524255:JFM524283 JPI524255:JPI524283 JZE524255:JZE524283 KJA524255:KJA524283 KSW524255:KSW524283 LCS524255:LCS524283 LMO524255:LMO524283 LWK524255:LWK524283 MGG524255:MGG524283 MQC524255:MQC524283 MZY524255:MZY524283 NJU524255:NJU524283 NTQ524255:NTQ524283 ODM524255:ODM524283 ONI524255:ONI524283 OXE524255:OXE524283 PHA524255:PHA524283 PQW524255:PQW524283 QAS524255:QAS524283 QKO524255:QKO524283 QUK524255:QUK524283 REG524255:REG524283 ROC524255:ROC524283 RXY524255:RXY524283 SHU524255:SHU524283 SRQ524255:SRQ524283 TBM524255:TBM524283 TLI524255:TLI524283 TVE524255:TVE524283 UFA524255:UFA524283 UOW524255:UOW524283 UYS524255:UYS524283 VIO524255:VIO524283 VSK524255:VSK524283 WCG524255:WCG524283 WMC524255:WMC524283 WVY524255:WVY524283 E589865:G589893 JM589791:JM589819 TI589791:TI589819 ADE589791:ADE589819 ANA589791:ANA589819 AWW589791:AWW589819 BGS589791:BGS589819 BQO589791:BQO589819 CAK589791:CAK589819 CKG589791:CKG589819 CUC589791:CUC589819 DDY589791:DDY589819 DNU589791:DNU589819 DXQ589791:DXQ589819 EHM589791:EHM589819 ERI589791:ERI589819 FBE589791:FBE589819 FLA589791:FLA589819 FUW589791:FUW589819 GES589791:GES589819 GOO589791:GOO589819 GYK589791:GYK589819 HIG589791:HIG589819 HSC589791:HSC589819 IBY589791:IBY589819 ILU589791:ILU589819 IVQ589791:IVQ589819 JFM589791:JFM589819 JPI589791:JPI589819 JZE589791:JZE589819 KJA589791:KJA589819 KSW589791:KSW589819 LCS589791:LCS589819 LMO589791:LMO589819 LWK589791:LWK589819 MGG589791:MGG589819 MQC589791:MQC589819 MZY589791:MZY589819 NJU589791:NJU589819 NTQ589791:NTQ589819 ODM589791:ODM589819 ONI589791:ONI589819 OXE589791:OXE589819 PHA589791:PHA589819 PQW589791:PQW589819 QAS589791:QAS589819 QKO589791:QKO589819 QUK589791:QUK589819 REG589791:REG589819 ROC589791:ROC589819 RXY589791:RXY589819 SHU589791:SHU589819 SRQ589791:SRQ589819 TBM589791:TBM589819 TLI589791:TLI589819 TVE589791:TVE589819 UFA589791:UFA589819 UOW589791:UOW589819 UYS589791:UYS589819 VIO589791:VIO589819 VSK589791:VSK589819 WCG589791:WCG589819 WMC589791:WMC589819 WVY589791:WVY589819 E655401:G655429 JM655327:JM655355 TI655327:TI655355 ADE655327:ADE655355 ANA655327:ANA655355 AWW655327:AWW655355 BGS655327:BGS655355 BQO655327:BQO655355 CAK655327:CAK655355 CKG655327:CKG655355 CUC655327:CUC655355 DDY655327:DDY655355 DNU655327:DNU655355 DXQ655327:DXQ655355 EHM655327:EHM655355 ERI655327:ERI655355 FBE655327:FBE655355 FLA655327:FLA655355 FUW655327:FUW655355 GES655327:GES655355 GOO655327:GOO655355 GYK655327:GYK655355 HIG655327:HIG655355 HSC655327:HSC655355 IBY655327:IBY655355 ILU655327:ILU655355 IVQ655327:IVQ655355 JFM655327:JFM655355 JPI655327:JPI655355 JZE655327:JZE655355 KJA655327:KJA655355 KSW655327:KSW655355 LCS655327:LCS655355 LMO655327:LMO655355 LWK655327:LWK655355 MGG655327:MGG655355 MQC655327:MQC655355 MZY655327:MZY655355 NJU655327:NJU655355 NTQ655327:NTQ655355 ODM655327:ODM655355 ONI655327:ONI655355 OXE655327:OXE655355 PHA655327:PHA655355 PQW655327:PQW655355 QAS655327:QAS655355 QKO655327:QKO655355 QUK655327:QUK655355 REG655327:REG655355 ROC655327:ROC655355 RXY655327:RXY655355 SHU655327:SHU655355 SRQ655327:SRQ655355 TBM655327:TBM655355 TLI655327:TLI655355 TVE655327:TVE655355 UFA655327:UFA655355 UOW655327:UOW655355 UYS655327:UYS655355 VIO655327:VIO655355 VSK655327:VSK655355 WCG655327:WCG655355 WMC655327:WMC655355 WVY655327:WVY655355 E720937:G720965 JM720863:JM720891 TI720863:TI720891 ADE720863:ADE720891 ANA720863:ANA720891 AWW720863:AWW720891 BGS720863:BGS720891 BQO720863:BQO720891 CAK720863:CAK720891 CKG720863:CKG720891 CUC720863:CUC720891 DDY720863:DDY720891 DNU720863:DNU720891 DXQ720863:DXQ720891 EHM720863:EHM720891 ERI720863:ERI720891 FBE720863:FBE720891 FLA720863:FLA720891 FUW720863:FUW720891 GES720863:GES720891 GOO720863:GOO720891 GYK720863:GYK720891 HIG720863:HIG720891 HSC720863:HSC720891 IBY720863:IBY720891 ILU720863:ILU720891 IVQ720863:IVQ720891 JFM720863:JFM720891 JPI720863:JPI720891 JZE720863:JZE720891 KJA720863:KJA720891 KSW720863:KSW720891 LCS720863:LCS720891 LMO720863:LMO720891 LWK720863:LWK720891 MGG720863:MGG720891 MQC720863:MQC720891 MZY720863:MZY720891 NJU720863:NJU720891 NTQ720863:NTQ720891 ODM720863:ODM720891 ONI720863:ONI720891 OXE720863:OXE720891 PHA720863:PHA720891 PQW720863:PQW720891 QAS720863:QAS720891 QKO720863:QKO720891 QUK720863:QUK720891 REG720863:REG720891 ROC720863:ROC720891 RXY720863:RXY720891 SHU720863:SHU720891 SRQ720863:SRQ720891 TBM720863:TBM720891 TLI720863:TLI720891 TVE720863:TVE720891 UFA720863:UFA720891 UOW720863:UOW720891 UYS720863:UYS720891 VIO720863:VIO720891 VSK720863:VSK720891 WCG720863:WCG720891 WMC720863:WMC720891 WVY720863:WVY720891 E786473:G786501 JM786399:JM786427 TI786399:TI786427 ADE786399:ADE786427 ANA786399:ANA786427 AWW786399:AWW786427 BGS786399:BGS786427 BQO786399:BQO786427 CAK786399:CAK786427 CKG786399:CKG786427 CUC786399:CUC786427 DDY786399:DDY786427 DNU786399:DNU786427 DXQ786399:DXQ786427 EHM786399:EHM786427 ERI786399:ERI786427 FBE786399:FBE786427 FLA786399:FLA786427 FUW786399:FUW786427 GES786399:GES786427 GOO786399:GOO786427 GYK786399:GYK786427 HIG786399:HIG786427 HSC786399:HSC786427 IBY786399:IBY786427 ILU786399:ILU786427 IVQ786399:IVQ786427 JFM786399:JFM786427 JPI786399:JPI786427 JZE786399:JZE786427 KJA786399:KJA786427 KSW786399:KSW786427 LCS786399:LCS786427 LMO786399:LMO786427 LWK786399:LWK786427 MGG786399:MGG786427 MQC786399:MQC786427 MZY786399:MZY786427 NJU786399:NJU786427 NTQ786399:NTQ786427 ODM786399:ODM786427 ONI786399:ONI786427 OXE786399:OXE786427 PHA786399:PHA786427 PQW786399:PQW786427 QAS786399:QAS786427 QKO786399:QKO786427 QUK786399:QUK786427 REG786399:REG786427 ROC786399:ROC786427 RXY786399:RXY786427 SHU786399:SHU786427 SRQ786399:SRQ786427 TBM786399:TBM786427 TLI786399:TLI786427 TVE786399:TVE786427 UFA786399:UFA786427 UOW786399:UOW786427 UYS786399:UYS786427 VIO786399:VIO786427 VSK786399:VSK786427 WCG786399:WCG786427 WMC786399:WMC786427 WVY786399:WVY786427 E852009:G852037 JM851935:JM851963 TI851935:TI851963 ADE851935:ADE851963 ANA851935:ANA851963 AWW851935:AWW851963 BGS851935:BGS851963 BQO851935:BQO851963 CAK851935:CAK851963 CKG851935:CKG851963 CUC851935:CUC851963 DDY851935:DDY851963 DNU851935:DNU851963 DXQ851935:DXQ851963 EHM851935:EHM851963 ERI851935:ERI851963 FBE851935:FBE851963 FLA851935:FLA851963 FUW851935:FUW851963 GES851935:GES851963 GOO851935:GOO851963 GYK851935:GYK851963 HIG851935:HIG851963 HSC851935:HSC851963 IBY851935:IBY851963 ILU851935:ILU851963 IVQ851935:IVQ851963 JFM851935:JFM851963 JPI851935:JPI851963 JZE851935:JZE851963 KJA851935:KJA851963 KSW851935:KSW851963 LCS851935:LCS851963 LMO851935:LMO851963 LWK851935:LWK851963 MGG851935:MGG851963 MQC851935:MQC851963 MZY851935:MZY851963 NJU851935:NJU851963 NTQ851935:NTQ851963 ODM851935:ODM851963 ONI851935:ONI851963 OXE851935:OXE851963 PHA851935:PHA851963 PQW851935:PQW851963 QAS851935:QAS851963 QKO851935:QKO851963 QUK851935:QUK851963 REG851935:REG851963 ROC851935:ROC851963 RXY851935:RXY851963 SHU851935:SHU851963 SRQ851935:SRQ851963 TBM851935:TBM851963 TLI851935:TLI851963 TVE851935:TVE851963 UFA851935:UFA851963 UOW851935:UOW851963 UYS851935:UYS851963 VIO851935:VIO851963 VSK851935:VSK851963 WCG851935:WCG851963 WMC851935:WMC851963 WVY851935:WVY851963 E917545:G917573 JM917471:JM917499 TI917471:TI917499 ADE917471:ADE917499 ANA917471:ANA917499 AWW917471:AWW917499 BGS917471:BGS917499 BQO917471:BQO917499 CAK917471:CAK917499 CKG917471:CKG917499 CUC917471:CUC917499 DDY917471:DDY917499 DNU917471:DNU917499 DXQ917471:DXQ917499 EHM917471:EHM917499 ERI917471:ERI917499 FBE917471:FBE917499 FLA917471:FLA917499 FUW917471:FUW917499 GES917471:GES917499 GOO917471:GOO917499 GYK917471:GYK917499 HIG917471:HIG917499 HSC917471:HSC917499 IBY917471:IBY917499 ILU917471:ILU917499 IVQ917471:IVQ917499 JFM917471:JFM917499 JPI917471:JPI917499 JZE917471:JZE917499 KJA917471:KJA917499 KSW917471:KSW917499 LCS917471:LCS917499 LMO917471:LMO917499 LWK917471:LWK917499 MGG917471:MGG917499 MQC917471:MQC917499 MZY917471:MZY917499 NJU917471:NJU917499 NTQ917471:NTQ917499 ODM917471:ODM917499 ONI917471:ONI917499 OXE917471:OXE917499 PHA917471:PHA917499 PQW917471:PQW917499 QAS917471:QAS917499 QKO917471:QKO917499 QUK917471:QUK917499 REG917471:REG917499 ROC917471:ROC917499 RXY917471:RXY917499 SHU917471:SHU917499 SRQ917471:SRQ917499 TBM917471:TBM917499 TLI917471:TLI917499 TVE917471:TVE917499 UFA917471:UFA917499 UOW917471:UOW917499 UYS917471:UYS917499 VIO917471:VIO917499 VSK917471:VSK917499 WCG917471:WCG917499 WMC917471:WMC917499 WVY917471:WVY917499 E983081:G983109 JM983007:JM983035 TI983007:TI983035 ADE983007:ADE983035 ANA983007:ANA983035 AWW983007:AWW983035 BGS983007:BGS983035 BQO983007:BQO983035 CAK983007:CAK983035 CKG983007:CKG983035 CUC983007:CUC983035 DDY983007:DDY983035 DNU983007:DNU983035 DXQ983007:DXQ983035 EHM983007:EHM983035 ERI983007:ERI983035 FBE983007:FBE983035 FLA983007:FLA983035 FUW983007:FUW983035 GES983007:GES983035 GOO983007:GOO983035 GYK983007:GYK983035 HIG983007:HIG983035 HSC983007:HSC983035 IBY983007:IBY983035 ILU983007:ILU983035 IVQ983007:IVQ983035 JFM983007:JFM983035 JPI983007:JPI983035 JZE983007:JZE983035 KJA983007:KJA983035 KSW983007:KSW983035 LCS983007:LCS983035 LMO983007:LMO983035 LWK983007:LWK983035 MGG983007:MGG983035 MQC983007:MQC983035 MZY983007:MZY983035 NJU983007:NJU983035 NTQ983007:NTQ983035 ODM983007:ODM983035 ONI983007:ONI983035 OXE983007:OXE983035 PHA983007:PHA983035 PQW983007:PQW983035 QAS983007:QAS983035 QKO983007:QKO983035 QUK983007:QUK983035 REG983007:REG983035 ROC983007:ROC983035 RXY983007:RXY983035 SHU983007:SHU983035 SRQ983007:SRQ983035 TBM983007:TBM983035 TLI983007:TLI983035 TVE983007:TVE983035 UFA983007:UFA983035 UOW983007:UOW983035 UYS983007:UYS983035 VIO983007:VIO983035 VSK983007:VSK983035 WCG983007:WCG983035 WMC983007:WMC983035 WVY983007:WVY983035 E65636:G65636 JM65562 TI65562 ADE65562 ANA65562 AWW65562 BGS65562 BQO65562 CAK65562 CKG65562 CUC65562 DDY65562 DNU65562 DXQ65562 EHM65562 ERI65562 FBE65562 FLA65562 FUW65562 GES65562 GOO65562 GYK65562 HIG65562 HSC65562 IBY65562 ILU65562 IVQ65562 JFM65562 JPI65562 JZE65562 KJA65562 KSW65562 LCS65562 LMO65562 LWK65562 MGG65562 MQC65562 MZY65562 NJU65562 NTQ65562 ODM65562 ONI65562 OXE65562 PHA65562 PQW65562 QAS65562 QKO65562 QUK65562 REG65562 ROC65562 RXY65562 SHU65562 SRQ65562 TBM65562 TLI65562 TVE65562 UFA65562 UOW65562 UYS65562 VIO65562 VSK65562 WCG65562 WMC65562 WVY65562 E131172:G131172 JM131098 TI131098 ADE131098 ANA131098 AWW131098 BGS131098 BQO131098 CAK131098 CKG131098 CUC131098 DDY131098 DNU131098 DXQ131098 EHM131098 ERI131098 FBE131098 FLA131098 FUW131098 GES131098 GOO131098 GYK131098 HIG131098 HSC131098 IBY131098 ILU131098 IVQ131098 JFM131098 JPI131098 JZE131098 KJA131098 KSW131098 LCS131098 LMO131098 LWK131098 MGG131098 MQC131098 MZY131098 NJU131098 NTQ131098 ODM131098 ONI131098 OXE131098 PHA131098 PQW131098 QAS131098 QKO131098 QUK131098 REG131098 ROC131098 RXY131098 SHU131098 SRQ131098 TBM131098 TLI131098 TVE131098 UFA131098 UOW131098 UYS131098 VIO131098 VSK131098 WCG131098 WMC131098 WVY131098 E196708:G196708 JM196634 TI196634 ADE196634 ANA196634 AWW196634 BGS196634 BQO196634 CAK196634 CKG196634 CUC196634 DDY196634 DNU196634 DXQ196634 EHM196634 ERI196634 FBE196634 FLA196634 FUW196634 GES196634 GOO196634 GYK196634 HIG196634 HSC196634 IBY196634 ILU196634 IVQ196634 JFM196634 JPI196634 JZE196634 KJA196634 KSW196634 LCS196634 LMO196634 LWK196634 MGG196634 MQC196634 MZY196634 NJU196634 NTQ196634 ODM196634 ONI196634 OXE196634 PHA196634 PQW196634 QAS196634 QKO196634 QUK196634 REG196634 ROC196634 RXY196634 SHU196634 SRQ196634 TBM196634 TLI196634 TVE196634 UFA196634 UOW196634 UYS196634 VIO196634 VSK196634 WCG196634 WMC196634 WVY196634 E262244:G262244 JM262170 TI262170 ADE262170 ANA262170 AWW262170 BGS262170 BQO262170 CAK262170 CKG262170 CUC262170 DDY262170 DNU262170 DXQ262170 EHM262170 ERI262170 FBE262170 FLA262170 FUW262170 GES262170 GOO262170 GYK262170 HIG262170 HSC262170 IBY262170 ILU262170 IVQ262170 JFM262170 JPI262170 JZE262170 KJA262170 KSW262170 LCS262170 LMO262170 LWK262170 MGG262170 MQC262170 MZY262170 NJU262170 NTQ262170 ODM262170 ONI262170 OXE262170 PHA262170 PQW262170 QAS262170 QKO262170 QUK262170 REG262170 ROC262170 RXY262170 SHU262170 SRQ262170 TBM262170 TLI262170 TVE262170 UFA262170 UOW262170 UYS262170 VIO262170 VSK262170 WCG262170 WMC262170 WVY262170 E327780:G327780 JM327706 TI327706 ADE327706 ANA327706 AWW327706 BGS327706 BQO327706 CAK327706 CKG327706 CUC327706 DDY327706 DNU327706 DXQ327706 EHM327706 ERI327706 FBE327706 FLA327706 FUW327706 GES327706 GOO327706 GYK327706 HIG327706 HSC327706 IBY327706 ILU327706 IVQ327706 JFM327706 JPI327706 JZE327706 KJA327706 KSW327706 LCS327706 LMO327706 LWK327706 MGG327706 MQC327706 MZY327706 NJU327706 NTQ327706 ODM327706 ONI327706 OXE327706 PHA327706 PQW327706 QAS327706 QKO327706 QUK327706 REG327706 ROC327706 RXY327706 SHU327706 SRQ327706 TBM327706 TLI327706 TVE327706 UFA327706 UOW327706 UYS327706 VIO327706 VSK327706 WCG327706 WMC327706 WVY327706 E393316:G393316 JM393242 TI393242 ADE393242 ANA393242 AWW393242 BGS393242 BQO393242 CAK393242 CKG393242 CUC393242 DDY393242 DNU393242 DXQ393242 EHM393242 ERI393242 FBE393242 FLA393242 FUW393242 GES393242 GOO393242 GYK393242 HIG393242 HSC393242 IBY393242 ILU393242 IVQ393242 JFM393242 JPI393242 JZE393242 KJA393242 KSW393242 LCS393242 LMO393242 LWK393242 MGG393242 MQC393242 MZY393242 NJU393242 NTQ393242 ODM393242 ONI393242 OXE393242 PHA393242 PQW393242 QAS393242 QKO393242 QUK393242 REG393242 ROC393242 RXY393242 SHU393242 SRQ393242 TBM393242 TLI393242 TVE393242 UFA393242 UOW393242 UYS393242 VIO393242 VSK393242 WCG393242 WMC393242 WVY393242 E458852:G458852 JM458778 TI458778 ADE458778 ANA458778 AWW458778 BGS458778 BQO458778 CAK458778 CKG458778 CUC458778 DDY458778 DNU458778 DXQ458778 EHM458778 ERI458778 FBE458778 FLA458778 FUW458778 GES458778 GOO458778 GYK458778 HIG458778 HSC458778 IBY458778 ILU458778 IVQ458778 JFM458778 JPI458778 JZE458778 KJA458778 KSW458778 LCS458778 LMO458778 LWK458778 MGG458778 MQC458778 MZY458778 NJU458778 NTQ458778 ODM458778 ONI458778 OXE458778 PHA458778 PQW458778 QAS458778 QKO458778 QUK458778 REG458778 ROC458778 RXY458778 SHU458778 SRQ458778 TBM458778 TLI458778 TVE458778 UFA458778 UOW458778 UYS458778 VIO458778 VSK458778 WCG458778 WMC458778 WVY458778 E524388:G524388 JM524314 TI524314 ADE524314 ANA524314 AWW524314 BGS524314 BQO524314 CAK524314 CKG524314 CUC524314 DDY524314 DNU524314 DXQ524314 EHM524314 ERI524314 FBE524314 FLA524314 FUW524314 GES524314 GOO524314 GYK524314 HIG524314 HSC524314 IBY524314 ILU524314 IVQ524314 JFM524314 JPI524314 JZE524314 KJA524314 KSW524314 LCS524314 LMO524314 LWK524314 MGG524314 MQC524314 MZY524314 NJU524314 NTQ524314 ODM524314 ONI524314 OXE524314 PHA524314 PQW524314 QAS524314 QKO524314 QUK524314 REG524314 ROC524314 RXY524314 SHU524314 SRQ524314 TBM524314 TLI524314 TVE524314 UFA524314 UOW524314 UYS524314 VIO524314 VSK524314 WCG524314 WMC524314 WVY524314 E589924:G589924 JM589850 TI589850 ADE589850 ANA589850 AWW589850 BGS589850 BQO589850 CAK589850 CKG589850 CUC589850 DDY589850 DNU589850 DXQ589850 EHM589850 ERI589850 FBE589850 FLA589850 FUW589850 GES589850 GOO589850 GYK589850 HIG589850 HSC589850 IBY589850 ILU589850 IVQ589850 JFM589850 JPI589850 JZE589850 KJA589850 KSW589850 LCS589850 LMO589850 LWK589850 MGG589850 MQC589850 MZY589850 NJU589850 NTQ589850 ODM589850 ONI589850 OXE589850 PHA589850 PQW589850 QAS589850 QKO589850 QUK589850 REG589850 ROC589850 RXY589850 SHU589850 SRQ589850 TBM589850 TLI589850 TVE589850 UFA589850 UOW589850 UYS589850 VIO589850 VSK589850 WCG589850 WMC589850 WVY589850 E655460:G655460 JM655386 TI655386 ADE655386 ANA655386 AWW655386 BGS655386 BQO655386 CAK655386 CKG655386 CUC655386 DDY655386 DNU655386 DXQ655386 EHM655386 ERI655386 FBE655386 FLA655386 FUW655386 GES655386 GOO655386 GYK655386 HIG655386 HSC655386 IBY655386 ILU655386 IVQ655386 JFM655386 JPI655386 JZE655386 KJA655386 KSW655386 LCS655386 LMO655386 LWK655386 MGG655386 MQC655386 MZY655386 NJU655386 NTQ655386 ODM655386 ONI655386 OXE655386 PHA655386 PQW655386 QAS655386 QKO655386 QUK655386 REG655386 ROC655386 RXY655386 SHU655386 SRQ655386 TBM655386 TLI655386 TVE655386 UFA655386 UOW655386 UYS655386 VIO655386 VSK655386 WCG655386 WMC655386 WVY655386 E720996:G720996 JM720922 TI720922 ADE720922 ANA720922 AWW720922 BGS720922 BQO720922 CAK720922 CKG720922 CUC720922 DDY720922 DNU720922 DXQ720922 EHM720922 ERI720922 FBE720922 FLA720922 FUW720922 GES720922 GOO720922 GYK720922 HIG720922 HSC720922 IBY720922 ILU720922 IVQ720922 JFM720922 JPI720922 JZE720922 KJA720922 KSW720922 LCS720922 LMO720922 LWK720922 MGG720922 MQC720922 MZY720922 NJU720922 NTQ720922 ODM720922 ONI720922 OXE720922 PHA720922 PQW720922 QAS720922 QKO720922 QUK720922 REG720922 ROC720922 RXY720922 SHU720922 SRQ720922 TBM720922 TLI720922 TVE720922 UFA720922 UOW720922 UYS720922 VIO720922 VSK720922 WCG720922 WMC720922 WVY720922 E786532:G786532 JM786458 TI786458 ADE786458 ANA786458 AWW786458 BGS786458 BQO786458 CAK786458 CKG786458 CUC786458 DDY786458 DNU786458 DXQ786458 EHM786458 ERI786458 FBE786458 FLA786458 FUW786458 GES786458 GOO786458 GYK786458 HIG786458 HSC786458 IBY786458 ILU786458 IVQ786458 JFM786458 JPI786458 JZE786458 KJA786458 KSW786458 LCS786458 LMO786458 LWK786458 MGG786458 MQC786458 MZY786458 NJU786458 NTQ786458 ODM786458 ONI786458 OXE786458 PHA786458 PQW786458 QAS786458 QKO786458 QUK786458 REG786458 ROC786458 RXY786458 SHU786458 SRQ786458 TBM786458 TLI786458 TVE786458 UFA786458 UOW786458 UYS786458 VIO786458 VSK786458 WCG786458 WMC786458 WVY786458 E852068:G852068 JM851994 TI851994 ADE851994 ANA851994 AWW851994 BGS851994 BQO851994 CAK851994 CKG851994 CUC851994 DDY851994 DNU851994 DXQ851994 EHM851994 ERI851994 FBE851994 FLA851994 FUW851994 GES851994 GOO851994 GYK851994 HIG851994 HSC851994 IBY851994 ILU851994 IVQ851994 JFM851994 JPI851994 JZE851994 KJA851994 KSW851994 LCS851994 LMO851994 LWK851994 MGG851994 MQC851994 MZY851994 NJU851994 NTQ851994 ODM851994 ONI851994 OXE851994 PHA851994 PQW851994 QAS851994 QKO851994 QUK851994 REG851994 ROC851994 RXY851994 SHU851994 SRQ851994 TBM851994 TLI851994 TVE851994 UFA851994 UOW851994 UYS851994 VIO851994 VSK851994 WCG851994 WMC851994 WVY851994 E917604:G917604 JM917530 TI917530 ADE917530 ANA917530 AWW917530 BGS917530 BQO917530 CAK917530 CKG917530 CUC917530 DDY917530 DNU917530 DXQ917530 EHM917530 ERI917530 FBE917530 FLA917530 FUW917530 GES917530 GOO917530 GYK917530 HIG917530 HSC917530 IBY917530 ILU917530 IVQ917530 JFM917530 JPI917530 JZE917530 KJA917530 KSW917530 LCS917530 LMO917530 LWK917530 MGG917530 MQC917530 MZY917530 NJU917530 NTQ917530 ODM917530 ONI917530 OXE917530 PHA917530 PQW917530 QAS917530 QKO917530 QUK917530 REG917530 ROC917530 RXY917530 SHU917530 SRQ917530 TBM917530 TLI917530 TVE917530 UFA917530 UOW917530 UYS917530 VIO917530 VSK917530 WCG917530 WMC917530 WVY917530 E983140:G983140 JM983066 TI983066 ADE983066 ANA983066 AWW983066 BGS983066 BQO983066 CAK983066 CKG983066 CUC983066 DDY983066 DNU983066 DXQ983066 EHM983066 ERI983066 FBE983066 FLA983066 FUW983066 GES983066 GOO983066 GYK983066 HIG983066 HSC983066 IBY983066 ILU983066 IVQ983066 JFM983066 JPI983066 JZE983066 KJA983066 KSW983066 LCS983066 LMO983066 LWK983066 MGG983066 MQC983066 MZY983066 NJU983066 NTQ983066 ODM983066 ONI983066 OXE983066 PHA983066 PQW983066 QAS983066 QKO983066 QUK983066 REG983066 ROC983066 RXY983066 SHU983066 SRQ983066 TBM983066 TLI983066 TVE983066 UFA983066 UOW983066 UYS983066 VIO983066 VSK983066 WCG983066 WMC983066 WVY983066 E65577:G65605" xr:uid="{00000000-0002-0000-0F00-000000000000}">
      <formula1>$AH$19:$AH$31</formula1>
    </dataValidation>
    <dataValidation type="list" allowBlank="1" showInputMessage="1" showErrorMessage="1" sqref="E19:E79" xr:uid="{00000000-0002-0000-0F00-000001000000}">
      <formula1>$AH$19:$AH$34</formula1>
    </dataValidation>
  </dataValidations>
  <pageMargins left="0.75" right="0.75" top="1" bottom="1" header="0.5" footer="0.5"/>
  <pageSetup orientation="portrait" r:id="rId1"/>
  <headerFooter alignWithMargins="0"/>
  <ignoredErrors>
    <ignoredError sqref="P25:Q25 P31:Q31 T25 X25 T31 X31 X37 T37 P37:Q37" formula="1"/>
    <ignoredError sqref="P104:P116 U104:U124 F101:Q101 AB79:AD79" unlockedFormula="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B413-4282-4CE5-A469-4D891DDA008D}">
  <sheetPr codeName="Sheet16">
    <tabColor rgb="FF00B0F0"/>
  </sheetPr>
  <dimension ref="A1:AD152"/>
  <sheetViews>
    <sheetView showGridLines="0" topLeftCell="D47" zoomScale="70" zoomScaleNormal="70" workbookViewId="0">
      <selection activeCell="M109" sqref="M109"/>
    </sheetView>
  </sheetViews>
  <sheetFormatPr defaultColWidth="9.109375" defaultRowHeight="14.4" outlineLevelRow="1" x14ac:dyDescent="0.3"/>
  <cols>
    <col min="1" max="1" width="5.44140625" style="1007" customWidth="1"/>
    <col min="2" max="2" width="16.44140625" style="1007" customWidth="1"/>
    <col min="3" max="3" width="43.44140625" style="1007" customWidth="1"/>
    <col min="4" max="4" width="14.109375" style="1007" customWidth="1"/>
    <col min="5" max="5" width="10.6640625" style="1007" customWidth="1"/>
    <col min="6" max="6" width="9.88671875" style="1007" customWidth="1"/>
    <col min="7" max="7" width="48.44140625" style="1007" customWidth="1"/>
    <col min="8" max="8" width="15.5546875" style="1007" customWidth="1"/>
    <col min="9" max="16" width="15.33203125" style="1007" customWidth="1"/>
    <col min="17" max="17" width="14.88671875" style="1007" customWidth="1"/>
    <col min="18" max="18" width="14.33203125" style="1007" customWidth="1"/>
    <col min="19" max="21" width="12.44140625" style="1007" customWidth="1"/>
    <col min="22" max="22" width="13.44140625" style="1007" customWidth="1"/>
    <col min="23" max="23" width="11.109375" style="1007" customWidth="1"/>
    <col min="24" max="29" width="11.44140625" style="1007" bestFit="1" customWidth="1"/>
    <col min="30" max="30" width="17.109375" style="1007" bestFit="1" customWidth="1"/>
    <col min="31" max="31" width="8.88671875" style="1007" customWidth="1"/>
    <col min="32" max="32" width="21" style="1007" bestFit="1" customWidth="1"/>
    <col min="33" max="34" width="17.88671875" style="1007" customWidth="1"/>
    <col min="35" max="55" width="8.33203125" style="1007" customWidth="1"/>
    <col min="56" max="56" width="9.109375" style="1007"/>
    <col min="57" max="57" width="24.5546875" style="1007" customWidth="1"/>
    <col min="58" max="16384" width="9.109375" style="1007"/>
  </cols>
  <sheetData>
    <row r="1" spans="1:29" x14ac:dyDescent="0.3">
      <c r="A1" s="1002"/>
      <c r="B1" s="1003"/>
      <c r="C1" s="1003"/>
      <c r="F1" s="1002"/>
    </row>
    <row r="2" spans="1:29" ht="15" x14ac:dyDescent="0.35">
      <c r="A2" s="1004" t="s">
        <v>610</v>
      </c>
      <c r="D2" s="2044" t="s">
        <v>752</v>
      </c>
      <c r="E2" s="655" t="s">
        <v>1977</v>
      </c>
    </row>
    <row r="3" spans="1:29" ht="15" x14ac:dyDescent="0.35">
      <c r="A3" s="1007" t="s">
        <v>254</v>
      </c>
      <c r="D3" s="2044" t="s">
        <v>753</v>
      </c>
      <c r="E3" s="654" t="s">
        <v>1978</v>
      </c>
    </row>
    <row r="5" spans="1:29" x14ac:dyDescent="0.3">
      <c r="B5" s="1005" t="s">
        <v>611</v>
      </c>
      <c r="C5" s="1005"/>
      <c r="D5" s="1006"/>
      <c r="E5" s="1006"/>
      <c r="F5" s="1006"/>
      <c r="G5" s="1006"/>
      <c r="H5" s="1006"/>
      <c r="I5" s="1006"/>
      <c r="J5" s="1006"/>
      <c r="K5" s="1006"/>
      <c r="L5" s="1006"/>
      <c r="M5" s="1006"/>
      <c r="N5" s="1006"/>
      <c r="O5" s="1006"/>
      <c r="P5" s="1006"/>
      <c r="Q5" s="1006"/>
      <c r="R5" s="1006"/>
      <c r="S5" s="1006"/>
      <c r="T5" s="1006"/>
      <c r="U5" s="1006"/>
      <c r="V5" s="1006"/>
      <c r="W5" s="1006"/>
      <c r="X5" s="1006"/>
      <c r="Y5" s="1006"/>
      <c r="Z5" s="1006"/>
      <c r="AA5" s="1006"/>
      <c r="AB5" s="1006"/>
      <c r="AC5" s="1006"/>
    </row>
    <row r="6" spans="1:29" x14ac:dyDescent="0.3">
      <c r="T6" s="1008"/>
      <c r="V6" s="1008"/>
    </row>
    <row r="7" spans="1:29" x14ac:dyDescent="0.3">
      <c r="C7" s="1009" t="s">
        <v>110</v>
      </c>
      <c r="D7" s="126" t="s">
        <v>860</v>
      </c>
      <c r="E7" s="126"/>
      <c r="G7"/>
      <c r="N7" s="1011"/>
      <c r="O7" s="1012"/>
      <c r="P7" s="1012"/>
      <c r="T7" s="1013"/>
      <c r="U7" s="1013"/>
      <c r="V7" s="1013"/>
    </row>
    <row r="8" spans="1:29" x14ac:dyDescent="0.3">
      <c r="C8" s="2358" t="s">
        <v>2269</v>
      </c>
      <c r="D8" s="1015">
        <f ca="1">SUM(Spaces_Sum!M5:Q5)</f>
        <v>60868.500000000007</v>
      </c>
      <c r="E8" s="1016" t="s">
        <v>612</v>
      </c>
      <c r="G8" s="1013"/>
      <c r="H8" s="35"/>
      <c r="I8" s="35"/>
      <c r="J8" s="1811" t="s">
        <v>1906</v>
      </c>
      <c r="K8" s="2683" t="s">
        <v>1907</v>
      </c>
      <c r="L8" s="2684"/>
      <c r="M8" s="2683" t="s">
        <v>1908</v>
      </c>
      <c r="N8" s="2684"/>
      <c r="O8" s="1012"/>
      <c r="P8" s="1012"/>
      <c r="Q8" s="1017"/>
      <c r="R8" s="1017"/>
      <c r="S8" s="1013"/>
      <c r="T8" s="1013"/>
      <c r="U8" s="1013"/>
      <c r="V8" s="1013"/>
    </row>
    <row r="9" spans="1:29" x14ac:dyDescent="0.3">
      <c r="C9" s="157" t="s">
        <v>99</v>
      </c>
      <c r="D9" s="1019">
        <f ca="1">SUM(Spaces_Sum!H23:H24)</f>
        <v>83040.097299999965</v>
      </c>
      <c r="E9" s="1020" t="s">
        <v>613</v>
      </c>
      <c r="H9" s="35"/>
      <c r="I9" s="35"/>
      <c r="J9" s="1812"/>
      <c r="K9" s="1813" t="s">
        <v>47</v>
      </c>
      <c r="L9" s="1814" t="s">
        <v>81</v>
      </c>
      <c r="M9" s="1813" t="s">
        <v>47</v>
      </c>
      <c r="N9" s="1814" t="s">
        <v>81</v>
      </c>
      <c r="O9" s="1012"/>
      <c r="P9" s="1012"/>
      <c r="T9" s="1021"/>
      <c r="U9" s="1013"/>
      <c r="V9" s="1013"/>
    </row>
    <row r="10" spans="1:29" x14ac:dyDescent="0.3">
      <c r="C10" s="1018" t="s">
        <v>111</v>
      </c>
      <c r="D10" s="1019">
        <f ca="1">SUM(Spaces_Sum!K23:K24)</f>
        <v>830400.63000000047</v>
      </c>
      <c r="E10" s="1020" t="s">
        <v>614</v>
      </c>
      <c r="H10" s="1815" t="s">
        <v>654</v>
      </c>
      <c r="I10" s="1816"/>
      <c r="J10" s="1817">
        <f ca="1">SUMPRODUCT($E$17:$E$28,$F$17:$F$28,--($G$17:$G$28=H10))</f>
        <v>4905</v>
      </c>
      <c r="K10" s="1818">
        <f ca="1">SUMPRODUCT($E$17:$E$28,$J$17:$J$28,--($G$17:$G$28=$H10))</f>
        <v>1.4715</v>
      </c>
      <c r="L10" s="1818">
        <f ca="1">SUMPRODUCT($E$17:$E$28,$N$17:$N$28,--($G$17:$G$28=$H10))</f>
        <v>2.3738700000000001</v>
      </c>
      <c r="M10" s="1819">
        <f ca="1">K10*8760</f>
        <v>12890.34</v>
      </c>
      <c r="N10" s="1819">
        <f ca="1">L10*8760</f>
        <v>20795.101200000001</v>
      </c>
      <c r="O10" s="1012"/>
      <c r="P10" s="2215"/>
      <c r="T10" s="1013"/>
      <c r="U10" s="1013"/>
      <c r="V10" s="1013"/>
    </row>
    <row r="11" spans="1:29" x14ac:dyDescent="0.3">
      <c r="C11" s="1018"/>
      <c r="E11" s="1020"/>
      <c r="H11" s="1815" t="s">
        <v>653</v>
      </c>
      <c r="I11" s="1816"/>
      <c r="J11" s="1817">
        <f ca="1">SUMPRODUCT($E$17:$E$28,$F$17:$F$28,--($G$17:$G$28=H11))</f>
        <v>19935</v>
      </c>
      <c r="K11" s="1818">
        <f ca="1">SUMPRODUCT($E$17:$E$28,$J$17:$J$28,--($G$17:$G$28=$H11))</f>
        <v>10.675259499999999</v>
      </c>
      <c r="L11" s="1818">
        <f ca="1">SUMPRODUCT($E$17:$E$28,$N$17:$N$28,--($G$17:$G$28=$H11))</f>
        <v>10.39573</v>
      </c>
      <c r="M11" s="1819">
        <f ca="1">K11*2*365</f>
        <v>7792.9394349999993</v>
      </c>
      <c r="N11" s="1819">
        <f ca="1">L11*2*365</f>
        <v>7588.8829000000005</v>
      </c>
      <c r="O11" s="1012"/>
      <c r="P11" s="1012"/>
      <c r="Q11" s="1022"/>
      <c r="R11" s="1023"/>
      <c r="S11" s="1024"/>
      <c r="T11" s="1013"/>
      <c r="U11" s="1013"/>
      <c r="V11" s="1013"/>
    </row>
    <row r="12" spans="1:29" x14ac:dyDescent="0.3">
      <c r="C12" s="1025" t="s">
        <v>615</v>
      </c>
      <c r="D12" s="1026">
        <f>Unit_Sum!D77</f>
        <v>92</v>
      </c>
      <c r="E12" s="1028"/>
      <c r="H12" s="1728"/>
      <c r="I12" s="1820" t="s">
        <v>1909</v>
      </c>
      <c r="J12" s="1821">
        <f ca="1">J11-J13</f>
        <v>5215</v>
      </c>
      <c r="K12" s="1822">
        <f ca="1">K11-K13</f>
        <v>4.3456594999999991</v>
      </c>
      <c r="L12" s="1822">
        <f ca="1">L11-L13</f>
        <v>4.0661300000000002</v>
      </c>
      <c r="M12" s="1823">
        <f t="shared" ref="M12:N13" ca="1" si="0">K12*2*365</f>
        <v>3172.3314349999991</v>
      </c>
      <c r="N12" s="1823">
        <f t="shared" ca="1" si="0"/>
        <v>2968.2749000000003</v>
      </c>
      <c r="O12" s="1012"/>
      <c r="P12" s="1012"/>
      <c r="Q12" s="1029"/>
      <c r="R12" s="1023"/>
      <c r="S12" s="1024"/>
    </row>
    <row r="13" spans="1:29" x14ac:dyDescent="0.3">
      <c r="H13" s="1728"/>
      <c r="I13" s="1820" t="s">
        <v>78</v>
      </c>
      <c r="J13" s="1821">
        <f ca="1">$E$28*$F$28</f>
        <v>14720</v>
      </c>
      <c r="K13" s="1822">
        <f ca="1">E28*J28</f>
        <v>6.3296000000000001</v>
      </c>
      <c r="L13" s="1822">
        <f ca="1">E28*N28</f>
        <v>6.3296000000000001</v>
      </c>
      <c r="M13" s="1823">
        <f t="shared" ca="1" si="0"/>
        <v>4620.6080000000002</v>
      </c>
      <c r="N13" s="1823">
        <f t="shared" ca="1" si="0"/>
        <v>4620.6080000000002</v>
      </c>
      <c r="Q13" s="1002"/>
    </row>
    <row r="14" spans="1:29" ht="15" thickBot="1" x14ac:dyDescent="0.35">
      <c r="C14" s="1004" t="s">
        <v>651</v>
      </c>
      <c r="P14" s="1008"/>
    </row>
    <row r="15" spans="1:29" ht="15" customHeight="1" x14ac:dyDescent="0.3">
      <c r="C15" s="1030"/>
      <c r="D15" s="1031"/>
      <c r="E15" s="1031"/>
      <c r="F15" s="1031"/>
      <c r="G15" s="1032"/>
      <c r="H15" s="1031"/>
      <c r="I15" s="2702" t="s">
        <v>47</v>
      </c>
      <c r="J15" s="2703"/>
      <c r="K15" s="2703"/>
      <c r="L15" s="2704"/>
      <c r="M15" s="2685" t="s">
        <v>81</v>
      </c>
      <c r="N15" s="2686"/>
      <c r="O15" s="2686"/>
      <c r="P15" s="2686"/>
      <c r="Q15" s="2687"/>
      <c r="R15" s="1033"/>
      <c r="S15" s="1033"/>
      <c r="T15" s="1033"/>
    </row>
    <row r="16" spans="1:29" x14ac:dyDescent="0.3">
      <c r="C16" s="1034" t="s">
        <v>46</v>
      </c>
      <c r="D16" s="1007" t="s">
        <v>101</v>
      </c>
      <c r="E16" s="1007" t="s">
        <v>97</v>
      </c>
      <c r="F16" s="1007" t="s">
        <v>130</v>
      </c>
      <c r="G16" s="1035" t="s">
        <v>71</v>
      </c>
      <c r="H16" s="1007" t="s">
        <v>222</v>
      </c>
      <c r="I16" s="1036" t="s">
        <v>652</v>
      </c>
      <c r="J16" s="1037" t="s">
        <v>43</v>
      </c>
      <c r="K16" s="1037" t="s">
        <v>1035</v>
      </c>
      <c r="L16" s="1038" t="s">
        <v>1033</v>
      </c>
      <c r="M16" s="1036" t="s">
        <v>370</v>
      </c>
      <c r="N16" s="1037" t="s">
        <v>43</v>
      </c>
      <c r="O16" s="1037" t="s">
        <v>1035</v>
      </c>
      <c r="P16" s="1037" t="s">
        <v>1033</v>
      </c>
      <c r="Q16" s="1038" t="s">
        <v>2063</v>
      </c>
      <c r="R16" s="1033"/>
      <c r="S16" s="1033"/>
      <c r="T16" s="1033"/>
    </row>
    <row r="17" spans="2:20" s="1046" customFormat="1" x14ac:dyDescent="0.3">
      <c r="B17" s="1039">
        <v>1</v>
      </c>
      <c r="C17" s="1014" t="str">
        <f t="shared" ref="C17:C28" ca="1" si="1">OFFSET(ExhaustfanRef,3,$B17)</f>
        <v>ERV-1, Boost (65cfm)</v>
      </c>
      <c r="D17" s="1525" t="s">
        <v>2232</v>
      </c>
      <c r="E17" s="1040">
        <f ca="1">OFFSET(ExhaustfanRef,Unit_Sum!$B$77+3,$B17)</f>
        <v>23</v>
      </c>
      <c r="F17" s="1040">
        <f t="shared" ref="F17:F22" ca="1" si="2">IF(E17=0, 0, OFFSET(ExhaustfanRef,1,$B17))</f>
        <v>65</v>
      </c>
      <c r="G17" s="1040" t="s">
        <v>653</v>
      </c>
      <c r="H17" s="1041">
        <f>IF(G17="Local Exhaust",2,IF(G17="Ventilation",24,"N/A"))</f>
        <v>2</v>
      </c>
      <c r="I17" s="1042">
        <f ca="1">IF(G17="Local Exhaust",IF(F17&lt;90,1/0.8333,1/0.43),IF(G17="Ventilation",1/0.3,0))</f>
        <v>1.2000480019200768</v>
      </c>
      <c r="J17" s="1043">
        <f ca="1">IFERROR(IF($F17=0,0,$F17/I17/1000),0)</f>
        <v>5.4164500000000004E-2</v>
      </c>
      <c r="K17" s="1044">
        <f ca="1">$F17*$H17/24*$E17</f>
        <v>124.58333333333334</v>
      </c>
      <c r="L17" s="1045">
        <f ca="1">J17*$H17/24*$E17</f>
        <v>0.10381529166666668</v>
      </c>
      <c r="M17" s="1042">
        <f>REF_ExhFan!E23</f>
        <v>1.5714285714285714</v>
      </c>
      <c r="N17" s="1043">
        <f ca="1">IF($F17=0,0,SUM(F17:F18)/M17/1000-N18)</f>
        <v>4.8670000000000005E-2</v>
      </c>
      <c r="O17" s="1044">
        <f ca="1">$F17*$H17/24*$E17</f>
        <v>124.58333333333334</v>
      </c>
      <c r="P17" s="1044">
        <f ca="1">N17*$H17/24*$E17</f>
        <v>9.3284166666666682E-2</v>
      </c>
      <c r="Q17" s="2165">
        <f>REF_ExhFan!E25</f>
        <v>0.73</v>
      </c>
      <c r="R17" s="1479"/>
      <c r="S17" s="1012"/>
      <c r="T17" s="1033"/>
    </row>
    <row r="18" spans="2:20" s="1046" customFormat="1" x14ac:dyDescent="0.3">
      <c r="B18" s="1047">
        <f>B17+1</f>
        <v>2</v>
      </c>
      <c r="C18" s="1018" t="str">
        <f t="shared" ca="1" si="1"/>
        <v>ERV-1, Continuous (45cfm)</v>
      </c>
      <c r="D18" s="2119" t="s">
        <v>2232</v>
      </c>
      <c r="E18" s="1040">
        <f ca="1">OFFSET(ExhaustfanRef,Unit_Sum!$B$77+3,$B18)</f>
        <v>23</v>
      </c>
      <c r="F18" s="1040">
        <f t="shared" ca="1" si="2"/>
        <v>45</v>
      </c>
      <c r="G18" s="1524" t="s">
        <v>654</v>
      </c>
      <c r="H18" s="1048">
        <f t="shared" ref="H18:H28" si="3">IF(G18="Local Exhaust",2,IF(G18="Ventilation",24,"N/A"))</f>
        <v>24</v>
      </c>
      <c r="I18" s="1049">
        <f t="shared" ref="I18:I22" si="4">IF(G18="Local Exhaust",IF(F18&lt;90,1/0.8333,1/0.43),IF(G18="Ventilation",1/0.3,0))</f>
        <v>3.3333333333333335</v>
      </c>
      <c r="J18" s="1043">
        <f t="shared" ref="J18:J22" ca="1" si="5">IFERROR(IF($F18=0,0,$F18/I18/1000),0)</f>
        <v>1.35E-2</v>
      </c>
      <c r="K18" s="1044">
        <f t="shared" ref="K18:K28" ca="1" si="6">$F18*$H18/24*$E18</f>
        <v>1035</v>
      </c>
      <c r="L18" s="1045">
        <f t="shared" ref="L18:L22" ca="1" si="7">J18*$H18/24*$E18</f>
        <v>0.3105</v>
      </c>
      <c r="M18" s="1049">
        <f>REF_ExhFan!F23</f>
        <v>2.1097046413502105</v>
      </c>
      <c r="N18" s="1043">
        <f ca="1">IF($F18=0,0,$F18/M18/1000)</f>
        <v>2.1330000000000005E-2</v>
      </c>
      <c r="O18" s="1044">
        <f t="shared" ref="O18:O28" ca="1" si="8">$F18*$H18/24*$E18</f>
        <v>1035</v>
      </c>
      <c r="P18" s="1044">
        <f t="shared" ref="P18:P22" ca="1" si="9">N18*$H18/24*$E18</f>
        <v>0.49059000000000014</v>
      </c>
      <c r="Q18" s="2165">
        <f>REF_ExhFan!F25</f>
        <v>0.85870000000000002</v>
      </c>
      <c r="R18" s="1479"/>
      <c r="S18" s="1012"/>
      <c r="T18" s="1033"/>
    </row>
    <row r="19" spans="2:20" x14ac:dyDescent="0.3">
      <c r="B19" s="1047">
        <f t="shared" ref="B19:B28" si="10">B18+1</f>
        <v>3</v>
      </c>
      <c r="C19" s="1018" t="str">
        <f t="shared" ca="1" si="1"/>
        <v>ERV-2, Boost (60cfm)</v>
      </c>
      <c r="D19" s="1526" t="s">
        <v>2232</v>
      </c>
      <c r="E19" s="1040">
        <f ca="1">OFFSET(ExhaustfanRef,Unit_Sum!$B$77+3,$B19)</f>
        <v>48</v>
      </c>
      <c r="F19" s="1040">
        <f t="shared" ca="1" si="2"/>
        <v>60</v>
      </c>
      <c r="G19" s="1040" t="s">
        <v>653</v>
      </c>
      <c r="H19" s="1048">
        <f t="shared" si="3"/>
        <v>2</v>
      </c>
      <c r="I19" s="1049">
        <f t="shared" ca="1" si="4"/>
        <v>1.2000480019200768</v>
      </c>
      <c r="J19" s="1043">
        <f t="shared" ca="1" si="5"/>
        <v>4.9998000000000008E-2</v>
      </c>
      <c r="K19" s="1044">
        <f t="shared" ca="1" si="6"/>
        <v>240</v>
      </c>
      <c r="L19" s="1045">
        <f t="shared" ca="1" si="7"/>
        <v>0.19999200000000006</v>
      </c>
      <c r="M19" s="1049">
        <f>REF_ExhFan!E23</f>
        <v>1.5714285714285714</v>
      </c>
      <c r="N19" s="1043">
        <f ca="1">IF($F19=0,0,SUM(F19:F20)/M19/1000-N20)</f>
        <v>4.6200000000000005E-2</v>
      </c>
      <c r="O19" s="1044">
        <f t="shared" ca="1" si="8"/>
        <v>240</v>
      </c>
      <c r="P19" s="1044">
        <f t="shared" ca="1" si="9"/>
        <v>0.18480000000000002</v>
      </c>
      <c r="Q19" s="2165">
        <f>REF_ExhFan!E25</f>
        <v>0.73</v>
      </c>
    </row>
    <row r="20" spans="2:20" s="1046" customFormat="1" x14ac:dyDescent="0.3">
      <c r="B20" s="1047">
        <f t="shared" si="10"/>
        <v>4</v>
      </c>
      <c r="C20" s="1018" t="str">
        <f t="shared" ca="1" si="1"/>
        <v>ERV-2, Continuous (50cfm)</v>
      </c>
      <c r="D20" s="2119" t="s">
        <v>2232</v>
      </c>
      <c r="E20" s="1040">
        <f ca="1">OFFSET(ExhaustfanRef,Unit_Sum!$B$77+3,$B20)</f>
        <v>48</v>
      </c>
      <c r="F20" s="1040">
        <f t="shared" ca="1" si="2"/>
        <v>50</v>
      </c>
      <c r="G20" s="1040" t="s">
        <v>654</v>
      </c>
      <c r="H20" s="1048">
        <f t="shared" si="3"/>
        <v>24</v>
      </c>
      <c r="I20" s="1049">
        <f t="shared" si="4"/>
        <v>3.3333333333333335</v>
      </c>
      <c r="J20" s="1043">
        <f t="shared" ca="1" si="5"/>
        <v>1.4999999999999999E-2</v>
      </c>
      <c r="K20" s="1044">
        <f t="shared" ca="1" si="6"/>
        <v>2400</v>
      </c>
      <c r="L20" s="1045">
        <f t="shared" ca="1" si="7"/>
        <v>0.72</v>
      </c>
      <c r="M20" s="1049">
        <f>REF_ExhFan!G23</f>
        <v>2.1008403361344534</v>
      </c>
      <c r="N20" s="1043">
        <f ca="1">IF($F20=0,0,$F20/M20/1000)</f>
        <v>2.3800000000000005E-2</v>
      </c>
      <c r="O20" s="1044">
        <f t="shared" ca="1" si="8"/>
        <v>2400</v>
      </c>
      <c r="P20" s="1044">
        <f t="shared" ca="1" si="9"/>
        <v>1.1424000000000003</v>
      </c>
      <c r="Q20" s="2165">
        <f>REF_ExhFan!G25</f>
        <v>0.8397</v>
      </c>
    </row>
    <row r="21" spans="2:20" x14ac:dyDescent="0.3">
      <c r="B21" s="1047">
        <f t="shared" si="10"/>
        <v>5</v>
      </c>
      <c r="C21" s="1018" t="str">
        <f t="shared" ca="1" si="1"/>
        <v>WEF-3, Boost (40cfm)</v>
      </c>
      <c r="D21" s="1526"/>
      <c r="E21" s="1040">
        <f ca="1">OFFSET(ExhaustfanRef,Unit_Sum!$B$77+3,$B21)</f>
        <v>21</v>
      </c>
      <c r="F21" s="1040">
        <f t="shared" ca="1" si="2"/>
        <v>40</v>
      </c>
      <c r="G21" s="1040" t="s">
        <v>653</v>
      </c>
      <c r="H21" s="1048">
        <f t="shared" si="3"/>
        <v>2</v>
      </c>
      <c r="I21" s="1049">
        <f t="shared" ca="1" si="4"/>
        <v>1.2000480019200768</v>
      </c>
      <c r="J21" s="1043">
        <f t="shared" ca="1" si="5"/>
        <v>3.3332000000000001E-2</v>
      </c>
      <c r="K21" s="1044">
        <f t="shared" ca="1" si="6"/>
        <v>70</v>
      </c>
      <c r="L21" s="1045">
        <f t="shared" ca="1" si="7"/>
        <v>5.8331000000000001E-2</v>
      </c>
      <c r="M21" s="1049">
        <f>REF_ExhFan!E23</f>
        <v>1.5714285714285714</v>
      </c>
      <c r="N21" s="1043">
        <f ca="1">IF($F21=0,0,SUM(F21:F22)/M21/1000-N22)</f>
        <v>3.4720000000000008E-2</v>
      </c>
      <c r="O21" s="1044">
        <f t="shared" ca="1" si="8"/>
        <v>70</v>
      </c>
      <c r="P21" s="1044">
        <f t="shared" ca="1" si="9"/>
        <v>6.0760000000000015E-2</v>
      </c>
      <c r="Q21" s="2165">
        <f>REF_ExhFan!E25</f>
        <v>0.73</v>
      </c>
    </row>
    <row r="22" spans="2:20" s="1046" customFormat="1" ht="14.25" customHeight="1" x14ac:dyDescent="0.3">
      <c r="B22" s="1047">
        <f t="shared" si="10"/>
        <v>6</v>
      </c>
      <c r="C22" s="1018" t="str">
        <f t="shared" ca="1" si="1"/>
        <v>WEF-3, Continuous (70cfm)</v>
      </c>
      <c r="D22" s="1526"/>
      <c r="E22" s="1040">
        <f ca="1">OFFSET(ExhaustfanRef,Unit_Sum!$B$77+3,$B22)</f>
        <v>21</v>
      </c>
      <c r="F22" s="1040">
        <f t="shared" ca="1" si="2"/>
        <v>70</v>
      </c>
      <c r="G22" s="1040" t="s">
        <v>654</v>
      </c>
      <c r="H22" s="1048">
        <f t="shared" si="3"/>
        <v>24</v>
      </c>
      <c r="I22" s="1049">
        <f t="shared" si="4"/>
        <v>3.3333333333333335</v>
      </c>
      <c r="J22" s="1043">
        <f t="shared" ca="1" si="5"/>
        <v>2.1000000000000001E-2</v>
      </c>
      <c r="K22" s="1044">
        <f t="shared" ca="1" si="6"/>
        <v>1470</v>
      </c>
      <c r="L22" s="1045">
        <f t="shared" ca="1" si="7"/>
        <v>0.441</v>
      </c>
      <c r="M22" s="1049">
        <f>REF_ExhFan!I23</f>
        <v>1.984126984126984</v>
      </c>
      <c r="N22" s="1043">
        <f ca="1">IF($F22=0,0,$F22/M22/1000)</f>
        <v>3.5279999999999999E-2</v>
      </c>
      <c r="O22" s="1044">
        <f t="shared" ca="1" si="8"/>
        <v>1470</v>
      </c>
      <c r="P22" s="1044">
        <f t="shared" ca="1" si="9"/>
        <v>0.74087999999999998</v>
      </c>
      <c r="Q22" s="2165">
        <f>REF_ExhFan!I25</f>
        <v>0.80169999999999997</v>
      </c>
    </row>
    <row r="23" spans="2:20" s="1046" customFormat="1" x14ac:dyDescent="0.3">
      <c r="B23" s="1047">
        <f t="shared" si="10"/>
        <v>7</v>
      </c>
      <c r="C23" s="1018" t="str">
        <f t="shared" ca="1" si="1"/>
        <v>WEF-4, Boost (50cfm)</v>
      </c>
      <c r="D23" s="1013"/>
      <c r="E23" s="1040">
        <f ca="1">OFFSET(ExhaustfanRef,Unit_Sum!$B$77+3,$B23)</f>
        <v>0</v>
      </c>
      <c r="F23" s="1040">
        <f t="shared" ref="F23:F28" ca="1" si="11">IF(E23=0, 0, OFFSET(ExhaustfanRef,1,$B23))</f>
        <v>0</v>
      </c>
      <c r="G23" s="1040" t="s">
        <v>653</v>
      </c>
      <c r="H23" s="1048">
        <f t="shared" si="3"/>
        <v>2</v>
      </c>
      <c r="I23" s="1049">
        <f t="shared" ref="I23:I28" ca="1" si="12">IF(G23="Local Exhaust",IF(F23&lt;90,1/0.8333,1/0.43),IF(G23="Ventilation",1/0.3,0))</f>
        <v>1.2000480019200768</v>
      </c>
      <c r="J23" s="1043">
        <f t="shared" ref="J23:J28" ca="1" si="13">IFERROR(IF($F23=0,0,$F23/I23/1000),0)</f>
        <v>0</v>
      </c>
      <c r="K23" s="1044">
        <f t="shared" ca="1" si="6"/>
        <v>0</v>
      </c>
      <c r="L23" s="1045">
        <f t="shared" ref="L23:L28" ca="1" si="14">J23*$H23/24*$E23</f>
        <v>0</v>
      </c>
      <c r="M23" s="1049"/>
      <c r="N23" s="1043">
        <f ca="1">IF($F23=0,0,SUM(F23:F24)/M23/1000-N24)</f>
        <v>0</v>
      </c>
      <c r="O23" s="1044">
        <f t="shared" ca="1" si="8"/>
        <v>0</v>
      </c>
      <c r="P23" s="1044">
        <f t="shared" ref="P23:P28" ca="1" si="15">N23*$H23/24*$E23</f>
        <v>0</v>
      </c>
      <c r="Q23" s="2165"/>
    </row>
    <row r="24" spans="2:20" s="1046" customFormat="1" x14ac:dyDescent="0.3">
      <c r="B24" s="1047">
        <f t="shared" si="10"/>
        <v>8</v>
      </c>
      <c r="C24" s="1018" t="str">
        <f t="shared" ca="1" si="1"/>
        <v>WEF-4, Continuous (60cfm)</v>
      </c>
      <c r="D24" s="1013"/>
      <c r="E24" s="1040">
        <f ca="1">OFFSET(ExhaustfanRef,Unit_Sum!$B$77+3,$B24)</f>
        <v>0</v>
      </c>
      <c r="F24" s="1040">
        <f t="shared" ca="1" si="11"/>
        <v>0</v>
      </c>
      <c r="G24" s="1040" t="s">
        <v>654</v>
      </c>
      <c r="H24" s="1048">
        <f t="shared" si="3"/>
        <v>24</v>
      </c>
      <c r="I24" s="1050">
        <f t="shared" si="12"/>
        <v>3.3333333333333335</v>
      </c>
      <c r="J24" s="1043">
        <f t="shared" ca="1" si="13"/>
        <v>0</v>
      </c>
      <c r="K24" s="1044">
        <f t="shared" ca="1" si="6"/>
        <v>0</v>
      </c>
      <c r="L24" s="1045">
        <f t="shared" ca="1" si="14"/>
        <v>0</v>
      </c>
      <c r="M24" s="1049"/>
      <c r="N24" s="1043">
        <f ca="1">IF($F24=0,0,$F24/M24/1000)</f>
        <v>0</v>
      </c>
      <c r="O24" s="1044">
        <f t="shared" ca="1" si="8"/>
        <v>0</v>
      </c>
      <c r="P24" s="1044">
        <f t="shared" ca="1" si="15"/>
        <v>0</v>
      </c>
      <c r="Q24" s="2165"/>
    </row>
    <row r="25" spans="2:20" s="1046" customFormat="1" x14ac:dyDescent="0.3">
      <c r="B25" s="1047">
        <f t="shared" si="10"/>
        <v>9</v>
      </c>
      <c r="C25" s="1018" t="str">
        <f t="shared" ca="1" si="1"/>
        <v>WEF-5, Boost (30cfm)</v>
      </c>
      <c r="D25" s="1013"/>
      <c r="E25" s="1040">
        <f ca="1">OFFSET(ExhaustfanRef,Unit_Sum!$B$77+3,$B25)</f>
        <v>0</v>
      </c>
      <c r="F25" s="1040">
        <f t="shared" ca="1" si="11"/>
        <v>0</v>
      </c>
      <c r="G25" s="1040" t="s">
        <v>653</v>
      </c>
      <c r="H25" s="1048">
        <f t="shared" si="3"/>
        <v>2</v>
      </c>
      <c r="I25" s="1050">
        <f t="shared" ca="1" si="12"/>
        <v>1.2000480019200768</v>
      </c>
      <c r="J25" s="1043">
        <f t="shared" ca="1" si="13"/>
        <v>0</v>
      </c>
      <c r="K25" s="1044">
        <f t="shared" ca="1" si="6"/>
        <v>0</v>
      </c>
      <c r="L25" s="1045">
        <f t="shared" ca="1" si="14"/>
        <v>0</v>
      </c>
      <c r="M25" s="1050"/>
      <c r="N25" s="1043">
        <f ca="1">IF($F25=0,0,SUM(F25:F26)/M25/1000-N26)</f>
        <v>0</v>
      </c>
      <c r="O25" s="1044">
        <f t="shared" ca="1" si="8"/>
        <v>0</v>
      </c>
      <c r="P25" s="1044">
        <f t="shared" ca="1" si="15"/>
        <v>0</v>
      </c>
      <c r="Q25" s="2165"/>
    </row>
    <row r="26" spans="2:20" s="1046" customFormat="1" x14ac:dyDescent="0.3">
      <c r="B26" s="1047">
        <f t="shared" si="10"/>
        <v>10</v>
      </c>
      <c r="C26" s="1018" t="str">
        <f t="shared" ca="1" si="1"/>
        <v>WEF-5, Continuous (80cfm)</v>
      </c>
      <c r="D26" s="1013"/>
      <c r="E26" s="1040">
        <f ca="1">OFFSET(ExhaustfanRef,Unit_Sum!$B$77+3,$B26)</f>
        <v>0</v>
      </c>
      <c r="F26" s="1040">
        <f t="shared" ca="1" si="11"/>
        <v>0</v>
      </c>
      <c r="G26" s="1040" t="s">
        <v>654</v>
      </c>
      <c r="H26" s="1048">
        <f t="shared" si="3"/>
        <v>24</v>
      </c>
      <c r="I26" s="1050">
        <f t="shared" si="12"/>
        <v>3.3333333333333335</v>
      </c>
      <c r="J26" s="1043">
        <f t="shared" ca="1" si="13"/>
        <v>0</v>
      </c>
      <c r="K26" s="1044">
        <f t="shared" ca="1" si="6"/>
        <v>0</v>
      </c>
      <c r="L26" s="1045">
        <f t="shared" ca="1" si="14"/>
        <v>0</v>
      </c>
      <c r="M26" s="1050"/>
      <c r="N26" s="1043">
        <f ca="1">IF($F26=0,0,$F26/M26/1000)</f>
        <v>0</v>
      </c>
      <c r="O26" s="1044">
        <f t="shared" ca="1" si="8"/>
        <v>0</v>
      </c>
      <c r="P26" s="1044">
        <f t="shared" ca="1" si="15"/>
        <v>0</v>
      </c>
      <c r="Q26" s="2165"/>
    </row>
    <row r="27" spans="2:20" s="1046" customFormat="1" x14ac:dyDescent="0.3">
      <c r="B27" s="1047">
        <f t="shared" si="10"/>
        <v>11</v>
      </c>
      <c r="C27" s="1018" t="str">
        <f t="shared" ca="1" si="1"/>
        <v>Laundry Fan (50cfm)</v>
      </c>
      <c r="D27" s="50" t="s">
        <v>2070</v>
      </c>
      <c r="E27" s="1040">
        <f ca="1">OFFSET(ExhaustfanRef,Unit_Sum!$B$77+3,$B27)</f>
        <v>0</v>
      </c>
      <c r="F27" s="1040">
        <f t="shared" ca="1" si="11"/>
        <v>0</v>
      </c>
      <c r="G27" s="1040" t="s">
        <v>653</v>
      </c>
      <c r="H27" s="1048">
        <f t="shared" si="3"/>
        <v>2</v>
      </c>
      <c r="I27" s="1050">
        <f t="shared" ca="1" si="12"/>
        <v>1.2000480019200768</v>
      </c>
      <c r="J27" s="1043">
        <f t="shared" ca="1" si="13"/>
        <v>0</v>
      </c>
      <c r="K27" s="1044">
        <f t="shared" ca="1" si="6"/>
        <v>0</v>
      </c>
      <c r="L27" s="1045">
        <f t="shared" ca="1" si="14"/>
        <v>0</v>
      </c>
      <c r="M27" s="1050">
        <f>REF_ExhFan!J8</f>
        <v>3.2</v>
      </c>
      <c r="N27" s="1043">
        <f t="shared" ref="N27:N28" ca="1" si="16">IF($F27=0,0,$F27/M27/1000)</f>
        <v>0</v>
      </c>
      <c r="O27" s="1044">
        <f t="shared" ca="1" si="8"/>
        <v>0</v>
      </c>
      <c r="P27" s="1044">
        <f t="shared" ca="1" si="15"/>
        <v>0</v>
      </c>
      <c r="Q27" s="2165">
        <v>0</v>
      </c>
    </row>
    <row r="28" spans="2:20" s="1046" customFormat="1" x14ac:dyDescent="0.3">
      <c r="B28" s="1630">
        <f t="shared" si="10"/>
        <v>12</v>
      </c>
      <c r="C28" s="1025" t="str">
        <f t="shared" ca="1" si="1"/>
        <v>Kitchen</v>
      </c>
      <c r="D28" s="126" t="s">
        <v>2071</v>
      </c>
      <c r="E28" s="1051">
        <f ca="1">OFFSET(ExhaustfanRef,Unit_Sum!$B$77+3,$B28)</f>
        <v>92</v>
      </c>
      <c r="F28" s="1051">
        <f t="shared" ca="1" si="11"/>
        <v>160</v>
      </c>
      <c r="G28" s="1051" t="s">
        <v>653</v>
      </c>
      <c r="H28" s="1052">
        <f t="shared" si="3"/>
        <v>2</v>
      </c>
      <c r="I28" s="1631">
        <f t="shared" ca="1" si="12"/>
        <v>2.3255813953488373</v>
      </c>
      <c r="J28" s="1632">
        <f t="shared" ca="1" si="13"/>
        <v>6.88E-2</v>
      </c>
      <c r="K28" s="1105">
        <f t="shared" ca="1" si="6"/>
        <v>1226.6666666666667</v>
      </c>
      <c r="L28" s="1633">
        <f t="shared" ca="1" si="14"/>
        <v>0.52746666666666664</v>
      </c>
      <c r="M28" s="1631">
        <f ca="1">I28</f>
        <v>2.3255813953488373</v>
      </c>
      <c r="N28" s="1632">
        <f t="shared" ca="1" si="16"/>
        <v>6.88E-2</v>
      </c>
      <c r="O28" s="1105">
        <f t="shared" ca="1" si="8"/>
        <v>1226.6666666666667</v>
      </c>
      <c r="P28" s="1105">
        <f t="shared" ca="1" si="15"/>
        <v>0.52746666666666664</v>
      </c>
      <c r="Q28" s="2165">
        <v>0</v>
      </c>
    </row>
    <row r="29" spans="2:20" s="1046" customFormat="1" x14ac:dyDescent="0.3">
      <c r="B29" s="1047"/>
      <c r="C29" s="1147" t="s">
        <v>655</v>
      </c>
      <c r="D29" s="165"/>
      <c r="E29" s="165"/>
      <c r="F29" s="1640"/>
      <c r="G29" s="2694" t="s">
        <v>654</v>
      </c>
      <c r="H29" s="2695"/>
      <c r="I29"/>
      <c r="J29" t="s">
        <v>1446</v>
      </c>
      <c r="K29" s="1637">
        <f ca="1">SUMPRODUCT($E$17:$E$28,J$17:J$28,--($G$17:$G$28=$G$29))</f>
        <v>1.4715</v>
      </c>
      <c r="L29" s="1634" t="s">
        <v>43</v>
      </c>
      <c r="M29" s="61"/>
      <c r="N29" t="s">
        <v>1446</v>
      </c>
      <c r="O29" s="2166">
        <f ca="1">SUMPRODUCT($E$17:$E$28,N$17:N$28,--($G$17:$G$28=$G$29))</f>
        <v>2.3738700000000001</v>
      </c>
      <c r="P29" s="2160" t="s">
        <v>43</v>
      </c>
      <c r="Q29" s="1634"/>
    </row>
    <row r="30" spans="2:20" s="1046" customFormat="1" x14ac:dyDescent="0.3">
      <c r="B30" s="1047"/>
      <c r="C30" s="1034" t="s">
        <v>656</v>
      </c>
      <c r="D30"/>
      <c r="E30"/>
      <c r="F30" s="228"/>
      <c r="G30" s="2696"/>
      <c r="H30" s="2697"/>
      <c r="I30"/>
      <c r="J30" t="s">
        <v>1447</v>
      </c>
      <c r="K30" s="906">
        <f>SUMPRODUCT(Unit_Sum!$AJ$17:$AJ$73,Unit_Sum!$D$17:$D$73)</f>
        <v>4905</v>
      </c>
      <c r="L30" s="1635" t="s">
        <v>130</v>
      </c>
      <c r="M30" s="61"/>
      <c r="N30" t="s">
        <v>1447</v>
      </c>
      <c r="O30" s="914">
        <f ca="1">SUMPRODUCT($E$17:$E$28,$F$17:$F$28,--($G$17:$G$28=$G$29))</f>
        <v>4905</v>
      </c>
      <c r="P30" s="35" t="s">
        <v>130</v>
      </c>
      <c r="Q30" s="1635"/>
    </row>
    <row r="31" spans="2:20" s="1046" customFormat="1" x14ac:dyDescent="0.3">
      <c r="B31" s="1047"/>
      <c r="C31" s="230"/>
      <c r="D31"/>
      <c r="E31"/>
      <c r="F31" s="228"/>
      <c r="G31" s="2696"/>
      <c r="H31" s="2697"/>
      <c r="I31"/>
      <c r="J31" t="s">
        <v>1448</v>
      </c>
      <c r="K31" s="1638">
        <f ca="1">K30/$D$9</f>
        <v>5.9067849863899451E-2</v>
      </c>
      <c r="L31" s="1636" t="s">
        <v>419</v>
      </c>
      <c r="M31" s="61"/>
      <c r="N31" t="s">
        <v>1448</v>
      </c>
      <c r="O31" s="2167">
        <f ca="1">O30/$D$9</f>
        <v>5.9067849863899451E-2</v>
      </c>
      <c r="P31" t="s">
        <v>419</v>
      </c>
      <c r="Q31" s="1636"/>
    </row>
    <row r="32" spans="2:20" s="1046" customFormat="1" x14ac:dyDescent="0.3">
      <c r="B32" s="1047"/>
      <c r="C32" s="230"/>
      <c r="D32"/>
      <c r="E32"/>
      <c r="F32" s="228"/>
      <c r="G32" s="2696"/>
      <c r="H32" s="2697"/>
      <c r="I32"/>
      <c r="J32" t="s">
        <v>1449</v>
      </c>
      <c r="K32" s="1637">
        <f ca="1">K30*60/$D$10</f>
        <v>0.3544072455725375</v>
      </c>
      <c r="L32" s="1635"/>
      <c r="M32" s="61"/>
      <c r="N32" t="s">
        <v>1449</v>
      </c>
      <c r="O32" s="2166">
        <f ca="1">O30*60/$D$10</f>
        <v>0.3544072455725375</v>
      </c>
      <c r="P32" s="35"/>
      <c r="Q32" s="1635"/>
    </row>
    <row r="33" spans="2:23" s="1046" customFormat="1" x14ac:dyDescent="0.3">
      <c r="B33" s="1047"/>
      <c r="C33" s="230"/>
      <c r="D33"/>
      <c r="E33"/>
      <c r="F33" s="228"/>
      <c r="G33" s="2696"/>
      <c r="H33" s="2697"/>
      <c r="I33"/>
      <c r="J33" t="s">
        <v>1450</v>
      </c>
      <c r="K33" s="1638">
        <v>0.3</v>
      </c>
      <c r="L33" s="1636" t="s">
        <v>1039</v>
      </c>
      <c r="M33" s="61"/>
      <c r="N33" t="s">
        <v>1450</v>
      </c>
      <c r="O33" s="2167">
        <f ca="1">O29*1000/O30</f>
        <v>0.4839694189602447</v>
      </c>
      <c r="P33" t="s">
        <v>1039</v>
      </c>
      <c r="Q33" s="1636"/>
    </row>
    <row r="34" spans="2:23" s="1046" customFormat="1" x14ac:dyDescent="0.3">
      <c r="B34" s="1047"/>
      <c r="C34" s="230"/>
      <c r="D34"/>
      <c r="E34"/>
      <c r="F34" s="228"/>
      <c r="G34" s="2698"/>
      <c r="H34" s="2699"/>
      <c r="I34" s="582"/>
      <c r="J34" s="21" t="s">
        <v>1451</v>
      </c>
      <c r="K34" s="1639">
        <f ca="1">SUMPRODUCT($E$17:$E$28,$H$17:$H$28,--($G$17:$G$28=$G$29))/SUMPRODUCT($E$17:$E$28,--($G$17:$G$28=$G$29))</f>
        <v>24</v>
      </c>
      <c r="L34" s="583" t="s">
        <v>435</v>
      </c>
      <c r="M34" s="582"/>
      <c r="N34" s="21" t="s">
        <v>1451</v>
      </c>
      <c r="O34" s="1639">
        <f ca="1">SUMPRODUCT($E$17:$E$28,$H$17:$H$28,--($G$17:$G$28=$G$29))/SUMPRODUCT($E$17:$E$28,--($G$17:$G$28=$G$29))</f>
        <v>24</v>
      </c>
      <c r="P34" s="21" t="s">
        <v>435</v>
      </c>
      <c r="Q34" s="583"/>
    </row>
    <row r="35" spans="2:23" s="1046" customFormat="1" x14ac:dyDescent="0.3">
      <c r="B35" s="1047"/>
      <c r="C35" s="230"/>
      <c r="D35"/>
      <c r="E35"/>
      <c r="F35" s="228"/>
      <c r="G35" s="2694" t="s">
        <v>653</v>
      </c>
      <c r="H35" s="2695"/>
      <c r="I35"/>
      <c r="J35" t="s">
        <v>1446</v>
      </c>
      <c r="K35" s="1637">
        <f ca="1">SUMPRODUCT($E$17:$E$28,J$17:J$28,--($G$17:$G$28=$G$35))</f>
        <v>10.675259499999999</v>
      </c>
      <c r="L35" s="1634" t="s">
        <v>43</v>
      </c>
      <c r="M35" s="61"/>
      <c r="N35" t="s">
        <v>1446</v>
      </c>
      <c r="O35" s="2166">
        <f ca="1">SUMPRODUCT($E$17:$E$28,N$17:N$28,--($G$17:$G$28=$G$35))</f>
        <v>10.39573</v>
      </c>
      <c r="P35" s="2160" t="s">
        <v>43</v>
      </c>
      <c r="Q35" s="1634"/>
    </row>
    <row r="36" spans="2:23" s="1046" customFormat="1" x14ac:dyDescent="0.3">
      <c r="B36" s="1047"/>
      <c r="C36" s="230"/>
      <c r="D36"/>
      <c r="E36"/>
      <c r="F36" s="228"/>
      <c r="G36" s="2696"/>
      <c r="H36" s="2697"/>
      <c r="I36"/>
      <c r="J36" t="s">
        <v>1447</v>
      </c>
      <c r="K36" s="906">
        <f ca="1">SUMPRODUCT($E$17:$E$28,$F$17:$F$28,--($G$17:$G$28=$G$35))</f>
        <v>19935</v>
      </c>
      <c r="L36" s="1635" t="s">
        <v>130</v>
      </c>
      <c r="M36" s="61"/>
      <c r="N36" t="s">
        <v>1447</v>
      </c>
      <c r="O36" s="914">
        <f ca="1">SUMPRODUCT($E$17:$E$28,$F$17:$F$28,--($G$17:$G$28=$G$35))</f>
        <v>19935</v>
      </c>
      <c r="P36" s="35" t="s">
        <v>130</v>
      </c>
      <c r="Q36" s="1635"/>
    </row>
    <row r="37" spans="2:23" s="1046" customFormat="1" x14ac:dyDescent="0.3">
      <c r="B37" s="1047"/>
      <c r="C37" s="230"/>
      <c r="D37"/>
      <c r="E37"/>
      <c r="F37" s="228"/>
      <c r="G37" s="2696"/>
      <c r="H37" s="2697"/>
      <c r="I37"/>
      <c r="J37" t="s">
        <v>1448</v>
      </c>
      <c r="K37" s="1638">
        <f ca="1">K36/$D$9</f>
        <v>0.24006474761199501</v>
      </c>
      <c r="L37" s="1636" t="s">
        <v>419</v>
      </c>
      <c r="M37" s="61"/>
      <c r="N37" t="s">
        <v>1448</v>
      </c>
      <c r="O37" s="2167">
        <f ca="1">O36/$D$9</f>
        <v>0.24006474761199501</v>
      </c>
      <c r="P37" t="s">
        <v>419</v>
      </c>
      <c r="Q37" s="1636"/>
    </row>
    <row r="38" spans="2:23" s="1046" customFormat="1" x14ac:dyDescent="0.3">
      <c r="B38" s="1047"/>
      <c r="C38" s="230"/>
      <c r="D38"/>
      <c r="E38"/>
      <c r="F38" s="228"/>
      <c r="G38" s="2696"/>
      <c r="H38" s="2697"/>
      <c r="I38"/>
      <c r="J38" t="s">
        <v>1449</v>
      </c>
      <c r="K38" s="1637">
        <f ca="1">K36*60/$D$10</f>
        <v>1.4403890806296706</v>
      </c>
      <c r="L38" s="1635"/>
      <c r="M38" s="61"/>
      <c r="N38" t="s">
        <v>1449</v>
      </c>
      <c r="O38" s="2166">
        <f ca="1">O36*60/$D$10</f>
        <v>1.4403890806296706</v>
      </c>
      <c r="P38" s="35"/>
      <c r="Q38" s="1635"/>
    </row>
    <row r="39" spans="2:23" s="1046" customFormat="1" x14ac:dyDescent="0.3">
      <c r="B39" s="1047"/>
      <c r="C39" s="230"/>
      <c r="D39"/>
      <c r="E39"/>
      <c r="F39" s="228"/>
      <c r="G39" s="2696"/>
      <c r="H39" s="2697"/>
      <c r="I39"/>
      <c r="J39" t="s">
        <v>1450</v>
      </c>
      <c r="K39" s="1638">
        <f ca="1">K35*1000/K36</f>
        <v>0.53550336092299977</v>
      </c>
      <c r="L39" s="1636" t="s">
        <v>1039</v>
      </c>
      <c r="M39" s="61"/>
      <c r="N39" t="s">
        <v>1450</v>
      </c>
      <c r="O39" s="2167">
        <f ca="1">O35*1000/O36</f>
        <v>0.521481314271382</v>
      </c>
      <c r="P39" t="s">
        <v>1039</v>
      </c>
      <c r="Q39" s="1636"/>
    </row>
    <row r="40" spans="2:23" s="1046" customFormat="1" x14ac:dyDescent="0.3">
      <c r="B40" s="1047"/>
      <c r="C40" s="229"/>
      <c r="D40" s="21"/>
      <c r="E40" s="21"/>
      <c r="F40" s="55"/>
      <c r="G40" s="2698"/>
      <c r="H40" s="2699"/>
      <c r="I40" s="582"/>
      <c r="J40" s="21" t="s">
        <v>1451</v>
      </c>
      <c r="K40" s="1639">
        <f ca="1">SUMPRODUCT($E$17:$E$28,$H$17:$H$28,--($G$17:$G$28=$G$35))/SUMPRODUCT($E$17:$E$28,--($G$17:$G$28=$G$35))</f>
        <v>2</v>
      </c>
      <c r="L40" s="583" t="s">
        <v>435</v>
      </c>
      <c r="M40" s="582"/>
      <c r="N40" s="21" t="s">
        <v>1451</v>
      </c>
      <c r="O40" s="1639">
        <f ca="1">SUMPRODUCT($E$17:$E$28,$H$17:$H$28,--($G$17:$G$28=$G$35))/SUMPRODUCT($E$17:$E$28,--($G$17:$G$28=$G$35))</f>
        <v>2</v>
      </c>
      <c r="P40" s="21" t="s">
        <v>435</v>
      </c>
      <c r="Q40" s="583"/>
    </row>
    <row r="41" spans="2:23" ht="15" outlineLevel="1" thickBot="1" x14ac:dyDescent="0.35">
      <c r="C41" s="1147"/>
      <c r="D41" s="1053"/>
      <c r="E41" s="1053"/>
      <c r="F41" s="1053"/>
      <c r="G41" s="2694" t="s">
        <v>654</v>
      </c>
      <c r="H41" s="2695"/>
      <c r="I41" s="1645"/>
      <c r="J41" s="1646" t="s">
        <v>1034</v>
      </c>
      <c r="K41" s="1647">
        <f>0.3*K42/1000</f>
        <v>1.4715</v>
      </c>
      <c r="L41" s="1648" t="s">
        <v>43</v>
      </c>
      <c r="M41" s="1649"/>
      <c r="N41" s="1646" t="s">
        <v>1034</v>
      </c>
      <c r="O41" s="1647">
        <f ca="1">SUMIFS(P$17:P$28,$G$17:$G$28,$G41)</f>
        <v>2.3738700000000001</v>
      </c>
      <c r="P41" s="1053" t="s">
        <v>43</v>
      </c>
      <c r="Q41" s="1648"/>
    </row>
    <row r="42" spans="2:23" ht="15.6" outlineLevel="1" thickTop="1" thickBot="1" x14ac:dyDescent="0.35">
      <c r="C42" s="1034"/>
      <c r="G42" s="2696"/>
      <c r="H42" s="2697"/>
      <c r="I42" s="1057"/>
      <c r="J42" s="1058" t="s">
        <v>1036</v>
      </c>
      <c r="K42" s="2239">
        <f>SUMPRODUCT(Unit_Sum!$AJ$17:$AJ$73,Unit_Sum!$D$17:$D$73)</f>
        <v>4905</v>
      </c>
      <c r="L42" s="1060" t="s">
        <v>130</v>
      </c>
      <c r="M42" s="1054"/>
      <c r="N42" s="1058" t="s">
        <v>1036</v>
      </c>
      <c r="O42" s="1059">
        <f ca="1">SUMIFS(O$17:O$28,$G$17:$G$28,$G41)</f>
        <v>4905</v>
      </c>
      <c r="P42" s="1007" t="s">
        <v>130</v>
      </c>
      <c r="Q42" s="1060"/>
    </row>
    <row r="43" spans="2:23" ht="15" outlineLevel="1" thickTop="1" x14ac:dyDescent="0.3">
      <c r="C43" s="1034"/>
      <c r="G43" s="2696"/>
      <c r="H43" s="2697"/>
      <c r="I43" s="1057"/>
      <c r="J43" s="1058" t="s">
        <v>1046</v>
      </c>
      <c r="K43" s="1061">
        <f ca="1">K42*60/$D$10</f>
        <v>0.3544072455725375</v>
      </c>
      <c r="L43" s="1060"/>
      <c r="M43" s="1054"/>
      <c r="N43" s="1058" t="s">
        <v>1046</v>
      </c>
      <c r="O43" s="1061">
        <f ca="1">O42*60/$D$10</f>
        <v>0.3544072455725375</v>
      </c>
      <c r="Q43" s="1060"/>
    </row>
    <row r="44" spans="2:23" outlineLevel="1" x14ac:dyDescent="0.3">
      <c r="C44" s="1034"/>
      <c r="G44" s="2694" t="s">
        <v>653</v>
      </c>
      <c r="H44" s="2695"/>
      <c r="I44" s="1645"/>
      <c r="J44" s="1646" t="s">
        <v>1034</v>
      </c>
      <c r="K44" s="1647">
        <f ca="1">SUMIFS(L$17:L$28,$G$17:$G$28,$G44)</f>
        <v>0.88960495833333342</v>
      </c>
      <c r="L44" s="1648" t="s">
        <v>43</v>
      </c>
      <c r="M44" s="1649"/>
      <c r="N44" s="1646" t="s">
        <v>1034</v>
      </c>
      <c r="O44" s="1647">
        <f ca="1">SUMIFS(P$17:P$28,$G$17:$G$28,$G44)</f>
        <v>0.86631083333333336</v>
      </c>
      <c r="P44" s="1053" t="s">
        <v>43</v>
      </c>
      <c r="Q44" s="1648"/>
    </row>
    <row r="45" spans="2:23" outlineLevel="1" x14ac:dyDescent="0.3">
      <c r="C45" s="1034"/>
      <c r="G45" s="2696"/>
      <c r="H45" s="2697"/>
      <c r="I45" s="1057"/>
      <c r="J45" s="1058" t="s">
        <v>1036</v>
      </c>
      <c r="K45" s="1059">
        <f ca="1">SUMIFS(K$17:K$28,$G$17:$G$28,$G44)</f>
        <v>1661.25</v>
      </c>
      <c r="L45" s="1060" t="s">
        <v>130</v>
      </c>
      <c r="M45" s="1054"/>
      <c r="N45" s="1058" t="s">
        <v>1036</v>
      </c>
      <c r="O45" s="1059">
        <f ca="1">SUMIFS(O$17:O$28,$G$17:$G$28,$G44)</f>
        <v>1661.25</v>
      </c>
      <c r="P45" s="1007" t="s">
        <v>130</v>
      </c>
      <c r="Q45" s="1060"/>
    </row>
    <row r="46" spans="2:23" ht="15" outlineLevel="1" thickBot="1" x14ac:dyDescent="0.35">
      <c r="C46" s="1034"/>
      <c r="G46" s="2698"/>
      <c r="H46" s="2699"/>
      <c r="I46" s="1057"/>
      <c r="J46" s="1058" t="s">
        <v>1046</v>
      </c>
      <c r="K46" s="1061">
        <f ca="1">K45*60/$D$10</f>
        <v>0.12003242338580589</v>
      </c>
      <c r="L46" s="1060"/>
      <c r="M46" s="1054"/>
      <c r="N46" s="1058" t="s">
        <v>1046</v>
      </c>
      <c r="O46" s="1061">
        <f ca="1">O45*60/$D$10</f>
        <v>0.12003242338580589</v>
      </c>
      <c r="Q46" s="1060"/>
    </row>
    <row r="47" spans="2:23" outlineLevel="1" x14ac:dyDescent="0.3">
      <c r="C47" s="2688" t="s">
        <v>1041</v>
      </c>
      <c r="D47" s="1053"/>
      <c r="E47" s="1053"/>
      <c r="F47" s="1053"/>
      <c r="G47" s="1642"/>
      <c r="H47" s="1643"/>
      <c r="I47" s="1062" t="s">
        <v>1053</v>
      </c>
      <c r="J47" s="1063"/>
      <c r="K47" s="1064"/>
      <c r="L47" s="1065"/>
      <c r="M47" s="1066"/>
      <c r="N47" s="1063"/>
      <c r="O47" s="1064"/>
      <c r="P47" s="2161"/>
      <c r="Q47" s="1065"/>
    </row>
    <row r="48" spans="2:23" ht="15" customHeight="1" outlineLevel="1" x14ac:dyDescent="0.3">
      <c r="C48" s="2689"/>
      <c r="H48" s="1641"/>
      <c r="I48" s="1527"/>
      <c r="J48" s="1528" t="s">
        <v>2137</v>
      </c>
      <c r="K48" s="1529" t="s">
        <v>983</v>
      </c>
      <c r="L48" s="1530"/>
      <c r="M48" s="1531"/>
      <c r="N48" s="1528" t="s">
        <v>2137</v>
      </c>
      <c r="O48" s="1529" t="s">
        <v>983</v>
      </c>
      <c r="P48" s="2162"/>
      <c r="Q48" s="1530"/>
      <c r="V48" s="1007" t="s">
        <v>1047</v>
      </c>
      <c r="W48" s="1007">
        <v>100</v>
      </c>
    </row>
    <row r="49" spans="3:23" ht="15" customHeight="1" outlineLevel="1" x14ac:dyDescent="0.3">
      <c r="C49" s="2689"/>
      <c r="H49" s="1641"/>
      <c r="I49" s="1527"/>
      <c r="J49" s="1528" t="s">
        <v>2136</v>
      </c>
      <c r="K49" s="1179">
        <f ca="1">(K42+K45)/$D$9</f>
        <v>7.9073245498232372E-2</v>
      </c>
      <c r="L49" s="1530" t="s">
        <v>1037</v>
      </c>
      <c r="M49" s="1531"/>
      <c r="N49" s="1528" t="s">
        <v>2136</v>
      </c>
      <c r="O49" s="1179">
        <f ca="1">(O42+O45)/$D$9</f>
        <v>7.9073245498232372E-2</v>
      </c>
      <c r="P49" s="2162" t="s">
        <v>1037</v>
      </c>
      <c r="Q49" s="1530"/>
      <c r="V49" s="1007" t="s">
        <v>1048</v>
      </c>
      <c r="W49" s="1007">
        <v>20</v>
      </c>
    </row>
    <row r="50" spans="3:23" ht="15" customHeight="1" outlineLevel="1" x14ac:dyDescent="0.3">
      <c r="C50" s="2689"/>
      <c r="H50" s="1641"/>
      <c r="I50" s="1527"/>
      <c r="J50" s="1528" t="s">
        <v>1038</v>
      </c>
      <c r="K50" s="1179">
        <f>IFERROR(K$41*1000/K$42,0)</f>
        <v>0.3</v>
      </c>
      <c r="L50" s="1530" t="s">
        <v>1039</v>
      </c>
      <c r="M50" s="1531"/>
      <c r="N50" s="1528" t="s">
        <v>1038</v>
      </c>
      <c r="O50" s="1179">
        <f ca="1">O41*1000/(O$42+O$45)</f>
        <v>0.36152598515134216</v>
      </c>
      <c r="P50" s="2162" t="s">
        <v>1039</v>
      </c>
      <c r="Q50" s="1530"/>
    </row>
    <row r="51" spans="3:23" ht="15" customHeight="1" outlineLevel="1" x14ac:dyDescent="0.3">
      <c r="C51" s="2689"/>
      <c r="H51" s="1641"/>
      <c r="I51" s="1527"/>
      <c r="J51" s="1528"/>
      <c r="K51" s="1179"/>
      <c r="L51" s="1530"/>
      <c r="M51" s="1531"/>
      <c r="N51" s="1528" t="s">
        <v>2072</v>
      </c>
      <c r="O51" s="1179">
        <f ca="1">SUMPRODUCT($O$17:$O$28,$Q$17:$Q$28)/SUM($O$42,$O$45)</f>
        <v>0.67005967383717235</v>
      </c>
      <c r="P51" s="2162"/>
      <c r="Q51" s="1530"/>
    </row>
    <row r="52" spans="3:23" ht="15" customHeight="1" outlineLevel="1" x14ac:dyDescent="0.3">
      <c r="C52" s="2689"/>
      <c r="H52" s="1641"/>
      <c r="I52" s="1067" t="s">
        <v>1054</v>
      </c>
      <c r="J52" s="1068"/>
      <c r="K52" s="1069"/>
      <c r="L52" s="1070"/>
      <c r="M52" s="1071"/>
      <c r="N52" s="1068"/>
      <c r="O52" s="1069"/>
      <c r="P52" s="2163"/>
      <c r="Q52" s="1070"/>
    </row>
    <row r="53" spans="3:23" ht="15" customHeight="1" outlineLevel="1" x14ac:dyDescent="0.3">
      <c r="C53" s="2689"/>
      <c r="H53" s="1641"/>
      <c r="I53" s="1057"/>
      <c r="J53" s="1058" t="s">
        <v>1049</v>
      </c>
      <c r="K53" t="s">
        <v>2327</v>
      </c>
      <c r="L53" s="1072"/>
      <c r="M53" s="1054"/>
      <c r="N53" s="1058"/>
      <c r="O53" s="1072"/>
      <c r="Q53" s="1060"/>
    </row>
    <row r="54" spans="3:23" ht="15" customHeight="1" outlineLevel="1" x14ac:dyDescent="0.3">
      <c r="C54" s="2689"/>
      <c r="H54" s="1641"/>
      <c r="I54" s="1057"/>
      <c r="J54" s="1058" t="s">
        <v>1052</v>
      </c>
      <c r="K54" s="1498">
        <f>VLOOKUP(K53,'360SpcLdsCSV'!$C$6:$AO$266,'360SpcLdsCSV'!$I$1,FALSE)</f>
        <v>1321.32</v>
      </c>
      <c r="L54" s="1007" t="s">
        <v>21</v>
      </c>
      <c r="M54" s="1054"/>
      <c r="N54" s="1058"/>
      <c r="O54" s="1072"/>
      <c r="Q54" s="1060"/>
    </row>
    <row r="55" spans="3:23" ht="15" customHeight="1" outlineLevel="1" x14ac:dyDescent="0.3">
      <c r="C55" s="2689"/>
      <c r="H55" s="1641"/>
      <c r="I55" s="1057"/>
      <c r="J55" s="1058" t="s">
        <v>1056</v>
      </c>
      <c r="K55" s="1073" t="s">
        <v>983</v>
      </c>
      <c r="L55" s="1060"/>
      <c r="M55" s="1054"/>
      <c r="N55" s="1058" t="s">
        <v>1055</v>
      </c>
      <c r="O55" s="1073" t="s">
        <v>983</v>
      </c>
      <c r="Q55" s="1060"/>
    </row>
    <row r="56" spans="3:23" ht="15.75" customHeight="1" outlineLevel="1" thickBot="1" x14ac:dyDescent="0.35">
      <c r="C56" s="2690"/>
      <c r="D56" s="1027"/>
      <c r="E56" s="1027"/>
      <c r="F56" s="1027"/>
      <c r="G56" s="1027"/>
      <c r="H56" s="1644"/>
      <c r="I56" s="1074"/>
      <c r="J56" s="1075" t="s">
        <v>1051</v>
      </c>
      <c r="K56" s="1076">
        <f ca="1">K44*1000/K54</f>
        <v>0.67326988037215318</v>
      </c>
      <c r="L56" s="1077" t="s">
        <v>98</v>
      </c>
      <c r="M56" s="1078"/>
      <c r="N56" s="1075" t="s">
        <v>1050</v>
      </c>
      <c r="O56" s="1076">
        <f ca="1">O44*1000/K54</f>
        <v>0.65564044541317268</v>
      </c>
      <c r="P56" s="2164" t="s">
        <v>98</v>
      </c>
      <c r="Q56" s="1077"/>
    </row>
    <row r="57" spans="3:23" x14ac:dyDescent="0.3">
      <c r="G57" s="1055"/>
      <c r="I57" s="1061"/>
      <c r="J57" s="1079"/>
    </row>
    <row r="58" spans="3:23" x14ac:dyDescent="0.3">
      <c r="G58" s="1055"/>
      <c r="H58" s="1056"/>
      <c r="I58" s="1058" t="s">
        <v>1043</v>
      </c>
      <c r="J58" s="1058" t="s">
        <v>1044</v>
      </c>
      <c r="K58" s="1223">
        <f ca="1">SUMPRODUCT(J17:J19,$H$17:$H$19,$E$17:$E$19)*365</f>
        <v>5381.3318749999999</v>
      </c>
      <c r="L58" s="1007" t="s">
        <v>42</v>
      </c>
      <c r="N58" s="1058"/>
      <c r="O58" s="1223">
        <f ca="1">SUMPRODUCT(N17:N20,$H$17:$H$20,$E$17:$E$20)*365</f>
        <v>16741.009700000006</v>
      </c>
      <c r="P58" s="1007" t="s">
        <v>42</v>
      </c>
      <c r="Q58" s="1080" t="s">
        <v>1040</v>
      </c>
      <c r="R58" s="1059">
        <f ca="1">K58-O58</f>
        <v>-11359.677825000006</v>
      </c>
      <c r="S58" s="1007" t="s">
        <v>42</v>
      </c>
    </row>
    <row r="59" spans="3:23" x14ac:dyDescent="0.3">
      <c r="G59" s="1055"/>
      <c r="H59" s="1056"/>
      <c r="I59" s="1061"/>
      <c r="J59" s="1058" t="s">
        <v>1042</v>
      </c>
      <c r="K59" s="1222"/>
      <c r="L59" s="1007" t="s">
        <v>42</v>
      </c>
      <c r="O59" s="1222"/>
      <c r="P59" s="1007" t="s">
        <v>42</v>
      </c>
      <c r="Q59" s="1221" t="s">
        <v>1130</v>
      </c>
    </row>
    <row r="60" spans="3:23" x14ac:dyDescent="0.3">
      <c r="G60" s="1055"/>
      <c r="H60" s="1056"/>
      <c r="I60" s="1061"/>
      <c r="J60" s="1058" t="s">
        <v>1045</v>
      </c>
      <c r="K60" s="1082">
        <f ca="1">K59/K58-1</f>
        <v>-1</v>
      </c>
      <c r="O60" s="1082">
        <f ca="1">O59/O58-1</f>
        <v>-1</v>
      </c>
      <c r="P60" s="1046"/>
    </row>
    <row r="61" spans="3:23" ht="15" x14ac:dyDescent="0.35">
      <c r="G61" s="1055"/>
      <c r="H61" s="1056"/>
      <c r="I61" s="1061"/>
      <c r="J61" s="1079"/>
      <c r="K61" s="2044" t="s">
        <v>752</v>
      </c>
      <c r="L61" s="655" t="s">
        <v>1977</v>
      </c>
      <c r="O61" s="1059"/>
      <c r="P61" s="1046"/>
    </row>
    <row r="62" spans="3:23" ht="15" x14ac:dyDescent="0.35">
      <c r="G62" s="1055"/>
      <c r="H62" s="1056"/>
      <c r="I62" s="1061"/>
      <c r="J62" s="1079"/>
      <c r="K62" s="2044" t="s">
        <v>753</v>
      </c>
      <c r="L62" s="654" t="s">
        <v>1978</v>
      </c>
      <c r="O62" s="1059"/>
      <c r="P62" s="1046"/>
    </row>
    <row r="63" spans="3:23" x14ac:dyDescent="0.3">
      <c r="C63" s="1004" t="s">
        <v>657</v>
      </c>
      <c r="G63" s="1055"/>
      <c r="H63" s="1056"/>
      <c r="I63" s="1061"/>
      <c r="J63" s="1079"/>
      <c r="K63" s="1061"/>
    </row>
    <row r="64" spans="3:23" x14ac:dyDescent="0.3">
      <c r="C64" s="1030"/>
      <c r="D64" s="1083"/>
      <c r="E64" s="1084"/>
      <c r="F64" s="1085"/>
      <c r="G64" s="1031"/>
      <c r="H64" s="1086" t="s">
        <v>47</v>
      </c>
      <c r="I64" s="1087" t="s">
        <v>81</v>
      </c>
      <c r="J64" s="1088" t="s">
        <v>109</v>
      </c>
      <c r="K64" s="1061"/>
      <c r="L64" s="2700" t="s">
        <v>688</v>
      </c>
      <c r="M64" s="2700"/>
      <c r="N64" s="2700"/>
      <c r="O64" s="2700"/>
      <c r="P64" s="2700"/>
      <c r="Q64" s="2700"/>
    </row>
    <row r="65" spans="3:30" x14ac:dyDescent="0.3">
      <c r="C65" s="2691" t="s">
        <v>653</v>
      </c>
      <c r="D65" s="2664" t="s">
        <v>658</v>
      </c>
      <c r="E65" s="2665"/>
      <c r="F65" s="2665"/>
      <c r="G65" s="2666"/>
      <c r="H65" s="1089">
        <f ca="1">SUMPRODUCT(--(G17:G28=C65),$E$17:$E$28,J17:J28)</f>
        <v>10.675259499999999</v>
      </c>
      <c r="I65" s="1090">
        <f ca="1">SUMPRODUCT(--(G17:G28=C65),$E$17:$E$28,N17:N28)</f>
        <v>10.39573</v>
      </c>
      <c r="J65" s="1091"/>
      <c r="K65" s="1061"/>
      <c r="L65" s="2658" t="s">
        <v>674</v>
      </c>
      <c r="M65" s="2658"/>
      <c r="N65" s="2658"/>
      <c r="O65" s="2658"/>
      <c r="P65" s="1738">
        <f ca="1">$O$49</f>
        <v>7.9073245498232372E-2</v>
      </c>
      <c r="Q65" s="1739" t="s">
        <v>419</v>
      </c>
    </row>
    <row r="66" spans="3:30" x14ac:dyDescent="0.3">
      <c r="C66" s="2692"/>
      <c r="D66" s="2667" t="s">
        <v>659</v>
      </c>
      <c r="E66" s="2668"/>
      <c r="F66" s="2668"/>
      <c r="G66" s="2669"/>
      <c r="H66" s="1092">
        <v>1</v>
      </c>
      <c r="I66" s="1093">
        <v>1</v>
      </c>
      <c r="J66" s="1094"/>
      <c r="K66" s="1061"/>
      <c r="L66" s="2682" t="s">
        <v>689</v>
      </c>
      <c r="M66" s="2682"/>
      <c r="N66" s="2682"/>
      <c r="O66" s="2682"/>
      <c r="P66" s="1740">
        <f ca="1">$D$9</f>
        <v>83040.097299999965</v>
      </c>
      <c r="Q66" s="1739" t="s">
        <v>302</v>
      </c>
    </row>
    <row r="67" spans="3:30" ht="15" thickBot="1" x14ac:dyDescent="0.35">
      <c r="C67" s="2693"/>
      <c r="D67" s="2670" t="s">
        <v>660</v>
      </c>
      <c r="E67" s="2671"/>
      <c r="F67" s="2671"/>
      <c r="G67" s="2672"/>
      <c r="H67" s="1095">
        <f ca="1">SUMPRODUCT(--(G17:G28=C65),$E$17:$E$28,$H$17:$H$28,J17:J28)*365</f>
        <v>7792.9394349999993</v>
      </c>
      <c r="I67" s="1096">
        <f ca="1">SUMPRODUCT(--(G17:G28=C65),$E$17:$E$28,$H$17:$H$28,N17:N28)*365</f>
        <v>7588.8829000000005</v>
      </c>
      <c r="J67" s="1097">
        <f ca="1">H67-I67</f>
        <v>204.0565349999988</v>
      </c>
      <c r="K67" s="1061"/>
      <c r="L67" s="2701" t="s">
        <v>691</v>
      </c>
      <c r="M67" s="2701"/>
      <c r="N67" s="2701"/>
      <c r="O67" s="2701"/>
      <c r="P67" s="1741">
        <f>$D$12</f>
        <v>92</v>
      </c>
      <c r="Q67" s="1742" t="s">
        <v>690</v>
      </c>
    </row>
    <row r="68" spans="3:30" ht="15" thickTop="1" x14ac:dyDescent="0.3">
      <c r="C68" s="2662" t="s">
        <v>654</v>
      </c>
      <c r="D68" s="2664" t="s">
        <v>661</v>
      </c>
      <c r="E68" s="2665"/>
      <c r="F68" s="2665"/>
      <c r="G68" s="2666"/>
      <c r="H68" s="1098">
        <f ca="1">SUMPRODUCT(--(G17:G28=C68),$E$17:$E$28,J17:J28)</f>
        <v>1.4715</v>
      </c>
      <c r="I68" s="1099">
        <f ca="1">SUMPRODUCT(--(G17:G28=C68),$E$17:$E$28,N17:N28)</f>
        <v>2.3738700000000001</v>
      </c>
      <c r="J68" s="1100"/>
      <c r="K68" s="1061"/>
      <c r="L68" s="2680" t="s">
        <v>1459</v>
      </c>
      <c r="M68" s="2680"/>
      <c r="N68" s="2680"/>
      <c r="O68" s="2680"/>
      <c r="P68" s="1743">
        <f ca="1">P65*P66/P67</f>
        <v>71.372282608695656</v>
      </c>
      <c r="Q68" s="1744" t="s">
        <v>687</v>
      </c>
    </row>
    <row r="69" spans="3:30" x14ac:dyDescent="0.3">
      <c r="C69" s="2662"/>
      <c r="D69" s="2667" t="s">
        <v>659</v>
      </c>
      <c r="E69" s="2668"/>
      <c r="F69" s="2668"/>
      <c r="G69" s="2669"/>
      <c r="H69" s="1101">
        <v>1</v>
      </c>
      <c r="I69" s="1093">
        <v>1</v>
      </c>
      <c r="J69" s="1094"/>
      <c r="K69" s="1061"/>
      <c r="L69" s="2681" t="s">
        <v>1460</v>
      </c>
      <c r="M69" s="2681"/>
      <c r="N69" s="2681"/>
      <c r="O69" s="2681"/>
      <c r="P69" s="1745">
        <v>30</v>
      </c>
      <c r="Q69" s="1746" t="s">
        <v>687</v>
      </c>
    </row>
    <row r="70" spans="3:30" ht="15" thickBot="1" x14ac:dyDescent="0.35">
      <c r="C70" s="2663"/>
      <c r="D70" s="2670" t="s">
        <v>662</v>
      </c>
      <c r="E70" s="2671"/>
      <c r="F70" s="2671"/>
      <c r="G70" s="2672"/>
      <c r="H70" s="1095">
        <f ca="1">SUMPRODUCT(--(G17:G28=C68),$E$17:$E$28,$H$17:$H$28,J17:J28)*365</f>
        <v>12890.34</v>
      </c>
      <c r="I70" s="1096">
        <f ca="1">SUMPRODUCT(--(G17:G28=C68),$E$17:$E$28,$H$17:$H$28,N17:N28)*365</f>
        <v>20795.101200000001</v>
      </c>
      <c r="J70" s="1097">
        <f ca="1">H70-I70</f>
        <v>-7904.7612000000008</v>
      </c>
      <c r="K70" s="1061"/>
      <c r="L70" s="2681" t="s">
        <v>1461</v>
      </c>
      <c r="M70" s="2681"/>
      <c r="N70" s="2681"/>
      <c r="O70" s="2681"/>
      <c r="P70" s="1745">
        <v>45</v>
      </c>
      <c r="Q70" s="1746" t="s">
        <v>687</v>
      </c>
    </row>
    <row r="71" spans="3:30" ht="15" thickTop="1" x14ac:dyDescent="0.3">
      <c r="C71" s="2662" t="s">
        <v>41</v>
      </c>
      <c r="D71" s="2674" t="s">
        <v>663</v>
      </c>
      <c r="E71" s="2675"/>
      <c r="F71" s="2675"/>
      <c r="G71" s="2676"/>
      <c r="H71" s="1102">
        <f ca="1">SUMPRODUCT($E$17:$E$28,J17:J28)</f>
        <v>12.1467595</v>
      </c>
      <c r="I71" s="1099">
        <f ca="1">SUMPRODUCT($E$17:$E$28,N17:N28)</f>
        <v>12.769600000000001</v>
      </c>
      <c r="J71" s="1100"/>
      <c r="K71" s="1061"/>
      <c r="L71" s="2681" t="s">
        <v>1462</v>
      </c>
      <c r="M71" s="2681"/>
      <c r="N71" s="2681"/>
      <c r="O71" s="2681"/>
      <c r="P71" s="1745">
        <v>55</v>
      </c>
      <c r="Q71" s="1746" t="s">
        <v>687</v>
      </c>
    </row>
    <row r="72" spans="3:30" x14ac:dyDescent="0.3">
      <c r="C72" s="2662"/>
      <c r="D72" s="2674" t="s">
        <v>664</v>
      </c>
      <c r="E72" s="2675"/>
      <c r="F72" s="2675"/>
      <c r="G72" s="2676"/>
      <c r="H72" s="1103">
        <v>1</v>
      </c>
      <c r="I72" s="1093">
        <v>1</v>
      </c>
      <c r="J72" s="1094"/>
      <c r="K72" s="1061"/>
      <c r="L72" s="2681" t="s">
        <v>1463</v>
      </c>
      <c r="M72" s="2681"/>
      <c r="N72" s="2681"/>
      <c r="O72" s="2681"/>
      <c r="P72" s="1745">
        <v>70</v>
      </c>
      <c r="Q72" s="1746" t="s">
        <v>687</v>
      </c>
    </row>
    <row r="73" spans="3:30" x14ac:dyDescent="0.3">
      <c r="C73" s="2673"/>
      <c r="D73" s="2677" t="s">
        <v>665</v>
      </c>
      <c r="E73" s="2678"/>
      <c r="F73" s="2678"/>
      <c r="G73" s="2679"/>
      <c r="H73" s="1104">
        <f ca="1">SUMPRODUCT($E$17:$E$28,$H$17:$H$28,J17:J28)*365</f>
        <v>20683.279435</v>
      </c>
      <c r="I73" s="1105">
        <f ca="1">SUMPRODUCT($E$17:$E$28,$H$17:$H$28,N17:N28)*365</f>
        <v>28383.984100000005</v>
      </c>
      <c r="J73" s="1106">
        <f ca="1">H73-I73</f>
        <v>-7700.7046650000048</v>
      </c>
      <c r="K73" s="1061"/>
      <c r="L73" s="2681" t="s">
        <v>1464</v>
      </c>
      <c r="M73" s="2681"/>
      <c r="N73" s="2681"/>
      <c r="O73" s="2681"/>
      <c r="P73" s="1745">
        <v>70</v>
      </c>
      <c r="Q73" s="1746" t="s">
        <v>687</v>
      </c>
      <c r="U73" s="1059"/>
      <c r="V73" s="1046"/>
    </row>
    <row r="74" spans="3:30" x14ac:dyDescent="0.3">
      <c r="H74" s="1055"/>
      <c r="I74" s="1056"/>
      <c r="J74" s="1061"/>
      <c r="K74" s="1061"/>
      <c r="U74" s="1059"/>
      <c r="V74" s="1046"/>
    </row>
    <row r="75" spans="3:30" ht="15" x14ac:dyDescent="0.35">
      <c r="F75" s="1107" t="s">
        <v>616</v>
      </c>
      <c r="H75" s="1108">
        <v>15000</v>
      </c>
      <c r="I75" s="1108">
        <v>6545</v>
      </c>
      <c r="J75" s="2044" t="s">
        <v>752</v>
      </c>
      <c r="K75" s="655" t="s">
        <v>1977</v>
      </c>
      <c r="M75" s="1109"/>
      <c r="N75" s="1109"/>
      <c r="U75" s="1059"/>
      <c r="V75" s="1046"/>
    </row>
    <row r="76" spans="3:30" ht="15" x14ac:dyDescent="0.35">
      <c r="F76" s="1110" t="s">
        <v>666</v>
      </c>
      <c r="H76" s="1111">
        <f ca="1">IF(H75="","",H73/H75)</f>
        <v>1.3788852956666666</v>
      </c>
      <c r="I76" s="1111">
        <f ca="1">IF(I75="","",I73/I75)</f>
        <v>4.3367431779984731</v>
      </c>
      <c r="J76" s="2044" t="s">
        <v>753</v>
      </c>
      <c r="K76" s="654" t="s">
        <v>1978</v>
      </c>
    </row>
    <row r="77" spans="3:30" ht="15" hidden="1" thickBot="1" x14ac:dyDescent="0.35">
      <c r="C77" s="1112" t="s">
        <v>667</v>
      </c>
      <c r="D77" s="1113"/>
      <c r="E77" s="1113"/>
    </row>
    <row r="78" spans="3:30" hidden="1" x14ac:dyDescent="0.3">
      <c r="C78" s="1114" t="s">
        <v>670</v>
      </c>
      <c r="D78" s="1115"/>
      <c r="E78" s="1116"/>
      <c r="G78" s="1117" t="s">
        <v>688</v>
      </c>
      <c r="H78" s="1118"/>
      <c r="I78" s="1119"/>
      <c r="N78" s="2659" t="s">
        <v>763</v>
      </c>
      <c r="O78" s="2660"/>
      <c r="P78" s="2661"/>
      <c r="AD78" s="1013"/>
    </row>
    <row r="79" spans="3:30" ht="57.6" hidden="1" x14ac:dyDescent="0.3">
      <c r="C79" s="1034" t="s">
        <v>668</v>
      </c>
      <c r="D79" s="1120" t="e">
        <f>#REF!</f>
        <v>#REF!</v>
      </c>
      <c r="E79" s="1094" t="e">
        <f>#REF!</f>
        <v>#REF!</v>
      </c>
      <c r="G79" s="1034" t="s">
        <v>674</v>
      </c>
      <c r="H79" s="1121" t="e">
        <f>D80</f>
        <v>#REF!</v>
      </c>
      <c r="I79" s="1094" t="e">
        <f>E80</f>
        <v>#REF!</v>
      </c>
      <c r="N79" s="1122" t="s">
        <v>764</v>
      </c>
      <c r="O79" s="1123">
        <f>6.5*1.150779</f>
        <v>7.4800635</v>
      </c>
      <c r="P79" s="1124" t="s">
        <v>116</v>
      </c>
      <c r="AD79" s="1013"/>
    </row>
    <row r="80" spans="3:30" ht="57.6" hidden="1" x14ac:dyDescent="0.3">
      <c r="C80" s="1034" t="s">
        <v>674</v>
      </c>
      <c r="D80" s="1125" t="e">
        <f>#REF!</f>
        <v>#REF!</v>
      </c>
      <c r="E80" s="1094" t="e">
        <f>#REF!</f>
        <v>#REF!</v>
      </c>
      <c r="G80" s="1034" t="s">
        <v>689</v>
      </c>
      <c r="H80" s="1044">
        <f ca="1">D9</f>
        <v>83040.097299999965</v>
      </c>
      <c r="I80" s="1094" t="s">
        <v>302</v>
      </c>
      <c r="N80" s="1122" t="s">
        <v>765</v>
      </c>
      <c r="O80" s="1123">
        <f>13*1.150779</f>
        <v>14.960127</v>
      </c>
      <c r="P80" s="1124" t="s">
        <v>116</v>
      </c>
      <c r="AD80" s="1013"/>
    </row>
    <row r="81" spans="2:30" ht="29.4" hidden="1" thickBot="1" x14ac:dyDescent="0.35">
      <c r="C81" s="1126" t="s">
        <v>671</v>
      </c>
      <c r="D81" s="1125" t="e">
        <f>#REF!</f>
        <v>#REF!</v>
      </c>
      <c r="E81" s="1127" t="e">
        <f>#REF!</f>
        <v>#REF!</v>
      </c>
      <c r="G81" s="1128" t="s">
        <v>691</v>
      </c>
      <c r="H81" s="1096">
        <f>D12</f>
        <v>92</v>
      </c>
      <c r="I81" s="1129" t="s">
        <v>690</v>
      </c>
      <c r="N81" s="1122" t="s">
        <v>766</v>
      </c>
      <c r="O81" s="1130">
        <f ca="1">$D$85*O79/10</f>
        <v>9.8555385033751997E-2</v>
      </c>
      <c r="P81" s="1124" t="s">
        <v>66</v>
      </c>
      <c r="AD81" s="1013"/>
    </row>
    <row r="82" spans="2:30" ht="30" hidden="1" thickTop="1" thickBot="1" x14ac:dyDescent="0.35">
      <c r="C82" s="1128" t="s">
        <v>672</v>
      </c>
      <c r="D82" s="1131" t="e">
        <f>#REF!</f>
        <v>#REF!</v>
      </c>
      <c r="E82" s="1129" t="e">
        <f>#REF!</f>
        <v>#REF!</v>
      </c>
      <c r="G82" s="1132" t="s">
        <v>692</v>
      </c>
      <c r="H82" s="1133" t="e">
        <f ca="1">H79*H80/H81</f>
        <v>#REF!</v>
      </c>
      <c r="I82" s="1134" t="s">
        <v>687</v>
      </c>
      <c r="N82" s="1122" t="s">
        <v>767</v>
      </c>
      <c r="O82" s="1130">
        <f ca="1">$D$85*O80/10</f>
        <v>0.19711077006750399</v>
      </c>
      <c r="P82" s="1124" t="s">
        <v>66</v>
      </c>
      <c r="AD82" s="1013"/>
    </row>
    <row r="83" spans="2:30" hidden="1" x14ac:dyDescent="0.3">
      <c r="C83" s="1114" t="s">
        <v>680</v>
      </c>
      <c r="D83" s="1115"/>
      <c r="E83" s="1116"/>
      <c r="G83" s="1135" t="s">
        <v>693</v>
      </c>
      <c r="H83" s="1136">
        <v>30</v>
      </c>
      <c r="I83" s="1116" t="s">
        <v>687</v>
      </c>
      <c r="N83" s="1018" t="s">
        <v>768</v>
      </c>
      <c r="O83" s="1130" t="e">
        <f ca="1">SQRT(($D$82*#REF!)^2+O81^2)</f>
        <v>#REF!</v>
      </c>
      <c r="P83" s="1124" t="s">
        <v>66</v>
      </c>
    </row>
    <row r="84" spans="2:30" ht="15" hidden="1" thickBot="1" x14ac:dyDescent="0.35">
      <c r="C84" s="1034" t="str">
        <f>C99</f>
        <v>CFM @ 75Pa (0.3 in wc)</v>
      </c>
      <c r="D84" s="1137">
        <f>D99</f>
        <v>0.25</v>
      </c>
      <c r="E84" s="1138" t="e">
        <f>E81</f>
        <v>#REF!</v>
      </c>
      <c r="N84" s="1139" t="s">
        <v>769</v>
      </c>
      <c r="O84" s="1140" t="e">
        <f ca="1">SQRT(($D$82*#REF!)^2+O82^2)</f>
        <v>#REF!</v>
      </c>
      <c r="P84" s="1141" t="s">
        <v>66</v>
      </c>
      <c r="AD84" s="1013"/>
    </row>
    <row r="85" spans="2:30" ht="15" hidden="1" thickBot="1" x14ac:dyDescent="0.35">
      <c r="C85" s="1142" t="str">
        <f>C109</f>
        <v>WindACH_Natural(@ 10mph)</v>
      </c>
      <c r="D85" s="1131">
        <f ca="1">D109</f>
        <v>0.13175741761250021</v>
      </c>
      <c r="E85" s="1129" t="str">
        <f>E109</f>
        <v>ACH</v>
      </c>
      <c r="N85" s="1143" t="s">
        <v>770</v>
      </c>
      <c r="O85" s="1144" t="e">
        <f ca="1">O83/$D$85</f>
        <v>#REF!</v>
      </c>
      <c r="P85" s="1124" t="s">
        <v>771</v>
      </c>
      <c r="AD85" s="1013"/>
    </row>
    <row r="86" spans="2:30" hidden="1" x14ac:dyDescent="0.3">
      <c r="C86" s="1114" t="s">
        <v>673</v>
      </c>
      <c r="D86" s="1115"/>
      <c r="E86" s="1116"/>
      <c r="N86" s="1143" t="s">
        <v>772</v>
      </c>
      <c r="O86" s="1145" t="e">
        <f ca="1">O84/$D$85</f>
        <v>#REF!</v>
      </c>
      <c r="P86" s="1146" t="s">
        <v>771</v>
      </c>
      <c r="AD86" s="1013"/>
    </row>
    <row r="87" spans="2:30" hidden="1" x14ac:dyDescent="0.3">
      <c r="C87" s="1147" t="s">
        <v>675</v>
      </c>
      <c r="D87" s="1148" t="e">
        <f>D80</f>
        <v>#REF!</v>
      </c>
      <c r="E87" s="1149" t="s">
        <v>419</v>
      </c>
      <c r="N87" s="1022"/>
      <c r="AD87" s="1013"/>
    </row>
    <row r="88" spans="2:30" hidden="1" x14ac:dyDescent="0.3">
      <c r="C88" s="1034" t="s">
        <v>675</v>
      </c>
      <c r="D88" s="1120" t="str">
        <f>IFERROR((0+D80^2)^0.5*I92*60/I93,"Updates required")</f>
        <v>Updates required</v>
      </c>
      <c r="E88" s="1138" t="s">
        <v>66</v>
      </c>
      <c r="K88" s="1007" t="s">
        <v>773</v>
      </c>
      <c r="N88" s="1022"/>
      <c r="AD88" s="1013"/>
    </row>
    <row r="89" spans="2:30" hidden="1" x14ac:dyDescent="0.3">
      <c r="C89" s="1034" t="str">
        <f>"Peak Conditions: max wind ("&amp;ROUND(I89*1.15077945,2)&amp;"mph), all exhaust fans ON"</f>
        <v>Peak Conditions: max wind (0mph), all exhaust fans ON</v>
      </c>
      <c r="D89" s="1120" t="str">
        <f>IFERROR((D81^2+(I90/I92)^2)^0.5*I92*60/I93,"Updates required")</f>
        <v>Updates required</v>
      </c>
      <c r="E89" s="1138" t="s">
        <v>66</v>
      </c>
      <c r="H89" s="1150" t="s">
        <v>684</v>
      </c>
      <c r="I89" s="1081"/>
      <c r="J89" s="1007" t="s">
        <v>677</v>
      </c>
      <c r="K89" s="1007" t="s">
        <v>774</v>
      </c>
      <c r="N89" s="1022"/>
      <c r="AD89" s="1013"/>
    </row>
    <row r="90" spans="2:30" hidden="1" x14ac:dyDescent="0.3">
      <c r="C90" s="1151" t="s">
        <v>678</v>
      </c>
      <c r="D90" s="1152" t="str">
        <f>IFERROR(I91*60/I93,"Updates required")</f>
        <v>Updates required</v>
      </c>
      <c r="E90" s="1153" t="s">
        <v>66</v>
      </c>
      <c r="H90" s="1150" t="s">
        <v>679</v>
      </c>
      <c r="I90" s="1081"/>
      <c r="J90" s="1007" t="s">
        <v>130</v>
      </c>
      <c r="K90" s="1007" t="s">
        <v>775</v>
      </c>
      <c r="N90" s="1022"/>
      <c r="AD90" s="1013"/>
    </row>
    <row r="91" spans="2:30" hidden="1" x14ac:dyDescent="0.3">
      <c r="C91" s="1154"/>
      <c r="D91" s="1155"/>
      <c r="E91" s="1156"/>
      <c r="H91" s="1150" t="s">
        <v>683</v>
      </c>
      <c r="I91" s="1081"/>
      <c r="J91" s="1007" t="s">
        <v>130</v>
      </c>
      <c r="K91" s="1007" t="s">
        <v>776</v>
      </c>
      <c r="N91" s="1022"/>
      <c r="AD91" s="1013"/>
    </row>
    <row r="92" spans="2:30" hidden="1" x14ac:dyDescent="0.3">
      <c r="C92" s="1156"/>
      <c r="D92" s="1156"/>
      <c r="E92" s="1156"/>
      <c r="H92" s="1150" t="s">
        <v>676</v>
      </c>
      <c r="I92" s="1081"/>
      <c r="J92" s="1013" t="s">
        <v>302</v>
      </c>
      <c r="K92" s="1007" t="s">
        <v>685</v>
      </c>
      <c r="L92" s="1157"/>
      <c r="M92" s="1157"/>
      <c r="N92" s="1022"/>
      <c r="AD92" s="1013"/>
    </row>
    <row r="93" spans="2:30" hidden="1" x14ac:dyDescent="0.3">
      <c r="D93" s="1013"/>
      <c r="H93" s="1150" t="s">
        <v>681</v>
      </c>
      <c r="I93" s="1081"/>
      <c r="J93" s="1007" t="s">
        <v>682</v>
      </c>
      <c r="AD93" s="1013"/>
    </row>
    <row r="94" spans="2:30" x14ac:dyDescent="0.3">
      <c r="C94" s="1158"/>
      <c r="D94" s="1013"/>
      <c r="N94" s="1159"/>
      <c r="AD94" s="1013"/>
    </row>
    <row r="95" spans="2:30" x14ac:dyDescent="0.3">
      <c r="B95" s="1005" t="s">
        <v>617</v>
      </c>
      <c r="C95" s="1005"/>
      <c r="D95" s="1006"/>
      <c r="E95" s="1006"/>
      <c r="F95" s="1006"/>
      <c r="G95" s="1006"/>
      <c r="H95" s="1006"/>
      <c r="I95" s="1006"/>
      <c r="J95" s="1006"/>
      <c r="K95" s="1006"/>
      <c r="L95" s="1006"/>
      <c r="M95" s="1006"/>
      <c r="N95" s="1006"/>
      <c r="O95" s="1006"/>
      <c r="P95" s="1006"/>
      <c r="Q95" s="1006"/>
      <c r="R95" s="1006"/>
      <c r="S95" s="1006"/>
      <c r="T95" s="1006"/>
      <c r="U95" s="1006"/>
      <c r="V95" s="1006"/>
      <c r="W95" s="1006"/>
      <c r="X95" s="1006"/>
      <c r="Y95" s="1006"/>
      <c r="Z95" s="1006"/>
      <c r="AA95" s="1006"/>
      <c r="AB95" s="1006"/>
      <c r="AC95" s="1006"/>
    </row>
    <row r="96" spans="2:30" customFormat="1" x14ac:dyDescent="0.3">
      <c r="B96" s="2046" t="s">
        <v>2170</v>
      </c>
      <c r="C96" s="1925" t="s">
        <v>2171</v>
      </c>
    </row>
    <row r="97" spans="2:30" ht="57.6" x14ac:dyDescent="0.3">
      <c r="C97" s="1158" t="s">
        <v>618</v>
      </c>
      <c r="D97" s="1160" t="s">
        <v>619</v>
      </c>
      <c r="E97" s="1160" t="s">
        <v>112</v>
      </c>
      <c r="F97" s="1160" t="s">
        <v>620</v>
      </c>
      <c r="G97" s="1160" t="s">
        <v>203</v>
      </c>
      <c r="H97" s="1160" t="s">
        <v>204</v>
      </c>
      <c r="I97" s="1160" t="s">
        <v>113</v>
      </c>
      <c r="J97" s="1160" t="s">
        <v>114</v>
      </c>
      <c r="M97" s="2362" t="s">
        <v>2270</v>
      </c>
    </row>
    <row r="98" spans="2:30" x14ac:dyDescent="0.3">
      <c r="B98" s="1753" t="s">
        <v>47</v>
      </c>
      <c r="C98" s="1013" t="str">
        <f>"CFM @ "&amp;H98&amp;"Pa ("&amp;G98&amp;" in wc)"</f>
        <v>CFM @ 75Pa (0.3 in wc)</v>
      </c>
      <c r="D98" s="2367" cm="1">
        <f t="array" ref="D98">_xlfn.IFS(CompType=S901G_2010_LEED,D99,CompType=S901G_2019,1)</f>
        <v>1</v>
      </c>
      <c r="E98" s="1029">
        <f ca="1">D98*$D$113</f>
        <v>98766.400000000009</v>
      </c>
      <c r="F98" s="1161">
        <f ca="1">E98*60/$D$114</f>
        <v>4.5877503097378503</v>
      </c>
      <c r="G98" s="1013">
        <v>0.3</v>
      </c>
      <c r="H98" s="1013">
        <f>G98*250</f>
        <v>75</v>
      </c>
      <c r="I98" s="1162">
        <f>D98/(G98^0.65)</f>
        <v>2.1871128108128057</v>
      </c>
      <c r="J98" s="1162">
        <v>0.65</v>
      </c>
      <c r="M98" t="s">
        <v>860</v>
      </c>
    </row>
    <row r="99" spans="2:30" x14ac:dyDescent="0.3">
      <c r="B99" s="1753" t="s">
        <v>81</v>
      </c>
      <c r="C99" s="1013" t="str">
        <f>"CFM @ "&amp;H99&amp;"Pa ("&amp;G99&amp;" in wc)"</f>
        <v>CFM @ 75Pa (0.3 in wc)</v>
      </c>
      <c r="D99" s="1490">
        <v>0.25</v>
      </c>
      <c r="E99" s="1029">
        <f ca="1">D99*$D$113</f>
        <v>24691.600000000002</v>
      </c>
      <c r="F99" s="1161">
        <f ca="1">E99*60/$D$114</f>
        <v>1.1469375774344626</v>
      </c>
      <c r="G99" s="1013">
        <v>0.3</v>
      </c>
      <c r="H99" s="1013">
        <f>G99*250</f>
        <v>75</v>
      </c>
      <c r="I99" s="1162">
        <f>D99/(G99^0.65)</f>
        <v>0.54677820270320143</v>
      </c>
      <c r="J99" s="1162">
        <v>0.65</v>
      </c>
      <c r="M99" t="s">
        <v>2260</v>
      </c>
    </row>
    <row r="100" spans="2:30" x14ac:dyDescent="0.3">
      <c r="B100" s="1150"/>
      <c r="C100" s="1013" t="str">
        <f>"CFM @ "&amp;H100&amp;"Pa ("&amp;G100&amp;" in wc)"</f>
        <v>CFM @ 50Pa (0.2 in wc)</v>
      </c>
      <c r="D100" s="2234">
        <f>I$99*(G100^J$99)</f>
        <v>0.19207935570309176</v>
      </c>
      <c r="E100" s="1029">
        <f ca="1">D100*$D$8</f>
        <v>11691.582262613641</v>
      </c>
      <c r="F100" s="1161">
        <f ca="1">E100*60/$D$10</f>
        <v>0.84476686362439068</v>
      </c>
      <c r="G100" s="1013">
        <v>0.2</v>
      </c>
      <c r="H100" s="1013">
        <f>G100*250</f>
        <v>50</v>
      </c>
      <c r="I100" s="1164"/>
      <c r="J100" s="1164"/>
      <c r="AC100" s="1150"/>
    </row>
    <row r="101" spans="2:30" x14ac:dyDescent="0.3">
      <c r="B101" s="1150"/>
      <c r="C101" s="1013" t="str">
        <f>"CFM @ "&amp;H101&amp;"Pa ("&amp;G101&amp;" in wc)"</f>
        <v>CFM @ 25Pa (0.1 in wc)</v>
      </c>
      <c r="D101" s="2234">
        <f>I$99*(G101^J$99)</f>
        <v>0.12240839205000614</v>
      </c>
      <c r="E101" s="1029">
        <f ca="1">D101*$D$8</f>
        <v>7450.8152114958002</v>
      </c>
      <c r="F101" s="1161">
        <f ca="1">E101*60/$D$10</f>
        <v>0.53835329181981439</v>
      </c>
      <c r="G101" s="1013">
        <v>0.1</v>
      </c>
      <c r="H101" s="1013">
        <f>G101*250</f>
        <v>25</v>
      </c>
      <c r="I101" s="1162"/>
      <c r="J101" s="1162"/>
      <c r="AC101" s="1150"/>
    </row>
    <row r="102" spans="2:30" x14ac:dyDescent="0.3">
      <c r="B102" s="1150"/>
      <c r="C102" s="1013" t="str">
        <f>"CFM @ "&amp;H102&amp;"Pa ("&amp;G102&amp;" in wc)"</f>
        <v>CFM @ Pa ( in wc)</v>
      </c>
      <c r="D102" s="1163"/>
      <c r="E102" s="1029">
        <f ca="1">D102*$D$8</f>
        <v>0</v>
      </c>
      <c r="F102" s="1161">
        <f ca="1">E102*60/$D$10</f>
        <v>0</v>
      </c>
      <c r="G102" s="1165"/>
      <c r="H102" s="1165"/>
      <c r="I102" s="1162"/>
      <c r="J102" s="1162"/>
      <c r="AC102" s="1150"/>
      <c r="AD102" s="1109"/>
    </row>
    <row r="103" spans="2:30" x14ac:dyDescent="0.3">
      <c r="B103" s="1150"/>
      <c r="C103" s="1013" t="s">
        <v>200</v>
      </c>
      <c r="D103" s="2235">
        <f>D122</f>
        <v>0.25</v>
      </c>
      <c r="J103" s="1013"/>
    </row>
    <row r="104" spans="2:30" x14ac:dyDescent="0.3">
      <c r="B104" s="1150"/>
      <c r="C104" s="1013" t="s">
        <v>115</v>
      </c>
      <c r="D104" s="2236">
        <v>0.16170000000000001</v>
      </c>
      <c r="E104" s="1013"/>
      <c r="F104" s="1013"/>
      <c r="G104" s="1013"/>
      <c r="H104" s="1013"/>
      <c r="I104" s="1013"/>
      <c r="J104" s="1013"/>
    </row>
    <row r="105" spans="2:30" x14ac:dyDescent="0.3">
      <c r="B105" s="1150"/>
      <c r="C105" s="1013" t="s">
        <v>621</v>
      </c>
      <c r="D105" s="2237">
        <v>10</v>
      </c>
      <c r="E105" s="1013" t="s">
        <v>116</v>
      </c>
      <c r="F105" s="1013">
        <v>4.47</v>
      </c>
      <c r="G105" s="1013" t="s">
        <v>117</v>
      </c>
      <c r="H105" s="1013"/>
      <c r="I105" s="1013"/>
      <c r="J105" s="1013"/>
    </row>
    <row r="106" spans="2:30" x14ac:dyDescent="0.3">
      <c r="B106" s="1150"/>
      <c r="C106" s="1013" t="s">
        <v>118</v>
      </c>
      <c r="D106" s="2236">
        <v>6.2399999999999997E-2</v>
      </c>
      <c r="E106" s="1013" t="s">
        <v>622</v>
      </c>
      <c r="F106" s="1013">
        <v>1.18</v>
      </c>
      <c r="G106" s="1013" t="s">
        <v>623</v>
      </c>
      <c r="H106" s="1013"/>
      <c r="I106" s="1013"/>
      <c r="J106" s="1013"/>
    </row>
    <row r="107" spans="2:30" x14ac:dyDescent="0.3">
      <c r="B107" s="1753" t="s">
        <v>47</v>
      </c>
      <c r="C107" s="50" t="s">
        <v>624</v>
      </c>
      <c r="D107" s="2236">
        <f>(1+$D$103)*D98*(0.5*$D$104*$F$106*$F$105^2/H98)^J98</f>
        <v>0.114877583754142</v>
      </c>
      <c r="E107" s="1013" t="s">
        <v>625</v>
      </c>
      <c r="F107" s="1166">
        <f>D107/D98</f>
        <v>0.114877583754142</v>
      </c>
      <c r="G107" s="1013" t="s">
        <v>626</v>
      </c>
      <c r="H107" s="1013"/>
      <c r="I107" s="1013"/>
      <c r="J107" s="1013"/>
    </row>
    <row r="108" spans="2:30" x14ac:dyDescent="0.3">
      <c r="B108" s="1753" t="s">
        <v>81</v>
      </c>
      <c r="C108" s="50" t="s">
        <v>624</v>
      </c>
      <c r="D108" s="2236">
        <f>(1+$D$103)*D99*(0.5*$D$104*$F$106*$F$105^2/H99)^J99</f>
        <v>2.8719395938535501E-2</v>
      </c>
      <c r="E108" s="1013" t="s">
        <v>625</v>
      </c>
      <c r="F108" s="1166">
        <f>D108/D99</f>
        <v>0.114877583754142</v>
      </c>
      <c r="G108" s="1013" t="s">
        <v>626</v>
      </c>
      <c r="H108" s="1013"/>
    </row>
    <row r="109" spans="2:30" x14ac:dyDescent="0.3">
      <c r="C109" s="1013" t="s">
        <v>627</v>
      </c>
      <c r="D109" s="2236">
        <f ca="1">D108*$D$113*60/$D$114</f>
        <v>0.13175741761250021</v>
      </c>
      <c r="E109" s="1167" t="s">
        <v>66</v>
      </c>
      <c r="F109" s="1013"/>
      <c r="G109" s="1013"/>
      <c r="I109" s="1013"/>
      <c r="J109" s="1013"/>
    </row>
    <row r="110" spans="2:30" x14ac:dyDescent="0.3">
      <c r="C110" s="2230"/>
      <c r="D110" s="2231"/>
      <c r="E110" s="154"/>
      <c r="F110" s="1013"/>
      <c r="G110" s="1013"/>
      <c r="I110" s="1013"/>
      <c r="J110" s="1013"/>
    </row>
    <row r="111" spans="2:30" x14ac:dyDescent="0.3">
      <c r="C111" s="50" t="s">
        <v>2264</v>
      </c>
      <c r="D111" s="2359" t="s">
        <v>2260</v>
      </c>
      <c r="E111" s="154"/>
      <c r="F111" s="1013"/>
      <c r="G111" s="1013"/>
      <c r="I111" s="1013"/>
      <c r="J111" s="1013"/>
    </row>
    <row r="112" spans="2:30" x14ac:dyDescent="0.3">
      <c r="C112" s="50" t="s">
        <v>2267</v>
      </c>
      <c r="D112" s="909" cm="1">
        <f t="array" aca="1" ref="D112" ca="1">_xlfn.IFS(InfAreaBasis=$M$98,Spaces_Sum!$M$5,InfAreaBasis=$M$99,SUM(Spaces_Sum!$M$5:$M$7))</f>
        <v>56325.3</v>
      </c>
      <c r="E112" s="50" t="s">
        <v>302</v>
      </c>
      <c r="F112" s="1013"/>
      <c r="G112" s="1013"/>
      <c r="H112" s="1013"/>
      <c r="I112" s="1013"/>
      <c r="J112" s="1013"/>
    </row>
    <row r="113" spans="2:11" x14ac:dyDescent="0.3">
      <c r="C113" s="50" t="s">
        <v>2271</v>
      </c>
      <c r="D113" s="909" cm="1">
        <f t="array" aca="1" ref="D113" ca="1">_xlfn.IFS(InfAreaBasis=$M$98,SUM(Spaces_Sum!$M$5,Spaces_Sum!$O$5:$Q$5),InfAreaBasis=$M$99,SUM(Spaces_Sum!$M$5:$M$7,Spaces_Sum!$O$5:$Q$7))</f>
        <v>98766.400000000009</v>
      </c>
      <c r="E113" s="50" t="s">
        <v>302</v>
      </c>
      <c r="F113" s="1013"/>
      <c r="G113" s="1013"/>
      <c r="H113" s="1013"/>
      <c r="I113" s="1013"/>
      <c r="J113" s="1013"/>
    </row>
    <row r="114" spans="2:11" x14ac:dyDescent="0.3">
      <c r="C114" s="50" t="s">
        <v>2268</v>
      </c>
      <c r="D114" s="909" cm="1">
        <f t="array" aca="1" ref="D114" ca="1">_xlfn.IFS($D$111=$M$98,SUM(Spaces_Sum!$K$23:$K$24),$D$111=$M$99,Spaces_Sum!$K$48)</f>
        <v>1291697.1500000006</v>
      </c>
      <c r="E114" s="154" t="s">
        <v>682</v>
      </c>
      <c r="F114" s="1013"/>
      <c r="H114" s="1013"/>
      <c r="I114" s="1013"/>
      <c r="J114" s="1013"/>
    </row>
    <row r="115" spans="2:11" x14ac:dyDescent="0.3">
      <c r="C115" s="50"/>
      <c r="D115" s="909"/>
      <c r="E115" s="154"/>
      <c r="F115" s="1013"/>
      <c r="G115"/>
      <c r="H115" s="1013"/>
      <c r="I115" s="1013"/>
      <c r="J115" s="1013"/>
    </row>
    <row r="116" spans="2:11" x14ac:dyDescent="0.3">
      <c r="C116" s="2363" t="s">
        <v>2272</v>
      </c>
      <c r="D116" s="2364"/>
      <c r="E116" s="2365"/>
      <c r="F116" s="1013"/>
      <c r="G116" s="2366" t="s">
        <v>2273</v>
      </c>
      <c r="H116" s="1006"/>
      <c r="I116" s="1006"/>
      <c r="J116" s="1013"/>
    </row>
    <row r="117" spans="2:11" x14ac:dyDescent="0.3">
      <c r="C117" s="50"/>
      <c r="D117" s="906" t="s">
        <v>81</v>
      </c>
      <c r="E117" s="50" t="s">
        <v>47</v>
      </c>
      <c r="H117" s="906" t="s">
        <v>81</v>
      </c>
      <c r="I117" s="50" t="s">
        <v>47</v>
      </c>
      <c r="J117" s="1013"/>
    </row>
    <row r="118" spans="2:11" ht="28.8" x14ac:dyDescent="0.3">
      <c r="C118" s="2232" t="s">
        <v>2172</v>
      </c>
      <c r="D118" s="2233">
        <f ca="1">$D$108*$D$113/$D$112</f>
        <v>5.0359453869287384E-2</v>
      </c>
      <c r="E118" s="2233">
        <f ca="1">$D$107*$D$113/$D$112</f>
        <v>0.20143781547714953</v>
      </c>
      <c r="G118" s="2232" t="s">
        <v>2172</v>
      </c>
      <c r="H118" s="720">
        <f ca="1">0.112*$E$99/$D$112</f>
        <v>4.9097993264128198E-2</v>
      </c>
      <c r="I118" s="720">
        <f ca="1">0.112*$E$98/$D$112</f>
        <v>0.19639197305651279</v>
      </c>
      <c r="J118" s="1013"/>
    </row>
    <row r="119" spans="2:11" x14ac:dyDescent="0.3">
      <c r="C119" s="35"/>
      <c r="D119" s="35"/>
      <c r="E119" s="35"/>
      <c r="J119" s="1013"/>
    </row>
    <row r="120" spans="2:11" x14ac:dyDescent="0.3">
      <c r="C120" s="1009" t="s">
        <v>185</v>
      </c>
      <c r="D120" s="2361"/>
      <c r="E120" s="2361"/>
      <c r="J120" s="1013"/>
    </row>
    <row r="121" spans="2:11" x14ac:dyDescent="0.3">
      <c r="C121" s="1013" t="s">
        <v>186</v>
      </c>
      <c r="D121" s="1168">
        <v>0.67</v>
      </c>
      <c r="J121" s="1013"/>
    </row>
    <row r="122" spans="2:11" x14ac:dyDescent="0.3">
      <c r="C122" s="1013" t="s">
        <v>189</v>
      </c>
      <c r="D122" s="1165">
        <v>0.25</v>
      </c>
      <c r="J122" s="1013"/>
    </row>
    <row r="123" spans="2:11" x14ac:dyDescent="0.3">
      <c r="C123" s="1013" t="s">
        <v>190</v>
      </c>
      <c r="D123" s="1007">
        <v>1</v>
      </c>
      <c r="J123" s="1013"/>
    </row>
    <row r="124" spans="2:11" x14ac:dyDescent="0.3">
      <c r="C124" s="1013" t="s">
        <v>191</v>
      </c>
      <c r="D124" s="1007">
        <v>0.15</v>
      </c>
      <c r="J124" s="1013"/>
    </row>
    <row r="125" spans="2:11" x14ac:dyDescent="0.3">
      <c r="C125" s="1013" t="s">
        <v>192</v>
      </c>
      <c r="D125" s="1013">
        <v>30</v>
      </c>
      <c r="J125" s="1013"/>
    </row>
    <row r="126" spans="2:11" x14ac:dyDescent="0.3">
      <c r="C126" s="1013"/>
      <c r="D126" s="1013"/>
      <c r="J126" s="1013"/>
    </row>
    <row r="127" spans="2:11" x14ac:dyDescent="0.3">
      <c r="B127" s="1169" t="s">
        <v>628</v>
      </c>
      <c r="C127" s="1169"/>
      <c r="D127" s="1169"/>
      <c r="E127" s="1169"/>
      <c r="F127" s="1169"/>
      <c r="G127" s="1169"/>
      <c r="H127" s="1169"/>
      <c r="I127" s="1169"/>
      <c r="J127" s="1170"/>
      <c r="K127" s="1169"/>
    </row>
    <row r="129" spans="2:15" x14ac:dyDescent="0.3">
      <c r="C129" s="1013" t="s">
        <v>629</v>
      </c>
      <c r="D129" s="1019">
        <f ca="1">Envelope_Sum!$Z$42</f>
        <v>0</v>
      </c>
      <c r="E129" s="1013" t="s">
        <v>267</v>
      </c>
      <c r="F129" s="1013"/>
    </row>
    <row r="130" spans="2:15" x14ac:dyDescent="0.3">
      <c r="C130" s="1013" t="s">
        <v>630</v>
      </c>
      <c r="D130" s="1019">
        <f ca="1">Envelope_Sum!$N$42</f>
        <v>0</v>
      </c>
      <c r="E130" s="1013" t="s">
        <v>202</v>
      </c>
      <c r="F130" s="1013"/>
    </row>
    <row r="131" spans="2:15" x14ac:dyDescent="0.3">
      <c r="C131" s="1013" t="s">
        <v>631</v>
      </c>
      <c r="D131" s="1019">
        <f ca="1">Envelope_Sum!$O$42</f>
        <v>0</v>
      </c>
      <c r="E131" s="1013" t="s">
        <v>201</v>
      </c>
      <c r="F131" s="1013"/>
    </row>
    <row r="133" spans="2:15" x14ac:dyDescent="0.3">
      <c r="C133" s="1013" t="str">
        <f>"Static CFM, Vs=0mph"</f>
        <v>Static CFM, Vs=0mph</v>
      </c>
      <c r="D133" s="1007">
        <v>0</v>
      </c>
      <c r="E133" s="1007" t="s">
        <v>89</v>
      </c>
      <c r="J133" s="1013"/>
      <c r="M133" s="1109">
        <v>0.50900000000000001</v>
      </c>
      <c r="N133" s="1007" t="s">
        <v>365</v>
      </c>
    </row>
    <row r="134" spans="2:15" x14ac:dyDescent="0.3">
      <c r="C134" s="1013" t="str">
        <f>"Wind CFM (@Vs@10mph)"</f>
        <v>Wind CFM (@Vs@10mph)</v>
      </c>
      <c r="D134" s="1022" t="e">
        <f>MAX((D151*#REF!)-I163,0)</f>
        <v>#REF!</v>
      </c>
      <c r="E134" s="1007" t="s">
        <v>89</v>
      </c>
      <c r="J134" s="1013"/>
      <c r="M134" s="1022">
        <v>1363.0303914457975</v>
      </c>
      <c r="N134" s="1007" t="s">
        <v>308</v>
      </c>
    </row>
    <row r="135" spans="2:15" x14ac:dyDescent="0.3">
      <c r="C135" s="1171" t="s">
        <v>632</v>
      </c>
      <c r="D135" s="1172">
        <f>IFERROR(D134*60/#REF!,0)</f>
        <v>0</v>
      </c>
      <c r="E135" s="1004" t="s">
        <v>66</v>
      </c>
      <c r="J135" s="1013"/>
      <c r="M135" s="1007">
        <f>(270.5*O135-13064)*24</f>
        <v>95460</v>
      </c>
      <c r="N135" s="1007" t="s">
        <v>317</v>
      </c>
      <c r="O135" s="1173">
        <v>63</v>
      </c>
    </row>
    <row r="136" spans="2:15" x14ac:dyDescent="0.3">
      <c r="C136" s="1158" t="s">
        <v>633</v>
      </c>
      <c r="D136" s="1061">
        <f>D135*(O168/10)</f>
        <v>0</v>
      </c>
      <c r="E136" s="1007" t="s">
        <v>66</v>
      </c>
      <c r="J136" s="1013"/>
      <c r="M136" s="1022">
        <f>1.08*M134*M135/10^6</f>
        <v>140.52407166080911</v>
      </c>
      <c r="N136" s="1007" t="s">
        <v>45</v>
      </c>
    </row>
    <row r="137" spans="2:15" x14ac:dyDescent="0.3">
      <c r="C137" s="1013"/>
      <c r="D137" s="1013"/>
      <c r="J137" s="1013"/>
      <c r="M137" s="1174">
        <v>3407.0636639311101</v>
      </c>
      <c r="N137" s="1007" t="s">
        <v>634</v>
      </c>
    </row>
    <row r="138" spans="2:15" x14ac:dyDescent="0.3">
      <c r="C138" s="1013"/>
      <c r="D138" s="1013"/>
      <c r="J138" s="1013"/>
      <c r="M138" s="1174">
        <v>6.9986301369863</v>
      </c>
      <c r="N138" s="1007" t="s">
        <v>316</v>
      </c>
    </row>
    <row r="139" spans="2:15" x14ac:dyDescent="0.3">
      <c r="C139" s="1013"/>
      <c r="D139" s="1013"/>
      <c r="J139" s="1013"/>
    </row>
    <row r="140" spans="2:15" x14ac:dyDescent="0.3">
      <c r="C140" s="1013"/>
      <c r="D140" s="1013"/>
      <c r="J140" s="1013"/>
    </row>
    <row r="141" spans="2:15" x14ac:dyDescent="0.3">
      <c r="C141" s="1013"/>
      <c r="D141" s="1013"/>
      <c r="J141" s="1013"/>
    </row>
    <row r="142" spans="2:15" x14ac:dyDescent="0.3">
      <c r="B142" s="1009" t="s">
        <v>635</v>
      </c>
      <c r="C142" s="1027"/>
      <c r="D142" s="1010"/>
      <c r="E142" s="1027"/>
      <c r="F142" s="1027"/>
      <c r="J142" s="1013"/>
    </row>
    <row r="143" spans="2:15" x14ac:dyDescent="0.3">
      <c r="C143" s="1175" t="s">
        <v>636</v>
      </c>
      <c r="D143" s="1013"/>
      <c r="J143" s="1013"/>
    </row>
    <row r="144" spans="2:15" x14ac:dyDescent="0.3">
      <c r="J144" s="1013"/>
    </row>
    <row r="145" spans="3:10" x14ac:dyDescent="0.3">
      <c r="C145" s="1013" t="s">
        <v>637</v>
      </c>
      <c r="D145" s="1013"/>
    </row>
    <row r="146" spans="3:10" x14ac:dyDescent="0.3">
      <c r="D146" s="1007" t="s">
        <v>186</v>
      </c>
      <c r="E146" s="1007" t="s">
        <v>194</v>
      </c>
    </row>
    <row r="147" spans="3:10" x14ac:dyDescent="0.3">
      <c r="C147" s="1007" t="s">
        <v>46</v>
      </c>
      <c r="D147" s="1007" t="s">
        <v>190</v>
      </c>
      <c r="E147" s="1007" t="s">
        <v>195</v>
      </c>
    </row>
    <row r="148" spans="3:10" ht="28.8" x14ac:dyDescent="0.3">
      <c r="C148" s="1035" t="s">
        <v>196</v>
      </c>
      <c r="D148" s="1007">
        <v>1.3</v>
      </c>
      <c r="E148" s="1007">
        <v>0.1</v>
      </c>
    </row>
    <row r="149" spans="3:10" ht="28.8" x14ac:dyDescent="0.3">
      <c r="C149" s="1035" t="s">
        <v>197</v>
      </c>
      <c r="D149" s="1007">
        <v>1</v>
      </c>
      <c r="E149" s="1007">
        <v>0.15</v>
      </c>
    </row>
    <row r="150" spans="3:10" x14ac:dyDescent="0.3">
      <c r="C150" s="1035" t="s">
        <v>187</v>
      </c>
      <c r="D150" s="1007">
        <v>0.85</v>
      </c>
      <c r="E150" s="1007">
        <v>0.2</v>
      </c>
    </row>
    <row r="151" spans="3:10" x14ac:dyDescent="0.3">
      <c r="C151" s="1035" t="s">
        <v>198</v>
      </c>
      <c r="D151" s="1007">
        <v>0.67</v>
      </c>
      <c r="E151" s="1007">
        <v>0.25</v>
      </c>
    </row>
    <row r="152" spans="3:10" x14ac:dyDescent="0.3">
      <c r="C152" s="1035" t="s">
        <v>199</v>
      </c>
      <c r="D152" s="1007">
        <v>0.47</v>
      </c>
      <c r="E152" s="1007">
        <v>0.35</v>
      </c>
      <c r="J152" s="1013"/>
    </row>
  </sheetData>
  <mergeCells count="32">
    <mergeCell ref="L66:O66"/>
    <mergeCell ref="K8:L8"/>
    <mergeCell ref="M8:N8"/>
    <mergeCell ref="M15:Q15"/>
    <mergeCell ref="C47:C56"/>
    <mergeCell ref="C65:C67"/>
    <mergeCell ref="D65:G65"/>
    <mergeCell ref="D66:G66"/>
    <mergeCell ref="D67:G67"/>
    <mergeCell ref="G29:H34"/>
    <mergeCell ref="G35:H40"/>
    <mergeCell ref="G41:H43"/>
    <mergeCell ref="G44:H46"/>
    <mergeCell ref="L64:Q64"/>
    <mergeCell ref="L67:O67"/>
    <mergeCell ref="I15:L15"/>
    <mergeCell ref="L65:O65"/>
    <mergeCell ref="N78:P78"/>
    <mergeCell ref="C68:C70"/>
    <mergeCell ref="D68:G68"/>
    <mergeCell ref="D69:G69"/>
    <mergeCell ref="D70:G70"/>
    <mergeCell ref="C71:C73"/>
    <mergeCell ref="D71:G71"/>
    <mergeCell ref="D72:G72"/>
    <mergeCell ref="D73:G73"/>
    <mergeCell ref="L68:O68"/>
    <mergeCell ref="L69:O69"/>
    <mergeCell ref="L70:O70"/>
    <mergeCell ref="L71:O71"/>
    <mergeCell ref="L72:O72"/>
    <mergeCell ref="L73:O73"/>
  </mergeCells>
  <conditionalFormatting sqref="H76:I76">
    <cfRule type="cellIs" dxfId="14" priority="1" operator="greaterThan">
      <formula>1.02</formula>
    </cfRule>
    <cfRule type="cellIs" dxfId="13" priority="2" operator="lessThan">
      <formula>0.98</formula>
    </cfRule>
    <cfRule type="cellIs" dxfId="12" priority="3" operator="between">
      <formula>0.98</formula>
      <formula>1.02</formula>
    </cfRule>
  </conditionalFormatting>
  <dataValidations count="1">
    <dataValidation type="list" allowBlank="1" showInputMessage="1" showErrorMessage="1" sqref="D111" xr:uid="{0E170DAC-F58D-4E9B-9DB5-28F0F9B6A4CC}">
      <formula1>$M$98:$M$99</formula1>
    </dataValidation>
  </dataValidations>
  <hyperlinks>
    <hyperlink ref="C143" r:id="rId1" xr:uid="{09BB4DD4-13C5-47A1-A9E0-36E3F95A383F}"/>
  </hyperlinks>
  <pageMargins left="0.7" right="0.7" top="0.75" bottom="0.75" header="0.3" footer="0.3"/>
  <pageSetup orientation="portrait" r:id="rId2"/>
  <ignoredErrors>
    <ignoredError sqref="N18" formula="1"/>
  </ignoredErrors>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7"/>
  </sheetPr>
  <dimension ref="A1:AE115"/>
  <sheetViews>
    <sheetView showGridLines="0" topLeftCell="E73" zoomScale="85" zoomScaleNormal="85" workbookViewId="0">
      <selection activeCell="L90" sqref="L90"/>
    </sheetView>
  </sheetViews>
  <sheetFormatPr defaultColWidth="9.109375" defaultRowHeight="15.6" x14ac:dyDescent="0.35"/>
  <cols>
    <col min="1" max="1" width="9.109375" style="668"/>
    <col min="2" max="2" width="3.33203125" style="668" customWidth="1"/>
    <col min="3" max="3" width="40.44140625" style="668" customWidth="1"/>
    <col min="4" max="4" width="38.6640625" style="668" customWidth="1"/>
    <col min="5" max="7" width="13.5546875" style="668" customWidth="1"/>
    <col min="8" max="8" width="13.6640625" style="668" customWidth="1"/>
    <col min="9" max="9" width="14.6640625" style="668" customWidth="1"/>
    <col min="10" max="10" width="15.44140625" style="668" customWidth="1"/>
    <col min="11" max="11" width="21.6640625" style="668" customWidth="1"/>
    <col min="12" max="12" width="24.6640625" style="668" customWidth="1"/>
    <col min="13" max="13" width="13.5546875" style="668" customWidth="1"/>
    <col min="14" max="14" width="19.109375" style="668" bestFit="1" customWidth="1"/>
    <col min="15" max="15" width="13.5546875" style="668" customWidth="1"/>
    <col min="16" max="16" width="16.33203125" style="668" customWidth="1"/>
    <col min="17" max="17" width="11.109375" style="668" customWidth="1"/>
    <col min="18" max="18" width="9.6640625" style="668" customWidth="1"/>
    <col min="19" max="19" width="13.109375" style="668" customWidth="1"/>
    <col min="20" max="23" width="9.6640625" style="668" customWidth="1"/>
    <col min="24" max="27" width="9.109375" style="668"/>
    <col min="28" max="28" width="11.6640625" style="668" bestFit="1" customWidth="1"/>
    <col min="29" max="29" width="9.109375" style="668"/>
    <col min="30" max="31" width="16.6640625" style="668" customWidth="1"/>
    <col min="32" max="16384" width="9.109375" style="668"/>
  </cols>
  <sheetData>
    <row r="1" spans="1:21" x14ac:dyDescent="0.35">
      <c r="A1" s="698"/>
      <c r="C1" s="697"/>
      <c r="D1" s="697"/>
      <c r="E1" s="678"/>
      <c r="F1" s="696"/>
      <c r="G1" s="696"/>
      <c r="H1" s="696"/>
      <c r="Q1"/>
      <c r="R1"/>
      <c r="S1"/>
      <c r="T1"/>
      <c r="U1"/>
    </row>
    <row r="2" spans="1:21" x14ac:dyDescent="0.35">
      <c r="A2" s="679" t="s">
        <v>886</v>
      </c>
      <c r="E2" s="2044" t="s">
        <v>752</v>
      </c>
      <c r="F2" s="655" t="s">
        <v>1977</v>
      </c>
      <c r="G2" s="678"/>
      <c r="Q2"/>
      <c r="R2"/>
      <c r="S2"/>
      <c r="T2"/>
      <c r="U2"/>
    </row>
    <row r="3" spans="1:21" x14ac:dyDescent="0.35">
      <c r="E3" s="2044" t="s">
        <v>753</v>
      </c>
      <c r="F3" s="654" t="s">
        <v>1978</v>
      </c>
      <c r="Q3"/>
      <c r="R3"/>
      <c r="S3"/>
      <c r="T3"/>
      <c r="U3"/>
    </row>
    <row r="4" spans="1:21" x14ac:dyDescent="0.35">
      <c r="E4" s="2044"/>
      <c r="F4" s="654"/>
      <c r="Q4"/>
      <c r="R4"/>
      <c r="S4"/>
      <c r="T4"/>
      <c r="U4"/>
    </row>
    <row r="5" spans="1:21" x14ac:dyDescent="0.35">
      <c r="C5" s="693" t="s">
        <v>110</v>
      </c>
      <c r="D5" s="693"/>
      <c r="E5" s="692"/>
      <c r="F5" s="684"/>
      <c r="G5" s="684"/>
      <c r="H5" s="684"/>
      <c r="Q5"/>
      <c r="R5"/>
      <c r="S5"/>
      <c r="T5"/>
      <c r="U5"/>
    </row>
    <row r="6" spans="1:21" x14ac:dyDescent="0.35">
      <c r="C6" s="691" t="s">
        <v>897</v>
      </c>
      <c r="D6" s="690"/>
      <c r="E6" s="663">
        <f>Unit_Sum!$E$77</f>
        <v>82654</v>
      </c>
      <c r="F6" s="690" t="s">
        <v>936</v>
      </c>
      <c r="G6" s="690"/>
      <c r="H6" s="689"/>
      <c r="I6" s="677"/>
      <c r="Q6"/>
      <c r="R6"/>
      <c r="S6"/>
      <c r="T6"/>
      <c r="U6"/>
    </row>
    <row r="7" spans="1:21" x14ac:dyDescent="0.35">
      <c r="C7" s="687" t="s">
        <v>898</v>
      </c>
      <c r="D7" s="677"/>
      <c r="E7" s="663">
        <f ca="1">Unit_Sum!$E$78</f>
        <v>83040.097299999965</v>
      </c>
      <c r="F7" s="677" t="s">
        <v>613</v>
      </c>
      <c r="G7" s="677"/>
      <c r="H7" s="688"/>
      <c r="I7" s="677"/>
      <c r="Q7"/>
      <c r="R7"/>
      <c r="S7"/>
      <c r="T7"/>
      <c r="U7"/>
    </row>
    <row r="8" spans="1:21" x14ac:dyDescent="0.35">
      <c r="C8" s="687" t="s">
        <v>615</v>
      </c>
      <c r="D8" s="677"/>
      <c r="E8" s="663">
        <f>Unit_Sum!D77</f>
        <v>92</v>
      </c>
      <c r="F8" s="677"/>
      <c r="G8" s="677"/>
      <c r="H8" s="688"/>
      <c r="I8" s="677"/>
      <c r="J8" s="1602" t="s">
        <v>2175</v>
      </c>
      <c r="K8" s="2318"/>
      <c r="L8" s="2319"/>
      <c r="Q8"/>
      <c r="R8"/>
      <c r="S8"/>
      <c r="T8"/>
      <c r="U8"/>
    </row>
    <row r="9" spans="1:21" x14ac:dyDescent="0.35">
      <c r="C9" s="687" t="s">
        <v>900</v>
      </c>
      <c r="D9" s="706"/>
      <c r="E9" s="663">
        <f>Unit_Sum!G77</f>
        <v>182</v>
      </c>
      <c r="F9" s="677"/>
      <c r="G9" s="677"/>
      <c r="H9" s="688"/>
      <c r="I9" s="677"/>
      <c r="J9" s="2295"/>
      <c r="K9" s="2296" t="s">
        <v>47</v>
      </c>
      <c r="L9" s="2297" t="s">
        <v>81</v>
      </c>
      <c r="Q9"/>
      <c r="R9"/>
      <c r="S9"/>
      <c r="T9"/>
      <c r="U9"/>
    </row>
    <row r="10" spans="1:21" x14ac:dyDescent="0.35">
      <c r="C10" s="687" t="s">
        <v>901</v>
      </c>
      <c r="D10" s="677"/>
      <c r="E10" s="663">
        <f ca="1">Unit_Sum!M77</f>
        <v>182</v>
      </c>
      <c r="H10" s="686"/>
      <c r="J10" s="2298" t="s">
        <v>2233</v>
      </c>
      <c r="K10" s="2299" t="s">
        <v>1920</v>
      </c>
      <c r="L10" s="2300" t="s">
        <v>1920</v>
      </c>
      <c r="M10" s="668" t="s">
        <v>2236</v>
      </c>
      <c r="Q10"/>
      <c r="R10"/>
      <c r="S10"/>
      <c r="T10"/>
      <c r="U10"/>
    </row>
    <row r="11" spans="1:21" x14ac:dyDescent="0.35">
      <c r="C11" s="707" t="s">
        <v>945</v>
      </c>
      <c r="D11" s="684"/>
      <c r="E11" s="663">
        <f>Unit_Sum!H77</f>
        <v>92</v>
      </c>
      <c r="F11" s="670"/>
      <c r="G11" s="670"/>
      <c r="H11" s="685"/>
      <c r="J11" s="2298" t="s">
        <v>2235</v>
      </c>
      <c r="K11" s="2306">
        <v>59842</v>
      </c>
      <c r="L11" s="2307">
        <v>59842</v>
      </c>
      <c r="M11" s="668" t="s">
        <v>2236</v>
      </c>
      <c r="Q11"/>
      <c r="R11"/>
      <c r="S11"/>
      <c r="T11"/>
      <c r="U11"/>
    </row>
    <row r="12" spans="1:21" x14ac:dyDescent="0.35">
      <c r="C12" s="677"/>
      <c r="D12" s="677"/>
      <c r="J12" s="2298" t="s">
        <v>2173</v>
      </c>
      <c r="K12" s="2301">
        <f>L12</f>
        <v>2</v>
      </c>
      <c r="L12" s="2302">
        <v>2</v>
      </c>
      <c r="Q12"/>
      <c r="R12"/>
      <c r="S12"/>
      <c r="T12"/>
      <c r="U12"/>
    </row>
    <row r="13" spans="1:21" x14ac:dyDescent="0.35">
      <c r="C13" s="1602" t="s">
        <v>1430</v>
      </c>
      <c r="D13" s="1603"/>
      <c r="E13" s="1603"/>
      <c r="F13" s="1603"/>
      <c r="G13" s="1604"/>
      <c r="J13" s="2298" t="s">
        <v>1432</v>
      </c>
      <c r="K13" s="2322" cm="1">
        <f t="array" ref="K13">_xlfn.IFS(CompType=S901G_2010_LEED,4.55,CompType=S901G_2019,K11/K12/1000)</f>
        <v>29.920999999999999</v>
      </c>
      <c r="L13" s="2322" cm="1">
        <f t="array" ref="L13">_xlfn.IFS(CompType=S901G_2010_LEED,4.55,CompType=S901G_2019,L11/L12/1000)</f>
        <v>29.920999999999999</v>
      </c>
      <c r="Q13"/>
      <c r="R13"/>
      <c r="S13"/>
      <c r="T13"/>
      <c r="U13"/>
    </row>
    <row r="14" spans="1:21" x14ac:dyDescent="0.35">
      <c r="C14" s="687"/>
      <c r="D14" s="677"/>
      <c r="E14" s="1605" t="s">
        <v>47</v>
      </c>
      <c r="F14" s="1605" t="s">
        <v>81</v>
      </c>
      <c r="G14" s="686"/>
      <c r="J14" s="2298" t="s">
        <v>2177</v>
      </c>
      <c r="K14" s="2301">
        <f>L14</f>
        <v>0.9</v>
      </c>
      <c r="L14" s="2303">
        <v>0.9</v>
      </c>
      <c r="Q14"/>
      <c r="R14"/>
      <c r="S14"/>
    </row>
    <row r="15" spans="1:21" x14ac:dyDescent="0.35">
      <c r="C15" s="2400" t="s">
        <v>343</v>
      </c>
      <c r="D15" s="1606" t="s">
        <v>1431</v>
      </c>
      <c r="E15" s="1607">
        <f ca="1">Spaces_Sum!$W$48</f>
        <v>414324.92841031082</v>
      </c>
      <c r="F15" s="1608">
        <f ca="1">Spaces_Sum!$U$48</f>
        <v>414324.92841031082</v>
      </c>
      <c r="G15" s="1609" t="s">
        <v>42</v>
      </c>
      <c r="H15" s="2282"/>
      <c r="J15" s="2298" t="s">
        <v>1445</v>
      </c>
      <c r="K15" s="2304">
        <f>L15</f>
        <v>1</v>
      </c>
      <c r="L15" s="2305" cm="1">
        <f t="array" ref="L15">_xlfn.IFS(CompType=S901G_2010_LEED,L13*1000/(10000/1000*8760),CompType=S901G_2019,1)</f>
        <v>1</v>
      </c>
      <c r="Q15"/>
      <c r="R15"/>
      <c r="S15"/>
    </row>
    <row r="16" spans="1:21" x14ac:dyDescent="0.35">
      <c r="C16" s="2401"/>
      <c r="D16" s="1610" t="s">
        <v>1433</v>
      </c>
      <c r="E16" s="1611">
        <f ca="1">'MFAM ExhFan-Inf NEW!'!$K$56/1000*'MFAM ExhFan-Inf NEW!'!$K$54*8760</f>
        <v>7792.9394350000011</v>
      </c>
      <c r="F16" s="1611">
        <f ca="1">'MFAM ExhFan-Inf NEW!'!$O$56/1000*'MFAM ExhFan-Inf NEW!'!K54*8760</f>
        <v>7588.8828999999996</v>
      </c>
      <c r="G16" s="686" t="s">
        <v>42</v>
      </c>
      <c r="H16" s="2281"/>
      <c r="J16" s="2298" t="s">
        <v>2237</v>
      </c>
      <c r="K16" s="2323" cm="1">
        <f t="array" ref="K16">_xlfn.IFS(CompType=S901G_2010_LEED,10000,CompType=S901G_2019,K13/(K15*8760)*10^6)</f>
        <v>3415.6392694063925</v>
      </c>
      <c r="L16" s="2308" cm="1">
        <f t="array" ref="L16">_xlfn.IFS(CompType=S901G_2010_LEED,10000,CompType=S901G_2019,L13/(L15*8760)*10^6)</f>
        <v>3415.6392694063925</v>
      </c>
      <c r="Q16"/>
      <c r="R16"/>
      <c r="S16"/>
    </row>
    <row r="17" spans="2:23" x14ac:dyDescent="0.35">
      <c r="C17" s="2401"/>
      <c r="D17" s="1610" t="s">
        <v>1973</v>
      </c>
      <c r="E17" s="1611">
        <f ca="1">'REF_Misc Loads'!$C$26+'REF_Misc Loads'!$C$43</f>
        <v>0</v>
      </c>
      <c r="F17" s="1611">
        <f ca="1">'REF_Misc Loads'!$C$26+'REF_Misc Loads'!$C$43</f>
        <v>0</v>
      </c>
      <c r="G17" s="686" t="s">
        <v>42</v>
      </c>
      <c r="H17" s="1612"/>
      <c r="J17" s="2298" t="s">
        <v>2234</v>
      </c>
      <c r="K17" s="2309" cm="1">
        <f t="array" ref="K17">_xlfn.IFS(CompType=S901G_2010_LEED,K13*K12*1000,CompType=S901G_2019,'Unit Loads-Simple'!K11)</f>
        <v>59842</v>
      </c>
      <c r="L17" s="2320" cm="1">
        <f t="array" ref="L17">_xlfn.IFS(CompType=S901G_2010_LEED,L13*L12*1000,CompType=S901G_2019,'Unit Loads-Simple'!L11)</f>
        <v>59842</v>
      </c>
      <c r="Q17"/>
      <c r="R17"/>
      <c r="S17"/>
    </row>
    <row r="18" spans="2:23" ht="16.2" thickBot="1" x14ac:dyDescent="0.4">
      <c r="C18" s="2401"/>
      <c r="D18" s="1614" t="s">
        <v>1434</v>
      </c>
      <c r="E18" s="1615">
        <f>'Common Fans'!$X$27</f>
        <v>0</v>
      </c>
      <c r="F18" s="1615">
        <f>'Common Fans'!$X$27</f>
        <v>0</v>
      </c>
      <c r="G18" s="1616" t="s">
        <v>42</v>
      </c>
      <c r="H18" s="1612"/>
      <c r="J18" s="2298" t="s">
        <v>2176</v>
      </c>
      <c r="K18" s="2307">
        <v>59848.37</v>
      </c>
      <c r="L18" s="2307">
        <v>59848.37</v>
      </c>
      <c r="M18" s="1629"/>
      <c r="Q18"/>
      <c r="R18"/>
      <c r="S18"/>
    </row>
    <row r="19" spans="2:23" ht="16.8" thickTop="1" thickBot="1" x14ac:dyDescent="0.4">
      <c r="C19" s="2402"/>
      <c r="D19" s="1617" t="s">
        <v>1435</v>
      </c>
      <c r="E19" s="1618">
        <f ca="1">SUM(E15:E18)</f>
        <v>422117.86784531083</v>
      </c>
      <c r="F19" s="1618">
        <f ca="1">SUM(F15:F18)</f>
        <v>421913.81131031085</v>
      </c>
      <c r="G19" s="685"/>
      <c r="J19" s="2298" t="s">
        <v>341</v>
      </c>
      <c r="K19" s="2321">
        <f>(K18-K17)/K17</f>
        <v>1.0644697703958122E-4</v>
      </c>
      <c r="L19" s="2310">
        <f>(L18-L17)/L17</f>
        <v>1.0644697703958122E-4</v>
      </c>
      <c r="Q19"/>
      <c r="R19"/>
      <c r="S19"/>
    </row>
    <row r="20" spans="2:23" ht="16.2" thickTop="1" x14ac:dyDescent="0.35">
      <c r="C20" s="2400" t="s">
        <v>1436</v>
      </c>
      <c r="D20" s="1610" t="s">
        <v>1437</v>
      </c>
      <c r="E20" s="1619">
        <v>413677.18</v>
      </c>
      <c r="F20" s="1619">
        <v>413805.54</v>
      </c>
      <c r="G20" s="686"/>
      <c r="J20" s="2298" t="s">
        <v>2174</v>
      </c>
      <c r="K20" s="668" t="s">
        <v>2427</v>
      </c>
      <c r="L20" s="2303"/>
      <c r="Q20"/>
      <c r="R20"/>
      <c r="S20"/>
    </row>
    <row r="21" spans="2:23" x14ac:dyDescent="0.35">
      <c r="C21" s="2402"/>
      <c r="D21" s="1617" t="s">
        <v>341</v>
      </c>
      <c r="E21" s="1620">
        <f ca="1">1-E20/E19</f>
        <v>1.9996044916070765E-2</v>
      </c>
      <c r="F21" s="1620">
        <f ca="1">1-F20/F19</f>
        <v>1.9217838081975858E-2</v>
      </c>
      <c r="G21" s="685"/>
      <c r="J21" s="2311"/>
      <c r="K21" s="670" t="s">
        <v>2432</v>
      </c>
      <c r="L21" s="2312"/>
      <c r="Q21"/>
      <c r="R21"/>
      <c r="S21"/>
    </row>
    <row r="22" spans="2:23" ht="14.25" customHeight="1" x14ac:dyDescent="0.35">
      <c r="C22" s="677"/>
      <c r="D22" s="750"/>
      <c r="E22" s="674"/>
      <c r="F22" s="674"/>
      <c r="G22" s="674"/>
      <c r="H22" s="674"/>
      <c r="M22" s="714"/>
      <c r="N22" s="714"/>
      <c r="O22" s="714"/>
    </row>
    <row r="23" spans="2:23" ht="14.25" customHeight="1" x14ac:dyDescent="0.35">
      <c r="B23" s="670"/>
      <c r="C23" s="684"/>
      <c r="D23" s="2397" t="s">
        <v>938</v>
      </c>
      <c r="E23" s="2398"/>
      <c r="F23" s="2398"/>
      <c r="G23" s="2398"/>
      <c r="H23" s="2399"/>
      <c r="I23" s="2396" t="s">
        <v>935</v>
      </c>
      <c r="J23" s="2391"/>
      <c r="K23" s="2392"/>
      <c r="L23" s="2391" t="s">
        <v>902</v>
      </c>
      <c r="M23" s="2391"/>
      <c r="N23" s="2392"/>
    </row>
    <row r="24" spans="2:23" s="674" customFormat="1" ht="31.8" thickBot="1" x14ac:dyDescent="0.35">
      <c r="B24" s="788" t="s">
        <v>937</v>
      </c>
      <c r="C24" s="787"/>
      <c r="D24" s="747" t="s">
        <v>939</v>
      </c>
      <c r="E24" s="748" t="s">
        <v>887</v>
      </c>
      <c r="F24" s="748" t="s">
        <v>928</v>
      </c>
      <c r="G24" s="748" t="s">
        <v>929</v>
      </c>
      <c r="H24" s="749" t="s">
        <v>961</v>
      </c>
      <c r="I24" s="718" t="s">
        <v>930</v>
      </c>
      <c r="J24" s="721" t="s">
        <v>931</v>
      </c>
      <c r="K24" s="723" t="s">
        <v>932</v>
      </c>
      <c r="L24" s="718" t="s">
        <v>930</v>
      </c>
      <c r="M24" s="721" t="s">
        <v>931</v>
      </c>
      <c r="N24" s="723" t="s">
        <v>932</v>
      </c>
    </row>
    <row r="25" spans="2:23" ht="16.2" thickTop="1" x14ac:dyDescent="0.35">
      <c r="B25" s="710" t="s">
        <v>883</v>
      </c>
      <c r="C25" s="711"/>
      <c r="D25" s="710"/>
      <c r="E25" s="712"/>
      <c r="F25" s="712"/>
      <c r="G25" s="712"/>
      <c r="H25" s="710"/>
      <c r="I25" s="710"/>
      <c r="J25" s="711"/>
      <c r="K25" s="724"/>
      <c r="L25" s="710"/>
      <c r="M25" s="711"/>
      <c r="N25" s="724"/>
      <c r="P25" s="679" t="s">
        <v>2178</v>
      </c>
      <c r="W25" s="699"/>
    </row>
    <row r="26" spans="2:23" x14ac:dyDescent="0.35">
      <c r="B26" s="729"/>
      <c r="C26" s="730" t="s">
        <v>903</v>
      </c>
      <c r="D26" s="731" t="s">
        <v>905</v>
      </c>
      <c r="E26" s="732">
        <v>423</v>
      </c>
      <c r="F26" s="1518">
        <v>1</v>
      </c>
      <c r="G26" s="1518">
        <v>0</v>
      </c>
      <c r="H26" s="2313" cm="1">
        <f t="array" ref="H26">_xlfn.IFS(CompType=S901G_2010_LEED,3285,CompType=S901G_2019,2117)</f>
        <v>2117</v>
      </c>
      <c r="I26" s="733">
        <v>0</v>
      </c>
      <c r="J26" s="2283">
        <f t="shared" ref="J26:J41" si="0">I26*$E26</f>
        <v>0</v>
      </c>
      <c r="K26" s="735">
        <f t="shared" ref="K26:K41" ca="1" si="1">IFERROR(J26/$H26/$E$7*1000,0)</f>
        <v>0</v>
      </c>
      <c r="L26" s="733">
        <v>0</v>
      </c>
      <c r="M26" s="2283">
        <f t="shared" ref="M26:M41" si="2">L26*$E26</f>
        <v>0</v>
      </c>
      <c r="N26" s="735">
        <f t="shared" ref="N26:N41" ca="1" si="3">IFERROR(M26/$H26/$E$7*1000,0)</f>
        <v>0</v>
      </c>
      <c r="P26" s="2243"/>
      <c r="Q26" s="2243" t="s">
        <v>97</v>
      </c>
      <c r="R26" s="2243" t="s">
        <v>47</v>
      </c>
      <c r="S26" s="2243" t="s">
        <v>81</v>
      </c>
      <c r="T26" s="2243" t="s">
        <v>109</v>
      </c>
      <c r="W26" s="699"/>
    </row>
    <row r="27" spans="2:23" x14ac:dyDescent="0.35">
      <c r="B27" s="671"/>
      <c r="C27" s="736" t="s">
        <v>904</v>
      </c>
      <c r="D27" s="737" t="s">
        <v>906</v>
      </c>
      <c r="E27" s="680">
        <v>529</v>
      </c>
      <c r="F27" s="1519">
        <v>1</v>
      </c>
      <c r="G27" s="1519">
        <v>0</v>
      </c>
      <c r="H27" s="2314" cm="1">
        <f t="array" ref="H27">_xlfn.IFS(CompType=S901G_2010_LEED,3285,CompType=S901G_2019,2117)</f>
        <v>2117</v>
      </c>
      <c r="I27" s="716">
        <f>$E$8</f>
        <v>92</v>
      </c>
      <c r="J27" s="2284">
        <f t="shared" si="0"/>
        <v>48668</v>
      </c>
      <c r="K27" s="739">
        <f t="shared" ca="1" si="1"/>
        <v>0.27684379374157725</v>
      </c>
      <c r="L27" s="716">
        <f>I27</f>
        <v>92</v>
      </c>
      <c r="M27" s="2284">
        <f t="shared" si="2"/>
        <v>48668</v>
      </c>
      <c r="N27" s="739">
        <f t="shared" ca="1" si="3"/>
        <v>0.27684379374157725</v>
      </c>
      <c r="P27" s="740" t="s">
        <v>2179</v>
      </c>
      <c r="Q27" s="780"/>
      <c r="R27" s="780"/>
      <c r="S27" s="780"/>
      <c r="T27" s="2244"/>
      <c r="W27" s="699"/>
    </row>
    <row r="28" spans="2:23" x14ac:dyDescent="0.35">
      <c r="B28" s="729"/>
      <c r="C28" s="730" t="s">
        <v>907</v>
      </c>
      <c r="D28" s="731" t="s">
        <v>909</v>
      </c>
      <c r="E28" s="732">
        <v>164</v>
      </c>
      <c r="F28" s="1518">
        <v>0.6</v>
      </c>
      <c r="G28" s="1518">
        <v>0.15</v>
      </c>
      <c r="H28" s="2313" cm="1">
        <f t="array" ref="H28">_xlfn.IFS(CompType=S901G_2010_LEED,3285,CompType=S901G_2019,2117)</f>
        <v>2117</v>
      </c>
      <c r="I28" s="733">
        <v>0</v>
      </c>
      <c r="J28" s="2283">
        <f t="shared" si="0"/>
        <v>0</v>
      </c>
      <c r="K28" s="735">
        <f t="shared" ca="1" si="1"/>
        <v>0</v>
      </c>
      <c r="L28" s="733">
        <v>0</v>
      </c>
      <c r="M28" s="2283">
        <f t="shared" si="2"/>
        <v>0</v>
      </c>
      <c r="N28" s="735">
        <f t="shared" ca="1" si="3"/>
        <v>0</v>
      </c>
      <c r="P28" s="2245" t="s">
        <v>129</v>
      </c>
      <c r="Q28" s="2246">
        <f>SUM(L26:L27)</f>
        <v>92</v>
      </c>
      <c r="R28" s="2245"/>
      <c r="S28" s="2245"/>
      <c r="T28" s="2246">
        <f>SUM(J26:J27)-SUM(M26:M27)</f>
        <v>0</v>
      </c>
      <c r="W28" s="699"/>
    </row>
    <row r="29" spans="2:23" x14ac:dyDescent="0.35">
      <c r="B29" s="671"/>
      <c r="C29" s="736" t="s">
        <v>908</v>
      </c>
      <c r="D29" s="737" t="s">
        <v>910</v>
      </c>
      <c r="E29" s="680">
        <v>206</v>
      </c>
      <c r="F29" s="1519">
        <v>0.6</v>
      </c>
      <c r="G29" s="1519">
        <v>0.15</v>
      </c>
      <c r="H29" s="2314" cm="1">
        <f t="array" ref="H29">_xlfn.IFS(CompType=S901G_2010_LEED,3285,CompType=S901G_2019,2117)</f>
        <v>2117</v>
      </c>
      <c r="I29" s="716">
        <f>$E$8</f>
        <v>92</v>
      </c>
      <c r="J29" s="2284">
        <f t="shared" si="0"/>
        <v>18952</v>
      </c>
      <c r="K29" s="739">
        <f t="shared" ca="1" si="1"/>
        <v>0.10780684595607735</v>
      </c>
      <c r="L29" s="716">
        <f>I29</f>
        <v>92</v>
      </c>
      <c r="M29" s="2284">
        <f t="shared" si="2"/>
        <v>18952</v>
      </c>
      <c r="N29" s="739">
        <f t="shared" ca="1" si="3"/>
        <v>0.10780684595607735</v>
      </c>
      <c r="P29" s="2245" t="s">
        <v>2180</v>
      </c>
      <c r="Q29" s="2246">
        <f>SUM(L28:L29)</f>
        <v>92</v>
      </c>
      <c r="R29" s="2245"/>
      <c r="S29" s="2245"/>
      <c r="T29" s="2246">
        <f>SUM(J28:J29)-SUM(M28:M29)</f>
        <v>0</v>
      </c>
      <c r="W29" s="699"/>
    </row>
    <row r="30" spans="2:23" x14ac:dyDescent="0.35">
      <c r="B30" s="729"/>
      <c r="C30" s="730" t="s">
        <v>911</v>
      </c>
      <c r="D30" s="731" t="s">
        <v>918</v>
      </c>
      <c r="E30" s="732">
        <v>57</v>
      </c>
      <c r="F30" s="1518">
        <v>0.8</v>
      </c>
      <c r="G30" s="1518">
        <v>0</v>
      </c>
      <c r="H30" s="2313" cm="1">
        <f t="array" ref="H30">_xlfn.IFS(CompType=S901G_2010_LEED,3285,CompType=S901G_2019,2117)</f>
        <v>2117</v>
      </c>
      <c r="I30" s="733">
        <v>0</v>
      </c>
      <c r="J30" s="2283">
        <f t="shared" si="0"/>
        <v>0</v>
      </c>
      <c r="K30" s="735">
        <f t="shared" ca="1" si="1"/>
        <v>0</v>
      </c>
      <c r="L30" s="715">
        <v>0</v>
      </c>
      <c r="M30" s="2283">
        <f t="shared" si="2"/>
        <v>0</v>
      </c>
      <c r="N30" s="735">
        <f t="shared" ca="1" si="3"/>
        <v>0</v>
      </c>
      <c r="P30" s="2245" t="s">
        <v>2181</v>
      </c>
      <c r="Q30" s="2246">
        <f>SUM(L30:L31)</f>
        <v>21</v>
      </c>
      <c r="R30" s="2245"/>
      <c r="S30" s="2245"/>
      <c r="T30" s="2246">
        <f>SUM(J30:J31)-SUM(M30:M31)</f>
        <v>0</v>
      </c>
      <c r="W30" s="699"/>
    </row>
    <row r="31" spans="2:23" x14ac:dyDescent="0.35">
      <c r="B31" s="671"/>
      <c r="C31" s="736" t="s">
        <v>912</v>
      </c>
      <c r="D31" s="737" t="s">
        <v>919</v>
      </c>
      <c r="E31" s="680">
        <v>81</v>
      </c>
      <c r="F31" s="1519">
        <v>0.8</v>
      </c>
      <c r="G31" s="1519">
        <v>0</v>
      </c>
      <c r="H31" s="2314" cm="1">
        <f t="array" ref="H31">_xlfn.IFS(CompType=S901G_2010_LEED,3285,CompType=S901G_2019,2117)</f>
        <v>2117</v>
      </c>
      <c r="I31" s="716">
        <v>21</v>
      </c>
      <c r="J31" s="2284">
        <f t="shared" si="0"/>
        <v>1701</v>
      </c>
      <c r="K31" s="739">
        <f t="shared" ca="1" si="1"/>
        <v>9.6759943526428666E-3</v>
      </c>
      <c r="L31" s="716">
        <f>I31</f>
        <v>21</v>
      </c>
      <c r="M31" s="2284">
        <f t="shared" si="2"/>
        <v>1701</v>
      </c>
      <c r="N31" s="739">
        <f t="shared" ca="1" si="3"/>
        <v>9.6759943526428666E-3</v>
      </c>
      <c r="P31" s="2245" t="s">
        <v>2182</v>
      </c>
      <c r="Q31" s="2246">
        <f>L34</f>
        <v>21</v>
      </c>
      <c r="R31" s="2245"/>
      <c r="S31" s="2245"/>
      <c r="T31" s="2246">
        <v>0</v>
      </c>
      <c r="W31" s="699"/>
    </row>
    <row r="32" spans="2:23" x14ac:dyDescent="0.35">
      <c r="B32" s="729"/>
      <c r="C32" s="730" t="s">
        <v>913</v>
      </c>
      <c r="D32" s="731" t="s">
        <v>920</v>
      </c>
      <c r="E32" s="732">
        <v>138</v>
      </c>
      <c r="F32" s="1518">
        <v>0.8</v>
      </c>
      <c r="G32" s="1518">
        <v>0</v>
      </c>
      <c r="H32" s="2313" cm="1">
        <f t="array" ref="H32">_xlfn.IFS(CompType=S901G_2010_LEED,3285,CompType=S901G_2019,2117)</f>
        <v>2117</v>
      </c>
      <c r="I32" s="733">
        <v>0</v>
      </c>
      <c r="J32" s="2283">
        <f t="shared" si="0"/>
        <v>0</v>
      </c>
      <c r="K32" s="735">
        <f t="shared" ca="1" si="1"/>
        <v>0</v>
      </c>
      <c r="L32" s="733">
        <v>0</v>
      </c>
      <c r="M32" s="2283">
        <f t="shared" si="2"/>
        <v>0</v>
      </c>
      <c r="N32" s="735">
        <f t="shared" ca="1" si="3"/>
        <v>0</v>
      </c>
      <c r="P32" s="2245" t="s">
        <v>2183</v>
      </c>
      <c r="Q32" s="2246">
        <f>L40</f>
        <v>92</v>
      </c>
      <c r="R32" s="2245"/>
      <c r="S32" s="2245"/>
      <c r="T32" s="2246">
        <v>0</v>
      </c>
      <c r="W32" s="699"/>
    </row>
    <row r="33" spans="2:27" x14ac:dyDescent="0.35">
      <c r="B33" s="671"/>
      <c r="C33" s="736" t="s">
        <v>914</v>
      </c>
      <c r="D33" s="737" t="s">
        <v>921</v>
      </c>
      <c r="E33" s="680">
        <v>196</v>
      </c>
      <c r="F33" s="1519">
        <v>0.8</v>
      </c>
      <c r="G33" s="1519">
        <v>0</v>
      </c>
      <c r="H33" s="2314" cm="1">
        <f t="array" ref="H33">_xlfn.IFS(CompType=S901G_2010_LEED,3285,CompType=S901G_2019,2117)</f>
        <v>2117</v>
      </c>
      <c r="I33" s="716">
        <v>0</v>
      </c>
      <c r="J33" s="2284">
        <f t="shared" si="0"/>
        <v>0</v>
      </c>
      <c r="K33" s="739">
        <f t="shared" ca="1" si="1"/>
        <v>0</v>
      </c>
      <c r="L33" s="716">
        <v>0</v>
      </c>
      <c r="M33" s="2284">
        <f t="shared" si="2"/>
        <v>0</v>
      </c>
      <c r="N33" s="739">
        <f t="shared" ca="1" si="3"/>
        <v>0</v>
      </c>
      <c r="P33" s="2245" t="s">
        <v>2184</v>
      </c>
      <c r="Q33" s="2247" t="str">
        <f>TEXT(E6,"#,##0")&amp;" ft2"</f>
        <v>82,654 ft2</v>
      </c>
      <c r="R33" s="2245"/>
      <c r="S33" s="2245"/>
      <c r="T33" s="2246">
        <v>0</v>
      </c>
      <c r="W33" s="699"/>
    </row>
    <row r="34" spans="2:27" x14ac:dyDescent="0.35">
      <c r="B34" s="740"/>
      <c r="C34" s="741" t="s">
        <v>915</v>
      </c>
      <c r="D34" s="742" t="s">
        <v>922</v>
      </c>
      <c r="E34" s="743">
        <f>418+139*E9/E8</f>
        <v>692.97826086956525</v>
      </c>
      <c r="F34" s="1520">
        <v>0.15</v>
      </c>
      <c r="G34" s="1520">
        <v>0.05</v>
      </c>
      <c r="H34" s="2315" cm="1">
        <f t="array" ref="H34">_xlfn.IFS(CompType=S901G_2010_LEED,3285,CompType=S901G_2019,2117)</f>
        <v>2117</v>
      </c>
      <c r="I34" s="716">
        <v>21</v>
      </c>
      <c r="J34" s="2285">
        <f t="shared" si="0"/>
        <v>14552.54347826087</v>
      </c>
      <c r="K34" s="746">
        <f t="shared" ca="1" si="1"/>
        <v>8.278091035405169E-2</v>
      </c>
      <c r="L34" s="716">
        <v>21</v>
      </c>
      <c r="M34" s="2285">
        <f t="shared" si="2"/>
        <v>14552.54347826087</v>
      </c>
      <c r="N34" s="746">
        <f t="shared" ca="1" si="3"/>
        <v>8.278091035405169E-2</v>
      </c>
      <c r="P34" s="2245" t="s">
        <v>2185</v>
      </c>
      <c r="Q34" s="2242" t="str">
        <f ca="1">TEXT('MFAM ExhFan-Inf NEW!'!J12,"#,##0")&amp;" cfm"</f>
        <v>5,215 cfm</v>
      </c>
      <c r="R34" s="2245"/>
      <c r="S34" s="2245"/>
      <c r="T34" s="2246">
        <f ca="1">'MFAM ExhFan-Inf NEW!'!M12-'MFAM ExhFan-Inf NEW!'!N12</f>
        <v>204.0565349999988</v>
      </c>
      <c r="W34" s="699"/>
    </row>
    <row r="35" spans="2:27" x14ac:dyDescent="0.35">
      <c r="B35" s="729"/>
      <c r="C35" s="730" t="s">
        <v>924</v>
      </c>
      <c r="D35" s="731" t="s">
        <v>1029</v>
      </c>
      <c r="E35" s="732">
        <f>38+12.7*E9/E8</f>
        <v>63.123913043478261</v>
      </c>
      <c r="F35" s="1518">
        <v>1</v>
      </c>
      <c r="G35" s="1518">
        <v>0</v>
      </c>
      <c r="H35" s="2313" cm="1">
        <f t="array" ref="H35">_xlfn.IFS(CompType=S901G_2010_LEED,3285,CompType=S901G_2019,2117)</f>
        <v>2117</v>
      </c>
      <c r="I35" s="733">
        <v>0</v>
      </c>
      <c r="J35" s="2283">
        <f t="shared" si="0"/>
        <v>0</v>
      </c>
      <c r="K35" s="735">
        <f t="shared" ca="1" si="1"/>
        <v>0</v>
      </c>
      <c r="L35" s="733">
        <v>0</v>
      </c>
      <c r="M35" s="2283">
        <f t="shared" si="2"/>
        <v>0</v>
      </c>
      <c r="N35" s="735">
        <f t="shared" ca="1" si="3"/>
        <v>0</v>
      </c>
      <c r="P35" s="2245" t="s">
        <v>2186</v>
      </c>
      <c r="Q35" s="2242" t="str">
        <f ca="1">TEXT('MFAM ExhFan-Inf NEW!'!J13,"#,##0")&amp;" cfm"</f>
        <v>14,720 cfm</v>
      </c>
      <c r="R35" s="2245"/>
      <c r="S35" s="2245"/>
      <c r="T35" s="2246">
        <f ca="1">'MFAM ExhFan-Inf NEW!'!M13-'MFAM ExhFan-Inf NEW!'!N13</f>
        <v>0</v>
      </c>
      <c r="W35" s="699"/>
    </row>
    <row r="36" spans="2:27" x14ac:dyDescent="0.35">
      <c r="B36" s="671"/>
      <c r="C36" s="736" t="s">
        <v>923</v>
      </c>
      <c r="D36" s="737" t="s">
        <v>1030</v>
      </c>
      <c r="E36" s="680">
        <f>26.5+8.8*E9/E8</f>
        <v>43.908695652173918</v>
      </c>
      <c r="F36" s="1519">
        <v>0.15</v>
      </c>
      <c r="G36" s="1519">
        <v>0.05</v>
      </c>
      <c r="H36" s="2314" cm="1">
        <f t="array" ref="H36">_xlfn.IFS(CompType=S901G_2010_LEED,3285,CompType=S901G_2019,2117)</f>
        <v>2117</v>
      </c>
      <c r="I36" s="716">
        <v>0</v>
      </c>
      <c r="J36" s="2284">
        <f t="shared" si="0"/>
        <v>0</v>
      </c>
      <c r="K36" s="739">
        <f t="shared" ca="1" si="1"/>
        <v>0</v>
      </c>
      <c r="L36" s="716">
        <v>0</v>
      </c>
      <c r="M36" s="2284">
        <f t="shared" si="2"/>
        <v>0</v>
      </c>
      <c r="N36" s="739">
        <f t="shared" ca="1" si="3"/>
        <v>0</v>
      </c>
      <c r="P36" s="740" t="s">
        <v>2187</v>
      </c>
      <c r="Q36" s="780"/>
      <c r="R36" s="780"/>
      <c r="S36" s="780"/>
      <c r="T36" s="2248">
        <f ca="1">SUM(T28:T35)</f>
        <v>204.0565349999988</v>
      </c>
      <c r="W36" s="699"/>
    </row>
    <row r="37" spans="2:27" x14ac:dyDescent="0.35">
      <c r="B37" s="740"/>
      <c r="C37" s="741" t="s">
        <v>1025</v>
      </c>
      <c r="D37" s="742" t="s">
        <v>1026</v>
      </c>
      <c r="E37" s="743">
        <f>1013+337*$E$9/$E$8</f>
        <v>1679.6739130434783</v>
      </c>
      <c r="F37" s="1520">
        <v>0.15</v>
      </c>
      <c r="G37" s="1520">
        <v>0.05</v>
      </c>
      <c r="H37" s="2315" cm="1">
        <f t="array" ref="H37">_xlfn.IFS(CompType=S901G_2010_LEED,3285,CompType=S901G_2019,2117)</f>
        <v>2117</v>
      </c>
      <c r="I37" s="744"/>
      <c r="J37" s="2285">
        <f t="shared" si="0"/>
        <v>0</v>
      </c>
      <c r="K37" s="746">
        <f t="shared" ca="1" si="1"/>
        <v>0</v>
      </c>
      <c r="L37" s="744"/>
      <c r="M37" s="2285">
        <f t="shared" si="2"/>
        <v>0</v>
      </c>
      <c r="N37" s="746">
        <f t="shared" ca="1" si="3"/>
        <v>0</v>
      </c>
      <c r="P37" s="2249" t="s">
        <v>2188</v>
      </c>
      <c r="Q37" s="2250"/>
      <c r="R37" s="780"/>
      <c r="S37" s="780"/>
      <c r="T37" s="2251"/>
      <c r="W37" s="699"/>
    </row>
    <row r="38" spans="2:27" x14ac:dyDescent="0.35">
      <c r="B38" s="729"/>
      <c r="C38" s="730" t="s">
        <v>925</v>
      </c>
      <c r="D38" s="731" t="s">
        <v>1031</v>
      </c>
      <c r="E38" s="732">
        <f>92+30.8*E9/E8</f>
        <v>152.9304347826087</v>
      </c>
      <c r="F38" s="1518">
        <v>1</v>
      </c>
      <c r="G38" s="1518">
        <v>0</v>
      </c>
      <c r="H38" s="2313" cm="1">
        <f t="array" ref="H38">_xlfn.IFS(CompType=S901G_2010_LEED,3285,CompType=S901G_2019,2117)</f>
        <v>2117</v>
      </c>
      <c r="I38" s="733">
        <v>0</v>
      </c>
      <c r="J38" s="2283">
        <f t="shared" si="0"/>
        <v>0</v>
      </c>
      <c r="K38" s="735">
        <f t="shared" ca="1" si="1"/>
        <v>0</v>
      </c>
      <c r="L38" s="733">
        <v>0</v>
      </c>
      <c r="M38" s="2283">
        <f t="shared" si="2"/>
        <v>0</v>
      </c>
      <c r="N38" s="735">
        <f t="shared" ca="1" si="3"/>
        <v>0</v>
      </c>
      <c r="P38" s="2252" t="s">
        <v>2189</v>
      </c>
      <c r="W38" s="699"/>
    </row>
    <row r="39" spans="2:27" x14ac:dyDescent="0.35">
      <c r="B39" s="671"/>
      <c r="C39" s="736" t="s">
        <v>926</v>
      </c>
      <c r="D39" s="737" t="s">
        <v>1032</v>
      </c>
      <c r="E39" s="680">
        <f>61+21.3*E9/E8</f>
        <v>103.13695652173914</v>
      </c>
      <c r="F39" s="1519">
        <v>0.15</v>
      </c>
      <c r="G39" s="1519">
        <v>0.05</v>
      </c>
      <c r="H39" s="2314" cm="1">
        <f t="array" ref="H39">_xlfn.IFS(CompType=S901G_2010_LEED,3285,CompType=S901G_2019,2117)</f>
        <v>2117</v>
      </c>
      <c r="I39" s="716">
        <v>0</v>
      </c>
      <c r="J39" s="2284">
        <f t="shared" si="0"/>
        <v>0</v>
      </c>
      <c r="K39" s="739">
        <f t="shared" ca="1" si="1"/>
        <v>0</v>
      </c>
      <c r="L39" s="716">
        <v>0</v>
      </c>
      <c r="M39" s="2284">
        <f t="shared" si="2"/>
        <v>0</v>
      </c>
      <c r="N39" s="739">
        <f t="shared" ca="1" si="3"/>
        <v>0</v>
      </c>
      <c r="W39" s="699"/>
    </row>
    <row r="40" spans="2:27" x14ac:dyDescent="0.35">
      <c r="B40" s="729"/>
      <c r="C40" s="719" t="s">
        <v>916</v>
      </c>
      <c r="D40" s="729" t="s">
        <v>1465</v>
      </c>
      <c r="E40" s="732">
        <v>604</v>
      </c>
      <c r="F40" s="1518">
        <v>0.4</v>
      </c>
      <c r="G40" s="1518">
        <v>0.3</v>
      </c>
      <c r="H40" s="2313" cm="1">
        <f t="array" ref="H40">_xlfn.IFS(CompType=S901G_2010_LEED,3285,CompType=S901G_2019,2117)</f>
        <v>2117</v>
      </c>
      <c r="I40" s="733">
        <f>E8</f>
        <v>92</v>
      </c>
      <c r="J40" s="2283">
        <f t="shared" si="0"/>
        <v>55568</v>
      </c>
      <c r="K40" s="735">
        <f t="shared" ca="1" si="1"/>
        <v>0.31609385901684822</v>
      </c>
      <c r="L40" s="733">
        <f>E8</f>
        <v>92</v>
      </c>
      <c r="M40" s="2283">
        <f t="shared" si="2"/>
        <v>55568</v>
      </c>
      <c r="N40" s="735">
        <f t="shared" ca="1" si="3"/>
        <v>0.31609385901684822</v>
      </c>
      <c r="P40" s="846"/>
      <c r="Q40" s="846"/>
      <c r="W40" s="699"/>
    </row>
    <row r="41" spans="2:27" x14ac:dyDescent="0.35">
      <c r="B41" s="671"/>
      <c r="C41" s="670" t="s">
        <v>917</v>
      </c>
      <c r="D41" s="737"/>
      <c r="E41" s="680"/>
      <c r="F41" s="1519">
        <v>0.3</v>
      </c>
      <c r="G41" s="1519">
        <v>0.2</v>
      </c>
      <c r="H41" s="2314" cm="1">
        <f t="array" ref="H41">_xlfn.IFS(CompType=S901G_2010_LEED,3285,CompType=S901G_2019,2117)</f>
        <v>2117</v>
      </c>
      <c r="I41" s="716">
        <v>0</v>
      </c>
      <c r="J41" s="2284">
        <f t="shared" si="0"/>
        <v>0</v>
      </c>
      <c r="K41" s="739">
        <f t="shared" ca="1" si="1"/>
        <v>0</v>
      </c>
      <c r="L41" s="716">
        <v>0</v>
      </c>
      <c r="M41" s="2284">
        <f t="shared" si="2"/>
        <v>0</v>
      </c>
      <c r="N41" s="739">
        <f t="shared" ca="1" si="3"/>
        <v>0</v>
      </c>
      <c r="W41" s="699"/>
    </row>
    <row r="42" spans="2:27" x14ac:dyDescent="0.35">
      <c r="B42" s="710" t="s">
        <v>882</v>
      </c>
      <c r="C42" s="711"/>
      <c r="D42" s="710"/>
      <c r="E42" s="712"/>
      <c r="F42" s="1521"/>
      <c r="G42" s="1521"/>
      <c r="H42" s="2316"/>
      <c r="I42" s="710"/>
      <c r="J42" s="2286"/>
      <c r="K42" s="726"/>
      <c r="L42" s="710"/>
      <c r="M42" s="2286"/>
      <c r="N42" s="726"/>
      <c r="W42" s="699"/>
    </row>
    <row r="43" spans="2:27" x14ac:dyDescent="0.35">
      <c r="B43" s="676"/>
      <c r="C43" s="668" t="s">
        <v>2207</v>
      </c>
      <c r="D43" s="708" t="s">
        <v>927</v>
      </c>
      <c r="E43" s="682">
        <f>IF(CompType=S901G_2010_LEED,1.05*$E$6/$E$8,0)</f>
        <v>0</v>
      </c>
      <c r="F43" s="1522">
        <v>0.9</v>
      </c>
      <c r="G43" s="1522">
        <v>0.1</v>
      </c>
      <c r="H43" s="2317" cm="1">
        <f t="array" ref="H43">_xlfn.IFS(CompType=S901G_2010_LEED,3285,CompType=S901G_2019,2117)</f>
        <v>2117</v>
      </c>
      <c r="I43" s="715">
        <f>E8</f>
        <v>92</v>
      </c>
      <c r="J43" s="2287">
        <f>I43*$E43</f>
        <v>0</v>
      </c>
      <c r="K43" s="725">
        <f ca="1">IFERROR(J43/$H43/$E$7*1000,0)</f>
        <v>0</v>
      </c>
      <c r="L43" s="715">
        <f>E8</f>
        <v>92</v>
      </c>
      <c r="M43" s="2287">
        <f>L43*$E43</f>
        <v>0</v>
      </c>
      <c r="N43" s="725">
        <f ca="1">IFERROR(M43/$H43/$E$7*1000,0)</f>
        <v>0</v>
      </c>
      <c r="W43" s="699"/>
    </row>
    <row r="44" spans="2:27" x14ac:dyDescent="0.35">
      <c r="B44" s="676"/>
      <c r="C44" s="668" t="s">
        <v>2208</v>
      </c>
      <c r="D44" s="708" t="s">
        <v>2206</v>
      </c>
      <c r="E44" s="682">
        <f>IF(CompType=S901G_2019,0.5,0)</f>
        <v>0.5</v>
      </c>
      <c r="F44" s="1522">
        <v>0.9</v>
      </c>
      <c r="G44" s="1522">
        <v>0.1</v>
      </c>
      <c r="H44" s="2317" cm="1">
        <f t="array" ref="H44">_xlfn.IFS(CompType=S901G_2010_LEED,3285,CompType=S901G_2019,2117)</f>
        <v>2117</v>
      </c>
      <c r="I44" s="715">
        <v>0</v>
      </c>
      <c r="J44" s="2287">
        <f ca="1">$E$7*$E44*$H$44/1000</f>
        <v>87897.942992049968</v>
      </c>
      <c r="K44" s="725">
        <f ca="1">IFERROR(J44/$H44/$E$7*1000,0)</f>
        <v>0.5</v>
      </c>
      <c r="L44" s="715">
        <v>0</v>
      </c>
      <c r="M44" s="2287">
        <f ca="1">$E$7*$E44*$H$44/1000</f>
        <v>87897.942992049968</v>
      </c>
      <c r="N44" s="725">
        <f ca="1">IFERROR(M44/$H44/$E$7*1000,0)</f>
        <v>0.5</v>
      </c>
      <c r="W44" s="699"/>
    </row>
    <row r="45" spans="2:27" x14ac:dyDescent="0.35">
      <c r="B45" s="673" t="s">
        <v>884</v>
      </c>
      <c r="C45" s="672"/>
      <c r="D45" s="673"/>
      <c r="E45" s="681"/>
      <c r="F45" s="681"/>
      <c r="G45" s="681"/>
      <c r="H45" s="673"/>
      <c r="I45" s="673"/>
      <c r="J45" s="672"/>
      <c r="K45" s="727"/>
      <c r="L45" s="673"/>
      <c r="M45" s="672"/>
      <c r="N45" s="727"/>
    </row>
    <row r="46" spans="2:27" x14ac:dyDescent="0.35">
      <c r="B46" s="671"/>
      <c r="C46" s="670"/>
      <c r="D46" s="671"/>
      <c r="E46" s="680"/>
      <c r="F46" s="2403" t="s">
        <v>971</v>
      </c>
      <c r="G46" s="2404"/>
      <c r="H46" s="2404"/>
      <c r="I46" s="2404"/>
      <c r="J46" s="784">
        <f ca="1">SUM(J26:J44)</f>
        <v>227339.48647031083</v>
      </c>
      <c r="K46" s="720">
        <f ca="1">SUM(K26:K44)*$E$47</f>
        <v>1.2932014034211974</v>
      </c>
      <c r="L46" s="716"/>
      <c r="M46" s="784">
        <f ca="1">SUM(M26:M44)</f>
        <v>227339.48647031083</v>
      </c>
      <c r="N46" s="720">
        <f ca="1">SUM(N26:N44)*$E$47</f>
        <v>1.2932014034211974</v>
      </c>
      <c r="P46" s="846"/>
      <c r="R46" s="1747"/>
    </row>
    <row r="47" spans="2:27" ht="15" customHeight="1" x14ac:dyDescent="0.35">
      <c r="D47" s="1629" t="s">
        <v>1458</v>
      </c>
      <c r="E47" s="975">
        <v>1</v>
      </c>
      <c r="I47" s="2396" t="s">
        <v>933</v>
      </c>
      <c r="J47" s="2392"/>
      <c r="K47" s="638">
        <f>SUMPRODUCT($J$26:$J$43,$F$26:$F$43)/SUM($J$26:$J$43)</f>
        <v>0.61538390483405003</v>
      </c>
      <c r="L47" s="2390" t="s">
        <v>933</v>
      </c>
      <c r="M47" s="2390"/>
      <c r="N47" s="638">
        <f>SUMPRODUCT($M$26:$M$43,$F$26:$F$43)/SUM($M$26:$M$43)</f>
        <v>0.61538390483405003</v>
      </c>
      <c r="Y47" s="694"/>
      <c r="Z47" s="694"/>
      <c r="AA47" s="694"/>
    </row>
    <row r="48" spans="2:27" ht="15" customHeight="1" x14ac:dyDescent="0.35">
      <c r="E48" s="695"/>
      <c r="I48" s="2396" t="s">
        <v>934</v>
      </c>
      <c r="J48" s="2392"/>
      <c r="K48" s="638">
        <f>SUMPRODUCT($J$26:$J$43,$G$26:$G$43)/SUM($J$26:$J$43)</f>
        <v>0.14515636207848354</v>
      </c>
      <c r="L48" s="2390" t="s">
        <v>934</v>
      </c>
      <c r="M48" s="2390"/>
      <c r="N48" s="638">
        <f>SUMPRODUCT($M$26:$M$43,$G$26:$G$43)/SUM($M$26:$M$43)</f>
        <v>0.14515636207848354</v>
      </c>
      <c r="Y48" s="695"/>
      <c r="Z48" s="695"/>
      <c r="AA48" s="695"/>
    </row>
    <row r="49" spans="2:28" ht="15" customHeight="1" x14ac:dyDescent="0.35">
      <c r="E49" s="695"/>
      <c r="I49" s="2396" t="s">
        <v>1107</v>
      </c>
      <c r="J49" s="2392"/>
      <c r="K49" s="638">
        <f>1-K47-K48</f>
        <v>0.23945973308746643</v>
      </c>
      <c r="L49" s="2390" t="s">
        <v>1107</v>
      </c>
      <c r="M49" s="2390"/>
      <c r="N49" s="638">
        <f>1-N47-N48</f>
        <v>0.23945973308746643</v>
      </c>
      <c r="Y49" s="695"/>
      <c r="Z49" s="695"/>
      <c r="AA49" s="695"/>
    </row>
    <row r="50" spans="2:28" x14ac:dyDescent="0.35">
      <c r="E50" s="694"/>
      <c r="N50" s="728">
        <f ca="1">(K46-N46)/K46</f>
        <v>0</v>
      </c>
      <c r="Y50" s="694"/>
      <c r="Z50" s="694"/>
      <c r="AA50" s="694"/>
      <c r="AB50" s="694"/>
    </row>
    <row r="51" spans="2:28" x14ac:dyDescent="0.35">
      <c r="C51" s="677"/>
      <c r="D51" s="2397" t="s">
        <v>938</v>
      </c>
      <c r="E51" s="2398"/>
      <c r="F51" s="2398"/>
      <c r="G51" s="2398"/>
      <c r="H51" s="2399"/>
      <c r="I51" s="2396" t="s">
        <v>935</v>
      </c>
      <c r="J51" s="2391"/>
      <c r="K51" s="2391"/>
      <c r="L51" s="2392"/>
      <c r="M51" s="2396" t="s">
        <v>902</v>
      </c>
      <c r="N51" s="2391"/>
      <c r="O51" s="2391"/>
      <c r="P51" s="2392"/>
    </row>
    <row r="52" spans="2:28" ht="60.6" thickBot="1" x14ac:dyDescent="0.4">
      <c r="B52" s="785" t="s">
        <v>967</v>
      </c>
      <c r="C52" s="786"/>
      <c r="D52" s="754"/>
      <c r="E52" s="717" t="s">
        <v>965</v>
      </c>
      <c r="F52" s="717"/>
      <c r="G52" s="717"/>
      <c r="H52" s="717" t="s">
        <v>961</v>
      </c>
      <c r="I52" s="718" t="s">
        <v>930</v>
      </c>
      <c r="J52" s="721" t="s">
        <v>959</v>
      </c>
      <c r="K52" s="721" t="s">
        <v>960</v>
      </c>
      <c r="L52" s="723" t="s">
        <v>986</v>
      </c>
      <c r="M52" s="718" t="s">
        <v>930</v>
      </c>
      <c r="N52" s="721" t="s">
        <v>959</v>
      </c>
      <c r="O52" s="721" t="s">
        <v>960</v>
      </c>
      <c r="P52" s="723" t="s">
        <v>986</v>
      </c>
      <c r="S52" s="2324"/>
      <c r="T52" s="2325" t="s">
        <v>2238</v>
      </c>
      <c r="U52" s="2325" t="s">
        <v>2239</v>
      </c>
      <c r="V52" s="2325" t="s">
        <v>2240</v>
      </c>
      <c r="W52" s="2325" t="s">
        <v>2241</v>
      </c>
      <c r="X52" s="2325" t="s">
        <v>2242</v>
      </c>
      <c r="Y52" s="2325" t="s">
        <v>2243</v>
      </c>
    </row>
    <row r="53" spans="2:28" ht="16.2" thickTop="1" x14ac:dyDescent="0.35">
      <c r="B53" s="751" t="s">
        <v>131</v>
      </c>
      <c r="C53" s="757"/>
      <c r="D53" s="755"/>
      <c r="E53" s="759"/>
      <c r="F53" s="759"/>
      <c r="G53" s="758"/>
      <c r="H53" s="758"/>
      <c r="I53" s="768"/>
      <c r="J53" s="769" t="s">
        <v>966</v>
      </c>
      <c r="K53" s="835">
        <v>25</v>
      </c>
      <c r="L53" s="834"/>
      <c r="M53" s="676"/>
      <c r="N53" s="766" t="s">
        <v>966</v>
      </c>
      <c r="O53" s="722">
        <f ca="1">N63/365/$E$10</f>
        <v>24.458333333333336</v>
      </c>
      <c r="P53" s="836"/>
      <c r="S53" s="2326"/>
      <c r="T53" s="2327" t="s">
        <v>126</v>
      </c>
      <c r="U53" s="2327" t="s">
        <v>126</v>
      </c>
      <c r="V53" s="2327" t="s">
        <v>126</v>
      </c>
      <c r="W53" s="2327" t="s">
        <v>126</v>
      </c>
      <c r="X53" s="2327" t="s">
        <v>126</v>
      </c>
      <c r="Y53" s="2327" t="s">
        <v>126</v>
      </c>
    </row>
    <row r="54" spans="2:28" x14ac:dyDescent="0.35">
      <c r="B54" s="676"/>
      <c r="C54" s="686" t="s">
        <v>940</v>
      </c>
      <c r="D54" s="675"/>
      <c r="E54" s="675">
        <v>1.75</v>
      </c>
      <c r="F54" s="675"/>
      <c r="G54" s="675"/>
      <c r="H54" s="675"/>
      <c r="I54" s="676"/>
      <c r="L54" s="686"/>
      <c r="M54" s="676">
        <f>Unit_Sum!$H$77</f>
        <v>92</v>
      </c>
      <c r="P54" s="686"/>
      <c r="S54" s="2328" t="s">
        <v>2244</v>
      </c>
      <c r="T54" s="2328">
        <v>2.5</v>
      </c>
      <c r="U54" s="2328">
        <v>1.8</v>
      </c>
      <c r="V54" s="2328">
        <v>1.8</v>
      </c>
      <c r="W54" s="2328">
        <v>2.5</v>
      </c>
      <c r="X54" s="2328">
        <v>2.5</v>
      </c>
      <c r="Y54" s="2328">
        <v>2.5</v>
      </c>
    </row>
    <row r="55" spans="2:28" x14ac:dyDescent="0.35">
      <c r="B55" s="676"/>
      <c r="C55" s="686" t="s">
        <v>994</v>
      </c>
      <c r="D55" s="675"/>
      <c r="E55" s="675">
        <v>1.75</v>
      </c>
      <c r="F55" s="675"/>
      <c r="G55" s="675"/>
      <c r="H55" s="675"/>
      <c r="I55" s="676"/>
      <c r="L55" s="686"/>
      <c r="M55" s="676">
        <v>0</v>
      </c>
      <c r="P55" s="686"/>
      <c r="S55" s="2328" t="s">
        <v>2245</v>
      </c>
      <c r="T55" s="2328">
        <v>2.5</v>
      </c>
      <c r="U55" s="2328">
        <v>1.5</v>
      </c>
      <c r="V55" s="2328">
        <v>1.2</v>
      </c>
      <c r="W55" s="2328">
        <v>2.2000000000000002</v>
      </c>
      <c r="X55" s="2328">
        <v>2.2000000000000002</v>
      </c>
      <c r="Y55" s="2328">
        <v>2.2000000000000002</v>
      </c>
    </row>
    <row r="56" spans="2:28" x14ac:dyDescent="0.35">
      <c r="B56" s="709"/>
      <c r="C56" s="763" t="s">
        <v>941</v>
      </c>
      <c r="D56" s="760"/>
      <c r="E56" s="764">
        <f>SUMPRODUCT(E54:E55,M54:M55)/SUM(M54:M55)</f>
        <v>1.75</v>
      </c>
      <c r="F56" s="760"/>
      <c r="G56" s="760"/>
      <c r="H56" s="760"/>
      <c r="I56" s="709"/>
      <c r="J56" s="762"/>
      <c r="K56" s="762"/>
      <c r="L56" s="763"/>
      <c r="M56" s="765">
        <f>SUM(M54:M55)</f>
        <v>92</v>
      </c>
      <c r="N56" s="761"/>
      <c r="O56" s="762"/>
      <c r="P56" s="763"/>
    </row>
    <row r="57" spans="2:28" ht="16.2" x14ac:dyDescent="0.4">
      <c r="B57" s="676"/>
      <c r="C57" s="686" t="s">
        <v>942</v>
      </c>
      <c r="D57" s="675"/>
      <c r="E57" s="675">
        <v>1</v>
      </c>
      <c r="F57" s="675"/>
      <c r="G57" s="675"/>
      <c r="H57" s="675"/>
      <c r="I57" s="676"/>
      <c r="L57" s="686"/>
      <c r="M57" s="676">
        <f>Unit_Sum!$H$77</f>
        <v>92</v>
      </c>
      <c r="P57" s="686"/>
      <c r="S57" s="2245" t="s">
        <v>2246</v>
      </c>
      <c r="T57" s="2329" t="s">
        <v>2239</v>
      </c>
    </row>
    <row r="58" spans="2:28" x14ac:dyDescent="0.35">
      <c r="B58" s="676"/>
      <c r="C58" s="686" t="s">
        <v>995</v>
      </c>
      <c r="D58" s="675"/>
      <c r="E58" s="675">
        <v>1</v>
      </c>
      <c r="F58" s="675"/>
      <c r="G58" s="675"/>
      <c r="H58" s="675"/>
      <c r="I58" s="676"/>
      <c r="L58" s="686"/>
      <c r="M58" s="676">
        <v>0</v>
      </c>
      <c r="P58" s="686"/>
      <c r="R58" s="668">
        <v>1</v>
      </c>
      <c r="S58" s="2245" t="s">
        <v>2247</v>
      </c>
      <c r="T58" s="2245" cm="1">
        <f t="array" ref="T58">INDEX($T$54:$Y$55,$R58,MATCH(T$57,$T$52:$Y$52,0))</f>
        <v>1.8</v>
      </c>
    </row>
    <row r="59" spans="2:28" x14ac:dyDescent="0.35">
      <c r="B59" s="676"/>
      <c r="C59" s="686" t="s">
        <v>943</v>
      </c>
      <c r="D59" s="675"/>
      <c r="E59" s="675">
        <v>1.8</v>
      </c>
      <c r="F59" s="675"/>
      <c r="G59" s="675"/>
      <c r="H59" s="675"/>
      <c r="I59" s="676"/>
      <c r="L59" s="686"/>
      <c r="M59" s="845">
        <f>$E$8</f>
        <v>92</v>
      </c>
      <c r="P59" s="686"/>
      <c r="R59" s="668">
        <v>2</v>
      </c>
      <c r="S59" s="2245" t="s">
        <v>2248</v>
      </c>
      <c r="T59" s="2245" cm="1">
        <f t="array" ref="T59">INDEX($T$54:$Y$55,$R59,MATCH(T$57,$T$52:$Y$52,0))</f>
        <v>1.5</v>
      </c>
    </row>
    <row r="60" spans="2:28" x14ac:dyDescent="0.35">
      <c r="B60" s="676"/>
      <c r="C60" s="686" t="s">
        <v>996</v>
      </c>
      <c r="D60" s="675"/>
      <c r="E60" s="675">
        <v>1.8</v>
      </c>
      <c r="F60" s="675"/>
      <c r="G60" s="675"/>
      <c r="H60" s="675"/>
      <c r="I60" s="676"/>
      <c r="L60" s="686"/>
      <c r="M60" s="676">
        <v>0</v>
      </c>
      <c r="P60" s="686"/>
    </row>
    <row r="61" spans="2:28" x14ac:dyDescent="0.35">
      <c r="B61" s="709"/>
      <c r="C61" s="763" t="s">
        <v>944</v>
      </c>
      <c r="D61" s="760"/>
      <c r="E61" s="764">
        <f>SUMPRODUCT(E57:E60,M57:M60)/SUM(M57:M60)</f>
        <v>1.4000000000000001</v>
      </c>
      <c r="F61" s="760"/>
      <c r="G61" s="760"/>
      <c r="H61" s="760"/>
      <c r="I61" s="709"/>
      <c r="J61" s="762"/>
      <c r="K61" s="762"/>
      <c r="L61" s="763"/>
      <c r="M61" s="765">
        <f>SUM(M57:M60)</f>
        <v>184</v>
      </c>
      <c r="N61" s="762"/>
      <c r="O61" s="762"/>
      <c r="P61" s="763"/>
    </row>
    <row r="62" spans="2:28" x14ac:dyDescent="0.35">
      <c r="B62" s="776"/>
      <c r="C62" s="777" t="s">
        <v>946</v>
      </c>
      <c r="D62" s="779"/>
      <c r="E62" s="779"/>
      <c r="F62" s="779"/>
      <c r="G62" s="779"/>
      <c r="H62" s="779"/>
      <c r="I62" s="776"/>
      <c r="J62" s="778"/>
      <c r="K62" s="778"/>
      <c r="L62" s="777"/>
      <c r="M62" s="776"/>
      <c r="N62" s="778"/>
      <c r="O62" s="778"/>
      <c r="P62" s="777"/>
    </row>
    <row r="63" spans="2:28" x14ac:dyDescent="0.35">
      <c r="B63" s="671"/>
      <c r="C63" s="770"/>
      <c r="D63" s="771"/>
      <c r="E63" s="771"/>
      <c r="F63" s="771"/>
      <c r="G63" s="771"/>
      <c r="H63" s="771" cm="1">
        <f t="array" ref="H63">_xlfn.IFS(CompType=S901G_2010_LEED,2628,CompType=S901G_2019,2446)</f>
        <v>2446</v>
      </c>
      <c r="I63" s="767"/>
      <c r="J63" s="772">
        <f ca="1">K53*$E$10*365</f>
        <v>1660750</v>
      </c>
      <c r="K63" s="838">
        <f t="shared" ref="K63" ca="1" si="4">IFERROR(J63/($H63*60),0)</f>
        <v>11.316094303624967</v>
      </c>
      <c r="L63" s="839">
        <f ca="1">K63*60/$E$10</f>
        <v>3.7305805396565823</v>
      </c>
      <c r="M63" s="773"/>
      <c r="N63" s="774">
        <f ca="1">J63*(0.36+(0.54*E56/$T$58)+(0.1*$E$61/$T$59))</f>
        <v>1624767.0833333335</v>
      </c>
      <c r="O63" s="841">
        <f ca="1">IFERROR(N63/($H63*60),0)</f>
        <v>11.070912260379759</v>
      </c>
      <c r="P63" s="842">
        <f ca="1">O63*60/$E$10</f>
        <v>3.6497512946306894</v>
      </c>
      <c r="T63" s="1858"/>
    </row>
    <row r="65" spans="2:31" x14ac:dyDescent="0.35">
      <c r="B65" s="740"/>
      <c r="C65" s="775"/>
      <c r="D65" s="2397" t="s">
        <v>938</v>
      </c>
      <c r="E65" s="2398"/>
      <c r="F65" s="2398"/>
      <c r="G65" s="2398"/>
      <c r="H65" s="2399"/>
      <c r="I65" s="2396" t="s">
        <v>935</v>
      </c>
      <c r="J65" s="2391"/>
      <c r="K65" s="2391"/>
      <c r="L65" s="2392"/>
      <c r="M65" s="2396" t="s">
        <v>902</v>
      </c>
      <c r="N65" s="2391"/>
      <c r="O65" s="2391"/>
      <c r="P65" s="2392"/>
    </row>
    <row r="66" spans="2:31" ht="31.8" thickBot="1" x14ac:dyDescent="0.4">
      <c r="B66" s="789" t="s">
        <v>968</v>
      </c>
      <c r="C66" s="790"/>
      <c r="D66" s="754"/>
      <c r="E66" s="717" t="s">
        <v>964</v>
      </c>
      <c r="F66" s="717"/>
      <c r="G66" s="717"/>
      <c r="H66" s="717" t="s">
        <v>961</v>
      </c>
      <c r="I66" s="718" t="s">
        <v>930</v>
      </c>
      <c r="J66" s="721" t="s">
        <v>962</v>
      </c>
      <c r="K66" s="721" t="s">
        <v>963</v>
      </c>
      <c r="L66" s="723" t="s">
        <v>986</v>
      </c>
      <c r="M66" s="718" t="s">
        <v>930</v>
      </c>
      <c r="N66" s="721" t="s">
        <v>962</v>
      </c>
      <c r="O66" s="721" t="s">
        <v>963</v>
      </c>
      <c r="P66" s="723" t="s">
        <v>986</v>
      </c>
    </row>
    <row r="67" spans="2:31" ht="16.2" thickTop="1" x14ac:dyDescent="0.35">
      <c r="B67" s="751" t="s">
        <v>547</v>
      </c>
      <c r="C67" s="753"/>
      <c r="D67" s="755"/>
      <c r="E67" s="755"/>
      <c r="F67" s="755"/>
      <c r="G67" s="755"/>
      <c r="H67" s="755"/>
      <c r="I67" s="751"/>
      <c r="J67" s="752"/>
      <c r="K67" s="752"/>
      <c r="L67" s="753"/>
      <c r="M67" s="751"/>
      <c r="N67" s="752"/>
      <c r="O67" s="832"/>
      <c r="P67" s="753"/>
    </row>
    <row r="68" spans="2:31" x14ac:dyDescent="0.35">
      <c r="B68" s="676"/>
      <c r="C68" s="686" t="s">
        <v>947</v>
      </c>
      <c r="D68" s="675" t="s">
        <v>954</v>
      </c>
      <c r="E68" s="675">
        <f>0.2*5637</f>
        <v>1127.4000000000001</v>
      </c>
      <c r="F68" s="675"/>
      <c r="G68" s="675"/>
      <c r="H68" s="675" cm="1">
        <f t="array" ref="H68">_xlfn.IFS(CompType=S901G_2010_LEED,2628,CompType=S901G_2019,2446)</f>
        <v>2446</v>
      </c>
      <c r="I68" s="1180">
        <v>0</v>
      </c>
      <c r="J68" s="756">
        <f>I68*$E68</f>
        <v>0</v>
      </c>
      <c r="K68" s="833">
        <f t="shared" ref="K68" si="5">IFERROR(J68/($H68*60),0)</f>
        <v>0</v>
      </c>
      <c r="L68" s="725"/>
      <c r="M68" s="1180">
        <f>$E$8</f>
        <v>92</v>
      </c>
      <c r="N68" s="756">
        <f>M68*$E68</f>
        <v>103720.8</v>
      </c>
      <c r="O68" s="833">
        <f>IFERROR(N68/($H68*60),0)</f>
        <v>0.70673753066230582</v>
      </c>
      <c r="P68" s="725"/>
    </row>
    <row r="69" spans="2:31" x14ac:dyDescent="0.35">
      <c r="B69" s="676"/>
      <c r="C69" s="686" t="s">
        <v>948</v>
      </c>
      <c r="D69" s="675" t="s">
        <v>953</v>
      </c>
      <c r="E69" s="675">
        <f>0.2*12179</f>
        <v>2435.8000000000002</v>
      </c>
      <c r="F69" s="675"/>
      <c r="G69" s="675"/>
      <c r="H69" s="675" cm="1">
        <f t="array" ref="H69">_xlfn.IFS(CompType=S901G_2010_LEED,2628,CompType=S901G_2019,2446)</f>
        <v>2446</v>
      </c>
      <c r="I69" s="1180">
        <f>$E$8</f>
        <v>92</v>
      </c>
      <c r="J69" s="851">
        <f>I69*$E69</f>
        <v>224093.6</v>
      </c>
      <c r="K69" s="833">
        <f>IFERROR(J69/($H69*60),0)</f>
        <v>1.5269392204960479</v>
      </c>
      <c r="L69" s="725"/>
      <c r="M69" s="1180">
        <v>0</v>
      </c>
      <c r="N69" s="756">
        <f>M69*$E69</f>
        <v>0</v>
      </c>
      <c r="O69" s="833">
        <f>IFERROR(N69/($H69*60),0)</f>
        <v>0</v>
      </c>
      <c r="P69" s="725"/>
    </row>
    <row r="70" spans="2:31" x14ac:dyDescent="0.35">
      <c r="B70" s="676"/>
      <c r="C70" s="686" t="s">
        <v>949</v>
      </c>
      <c r="D70" s="675" t="s">
        <v>955</v>
      </c>
      <c r="E70" s="675">
        <f>0.2*13661</f>
        <v>2732.2000000000003</v>
      </c>
      <c r="F70" s="675"/>
      <c r="G70" s="675"/>
      <c r="H70" s="675" cm="1">
        <f t="array" ref="H70">_xlfn.IFS(CompType=S901G_2010_LEED,2628,CompType=S901G_2019,2446)</f>
        <v>2446</v>
      </c>
      <c r="I70" s="1180">
        <v>0</v>
      </c>
      <c r="J70" s="756">
        <v>0</v>
      </c>
      <c r="K70" s="833">
        <f t="shared" ref="K70:K71" si="6">IFERROR(J70/($H70*60),0)</f>
        <v>0</v>
      </c>
      <c r="L70" s="725"/>
      <c r="M70" s="1180">
        <v>0</v>
      </c>
      <c r="N70" s="756">
        <f>M70*$E70</f>
        <v>0</v>
      </c>
      <c r="O70" s="833">
        <f>IFERROR(N70/($H70*60),0)</f>
        <v>0</v>
      </c>
      <c r="P70" s="725"/>
    </row>
    <row r="71" spans="2:31" x14ac:dyDescent="0.35">
      <c r="B71" s="676"/>
      <c r="C71" s="686" t="s">
        <v>950</v>
      </c>
      <c r="D71" s="675" t="s">
        <v>956</v>
      </c>
      <c r="E71" s="675">
        <f>0.2*29515</f>
        <v>5903</v>
      </c>
      <c r="F71" s="675"/>
      <c r="G71" s="675"/>
      <c r="H71" s="675" cm="1">
        <f t="array" ref="H71">_xlfn.IFS(CompType=S901G_2010_LEED,2628,CompType=S901G_2019,2446)</f>
        <v>2446</v>
      </c>
      <c r="I71" s="1180">
        <v>0</v>
      </c>
      <c r="J71" s="756">
        <f t="shared" ref="J71" si="7">I71*$E71</f>
        <v>0</v>
      </c>
      <c r="K71" s="833">
        <f t="shared" si="6"/>
        <v>0</v>
      </c>
      <c r="L71" s="725"/>
      <c r="M71" s="1180">
        <v>0</v>
      </c>
      <c r="N71" s="756">
        <v>0</v>
      </c>
      <c r="O71" s="833">
        <f>IFERROR(N71/($H71*60),0)</f>
        <v>0</v>
      </c>
      <c r="P71" s="725"/>
    </row>
    <row r="72" spans="2:31" x14ac:dyDescent="0.35">
      <c r="B72" s="751" t="s">
        <v>546</v>
      </c>
      <c r="C72" s="753"/>
      <c r="D72" s="755"/>
      <c r="E72" s="755"/>
      <c r="F72" s="755"/>
      <c r="G72" s="755"/>
      <c r="H72" s="755"/>
      <c r="I72" s="1181"/>
      <c r="J72" s="752"/>
      <c r="K72" s="752"/>
      <c r="L72" s="753"/>
      <c r="M72" s="1181"/>
      <c r="N72" s="752"/>
      <c r="O72" s="752"/>
      <c r="P72" s="753"/>
    </row>
    <row r="73" spans="2:31" x14ac:dyDescent="0.35">
      <c r="B73" s="676"/>
      <c r="C73" s="686" t="s">
        <v>951</v>
      </c>
      <c r="D73" s="675" t="s">
        <v>957</v>
      </c>
      <c r="E73" s="675">
        <v>860</v>
      </c>
      <c r="F73" s="675"/>
      <c r="G73" s="675"/>
      <c r="H73" s="675" cm="1">
        <f t="array" ref="H73">_xlfn.IFS(CompType=S901G_2010_LEED,2628,CompType=S901G_2019,2446)</f>
        <v>2446</v>
      </c>
      <c r="I73" s="1180">
        <v>0</v>
      </c>
      <c r="J73" s="756">
        <f t="shared" ref="J73:J74" si="8">I73*$E73</f>
        <v>0</v>
      </c>
      <c r="K73" s="833">
        <f t="shared" ref="K73:K74" si="9">IFERROR(J73/($H73*60),0)</f>
        <v>0</v>
      </c>
      <c r="L73" s="725"/>
      <c r="M73" s="1180">
        <f>$E$8</f>
        <v>92</v>
      </c>
      <c r="N73" s="756">
        <f>M73*$E73</f>
        <v>79120</v>
      </c>
      <c r="O73" s="833">
        <f>IFERROR(N73/($H73*60),0)</f>
        <v>0.53911147451621699</v>
      </c>
      <c r="P73" s="725"/>
    </row>
    <row r="74" spans="2:31" x14ac:dyDescent="0.35">
      <c r="B74" s="676"/>
      <c r="C74" s="686" t="s">
        <v>952</v>
      </c>
      <c r="D74" s="675" t="s">
        <v>958</v>
      </c>
      <c r="E74" s="675">
        <v>1290</v>
      </c>
      <c r="F74" s="675"/>
      <c r="G74" s="675"/>
      <c r="H74" s="675" cm="1">
        <f t="array" ref="H74">_xlfn.IFS(CompType=S901G_2010_LEED,2628,CompType=S901G_2019,2446)</f>
        <v>2446</v>
      </c>
      <c r="I74" s="1180">
        <f>$E$8</f>
        <v>92</v>
      </c>
      <c r="J74" s="756">
        <f t="shared" si="8"/>
        <v>118680</v>
      </c>
      <c r="K74" s="833">
        <f t="shared" si="9"/>
        <v>0.80866721177432543</v>
      </c>
      <c r="L74" s="725"/>
      <c r="M74" s="1180">
        <v>0</v>
      </c>
      <c r="N74" s="756">
        <f>M74*$E74</f>
        <v>0</v>
      </c>
      <c r="O74" s="833">
        <f>IFERROR(N74/($H74*60),0)</f>
        <v>0</v>
      </c>
      <c r="P74" s="725"/>
      <c r="S74"/>
      <c r="T74"/>
      <c r="U74"/>
    </row>
    <row r="75" spans="2:31" x14ac:dyDescent="0.35">
      <c r="B75" s="776" t="s">
        <v>969</v>
      </c>
      <c r="C75" s="777"/>
      <c r="D75" s="779"/>
      <c r="E75" s="779"/>
      <c r="F75" s="779"/>
      <c r="G75" s="779"/>
      <c r="H75" s="779"/>
      <c r="I75" s="776"/>
      <c r="J75" s="778"/>
      <c r="K75" s="778"/>
      <c r="L75" s="777"/>
      <c r="M75" s="776"/>
      <c r="N75" s="778"/>
      <c r="O75" s="778"/>
      <c r="P75" s="777"/>
      <c r="S75"/>
      <c r="T75"/>
      <c r="U75"/>
    </row>
    <row r="76" spans="2:31" x14ac:dyDescent="0.35">
      <c r="B76" s="671"/>
      <c r="C76" s="685"/>
      <c r="D76" s="669"/>
      <c r="E76" s="669"/>
      <c r="F76" s="669"/>
      <c r="G76" s="669"/>
      <c r="H76" s="2368">
        <f>SUMPRODUCT(H68:H74,I68:I74)/SUM(I68:I74)</f>
        <v>2446</v>
      </c>
      <c r="I76" s="671"/>
      <c r="J76" s="772">
        <f>SUM(J68:J71,J73:J74)</f>
        <v>342773.6</v>
      </c>
      <c r="K76" s="838">
        <f>SUM(K68:K71,K73:K74)</f>
        <v>2.3356064322703736</v>
      </c>
      <c r="L76" s="837">
        <f ca="1">K76*60/$E$10</f>
        <v>0.76998014250671654</v>
      </c>
      <c r="M76" s="671"/>
      <c r="N76" s="772">
        <f>SUM(N68:N71,N73:N74)</f>
        <v>182840.8</v>
      </c>
      <c r="O76" s="838">
        <f>SUM(O68:O71,O73:O74)</f>
        <v>1.2458490051785227</v>
      </c>
      <c r="P76" s="837">
        <f ca="1">O76*60/$E$10</f>
        <v>0.41071945225665579</v>
      </c>
      <c r="S76"/>
      <c r="T76"/>
      <c r="U76"/>
    </row>
    <row r="77" spans="2:31" ht="16.2" thickBot="1" x14ac:dyDescent="0.4">
      <c r="L77" s="843"/>
      <c r="P77" s="843"/>
      <c r="S77"/>
      <c r="T77"/>
      <c r="U77"/>
    </row>
    <row r="78" spans="2:31" ht="16.2" thickBot="1" x14ac:dyDescent="0.4">
      <c r="F78" s="686"/>
      <c r="G78" s="782"/>
      <c r="H78" s="782"/>
      <c r="I78" s="783" t="s">
        <v>970</v>
      </c>
      <c r="J78" s="781">
        <f ca="1">SUM(J63,J76)</f>
        <v>2003523.6</v>
      </c>
      <c r="K78" s="1182">
        <f ca="1">SUM(K63,K76)</f>
        <v>13.651700735895339</v>
      </c>
      <c r="L78" s="2387">
        <f ca="1">K78*60/$E$10</f>
        <v>4.5005606821632984</v>
      </c>
      <c r="M78" s="780"/>
      <c r="N78" s="781">
        <f ca="1">SUM(N63,N76)</f>
        <v>1807607.8833333335</v>
      </c>
      <c r="O78" s="1182">
        <f ca="1">SUM(O63,O76)</f>
        <v>12.316761265558281</v>
      </c>
      <c r="P78" s="2387">
        <f ca="1">O78*60/$E$10</f>
        <v>4.0604707468873453</v>
      </c>
      <c r="R78" s="2044" t="s">
        <v>752</v>
      </c>
      <c r="S78" s="655" t="s">
        <v>1977</v>
      </c>
      <c r="T78"/>
      <c r="U78"/>
      <c r="W78" s="1187" t="s">
        <v>1109</v>
      </c>
      <c r="X78" s="1188" t="s">
        <v>1112</v>
      </c>
      <c r="Y78" s="1188" t="s">
        <v>225</v>
      </c>
      <c r="AA78" s="2331" t="s">
        <v>1069</v>
      </c>
      <c r="AB78" s="2332"/>
      <c r="AC78" s="2332"/>
      <c r="AD78" s="2332"/>
      <c r="AE78" s="2333"/>
    </row>
    <row r="79" spans="2:31" ht="16.8" thickTop="1" thickBot="1" x14ac:dyDescent="0.4">
      <c r="G79" s="782"/>
      <c r="H79" s="782"/>
      <c r="I79" s="1750" t="s">
        <v>2436</v>
      </c>
      <c r="J79" s="781">
        <f ca="1">J78+'Lndy Loads-Simple'!J71</f>
        <v>2422636.6</v>
      </c>
      <c r="K79" s="1182"/>
      <c r="L79" s="2387"/>
      <c r="M79" s="780"/>
      <c r="N79" s="781">
        <f ca="1">N78+'Lndy Loads-Simple'!N71</f>
        <v>2226720.8833333338</v>
      </c>
      <c r="O79" s="1182"/>
      <c r="P79" s="2387"/>
      <c r="R79" s="2044"/>
      <c r="S79" s="655"/>
      <c r="T79"/>
      <c r="U79"/>
      <c r="W79" s="2388"/>
      <c r="X79" s="2389"/>
      <c r="Y79" s="2389"/>
      <c r="AA79" s="2388"/>
      <c r="AC79" s="985"/>
      <c r="AD79" s="985"/>
      <c r="AE79" s="986"/>
    </row>
    <row r="80" spans="2:31" x14ac:dyDescent="0.35">
      <c r="E80" s="668" t="s">
        <v>988</v>
      </c>
      <c r="G80" s="782"/>
      <c r="H80" s="782"/>
      <c r="I80" s="1750" t="s">
        <v>2436</v>
      </c>
      <c r="J80" s="781">
        <v>2422507.75</v>
      </c>
      <c r="K80" s="840" t="s">
        <v>989</v>
      </c>
      <c r="L80" s="849">
        <f ca="1">(J79-J80)/J79</f>
        <v>5.3185855443648928E-5</v>
      </c>
      <c r="M80" s="780"/>
      <c r="N80" s="781">
        <v>2226601.4</v>
      </c>
      <c r="O80" s="840" t="s">
        <v>989</v>
      </c>
      <c r="P80" s="849">
        <f ca="1">(N79-N80)/N79</f>
        <v>5.3658873111657423E-5</v>
      </c>
      <c r="R80" s="2044" t="s">
        <v>753</v>
      </c>
      <c r="S80" s="654" t="s">
        <v>1978</v>
      </c>
      <c r="T80"/>
      <c r="U80"/>
      <c r="W80" s="1189" t="s">
        <v>1110</v>
      </c>
      <c r="X80" s="1190" t="s">
        <v>1113</v>
      </c>
      <c r="Y80" s="1190">
        <v>100</v>
      </c>
      <c r="AA80" s="1189"/>
      <c r="AC80" s="2341"/>
      <c r="AD80" s="2342" t="s">
        <v>2250</v>
      </c>
      <c r="AE80" s="2338" t="s">
        <v>2249</v>
      </c>
    </row>
    <row r="81" spans="5:31" ht="16.2" thickBot="1" x14ac:dyDescent="0.4">
      <c r="L81" s="843"/>
      <c r="P81" s="843"/>
      <c r="S81"/>
      <c r="T81"/>
      <c r="U81"/>
      <c r="W81" s="996" t="s">
        <v>1111</v>
      </c>
      <c r="X81" s="1191" t="s">
        <v>42</v>
      </c>
      <c r="Y81" s="1191">
        <v>3.4119999999999999</v>
      </c>
      <c r="AA81" s="992"/>
      <c r="AB81" s="994" t="s">
        <v>1072</v>
      </c>
      <c r="AC81" s="2334" t="s">
        <v>1070</v>
      </c>
      <c r="AD81" s="994" t="s">
        <v>1071</v>
      </c>
      <c r="AE81" s="2339" t="s">
        <v>1071</v>
      </c>
    </row>
    <row r="82" spans="5:31" x14ac:dyDescent="0.35">
      <c r="K82" s="1629" t="s">
        <v>2251</v>
      </c>
      <c r="L82" s="1" t="s">
        <v>2249</v>
      </c>
      <c r="S82"/>
      <c r="T82"/>
      <c r="U82"/>
      <c r="AA82" s="987" t="s">
        <v>1073</v>
      </c>
      <c r="AB82" s="714">
        <v>31</v>
      </c>
      <c r="AC82" s="2335">
        <v>11.6111111111111</v>
      </c>
      <c r="AD82" s="2343">
        <f>AC82*1.8+32</f>
        <v>52.899999999999977</v>
      </c>
      <c r="AE82" s="2344">
        <v>44</v>
      </c>
    </row>
    <row r="83" spans="5:31" x14ac:dyDescent="0.35">
      <c r="K83" s="1629" t="s">
        <v>1057</v>
      </c>
      <c r="L83" s="1">
        <v>118</v>
      </c>
      <c r="M83" s="668" t="s">
        <v>439</v>
      </c>
      <c r="O83" s="1629" t="s">
        <v>127</v>
      </c>
      <c r="P83" s="968">
        <f>85100*3.412</f>
        <v>290361.2</v>
      </c>
      <c r="Q83" s="668" t="s">
        <v>277</v>
      </c>
      <c r="S83"/>
      <c r="T83"/>
      <c r="U83"/>
      <c r="AA83" s="987" t="s">
        <v>1074</v>
      </c>
      <c r="AB83" s="714">
        <v>28</v>
      </c>
      <c r="AC83" s="2335">
        <v>11.277777777700001</v>
      </c>
      <c r="AD83" s="2343">
        <f t="shared" ref="AD83:AD89" si="10">AC83*1.8+32</f>
        <v>52.299999999860006</v>
      </c>
      <c r="AE83" s="2344">
        <v>44</v>
      </c>
    </row>
    <row r="84" spans="5:31" x14ac:dyDescent="0.35">
      <c r="K84" s="1629" t="s">
        <v>1059</v>
      </c>
      <c r="L84" s="2191">
        <f>_xlfn.XLOOKUP(L82,AD80:AE80,AD94:AE94,,0)</f>
        <v>53.052054794520551</v>
      </c>
      <c r="M84" s="668" t="s">
        <v>439</v>
      </c>
      <c r="O84" s="1629"/>
      <c r="P84" s="852">
        <f>P83*$L$87</f>
        <v>85096.447245200005</v>
      </c>
      <c r="Q84" s="668" t="s">
        <v>1058</v>
      </c>
      <c r="S84"/>
      <c r="T84"/>
      <c r="U84"/>
      <c r="AA84" s="987" t="s">
        <v>1075</v>
      </c>
      <c r="AB84" s="714">
        <v>31</v>
      </c>
      <c r="AC84" s="2335">
        <v>11.8888888888888</v>
      </c>
      <c r="AD84" s="2343">
        <f t="shared" si="10"/>
        <v>53.399999999999842</v>
      </c>
      <c r="AE84" s="2344">
        <v>46</v>
      </c>
    </row>
    <row r="85" spans="5:31" x14ac:dyDescent="0.35">
      <c r="K85" s="1629" t="s">
        <v>990</v>
      </c>
      <c r="L85" s="843">
        <v>8.33</v>
      </c>
      <c r="M85" s="668" t="s">
        <v>992</v>
      </c>
      <c r="O85" s="1629" t="s">
        <v>1006</v>
      </c>
      <c r="P85" s="970">
        <v>719</v>
      </c>
      <c r="Q85" s="668" t="s">
        <v>277</v>
      </c>
      <c r="S85"/>
      <c r="T85"/>
      <c r="U85"/>
      <c r="AA85" s="987" t="s">
        <v>1076</v>
      </c>
      <c r="AB85" s="714">
        <v>30</v>
      </c>
      <c r="AC85" s="2335">
        <v>13.38888888</v>
      </c>
      <c r="AD85" s="2343">
        <f t="shared" si="10"/>
        <v>56.099999984</v>
      </c>
      <c r="AE85" s="2344">
        <v>51</v>
      </c>
    </row>
    <row r="86" spans="5:31" x14ac:dyDescent="0.35">
      <c r="K86" s="1629" t="s">
        <v>991</v>
      </c>
      <c r="L86" s="722">
        <v>1</v>
      </c>
      <c r="M86" s="668" t="s">
        <v>993</v>
      </c>
      <c r="N86" s="971"/>
      <c r="O86" s="971" t="s">
        <v>1060</v>
      </c>
      <c r="P86" s="972">
        <f>P85/(8.25*70*$P$87)</f>
        <v>3.464167070177087E-3</v>
      </c>
      <c r="Q86" s="668" t="s">
        <v>1061</v>
      </c>
      <c r="S86"/>
      <c r="T86"/>
      <c r="U86"/>
      <c r="AA86" s="987" t="s">
        <v>1077</v>
      </c>
      <c r="AB86" s="714">
        <v>31</v>
      </c>
      <c r="AC86" s="2335">
        <v>15.2777777</v>
      </c>
      <c r="AD86" s="2343">
        <f t="shared" si="10"/>
        <v>59.499999860000003</v>
      </c>
      <c r="AE86" s="2344">
        <v>56</v>
      </c>
    </row>
    <row r="87" spans="5:31" x14ac:dyDescent="0.35">
      <c r="K87" s="1629" t="s">
        <v>1065</v>
      </c>
      <c r="L87" s="843">
        <v>0.29307100000000003</v>
      </c>
      <c r="M87" s="668" t="s">
        <v>1066</v>
      </c>
      <c r="O87" s="1629" t="s">
        <v>1007</v>
      </c>
      <c r="P87" s="973">
        <v>359.4</v>
      </c>
      <c r="Q87" s="668" t="s">
        <v>1008</v>
      </c>
      <c r="S87"/>
      <c r="T87"/>
      <c r="U87"/>
      <c r="AA87" s="987" t="s">
        <v>1078</v>
      </c>
      <c r="AB87" s="714">
        <v>30</v>
      </c>
      <c r="AC87" s="2335">
        <v>17.1666666666666</v>
      </c>
      <c r="AD87" s="2343">
        <f t="shared" si="10"/>
        <v>62.899999999999878</v>
      </c>
      <c r="AE87" s="2344">
        <v>61</v>
      </c>
    </row>
    <row r="88" spans="5:31" x14ac:dyDescent="0.35">
      <c r="K88" s="1629" t="s">
        <v>1067</v>
      </c>
      <c r="L88" s="843">
        <f>1/1.8</f>
        <v>0.55555555555555558</v>
      </c>
      <c r="M88" s="668" t="s">
        <v>1068</v>
      </c>
      <c r="O88" s="1629" t="s">
        <v>1062</v>
      </c>
      <c r="P88" s="968">
        <v>1</v>
      </c>
      <c r="S88"/>
      <c r="T88"/>
      <c r="U88"/>
      <c r="AA88" s="987" t="s">
        <v>1079</v>
      </c>
      <c r="AB88" s="714">
        <v>31</v>
      </c>
      <c r="AC88" s="2335">
        <v>18.4444444444444</v>
      </c>
      <c r="AD88" s="2343">
        <f t="shared" si="10"/>
        <v>65.199999999999932</v>
      </c>
      <c r="AE88" s="2344">
        <v>65</v>
      </c>
    </row>
    <row r="89" spans="5:31" x14ac:dyDescent="0.35">
      <c r="K89" s="1629"/>
      <c r="L89" s="843"/>
      <c r="O89" s="1629"/>
      <c r="P89" s="1629"/>
      <c r="S89"/>
      <c r="T89"/>
      <c r="U89"/>
      <c r="AA89" s="987" t="s">
        <v>1080</v>
      </c>
      <c r="AB89" s="714">
        <v>31</v>
      </c>
      <c r="AC89" s="2335">
        <v>18.833333329999999</v>
      </c>
      <c r="AD89" s="2343">
        <f t="shared" si="10"/>
        <v>65.899999993999998</v>
      </c>
      <c r="AE89" s="2344">
        <v>66</v>
      </c>
    </row>
    <row r="90" spans="5:31" x14ac:dyDescent="0.35">
      <c r="K90" s="1629" t="s">
        <v>2200</v>
      </c>
      <c r="L90" s="1186" t="s">
        <v>1110</v>
      </c>
      <c r="M90"/>
      <c r="O90" s="1629" t="s">
        <v>2201</v>
      </c>
      <c r="P90" s="1186" t="s">
        <v>1111</v>
      </c>
      <c r="S90"/>
      <c r="T90"/>
      <c r="U90"/>
      <c r="AA90" s="987" t="s">
        <v>1081</v>
      </c>
      <c r="AB90" s="714">
        <v>30</v>
      </c>
      <c r="AC90" s="2335">
        <v>18.166666666600001</v>
      </c>
      <c r="AD90" s="2343">
        <f>AC90*1.8+32</f>
        <v>64.699999999880006</v>
      </c>
      <c r="AE90" s="2344">
        <v>59</v>
      </c>
    </row>
    <row r="91" spans="5:31" x14ac:dyDescent="0.35">
      <c r="K91" s="1629" t="s">
        <v>2202</v>
      </c>
      <c r="L91" s="705">
        <f>P91</f>
        <v>290361.2</v>
      </c>
      <c r="M91" s="668" t="s">
        <v>277</v>
      </c>
      <c r="N91"/>
      <c r="O91" s="1629" t="s">
        <v>2203</v>
      </c>
      <c r="P91" s="663">
        <f>P83*P88</f>
        <v>290361.2</v>
      </c>
      <c r="Q91" s="668" t="s">
        <v>277</v>
      </c>
      <c r="S91"/>
      <c r="T91"/>
      <c r="U91"/>
      <c r="AA91" s="987" t="s">
        <v>1082</v>
      </c>
      <c r="AB91" s="714">
        <v>31</v>
      </c>
      <c r="AC91" s="2335">
        <v>16.6666666666666</v>
      </c>
      <c r="AD91" s="2343">
        <f>AC91*1.8+32</f>
        <v>61.999999999999886</v>
      </c>
      <c r="AE91" s="2344">
        <v>50</v>
      </c>
    </row>
    <row r="92" spans="5:31" x14ac:dyDescent="0.35">
      <c r="E92" s="852"/>
      <c r="K92" s="1629" t="s">
        <v>2204</v>
      </c>
      <c r="L92" s="1">
        <f>P92</f>
        <v>359.4</v>
      </c>
      <c r="M92" s="668" t="s">
        <v>1008</v>
      </c>
      <c r="O92" s="668" t="s">
        <v>2205</v>
      </c>
      <c r="P92" s="704">
        <f>P87*P88</f>
        <v>359.4</v>
      </c>
      <c r="Q92" s="668" t="s">
        <v>1008</v>
      </c>
      <c r="S92"/>
      <c r="T92"/>
      <c r="U92"/>
      <c r="AA92" s="987" t="s">
        <v>1083</v>
      </c>
      <c r="AB92" s="714">
        <v>30</v>
      </c>
      <c r="AC92" s="2335">
        <v>14.722222222219999</v>
      </c>
      <c r="AD92" s="2343">
        <f>AC92*1.8+32</f>
        <v>58.499999999996</v>
      </c>
      <c r="AE92" s="2344">
        <v>49</v>
      </c>
    </row>
    <row r="93" spans="5:31" ht="16.2" thickBot="1" x14ac:dyDescent="0.4">
      <c r="E93" s="846"/>
      <c r="K93" s="1629" t="s">
        <v>1063</v>
      </c>
      <c r="L93" s="2240">
        <f>IF(AND($L$90=$W$80,L91&gt;75000),80%,IF(AND($L$90=$W$81,$P$83&lt;12000*3.412),0.97-0.00132*$P$87,"Please Input a Value"))</f>
        <v>0.8</v>
      </c>
      <c r="O93" s="1629" t="s">
        <v>1063</v>
      </c>
      <c r="P93" s="975">
        <v>1</v>
      </c>
      <c r="S93"/>
      <c r="T93"/>
      <c r="U93"/>
      <c r="AA93" s="992" t="s">
        <v>1084</v>
      </c>
      <c r="AB93" s="994">
        <v>31</v>
      </c>
      <c r="AC93" s="2336">
        <v>12.88888888</v>
      </c>
      <c r="AD93" s="2345">
        <f>AC93*1.8+32</f>
        <v>55.199999984000002</v>
      </c>
      <c r="AE93" s="2346">
        <v>45</v>
      </c>
    </row>
    <row r="94" spans="5:31" ht="16.8" thickTop="1" thickBot="1" x14ac:dyDescent="0.4">
      <c r="K94" s="1629" t="s">
        <v>1006</v>
      </c>
      <c r="L94" s="663">
        <f>IF(L90=$W$80,L91/800+110*SQRT(L92),0)</f>
        <v>2448.3147777048703</v>
      </c>
      <c r="M94" s="668" t="s">
        <v>277</v>
      </c>
      <c r="O94" s="1629" t="s">
        <v>1006</v>
      </c>
      <c r="P94" s="704">
        <f>P85*P88</f>
        <v>719</v>
      </c>
      <c r="Q94" s="668" t="s">
        <v>277</v>
      </c>
      <c r="S94"/>
      <c r="T94"/>
      <c r="U94"/>
      <c r="AA94" s="996"/>
      <c r="AB94" s="997" t="s">
        <v>421</v>
      </c>
      <c r="AC94" s="2337"/>
      <c r="AD94" s="2330">
        <f>SUMPRODUCT(AD82:AD93,$AB$82:$AB$93)/SUM($AB$82:$AB$93)</f>
        <v>59.089041080795468</v>
      </c>
      <c r="AE94" s="2340">
        <f>SUMPRODUCT(AE82:AE93,$AB$82:$AB$93)/SUM($AB$82:$AB$93)</f>
        <v>53.052054794520551</v>
      </c>
    </row>
    <row r="95" spans="5:31" x14ac:dyDescent="0.35">
      <c r="L95" s="976">
        <f>L94*$L$87/(70*L88)</f>
        <v>18.450772977001989</v>
      </c>
      <c r="M95" s="668" t="s">
        <v>1064</v>
      </c>
      <c r="P95" s="976">
        <f>P94*$L$87/(70*L88)</f>
        <v>5.4184641171428565</v>
      </c>
      <c r="Q95" s="668" t="s">
        <v>1064</v>
      </c>
      <c r="S95"/>
      <c r="T95"/>
      <c r="U95"/>
    </row>
    <row r="96" spans="5:31" x14ac:dyDescent="0.35">
      <c r="H96" s="782"/>
      <c r="I96" s="885" t="s">
        <v>1004</v>
      </c>
      <c r="J96" s="886" t="s">
        <v>343</v>
      </c>
      <c r="K96" s="840"/>
      <c r="L96" s="850">
        <f ca="1">(J79*$L$85*$L$86*($L$83-$L$84))/1000/VLOOKUP($L$90,$W$80:$Y$81,3,FALSE)/L$93</f>
        <v>16383.576150200957</v>
      </c>
      <c r="M96" s="780" t="str">
        <f>VLOOKUP($L$90,$W$80:$X$81,2,FALSE)</f>
        <v>Therms</v>
      </c>
      <c r="N96" s="977"/>
      <c r="O96" s="840"/>
      <c r="P96" s="850">
        <f ca="1">(N79*$L$85*$L$86*($L$83-$L$84))/1000/VLOOKUP($P$90,$W$80:$Y$81,3,FALSE)/$P$93</f>
        <v>353075.16984237666</v>
      </c>
      <c r="Q96" s="668" t="str">
        <f>VLOOKUP($P$90,$W$80:$X$81,2,FALSE)</f>
        <v>kWh</v>
      </c>
      <c r="S96"/>
      <c r="T96"/>
      <c r="U96"/>
    </row>
    <row r="97" spans="3:21" x14ac:dyDescent="0.35">
      <c r="H97" s="782"/>
      <c r="I97" s="885" t="s">
        <v>1005</v>
      </c>
      <c r="J97" s="886" t="s">
        <v>343</v>
      </c>
      <c r="K97" s="840"/>
      <c r="L97" s="850">
        <f>$L$94*8760/1000/VLOOKUP($L$90,$W$80:$Y$81,3,FALSE)</f>
        <v>214.47237452694662</v>
      </c>
      <c r="M97" s="780" t="str">
        <f>VLOOKUP($L$90,$W$80:$X$81,2,FALSE)</f>
        <v>Therms</v>
      </c>
      <c r="N97" s="977"/>
      <c r="O97" s="840"/>
      <c r="P97" s="850">
        <f>$P$94*8760/1000/VLOOKUP($P$90,$W$80:$Y$81,3,FALSE)</f>
        <v>1845.9671746776085</v>
      </c>
      <c r="Q97" s="668" t="str">
        <f>VLOOKUP($P$90,$W$80:$X$81,2,FALSE)</f>
        <v>kWh</v>
      </c>
      <c r="S97"/>
      <c r="T97"/>
      <c r="U97"/>
    </row>
    <row r="98" spans="3:21" ht="16.2" thickBot="1" x14ac:dyDescent="0.4">
      <c r="H98" s="782"/>
      <c r="I98" s="885" t="s">
        <v>987</v>
      </c>
      <c r="J98" s="886" t="s">
        <v>343</v>
      </c>
      <c r="K98" s="840"/>
      <c r="L98" s="850">
        <f ca="1">L96+L97</f>
        <v>16598.048524727903</v>
      </c>
      <c r="M98" s="780" t="str">
        <f>VLOOKUP($L$90,$W$80:$X$81,2,FALSE)</f>
        <v>Therms</v>
      </c>
      <c r="N98" s="977"/>
      <c r="O98" s="840"/>
      <c r="P98" s="850">
        <f ca="1">P96+P97</f>
        <v>354921.13701705425</v>
      </c>
      <c r="Q98" s="668" t="str">
        <f>VLOOKUP($P$90,$W$80:$X$81,2,FALSE)</f>
        <v>kWh</v>
      </c>
      <c r="R98" s="2044" t="s">
        <v>752</v>
      </c>
      <c r="S98" s="655" t="s">
        <v>1977</v>
      </c>
      <c r="T98"/>
      <c r="U98"/>
    </row>
    <row r="99" spans="3:21" ht="16.8" thickTop="1" thickBot="1" x14ac:dyDescent="0.4">
      <c r="F99" s="668" t="s">
        <v>988</v>
      </c>
      <c r="H99" s="978"/>
      <c r="I99" s="979" t="s">
        <v>987</v>
      </c>
      <c r="J99" s="980" t="s">
        <v>543</v>
      </c>
      <c r="K99" s="981"/>
      <c r="L99" s="982">
        <v>16399.45</v>
      </c>
      <c r="M99" s="981" t="str">
        <f>VLOOKUP($L$90,$W$80:$X$81,2,FALSE)</f>
        <v>Therms</v>
      </c>
      <c r="N99" s="982"/>
      <c r="O99" s="981"/>
      <c r="P99" s="982">
        <v>345962.68</v>
      </c>
      <c r="Q99" s="668" t="str">
        <f>VLOOKUP($P$90,$W$80:$X$81,2,FALSE)</f>
        <v>kWh</v>
      </c>
      <c r="R99" s="2044" t="s">
        <v>753</v>
      </c>
      <c r="S99" s="654" t="s">
        <v>1978</v>
      </c>
      <c r="T99"/>
      <c r="U99"/>
    </row>
    <row r="100" spans="3:21" ht="16.2" thickTop="1" x14ac:dyDescent="0.35">
      <c r="J100" s="668" t="s">
        <v>989</v>
      </c>
      <c r="L100" s="887">
        <f ca="1">(L98-L99)/L98</f>
        <v>1.1965173160689862E-2</v>
      </c>
      <c r="P100" s="887">
        <f ca="1">(P98-P99)/P98</f>
        <v>2.5240697390822898E-2</v>
      </c>
      <c r="S100"/>
      <c r="T100"/>
      <c r="U100"/>
    </row>
    <row r="101" spans="3:21" x14ac:dyDescent="0.35">
      <c r="L101" s="846">
        <f ca="1">L99-L98</f>
        <v>-198.59852472790226</v>
      </c>
      <c r="P101" s="846">
        <f ca="1">P99-P98</f>
        <v>-8958.4570170542574</v>
      </c>
    </row>
    <row r="104" spans="3:21" ht="17.399999999999999" x14ac:dyDescent="0.4">
      <c r="C104" s="21"/>
      <c r="D104" s="126"/>
      <c r="E104" s="2393" t="s">
        <v>545</v>
      </c>
      <c r="F104" s="2394"/>
      <c r="G104" s="2394"/>
      <c r="H104" s="2395"/>
    </row>
    <row r="105" spans="3:21" ht="16.2" x14ac:dyDescent="0.35">
      <c r="C105" s="853"/>
      <c r="D105" s="854"/>
      <c r="E105" s="855" t="s">
        <v>126</v>
      </c>
      <c r="F105" s="856" t="s">
        <v>220</v>
      </c>
      <c r="G105" s="856" t="s">
        <v>236</v>
      </c>
      <c r="H105" s="857" t="s">
        <v>1000</v>
      </c>
    </row>
    <row r="106" spans="3:21" ht="17.399999999999999" x14ac:dyDescent="0.4">
      <c r="C106" s="858" t="s">
        <v>47</v>
      </c>
      <c r="D106" s="859"/>
      <c r="E106" s="881">
        <f t="shared" ref="E106:F106" ca="1" si="11">SUM(E107:E109)</f>
        <v>13.651700735895341</v>
      </c>
      <c r="F106" s="860">
        <f t="shared" ca="1" si="11"/>
        <v>5489.1057534246575</v>
      </c>
      <c r="G106" s="883">
        <f ca="1">SUM(G107:G109)</f>
        <v>30.159921722113506</v>
      </c>
      <c r="H106" s="861">
        <f ca="1">SUM(H107:H109)</f>
        <v>16.733724513341691</v>
      </c>
      <c r="J106" s="668" t="s">
        <v>997</v>
      </c>
      <c r="K106" s="852">
        <f ca="1">E7</f>
        <v>83040.097299999965</v>
      </c>
      <c r="L106" s="846">
        <f ca="1">Proj_Sum!P32</f>
        <v>119729.68709999998</v>
      </c>
    </row>
    <row r="107" spans="3:21" ht="17.399999999999999" x14ac:dyDescent="0.4">
      <c r="C107" s="862"/>
      <c r="D107" s="863" t="s">
        <v>131</v>
      </c>
      <c r="E107" s="879">
        <f ca="1">K63</f>
        <v>11.316094303624967</v>
      </c>
      <c r="F107" s="864">
        <f ca="1">J63/365</f>
        <v>4550</v>
      </c>
      <c r="G107" s="888">
        <f ca="1">F107/$E$10</f>
        <v>25</v>
      </c>
      <c r="H107" s="865">
        <f ca="1">J63/L106</f>
        <v>13.870828866469161</v>
      </c>
      <c r="J107" s="668" t="s">
        <v>998</v>
      </c>
      <c r="K107" s="852">
        <f>E9</f>
        <v>182</v>
      </c>
      <c r="M107" s="695">
        <f ca="1">K107/K106*1000</f>
        <v>2.1917122681406114</v>
      </c>
      <c r="N107" s="695">
        <f ca="1">K107/L106*1000</f>
        <v>1.5200908346815518</v>
      </c>
    </row>
    <row r="108" spans="3:21" ht="17.399999999999999" x14ac:dyDescent="0.4">
      <c r="C108" s="862"/>
      <c r="D108" s="863" t="s">
        <v>546</v>
      </c>
      <c r="E108" s="879">
        <f>K74</f>
        <v>0.80866721177432543</v>
      </c>
      <c r="F108" s="880">
        <f>J74/365</f>
        <v>325.15068493150687</v>
      </c>
      <c r="G108" s="880">
        <f ca="1">F108/$E$10</f>
        <v>1.7865422248983893</v>
      </c>
      <c r="H108" s="865">
        <f ca="1">J74/L106</f>
        <v>0.9912328585714647</v>
      </c>
      <c r="J108" s="668" t="s">
        <v>999</v>
      </c>
      <c r="K108" s="695">
        <f ca="1">K107/K106*1000</f>
        <v>2.1917122681406114</v>
      </c>
    </row>
    <row r="109" spans="3:21" ht="17.399999999999999" x14ac:dyDescent="0.4">
      <c r="C109" s="862"/>
      <c r="D109" s="863" t="s">
        <v>547</v>
      </c>
      <c r="E109" s="879">
        <f>K69</f>
        <v>1.5269392204960479</v>
      </c>
      <c r="F109" s="864">
        <f>J69/365</f>
        <v>613.95506849315075</v>
      </c>
      <c r="G109" s="888">
        <f ca="1">F109/$E$10</f>
        <v>3.3733794972151139</v>
      </c>
      <c r="H109" s="865">
        <f ca="1">J69/L106</f>
        <v>1.8716627883010648</v>
      </c>
    </row>
    <row r="110" spans="3:21" ht="16.2" x14ac:dyDescent="0.35">
      <c r="C110" s="862"/>
      <c r="D110" s="866"/>
      <c r="E110" s="867"/>
      <c r="F110" s="868"/>
      <c r="G110" s="868"/>
      <c r="H110" s="869"/>
      <c r="J110" s="668" t="s">
        <v>1002</v>
      </c>
      <c r="K110" s="668">
        <f>L99/K107</f>
        <v>90.10686813186814</v>
      </c>
      <c r="L110" s="668" t="s">
        <v>1001</v>
      </c>
    </row>
    <row r="111" spans="3:21" ht="17.399999999999999" x14ac:dyDescent="0.4">
      <c r="C111" s="870" t="s">
        <v>161</v>
      </c>
      <c r="D111" s="871"/>
      <c r="E111" s="882">
        <f t="shared" ref="E111:G111" ca="1" si="12">SUM(E112:E114)</f>
        <v>12.316761265558281</v>
      </c>
      <c r="F111" s="872">
        <f t="shared" ca="1" si="12"/>
        <v>4952.3503652968038</v>
      </c>
      <c r="G111" s="884">
        <f t="shared" ca="1" si="12"/>
        <v>27.210716292839582</v>
      </c>
      <c r="H111" s="873">
        <f ca="1">SUM(H112:H114)</f>
        <v>15.097407561280878</v>
      </c>
      <c r="J111" s="668" t="s">
        <v>1003</v>
      </c>
      <c r="K111" s="668">
        <f>P99/K107</f>
        <v>1900.8938461538462</v>
      </c>
      <c r="L111" s="668" t="s">
        <v>1001</v>
      </c>
    </row>
    <row r="112" spans="3:21" ht="17.399999999999999" x14ac:dyDescent="0.4">
      <c r="C112" s="862"/>
      <c r="D112" s="863" t="s">
        <v>131</v>
      </c>
      <c r="E112" s="879">
        <f ca="1">O63</f>
        <v>11.070912260379759</v>
      </c>
      <c r="F112" s="864">
        <f ca="1">N63/365</f>
        <v>4451.416666666667</v>
      </c>
      <c r="G112" s="888">
        <f ca="1">F112/$E$10</f>
        <v>24.458333333333336</v>
      </c>
      <c r="H112" s="865">
        <f ca="1">N63/L106</f>
        <v>13.570294241028996</v>
      </c>
    </row>
    <row r="113" spans="3:8" ht="17.399999999999999" x14ac:dyDescent="0.4">
      <c r="C113" s="862"/>
      <c r="D113" s="863" t="s">
        <v>546</v>
      </c>
      <c r="E113" s="879">
        <f>O73</f>
        <v>0.53911147451621699</v>
      </c>
      <c r="F113" s="864">
        <f>N73/365</f>
        <v>216.76712328767124</v>
      </c>
      <c r="G113" s="888">
        <f t="shared" ref="G113:G114" ca="1" si="13">F113/$E$10</f>
        <v>1.1910281499322595</v>
      </c>
      <c r="H113" s="865">
        <f ca="1">N73/L106</f>
        <v>0.66082190571430977</v>
      </c>
    </row>
    <row r="114" spans="3:8" ht="17.399999999999999" x14ac:dyDescent="0.4">
      <c r="C114" s="862"/>
      <c r="D114" s="863" t="s">
        <v>547</v>
      </c>
      <c r="E114" s="879">
        <f>O68</f>
        <v>0.70673753066230582</v>
      </c>
      <c r="F114" s="864">
        <f>N68/365</f>
        <v>284.16657534246576</v>
      </c>
      <c r="G114" s="888">
        <f t="shared" ca="1" si="13"/>
        <v>1.5613548095739878</v>
      </c>
      <c r="H114" s="865">
        <f ca="1">N68/L106</f>
        <v>0.86629141453757308</v>
      </c>
    </row>
    <row r="115" spans="3:8" ht="17.399999999999999" x14ac:dyDescent="0.4">
      <c r="C115" s="874"/>
      <c r="D115" s="875"/>
      <c r="E115" s="876"/>
      <c r="F115" s="877"/>
      <c r="G115" s="877" t="s">
        <v>125</v>
      </c>
      <c r="H115" s="878">
        <f ca="1">1-(H111/H106)</f>
        <v>9.7785579699019687E-2</v>
      </c>
    </row>
  </sheetData>
  <mergeCells count="19">
    <mergeCell ref="C15:C19"/>
    <mergeCell ref="C20:C21"/>
    <mergeCell ref="F46:I46"/>
    <mergeCell ref="D23:H23"/>
    <mergeCell ref="I23:K23"/>
    <mergeCell ref="L48:M48"/>
    <mergeCell ref="L47:M47"/>
    <mergeCell ref="L23:N23"/>
    <mergeCell ref="E104:H104"/>
    <mergeCell ref="I65:L65"/>
    <mergeCell ref="M65:P65"/>
    <mergeCell ref="D65:H65"/>
    <mergeCell ref="D51:H51"/>
    <mergeCell ref="I51:L51"/>
    <mergeCell ref="M51:P51"/>
    <mergeCell ref="L49:M49"/>
    <mergeCell ref="I47:J47"/>
    <mergeCell ref="I48:J48"/>
    <mergeCell ref="I49:J49"/>
  </mergeCells>
  <phoneticPr fontId="22" type="noConversion"/>
  <conditionalFormatting sqref="E21:F21">
    <cfRule type="expression" dxfId="11" priority="13">
      <formula>ABS(E21)&gt;0.02</formula>
    </cfRule>
    <cfRule type="expression" dxfId="10" priority="14">
      <formula>ABS(E21)&lt;0.02</formula>
    </cfRule>
  </conditionalFormatting>
  <conditionalFormatting sqref="I26:N44">
    <cfRule type="expression" dxfId="9" priority="5">
      <formula>I26=0</formula>
    </cfRule>
  </conditionalFormatting>
  <conditionalFormatting sqref="K19:L19">
    <cfRule type="expression" dxfId="8" priority="1">
      <formula>ABS(K19)&gt;0.02</formula>
    </cfRule>
    <cfRule type="expression" dxfId="7" priority="2">
      <formula>ABS(K19)&lt;0.02</formula>
    </cfRule>
  </conditionalFormatting>
  <dataValidations count="3">
    <dataValidation type="list" allowBlank="1" showInputMessage="1" showErrorMessage="1" sqref="T57" xr:uid="{82536CB4-5FD7-4F44-8820-C2007A8B871E}">
      <formula1>$T$52:$Y$52</formula1>
    </dataValidation>
    <dataValidation type="list" allowBlank="1" showInputMessage="1" showErrorMessage="1" sqref="L90 P90" xr:uid="{F7761900-EBAA-404B-BC97-8D8D38AC63CD}">
      <formula1>$W$80:$W$81</formula1>
    </dataValidation>
    <dataValidation type="list" allowBlank="1" showInputMessage="1" showErrorMessage="1" sqref="L82" xr:uid="{2423C932-F4FB-410B-9223-BDF57FB2239F}">
      <formula1>$AD$80:$AE$80</formula1>
    </dataValidation>
  </dataValidations>
  <pageMargins left="0.7" right="0.7" top="0.75" bottom="0.75" header="0.3" footer="0.3"/>
  <pageSetup orientation="portrait" horizontalDpi="300" verticalDpi="30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6AB9-2324-47D5-860F-B73A47E1A221}">
  <sheetPr codeName="Sheet13">
    <tabColor theme="7"/>
  </sheetPr>
  <dimension ref="A1:AD105"/>
  <sheetViews>
    <sheetView topLeftCell="E1" zoomScale="85" zoomScaleNormal="85" workbookViewId="0">
      <selection activeCell="Q7" sqref="Q7"/>
    </sheetView>
  </sheetViews>
  <sheetFormatPr defaultColWidth="9.109375" defaultRowHeight="15.6" x14ac:dyDescent="0.35"/>
  <cols>
    <col min="1" max="1" width="9.109375" style="668"/>
    <col min="2" max="2" width="3.33203125" style="668" customWidth="1"/>
    <col min="3" max="3" width="40.44140625" style="668" customWidth="1"/>
    <col min="4" max="4" width="38.6640625" style="668" customWidth="1"/>
    <col min="5" max="7" width="13.5546875" style="668" customWidth="1"/>
    <col min="8" max="8" width="13.6640625" style="668" customWidth="1"/>
    <col min="9" max="9" width="14.6640625" style="668" customWidth="1"/>
    <col min="10" max="10" width="15.44140625" style="668" customWidth="1"/>
    <col min="11" max="11" width="15" style="668" customWidth="1"/>
    <col min="12" max="12" width="15.88671875" style="668" bestFit="1" customWidth="1"/>
    <col min="13" max="13" width="13.5546875" style="668" customWidth="1"/>
    <col min="14" max="14" width="19.109375" style="668" bestFit="1" customWidth="1"/>
    <col min="15" max="15" width="13.5546875" style="668" customWidth="1"/>
    <col min="16" max="16" width="16.33203125" style="668" customWidth="1"/>
    <col min="17" max="17" width="11.109375" style="668" customWidth="1"/>
    <col min="18" max="18" width="9.6640625" style="668" customWidth="1"/>
    <col min="19" max="19" width="13.109375" style="668" customWidth="1"/>
    <col min="20" max="23" width="9.6640625" style="668" customWidth="1"/>
    <col min="24" max="27" width="9.109375" style="668"/>
    <col min="28" max="28" width="11.6640625" style="668" bestFit="1" customWidth="1"/>
    <col min="29" max="16384" width="9.109375" style="668"/>
  </cols>
  <sheetData>
    <row r="1" spans="1:23" x14ac:dyDescent="0.35">
      <c r="A1" s="698"/>
      <c r="C1" s="697"/>
      <c r="D1" s="697"/>
      <c r="E1" s="678"/>
      <c r="F1" s="696"/>
      <c r="G1" s="696"/>
      <c r="H1" s="696"/>
    </row>
    <row r="2" spans="1:23" x14ac:dyDescent="0.35">
      <c r="A2" s="679" t="s">
        <v>886</v>
      </c>
      <c r="E2" s="2044" t="s">
        <v>752</v>
      </c>
      <c r="F2" s="655" t="s">
        <v>1977</v>
      </c>
      <c r="G2" s="678"/>
    </row>
    <row r="3" spans="1:23" x14ac:dyDescent="0.35">
      <c r="E3" s="2044" t="s">
        <v>753</v>
      </c>
      <c r="F3" s="654" t="s">
        <v>1978</v>
      </c>
    </row>
    <row r="5" spans="1:23" x14ac:dyDescent="0.35">
      <c r="C5" s="693" t="s">
        <v>110</v>
      </c>
      <c r="D5" s="693"/>
      <c r="E5" s="692"/>
      <c r="F5" s="684"/>
      <c r="G5" s="684"/>
      <c r="H5" s="684"/>
    </row>
    <row r="6" spans="1:23" x14ac:dyDescent="0.35">
      <c r="C6" s="691" t="s">
        <v>1910</v>
      </c>
      <c r="D6" s="690"/>
      <c r="E6" s="663">
        <f ca="1">E7</f>
        <v>1362.1440000000002</v>
      </c>
      <c r="F6" s="690" t="s">
        <v>936</v>
      </c>
      <c r="G6" s="690"/>
      <c r="H6" s="689"/>
      <c r="I6" s="2252"/>
      <c r="J6" s="2252"/>
    </row>
    <row r="7" spans="1:23" x14ac:dyDescent="0.35">
      <c r="C7" s="687" t="s">
        <v>1911</v>
      </c>
      <c r="D7" s="677"/>
      <c r="E7" s="663">
        <f ca="1">Spaces_Sum!H27</f>
        <v>1362.1440000000002</v>
      </c>
      <c r="F7" s="677" t="s">
        <v>613</v>
      </c>
      <c r="G7" s="677"/>
      <c r="H7" s="688"/>
      <c r="I7" s="677"/>
      <c r="K7" s="1">
        <v>1</v>
      </c>
      <c r="L7" s="1"/>
      <c r="M7" s="668" t="s">
        <v>2280</v>
      </c>
      <c r="Q7" s="833">
        <f ca="1">N39</f>
        <v>28.632771207600054</v>
      </c>
      <c r="R7" s="668" t="s">
        <v>303</v>
      </c>
    </row>
    <row r="8" spans="1:23" x14ac:dyDescent="0.35">
      <c r="C8" s="687" t="s">
        <v>1912</v>
      </c>
      <c r="D8" s="677"/>
      <c r="E8" s="705">
        <f>Unit_Sum!G95</f>
        <v>71</v>
      </c>
      <c r="F8" s="677"/>
      <c r="G8" s="677"/>
      <c r="H8" s="688"/>
      <c r="I8" s="677"/>
      <c r="K8" s="2380">
        <v>10</v>
      </c>
      <c r="L8" s="1824"/>
      <c r="M8" s="668" t="s">
        <v>1913</v>
      </c>
      <c r="Q8" s="852">
        <f ca="1">Q7*E7/1000</f>
        <v>39.00195750380518</v>
      </c>
      <c r="R8" s="668" t="s">
        <v>43</v>
      </c>
    </row>
    <row r="9" spans="1:23" x14ac:dyDescent="0.35">
      <c r="C9" s="687" t="s">
        <v>900</v>
      </c>
      <c r="D9" s="706"/>
      <c r="E9" s="705">
        <f>Unit_Sum!C95</f>
        <v>119</v>
      </c>
      <c r="F9" s="677"/>
      <c r="G9" s="677"/>
      <c r="H9" s="688"/>
      <c r="I9" s="677"/>
      <c r="K9" s="668" t="s">
        <v>2281</v>
      </c>
      <c r="Q9" s="852">
        <f ca="1">Q8*H34+'MFAM ExhFan-Inf NEW!'!O44*8760</f>
        <v>135710.31330000001</v>
      </c>
      <c r="R9" s="668" t="s">
        <v>42</v>
      </c>
    </row>
    <row r="10" spans="1:23" x14ac:dyDescent="0.35">
      <c r="C10" s="687" t="s">
        <v>2279</v>
      </c>
      <c r="D10" s="677"/>
      <c r="E10" s="663">
        <f ca="1">E7*K7/1000*K8</f>
        <v>13.621440000000003</v>
      </c>
      <c r="F10" s="677"/>
      <c r="G10" s="677"/>
      <c r="H10" s="688"/>
      <c r="I10" s="677"/>
      <c r="Q10" s="852"/>
    </row>
    <row r="11" spans="1:23" x14ac:dyDescent="0.35">
      <c r="C11" s="687" t="s">
        <v>901</v>
      </c>
      <c r="D11" s="677"/>
      <c r="E11" s="663">
        <f ca="1">'Unit Loads-Simple'!E10</f>
        <v>182</v>
      </c>
      <c r="H11" s="686"/>
      <c r="J11" s="683"/>
      <c r="K11" s="2252" t="s">
        <v>2282</v>
      </c>
    </row>
    <row r="12" spans="1:23" x14ac:dyDescent="0.35">
      <c r="C12" s="707" t="s">
        <v>945</v>
      </c>
      <c r="D12" s="684"/>
      <c r="E12" s="663">
        <f>'Unit Loads-Simple'!E11</f>
        <v>92</v>
      </c>
      <c r="F12" s="670"/>
      <c r="G12" s="670"/>
      <c r="H12" s="685"/>
      <c r="J12" s="683"/>
      <c r="K12" s="713"/>
      <c r="N12" s="2709"/>
      <c r="O12" s="2709"/>
      <c r="P12" s="2709"/>
    </row>
    <row r="13" spans="1:23" x14ac:dyDescent="0.35">
      <c r="C13" s="677"/>
      <c r="D13" s="677"/>
      <c r="N13" s="2709"/>
      <c r="O13" s="2709"/>
      <c r="P13" s="2709"/>
    </row>
    <row r="14" spans="1:23" ht="14.25" customHeight="1" x14ac:dyDescent="0.35">
      <c r="B14" s="670"/>
      <c r="C14" s="684"/>
      <c r="D14" s="2397" t="s">
        <v>938</v>
      </c>
      <c r="E14" s="2398"/>
      <c r="F14" s="2398"/>
      <c r="G14" s="2398"/>
      <c r="H14" s="2399"/>
      <c r="I14" s="2396" t="s">
        <v>935</v>
      </c>
      <c r="J14" s="2391"/>
      <c r="K14" s="2392"/>
      <c r="L14" s="2391" t="s">
        <v>902</v>
      </c>
      <c r="M14" s="2391"/>
      <c r="N14" s="2392"/>
    </row>
    <row r="15" spans="1:23" s="674" customFormat="1" ht="31.8" thickBot="1" x14ac:dyDescent="0.35">
      <c r="B15" s="1825" t="s">
        <v>937</v>
      </c>
      <c r="C15" s="1826"/>
      <c r="D15" s="747" t="s">
        <v>939</v>
      </c>
      <c r="E15" s="748" t="s">
        <v>887</v>
      </c>
      <c r="F15" s="748" t="s">
        <v>928</v>
      </c>
      <c r="G15" s="748" t="s">
        <v>929</v>
      </c>
      <c r="H15" s="749" t="s">
        <v>961</v>
      </c>
      <c r="I15" s="718" t="s">
        <v>930</v>
      </c>
      <c r="J15" s="721" t="s">
        <v>931</v>
      </c>
      <c r="K15" s="723" t="s">
        <v>932</v>
      </c>
      <c r="L15" s="718" t="s">
        <v>930</v>
      </c>
      <c r="M15" s="721" t="s">
        <v>931</v>
      </c>
      <c r="N15" s="723" t="s">
        <v>932</v>
      </c>
    </row>
    <row r="16" spans="1:23" ht="16.2" thickTop="1" x14ac:dyDescent="0.35">
      <c r="B16" s="710" t="s">
        <v>883</v>
      </c>
      <c r="C16" s="711"/>
      <c r="D16" s="710"/>
      <c r="E16" s="712"/>
      <c r="F16" s="712"/>
      <c r="G16" s="712"/>
      <c r="H16" s="710"/>
      <c r="I16" s="710"/>
      <c r="J16" s="711"/>
      <c r="K16" s="724"/>
      <c r="L16" s="710"/>
      <c r="M16" s="711"/>
      <c r="N16" s="724"/>
      <c r="W16" s="699"/>
    </row>
    <row r="17" spans="2:24" x14ac:dyDescent="0.35">
      <c r="B17" s="729"/>
      <c r="C17" s="730" t="s">
        <v>903</v>
      </c>
      <c r="D17" s="731" t="s">
        <v>905</v>
      </c>
      <c r="E17" s="732">
        <v>423</v>
      </c>
      <c r="F17" s="732">
        <v>1</v>
      </c>
      <c r="G17" s="732">
        <v>0</v>
      </c>
      <c r="H17" s="733">
        <v>3285</v>
      </c>
      <c r="I17" s="733">
        <v>0</v>
      </c>
      <c r="J17" s="734">
        <f t="shared" ref="J17:J32" si="0">I17*$E17</f>
        <v>0</v>
      </c>
      <c r="K17" s="735">
        <f t="shared" ref="K17:K32" ca="1" si="1">IFERROR(J17/$H17/$E$7*1000,0)</f>
        <v>0</v>
      </c>
      <c r="L17" s="733">
        <v>0</v>
      </c>
      <c r="M17" s="734">
        <f t="shared" ref="M17:M32" si="2">L17*$E17</f>
        <v>0</v>
      </c>
      <c r="N17" s="735">
        <f t="shared" ref="N17:N32" ca="1" si="3">IFERROR(M17/$H17/$E$7*1000,0)</f>
        <v>0</v>
      </c>
      <c r="V17" s="846">
        <f ca="1">J17*3.413/Proj_Sum!$P$32</f>
        <v>0</v>
      </c>
      <c r="X17" s="846">
        <f ca="1">M17*3.413/Proj_Sum!$P$32</f>
        <v>0</v>
      </c>
    </row>
    <row r="18" spans="2:24" x14ac:dyDescent="0.35">
      <c r="B18" s="671"/>
      <c r="C18" s="736" t="s">
        <v>904</v>
      </c>
      <c r="D18" s="737" t="s">
        <v>906</v>
      </c>
      <c r="E18" s="680">
        <v>529</v>
      </c>
      <c r="F18" s="680">
        <v>1</v>
      </c>
      <c r="G18" s="680">
        <v>0</v>
      </c>
      <c r="H18" s="716">
        <v>3285</v>
      </c>
      <c r="I18" s="716">
        <v>0</v>
      </c>
      <c r="J18" s="738">
        <f t="shared" si="0"/>
        <v>0</v>
      </c>
      <c r="K18" s="739">
        <f t="shared" ca="1" si="1"/>
        <v>0</v>
      </c>
      <c r="L18" s="716">
        <v>0</v>
      </c>
      <c r="M18" s="738">
        <f t="shared" si="2"/>
        <v>0</v>
      </c>
      <c r="N18" s="739">
        <f t="shared" ca="1" si="3"/>
        <v>0</v>
      </c>
      <c r="V18" s="846">
        <f ca="1">J18*3.413/Proj_Sum!$P$32</f>
        <v>0</v>
      </c>
      <c r="X18" s="846">
        <f ca="1">M18*3.413/Proj_Sum!$P$32</f>
        <v>0</v>
      </c>
    </row>
    <row r="19" spans="2:24" x14ac:dyDescent="0.35">
      <c r="B19" s="729"/>
      <c r="C19" s="730" t="s">
        <v>907</v>
      </c>
      <c r="D19" s="731" t="s">
        <v>909</v>
      </c>
      <c r="E19" s="732">
        <v>164</v>
      </c>
      <c r="F19" s="732">
        <v>0.6</v>
      </c>
      <c r="G19" s="732">
        <v>0.15</v>
      </c>
      <c r="H19" s="733">
        <v>3285</v>
      </c>
      <c r="I19" s="733">
        <v>0</v>
      </c>
      <c r="J19" s="734">
        <f t="shared" si="0"/>
        <v>0</v>
      </c>
      <c r="K19" s="735">
        <f t="shared" ca="1" si="1"/>
        <v>0</v>
      </c>
      <c r="L19" s="733">
        <v>0</v>
      </c>
      <c r="M19" s="734">
        <f t="shared" si="2"/>
        <v>0</v>
      </c>
      <c r="N19" s="735">
        <f t="shared" ca="1" si="3"/>
        <v>0</v>
      </c>
      <c r="V19" s="846">
        <f ca="1">J19*3.413/Proj_Sum!$P$32</f>
        <v>0</v>
      </c>
      <c r="X19" s="846">
        <f ca="1">M19*3.413/Proj_Sum!$P$32</f>
        <v>0</v>
      </c>
    </row>
    <row r="20" spans="2:24" x14ac:dyDescent="0.35">
      <c r="B20" s="671"/>
      <c r="C20" s="736" t="s">
        <v>908</v>
      </c>
      <c r="D20" s="737" t="s">
        <v>910</v>
      </c>
      <c r="E20" s="680">
        <v>206</v>
      </c>
      <c r="F20" s="680">
        <v>0.6</v>
      </c>
      <c r="G20" s="680">
        <v>0.15</v>
      </c>
      <c r="H20" s="716">
        <v>3285</v>
      </c>
      <c r="I20" s="716">
        <v>0</v>
      </c>
      <c r="J20" s="738">
        <f t="shared" si="0"/>
        <v>0</v>
      </c>
      <c r="K20" s="739">
        <f t="shared" ca="1" si="1"/>
        <v>0</v>
      </c>
      <c r="L20" s="716">
        <v>0</v>
      </c>
      <c r="M20" s="738">
        <f t="shared" si="2"/>
        <v>0</v>
      </c>
      <c r="N20" s="739">
        <f t="shared" ca="1" si="3"/>
        <v>0</v>
      </c>
      <c r="V20" s="846">
        <f ca="1">J20*3.413/Proj_Sum!$P$32</f>
        <v>0</v>
      </c>
      <c r="X20" s="846">
        <f ca="1">M20*3.413/Proj_Sum!$P$32</f>
        <v>0</v>
      </c>
    </row>
    <row r="21" spans="2:24" x14ac:dyDescent="0.35">
      <c r="B21" s="729"/>
      <c r="C21" s="730" t="s">
        <v>911</v>
      </c>
      <c r="D21" s="731" t="s">
        <v>918</v>
      </c>
      <c r="E21" s="732">
        <v>57</v>
      </c>
      <c r="F21" s="732">
        <v>0.8</v>
      </c>
      <c r="G21" s="732">
        <v>0</v>
      </c>
      <c r="H21" s="733">
        <v>3285</v>
      </c>
      <c r="I21" s="733">
        <v>0</v>
      </c>
      <c r="J21" s="734">
        <f t="shared" si="0"/>
        <v>0</v>
      </c>
      <c r="K21" s="735">
        <f t="shared" ca="1" si="1"/>
        <v>0</v>
      </c>
      <c r="L21" s="733">
        <v>0</v>
      </c>
      <c r="M21" s="734">
        <f t="shared" si="2"/>
        <v>0</v>
      </c>
      <c r="N21" s="735">
        <f t="shared" ca="1" si="3"/>
        <v>0</v>
      </c>
      <c r="V21" s="846">
        <f ca="1">J21*3.413/Proj_Sum!$P$32</f>
        <v>0</v>
      </c>
      <c r="X21" s="846">
        <f ca="1">M21*3.413/Proj_Sum!$P$32</f>
        <v>0</v>
      </c>
    </row>
    <row r="22" spans="2:24" x14ac:dyDescent="0.35">
      <c r="B22" s="671"/>
      <c r="C22" s="736" t="s">
        <v>912</v>
      </c>
      <c r="D22" s="737" t="s">
        <v>919</v>
      </c>
      <c r="E22" s="680">
        <v>81</v>
      </c>
      <c r="F22" s="680">
        <v>0.8</v>
      </c>
      <c r="G22" s="680">
        <v>0</v>
      </c>
      <c r="H22" s="716">
        <v>3285</v>
      </c>
      <c r="I22" s="716">
        <v>0</v>
      </c>
      <c r="J22" s="738">
        <f t="shared" si="0"/>
        <v>0</v>
      </c>
      <c r="K22" s="739">
        <f t="shared" ca="1" si="1"/>
        <v>0</v>
      </c>
      <c r="L22" s="716">
        <v>0</v>
      </c>
      <c r="M22" s="738">
        <f t="shared" si="2"/>
        <v>0</v>
      </c>
      <c r="N22" s="739">
        <f t="shared" ca="1" si="3"/>
        <v>0</v>
      </c>
      <c r="V22" s="846">
        <f ca="1">J22*3.413/Proj_Sum!$P$32</f>
        <v>0</v>
      </c>
      <c r="X22" s="846">
        <f ca="1">M22*3.413/Proj_Sum!$P$32</f>
        <v>0</v>
      </c>
    </row>
    <row r="23" spans="2:24" x14ac:dyDescent="0.35">
      <c r="B23" s="729"/>
      <c r="C23" s="730" t="s">
        <v>913</v>
      </c>
      <c r="D23" s="731" t="s">
        <v>920</v>
      </c>
      <c r="E23" s="732">
        <v>138</v>
      </c>
      <c r="F23" s="732">
        <v>0.8</v>
      </c>
      <c r="G23" s="732">
        <v>0</v>
      </c>
      <c r="H23" s="733">
        <v>3285</v>
      </c>
      <c r="I23" s="733">
        <v>0</v>
      </c>
      <c r="J23" s="734">
        <f t="shared" si="0"/>
        <v>0</v>
      </c>
      <c r="K23" s="735">
        <f t="shared" ca="1" si="1"/>
        <v>0</v>
      </c>
      <c r="L23" s="733">
        <v>0</v>
      </c>
      <c r="M23" s="734">
        <f t="shared" si="2"/>
        <v>0</v>
      </c>
      <c r="N23" s="735">
        <f t="shared" ca="1" si="3"/>
        <v>0</v>
      </c>
      <c r="W23" s="699"/>
    </row>
    <row r="24" spans="2:24" x14ac:dyDescent="0.35">
      <c r="B24" s="671"/>
      <c r="C24" s="736" t="s">
        <v>914</v>
      </c>
      <c r="D24" s="737" t="s">
        <v>921</v>
      </c>
      <c r="E24" s="680">
        <v>196</v>
      </c>
      <c r="F24" s="680">
        <v>0.8</v>
      </c>
      <c r="G24" s="680">
        <v>0</v>
      </c>
      <c r="H24" s="716">
        <v>3285</v>
      </c>
      <c r="I24" s="716">
        <f>E8</f>
        <v>71</v>
      </c>
      <c r="J24" s="738">
        <f t="shared" si="0"/>
        <v>13916</v>
      </c>
      <c r="K24" s="739">
        <f t="shared" ca="1" si="1"/>
        <v>3.1099687451269848</v>
      </c>
      <c r="L24" s="716">
        <f>I24</f>
        <v>71</v>
      </c>
      <c r="M24" s="738">
        <f t="shared" si="2"/>
        <v>13916</v>
      </c>
      <c r="N24" s="739">
        <f t="shared" ca="1" si="3"/>
        <v>3.1099687451269848</v>
      </c>
      <c r="W24" s="699"/>
    </row>
    <row r="25" spans="2:24" x14ac:dyDescent="0.35">
      <c r="B25" s="740"/>
      <c r="C25" s="741" t="s">
        <v>915</v>
      </c>
      <c r="D25" s="742" t="s">
        <v>922</v>
      </c>
      <c r="E25" s="743">
        <f>418+139*$E$9/$E$8</f>
        <v>650.97183098591552</v>
      </c>
      <c r="F25" s="743">
        <v>0.15</v>
      </c>
      <c r="G25" s="743">
        <v>0.05</v>
      </c>
      <c r="H25" s="744">
        <v>3285</v>
      </c>
      <c r="I25" s="716">
        <v>0</v>
      </c>
      <c r="J25" s="745">
        <f t="shared" si="0"/>
        <v>0</v>
      </c>
      <c r="K25" s="746">
        <f t="shared" ca="1" si="1"/>
        <v>0</v>
      </c>
      <c r="L25" s="733">
        <v>0</v>
      </c>
      <c r="M25" s="745">
        <f t="shared" si="2"/>
        <v>0</v>
      </c>
      <c r="N25" s="746">
        <f t="shared" ca="1" si="3"/>
        <v>0</v>
      </c>
      <c r="V25" s="846">
        <f ca="1">J25*3.413/Proj_Sum!$P$32</f>
        <v>0</v>
      </c>
      <c r="X25" s="846">
        <f ca="1">M25*3.413/Proj_Sum!$P$32</f>
        <v>0</v>
      </c>
    </row>
    <row r="26" spans="2:24" x14ac:dyDescent="0.35">
      <c r="B26" s="729"/>
      <c r="C26" s="730" t="s">
        <v>924</v>
      </c>
      <c r="D26" s="731" t="s">
        <v>1029</v>
      </c>
      <c r="E26" s="732">
        <f>38+12.7*E9/E8</f>
        <v>59.285915492957741</v>
      </c>
      <c r="F26" s="732">
        <v>1</v>
      </c>
      <c r="G26" s="732">
        <v>0</v>
      </c>
      <c r="H26" s="733">
        <v>3285</v>
      </c>
      <c r="I26" s="733">
        <v>0</v>
      </c>
      <c r="J26" s="734">
        <f t="shared" si="0"/>
        <v>0</v>
      </c>
      <c r="K26" s="735">
        <f t="shared" ca="1" si="1"/>
        <v>0</v>
      </c>
      <c r="L26" s="733">
        <v>0</v>
      </c>
      <c r="M26" s="734">
        <f t="shared" si="2"/>
        <v>0</v>
      </c>
      <c r="N26" s="735">
        <f t="shared" ca="1" si="3"/>
        <v>0</v>
      </c>
      <c r="W26" s="699"/>
    </row>
    <row r="27" spans="2:24" x14ac:dyDescent="0.35">
      <c r="B27" s="671"/>
      <c r="C27" s="736" t="s">
        <v>923</v>
      </c>
      <c r="D27" s="737" t="s">
        <v>1030</v>
      </c>
      <c r="E27" s="680">
        <f>26.5+8.8*E9/E8</f>
        <v>41.249295774647891</v>
      </c>
      <c r="F27" s="680">
        <v>0.15</v>
      </c>
      <c r="G27" s="680">
        <v>0.05</v>
      </c>
      <c r="H27" s="716">
        <v>3285</v>
      </c>
      <c r="I27" s="716">
        <v>0</v>
      </c>
      <c r="J27" s="738">
        <f t="shared" si="0"/>
        <v>0</v>
      </c>
      <c r="K27" s="739">
        <f t="shared" ca="1" si="1"/>
        <v>0</v>
      </c>
      <c r="L27" s="716">
        <v>0</v>
      </c>
      <c r="M27" s="738">
        <f t="shared" si="2"/>
        <v>0</v>
      </c>
      <c r="N27" s="739">
        <f t="shared" ca="1" si="3"/>
        <v>0</v>
      </c>
      <c r="W27" s="699"/>
    </row>
    <row r="28" spans="2:24" x14ac:dyDescent="0.35">
      <c r="B28" s="740"/>
      <c r="C28" s="741" t="s">
        <v>1025</v>
      </c>
      <c r="D28" s="742" t="s">
        <v>1026</v>
      </c>
      <c r="E28" s="743">
        <f>1013+337*$E$9/$E$8</f>
        <v>1577.8309859154929</v>
      </c>
      <c r="F28" s="743">
        <v>0.15</v>
      </c>
      <c r="G28" s="743">
        <v>0.05</v>
      </c>
      <c r="H28" s="744">
        <v>3285</v>
      </c>
      <c r="I28" s="744">
        <f>E8</f>
        <v>71</v>
      </c>
      <c r="J28" s="745">
        <f t="shared" si="0"/>
        <v>112026</v>
      </c>
      <c r="K28" s="746">
        <f t="shared" ca="1" si="1"/>
        <v>25.035740057602446</v>
      </c>
      <c r="L28" s="744">
        <f>I28</f>
        <v>71</v>
      </c>
      <c r="M28" s="745">
        <f t="shared" si="2"/>
        <v>112026</v>
      </c>
      <c r="N28" s="746">
        <f t="shared" ca="1" si="3"/>
        <v>25.035740057602446</v>
      </c>
      <c r="P28" s="846"/>
      <c r="Q28" s="846"/>
      <c r="W28" s="699"/>
    </row>
    <row r="29" spans="2:24" x14ac:dyDescent="0.35">
      <c r="B29" s="729"/>
      <c r="C29" s="730" t="s">
        <v>925</v>
      </c>
      <c r="D29" s="731" t="s">
        <v>1031</v>
      </c>
      <c r="E29" s="732">
        <f>92+30.8*E9/E8</f>
        <v>143.6225352112676</v>
      </c>
      <c r="F29" s="732">
        <v>1</v>
      </c>
      <c r="G29" s="732">
        <v>0</v>
      </c>
      <c r="H29" s="733">
        <v>3285</v>
      </c>
      <c r="I29" s="733">
        <v>0</v>
      </c>
      <c r="J29" s="734">
        <f t="shared" si="0"/>
        <v>0</v>
      </c>
      <c r="K29" s="735">
        <f t="shared" ca="1" si="1"/>
        <v>0</v>
      </c>
      <c r="L29" s="733">
        <v>0</v>
      </c>
      <c r="M29" s="734">
        <f t="shared" si="2"/>
        <v>0</v>
      </c>
      <c r="N29" s="735">
        <f t="shared" ca="1" si="3"/>
        <v>0</v>
      </c>
      <c r="W29" s="699"/>
    </row>
    <row r="30" spans="2:24" x14ac:dyDescent="0.35">
      <c r="B30" s="671"/>
      <c r="C30" s="736" t="s">
        <v>926</v>
      </c>
      <c r="D30" s="737" t="s">
        <v>1032</v>
      </c>
      <c r="E30" s="680">
        <f>61+21.3*E9/E8</f>
        <v>96.7</v>
      </c>
      <c r="F30" s="680">
        <v>0.15</v>
      </c>
      <c r="G30" s="680">
        <v>0.05</v>
      </c>
      <c r="H30" s="716">
        <v>3285</v>
      </c>
      <c r="I30" s="716">
        <v>0</v>
      </c>
      <c r="J30" s="738">
        <f t="shared" si="0"/>
        <v>0</v>
      </c>
      <c r="K30" s="739">
        <f t="shared" ca="1" si="1"/>
        <v>0</v>
      </c>
      <c r="L30" s="716">
        <v>0</v>
      </c>
      <c r="M30" s="738">
        <f t="shared" si="2"/>
        <v>0</v>
      </c>
      <c r="N30" s="739">
        <f t="shared" ca="1" si="3"/>
        <v>0</v>
      </c>
      <c r="W30" s="699"/>
    </row>
    <row r="31" spans="2:24" x14ac:dyDescent="0.35">
      <c r="B31" s="729"/>
      <c r="C31" s="719" t="s">
        <v>916</v>
      </c>
      <c r="D31" s="729" t="s">
        <v>1914</v>
      </c>
      <c r="E31" s="732">
        <v>606</v>
      </c>
      <c r="F31" s="732">
        <v>0.4</v>
      </c>
      <c r="G31" s="732">
        <v>0.3</v>
      </c>
      <c r="H31" s="733">
        <v>3285</v>
      </c>
      <c r="I31" s="733">
        <v>0</v>
      </c>
      <c r="J31" s="924">
        <f t="shared" si="0"/>
        <v>0</v>
      </c>
      <c r="K31" s="735">
        <f t="shared" ca="1" si="1"/>
        <v>0</v>
      </c>
      <c r="L31" s="733">
        <v>0</v>
      </c>
      <c r="M31" s="924">
        <f t="shared" si="2"/>
        <v>0</v>
      </c>
      <c r="N31" s="735">
        <f t="shared" ca="1" si="3"/>
        <v>0</v>
      </c>
      <c r="P31" s="846"/>
      <c r="Q31" s="846"/>
      <c r="V31" s="846">
        <f ca="1">J31*3.413/Proj_Sum!$P$32</f>
        <v>0</v>
      </c>
      <c r="X31" s="846">
        <f ca="1">M31*3.413/Proj_Sum!$P$32</f>
        <v>0</v>
      </c>
    </row>
    <row r="32" spans="2:24" x14ac:dyDescent="0.35">
      <c r="B32" s="671"/>
      <c r="C32" s="670" t="s">
        <v>917</v>
      </c>
      <c r="D32" s="737"/>
      <c r="E32" s="680"/>
      <c r="F32" s="680">
        <v>0.3</v>
      </c>
      <c r="G32" s="680">
        <v>0.2</v>
      </c>
      <c r="H32" s="716">
        <v>3285</v>
      </c>
      <c r="I32" s="716">
        <v>0</v>
      </c>
      <c r="J32" s="738">
        <f t="shared" si="0"/>
        <v>0</v>
      </c>
      <c r="K32" s="739">
        <f t="shared" ca="1" si="1"/>
        <v>0</v>
      </c>
      <c r="L32" s="716">
        <v>0</v>
      </c>
      <c r="M32" s="738">
        <f t="shared" si="2"/>
        <v>0</v>
      </c>
      <c r="N32" s="739">
        <f t="shared" ca="1" si="3"/>
        <v>0</v>
      </c>
      <c r="W32" s="699"/>
    </row>
    <row r="33" spans="2:27" x14ac:dyDescent="0.35">
      <c r="B33" s="710" t="s">
        <v>882</v>
      </c>
      <c r="C33" s="711"/>
      <c r="D33" s="710"/>
      <c r="E33" s="712"/>
      <c r="F33" s="712"/>
      <c r="G33" s="712"/>
      <c r="H33" s="710"/>
      <c r="I33" s="710"/>
      <c r="J33" s="711"/>
      <c r="K33" s="726"/>
      <c r="L33" s="710"/>
      <c r="M33" s="711"/>
      <c r="N33" s="726"/>
      <c r="W33" s="699"/>
    </row>
    <row r="34" spans="2:27" x14ac:dyDescent="0.35">
      <c r="B34" s="676"/>
      <c r="C34" s="668" t="s">
        <v>885</v>
      </c>
      <c r="D34" s="708" t="s">
        <v>1915</v>
      </c>
      <c r="E34" s="682">
        <f ca="1">1.6*$E$6</f>
        <v>2179.4304000000006</v>
      </c>
      <c r="F34" s="682">
        <v>0.9</v>
      </c>
      <c r="G34" s="682">
        <v>0.1</v>
      </c>
      <c r="H34" s="715">
        <v>3285</v>
      </c>
      <c r="I34" s="715">
        <v>1</v>
      </c>
      <c r="J34" s="722">
        <f ca="1">I34*$E34</f>
        <v>2179.4304000000006</v>
      </c>
      <c r="K34" s="725">
        <f ca="1">IFERROR(J34/$H34/$E$7*1000,0)</f>
        <v>0.48706240487062408</v>
      </c>
      <c r="L34" s="715">
        <v>1</v>
      </c>
      <c r="M34" s="722">
        <f ca="1">L34*$E34</f>
        <v>2179.4304000000006</v>
      </c>
      <c r="N34" s="725">
        <f ca="1">IFERROR(M34/$H34/$E$7*1000,0)</f>
        <v>0.48706240487062408</v>
      </c>
      <c r="V34" s="846">
        <f ca="1">J34*3.413/Proj_Sum!$P$32</f>
        <v>6.2126579759515653E-2</v>
      </c>
      <c r="X34" s="846">
        <f ca="1">M34*3.413/Proj_Sum!$P$32</f>
        <v>6.2126579759515653E-2</v>
      </c>
    </row>
    <row r="35" spans="2:27" x14ac:dyDescent="0.35">
      <c r="B35" s="710" t="s">
        <v>1916</v>
      </c>
      <c r="C35" s="711"/>
      <c r="D35" s="710"/>
      <c r="E35" s="712"/>
      <c r="F35" s="712"/>
      <c r="G35" s="712"/>
      <c r="H35" s="710"/>
      <c r="I35" s="710"/>
      <c r="J35" s="711"/>
      <c r="K35" s="726"/>
      <c r="L35" s="710"/>
      <c r="M35" s="711"/>
      <c r="N35" s="726"/>
      <c r="W35" s="699"/>
    </row>
    <row r="36" spans="2:27" x14ac:dyDescent="0.35">
      <c r="B36" s="676"/>
      <c r="C36" s="668" t="s">
        <v>78</v>
      </c>
      <c r="D36" s="708" t="s">
        <v>1917</v>
      </c>
      <c r="E36" s="682"/>
      <c r="F36" s="682"/>
      <c r="G36" s="682"/>
      <c r="H36" s="715"/>
      <c r="I36" s="715"/>
      <c r="J36" s="722"/>
      <c r="K36" s="725"/>
      <c r="L36" s="715"/>
      <c r="M36" s="722"/>
      <c r="N36" s="725"/>
      <c r="W36" s="699"/>
    </row>
    <row r="37" spans="2:27" x14ac:dyDescent="0.35">
      <c r="B37" s="676"/>
      <c r="C37" s="668" t="s">
        <v>1918</v>
      </c>
      <c r="D37" s="708" t="s">
        <v>1919</v>
      </c>
      <c r="E37" s="682"/>
      <c r="F37" s="682"/>
      <c r="G37" s="682"/>
      <c r="H37" s="715"/>
      <c r="I37" s="715"/>
      <c r="J37" s="722"/>
      <c r="K37" s="725"/>
      <c r="L37" s="715"/>
      <c r="M37" s="722"/>
      <c r="N37" s="725"/>
      <c r="W37" s="699"/>
    </row>
    <row r="38" spans="2:27" x14ac:dyDescent="0.35">
      <c r="B38" s="673" t="s">
        <v>884</v>
      </c>
      <c r="C38" s="672"/>
      <c r="D38" s="673"/>
      <c r="E38" s="681"/>
      <c r="F38" s="681"/>
      <c r="G38" s="681"/>
      <c r="H38" s="673"/>
      <c r="I38" s="673"/>
      <c r="J38" s="672"/>
      <c r="K38" s="727"/>
      <c r="L38" s="673"/>
      <c r="M38" s="672"/>
      <c r="N38" s="727"/>
    </row>
    <row r="39" spans="2:27" x14ac:dyDescent="0.35">
      <c r="B39" s="671"/>
      <c r="C39" s="670"/>
      <c r="D39" s="671"/>
      <c r="E39" s="680"/>
      <c r="F39" s="2707" t="s">
        <v>971</v>
      </c>
      <c r="G39" s="2708"/>
      <c r="H39" s="2708"/>
      <c r="I39" s="2708"/>
      <c r="J39" s="1827">
        <f ca="1">SUM(J17:J34)</f>
        <v>128121.4304</v>
      </c>
      <c r="K39" s="720">
        <f ca="1">SUM(K17:K34)</f>
        <v>28.632771207600054</v>
      </c>
      <c r="L39" s="716"/>
      <c r="M39" s="1827">
        <f ca="1">SUM(M17:M34)</f>
        <v>128121.4304</v>
      </c>
      <c r="N39" s="720">
        <f ca="1">SUM(N17:N34)</f>
        <v>28.632771207600054</v>
      </c>
    </row>
    <row r="40" spans="2:27" ht="15" customHeight="1" x14ac:dyDescent="0.35">
      <c r="E40" s="694"/>
      <c r="I40" s="2396" t="s">
        <v>933</v>
      </c>
      <c r="J40" s="2392"/>
      <c r="K40" s="638">
        <f ca="1">SUMPRODUCT($J$17:$J$34,$F$17:$F$34)/SUM($J$17:$J$34)</f>
        <v>0.23335820765235538</v>
      </c>
      <c r="L40" s="2390" t="s">
        <v>933</v>
      </c>
      <c r="M40" s="2390"/>
      <c r="N40" s="638">
        <f ca="1">SUMPRODUCT($M$17:$M$34,$F$17:$F$34)/SUM($M$17:$M$34)</f>
        <v>0.23335820765235538</v>
      </c>
      <c r="P40" s="833"/>
      <c r="Q40" s="833"/>
      <c r="Y40" s="694"/>
      <c r="Z40" s="694"/>
      <c r="AA40" s="694"/>
    </row>
    <row r="41" spans="2:27" ht="15" customHeight="1" x14ac:dyDescent="0.35">
      <c r="E41" s="695"/>
      <c r="I41" s="2396" t="s">
        <v>934</v>
      </c>
      <c r="J41" s="2392"/>
      <c r="K41" s="638">
        <f ca="1">SUMPRODUCT($J$17:$J$34,$G$17:$G$34)/SUM($J$17:$J$34)</f>
        <v>4.5419747670878335E-2</v>
      </c>
      <c r="L41" s="2390" t="s">
        <v>934</v>
      </c>
      <c r="M41" s="2390"/>
      <c r="N41" s="638">
        <f ca="1">SUMPRODUCT($M$17:$M$34,$G$17:$G$34)/SUM($M$17:$M$34)</f>
        <v>4.5419747670878335E-2</v>
      </c>
      <c r="Y41" s="695"/>
      <c r="Z41" s="695"/>
      <c r="AA41" s="695"/>
    </row>
    <row r="42" spans="2:27" ht="15" customHeight="1" x14ac:dyDescent="0.35">
      <c r="E42" s="695"/>
      <c r="I42" s="2396" t="s">
        <v>1107</v>
      </c>
      <c r="J42" s="2392"/>
      <c r="K42" s="638">
        <f ca="1">1-K40-K41</f>
        <v>0.72122204467676632</v>
      </c>
      <c r="L42" s="2390" t="s">
        <v>1107</v>
      </c>
      <c r="M42" s="2390"/>
      <c r="N42" s="638">
        <f ca="1">1-N40-N41</f>
        <v>0.72122204467676632</v>
      </c>
      <c r="Y42" s="695"/>
      <c r="Z42" s="695"/>
      <c r="AA42" s="695"/>
    </row>
    <row r="43" spans="2:27" x14ac:dyDescent="0.35">
      <c r="Q43" s="678"/>
    </row>
    <row r="44" spans="2:27" x14ac:dyDescent="0.35">
      <c r="B44" s="1828"/>
      <c r="C44" s="1829"/>
      <c r="D44" s="2705"/>
      <c r="E44" s="2705"/>
      <c r="F44" s="2705"/>
      <c r="G44" s="2705"/>
      <c r="H44" s="2705"/>
      <c r="I44" s="2706"/>
      <c r="J44" s="2706"/>
      <c r="K44" s="2706"/>
      <c r="L44" s="2706"/>
      <c r="M44" s="2706"/>
      <c r="N44" s="2706"/>
      <c r="O44" s="2706"/>
      <c r="P44" s="2706"/>
    </row>
    <row r="45" spans="2:27" x14ac:dyDescent="0.35">
      <c r="B45" s="1830"/>
      <c r="C45" s="1831"/>
      <c r="D45" s="1832"/>
      <c r="E45" s="1833"/>
      <c r="F45" s="1833"/>
      <c r="G45" s="1833"/>
      <c r="H45" s="1833"/>
      <c r="I45" s="1833"/>
      <c r="J45" s="1833"/>
      <c r="K45" s="1833"/>
      <c r="L45" s="1833"/>
      <c r="M45" s="1833"/>
      <c r="N45" s="1833"/>
      <c r="O45" s="1833"/>
      <c r="P45" s="1833"/>
    </row>
    <row r="46" spans="2:27" x14ac:dyDescent="0.35">
      <c r="B46" s="1834"/>
      <c r="C46" s="1834"/>
      <c r="D46" s="1834"/>
      <c r="E46" s="1835"/>
      <c r="F46" s="1835"/>
      <c r="G46" s="1834"/>
      <c r="H46" s="1834"/>
      <c r="I46" s="1836"/>
      <c r="J46" s="1837"/>
      <c r="K46" s="1838"/>
      <c r="L46" s="1838"/>
      <c r="M46" s="1828"/>
      <c r="N46" s="1839"/>
      <c r="O46" s="1840"/>
      <c r="P46" s="1840"/>
    </row>
    <row r="47" spans="2:27" x14ac:dyDescent="0.35">
      <c r="B47" s="1828"/>
      <c r="C47" s="1828"/>
      <c r="D47" s="1828"/>
      <c r="E47" s="1828"/>
      <c r="F47" s="1828"/>
      <c r="G47" s="1828"/>
      <c r="H47" s="1828"/>
      <c r="I47" s="1828"/>
      <c r="J47" s="1828"/>
      <c r="K47" s="1828"/>
      <c r="L47" s="1828"/>
      <c r="M47" s="1828"/>
      <c r="N47" s="1828"/>
      <c r="O47" s="1828"/>
      <c r="P47" s="1828"/>
    </row>
    <row r="48" spans="2:27" x14ac:dyDescent="0.35">
      <c r="B48" s="1828"/>
      <c r="C48" s="1828"/>
      <c r="D48" s="1828"/>
      <c r="E48" s="1828"/>
      <c r="F48" s="1828"/>
      <c r="G48" s="1828"/>
      <c r="H48" s="1828"/>
      <c r="I48" s="1828"/>
      <c r="J48" s="1828"/>
      <c r="K48" s="1828"/>
      <c r="L48" s="1828"/>
      <c r="M48" s="1828"/>
      <c r="N48" s="1828"/>
      <c r="O48" s="1828"/>
      <c r="P48" s="1828"/>
    </row>
    <row r="49" spans="2:16" x14ac:dyDescent="0.35">
      <c r="B49" s="1841"/>
      <c r="C49" s="1841"/>
      <c r="D49" s="1841"/>
      <c r="E49" s="1842"/>
      <c r="F49" s="1841"/>
      <c r="G49" s="1841"/>
      <c r="H49" s="1841"/>
      <c r="I49" s="1841"/>
      <c r="J49" s="1841"/>
      <c r="K49" s="1841"/>
      <c r="L49" s="1841"/>
      <c r="M49" s="1843"/>
      <c r="N49" s="1844"/>
      <c r="O49" s="1841"/>
      <c r="P49" s="1841"/>
    </row>
    <row r="50" spans="2:16" x14ac:dyDescent="0.35">
      <c r="B50" s="1828"/>
      <c r="C50" s="1828"/>
      <c r="D50" s="1828"/>
      <c r="E50" s="1828"/>
      <c r="F50" s="1828"/>
      <c r="G50" s="1828"/>
      <c r="H50" s="1828"/>
      <c r="I50" s="1828"/>
      <c r="J50" s="1828"/>
      <c r="K50" s="1828"/>
      <c r="L50" s="1828"/>
      <c r="M50" s="1828"/>
      <c r="N50" s="1828"/>
      <c r="O50" s="1828"/>
      <c r="P50" s="1828"/>
    </row>
    <row r="51" spans="2:16" x14ac:dyDescent="0.35">
      <c r="B51" s="1828"/>
      <c r="C51" s="1828"/>
      <c r="D51" s="1828"/>
      <c r="E51" s="1828"/>
      <c r="F51" s="1828"/>
      <c r="G51" s="1828"/>
      <c r="H51" s="1828"/>
      <c r="I51" s="1828"/>
      <c r="J51" s="1828"/>
      <c r="K51" s="1828"/>
      <c r="L51" s="1828"/>
      <c r="M51" s="1828"/>
      <c r="N51" s="1828"/>
      <c r="O51" s="1828"/>
      <c r="P51" s="1828"/>
    </row>
    <row r="52" spans="2:16" x14ac:dyDescent="0.35">
      <c r="B52" s="1828"/>
      <c r="C52" s="1828"/>
      <c r="D52" s="1828"/>
      <c r="E52" s="1828"/>
      <c r="F52" s="1828"/>
      <c r="G52" s="1828"/>
      <c r="H52" s="1828"/>
      <c r="I52" s="1828"/>
      <c r="J52" s="1828"/>
      <c r="K52" s="1828"/>
      <c r="L52" s="1828"/>
      <c r="M52" s="1845"/>
      <c r="N52" s="1828"/>
      <c r="O52" s="1828"/>
      <c r="P52" s="1828"/>
    </row>
    <row r="53" spans="2:16" x14ac:dyDescent="0.35">
      <c r="B53" s="1828"/>
      <c r="C53" s="1828"/>
      <c r="D53" s="1828"/>
      <c r="E53" s="1828"/>
      <c r="F53" s="1828"/>
      <c r="G53" s="1828"/>
      <c r="H53" s="1828"/>
      <c r="I53" s="1828"/>
      <c r="J53" s="1828"/>
      <c r="K53" s="1828"/>
      <c r="L53" s="1828"/>
      <c r="M53" s="1828"/>
      <c r="N53" s="1828"/>
      <c r="O53" s="1828"/>
      <c r="P53" s="1828"/>
    </row>
    <row r="54" spans="2:16" x14ac:dyDescent="0.35">
      <c r="B54" s="1841"/>
      <c r="C54" s="1841"/>
      <c r="D54" s="1841"/>
      <c r="E54" s="1842"/>
      <c r="F54" s="1841"/>
      <c r="G54" s="1841"/>
      <c r="H54" s="1841"/>
      <c r="I54" s="1841"/>
      <c r="J54" s="1841"/>
      <c r="K54" s="1841"/>
      <c r="L54" s="1841"/>
      <c r="M54" s="1843"/>
      <c r="N54" s="1841"/>
      <c r="O54" s="1841"/>
      <c r="P54" s="1841"/>
    </row>
    <row r="55" spans="2:16" x14ac:dyDescent="0.35">
      <c r="B55" s="1846"/>
      <c r="C55" s="1846"/>
      <c r="D55" s="1846"/>
      <c r="E55" s="1846"/>
      <c r="F55" s="1846"/>
      <c r="G55" s="1846"/>
      <c r="H55" s="1846"/>
      <c r="I55" s="1846"/>
      <c r="J55" s="1846"/>
      <c r="K55" s="1846"/>
      <c r="L55" s="1846"/>
      <c r="M55" s="1846"/>
      <c r="N55" s="1846"/>
      <c r="O55" s="1846"/>
      <c r="P55" s="1846"/>
    </row>
    <row r="56" spans="2:16" x14ac:dyDescent="0.35">
      <c r="B56" s="1828"/>
      <c r="C56" s="1830"/>
      <c r="D56" s="1847"/>
      <c r="E56" s="1847"/>
      <c r="F56" s="1847"/>
      <c r="G56" s="1847"/>
      <c r="H56" s="1847"/>
      <c r="I56" s="1848"/>
      <c r="J56" s="1849"/>
      <c r="K56" s="1850"/>
      <c r="L56" s="1850"/>
      <c r="M56" s="1847"/>
      <c r="N56" s="1851"/>
      <c r="O56" s="1850"/>
      <c r="P56" s="1850"/>
    </row>
    <row r="58" spans="2:16" x14ac:dyDescent="0.35">
      <c r="B58" s="740"/>
      <c r="C58" s="775"/>
      <c r="D58" s="2397" t="s">
        <v>938</v>
      </c>
      <c r="E58" s="2398"/>
      <c r="F58" s="2398"/>
      <c r="G58" s="2398"/>
      <c r="H58" s="2399"/>
      <c r="I58" s="2396" t="s">
        <v>935</v>
      </c>
      <c r="J58" s="2391"/>
      <c r="K58" s="2391"/>
      <c r="L58" s="2392"/>
      <c r="M58" s="2396" t="s">
        <v>902</v>
      </c>
      <c r="N58" s="2391"/>
      <c r="O58" s="2391"/>
      <c r="P58" s="2392"/>
    </row>
    <row r="59" spans="2:16" ht="31.8" thickBot="1" x14ac:dyDescent="0.4">
      <c r="B59" s="1852" t="s">
        <v>968</v>
      </c>
      <c r="C59" s="1853"/>
      <c r="D59" s="754"/>
      <c r="E59" s="717" t="s">
        <v>964</v>
      </c>
      <c r="F59" s="717"/>
      <c r="G59" s="717"/>
      <c r="H59" s="717" t="s">
        <v>961</v>
      </c>
      <c r="I59" s="718" t="s">
        <v>930</v>
      </c>
      <c r="J59" s="721" t="s">
        <v>962</v>
      </c>
      <c r="K59" s="721" t="s">
        <v>963</v>
      </c>
      <c r="L59" s="723" t="s">
        <v>986</v>
      </c>
      <c r="M59" s="718" t="s">
        <v>930</v>
      </c>
      <c r="N59" s="721" t="s">
        <v>962</v>
      </c>
      <c r="O59" s="721" t="s">
        <v>963</v>
      </c>
      <c r="P59" s="723" t="s">
        <v>986</v>
      </c>
    </row>
    <row r="60" spans="2:16" ht="16.2" thickTop="1" x14ac:dyDescent="0.35">
      <c r="B60" s="710" t="s">
        <v>547</v>
      </c>
      <c r="C60" s="724"/>
      <c r="D60" s="712"/>
      <c r="E60" s="712"/>
      <c r="F60" s="712"/>
      <c r="G60" s="712"/>
      <c r="H60" s="712"/>
      <c r="I60" s="710"/>
      <c r="J60" s="711"/>
      <c r="K60" s="711"/>
      <c r="L60" s="724"/>
      <c r="M60" s="710"/>
      <c r="N60" s="711"/>
      <c r="O60" s="1854"/>
      <c r="P60" s="724"/>
    </row>
    <row r="61" spans="2:16" x14ac:dyDescent="0.35">
      <c r="B61" s="676"/>
      <c r="C61" s="686" t="s">
        <v>947</v>
      </c>
      <c r="D61" s="675" t="s">
        <v>954</v>
      </c>
      <c r="E61" s="675">
        <f>0.2*5637</f>
        <v>1127.4000000000001</v>
      </c>
      <c r="F61" s="675"/>
      <c r="G61" s="675"/>
      <c r="H61" s="675">
        <v>2628</v>
      </c>
      <c r="I61" s="1180">
        <v>0</v>
      </c>
      <c r="J61" s="1613">
        <f>I61*$E61</f>
        <v>0</v>
      </c>
      <c r="K61" s="833">
        <f t="shared" ref="K61" si="4">IFERROR(J61/($H61*60),0)</f>
        <v>0</v>
      </c>
      <c r="L61" s="725"/>
      <c r="M61" s="1180">
        <v>0</v>
      </c>
      <c r="N61" s="1613">
        <f>M61*$E61</f>
        <v>0</v>
      </c>
      <c r="O61" s="833">
        <f>IFERROR(N61/($H61*60),0)</f>
        <v>0</v>
      </c>
      <c r="P61" s="725"/>
    </row>
    <row r="62" spans="2:16" x14ac:dyDescent="0.35">
      <c r="B62" s="676"/>
      <c r="C62" s="686" t="s">
        <v>948</v>
      </c>
      <c r="D62" s="675" t="s">
        <v>953</v>
      </c>
      <c r="E62" s="675">
        <f>0.2*12179</f>
        <v>2435.8000000000002</v>
      </c>
      <c r="F62" s="675"/>
      <c r="G62" s="675"/>
      <c r="H62" s="675">
        <v>2628</v>
      </c>
      <c r="I62" s="1180">
        <v>0</v>
      </c>
      <c r="J62" s="1613">
        <f>I62*$E62</f>
        <v>0</v>
      </c>
      <c r="K62" s="833">
        <f>IFERROR(J62/($H62*60),0)</f>
        <v>0</v>
      </c>
      <c r="L62" s="725"/>
      <c r="M62" s="1180">
        <v>0</v>
      </c>
      <c r="N62" s="1613">
        <f>M62*$E62</f>
        <v>0</v>
      </c>
      <c r="O62" s="833">
        <f>IFERROR(N62/($H62*60),0)</f>
        <v>0</v>
      </c>
      <c r="P62" s="725"/>
    </row>
    <row r="63" spans="2:16" x14ac:dyDescent="0.35">
      <c r="B63" s="676"/>
      <c r="C63" s="686" t="s">
        <v>949</v>
      </c>
      <c r="D63" s="675" t="s">
        <v>955</v>
      </c>
      <c r="E63" s="675">
        <f>0.2*13661</f>
        <v>2732.2000000000003</v>
      </c>
      <c r="F63" s="675"/>
      <c r="G63" s="675"/>
      <c r="H63" s="675">
        <v>2628</v>
      </c>
      <c r="I63" s="1180">
        <v>0</v>
      </c>
      <c r="J63" s="1613">
        <f t="shared" ref="J63:J64" si="5">I63*$E63</f>
        <v>0</v>
      </c>
      <c r="K63" s="833">
        <f t="shared" ref="K63:K64" si="6">IFERROR(J63/($H63*60),0)</f>
        <v>0</v>
      </c>
      <c r="L63" s="725"/>
      <c r="M63" s="1180"/>
      <c r="N63" s="1613">
        <f>M63*$E63</f>
        <v>0</v>
      </c>
      <c r="O63" s="833">
        <f>IFERROR(N63/($H63*60),0)</f>
        <v>0</v>
      </c>
      <c r="P63" s="725"/>
    </row>
    <row r="64" spans="2:16" x14ac:dyDescent="0.35">
      <c r="B64" s="676"/>
      <c r="C64" s="686" t="s">
        <v>950</v>
      </c>
      <c r="D64" s="675" t="s">
        <v>956</v>
      </c>
      <c r="E64" s="675">
        <f>0.2*29515</f>
        <v>5903</v>
      </c>
      <c r="F64" s="675"/>
      <c r="G64" s="675"/>
      <c r="H64" s="675">
        <v>2628</v>
      </c>
      <c r="I64" s="1180">
        <f>E8</f>
        <v>71</v>
      </c>
      <c r="J64" s="1613">
        <f t="shared" si="5"/>
        <v>419113</v>
      </c>
      <c r="K64" s="833">
        <f t="shared" si="6"/>
        <v>2.6579972095383053</v>
      </c>
      <c r="L64" s="725"/>
      <c r="M64" s="1180">
        <f>I64</f>
        <v>71</v>
      </c>
      <c r="N64" s="1613">
        <f>M64*$E64</f>
        <v>419113</v>
      </c>
      <c r="O64" s="833">
        <f>IFERROR(N64/($H64*60),0)</f>
        <v>2.6579972095383053</v>
      </c>
      <c r="P64" s="725"/>
    </row>
    <row r="65" spans="2:30" x14ac:dyDescent="0.35">
      <c r="B65" s="710" t="s">
        <v>546</v>
      </c>
      <c r="C65" s="724"/>
      <c r="D65" s="712"/>
      <c r="E65" s="712"/>
      <c r="F65" s="712"/>
      <c r="G65" s="712"/>
      <c r="H65" s="712"/>
      <c r="I65" s="1855"/>
      <c r="J65" s="711"/>
      <c r="K65" s="711"/>
      <c r="L65" s="724"/>
      <c r="M65" s="1855"/>
      <c r="N65" s="711"/>
      <c r="O65" s="711"/>
      <c r="P65" s="724"/>
    </row>
    <row r="66" spans="2:30" x14ac:dyDescent="0.35">
      <c r="B66" s="676"/>
      <c r="C66" s="686" t="s">
        <v>951</v>
      </c>
      <c r="D66" s="675" t="s">
        <v>957</v>
      </c>
      <c r="E66" s="675">
        <v>860</v>
      </c>
      <c r="F66" s="675"/>
      <c r="G66" s="675"/>
      <c r="H66" s="675">
        <v>2628</v>
      </c>
      <c r="I66" s="1180">
        <v>0</v>
      </c>
      <c r="J66" s="1613">
        <f t="shared" ref="J66:J67" si="7">I66*$E66</f>
        <v>0</v>
      </c>
      <c r="K66" s="833">
        <f t="shared" ref="K66:K67" si="8">IFERROR(J66/($H66*60),0)</f>
        <v>0</v>
      </c>
      <c r="L66" s="725"/>
      <c r="M66" s="1180">
        <v>0</v>
      </c>
      <c r="N66" s="1613">
        <f>M66*$E66</f>
        <v>0</v>
      </c>
      <c r="O66" s="833">
        <f>IFERROR(N66/($H66*60),0)</f>
        <v>0</v>
      </c>
      <c r="P66" s="725"/>
      <c r="S66" s="846"/>
    </row>
    <row r="67" spans="2:30" x14ac:dyDescent="0.35">
      <c r="B67" s="676"/>
      <c r="C67" s="686" t="s">
        <v>952</v>
      </c>
      <c r="D67" s="675" t="s">
        <v>958</v>
      </c>
      <c r="E67" s="675">
        <v>1290</v>
      </c>
      <c r="F67" s="675"/>
      <c r="G67" s="675"/>
      <c r="H67" s="675">
        <v>2628</v>
      </c>
      <c r="I67" s="1180">
        <v>0</v>
      </c>
      <c r="J67" s="1613">
        <f t="shared" si="7"/>
        <v>0</v>
      </c>
      <c r="K67" s="833">
        <f t="shared" si="8"/>
        <v>0</v>
      </c>
      <c r="L67" s="725"/>
      <c r="M67" s="1180">
        <v>0</v>
      </c>
      <c r="N67" s="1613">
        <f>M67*$E67</f>
        <v>0</v>
      </c>
      <c r="O67" s="833">
        <f>IFERROR(N67/($H67*60),0)</f>
        <v>0</v>
      </c>
      <c r="P67" s="725"/>
    </row>
    <row r="68" spans="2:30" x14ac:dyDescent="0.35">
      <c r="B68" s="673" t="s">
        <v>969</v>
      </c>
      <c r="C68" s="1856"/>
      <c r="D68" s="681"/>
      <c r="E68" s="681"/>
      <c r="F68" s="681"/>
      <c r="G68" s="681"/>
      <c r="H68" s="681"/>
      <c r="I68" s="673"/>
      <c r="J68" s="672"/>
      <c r="K68" s="672"/>
      <c r="L68" s="1856"/>
      <c r="M68" s="673"/>
      <c r="N68" s="672"/>
      <c r="O68" s="672"/>
      <c r="P68" s="1856"/>
    </row>
    <row r="69" spans="2:30" x14ac:dyDescent="0.35">
      <c r="B69" s="671"/>
      <c r="C69" s="685"/>
      <c r="D69" s="669"/>
      <c r="E69" s="669"/>
      <c r="F69" s="669"/>
      <c r="G69" s="669"/>
      <c r="H69" s="669">
        <f>SUMPRODUCT(H61:H67,I61:I67)/SUM(I61:I67)</f>
        <v>2628</v>
      </c>
      <c r="I69" s="671"/>
      <c r="J69" s="1857">
        <f>SUM(J61:J64,J66:J67)</f>
        <v>419113</v>
      </c>
      <c r="K69" s="838">
        <f>SUM(K61:K64,K66:K67)</f>
        <v>2.6579972095383053</v>
      </c>
      <c r="L69" s="2381">
        <f ca="1">K69*60/$E$10</f>
        <v>11.708000958217212</v>
      </c>
      <c r="M69" s="671"/>
      <c r="N69" s="1857">
        <f>SUM(N61:N64,N66:N67)</f>
        <v>419113</v>
      </c>
      <c r="O69" s="838">
        <f>SUM(O61:O64,O66:O67)</f>
        <v>2.6579972095383053</v>
      </c>
      <c r="P69" s="2381">
        <f ca="1">O69*60/$E$10</f>
        <v>11.708000958217212</v>
      </c>
      <c r="R69" s="2386"/>
    </row>
    <row r="70" spans="2:30" ht="16.2" thickBot="1" x14ac:dyDescent="0.4">
      <c r="L70" s="843"/>
      <c r="P70" s="843"/>
    </row>
    <row r="71" spans="2:30" ht="16.2" thickBot="1" x14ac:dyDescent="0.4">
      <c r="F71" s="686"/>
      <c r="G71" s="782"/>
      <c r="H71" s="782"/>
      <c r="I71" s="1750" t="s">
        <v>970</v>
      </c>
      <c r="J71" s="977">
        <f>SUM(J56,J69)</f>
        <v>419113</v>
      </c>
      <c r="K71" s="1182">
        <f>SUM(K56,K69)</f>
        <v>2.6579972095383053</v>
      </c>
      <c r="L71" s="2387">
        <f ca="1">L69</f>
        <v>11.708000958217212</v>
      </c>
      <c r="M71" s="780"/>
      <c r="N71" s="977">
        <f>SUM(N56,N69)</f>
        <v>419113</v>
      </c>
      <c r="O71" s="1182">
        <f>SUM(O56,O69)</f>
        <v>2.6579972095383053</v>
      </c>
      <c r="P71" s="2387">
        <f ca="1">P69</f>
        <v>11.708000958217212</v>
      </c>
      <c r="Q71" s="1858">
        <f>1-N71/J71</f>
        <v>0</v>
      </c>
      <c r="S71" s="678"/>
      <c r="W71" s="1183"/>
      <c r="X71" s="1184" t="s">
        <v>1070</v>
      </c>
      <c r="Y71" s="1184" t="s">
        <v>1071</v>
      </c>
      <c r="Z71" s="1185" t="s">
        <v>1072</v>
      </c>
      <c r="AB71" s="1187" t="s">
        <v>1109</v>
      </c>
      <c r="AC71" s="1188" t="s">
        <v>1112</v>
      </c>
      <c r="AD71" s="1188" t="s">
        <v>225</v>
      </c>
    </row>
    <row r="72" spans="2:30" ht="16.8" thickTop="1" thickBot="1" x14ac:dyDescent="0.4">
      <c r="E72" s="668" t="s">
        <v>988</v>
      </c>
      <c r="G72" s="782"/>
      <c r="H72" s="782"/>
      <c r="I72" s="1750" t="s">
        <v>970</v>
      </c>
      <c r="J72" s="977"/>
      <c r="K72" s="840" t="s">
        <v>989</v>
      </c>
      <c r="L72" s="849">
        <f>(J71-J72)/J71</f>
        <v>1</v>
      </c>
      <c r="M72" s="780"/>
      <c r="N72" s="977"/>
      <c r="O72" s="840" t="s">
        <v>989</v>
      </c>
      <c r="P72" s="849">
        <f>(N71-N72)/N71</f>
        <v>1</v>
      </c>
      <c r="S72" s="678"/>
      <c r="W72" s="987" t="s">
        <v>1073</v>
      </c>
      <c r="X72" s="989">
        <v>11.6111111111111</v>
      </c>
      <c r="Y72" s="714">
        <f>X72*1.8+32</f>
        <v>52.899999999999977</v>
      </c>
      <c r="Z72" s="988">
        <v>31</v>
      </c>
      <c r="AB72" s="1189" t="s">
        <v>1110</v>
      </c>
      <c r="AC72" s="1190" t="s">
        <v>1113</v>
      </c>
      <c r="AD72" s="1190">
        <v>100</v>
      </c>
    </row>
    <row r="73" spans="2:30" ht="16.2" thickBot="1" x14ac:dyDescent="0.4">
      <c r="L73" s="843"/>
      <c r="P73" s="843"/>
      <c r="W73" s="984" t="s">
        <v>1069</v>
      </c>
      <c r="X73" s="985"/>
      <c r="Y73" s="985"/>
      <c r="Z73" s="986"/>
      <c r="AB73" s="996" t="s">
        <v>1111</v>
      </c>
      <c r="AC73" s="1191" t="s">
        <v>42</v>
      </c>
      <c r="AD73" s="1191">
        <v>3.4119999999999999</v>
      </c>
    </row>
    <row r="74" spans="2:30" x14ac:dyDescent="0.35">
      <c r="J74" s="668" t="s">
        <v>1108</v>
      </c>
      <c r="L74" s="1186" t="s">
        <v>1110</v>
      </c>
      <c r="W74" s="987" t="s">
        <v>1074</v>
      </c>
      <c r="X74" s="989">
        <v>11.277777777700001</v>
      </c>
      <c r="Y74" s="714">
        <f t="shared" ref="Y74:Y84" si="9">X74*1.8+32</f>
        <v>52.299999999860006</v>
      </c>
      <c r="Z74" s="988">
        <v>28</v>
      </c>
    </row>
    <row r="75" spans="2:30" x14ac:dyDescent="0.35">
      <c r="J75" s="668" t="s">
        <v>1057</v>
      </c>
      <c r="L75" s="1">
        <v>120</v>
      </c>
      <c r="M75" s="668" t="s">
        <v>439</v>
      </c>
      <c r="O75" s="668" t="s">
        <v>127</v>
      </c>
      <c r="P75" s="968">
        <f>199000</f>
        <v>199000</v>
      </c>
      <c r="Q75" s="668" t="s">
        <v>277</v>
      </c>
      <c r="W75" s="987" t="s">
        <v>1075</v>
      </c>
      <c r="X75" s="989">
        <v>11.8888888888888</v>
      </c>
      <c r="Y75" s="714">
        <f t="shared" si="9"/>
        <v>53.399999999999842</v>
      </c>
      <c r="Z75" s="988">
        <v>31</v>
      </c>
    </row>
    <row r="76" spans="2:30" x14ac:dyDescent="0.35">
      <c r="J76" s="668" t="s">
        <v>1059</v>
      </c>
      <c r="L76" s="969">
        <f>Z85</f>
        <v>59.089041080795468</v>
      </c>
      <c r="M76" s="668" t="s">
        <v>439</v>
      </c>
      <c r="P76" s="852">
        <f>P75*$L$79</f>
        <v>58321.129000000008</v>
      </c>
      <c r="Q76" s="668" t="s">
        <v>1058</v>
      </c>
      <c r="W76" s="987" t="s">
        <v>1076</v>
      </c>
      <c r="X76" s="989">
        <v>13.38888888</v>
      </c>
      <c r="Y76" s="714">
        <f t="shared" si="9"/>
        <v>56.099999984</v>
      </c>
      <c r="Z76" s="988">
        <v>30</v>
      </c>
    </row>
    <row r="77" spans="2:30" x14ac:dyDescent="0.35">
      <c r="J77" s="668" t="s">
        <v>990</v>
      </c>
      <c r="L77" s="1">
        <v>8.33</v>
      </c>
      <c r="M77" s="668" t="s">
        <v>992</v>
      </c>
      <c r="O77" s="668" t="s">
        <v>1006</v>
      </c>
      <c r="P77" s="970">
        <v>719</v>
      </c>
      <c r="Q77" s="668" t="s">
        <v>277</v>
      </c>
      <c r="W77" s="987" t="s">
        <v>1077</v>
      </c>
      <c r="X77" s="989">
        <v>15.2777777</v>
      </c>
      <c r="Y77" s="714">
        <f t="shared" si="9"/>
        <v>59.499999860000003</v>
      </c>
      <c r="Z77" s="988">
        <v>31</v>
      </c>
    </row>
    <row r="78" spans="2:30" x14ac:dyDescent="0.35">
      <c r="J78" s="668" t="s">
        <v>991</v>
      </c>
      <c r="L78" s="1">
        <v>1</v>
      </c>
      <c r="M78" s="668" t="s">
        <v>993</v>
      </c>
      <c r="N78" s="971"/>
      <c r="O78" s="971" t="s">
        <v>1060</v>
      </c>
      <c r="P78" s="972">
        <f>P77/(8.25*70*$P$79)</f>
        <v>1.0375180375180376E-2</v>
      </c>
      <c r="Q78" s="668" t="s">
        <v>1061</v>
      </c>
      <c r="W78" s="987" t="s">
        <v>1078</v>
      </c>
      <c r="X78" s="989">
        <v>17.1666666666666</v>
      </c>
      <c r="Y78" s="714">
        <f t="shared" si="9"/>
        <v>62.899999999999878</v>
      </c>
      <c r="Z78" s="988">
        <v>30</v>
      </c>
    </row>
    <row r="79" spans="2:30" x14ac:dyDescent="0.35">
      <c r="J79" s="668" t="s">
        <v>1065</v>
      </c>
      <c r="L79" s="843">
        <v>0.29307100000000003</v>
      </c>
      <c r="M79" s="668" t="s">
        <v>1066</v>
      </c>
      <c r="O79" s="668" t="s">
        <v>1007</v>
      </c>
      <c r="P79" s="973">
        <v>120</v>
      </c>
      <c r="Q79" s="668" t="s">
        <v>1008</v>
      </c>
      <c r="W79" s="987" t="s">
        <v>1079</v>
      </c>
      <c r="X79" s="989">
        <v>18.4444444444444</v>
      </c>
      <c r="Y79" s="714">
        <f t="shared" si="9"/>
        <v>65.199999999999932</v>
      </c>
      <c r="Z79" s="988">
        <v>31</v>
      </c>
    </row>
    <row r="80" spans="2:30" x14ac:dyDescent="0.35">
      <c r="J80" s="668" t="s">
        <v>1067</v>
      </c>
      <c r="L80" s="843">
        <f>1/1.8</f>
        <v>0.55555555555555558</v>
      </c>
      <c r="M80" s="668" t="s">
        <v>1068</v>
      </c>
      <c r="O80" s="668" t="s">
        <v>1062</v>
      </c>
      <c r="P80" s="968">
        <v>8</v>
      </c>
      <c r="W80" s="987" t="s">
        <v>1080</v>
      </c>
      <c r="X80" s="990">
        <v>18.833333329999999</v>
      </c>
      <c r="Y80" s="714">
        <f t="shared" si="9"/>
        <v>65.899999993999998</v>
      </c>
      <c r="Z80" s="991">
        <v>31</v>
      </c>
    </row>
    <row r="81" spans="3:26" x14ac:dyDescent="0.35">
      <c r="J81"/>
      <c r="K81"/>
      <c r="L81"/>
      <c r="M81"/>
      <c r="N81"/>
      <c r="O81"/>
      <c r="P81"/>
      <c r="Q81"/>
      <c r="W81" s="987" t="s">
        <v>1081</v>
      </c>
      <c r="X81" s="989">
        <v>18.166666666600001</v>
      </c>
      <c r="Y81" s="714">
        <f t="shared" si="9"/>
        <v>64.699999999880006</v>
      </c>
      <c r="Z81" s="988">
        <v>30</v>
      </c>
    </row>
    <row r="82" spans="3:26" x14ac:dyDescent="0.35">
      <c r="E82" s="852"/>
      <c r="J82" s="668" t="s">
        <v>127</v>
      </c>
      <c r="L82" s="968">
        <f>P75*P80</f>
        <v>1592000</v>
      </c>
      <c r="M82" s="668" t="s">
        <v>277</v>
      </c>
      <c r="O82" s="668" t="s">
        <v>127</v>
      </c>
      <c r="P82" s="968">
        <f>P75*P80</f>
        <v>1592000</v>
      </c>
      <c r="Q82" s="668" t="s">
        <v>277</v>
      </c>
      <c r="W82" s="987" t="s">
        <v>1082</v>
      </c>
      <c r="X82" s="989">
        <v>16.6666666666666</v>
      </c>
      <c r="Y82" s="714">
        <f t="shared" si="9"/>
        <v>61.999999999999886</v>
      </c>
      <c r="Z82" s="988">
        <v>31</v>
      </c>
    </row>
    <row r="83" spans="3:26" x14ac:dyDescent="0.35">
      <c r="E83" s="846"/>
      <c r="J83" s="668" t="s">
        <v>1063</v>
      </c>
      <c r="L83" s="974">
        <f>IF(AND($L$74=$AB$72,L82&gt;75000),80%,IF(AND($L$74=$AB$73,$P$75&lt;12000*3.412),0.97-0.00132*$P$79,"Please Input a Value"))</f>
        <v>0.8</v>
      </c>
      <c r="O83" s="668" t="s">
        <v>1063</v>
      </c>
      <c r="P83" s="975">
        <v>0.95</v>
      </c>
      <c r="W83" s="987" t="s">
        <v>1083</v>
      </c>
      <c r="X83" s="989">
        <v>14.722222222219999</v>
      </c>
      <c r="Y83" s="714">
        <f t="shared" si="9"/>
        <v>58.499999999996</v>
      </c>
      <c r="Z83" s="988">
        <v>30</v>
      </c>
    </row>
    <row r="84" spans="3:26" ht="16.2" thickBot="1" x14ac:dyDescent="0.4">
      <c r="J84" s="668" t="s">
        <v>1006</v>
      </c>
      <c r="L84" s="968">
        <f>IF(L74=$AB$72,L82/800+110*SQRT(P79*P80),0)</f>
        <v>5398.2253446625273</v>
      </c>
      <c r="M84" s="668" t="s">
        <v>277</v>
      </c>
      <c r="O84" s="668" t="s">
        <v>1006</v>
      </c>
      <c r="P84" s="1">
        <f>P77*P80</f>
        <v>5752</v>
      </c>
      <c r="Q84" s="668" t="s">
        <v>277</v>
      </c>
      <c r="S84" s="852"/>
      <c r="W84" s="992" t="s">
        <v>1084</v>
      </c>
      <c r="X84" s="993">
        <v>12.88888888</v>
      </c>
      <c r="Y84" s="994">
        <f t="shared" si="9"/>
        <v>55.199999984000002</v>
      </c>
      <c r="Z84" s="995">
        <v>31</v>
      </c>
    </row>
    <row r="85" spans="3:26" ht="16.8" thickTop="1" thickBot="1" x14ac:dyDescent="0.4">
      <c r="L85" s="976">
        <f>L84*$L$79/(70*L80)</f>
        <v>40.681627713915205</v>
      </c>
      <c r="M85" s="668" t="s">
        <v>1064</v>
      </c>
      <c r="P85" s="976">
        <f>P84*$L$79/(70*L80)</f>
        <v>43.347712937142852</v>
      </c>
      <c r="Q85" s="668" t="s">
        <v>1064</v>
      </c>
      <c r="W85" s="996"/>
      <c r="X85" s="997"/>
      <c r="Y85" s="997" t="s">
        <v>421</v>
      </c>
      <c r="Z85" s="998">
        <f>SUMPRODUCT(Y72:Y84,Z72:Z84)/SUM(Z72:Z84)</f>
        <v>59.089041080795468</v>
      </c>
    </row>
    <row r="86" spans="3:26" x14ac:dyDescent="0.35">
      <c r="H86" s="782"/>
      <c r="I86" s="885" t="s">
        <v>1004</v>
      </c>
      <c r="J86" s="886" t="s">
        <v>343</v>
      </c>
      <c r="K86" s="840"/>
      <c r="L86" s="850">
        <f>(J71*$L$77*$L$78*($L$75-$L$76))/1000/VLOOKUP($L$74,$AB$72:$AD$73,3,FALSE)/L$83</f>
        <v>2658.162843293163</v>
      </c>
      <c r="M86" s="780" t="str">
        <f>VLOOKUP($L$74,$AB$72:$AC$73,2,FALSE)</f>
        <v>Therms</v>
      </c>
      <c r="N86" s="977"/>
      <c r="O86" s="840"/>
      <c r="P86" s="850">
        <f>(N71*$L$77*$L$78*($L$75-$L$76))/1000/VLOOKUP($L$74,$AB$72:$AD$73,3,FALSE)/$P$83</f>
        <v>2238.4529206679272</v>
      </c>
      <c r="Q86" s="668" t="str">
        <f>VLOOKUP($L$74,$AB$72:$AC$73,2,FALSE)</f>
        <v>Therms</v>
      </c>
      <c r="S86" s="846"/>
    </row>
    <row r="87" spans="3:26" x14ac:dyDescent="0.35">
      <c r="H87" s="782"/>
      <c r="I87" s="885" t="s">
        <v>1005</v>
      </c>
      <c r="J87" s="886" t="s">
        <v>343</v>
      </c>
      <c r="K87" s="840"/>
      <c r="L87" s="850">
        <f>$L$84*8760/1000/VLOOKUP($L$74,$AB$72:$AD$73,3,FALSE)</f>
        <v>472.88454019243744</v>
      </c>
      <c r="M87" s="780" t="str">
        <f>VLOOKUP($L$74,$AB$72:$AC$73,2,FALSE)</f>
        <v>Therms</v>
      </c>
      <c r="N87" s="977"/>
      <c r="O87" s="840"/>
      <c r="P87" s="850">
        <f>$P$84*8760/1000/VLOOKUP($L$74,$AB$72:$AD$73,3,FALSE)</f>
        <v>503.87519999999995</v>
      </c>
      <c r="Q87" s="668" t="str">
        <f>VLOOKUP($L$74,$AB$72:$AC$73,2,FALSE)</f>
        <v>Therms</v>
      </c>
    </row>
    <row r="88" spans="3:26" ht="16.2" thickBot="1" x14ac:dyDescent="0.4">
      <c r="H88" s="782"/>
      <c r="I88" s="885" t="s">
        <v>987</v>
      </c>
      <c r="J88" s="886" t="s">
        <v>343</v>
      </c>
      <c r="K88" s="840"/>
      <c r="L88" s="850">
        <f>L86+L87</f>
        <v>3131.0473834856002</v>
      </c>
      <c r="M88" s="780"/>
      <c r="N88" s="977"/>
      <c r="O88" s="840"/>
      <c r="P88" s="850">
        <f>P86+P87</f>
        <v>2742.3281206679271</v>
      </c>
    </row>
    <row r="89" spans="3:26" ht="16.8" thickTop="1" thickBot="1" x14ac:dyDescent="0.4">
      <c r="F89" s="668" t="s">
        <v>988</v>
      </c>
      <c r="H89" s="978"/>
      <c r="I89" s="979" t="s">
        <v>987</v>
      </c>
      <c r="J89" s="980" t="s">
        <v>543</v>
      </c>
      <c r="K89" s="981"/>
      <c r="L89" s="982"/>
      <c r="M89" s="981" t="str">
        <f>VLOOKUP($L$74,$AB$72:$AC$73,2,FALSE)</f>
        <v>Therms</v>
      </c>
      <c r="N89" s="982"/>
      <c r="O89" s="981"/>
      <c r="P89" s="982"/>
      <c r="Q89" s="668" t="str">
        <f>VLOOKUP($L$74,$AB$72:$AC$73,2,FALSE)</f>
        <v>Therms</v>
      </c>
      <c r="S89" s="678"/>
    </row>
    <row r="90" spans="3:26" ht="16.2" thickTop="1" x14ac:dyDescent="0.35">
      <c r="J90" s="668" t="s">
        <v>989</v>
      </c>
      <c r="L90" s="887">
        <f>(L88-L89)/L88</f>
        <v>1</v>
      </c>
      <c r="P90" s="887">
        <f>(P88-P89)/P88</f>
        <v>1</v>
      </c>
      <c r="S90" s="678"/>
    </row>
    <row r="91" spans="3:26" x14ac:dyDescent="0.35">
      <c r="L91" s="846">
        <f>L89-L88</f>
        <v>-3131.0473834856002</v>
      </c>
      <c r="P91" s="846">
        <f>P89-P88</f>
        <v>-2742.3281206679271</v>
      </c>
    </row>
    <row r="93" spans="3:26" x14ac:dyDescent="0.35">
      <c r="P93" s="668">
        <f>81.4</f>
        <v>81.400000000000006</v>
      </c>
      <c r="Q93" s="668" t="s">
        <v>1064</v>
      </c>
    </row>
    <row r="94" spans="3:26" ht="17.399999999999999" x14ac:dyDescent="0.4">
      <c r="C94" s="21"/>
      <c r="D94" s="126"/>
      <c r="E94" s="2393" t="s">
        <v>545</v>
      </c>
      <c r="F94" s="2394"/>
      <c r="G94" s="2394"/>
      <c r="H94" s="2395"/>
      <c r="P94" s="668">
        <v>70</v>
      </c>
      <c r="Q94" s="668" t="s">
        <v>1920</v>
      </c>
    </row>
    <row r="95" spans="3:26" ht="16.2" x14ac:dyDescent="0.35">
      <c r="C95" s="853"/>
      <c r="D95" s="854"/>
      <c r="E95" s="855" t="s">
        <v>126</v>
      </c>
      <c r="F95" s="856" t="s">
        <v>220</v>
      </c>
      <c r="G95" s="856" t="s">
        <v>236</v>
      </c>
      <c r="H95" s="857" t="s">
        <v>1000</v>
      </c>
      <c r="P95" s="694">
        <f>P93*(P94/1.8)/1000*8760*3.412/100</f>
        <v>946.15669866666667</v>
      </c>
      <c r="Q95" s="668" t="s">
        <v>1921</v>
      </c>
    </row>
    <row r="96" spans="3:26" ht="17.399999999999999" x14ac:dyDescent="0.4">
      <c r="C96" s="858" t="s">
        <v>47</v>
      </c>
      <c r="D96" s="859"/>
      <c r="E96" s="881">
        <f t="shared" ref="E96:F96" si="10">SUM(E97:E99)</f>
        <v>0</v>
      </c>
      <c r="F96" s="860">
        <f t="shared" si="10"/>
        <v>0</v>
      </c>
      <c r="G96" s="883">
        <f ca="1">SUM(G97:G99)</f>
        <v>0</v>
      </c>
      <c r="H96" s="861">
        <f ca="1">SUM(H97:H99)</f>
        <v>0</v>
      </c>
      <c r="J96" s="668" t="s">
        <v>997</v>
      </c>
      <c r="K96" s="852">
        <f ca="1">E7</f>
        <v>1362.1440000000002</v>
      </c>
      <c r="L96" s="846">
        <f ca="1">Proj_Sum!P32</f>
        <v>119729.68709999998</v>
      </c>
    </row>
    <row r="97" spans="3:14" ht="17.399999999999999" x14ac:dyDescent="0.4">
      <c r="C97" s="862"/>
      <c r="D97" s="863" t="s">
        <v>131</v>
      </c>
      <c r="E97" s="879">
        <f>K56</f>
        <v>0</v>
      </c>
      <c r="F97" s="864">
        <f>J56/365</f>
        <v>0</v>
      </c>
      <c r="G97" s="888">
        <f ca="1">F97/$E$11</f>
        <v>0</v>
      </c>
      <c r="H97" s="865">
        <f ca="1">J56/L96</f>
        <v>0</v>
      </c>
      <c r="J97" s="668" t="s">
        <v>998</v>
      </c>
      <c r="K97" s="852">
        <f>E9</f>
        <v>119</v>
      </c>
      <c r="M97" s="695">
        <f ca="1">K97/K96*1000</f>
        <v>87.362275941456986</v>
      </c>
      <c r="N97" s="695">
        <f ca="1">K97/L96*1000</f>
        <v>0.99390554575332235</v>
      </c>
    </row>
    <row r="98" spans="3:14" ht="17.399999999999999" x14ac:dyDescent="0.4">
      <c r="C98" s="862"/>
      <c r="D98" s="863" t="s">
        <v>546</v>
      </c>
      <c r="E98" s="879">
        <f>K67</f>
        <v>0</v>
      </c>
      <c r="F98" s="880">
        <f>J67/365</f>
        <v>0</v>
      </c>
      <c r="G98" s="880">
        <f ca="1">F98/$E$11</f>
        <v>0</v>
      </c>
      <c r="H98" s="865">
        <f ca="1">J67/L96</f>
        <v>0</v>
      </c>
      <c r="J98" s="668" t="s">
        <v>999</v>
      </c>
      <c r="K98" s="695">
        <f ca="1">K97/K96*1000</f>
        <v>87.362275941456986</v>
      </c>
    </row>
    <row r="99" spans="3:14" ht="17.399999999999999" x14ac:dyDescent="0.4">
      <c r="C99" s="862"/>
      <c r="D99" s="863" t="s">
        <v>547</v>
      </c>
      <c r="E99" s="879">
        <f>K62</f>
        <v>0</v>
      </c>
      <c r="F99" s="864">
        <f>J62/365</f>
        <v>0</v>
      </c>
      <c r="G99" s="888">
        <f ca="1">F99/$E$11</f>
        <v>0</v>
      </c>
      <c r="H99" s="865">
        <f ca="1">J62/L96</f>
        <v>0</v>
      </c>
    </row>
    <row r="100" spans="3:14" ht="16.2" x14ac:dyDescent="0.35">
      <c r="C100" s="862"/>
      <c r="D100" s="866"/>
      <c r="E100" s="867"/>
      <c r="F100" s="868"/>
      <c r="G100" s="868"/>
      <c r="H100" s="869"/>
      <c r="J100" s="668" t="s">
        <v>1002</v>
      </c>
      <c r="K100" s="668">
        <f>L89/K97</f>
        <v>0</v>
      </c>
      <c r="L100" s="668" t="s">
        <v>1001</v>
      </c>
    </row>
    <row r="101" spans="3:14" ht="17.399999999999999" x14ac:dyDescent="0.4">
      <c r="C101" s="870" t="s">
        <v>161</v>
      </c>
      <c r="D101" s="871"/>
      <c r="E101" s="882">
        <f t="shared" ref="E101:G101" si="11">SUM(E102:E104)</f>
        <v>0</v>
      </c>
      <c r="F101" s="872">
        <f t="shared" si="11"/>
        <v>0</v>
      </c>
      <c r="G101" s="884">
        <f t="shared" ca="1" si="11"/>
        <v>0</v>
      </c>
      <c r="H101" s="873">
        <f ca="1">SUM(H102:H104)</f>
        <v>0</v>
      </c>
      <c r="J101" s="668" t="s">
        <v>1003</v>
      </c>
      <c r="K101" s="668">
        <f>P89/K97</f>
        <v>0</v>
      </c>
      <c r="L101" s="668" t="s">
        <v>1001</v>
      </c>
    </row>
    <row r="102" spans="3:14" ht="17.399999999999999" x14ac:dyDescent="0.4">
      <c r="C102" s="862"/>
      <c r="D102" s="863" t="s">
        <v>131</v>
      </c>
      <c r="E102" s="879">
        <f>O56</f>
        <v>0</v>
      </c>
      <c r="F102" s="864">
        <f>N56/365</f>
        <v>0</v>
      </c>
      <c r="G102" s="888">
        <f ca="1">F102/$E$11</f>
        <v>0</v>
      </c>
      <c r="H102" s="865">
        <f ca="1">N56/L96</f>
        <v>0</v>
      </c>
    </row>
    <row r="103" spans="3:14" ht="17.399999999999999" x14ac:dyDescent="0.4">
      <c r="C103" s="862"/>
      <c r="D103" s="863" t="s">
        <v>546</v>
      </c>
      <c r="E103" s="879">
        <f>O66</f>
        <v>0</v>
      </c>
      <c r="F103" s="864">
        <f>N66/365</f>
        <v>0</v>
      </c>
      <c r="G103" s="888">
        <f t="shared" ref="G103:G104" ca="1" si="12">F103/$E$11</f>
        <v>0</v>
      </c>
      <c r="H103" s="865">
        <f ca="1">N66/L96</f>
        <v>0</v>
      </c>
    </row>
    <row r="104" spans="3:14" ht="17.399999999999999" x14ac:dyDescent="0.4">
      <c r="C104" s="862"/>
      <c r="D104" s="863" t="s">
        <v>547</v>
      </c>
      <c r="E104" s="879">
        <f>O61</f>
        <v>0</v>
      </c>
      <c r="F104" s="864">
        <f>N61/365</f>
        <v>0</v>
      </c>
      <c r="G104" s="888">
        <f t="shared" ca="1" si="12"/>
        <v>0</v>
      </c>
      <c r="H104" s="865">
        <f ca="1">N61/L96</f>
        <v>0</v>
      </c>
    </row>
    <row r="105" spans="3:14" ht="17.399999999999999" x14ac:dyDescent="0.4">
      <c r="C105" s="874"/>
      <c r="D105" s="875"/>
      <c r="E105" s="876"/>
      <c r="F105" s="877"/>
      <c r="G105" s="877" t="s">
        <v>125</v>
      </c>
      <c r="H105" s="878" t="e">
        <f ca="1">1-(H101/H96)</f>
        <v>#DIV/0!</v>
      </c>
    </row>
  </sheetData>
  <mergeCells count="19">
    <mergeCell ref="F39:I39"/>
    <mergeCell ref="N12:P12"/>
    <mergeCell ref="N13:P13"/>
    <mergeCell ref="D14:H14"/>
    <mergeCell ref="I14:K14"/>
    <mergeCell ref="L14:N14"/>
    <mergeCell ref="I40:J40"/>
    <mergeCell ref="L40:M40"/>
    <mergeCell ref="I41:J41"/>
    <mergeCell ref="L41:M41"/>
    <mergeCell ref="I42:J42"/>
    <mergeCell ref="L42:M42"/>
    <mergeCell ref="E94:H94"/>
    <mergeCell ref="D44:H44"/>
    <mergeCell ref="I44:L44"/>
    <mergeCell ref="M44:P44"/>
    <mergeCell ref="D58:H58"/>
    <mergeCell ref="I58:L58"/>
    <mergeCell ref="M58:P58"/>
  </mergeCells>
  <conditionalFormatting sqref="I17:N37">
    <cfRule type="expression" dxfId="6" priority="1">
      <formula>I17=0</formula>
    </cfRule>
  </conditionalFormatting>
  <dataValidations disablePrompts="1" count="1">
    <dataValidation type="list" allowBlank="1" showInputMessage="1" showErrorMessage="1" sqref="L74" xr:uid="{AEA18BFD-E4D8-466B-95BD-9E7A405E4978}">
      <formula1>$AB$72:$AB$73</formula1>
    </dataValidation>
  </dataValidations>
  <pageMargins left="0.7" right="0.7" top="0.75" bottom="0.75" header="0.3" footer="0.3"/>
  <pageSetup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theme="0" tint="-0.499984740745262"/>
  </sheetPr>
  <dimension ref="A1:CE25"/>
  <sheetViews>
    <sheetView topLeftCell="A7" workbookViewId="0">
      <selection activeCell="G32" sqref="G32"/>
    </sheetView>
  </sheetViews>
  <sheetFormatPr defaultColWidth="9.109375" defaultRowHeight="18" outlineLevelRow="1" x14ac:dyDescent="0.45"/>
  <cols>
    <col min="1" max="1" width="9.109375" style="1931"/>
    <col min="2" max="2" width="24.5546875" style="1931" customWidth="1"/>
    <col min="3" max="3" width="11.6640625" style="1931" bestFit="1" customWidth="1"/>
    <col min="4" max="4" width="9.109375" style="1931"/>
    <col min="5" max="5" width="11.6640625" style="1931" bestFit="1" customWidth="1"/>
    <col min="6" max="6" width="9.109375" style="1931"/>
    <col min="7" max="7" width="11" style="1931" bestFit="1" customWidth="1"/>
    <col min="8" max="8" width="9.109375" style="1931"/>
    <col min="9" max="9" width="11.44140625" style="1931" bestFit="1" customWidth="1"/>
    <col min="10" max="16384" width="9.109375" style="1931"/>
  </cols>
  <sheetData>
    <row r="1" spans="1:83" x14ac:dyDescent="0.45">
      <c r="A1" s="2130" t="s">
        <v>2078</v>
      </c>
    </row>
    <row r="2" spans="1:83" outlineLevel="1" x14ac:dyDescent="0.45">
      <c r="C2" s="2145"/>
      <c r="D2" s="2146"/>
      <c r="E2" s="2145"/>
      <c r="F2" s="2146"/>
      <c r="G2" s="2145"/>
      <c r="H2" s="2146"/>
      <c r="I2" s="2147"/>
      <c r="J2" s="2146"/>
      <c r="K2" s="2145"/>
      <c r="L2" s="2146"/>
      <c r="M2" s="2142"/>
      <c r="N2" s="2143"/>
      <c r="O2" s="2143"/>
      <c r="P2" s="2143"/>
      <c r="Q2" s="2143"/>
      <c r="R2" s="2143"/>
      <c r="S2" s="2143"/>
      <c r="T2" s="2143"/>
      <c r="U2" s="2143"/>
      <c r="V2" s="2143"/>
      <c r="W2" s="2143"/>
      <c r="X2" s="2144"/>
      <c r="Y2" s="2142"/>
      <c r="Z2" s="2143"/>
      <c r="AA2" s="2143"/>
      <c r="AB2" s="2143"/>
      <c r="AC2" s="2143"/>
      <c r="AD2" s="2143"/>
      <c r="AE2" s="2143"/>
      <c r="AF2" s="2143"/>
      <c r="AG2" s="2143"/>
      <c r="AH2" s="2144"/>
      <c r="AI2" s="2131"/>
      <c r="AJ2" s="2132"/>
      <c r="AK2" s="2132"/>
      <c r="AL2" s="2132"/>
      <c r="AM2" s="2132"/>
      <c r="AN2" s="2132"/>
      <c r="AO2" s="2132"/>
      <c r="AP2" s="2132"/>
      <c r="AQ2" s="2132"/>
      <c r="AR2" s="2132"/>
      <c r="AS2" s="2133"/>
      <c r="AT2" s="2134"/>
      <c r="AU2" s="2131"/>
      <c r="AV2" s="2132"/>
      <c r="AW2" s="2132"/>
      <c r="AX2" s="2132"/>
      <c r="AY2" s="2132"/>
      <c r="AZ2" s="2132"/>
      <c r="BA2" s="2132"/>
      <c r="BB2" s="2132"/>
      <c r="BC2" s="2132"/>
      <c r="BD2" s="2132"/>
      <c r="BE2" s="2132"/>
      <c r="BF2" s="2132"/>
      <c r="BG2" s="2132"/>
      <c r="BH2" s="2132"/>
      <c r="BI2" s="2132"/>
      <c r="BJ2" s="2132"/>
      <c r="BK2" s="2133"/>
      <c r="BL2" s="2134"/>
      <c r="BN2" s="2122"/>
      <c r="BO2" s="2122"/>
      <c r="BP2" s="2122"/>
      <c r="BQ2" s="2122"/>
      <c r="BR2" s="2122"/>
      <c r="BS2" s="2122"/>
      <c r="BT2" s="2122"/>
      <c r="BU2" s="2122"/>
      <c r="BV2" s="2122"/>
      <c r="BW2" s="2122"/>
      <c r="BX2" s="2122"/>
      <c r="BY2" s="2122"/>
      <c r="BZ2" s="2122"/>
      <c r="CA2" s="2122"/>
      <c r="CB2" s="2122"/>
      <c r="CC2" s="2122"/>
      <c r="CD2" s="2123"/>
      <c r="CE2" s="2123"/>
    </row>
    <row r="3" spans="1:83" outlineLevel="1" x14ac:dyDescent="0.45">
      <c r="C3" s="2712" t="s">
        <v>181</v>
      </c>
      <c r="D3" s="2711"/>
      <c r="E3" s="2712" t="s">
        <v>182</v>
      </c>
      <c r="F3" s="2711"/>
      <c r="G3" s="2712" t="s">
        <v>318</v>
      </c>
      <c r="H3" s="2711"/>
      <c r="I3" s="2710" t="s">
        <v>178</v>
      </c>
      <c r="J3" s="2711"/>
      <c r="K3" s="2137" t="s">
        <v>183</v>
      </c>
      <c r="L3" s="2138"/>
      <c r="M3" s="2712" t="s">
        <v>179</v>
      </c>
      <c r="N3" s="2710"/>
      <c r="O3" s="2710"/>
      <c r="P3" s="2710"/>
      <c r="Q3" s="2710"/>
      <c r="R3" s="2710"/>
      <c r="S3" s="2710"/>
      <c r="T3" s="2710"/>
      <c r="U3" s="2710"/>
      <c r="V3" s="2710"/>
      <c r="W3" s="2710"/>
      <c r="X3" s="2711"/>
      <c r="Y3" s="2712" t="s">
        <v>180</v>
      </c>
      <c r="Z3" s="2710"/>
      <c r="AA3" s="2710"/>
      <c r="AB3" s="2710"/>
      <c r="AC3" s="2710"/>
      <c r="AD3" s="2710"/>
      <c r="AE3" s="2710"/>
      <c r="AF3" s="2710"/>
      <c r="AG3" s="2710"/>
      <c r="AH3" s="2711"/>
      <c r="AI3" s="2712" t="s">
        <v>550</v>
      </c>
      <c r="AJ3" s="2710"/>
      <c r="AK3" s="2710"/>
      <c r="AL3" s="2710"/>
      <c r="AM3" s="2710"/>
      <c r="AN3" s="2710"/>
      <c r="AO3" s="2710"/>
      <c r="AP3" s="2710"/>
      <c r="AQ3" s="2710"/>
      <c r="AR3" s="2710"/>
      <c r="AT3" s="2138"/>
      <c r="AU3" s="2712" t="s">
        <v>793</v>
      </c>
      <c r="AV3" s="2710"/>
      <c r="AW3" s="2710"/>
      <c r="AX3" s="2710"/>
      <c r="AY3" s="2710"/>
      <c r="AZ3" s="2710"/>
      <c r="BA3" s="2710"/>
      <c r="BB3" s="2710"/>
      <c r="BC3" s="2710"/>
      <c r="BD3" s="2710"/>
      <c r="BE3" s="2710"/>
      <c r="BF3" s="2710"/>
      <c r="BG3" s="2710"/>
      <c r="BH3" s="2710"/>
      <c r="BI3" s="2710"/>
      <c r="BJ3" s="2710"/>
      <c r="BK3" s="2710"/>
      <c r="BL3" s="2711"/>
      <c r="BN3" s="2710" t="s">
        <v>1976</v>
      </c>
      <c r="BO3" s="2710"/>
      <c r="BP3" s="2710"/>
      <c r="BQ3" s="2710"/>
      <c r="BR3" s="2710"/>
      <c r="BS3" s="2710"/>
      <c r="BT3" s="2710"/>
      <c r="BU3" s="2710"/>
      <c r="BV3" s="2710"/>
      <c r="BW3" s="2710"/>
      <c r="BX3" s="2710"/>
      <c r="BY3" s="2710"/>
      <c r="BZ3" s="2710"/>
      <c r="CA3" s="2710"/>
      <c r="CB3" s="2710"/>
      <c r="CC3" s="2710"/>
      <c r="CD3" s="2710"/>
      <c r="CE3" s="2710"/>
    </row>
    <row r="4" spans="1:83" outlineLevel="1" x14ac:dyDescent="0.45">
      <c r="B4" s="1931" t="s">
        <v>173</v>
      </c>
      <c r="C4" s="2137">
        <v>0.1</v>
      </c>
      <c r="D4" s="2138">
        <v>0.25</v>
      </c>
      <c r="E4" s="2137">
        <v>0.1</v>
      </c>
      <c r="F4" s="2138">
        <v>0.25</v>
      </c>
      <c r="G4" s="2137">
        <v>0.1</v>
      </c>
      <c r="H4" s="2138">
        <v>0.25</v>
      </c>
      <c r="I4" s="1931">
        <v>0.1</v>
      </c>
      <c r="J4" s="2138">
        <v>0.25</v>
      </c>
      <c r="K4" s="2137">
        <v>0.1</v>
      </c>
      <c r="L4" s="2138">
        <v>0.25</v>
      </c>
      <c r="M4" s="2137">
        <v>0.1</v>
      </c>
      <c r="N4" s="1931">
        <v>0.25</v>
      </c>
      <c r="O4" s="1931">
        <v>0.1</v>
      </c>
      <c r="P4" s="1931">
        <v>0.25</v>
      </c>
      <c r="Q4" s="1931">
        <v>0.1</v>
      </c>
      <c r="R4" s="1931">
        <v>0.25</v>
      </c>
      <c r="S4" s="1931">
        <v>0.1</v>
      </c>
      <c r="T4" s="1931">
        <v>0.25</v>
      </c>
      <c r="U4" s="1931">
        <v>0.1</v>
      </c>
      <c r="V4" s="1931">
        <v>0.25</v>
      </c>
      <c r="W4" s="1931">
        <v>0.1</v>
      </c>
      <c r="X4" s="2138">
        <v>0.25</v>
      </c>
      <c r="Y4" s="2137">
        <v>0.1</v>
      </c>
      <c r="Z4" s="1931">
        <v>0.25</v>
      </c>
      <c r="AA4" s="1931">
        <v>0.1</v>
      </c>
      <c r="AB4" s="1931">
        <v>0.25</v>
      </c>
      <c r="AC4" s="1931">
        <v>0.1</v>
      </c>
      <c r="AD4" s="1931">
        <v>0.25</v>
      </c>
      <c r="AE4" s="1931">
        <v>0.1</v>
      </c>
      <c r="AF4" s="1931">
        <v>0.25</v>
      </c>
      <c r="AG4" s="1931">
        <v>0.1</v>
      </c>
      <c r="AH4" s="2138">
        <v>0.25</v>
      </c>
      <c r="AI4" s="2137">
        <v>0.1</v>
      </c>
      <c r="AJ4" s="1931">
        <v>0.25</v>
      </c>
      <c r="AK4" s="1931">
        <v>0.1</v>
      </c>
      <c r="AL4" s="1931">
        <v>0.25</v>
      </c>
      <c r="AM4" s="1931">
        <v>0.1</v>
      </c>
      <c r="AN4" s="1931">
        <v>0.25</v>
      </c>
      <c r="AO4" s="1931">
        <v>0.1</v>
      </c>
      <c r="AP4" s="1931">
        <v>0.25</v>
      </c>
      <c r="AQ4" s="1931">
        <v>0.1</v>
      </c>
      <c r="AR4" s="1931">
        <v>0.25</v>
      </c>
      <c r="AS4" s="1931">
        <v>0.1</v>
      </c>
      <c r="AT4" s="2138">
        <v>0.25</v>
      </c>
      <c r="AU4" s="2137">
        <v>0.1</v>
      </c>
      <c r="AV4" s="1931">
        <v>0.25</v>
      </c>
      <c r="AW4" s="1931">
        <v>0.1</v>
      </c>
      <c r="AX4" s="1931">
        <v>0.25</v>
      </c>
      <c r="AY4" s="1931">
        <v>0.1</v>
      </c>
      <c r="AZ4" s="1931">
        <v>0.25</v>
      </c>
      <c r="BA4" s="1931">
        <v>0.1</v>
      </c>
      <c r="BB4" s="1931">
        <v>0.25</v>
      </c>
      <c r="BC4" s="1931">
        <v>0.1</v>
      </c>
      <c r="BD4" s="1931">
        <v>0.25</v>
      </c>
      <c r="BE4" s="1931">
        <v>0.1</v>
      </c>
      <c r="BF4" s="1931">
        <v>0.25</v>
      </c>
      <c r="BG4" s="1931">
        <v>0.1</v>
      </c>
      <c r="BH4" s="1931">
        <v>0.25</v>
      </c>
      <c r="BI4" s="1931">
        <v>0.1</v>
      </c>
      <c r="BJ4" s="1931">
        <v>0.25</v>
      </c>
      <c r="BK4" s="1931">
        <v>0.1</v>
      </c>
      <c r="BL4" s="2138">
        <v>0.25</v>
      </c>
      <c r="BN4" s="1931">
        <v>0.1</v>
      </c>
      <c r="BO4" s="1931">
        <v>0.25</v>
      </c>
      <c r="BP4" s="1931">
        <v>0.1</v>
      </c>
      <c r="BQ4" s="1931">
        <v>0.25</v>
      </c>
      <c r="BR4" s="1931">
        <v>0.1</v>
      </c>
      <c r="BS4" s="1931">
        <v>0.25</v>
      </c>
      <c r="BT4" s="1931">
        <v>0.1</v>
      </c>
      <c r="BU4" s="1931">
        <v>0.25</v>
      </c>
      <c r="BV4" s="1931">
        <v>0.1</v>
      </c>
      <c r="BW4" s="1931">
        <v>0.25</v>
      </c>
      <c r="BX4" s="1931">
        <v>0.1</v>
      </c>
      <c r="BY4" s="1931">
        <v>0.25</v>
      </c>
      <c r="BZ4" s="1931">
        <v>0.1</v>
      </c>
      <c r="CA4" s="1931">
        <v>0.25</v>
      </c>
      <c r="CB4" s="1931">
        <v>0.1</v>
      </c>
      <c r="CC4" s="1931">
        <v>0.25</v>
      </c>
      <c r="CD4" s="1931">
        <v>0.1</v>
      </c>
      <c r="CE4" s="1931">
        <v>0.25</v>
      </c>
    </row>
    <row r="5" spans="1:83" outlineLevel="1" x14ac:dyDescent="0.45">
      <c r="B5" s="1931" t="s">
        <v>174</v>
      </c>
      <c r="C5" s="2137">
        <v>50</v>
      </c>
      <c r="D5" s="2138">
        <v>54</v>
      </c>
      <c r="E5" s="2137">
        <v>80</v>
      </c>
      <c r="F5" s="2138">
        <v>79</v>
      </c>
      <c r="G5" s="2137">
        <v>110</v>
      </c>
      <c r="H5" s="2138">
        <v>112</v>
      </c>
      <c r="I5" s="1931">
        <v>50</v>
      </c>
      <c r="J5" s="2138">
        <v>36</v>
      </c>
      <c r="K5" s="2137">
        <v>130</v>
      </c>
      <c r="L5" s="2138">
        <v>135</v>
      </c>
      <c r="M5" s="2137">
        <v>80</v>
      </c>
      <c r="N5" s="1931">
        <v>79</v>
      </c>
      <c r="O5" s="1931">
        <v>70</v>
      </c>
      <c r="P5" s="1931">
        <v>75</v>
      </c>
      <c r="Q5" s="1931">
        <v>60</v>
      </c>
      <c r="R5" s="1931">
        <v>59</v>
      </c>
      <c r="S5" s="1931">
        <v>50</v>
      </c>
      <c r="T5" s="1931">
        <v>54</v>
      </c>
      <c r="U5" s="1931">
        <v>40</v>
      </c>
      <c r="V5" s="1931">
        <v>39</v>
      </c>
      <c r="W5" s="1931">
        <v>30</v>
      </c>
      <c r="X5" s="2138">
        <v>32</v>
      </c>
      <c r="Y5" s="2137">
        <v>130</v>
      </c>
      <c r="Z5" s="1931">
        <v>135</v>
      </c>
      <c r="AA5" s="1931">
        <v>110</v>
      </c>
      <c r="AB5" s="1931">
        <v>111</v>
      </c>
      <c r="AC5" s="1931">
        <v>90</v>
      </c>
      <c r="AD5" s="1931">
        <v>93</v>
      </c>
      <c r="AE5" s="1931">
        <v>70</v>
      </c>
      <c r="AF5" s="1931">
        <v>71</v>
      </c>
      <c r="AG5" s="1931">
        <v>50</v>
      </c>
      <c r="AH5" s="2138">
        <v>53</v>
      </c>
      <c r="AI5" s="2137">
        <v>80</v>
      </c>
      <c r="AJ5" s="1931">
        <v>79</v>
      </c>
      <c r="AK5" s="1931">
        <v>70</v>
      </c>
      <c r="AL5" s="1931">
        <v>75</v>
      </c>
      <c r="AM5" s="1931">
        <v>60</v>
      </c>
      <c r="AN5" s="1931">
        <v>59</v>
      </c>
      <c r="AO5" s="1931">
        <v>50</v>
      </c>
      <c r="AP5" s="1931">
        <v>54</v>
      </c>
      <c r="AQ5" s="1931">
        <v>40</v>
      </c>
      <c r="AR5" s="1931">
        <v>39</v>
      </c>
      <c r="AS5" s="1931">
        <v>30</v>
      </c>
      <c r="AT5" s="2138">
        <v>32</v>
      </c>
      <c r="AU5" s="2137">
        <v>110</v>
      </c>
      <c r="AV5" s="1931">
        <v>113</v>
      </c>
      <c r="AW5" s="1931">
        <v>100</v>
      </c>
      <c r="AX5" s="1931">
        <v>106</v>
      </c>
      <c r="AY5" s="1931">
        <v>90</v>
      </c>
      <c r="AZ5" s="1931">
        <v>95</v>
      </c>
      <c r="BA5" s="1931">
        <v>80</v>
      </c>
      <c r="BB5" s="1931">
        <v>82</v>
      </c>
      <c r="BC5" s="1931">
        <v>70</v>
      </c>
      <c r="BD5" s="1931">
        <v>71</v>
      </c>
      <c r="BE5" s="1931">
        <v>60</v>
      </c>
      <c r="BF5" s="1931">
        <v>66</v>
      </c>
      <c r="BG5" s="1931">
        <v>50</v>
      </c>
      <c r="BH5" s="1931">
        <v>53</v>
      </c>
      <c r="BI5" s="1931">
        <v>40</v>
      </c>
      <c r="BJ5" s="1931">
        <v>43</v>
      </c>
      <c r="BK5" s="1931">
        <v>30</v>
      </c>
      <c r="BL5" s="2138">
        <v>33</v>
      </c>
      <c r="BN5" s="1931">
        <v>110</v>
      </c>
      <c r="BO5" s="1931">
        <v>110</v>
      </c>
      <c r="BP5" s="1931">
        <v>100</v>
      </c>
      <c r="BQ5" s="1931">
        <v>101</v>
      </c>
      <c r="BR5" s="1931">
        <v>90</v>
      </c>
      <c r="BS5" s="1931">
        <v>90</v>
      </c>
      <c r="BT5" s="1931">
        <v>80</v>
      </c>
      <c r="BU5" s="1931">
        <v>80</v>
      </c>
      <c r="BV5" s="1931">
        <v>70</v>
      </c>
      <c r="BW5" s="1931">
        <v>71</v>
      </c>
      <c r="BX5" s="1931">
        <v>60</v>
      </c>
      <c r="BY5" s="1931">
        <v>60</v>
      </c>
      <c r="BZ5" s="1931">
        <v>50</v>
      </c>
      <c r="CA5" s="1931">
        <v>51</v>
      </c>
      <c r="CB5" s="1931">
        <v>40</v>
      </c>
      <c r="CC5" s="1931">
        <v>41</v>
      </c>
      <c r="CD5" s="1931">
        <v>30</v>
      </c>
      <c r="CE5" s="1931">
        <v>30</v>
      </c>
    </row>
    <row r="6" spans="1:83" outlineLevel="1" x14ac:dyDescent="0.45">
      <c r="B6" s="1931" t="s">
        <v>175</v>
      </c>
      <c r="C6" s="2137" t="s">
        <v>169</v>
      </c>
      <c r="D6" s="2138">
        <v>0.3</v>
      </c>
      <c r="E6" s="2137" t="s">
        <v>169</v>
      </c>
      <c r="F6" s="2138">
        <v>0.4</v>
      </c>
      <c r="G6" s="2137">
        <v>0.3</v>
      </c>
      <c r="H6" s="2138">
        <v>0.8</v>
      </c>
      <c r="I6" s="1931" t="s">
        <v>169</v>
      </c>
      <c r="J6" s="2138">
        <v>0.5</v>
      </c>
      <c r="K6" s="2137" t="s">
        <v>169</v>
      </c>
      <c r="L6" s="2138">
        <v>0.7</v>
      </c>
      <c r="M6" s="2137" t="s">
        <v>169</v>
      </c>
      <c r="N6" s="1931">
        <v>0.4</v>
      </c>
      <c r="O6" s="1931" t="s">
        <v>169</v>
      </c>
      <c r="P6" s="1931">
        <v>0.4</v>
      </c>
      <c r="Q6" s="1931" t="s">
        <v>169</v>
      </c>
      <c r="R6" s="1931">
        <v>0.3</v>
      </c>
      <c r="S6" s="1931" t="s">
        <v>169</v>
      </c>
      <c r="T6" s="1931">
        <v>0.3</v>
      </c>
      <c r="U6" s="1931" t="s">
        <v>169</v>
      </c>
      <c r="V6" s="1931" t="s">
        <v>169</v>
      </c>
      <c r="W6" s="1931" t="s">
        <v>169</v>
      </c>
      <c r="X6" s="2138" t="s">
        <v>169</v>
      </c>
      <c r="Y6" s="2137" t="s">
        <v>169</v>
      </c>
      <c r="Z6" s="1931">
        <v>0.7</v>
      </c>
      <c r="AA6" s="1931" t="s">
        <v>169</v>
      </c>
      <c r="AB6" s="1931">
        <v>0.6</v>
      </c>
      <c r="AC6" s="1931" t="s">
        <v>169</v>
      </c>
      <c r="AD6" s="1931">
        <v>0.6</v>
      </c>
      <c r="AE6" s="1931" t="s">
        <v>169</v>
      </c>
      <c r="AF6" s="1931">
        <v>0.4</v>
      </c>
      <c r="AG6" s="1931" t="s">
        <v>169</v>
      </c>
      <c r="AH6" s="2138" t="s">
        <v>169</v>
      </c>
      <c r="AI6" s="2137" t="s">
        <v>169</v>
      </c>
      <c r="AJ6" s="1931">
        <v>0.4</v>
      </c>
      <c r="AK6" s="1931" t="s">
        <v>169</v>
      </c>
      <c r="AL6" s="1931">
        <v>0.4</v>
      </c>
      <c r="AM6" s="1931" t="s">
        <v>169</v>
      </c>
      <c r="AN6" s="1931" t="s">
        <v>169</v>
      </c>
      <c r="AO6" s="1931" t="s">
        <v>169</v>
      </c>
      <c r="AP6" s="1931" t="s">
        <v>169</v>
      </c>
      <c r="AQ6" s="1931" t="s">
        <v>169</v>
      </c>
      <c r="AR6" s="1931" t="s">
        <v>169</v>
      </c>
      <c r="AS6" s="1931" t="s">
        <v>169</v>
      </c>
      <c r="AT6" s="2138" t="s">
        <v>169</v>
      </c>
      <c r="AU6" s="2137" t="s">
        <v>169</v>
      </c>
      <c r="AV6" s="1931">
        <v>0.8</v>
      </c>
      <c r="AW6" s="1931" t="s">
        <v>169</v>
      </c>
      <c r="AX6" s="1931">
        <v>0.7</v>
      </c>
      <c r="AY6" s="1931" t="s">
        <v>169</v>
      </c>
      <c r="AZ6" s="1931">
        <v>0.6</v>
      </c>
      <c r="BA6" s="1931" t="s">
        <v>169</v>
      </c>
      <c r="BB6" s="1931">
        <v>0.6</v>
      </c>
      <c r="BC6" s="1931" t="s">
        <v>169</v>
      </c>
      <c r="BD6" s="1931">
        <v>0.4</v>
      </c>
      <c r="BE6" s="1931" t="s">
        <v>169</v>
      </c>
      <c r="BF6" s="1931">
        <v>0.3</v>
      </c>
      <c r="BG6" s="1931" t="s">
        <v>169</v>
      </c>
      <c r="BH6" s="1931">
        <v>0.3</v>
      </c>
      <c r="BI6" s="1931" t="s">
        <v>169</v>
      </c>
      <c r="BJ6" s="1931">
        <v>0.3</v>
      </c>
      <c r="BK6" s="1931" t="s">
        <v>169</v>
      </c>
      <c r="BL6" s="2138">
        <v>0.3</v>
      </c>
      <c r="BN6" s="1931" t="s">
        <v>169</v>
      </c>
      <c r="BO6" s="1931">
        <v>0.8</v>
      </c>
      <c r="BP6" s="1931" t="s">
        <v>169</v>
      </c>
      <c r="BQ6" s="1931">
        <v>0.7</v>
      </c>
      <c r="BR6" s="1931" t="s">
        <v>169</v>
      </c>
      <c r="BS6" s="1931">
        <v>0.6</v>
      </c>
      <c r="BT6" s="1931" t="s">
        <v>169</v>
      </c>
      <c r="BU6" s="1931">
        <v>0.5</v>
      </c>
      <c r="BV6" s="1931" t="s">
        <v>169</v>
      </c>
      <c r="BW6" s="1931">
        <v>0.5</v>
      </c>
      <c r="BX6" s="1931" t="s">
        <v>169</v>
      </c>
      <c r="BY6" s="1931">
        <v>0.3</v>
      </c>
      <c r="BZ6" s="1931" t="s">
        <v>169</v>
      </c>
      <c r="CA6" s="1931">
        <v>0.3</v>
      </c>
      <c r="CB6" s="1931" t="s">
        <v>169</v>
      </c>
      <c r="CC6" s="1931">
        <v>0.3</v>
      </c>
      <c r="CD6" s="1931" t="s">
        <v>169</v>
      </c>
      <c r="CE6" s="1931">
        <v>0.3</v>
      </c>
    </row>
    <row r="7" spans="1:83" outlineLevel="1" x14ac:dyDescent="0.45">
      <c r="B7" s="1931" t="s">
        <v>176</v>
      </c>
      <c r="C7" s="2137">
        <v>4.3</v>
      </c>
      <c r="D7" s="2138">
        <v>7.5</v>
      </c>
      <c r="E7" s="2137">
        <v>7</v>
      </c>
      <c r="F7" s="2138">
        <v>11</v>
      </c>
      <c r="G7" s="2137">
        <v>11.5</v>
      </c>
      <c r="H7" s="2138">
        <v>16.2</v>
      </c>
      <c r="I7" s="1931">
        <v>11</v>
      </c>
      <c r="J7" s="2138">
        <v>11.5</v>
      </c>
      <c r="K7" s="2137">
        <v>11.9</v>
      </c>
      <c r="L7" s="2138">
        <v>21.5</v>
      </c>
      <c r="M7" s="2137">
        <v>7</v>
      </c>
      <c r="N7" s="1931">
        <v>11</v>
      </c>
      <c r="O7" s="1931">
        <v>5.4</v>
      </c>
      <c r="P7" s="1931">
        <v>10.1</v>
      </c>
      <c r="Q7" s="1931">
        <v>5</v>
      </c>
      <c r="R7" s="1931">
        <v>8.6999999999999993</v>
      </c>
      <c r="S7" s="1931">
        <v>4.3</v>
      </c>
      <c r="T7" s="1931">
        <v>7.5</v>
      </c>
      <c r="U7" s="1931">
        <v>3.7</v>
      </c>
      <c r="V7" s="1931">
        <v>6.6</v>
      </c>
      <c r="W7" s="1931">
        <v>3.2</v>
      </c>
      <c r="X7" s="2138">
        <v>5.8</v>
      </c>
      <c r="Y7" s="2137">
        <v>11.9</v>
      </c>
      <c r="Z7" s="1931">
        <v>21.5</v>
      </c>
      <c r="AA7" s="1931">
        <v>9</v>
      </c>
      <c r="AB7" s="1931">
        <v>15.6</v>
      </c>
      <c r="AC7" s="1931">
        <v>6.2</v>
      </c>
      <c r="AD7" s="1931">
        <v>12.5</v>
      </c>
      <c r="AE7" s="1931">
        <v>4.0999999999999996</v>
      </c>
      <c r="AF7" s="1931">
        <v>9.8000000000000007</v>
      </c>
      <c r="AG7" s="1931">
        <v>2.4</v>
      </c>
      <c r="AH7" s="2138">
        <v>5.9</v>
      </c>
      <c r="AI7" s="2137">
        <v>7</v>
      </c>
      <c r="AJ7" s="1931">
        <v>11</v>
      </c>
      <c r="AK7" s="1931">
        <v>5.4</v>
      </c>
      <c r="AL7" s="1931">
        <v>10.1</v>
      </c>
      <c r="AM7" s="1931">
        <v>5</v>
      </c>
      <c r="AN7" s="1931">
        <v>8.6999999999999993</v>
      </c>
      <c r="AO7" s="1931">
        <v>4.3</v>
      </c>
      <c r="AP7" s="1931">
        <v>7.5</v>
      </c>
      <c r="AQ7" s="1931">
        <v>3.7</v>
      </c>
      <c r="AR7" s="1931">
        <v>6.6</v>
      </c>
      <c r="AS7" s="1931">
        <v>3.2</v>
      </c>
      <c r="AT7" s="2138">
        <v>5.8</v>
      </c>
      <c r="AU7" s="2137">
        <v>9.8000000000000007</v>
      </c>
      <c r="AV7" s="1931">
        <v>16.100000000000001</v>
      </c>
      <c r="AW7" s="1931">
        <v>8</v>
      </c>
      <c r="AX7" s="1931">
        <v>14</v>
      </c>
      <c r="AY7" s="1931">
        <v>6.5</v>
      </c>
      <c r="AZ7" s="1931">
        <v>11.7</v>
      </c>
      <c r="BA7" s="1931">
        <v>5.5</v>
      </c>
      <c r="BB7" s="1931">
        <v>10.199999999999999</v>
      </c>
      <c r="BC7" s="1931">
        <v>4.3</v>
      </c>
      <c r="BD7" s="1931">
        <v>8.6</v>
      </c>
      <c r="BE7" s="1931">
        <v>3.6</v>
      </c>
      <c r="BF7" s="1931">
        <v>7.8</v>
      </c>
      <c r="BG7" s="1931">
        <v>3.2</v>
      </c>
      <c r="BH7" s="1931">
        <v>6.5</v>
      </c>
      <c r="BI7" s="1931">
        <v>2.7</v>
      </c>
      <c r="BJ7" s="1931">
        <v>5.7</v>
      </c>
      <c r="BK7" s="1931">
        <v>2.4</v>
      </c>
      <c r="BL7" s="2138">
        <v>5</v>
      </c>
      <c r="BN7" s="1931">
        <v>9.9</v>
      </c>
      <c r="BO7" s="1931">
        <v>15.4</v>
      </c>
      <c r="BP7" s="1931">
        <v>7.9</v>
      </c>
      <c r="BQ7" s="1931">
        <v>13.1</v>
      </c>
      <c r="BR7" s="1931">
        <v>6.5</v>
      </c>
      <c r="BS7" s="1931">
        <v>11.2</v>
      </c>
      <c r="BT7" s="1931">
        <v>5.0999999999999996</v>
      </c>
      <c r="BU7" s="1931">
        <v>9.6</v>
      </c>
      <c r="BV7" s="1931">
        <v>4.3</v>
      </c>
      <c r="BW7" s="1931">
        <v>8.5</v>
      </c>
      <c r="BX7" s="1931">
        <v>3.7</v>
      </c>
      <c r="BY7" s="1931">
        <v>6.9</v>
      </c>
      <c r="BZ7" s="1931">
        <v>3.1</v>
      </c>
      <c r="CA7" s="1931">
        <v>6.2</v>
      </c>
      <c r="CB7" s="1931">
        <v>2.7</v>
      </c>
      <c r="CC7" s="1931">
        <v>5.5</v>
      </c>
      <c r="CD7" s="1931">
        <v>2.4</v>
      </c>
      <c r="CE7" s="1931">
        <v>4.5999999999999996</v>
      </c>
    </row>
    <row r="8" spans="1:83" outlineLevel="1" x14ac:dyDescent="0.45">
      <c r="B8" s="1931" t="s">
        <v>177</v>
      </c>
      <c r="C8" s="2125">
        <v>12.4</v>
      </c>
      <c r="D8" s="2127">
        <v>7.7</v>
      </c>
      <c r="E8" s="2125">
        <v>12.1</v>
      </c>
      <c r="F8" s="2127">
        <v>7.6</v>
      </c>
      <c r="G8" s="2125">
        <v>9.6999999999999993</v>
      </c>
      <c r="H8" s="2148">
        <v>7</v>
      </c>
      <c r="I8" s="2126">
        <v>4.7</v>
      </c>
      <c r="J8" s="2127">
        <v>3.2</v>
      </c>
      <c r="K8" s="2125">
        <v>11.2</v>
      </c>
      <c r="L8" s="2127">
        <v>6.4</v>
      </c>
      <c r="M8" s="2125">
        <v>12.1</v>
      </c>
      <c r="N8" s="2126">
        <v>7.6</v>
      </c>
      <c r="O8" s="2126">
        <v>13.3</v>
      </c>
      <c r="P8" s="2126">
        <v>7.7</v>
      </c>
      <c r="Q8" s="2126">
        <v>13.6</v>
      </c>
      <c r="R8" s="2126">
        <v>7.7</v>
      </c>
      <c r="S8" s="2126">
        <v>12.4</v>
      </c>
      <c r="T8" s="2126">
        <v>7.7</v>
      </c>
      <c r="U8" s="2126">
        <v>12.8</v>
      </c>
      <c r="V8" s="2126">
        <v>7.1</v>
      </c>
      <c r="W8" s="2126">
        <v>11.4</v>
      </c>
      <c r="X8" s="2127">
        <v>6.7</v>
      </c>
      <c r="Y8" s="2125">
        <v>11.2</v>
      </c>
      <c r="Z8" s="2126">
        <v>6.4</v>
      </c>
      <c r="AA8" s="2126">
        <v>12.5</v>
      </c>
      <c r="AB8" s="2126">
        <v>7.3</v>
      </c>
      <c r="AC8" s="2126">
        <v>15.2</v>
      </c>
      <c r="AD8" s="2126">
        <v>7.8</v>
      </c>
      <c r="AE8" s="2126">
        <v>18.7</v>
      </c>
      <c r="AF8" s="2126">
        <v>7.9</v>
      </c>
      <c r="AG8" s="2126">
        <v>23.3</v>
      </c>
      <c r="AH8" s="2127">
        <v>10</v>
      </c>
      <c r="AI8" s="2125">
        <v>12.1</v>
      </c>
      <c r="AJ8" s="2126">
        <v>7.6</v>
      </c>
      <c r="AK8" s="2126">
        <v>13.3</v>
      </c>
      <c r="AL8" s="2126">
        <v>7.7</v>
      </c>
      <c r="AM8" s="2126">
        <v>13.6</v>
      </c>
      <c r="AN8" s="2126">
        <v>7.7</v>
      </c>
      <c r="AO8" s="2126">
        <v>12.4</v>
      </c>
      <c r="AP8" s="2126">
        <v>7.7</v>
      </c>
      <c r="AQ8" s="2126">
        <v>12.8</v>
      </c>
      <c r="AR8" s="2126">
        <v>7.1</v>
      </c>
      <c r="AS8" s="2126">
        <v>11.4</v>
      </c>
      <c r="AT8" s="2127">
        <v>6.7</v>
      </c>
      <c r="AU8" s="2137">
        <v>11.5</v>
      </c>
      <c r="AV8" s="1931">
        <v>7.2</v>
      </c>
      <c r="AW8" s="1931">
        <v>13</v>
      </c>
      <c r="AX8" s="1931">
        <v>7.9</v>
      </c>
      <c r="AY8" s="1931">
        <v>14.5</v>
      </c>
      <c r="AZ8" s="1931">
        <v>8.5</v>
      </c>
      <c r="BA8" s="2125">
        <v>15.3</v>
      </c>
      <c r="BB8" s="2128">
        <v>8.4</v>
      </c>
      <c r="BC8" s="2126">
        <v>17.2</v>
      </c>
      <c r="BD8" s="2126">
        <v>8.6999999999999993</v>
      </c>
      <c r="BE8" s="2126">
        <v>17.5</v>
      </c>
      <c r="BF8" s="2126">
        <v>8.8000000000000007</v>
      </c>
      <c r="BG8" s="2126">
        <v>15.1</v>
      </c>
      <c r="BH8" s="2128">
        <v>8.1</v>
      </c>
      <c r="BI8" s="2126">
        <v>16.3</v>
      </c>
      <c r="BJ8" s="2126">
        <v>8.1999999999999993</v>
      </c>
      <c r="BK8" s="2126">
        <v>14.2</v>
      </c>
      <c r="BL8" s="2129">
        <v>7.6</v>
      </c>
      <c r="BN8" s="1931">
        <v>11.1</v>
      </c>
      <c r="BO8" s="1931">
        <v>7.1</v>
      </c>
      <c r="BP8" s="1931">
        <v>12.7</v>
      </c>
      <c r="BQ8" s="1931">
        <v>7.7</v>
      </c>
      <c r="BR8" s="1931">
        <v>13.9</v>
      </c>
      <c r="BS8" s="1931">
        <v>8</v>
      </c>
      <c r="BT8" s="2125">
        <v>15.7</v>
      </c>
      <c r="BU8" s="2128">
        <v>8.3000000000000007</v>
      </c>
      <c r="BV8" s="2126">
        <v>16.7</v>
      </c>
      <c r="BW8" s="2126">
        <v>8.5</v>
      </c>
      <c r="BX8" s="2126">
        <v>16.3</v>
      </c>
      <c r="BY8" s="2126">
        <v>8.6999999999999993</v>
      </c>
      <c r="BZ8" s="2126">
        <v>16.2</v>
      </c>
      <c r="CA8" s="2128">
        <v>8.3000000000000007</v>
      </c>
      <c r="CB8" s="2126">
        <v>14.8</v>
      </c>
      <c r="CC8" s="2126">
        <v>7.4</v>
      </c>
      <c r="CD8" s="2126">
        <v>12.6</v>
      </c>
      <c r="CE8" s="2129">
        <v>6.6</v>
      </c>
    </row>
    <row r="9" spans="1:83" outlineLevel="1" x14ac:dyDescent="0.45">
      <c r="B9" s="1931" t="s">
        <v>171</v>
      </c>
      <c r="C9" s="2137">
        <v>749</v>
      </c>
      <c r="D9" s="2138">
        <v>1101</v>
      </c>
      <c r="E9" s="2137">
        <v>832</v>
      </c>
      <c r="F9" s="2138">
        <v>1130</v>
      </c>
      <c r="G9" s="2137">
        <v>953</v>
      </c>
      <c r="H9" s="2138">
        <v>1229</v>
      </c>
      <c r="I9" s="1931">
        <v>731</v>
      </c>
      <c r="J9" s="2138">
        <v>1060</v>
      </c>
      <c r="K9" s="2137">
        <v>662</v>
      </c>
      <c r="L9" s="2138">
        <v>917</v>
      </c>
      <c r="M9" s="2137">
        <v>832</v>
      </c>
      <c r="N9" s="1931">
        <v>1130</v>
      </c>
      <c r="O9" s="1931">
        <v>791</v>
      </c>
      <c r="P9" s="1931">
        <v>1125</v>
      </c>
      <c r="Q9" s="1931">
        <v>773</v>
      </c>
      <c r="R9" s="1931">
        <v>1106</v>
      </c>
      <c r="S9" s="1931">
        <v>749</v>
      </c>
      <c r="T9" s="1931">
        <v>1101</v>
      </c>
      <c r="U9" s="1931">
        <v>740</v>
      </c>
      <c r="V9" s="1931">
        <v>1093</v>
      </c>
      <c r="W9" s="1931">
        <v>745</v>
      </c>
      <c r="X9" s="2138">
        <v>1087</v>
      </c>
      <c r="Y9" s="2137">
        <v>662</v>
      </c>
      <c r="Z9" s="1931">
        <v>917</v>
      </c>
      <c r="AA9" s="1931">
        <v>643</v>
      </c>
      <c r="AB9" s="1931">
        <v>912</v>
      </c>
      <c r="AC9" s="1931">
        <v>580</v>
      </c>
      <c r="AD9" s="1931">
        <v>900</v>
      </c>
      <c r="AE9" s="1931">
        <v>506</v>
      </c>
      <c r="AF9" s="1931">
        <v>874</v>
      </c>
      <c r="AG9" s="1931">
        <v>430</v>
      </c>
      <c r="AH9" s="2138">
        <v>781</v>
      </c>
      <c r="AI9" s="2137">
        <v>832</v>
      </c>
      <c r="AJ9" s="1931">
        <v>1130</v>
      </c>
      <c r="AK9" s="1931">
        <v>791</v>
      </c>
      <c r="AL9" s="1931">
        <v>1125</v>
      </c>
      <c r="AM9" s="1931">
        <v>773</v>
      </c>
      <c r="AN9" s="1931">
        <v>1106</v>
      </c>
      <c r="AO9" s="1931">
        <v>749</v>
      </c>
      <c r="AP9" s="1931">
        <v>1101</v>
      </c>
      <c r="AQ9" s="1931">
        <v>740</v>
      </c>
      <c r="AR9" s="1931">
        <v>1093</v>
      </c>
      <c r="AS9" s="1931">
        <v>745</v>
      </c>
      <c r="AT9" s="2138">
        <v>1087</v>
      </c>
      <c r="AU9" s="2137">
        <v>931</v>
      </c>
      <c r="AV9" s="1931">
        <v>1205</v>
      </c>
      <c r="AW9" s="1931">
        <v>895</v>
      </c>
      <c r="AX9" s="1931">
        <v>1179</v>
      </c>
      <c r="AY9" s="1931">
        <v>852</v>
      </c>
      <c r="AZ9" s="1931">
        <v>1146</v>
      </c>
      <c r="BA9" s="1931">
        <v>814</v>
      </c>
      <c r="BB9" s="1931">
        <v>1131</v>
      </c>
      <c r="BC9" s="1931">
        <v>772</v>
      </c>
      <c r="BD9" s="1931">
        <v>1112</v>
      </c>
      <c r="BE9" s="1931">
        <v>750</v>
      </c>
      <c r="BF9" s="1931">
        <v>1107</v>
      </c>
      <c r="BG9" s="1931">
        <v>747</v>
      </c>
      <c r="BH9" s="1931">
        <v>1072</v>
      </c>
      <c r="BI9" s="1931">
        <v>731</v>
      </c>
      <c r="BJ9" s="1931">
        <v>1073</v>
      </c>
      <c r="BK9" s="1931">
        <v>718</v>
      </c>
      <c r="BL9" s="2138">
        <v>1062</v>
      </c>
      <c r="BN9" s="1931">
        <v>920</v>
      </c>
      <c r="BO9" s="1931">
        <v>1182</v>
      </c>
      <c r="BP9" s="1931">
        <v>889</v>
      </c>
      <c r="BQ9" s="1931">
        <v>1164</v>
      </c>
      <c r="BR9" s="1931">
        <v>839</v>
      </c>
      <c r="BS9" s="1931">
        <v>1135</v>
      </c>
      <c r="BT9" s="1931">
        <v>795</v>
      </c>
      <c r="BU9" s="1931">
        <v>1113</v>
      </c>
      <c r="BV9" s="1931">
        <v>760</v>
      </c>
      <c r="BW9" s="1931">
        <v>1112</v>
      </c>
      <c r="BX9" s="1931">
        <v>751</v>
      </c>
      <c r="BY9" s="1931">
        <v>1061</v>
      </c>
      <c r="BZ9" s="1931">
        <v>722</v>
      </c>
      <c r="CA9" s="1931">
        <v>1054</v>
      </c>
      <c r="CB9" s="1931">
        <v>707</v>
      </c>
      <c r="CC9" s="1931">
        <v>1057</v>
      </c>
      <c r="CD9" s="1931">
        <v>711</v>
      </c>
      <c r="CE9" s="1931">
        <v>1039</v>
      </c>
    </row>
    <row r="10" spans="1:83" outlineLevel="1" x14ac:dyDescent="0.45">
      <c r="B10" s="1931" t="s">
        <v>172</v>
      </c>
      <c r="C10" s="2139">
        <v>0.05</v>
      </c>
      <c r="D10" s="2141">
        <v>0.02</v>
      </c>
      <c r="E10" s="2139">
        <v>0.02</v>
      </c>
      <c r="F10" s="2141">
        <v>0.01</v>
      </c>
      <c r="G10" s="2139">
        <v>0.21</v>
      </c>
      <c r="H10" s="2141">
        <v>0.3</v>
      </c>
      <c r="I10" s="2140">
        <v>0.09</v>
      </c>
      <c r="J10" s="2141">
        <v>0.1</v>
      </c>
      <c r="K10" s="2139">
        <v>0.01</v>
      </c>
      <c r="L10" s="2141">
        <v>0.12</v>
      </c>
      <c r="M10" s="2139">
        <v>0.02</v>
      </c>
      <c r="N10" s="2140">
        <v>0.01</v>
      </c>
      <c r="O10" s="2140">
        <v>0.03</v>
      </c>
      <c r="P10" s="2140">
        <v>0.01</v>
      </c>
      <c r="Q10" s="2140">
        <v>0.05</v>
      </c>
      <c r="R10" s="2140">
        <v>0.01</v>
      </c>
      <c r="S10" s="2140">
        <v>0.05</v>
      </c>
      <c r="T10" s="2140">
        <v>0.02</v>
      </c>
      <c r="U10" s="2140">
        <v>0.05</v>
      </c>
      <c r="V10" s="2140">
        <v>0.03</v>
      </c>
      <c r="W10" s="2140">
        <v>0.06</v>
      </c>
      <c r="X10" s="2141">
        <v>0.04</v>
      </c>
      <c r="Y10" s="2139">
        <v>0.01</v>
      </c>
      <c r="Z10" s="2140">
        <v>0.12</v>
      </c>
      <c r="AA10" s="2140">
        <v>0.03</v>
      </c>
      <c r="AB10" s="2140">
        <v>0.09</v>
      </c>
      <c r="AC10" s="2140">
        <v>0.02</v>
      </c>
      <c r="AD10" s="2140">
        <v>7.0000000000000007E-2</v>
      </c>
      <c r="AE10" s="2140">
        <v>0.04</v>
      </c>
      <c r="AF10" s="2140">
        <v>0.01</v>
      </c>
      <c r="AG10" s="2140">
        <v>0.06</v>
      </c>
      <c r="AH10" s="2141">
        <v>0.03</v>
      </c>
      <c r="AI10" s="2139">
        <v>0.02</v>
      </c>
      <c r="AJ10" s="2140">
        <v>0.01</v>
      </c>
      <c r="AK10" s="2140">
        <v>0.03</v>
      </c>
      <c r="AL10" s="2140">
        <v>0.01</v>
      </c>
      <c r="AM10" s="2140">
        <v>0.05</v>
      </c>
      <c r="AN10" s="2140">
        <v>0.01</v>
      </c>
      <c r="AO10" s="2140">
        <v>0.05</v>
      </c>
      <c r="AP10" s="2140">
        <v>0.02</v>
      </c>
      <c r="AQ10" s="2140">
        <v>0.05</v>
      </c>
      <c r="AR10" s="2140">
        <v>0.03</v>
      </c>
      <c r="AS10" s="2140">
        <v>0.06</v>
      </c>
      <c r="AT10" s="2141">
        <v>0.04</v>
      </c>
      <c r="AU10" s="2139">
        <v>0.1</v>
      </c>
      <c r="AV10" s="2140">
        <v>0.16</v>
      </c>
      <c r="AW10" s="2140">
        <v>0.09</v>
      </c>
      <c r="AX10" s="2140">
        <v>0.14000000000000001</v>
      </c>
      <c r="AY10" s="2140">
        <v>7.0000000000000007E-2</v>
      </c>
      <c r="AZ10" s="2140">
        <v>0.12</v>
      </c>
      <c r="BA10" s="2140">
        <v>0.06</v>
      </c>
      <c r="BB10" s="2140">
        <v>0.1</v>
      </c>
      <c r="BC10" s="2140">
        <v>0.05</v>
      </c>
      <c r="BD10" s="2140">
        <v>0.09</v>
      </c>
      <c r="BE10" s="2140">
        <v>0.04</v>
      </c>
      <c r="BF10" s="2140">
        <v>0.08</v>
      </c>
      <c r="BG10" s="2140">
        <v>0.04</v>
      </c>
      <c r="BH10" s="2140">
        <v>7.0000000000000007E-2</v>
      </c>
      <c r="BI10" s="2140">
        <v>0.08</v>
      </c>
      <c r="BJ10" s="2140">
        <v>0.06</v>
      </c>
      <c r="BK10" s="2140">
        <v>0.03</v>
      </c>
      <c r="BL10" s="2141">
        <v>0.06</v>
      </c>
      <c r="BN10" s="1931">
        <v>0.1</v>
      </c>
      <c r="BO10" s="1931">
        <v>0.16</v>
      </c>
      <c r="BP10" s="1931">
        <v>0.09</v>
      </c>
      <c r="BQ10" s="1931">
        <v>0.14000000000000001</v>
      </c>
      <c r="BR10" s="1931">
        <v>7.0000000000000007E-2</v>
      </c>
      <c r="BS10" s="1931">
        <v>0.12</v>
      </c>
      <c r="BT10" s="1931">
        <v>0.06</v>
      </c>
      <c r="BU10" s="1931">
        <v>0.1</v>
      </c>
      <c r="BV10" s="1931">
        <v>0.05</v>
      </c>
      <c r="BW10" s="1931">
        <v>0.09</v>
      </c>
      <c r="BX10" s="1931">
        <v>0.05</v>
      </c>
      <c r="BY10" s="1931">
        <v>0.08</v>
      </c>
      <c r="BZ10" s="1931">
        <v>0.04</v>
      </c>
      <c r="CA10" s="1931">
        <v>7.0000000000000007E-2</v>
      </c>
      <c r="CB10" s="1931">
        <v>0.04</v>
      </c>
      <c r="CC10" s="1931">
        <v>7.0000000000000007E-2</v>
      </c>
      <c r="CD10" s="1931">
        <v>0.04</v>
      </c>
      <c r="CE10" s="1931">
        <v>0.06</v>
      </c>
    </row>
    <row r="11" spans="1:83" outlineLevel="1" x14ac:dyDescent="0.45"/>
    <row r="12" spans="1:83" x14ac:dyDescent="0.45">
      <c r="A12" s="2130" t="s">
        <v>2079</v>
      </c>
    </row>
    <row r="13" spans="1:83" x14ac:dyDescent="0.45">
      <c r="C13" s="2153" t="s">
        <v>2087</v>
      </c>
      <c r="D13" s="2154"/>
      <c r="E13" s="2154"/>
      <c r="F13" s="2155"/>
      <c r="N13" s="2156" t="s">
        <v>2069</v>
      </c>
      <c r="O13" s="2157"/>
      <c r="P13" s="2157"/>
      <c r="Q13" s="2158"/>
      <c r="R13" s="1931" t="s">
        <v>2088</v>
      </c>
    </row>
    <row r="14" spans="1:83" x14ac:dyDescent="0.45">
      <c r="B14" s="1931" t="s">
        <v>171</v>
      </c>
      <c r="C14" s="2135" t="s">
        <v>2081</v>
      </c>
      <c r="D14" s="2124" t="s">
        <v>2082</v>
      </c>
      <c r="E14" s="2124" t="s">
        <v>2083</v>
      </c>
      <c r="F14" s="2136" t="s">
        <v>2080</v>
      </c>
      <c r="N14" s="2135" t="s">
        <v>2081</v>
      </c>
      <c r="O14" s="2124" t="s">
        <v>2082</v>
      </c>
      <c r="P14" s="2124" t="s">
        <v>2083</v>
      </c>
      <c r="Q14" s="2136" t="s">
        <v>2080</v>
      </c>
    </row>
    <row r="15" spans="1:83" x14ac:dyDescent="0.45">
      <c r="B15" s="1931" t="s">
        <v>2084</v>
      </c>
      <c r="C15" s="2135">
        <v>11</v>
      </c>
      <c r="D15" s="2124">
        <v>27</v>
      </c>
      <c r="E15" s="2124">
        <v>20</v>
      </c>
      <c r="F15" s="2136">
        <v>60</v>
      </c>
      <c r="N15" s="2135"/>
      <c r="O15" s="2124"/>
      <c r="P15" s="2124"/>
      <c r="Q15" s="2136"/>
    </row>
    <row r="16" spans="1:83" x14ac:dyDescent="0.45">
      <c r="B16" s="1931" t="s">
        <v>1906</v>
      </c>
      <c r="C16" s="2137"/>
      <c r="E16" s="2149">
        <v>40</v>
      </c>
      <c r="F16" s="2150">
        <f>E16/0.6</f>
        <v>66.666666666666671</v>
      </c>
      <c r="G16" s="1931" t="s">
        <v>2085</v>
      </c>
      <c r="N16" s="2137"/>
      <c r="P16" s="2149"/>
      <c r="Q16" s="2150"/>
    </row>
    <row r="17" spans="1:17" x14ac:dyDescent="0.45">
      <c r="B17" s="1931" t="s">
        <v>2086</v>
      </c>
      <c r="C17" s="2139"/>
      <c r="D17" s="2140"/>
      <c r="E17" s="2151">
        <f>E16/E15</f>
        <v>2</v>
      </c>
      <c r="F17" s="2152">
        <f>F16/F15</f>
        <v>1.1111111111111112</v>
      </c>
      <c r="N17" s="2139"/>
      <c r="O17" s="2140"/>
      <c r="P17" s="2159">
        <v>1</v>
      </c>
      <c r="Q17" s="2152">
        <f>1/1.3</f>
        <v>0.76923076923076916</v>
      </c>
    </row>
    <row r="19" spans="1:17" x14ac:dyDescent="0.45">
      <c r="A19" s="2130" t="s">
        <v>2190</v>
      </c>
    </row>
    <row r="20" spans="1:17" x14ac:dyDescent="0.45">
      <c r="C20" s="2253" t="s">
        <v>2191</v>
      </c>
      <c r="D20" s="2254"/>
      <c r="E20" s="2255"/>
      <c r="F20" s="2253" t="s">
        <v>2198</v>
      </c>
      <c r="G20" s="2254"/>
      <c r="H20" s="2254"/>
      <c r="I20" s="2254"/>
      <c r="J20" s="2254"/>
      <c r="K20" s="2254"/>
      <c r="L20" s="2255"/>
    </row>
    <row r="21" spans="1:17" x14ac:dyDescent="0.45">
      <c r="B21" s="1931" t="s">
        <v>1906</v>
      </c>
      <c r="C21" s="2256">
        <v>36</v>
      </c>
      <c r="D21" s="2257">
        <v>64</v>
      </c>
      <c r="E21" s="2258">
        <v>110</v>
      </c>
      <c r="F21" s="2137">
        <v>40</v>
      </c>
      <c r="G21" s="1931">
        <v>50</v>
      </c>
      <c r="H21" s="1931">
        <v>60</v>
      </c>
      <c r="I21" s="1931">
        <v>70</v>
      </c>
      <c r="J21" s="1931">
        <v>80</v>
      </c>
      <c r="K21" s="1931">
        <v>90</v>
      </c>
      <c r="L21" s="2138">
        <v>100</v>
      </c>
    </row>
    <row r="22" spans="1:17" x14ac:dyDescent="0.45">
      <c r="B22" s="1931" t="s">
        <v>2084</v>
      </c>
      <c r="C22" s="2256">
        <v>17</v>
      </c>
      <c r="D22" s="2257">
        <v>31</v>
      </c>
      <c r="E22" s="2258">
        <v>70</v>
      </c>
      <c r="F22" s="2259">
        <v>18.960000000000004</v>
      </c>
      <c r="G22" s="2260">
        <v>23.800000000000004</v>
      </c>
      <c r="H22" s="2260">
        <v>29.160000000000007</v>
      </c>
      <c r="I22" s="2260">
        <v>35.28</v>
      </c>
      <c r="J22" s="2260">
        <v>42.400000000000006</v>
      </c>
      <c r="K22" s="2260">
        <v>50.760000000000005</v>
      </c>
      <c r="L22" s="2261">
        <v>60.600000000000009</v>
      </c>
    </row>
    <row r="23" spans="1:17" x14ac:dyDescent="0.45">
      <c r="B23" s="1931" t="s">
        <v>2199</v>
      </c>
      <c r="C23" s="2262">
        <f>C21/C22</f>
        <v>2.1176470588235294</v>
      </c>
      <c r="D23" s="2263">
        <f>D21/D22</f>
        <v>2.064516129032258</v>
      </c>
      <c r="E23" s="2264">
        <f>E21/E22</f>
        <v>1.5714285714285714</v>
      </c>
      <c r="F23" s="2262">
        <f t="shared" ref="F23:L23" si="0">F21/F22</f>
        <v>2.1097046413502105</v>
      </c>
      <c r="G23" s="2263">
        <f t="shared" si="0"/>
        <v>2.1008403361344534</v>
      </c>
      <c r="H23" s="2263">
        <f t="shared" si="0"/>
        <v>2.0576131687242794</v>
      </c>
      <c r="I23" s="2263">
        <f t="shared" si="0"/>
        <v>1.984126984126984</v>
      </c>
      <c r="J23" s="2263">
        <f t="shared" si="0"/>
        <v>1.8867924528301885</v>
      </c>
      <c r="K23" s="2263">
        <f t="shared" si="0"/>
        <v>1.7730496453900708</v>
      </c>
      <c r="L23" s="2264">
        <f t="shared" si="0"/>
        <v>1.6501650165016499</v>
      </c>
    </row>
    <row r="24" spans="1:17" x14ac:dyDescent="0.45">
      <c r="B24" s="1931" t="s">
        <v>2192</v>
      </c>
      <c r="C24" s="2265">
        <v>0.84</v>
      </c>
      <c r="D24" s="2266">
        <v>0.78</v>
      </c>
      <c r="E24" s="2267">
        <v>0.7</v>
      </c>
      <c r="F24" s="2265">
        <v>0.82869999999999999</v>
      </c>
      <c r="G24" s="2266">
        <v>0.80969999999999998</v>
      </c>
      <c r="H24" s="2266">
        <v>0.79069999999999996</v>
      </c>
      <c r="I24" s="2266">
        <v>0.77169999999999994</v>
      </c>
      <c r="J24" s="2266">
        <v>0.75269999999999992</v>
      </c>
      <c r="K24" s="2266">
        <v>0.73369999999999991</v>
      </c>
      <c r="L24" s="2267">
        <v>0.71469999999999989</v>
      </c>
    </row>
    <row r="25" spans="1:17" x14ac:dyDescent="0.45">
      <c r="B25" s="1931" t="s">
        <v>2193</v>
      </c>
      <c r="C25" s="2268">
        <v>0.87</v>
      </c>
      <c r="D25" s="2269">
        <v>0.81</v>
      </c>
      <c r="E25" s="2270">
        <v>0.73</v>
      </c>
      <c r="F25" s="2268">
        <v>0.85870000000000002</v>
      </c>
      <c r="G25" s="2269">
        <v>0.8397</v>
      </c>
      <c r="H25" s="2269">
        <v>0.82069999999999999</v>
      </c>
      <c r="I25" s="2269">
        <v>0.80169999999999997</v>
      </c>
      <c r="J25" s="2269">
        <v>0.78269999999999995</v>
      </c>
      <c r="K25" s="2269">
        <v>0.76369999999999993</v>
      </c>
      <c r="L25" s="2270">
        <v>0.74469999999999992</v>
      </c>
    </row>
  </sheetData>
  <mergeCells count="9">
    <mergeCell ref="I3:J3"/>
    <mergeCell ref="G3:H3"/>
    <mergeCell ref="E3:F3"/>
    <mergeCell ref="C3:D3"/>
    <mergeCell ref="BN3:CE3"/>
    <mergeCell ref="AU3:BL3"/>
    <mergeCell ref="AI3:AR3"/>
    <mergeCell ref="M3:X3"/>
    <mergeCell ref="Y3:AH3"/>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00B0F0"/>
  </sheetPr>
  <dimension ref="A1:AH33"/>
  <sheetViews>
    <sheetView showGridLines="0" topLeftCell="G1" workbookViewId="0">
      <selection activeCell="H12" sqref="H12"/>
    </sheetView>
  </sheetViews>
  <sheetFormatPr defaultColWidth="9.109375" defaultRowHeight="14.4" outlineLevelCol="1" x14ac:dyDescent="0.3"/>
  <cols>
    <col min="1" max="1" width="13.44140625" customWidth="1"/>
    <col min="2" max="2" width="4.44140625" customWidth="1" outlineLevel="1"/>
    <col min="17" max="17" width="9.109375" style="24"/>
    <col min="27" max="27" width="10.5546875" bestFit="1" customWidth="1"/>
    <col min="29" max="29" width="3.44140625" customWidth="1"/>
    <col min="30" max="30" width="47.109375" style="1753" bestFit="1" customWidth="1"/>
    <col min="33" max="33" width="3.88671875" customWidth="1"/>
  </cols>
  <sheetData>
    <row r="1" spans="1:34" ht="18" x14ac:dyDescent="0.35">
      <c r="A1" s="9" t="s">
        <v>255</v>
      </c>
      <c r="B1" s="9"/>
      <c r="O1">
        <f>MATCH(I9,'Minimum Eff'!$A$3:$A$19,1)</f>
        <v>6</v>
      </c>
    </row>
    <row r="2" spans="1:34" ht="15" x14ac:dyDescent="0.35">
      <c r="E2" s="2044" t="s">
        <v>752</v>
      </c>
      <c r="F2" s="655" t="s">
        <v>1977</v>
      </c>
      <c r="H2" s="10"/>
      <c r="I2" s="10"/>
      <c r="J2" s="10"/>
      <c r="K2" s="10"/>
      <c r="M2" s="1859"/>
      <c r="N2" s="1859"/>
      <c r="O2" s="26"/>
      <c r="P2" s="26"/>
    </row>
    <row r="3" spans="1:34" ht="15" x14ac:dyDescent="0.35">
      <c r="E3" s="2044" t="s">
        <v>753</v>
      </c>
      <c r="F3" s="654" t="s">
        <v>1978</v>
      </c>
      <c r="Q3"/>
      <c r="U3" s="24"/>
      <c r="W3" s="547"/>
    </row>
    <row r="4" spans="1:34" x14ac:dyDescent="0.3">
      <c r="C4" s="10" t="s">
        <v>103</v>
      </c>
      <c r="Q4"/>
      <c r="U4" s="24"/>
      <c r="W4" s="547"/>
    </row>
    <row r="5" spans="1:34" x14ac:dyDescent="0.3">
      <c r="C5" s="12"/>
      <c r="D5" s="21"/>
      <c r="E5" s="21"/>
      <c r="F5" s="21"/>
      <c r="G5" s="21"/>
      <c r="H5" s="21"/>
      <c r="I5" s="21"/>
      <c r="J5" s="21"/>
      <c r="K5" s="21"/>
      <c r="L5" s="21"/>
      <c r="M5" s="21"/>
      <c r="N5" s="21"/>
      <c r="O5" s="21"/>
      <c r="P5" s="21"/>
      <c r="Q5" s="21"/>
      <c r="R5" s="21"/>
      <c r="S5" s="21"/>
      <c r="T5" s="21"/>
      <c r="U5" s="21"/>
      <c r="V5" s="21"/>
      <c r="W5" s="21"/>
      <c r="X5" s="21"/>
    </row>
    <row r="6" spans="1:34" ht="60" x14ac:dyDescent="0.3">
      <c r="C6" s="901" t="s">
        <v>80</v>
      </c>
      <c r="D6" s="901" t="s">
        <v>104</v>
      </c>
      <c r="E6" s="901" t="s">
        <v>101</v>
      </c>
      <c r="F6" s="901" t="s">
        <v>76</v>
      </c>
      <c r="G6" s="901" t="s">
        <v>99</v>
      </c>
      <c r="H6" s="901" t="s">
        <v>97</v>
      </c>
      <c r="I6" s="901" t="s">
        <v>58</v>
      </c>
      <c r="J6" s="901" t="s">
        <v>706</v>
      </c>
      <c r="K6" s="901" t="s">
        <v>707</v>
      </c>
      <c r="L6" s="901" t="s">
        <v>708</v>
      </c>
      <c r="M6" s="901" t="s">
        <v>712</v>
      </c>
      <c r="N6" s="901" t="s">
        <v>63</v>
      </c>
      <c r="O6" s="901" t="s">
        <v>84</v>
      </c>
      <c r="P6" s="901" t="s">
        <v>291</v>
      </c>
      <c r="Q6" s="901" t="s">
        <v>74</v>
      </c>
      <c r="R6" s="901" t="s">
        <v>91</v>
      </c>
      <c r="S6" s="901" t="s">
        <v>102</v>
      </c>
      <c r="T6" s="901" t="s">
        <v>235</v>
      </c>
      <c r="U6" s="2713" t="s">
        <v>48</v>
      </c>
      <c r="V6" s="2714"/>
      <c r="W6" s="901" t="s">
        <v>557</v>
      </c>
      <c r="X6" s="901" t="s">
        <v>558</v>
      </c>
      <c r="Y6" s="1926" t="s">
        <v>1972</v>
      </c>
      <c r="Z6" s="1926" t="s">
        <v>259</v>
      </c>
    </row>
    <row r="7" spans="1:34" x14ac:dyDescent="0.3">
      <c r="C7" s="1860"/>
      <c r="D7" s="1861"/>
      <c r="E7" s="898"/>
      <c r="F7" s="898"/>
      <c r="G7" s="898"/>
      <c r="H7" s="898"/>
      <c r="I7" s="899" t="s">
        <v>59</v>
      </c>
      <c r="J7" s="899" t="s">
        <v>65</v>
      </c>
      <c r="K7" s="899" t="s">
        <v>140</v>
      </c>
      <c r="L7" s="899"/>
      <c r="M7" s="899"/>
      <c r="N7" s="899" t="s">
        <v>64</v>
      </c>
      <c r="O7" s="899" t="s">
        <v>60</v>
      </c>
      <c r="P7" s="899"/>
      <c r="Q7" s="899" t="s">
        <v>59</v>
      </c>
      <c r="R7" s="899" t="s">
        <v>61</v>
      </c>
      <c r="S7" s="899" t="s">
        <v>61</v>
      </c>
      <c r="T7" s="899" t="s">
        <v>640</v>
      </c>
      <c r="U7" s="899"/>
      <c r="V7" s="899"/>
      <c r="W7" s="899" t="s">
        <v>541</v>
      </c>
      <c r="X7" s="900" t="s">
        <v>345</v>
      </c>
      <c r="Y7" s="1927" t="s">
        <v>345</v>
      </c>
      <c r="Z7" s="1640"/>
      <c r="AA7" s="1922"/>
    </row>
    <row r="8" spans="1:34" ht="15" x14ac:dyDescent="0.3">
      <c r="C8" s="2717" t="s">
        <v>161</v>
      </c>
      <c r="D8" s="2718"/>
      <c r="E8" s="2718"/>
      <c r="F8" s="2718"/>
      <c r="G8" s="2718"/>
      <c r="H8" s="2718"/>
      <c r="I8" s="2718"/>
      <c r="J8" s="2718"/>
      <c r="K8" s="2718"/>
      <c r="L8" s="2718"/>
      <c r="M8" s="2718"/>
      <c r="N8" s="2718"/>
      <c r="O8" s="2718"/>
      <c r="P8" s="2718"/>
      <c r="Q8" s="2718"/>
      <c r="R8" s="2718"/>
      <c r="S8" s="2718"/>
      <c r="T8" s="2718"/>
      <c r="U8" s="2718"/>
      <c r="V8" s="2718"/>
      <c r="W8" s="2718"/>
      <c r="X8" s="2719"/>
      <c r="Z8" s="228"/>
      <c r="AC8" s="10" t="s">
        <v>1985</v>
      </c>
    </row>
    <row r="9" spans="1:34" ht="30" x14ac:dyDescent="0.3">
      <c r="C9" s="889" t="s">
        <v>1922</v>
      </c>
      <c r="D9" s="889" t="s">
        <v>1923</v>
      </c>
      <c r="E9" s="1862" t="s">
        <v>1924</v>
      </c>
      <c r="F9" s="889" t="s">
        <v>1925</v>
      </c>
      <c r="G9" s="2724">
        <f ca="1">Spaces_Sum!$H$37</f>
        <v>0</v>
      </c>
      <c r="H9" s="1863">
        <v>0</v>
      </c>
      <c r="I9" s="890">
        <v>7.5</v>
      </c>
      <c r="J9" s="891">
        <f ca="1">$G$9*0.75</f>
        <v>0</v>
      </c>
      <c r="K9" s="1864" t="e">
        <f ca="1">J9/G$9</f>
        <v>#DIV/0!</v>
      </c>
      <c r="L9" s="902">
        <f ca="1">J9</f>
        <v>0</v>
      </c>
      <c r="M9" s="1864" t="e">
        <f ca="1">L9/$G$9</f>
        <v>#DIV/0!</v>
      </c>
      <c r="N9" s="1865">
        <v>0.5</v>
      </c>
      <c r="O9" s="1866">
        <f>IFERROR(INDEX(MinMotorEffArray,MATCH(I9,'Minimum Eff'!$A$3:$A$19,1)+2,2),0.855)</f>
        <v>0.88500000000000001</v>
      </c>
      <c r="P9" s="1867">
        <f>Q9/I9</f>
        <v>1</v>
      </c>
      <c r="Q9" s="892">
        <v>7.5</v>
      </c>
      <c r="R9" s="893">
        <f>Q9*0.746/O9</f>
        <v>6.3220338983050848</v>
      </c>
      <c r="S9" s="1868">
        <f>R9*H9</f>
        <v>0</v>
      </c>
      <c r="T9" s="894" t="e">
        <f ca="1">S9*1000/H9/J9</f>
        <v>#DIV/0!</v>
      </c>
      <c r="U9" s="2715" t="s">
        <v>984</v>
      </c>
      <c r="V9" s="2716"/>
      <c r="W9" s="895">
        <v>8.4</v>
      </c>
      <c r="X9" s="896">
        <f>W9*S9*365</f>
        <v>0</v>
      </c>
      <c r="Z9" s="1930"/>
      <c r="AA9" s="906"/>
      <c r="AB9" s="2048"/>
      <c r="AC9" s="2047"/>
      <c r="AD9" s="1753" t="s">
        <v>1984</v>
      </c>
      <c r="AE9" s="1923" t="e">
        <f ca="1">T12</f>
        <v>#DIV/0!</v>
      </c>
      <c r="AF9" t="s">
        <v>1039</v>
      </c>
      <c r="AG9" s="163" t="s">
        <v>1971</v>
      </c>
    </row>
    <row r="10" spans="1:34" ht="30" x14ac:dyDescent="0.3">
      <c r="C10" s="889" t="s">
        <v>1926</v>
      </c>
      <c r="D10" s="889" t="s">
        <v>1923</v>
      </c>
      <c r="E10" s="1862" t="s">
        <v>1927</v>
      </c>
      <c r="F10" s="889" t="s">
        <v>1925</v>
      </c>
      <c r="G10" s="2725"/>
      <c r="H10" s="1863">
        <v>0</v>
      </c>
      <c r="I10" s="890">
        <v>3</v>
      </c>
      <c r="J10" s="891">
        <f t="shared" ref="J10:J11" ca="1" si="0">$G$9*0.75</f>
        <v>0</v>
      </c>
      <c r="K10" s="1864" t="e">
        <f ca="1">J10/G$9</f>
        <v>#DIV/0!</v>
      </c>
      <c r="L10" s="902">
        <f ca="1">J10</f>
        <v>0</v>
      </c>
      <c r="M10" s="1864" t="e">
        <f t="shared" ref="M10" ca="1" si="1">L10/$G$9</f>
        <v>#DIV/0!</v>
      </c>
      <c r="N10" s="1865">
        <v>0.5</v>
      </c>
      <c r="O10" s="1866">
        <f>IFERROR(INDEX(MinMotorEffArray,MATCH(I10,'Minimum Eff'!$A$3:$A$19,1)+2,2),0.855)</f>
        <v>0.86499999999999999</v>
      </c>
      <c r="P10" s="1867">
        <f>Q10/I10</f>
        <v>1</v>
      </c>
      <c r="Q10" s="892">
        <v>3</v>
      </c>
      <c r="R10" s="893">
        <f>Q10*0.746/O10</f>
        <v>2.5872832369942196</v>
      </c>
      <c r="S10" s="1868">
        <f>R10*H10</f>
        <v>0</v>
      </c>
      <c r="T10" s="894" t="e">
        <f t="shared" ref="T10:T11" ca="1" si="2">S10*1000/H10/J10</f>
        <v>#DIV/0!</v>
      </c>
      <c r="U10" s="2715" t="s">
        <v>984</v>
      </c>
      <c r="V10" s="2716"/>
      <c r="W10" s="895">
        <v>8.4</v>
      </c>
      <c r="X10" s="896">
        <f t="shared" ref="X10:X11" si="3">W10*S10*365</f>
        <v>0</v>
      </c>
      <c r="Y10" s="230"/>
      <c r="Z10" s="228"/>
      <c r="AA10" s="906"/>
      <c r="AB10" s="231"/>
      <c r="AC10" s="2047"/>
      <c r="AD10" s="1753" t="s">
        <v>1961</v>
      </c>
      <c r="AE10" s="1924" t="e">
        <f ca="1">AE9*2118.88*AE11</f>
        <v>#DIV/0!</v>
      </c>
      <c r="AF10" t="s">
        <v>1962</v>
      </c>
      <c r="AG10" s="1925" t="s">
        <v>1964</v>
      </c>
      <c r="AH10" s="1925"/>
    </row>
    <row r="11" spans="1:34" ht="30.6" thickBot="1" x14ac:dyDescent="0.35">
      <c r="C11" s="897" t="s">
        <v>1928</v>
      </c>
      <c r="D11" s="897" t="s">
        <v>1009</v>
      </c>
      <c r="E11" s="1869" t="s">
        <v>1929</v>
      </c>
      <c r="F11" s="897" t="s">
        <v>1925</v>
      </c>
      <c r="G11" s="2725"/>
      <c r="H11" s="1870">
        <v>0</v>
      </c>
      <c r="I11" s="1871">
        <f>1134/746</f>
        <v>1.520107238605898</v>
      </c>
      <c r="J11" s="891">
        <f t="shared" ca="1" si="0"/>
        <v>0</v>
      </c>
      <c r="K11" s="1864" t="e">
        <f ca="1">J11/G$9</f>
        <v>#DIV/0!</v>
      </c>
      <c r="L11" s="1872"/>
      <c r="M11" s="1864"/>
      <c r="N11" s="1873">
        <v>0.5</v>
      </c>
      <c r="O11" s="1866">
        <f>IFERROR(INDEX(MinMotorEffArray,MATCH(I11,'Minimum Eff'!$A$3:$A$19,1)+2,2),0.855)</f>
        <v>0.84</v>
      </c>
      <c r="P11" s="1867">
        <f>Q11/I11</f>
        <v>1</v>
      </c>
      <c r="Q11" s="1874">
        <f>I11</f>
        <v>1.520107238605898</v>
      </c>
      <c r="R11" s="1875">
        <f>Q11*0.746/O11</f>
        <v>1.3499999999999999</v>
      </c>
      <c r="S11" s="1868">
        <f>R11*H11</f>
        <v>0</v>
      </c>
      <c r="T11" s="894" t="e">
        <f t="shared" ca="1" si="2"/>
        <v>#DIV/0!</v>
      </c>
      <c r="U11" s="2715"/>
      <c r="V11" s="2716"/>
      <c r="W11" s="895">
        <v>24</v>
      </c>
      <c r="X11" s="896">
        <f t="shared" si="3"/>
        <v>0</v>
      </c>
      <c r="Y11" s="229"/>
      <c r="Z11" s="55"/>
      <c r="AA11" s="906"/>
      <c r="AB11" s="231"/>
      <c r="AC11" s="2047"/>
      <c r="AD11" s="1753" t="s">
        <v>1963</v>
      </c>
      <c r="AE11">
        <v>0.54</v>
      </c>
      <c r="AG11" s="1925" t="s">
        <v>1965</v>
      </c>
      <c r="AH11" s="1925"/>
    </row>
    <row r="12" spans="1:34" ht="15.6" thickTop="1" x14ac:dyDescent="0.35">
      <c r="C12" s="2726" t="s">
        <v>709</v>
      </c>
      <c r="D12" s="2727"/>
      <c r="E12" s="2727"/>
      <c r="F12" s="2728"/>
      <c r="G12" s="1876">
        <f ca="1">SUM(G9:G11)</f>
        <v>0</v>
      </c>
      <c r="H12" s="1877">
        <f>SUM(H9:H11)</f>
        <v>0</v>
      </c>
      <c r="I12" s="1878"/>
      <c r="J12" s="1879"/>
      <c r="K12" s="903" t="e">
        <f ca="1">J12/G12</f>
        <v>#DIV/0!</v>
      </c>
      <c r="L12" s="1880">
        <f ca="1">SUMPRODUCT(H9:H11,L9:L11)</f>
        <v>0</v>
      </c>
      <c r="M12" s="1881" t="e">
        <f ca="1">L12/G12</f>
        <v>#DIV/0!</v>
      </c>
      <c r="N12" s="1882"/>
      <c r="O12" s="1883"/>
      <c r="P12" s="1884"/>
      <c r="Q12" s="1885"/>
      <c r="R12" s="1885"/>
      <c r="S12" s="1886">
        <f>SUM(S9:S11)</f>
        <v>0</v>
      </c>
      <c r="T12" s="1887" t="e">
        <f ca="1">S12*1000/L12</f>
        <v>#DIV/0!</v>
      </c>
      <c r="U12" s="1888"/>
      <c r="V12" s="1889"/>
      <c r="W12" s="1890"/>
      <c r="X12" s="1891">
        <f>SUM(X9:X11)</f>
        <v>0</v>
      </c>
      <c r="Y12" s="1928"/>
      <c r="Z12" s="1929" t="e">
        <f>1-Y12/X12</f>
        <v>#DIV/0!</v>
      </c>
      <c r="AA12" s="234"/>
      <c r="AG12" s="1925"/>
      <c r="AH12" s="1925" t="s">
        <v>1966</v>
      </c>
    </row>
    <row r="13" spans="1:34" x14ac:dyDescent="0.3">
      <c r="C13" s="1892"/>
      <c r="D13" s="1892"/>
      <c r="E13" s="551"/>
      <c r="F13" s="551"/>
      <c r="G13" s="551"/>
      <c r="H13" s="551"/>
      <c r="I13" s="1892"/>
      <c r="J13" s="550"/>
      <c r="K13" s="550"/>
      <c r="L13" s="831"/>
      <c r="M13" s="550"/>
      <c r="N13" s="551"/>
      <c r="O13" s="1893"/>
      <c r="P13" s="1893"/>
      <c r="Q13" s="552"/>
      <c r="R13" s="553"/>
      <c r="S13" s="553"/>
      <c r="T13" s="553">
        <v>0.3</v>
      </c>
      <c r="U13" s="1894"/>
      <c r="V13" s="1895"/>
      <c r="W13" s="1892"/>
      <c r="X13" s="1892"/>
      <c r="AG13" s="1925"/>
      <c r="AH13" s="1925" t="s">
        <v>1967</v>
      </c>
    </row>
    <row r="14" spans="1:34" ht="15" x14ac:dyDescent="0.3">
      <c r="C14" s="2729" t="s">
        <v>47</v>
      </c>
      <c r="D14" s="2730"/>
      <c r="E14" s="2730"/>
      <c r="F14" s="2730"/>
      <c r="G14" s="2730"/>
      <c r="H14" s="2730"/>
      <c r="I14" s="2730"/>
      <c r="J14" s="2730"/>
      <c r="K14" s="2730"/>
      <c r="L14" s="2730"/>
      <c r="M14" s="2730"/>
      <c r="N14" s="2730"/>
      <c r="O14" s="2730"/>
      <c r="P14" s="2730"/>
      <c r="Q14" s="2730"/>
      <c r="R14" s="2730"/>
      <c r="S14" s="2730"/>
      <c r="T14" s="2730"/>
      <c r="U14" s="2730"/>
      <c r="V14" s="2730"/>
      <c r="W14" s="2730"/>
      <c r="X14" s="2731"/>
      <c r="AG14" s="1925" t="s">
        <v>1968</v>
      </c>
      <c r="AH14" s="1925"/>
    </row>
    <row r="15" spans="1:34" ht="15" x14ac:dyDescent="0.35">
      <c r="B15" s="2046" t="s">
        <v>1981</v>
      </c>
      <c r="C15" s="2720" t="s">
        <v>710</v>
      </c>
      <c r="D15" s="2721"/>
      <c r="E15" s="2721"/>
      <c r="F15" s="2723"/>
      <c r="G15" s="1896">
        <f ca="1">G$9</f>
        <v>0</v>
      </c>
      <c r="H15" s="1897">
        <v>1</v>
      </c>
      <c r="I15" s="1863"/>
      <c r="J15" s="1898">
        <f ca="1">K15*G15</f>
        <v>0</v>
      </c>
      <c r="K15" s="904">
        <v>0.75</v>
      </c>
      <c r="L15" s="1899"/>
      <c r="M15" s="1899"/>
      <c r="N15" s="1899"/>
      <c r="O15" s="1899"/>
      <c r="P15" s="1899"/>
      <c r="Q15" s="1899"/>
      <c r="R15" s="1899"/>
      <c r="S15" s="905">
        <f ca="1">J15*H15*T15/1000</f>
        <v>0</v>
      </c>
      <c r="T15" s="1900">
        <v>0.3</v>
      </c>
      <c r="U15" s="2715" t="s">
        <v>711</v>
      </c>
      <c r="V15" s="2716"/>
      <c r="W15" s="1901">
        <v>8.4</v>
      </c>
      <c r="X15" s="1863">
        <f ca="1">T15*W15*J15*365/1000</f>
        <v>0</v>
      </c>
      <c r="Y15" s="1928">
        <v>33880.410000000003</v>
      </c>
      <c r="Z15" s="1929" t="e">
        <f ca="1">1-Y15/X15</f>
        <v>#DIV/0!</v>
      </c>
      <c r="AA15" s="234"/>
      <c r="AG15" s="1925"/>
      <c r="AH15" s="1925" t="s">
        <v>1969</v>
      </c>
    </row>
    <row r="16" spans="1:34" ht="15" x14ac:dyDescent="0.35">
      <c r="B16" s="2046" t="s">
        <v>1982</v>
      </c>
      <c r="C16" s="2720" t="s">
        <v>710</v>
      </c>
      <c r="D16" s="2721"/>
      <c r="E16" s="2721"/>
      <c r="F16" s="2722"/>
      <c r="G16" s="2115">
        <f t="shared" ref="G16:G17" ca="1" si="4">G$9</f>
        <v>0</v>
      </c>
      <c r="H16" s="1897">
        <v>1</v>
      </c>
      <c r="I16" s="1863"/>
      <c r="J16" s="1898">
        <f ca="1">K16*G16</f>
        <v>0</v>
      </c>
      <c r="K16" s="904">
        <v>0.75</v>
      </c>
      <c r="L16" s="1899"/>
      <c r="M16" s="1899"/>
      <c r="N16" s="1899"/>
      <c r="O16" s="1899"/>
      <c r="P16" s="1899"/>
      <c r="Q16" s="1899"/>
      <c r="R16" s="1899"/>
      <c r="S16" s="905">
        <f ca="1">J16*H16*T16/1000</f>
        <v>0</v>
      </c>
      <c r="T16" s="1900">
        <f>MIN(T13,0.3)</f>
        <v>0.3</v>
      </c>
      <c r="U16" s="2715" t="s">
        <v>711</v>
      </c>
      <c r="V16" s="2716"/>
      <c r="W16" s="1901">
        <v>8.4</v>
      </c>
      <c r="X16" s="1863">
        <f ca="1">T16*W16*J16*365/1000</f>
        <v>0</v>
      </c>
      <c r="Y16" s="1">
        <v>33880</v>
      </c>
      <c r="Z16" s="1929" t="e">
        <f ca="1">1-Y16/X16</f>
        <v>#DIV/0!</v>
      </c>
      <c r="AA16" t="s">
        <v>2064</v>
      </c>
      <c r="AG16" s="1925"/>
      <c r="AH16" s="1925" t="s">
        <v>1970</v>
      </c>
    </row>
    <row r="17" spans="1:28" ht="15" x14ac:dyDescent="0.35">
      <c r="B17" s="2046" t="s">
        <v>1983</v>
      </c>
      <c r="C17" s="2720" t="s">
        <v>710</v>
      </c>
      <c r="D17" s="2721"/>
      <c r="E17" s="2721"/>
      <c r="F17" s="2723"/>
      <c r="G17" s="2115">
        <f t="shared" ca="1" si="4"/>
        <v>0</v>
      </c>
      <c r="H17" s="1897">
        <v>1</v>
      </c>
      <c r="I17" s="1863"/>
      <c r="J17" s="1898">
        <f ca="1">K17*G17</f>
        <v>0</v>
      </c>
      <c r="K17" s="904">
        <v>0.75</v>
      </c>
      <c r="L17" s="1899"/>
      <c r="M17" s="1899"/>
      <c r="N17" s="1899"/>
      <c r="O17" s="1899"/>
      <c r="P17" s="1899"/>
      <c r="Q17" s="1899"/>
      <c r="R17" s="1899"/>
      <c r="S17" s="905">
        <f ca="1">J17*H17*T17/1000</f>
        <v>0</v>
      </c>
      <c r="T17" s="1900">
        <f>MIN(T13,0.3)</f>
        <v>0.3</v>
      </c>
      <c r="U17" s="2715" t="s">
        <v>711</v>
      </c>
      <c r="V17" s="2716"/>
      <c r="W17" s="1901">
        <v>24</v>
      </c>
      <c r="X17" s="1863">
        <f ca="1">T17*W17*J17*365/1000</f>
        <v>0</v>
      </c>
      <c r="Y17" s="1928"/>
      <c r="Z17" s="1929" t="e">
        <f ca="1">1-Y17/X17</f>
        <v>#DIV/0!</v>
      </c>
    </row>
    <row r="18" spans="1:28" x14ac:dyDescent="0.3">
      <c r="K18" s="1753"/>
      <c r="L18" s="906"/>
      <c r="M18" s="16"/>
      <c r="N18" s="26"/>
      <c r="O18" s="1859"/>
      <c r="P18" s="1859"/>
      <c r="S18" s="1902"/>
    </row>
    <row r="19" spans="1:28" x14ac:dyDescent="0.3">
      <c r="L19" s="1902"/>
      <c r="M19" s="16"/>
      <c r="N19" s="26"/>
      <c r="O19" s="1859"/>
      <c r="P19" s="1859"/>
    </row>
    <row r="20" spans="1:28" x14ac:dyDescent="0.3">
      <c r="C20" s="10" t="s">
        <v>538</v>
      </c>
      <c r="L20" s="1902"/>
      <c r="M20" s="16"/>
      <c r="N20" s="26"/>
      <c r="O20" s="26"/>
      <c r="P20" s="26"/>
      <c r="X20" s="16"/>
    </row>
    <row r="21" spans="1:28" ht="43.2" x14ac:dyDescent="0.3">
      <c r="C21" s="149" t="s">
        <v>80</v>
      </c>
      <c r="D21" s="149" t="s">
        <v>104</v>
      </c>
      <c r="E21" s="149" t="s">
        <v>101</v>
      </c>
      <c r="F21" s="149" t="s">
        <v>76</v>
      </c>
      <c r="G21" s="149" t="s">
        <v>97</v>
      </c>
      <c r="H21" s="149" t="s">
        <v>58</v>
      </c>
      <c r="I21" s="149" t="s">
        <v>62</v>
      </c>
      <c r="J21" s="149" t="s">
        <v>63</v>
      </c>
      <c r="K21" s="149" t="s">
        <v>84</v>
      </c>
      <c r="L21" s="149" t="s">
        <v>291</v>
      </c>
      <c r="M21" s="149" t="s">
        <v>74</v>
      </c>
      <c r="N21" s="149" t="s">
        <v>91</v>
      </c>
      <c r="O21" s="149" t="s">
        <v>102</v>
      </c>
      <c r="P21" s="149" t="s">
        <v>235</v>
      </c>
      <c r="Q21" s="149" t="s">
        <v>48</v>
      </c>
    </row>
    <row r="22" spans="1:28" x14ac:dyDescent="0.3">
      <c r="C22" s="21"/>
      <c r="D22" s="21"/>
      <c r="E22" s="21"/>
      <c r="F22" s="21"/>
      <c r="G22" s="21"/>
      <c r="H22" s="122" t="s">
        <v>59</v>
      </c>
      <c r="I22" s="122" t="s">
        <v>65</v>
      </c>
      <c r="J22" s="122" t="s">
        <v>64</v>
      </c>
      <c r="K22" s="122" t="s">
        <v>60</v>
      </c>
      <c r="L22" s="122"/>
      <c r="M22" s="122" t="s">
        <v>59</v>
      </c>
      <c r="N22" s="122" t="s">
        <v>61</v>
      </c>
      <c r="O22" s="122" t="s">
        <v>61</v>
      </c>
      <c r="P22" s="122" t="s">
        <v>314</v>
      </c>
      <c r="Q22" s="1903"/>
    </row>
    <row r="23" spans="1:28" ht="28.8" x14ac:dyDescent="0.3">
      <c r="C23" s="50" t="s">
        <v>1930</v>
      </c>
      <c r="D23" s="1904" t="s">
        <v>1923</v>
      </c>
      <c r="E23" s="50" t="s">
        <v>1931</v>
      </c>
      <c r="F23" s="1905" t="s">
        <v>1932</v>
      </c>
      <c r="G23" s="50">
        <v>0</v>
      </c>
      <c r="H23" s="1906">
        <v>0.25</v>
      </c>
      <c r="I23" s="374">
        <v>800</v>
      </c>
      <c r="J23" s="133">
        <v>0.5</v>
      </c>
      <c r="K23" s="129">
        <v>0.85499999999999998</v>
      </c>
      <c r="L23" s="129">
        <f>0.14/H23</f>
        <v>0.56000000000000005</v>
      </c>
      <c r="M23" s="154">
        <f t="shared" ref="M23:M26" si="5">L23*H23</f>
        <v>0.14000000000000001</v>
      </c>
      <c r="N23" s="1907">
        <f t="shared" ref="N23:N26" si="6">M23*0.746/K23</f>
        <v>0.12215204678362573</v>
      </c>
      <c r="O23" s="501">
        <f t="shared" ref="O23:O26" si="7">N23*G23</f>
        <v>0</v>
      </c>
      <c r="P23" s="1907" t="e">
        <f t="shared" ref="P23:P26" si="8">O23*1000/G23/I23</f>
        <v>#DIV/0!</v>
      </c>
      <c r="Q23" s="50" t="s">
        <v>442</v>
      </c>
    </row>
    <row r="24" spans="1:28" x14ac:dyDescent="0.3">
      <c r="C24" t="s">
        <v>1933</v>
      </c>
      <c r="D24" t="s">
        <v>1934</v>
      </c>
      <c r="E24" t="s">
        <v>1935</v>
      </c>
      <c r="F24" s="15" t="s">
        <v>1936</v>
      </c>
      <c r="G24">
        <v>0</v>
      </c>
      <c r="H24" s="8">
        <f>99/746</f>
        <v>0.13270777479892762</v>
      </c>
      <c r="I24" s="191">
        <v>797</v>
      </c>
      <c r="J24" s="8">
        <v>0.25</v>
      </c>
      <c r="K24" s="129">
        <v>0.85499999999999998</v>
      </c>
      <c r="L24" s="129">
        <v>1</v>
      </c>
      <c r="M24" s="154">
        <f t="shared" si="5"/>
        <v>0.13270777479892762</v>
      </c>
      <c r="N24" s="1907">
        <f t="shared" si="6"/>
        <v>0.11578947368421054</v>
      </c>
      <c r="O24" s="501">
        <f t="shared" si="7"/>
        <v>0</v>
      </c>
      <c r="P24" s="1907" t="e">
        <f t="shared" si="8"/>
        <v>#DIV/0!</v>
      </c>
      <c r="Q24" s="50" t="s">
        <v>442</v>
      </c>
    </row>
    <row r="25" spans="1:28" x14ac:dyDescent="0.3">
      <c r="A25" s="59"/>
      <c r="B25" s="59"/>
      <c r="C25" t="s">
        <v>1937</v>
      </c>
      <c r="D25" t="s">
        <v>1938</v>
      </c>
      <c r="E25" t="s">
        <v>1939</v>
      </c>
      <c r="F25" t="s">
        <v>1940</v>
      </c>
      <c r="G25">
        <v>0</v>
      </c>
      <c r="H25" s="1908">
        <f>27/746</f>
        <v>3.6193029490616625E-2</v>
      </c>
      <c r="I25" s="191">
        <v>66</v>
      </c>
      <c r="J25" s="8">
        <v>0.1</v>
      </c>
      <c r="K25" s="129">
        <v>0.85499999999999998</v>
      </c>
      <c r="L25" s="129">
        <v>1</v>
      </c>
      <c r="M25" s="501">
        <f t="shared" si="5"/>
        <v>3.6193029490616625E-2</v>
      </c>
      <c r="N25" s="1907">
        <f t="shared" si="6"/>
        <v>3.1578947368421054E-2</v>
      </c>
      <c r="O25" s="501">
        <f t="shared" si="7"/>
        <v>0</v>
      </c>
      <c r="P25" s="1907" t="e">
        <f t="shared" si="8"/>
        <v>#DIV/0!</v>
      </c>
      <c r="Q25" s="50" t="s">
        <v>442</v>
      </c>
      <c r="R25" s="59"/>
      <c r="S25" s="1909"/>
      <c r="T25" s="59"/>
      <c r="U25" s="59"/>
      <c r="V25" s="59"/>
      <c r="W25" s="59"/>
      <c r="X25" s="59"/>
      <c r="Y25" s="59"/>
      <c r="Z25" s="59"/>
      <c r="AA25" s="59"/>
      <c r="AB25" s="59"/>
    </row>
    <row r="26" spans="1:28" x14ac:dyDescent="0.3">
      <c r="C26" t="s">
        <v>1941</v>
      </c>
      <c r="D26" t="s">
        <v>1938</v>
      </c>
      <c r="E26" t="s">
        <v>1939</v>
      </c>
      <c r="F26" t="s">
        <v>1942</v>
      </c>
      <c r="G26">
        <v>0</v>
      </c>
      <c r="H26" s="8">
        <f>27/746</f>
        <v>3.6193029490616625E-2</v>
      </c>
      <c r="I26" s="191">
        <v>66</v>
      </c>
      <c r="J26">
        <v>0.1</v>
      </c>
      <c r="K26" s="1902">
        <v>0.85499999999999998</v>
      </c>
      <c r="L26" s="1902">
        <v>1</v>
      </c>
      <c r="M26" s="16">
        <f t="shared" si="5"/>
        <v>3.6193029490616625E-2</v>
      </c>
      <c r="N26" s="26">
        <f t="shared" si="6"/>
        <v>3.1578947368421054E-2</v>
      </c>
      <c r="O26" s="1910">
        <f t="shared" si="7"/>
        <v>0</v>
      </c>
      <c r="P26" s="26" t="e">
        <f t="shared" si="8"/>
        <v>#DIV/0!</v>
      </c>
      <c r="Q26" t="s">
        <v>442</v>
      </c>
    </row>
    <row r="27" spans="1:28" ht="15" thickBot="1" x14ac:dyDescent="0.35">
      <c r="C27" s="165"/>
      <c r="D27" s="165"/>
      <c r="E27" s="165"/>
      <c r="F27" s="165"/>
      <c r="G27" s="165"/>
      <c r="H27" s="210">
        <f>SUMPRODUCT($G23:$G26,H23:H26)</f>
        <v>0</v>
      </c>
      <c r="I27" s="210">
        <f>SUMPRODUCT($G23:$G26,I23:I26)</f>
        <v>0</v>
      </c>
      <c r="J27" s="210"/>
      <c r="K27" s="210"/>
      <c r="L27" s="165"/>
      <c r="M27" s="211">
        <f>SUM(M23:M26)</f>
        <v>0.3450938337801609</v>
      </c>
      <c r="N27" s="211">
        <f>SUM(N23:N26)</f>
        <v>0.30109941520467837</v>
      </c>
      <c r="O27" s="211">
        <f>SUM(O23:O26)</f>
        <v>0</v>
      </c>
      <c r="P27" s="165"/>
      <c r="Q27" s="1911"/>
      <c r="W27" s="623">
        <v>24</v>
      </c>
      <c r="X27" s="549">
        <f>W27*O27*365</f>
        <v>0</v>
      </c>
    </row>
    <row r="28" spans="1:28" ht="15" thickTop="1" x14ac:dyDescent="0.3">
      <c r="P28" s="16"/>
    </row>
    <row r="29" spans="1:28" x14ac:dyDescent="0.3">
      <c r="N29" s="1753" t="s">
        <v>1943</v>
      </c>
      <c r="O29" t="s">
        <v>2160</v>
      </c>
    </row>
    <row r="30" spans="1:28" x14ac:dyDescent="0.3">
      <c r="N30" s="1753" t="s">
        <v>1944</v>
      </c>
      <c r="O30" s="1498" t="e">
        <f>VLOOKUP(O29,'360SpcLdsCSV'!$C$6:$AO$266,'360SpcLdsCSV'!$I$1,FALSE)</f>
        <v>#N/A</v>
      </c>
      <c r="P30" t="s">
        <v>302</v>
      </c>
    </row>
    <row r="31" spans="1:28" x14ac:dyDescent="0.3">
      <c r="N31" s="1753" t="s">
        <v>1945</v>
      </c>
      <c r="O31" s="1912" t="e">
        <f>O27*1000/O30</f>
        <v>#N/A</v>
      </c>
      <c r="P31" t="s">
        <v>303</v>
      </c>
    </row>
    <row r="33" spans="1:28" x14ac:dyDescent="0.3">
      <c r="A33" s="59"/>
      <c r="B33" s="59"/>
      <c r="V33" s="59"/>
      <c r="W33" s="59"/>
      <c r="X33" s="59"/>
      <c r="Y33" s="59"/>
      <c r="Z33" s="59"/>
      <c r="AA33" s="59"/>
      <c r="AB33" s="59"/>
    </row>
  </sheetData>
  <mergeCells count="14">
    <mergeCell ref="C16:F16"/>
    <mergeCell ref="U16:V16"/>
    <mergeCell ref="C17:F17"/>
    <mergeCell ref="U17:V17"/>
    <mergeCell ref="G9:G11"/>
    <mergeCell ref="C12:F12"/>
    <mergeCell ref="C14:X14"/>
    <mergeCell ref="C15:F15"/>
    <mergeCell ref="U15:V15"/>
    <mergeCell ref="U6:V6"/>
    <mergeCell ref="U9:V9"/>
    <mergeCell ref="C8:X8"/>
    <mergeCell ref="U10:V10"/>
    <mergeCell ref="U11:V11"/>
  </mergeCells>
  <pageMargins left="0.7" right="0.7" top="0.75" bottom="0.75" header="0.3" footer="0.3"/>
  <pageSetup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67C7E-C650-438F-B627-66975811B50B}">
  <sheetPr codeName="Sheet17">
    <tabColor rgb="FF00B0F0"/>
  </sheetPr>
  <dimension ref="A1:AT149"/>
  <sheetViews>
    <sheetView workbookViewId="0"/>
  </sheetViews>
  <sheetFormatPr defaultColWidth="9.109375" defaultRowHeight="14.4" outlineLevelCol="1" x14ac:dyDescent="0.3"/>
  <cols>
    <col min="1" max="1" width="10.44140625" style="62" customWidth="1"/>
    <col min="2" max="2" width="4.88671875" style="62" customWidth="1"/>
    <col min="3" max="3" width="26.5546875" style="62" customWidth="1"/>
    <col min="4" max="4" width="39.5546875" style="62" customWidth="1" outlineLevel="1"/>
    <col min="5" max="6" width="23" style="62" customWidth="1" outlineLevel="1"/>
    <col min="7" max="7" width="41.6640625" style="62" customWidth="1"/>
    <col min="8" max="9" width="12.33203125" style="62" customWidth="1"/>
    <col min="10" max="10" width="15.6640625" style="62" customWidth="1"/>
    <col min="11" max="11" width="15.6640625" style="63" customWidth="1"/>
    <col min="12" max="16" width="15.6640625" style="64" customWidth="1"/>
    <col min="17" max="25" width="15.6640625" style="62" customWidth="1" outlineLevel="1"/>
    <col min="26" max="26" width="12" bestFit="1" customWidth="1"/>
    <col min="30" max="31" width="15.6640625" style="62" hidden="1" customWidth="1" outlineLevel="1"/>
    <col min="32" max="32" width="25.33203125" style="62" hidden="1" customWidth="1" outlineLevel="1"/>
    <col min="33" max="33" width="11.6640625" style="62" customWidth="1" collapsed="1"/>
    <col min="34" max="35" width="11.109375" style="62" customWidth="1"/>
    <col min="36" max="36" width="10.88671875" style="62" customWidth="1"/>
    <col min="37" max="41" width="9.109375" style="62"/>
    <col min="42" max="42" width="11.6640625" style="62" bestFit="1" customWidth="1"/>
    <col min="43" max="43" width="11.6640625" style="62" customWidth="1"/>
    <col min="44" max="44" width="9.109375" style="62"/>
    <col min="45" max="45" width="54.5546875" style="62" bestFit="1" customWidth="1"/>
    <col min="46" max="16384" width="9.109375" style="62"/>
  </cols>
  <sheetData>
    <row r="1" spans="1:43" ht="18" x14ac:dyDescent="0.35">
      <c r="C1" s="9" t="s">
        <v>759</v>
      </c>
      <c r="D1" s="9"/>
      <c r="E1"/>
      <c r="F1"/>
    </row>
    <row r="2" spans="1:43" x14ac:dyDescent="0.3">
      <c r="C2" s="163" t="s">
        <v>752</v>
      </c>
      <c r="D2" s="163"/>
      <c r="E2" s="548">
        <v>43493</v>
      </c>
      <c r="F2" s="622"/>
    </row>
    <row r="3" spans="1:43" x14ac:dyDescent="0.3">
      <c r="C3" s="163" t="s">
        <v>753</v>
      </c>
      <c r="D3" s="163"/>
      <c r="E3" s="163" t="s">
        <v>1457</v>
      </c>
      <c r="F3" s="163"/>
    </row>
    <row r="5" spans="1:43" ht="15.6" x14ac:dyDescent="0.3">
      <c r="B5" s="66" t="s">
        <v>311</v>
      </c>
      <c r="K5" s="62"/>
      <c r="L5" s="63"/>
    </row>
    <row r="6" spans="1:43" x14ac:dyDescent="0.3">
      <c r="B6" s="50" t="s">
        <v>253</v>
      </c>
      <c r="I6" s="62" t="e">
        <f ca="1">MATCH(Ventilation!$C37,OFFSET(Spaces_Ref,$I$9,$I$10,2000),0)</f>
        <v>#N/A</v>
      </c>
      <c r="K6" s="62"/>
      <c r="L6" s="63"/>
    </row>
    <row r="7" spans="1:43" x14ac:dyDescent="0.3">
      <c r="A7" s="50"/>
      <c r="K7" s="62"/>
      <c r="L7" s="63"/>
    </row>
    <row r="8" spans="1:43" x14ac:dyDescent="0.3">
      <c r="K8" s="62"/>
      <c r="L8" s="63"/>
    </row>
    <row r="9" spans="1:43" x14ac:dyDescent="0.3">
      <c r="I9" s="62">
        <v>1</v>
      </c>
      <c r="K9" s="62">
        <f>Spaces_Sum!$I$50</f>
        <v>8</v>
      </c>
      <c r="L9" s="62">
        <f>Spaces_Sum!$I$50</f>
        <v>8</v>
      </c>
    </row>
    <row r="10" spans="1:43" x14ac:dyDescent="0.3">
      <c r="I10" s="62">
        <f>Spaces_Sum!$C$50</f>
        <v>2</v>
      </c>
      <c r="J10" s="62">
        <f>Spaces_Sum!$C$50</f>
        <v>2</v>
      </c>
      <c r="K10" s="62">
        <f>Spaces_Sum!$C$50</f>
        <v>2</v>
      </c>
      <c r="L10" s="62">
        <f>Spaces_Sum!$C$50</f>
        <v>2</v>
      </c>
    </row>
    <row r="11" spans="1:43" x14ac:dyDescent="0.3">
      <c r="I11" s="62">
        <f>Spaces_Sum!$AL$50</f>
        <v>37</v>
      </c>
      <c r="J11" s="62">
        <f>Spaces_Sum!$AO$50</f>
        <v>40</v>
      </c>
      <c r="K11" s="62">
        <f>Spaces_Sum!$AO$50</f>
        <v>40</v>
      </c>
      <c r="L11" s="62">
        <f>Spaces_Sum!$AO$50</f>
        <v>40</v>
      </c>
      <c r="P11" s="64">
        <f>VentExhCSV_Spc!V1</f>
        <v>20</v>
      </c>
      <c r="R11" s="62">
        <v>3</v>
      </c>
      <c r="S11" s="62">
        <v>5</v>
      </c>
      <c r="T11" s="62">
        <v>6</v>
      </c>
      <c r="Z11">
        <f>VentExhCSV_Spc!Z1</f>
        <v>24</v>
      </c>
      <c r="AD11" s="62">
        <v>10</v>
      </c>
      <c r="AE11" s="62">
        <v>11</v>
      </c>
    </row>
    <row r="12" spans="1:43" ht="15" customHeight="1" x14ac:dyDescent="0.3">
      <c r="C12" s="581" t="s">
        <v>748</v>
      </c>
      <c r="D12" s="581"/>
      <c r="F12" s="1598"/>
      <c r="J12" s="2733" t="s">
        <v>973</v>
      </c>
      <c r="K12" s="2734"/>
      <c r="L12" s="2735"/>
      <c r="M12" s="2733" t="s">
        <v>313</v>
      </c>
      <c r="N12" s="2734"/>
      <c r="O12" s="2734"/>
      <c r="P12" s="2735"/>
      <c r="Q12" s="2733" t="s">
        <v>1346</v>
      </c>
      <c r="R12" s="2734"/>
      <c r="S12" s="2734"/>
      <c r="T12" s="2734"/>
      <c r="U12" s="2734"/>
      <c r="V12" s="2734"/>
      <c r="W12" s="2734"/>
      <c r="X12" s="2734"/>
      <c r="Y12" s="2734"/>
      <c r="Z12" s="2735"/>
      <c r="AD12" s="1482"/>
      <c r="AE12" s="1481"/>
      <c r="AF12" s="793"/>
    </row>
    <row r="13" spans="1:43" s="1650" customFormat="1" ht="28.8" x14ac:dyDescent="0.3">
      <c r="C13" s="1651" t="s">
        <v>15</v>
      </c>
      <c r="D13" s="1652"/>
      <c r="E13" s="1652" t="s">
        <v>1347</v>
      </c>
      <c r="F13" s="1652" t="s">
        <v>975</v>
      </c>
      <c r="G13" s="1652" t="s">
        <v>1348</v>
      </c>
      <c r="H13" s="1652" t="s">
        <v>1342</v>
      </c>
      <c r="I13" s="1652" t="s">
        <v>162</v>
      </c>
      <c r="J13" s="1653" t="s">
        <v>537</v>
      </c>
      <c r="K13" s="1654" t="s">
        <v>825</v>
      </c>
      <c r="L13" s="1655" t="s">
        <v>844</v>
      </c>
      <c r="M13" s="1653" t="s">
        <v>972</v>
      </c>
      <c r="N13" s="1654" t="s">
        <v>41</v>
      </c>
      <c r="O13" s="1654" t="s">
        <v>825</v>
      </c>
      <c r="P13" s="1655" t="s">
        <v>502</v>
      </c>
      <c r="Q13" s="1653" t="s">
        <v>71</v>
      </c>
      <c r="R13" s="1654" t="s">
        <v>1349</v>
      </c>
      <c r="S13" s="1654" t="s">
        <v>1119</v>
      </c>
      <c r="T13" s="1654" t="s">
        <v>1350</v>
      </c>
      <c r="U13" s="1654" t="s">
        <v>1351</v>
      </c>
      <c r="V13" s="1654" t="s">
        <v>1352</v>
      </c>
      <c r="W13" s="2736" t="s">
        <v>972</v>
      </c>
      <c r="X13" s="2736"/>
      <c r="Y13" s="1654" t="s">
        <v>825</v>
      </c>
      <c r="Z13" s="1655" t="s">
        <v>1452</v>
      </c>
      <c r="AA13" s="24"/>
      <c r="AB13" s="24"/>
      <c r="AC13" s="24"/>
      <c r="AD13" s="1200" t="s">
        <v>1354</v>
      </c>
      <c r="AE13" s="1201"/>
      <c r="AG13" s="1192" t="s">
        <v>1114</v>
      </c>
      <c r="AH13" s="1192" t="s">
        <v>1115</v>
      </c>
      <c r="AI13" s="1192" t="s">
        <v>1116</v>
      </c>
      <c r="AJ13" s="1192" t="s">
        <v>1117</v>
      </c>
      <c r="AK13" s="1656" t="s">
        <v>1119</v>
      </c>
      <c r="AL13" s="1656" t="s">
        <v>1118</v>
      </c>
      <c r="AM13" s="1657" t="s">
        <v>1120</v>
      </c>
      <c r="AN13" s="1657" t="s">
        <v>1121</v>
      </c>
      <c r="AO13" s="1657" t="s">
        <v>1122</v>
      </c>
      <c r="AP13" s="1657" t="s">
        <v>1355</v>
      </c>
      <c r="AQ13" s="1657"/>
    </row>
    <row r="14" spans="1:43" s="1658" customFormat="1" x14ac:dyDescent="0.3">
      <c r="C14" s="1659"/>
      <c r="D14" s="1660"/>
      <c r="E14" s="1660"/>
      <c r="F14" s="1660"/>
      <c r="G14" s="1660"/>
      <c r="H14" s="1660"/>
      <c r="I14" s="1660"/>
      <c r="J14" s="1661"/>
      <c r="K14" s="1662"/>
      <c r="L14" s="1663"/>
      <c r="M14" s="1661" t="s">
        <v>65</v>
      </c>
      <c r="N14" s="1662" t="s">
        <v>625</v>
      </c>
      <c r="O14" s="1662" t="s">
        <v>625</v>
      </c>
      <c r="P14" s="1663" t="s">
        <v>625</v>
      </c>
      <c r="Q14" s="1661"/>
      <c r="R14" s="1662" t="s">
        <v>1356</v>
      </c>
      <c r="S14" s="1662" t="s">
        <v>1124</v>
      </c>
      <c r="T14" s="1662" t="s">
        <v>625</v>
      </c>
      <c r="U14" s="1662" t="s">
        <v>65</v>
      </c>
      <c r="V14" s="1662" t="s">
        <v>65</v>
      </c>
      <c r="W14" s="1662" t="s">
        <v>65</v>
      </c>
      <c r="X14" s="1662" t="s">
        <v>625</v>
      </c>
      <c r="Y14" s="1662" t="s">
        <v>625</v>
      </c>
      <c r="Z14" s="1663"/>
      <c r="AD14" s="1658" t="s">
        <v>89</v>
      </c>
      <c r="AE14" s="1664"/>
      <c r="AG14" s="1665"/>
      <c r="AH14" s="1665" t="s">
        <v>302</v>
      </c>
      <c r="AI14" s="1665" t="s">
        <v>1123</v>
      </c>
      <c r="AJ14" s="1665"/>
      <c r="AK14" s="1658" t="s">
        <v>1124</v>
      </c>
      <c r="AL14" s="1658" t="s">
        <v>625</v>
      </c>
      <c r="AM14" s="1665" t="s">
        <v>89</v>
      </c>
      <c r="AN14" s="1665"/>
      <c r="AO14" s="1665"/>
      <c r="AP14" s="1665"/>
      <c r="AQ14" s="1665"/>
    </row>
    <row r="15" spans="1:43" s="50" customFormat="1" x14ac:dyDescent="0.3">
      <c r="B15" s="50">
        <f>1</f>
        <v>1</v>
      </c>
      <c r="C15" s="1666" t="s">
        <v>974</v>
      </c>
      <c r="D15" s="799"/>
      <c r="E15" s="800"/>
      <c r="F15" s="800"/>
      <c r="G15" s="800"/>
      <c r="H15" s="800"/>
      <c r="I15" s="800"/>
      <c r="J15" s="1667" t="e">
        <f>SUM(J16,J66,#REF!,#REF!,#REF!)</f>
        <v>#REF!</v>
      </c>
      <c r="K15" s="1668" t="e">
        <f>SUM(K16,K66,#REF!,#REF!,#REF!)</f>
        <v>#REF!</v>
      </c>
      <c r="L15" s="1669" t="e">
        <f>SUM(L16,L66,#REF!,#REF!,#REF!)</f>
        <v>#REF!</v>
      </c>
      <c r="M15" s="1670" t="e">
        <f>SUM(M16,M66,#REF!,#REF!,#REF!)</f>
        <v>#REF!</v>
      </c>
      <c r="N15" s="1671" t="e">
        <f>M15/J15</f>
        <v>#REF!</v>
      </c>
      <c r="O15" s="1671" t="e">
        <f>M15/K15</f>
        <v>#REF!</v>
      </c>
      <c r="P15" s="1672" t="e">
        <f>SUM(P16,P66,#REF!,#REF!,#REF!)</f>
        <v>#REF!</v>
      </c>
      <c r="Q15" s="1673"/>
      <c r="R15" s="1674"/>
      <c r="S15" s="1674"/>
      <c r="T15" s="1674"/>
      <c r="U15" s="1675"/>
      <c r="V15" s="1675"/>
      <c r="W15" s="1675"/>
      <c r="X15" s="1675"/>
      <c r="Y15" s="1675"/>
      <c r="Z15" s="1676"/>
      <c r="AD15" s="375"/>
      <c r="AE15" s="804"/>
    </row>
    <row r="16" spans="1:43" s="50" customFormat="1" x14ac:dyDescent="0.3">
      <c r="B16" s="50">
        <f t="shared" ref="B16:B69" si="0">B15+1</f>
        <v>2</v>
      </c>
      <c r="C16" s="1677" t="s">
        <v>1818</v>
      </c>
      <c r="D16" s="1678"/>
      <c r="E16" s="1679"/>
      <c r="F16" s="1679"/>
      <c r="G16" s="1679"/>
      <c r="H16" s="1679"/>
      <c r="I16" s="1679"/>
      <c r="J16" s="1680">
        <f ca="1">SUM(J17:J34)</f>
        <v>0</v>
      </c>
      <c r="K16" s="1681">
        <f ca="1">SUM(K17:K34)</f>
        <v>0</v>
      </c>
      <c r="L16" s="1682">
        <f ca="1">SUM(L17:L34)</f>
        <v>0</v>
      </c>
      <c r="M16" s="1683">
        <v>1200</v>
      </c>
      <c r="N16" s="1684" t="e">
        <f ca="1">M16/J16</f>
        <v>#DIV/0!</v>
      </c>
      <c r="O16" s="1684" t="e">
        <f ca="1">M16/K16</f>
        <v>#DIV/0!</v>
      </c>
      <c r="P16" s="1685" t="e">
        <f ca="1">SUM(P17:P34)</f>
        <v>#N/A</v>
      </c>
      <c r="Q16" s="1686"/>
      <c r="R16" s="1687"/>
      <c r="S16" s="1688"/>
      <c r="T16" s="1687"/>
      <c r="U16" s="1681">
        <f ca="1">SUM(U17:U28)</f>
        <v>0</v>
      </c>
      <c r="V16" s="1681">
        <f>SUM(V17:V17)</f>
        <v>0</v>
      </c>
      <c r="W16" s="1681">
        <f ca="1">SUM(W17:W28)</f>
        <v>0</v>
      </c>
      <c r="X16" s="1689" t="e">
        <f ca="1">W16/J16</f>
        <v>#DIV/0!</v>
      </c>
      <c r="Y16" s="1690" t="e">
        <f ca="1">W16/K16</f>
        <v>#DIV/0!</v>
      </c>
      <c r="Z16" s="1682" t="e">
        <f ca="1">SUM(Z17:Z28)</f>
        <v>#N/A</v>
      </c>
      <c r="AD16" s="1487"/>
      <c r="AE16" s="797"/>
      <c r="AG16" s="1193"/>
      <c r="AH16" s="1193"/>
      <c r="AI16" s="1193"/>
      <c r="AJ16" s="1194"/>
      <c r="AK16" s="1195"/>
      <c r="AL16" s="1195"/>
      <c r="AM16" s="1195"/>
      <c r="AN16" s="1195"/>
      <c r="AO16" s="1196">
        <f ca="1">SUM(AO17:AO17)</f>
        <v>0</v>
      </c>
      <c r="AP16" s="1196"/>
      <c r="AQ16" s="1196"/>
    </row>
    <row r="17" spans="2:45" s="50" customFormat="1" x14ac:dyDescent="0.3">
      <c r="B17" s="50">
        <f t="shared" si="0"/>
        <v>3</v>
      </c>
      <c r="C17" s="1" t="s">
        <v>1572</v>
      </c>
      <c r="D17" s="1" t="s">
        <v>1566</v>
      </c>
      <c r="E17" s="1" t="s">
        <v>825</v>
      </c>
      <c r="F17" s="1" t="s">
        <v>836</v>
      </c>
      <c r="G17" s="1" t="s">
        <v>1573</v>
      </c>
      <c r="H17" s="1" t="s">
        <v>1818</v>
      </c>
      <c r="I17" t="e">
        <f ca="1">OFFSET(Spaces_Ref,MATCH(Ventilation!$C17,OFFSET(Spaces_Ref,$I$9,$I$10,2000),0),$I$11)</f>
        <v>#N/A</v>
      </c>
      <c r="J17" s="1691">
        <f t="shared" ref="J17:J87" ca="1" si="1">SUMIFS(OFFSET(Spaces_Ref,1,J$11,1000),OFFSET(Spaces_Ref,1,J$10,1000),$C17)</f>
        <v>0</v>
      </c>
      <c r="K17" s="1692">
        <f t="shared" ref="K17:L32" ca="1" si="2">SUMIFS(OFFSET(Spaces_Ref,1,K$11,1000),OFFSET(Spaces_Ref,1,K$10,1000),$C17,OFFSET(Spaces_Ref,1,K$9,1000),K$13)</f>
        <v>0</v>
      </c>
      <c r="L17" s="1693">
        <f t="shared" ca="1" si="2"/>
        <v>0</v>
      </c>
      <c r="M17" s="1694"/>
      <c r="N17" s="1695" t="e">
        <f ca="1">$N$16*J17</f>
        <v>#DIV/0!</v>
      </c>
      <c r="O17" s="1696" t="e">
        <f ca="1">$O$16*K17</f>
        <v>#DIV/0!</v>
      </c>
      <c r="P17" s="1697" t="e">
        <f ca="1">OFFSET(VentExhCSV_Spc!$B$5,MATCH($C17,VentExhCSV_Spc!$C$6:$C$308,0),P$11)*$I17</f>
        <v>#N/A</v>
      </c>
      <c r="Q17" s="1698" t="str">
        <f>MID(C17,FIND("_",C17)+1,4)</f>
        <v>Corr</v>
      </c>
      <c r="R17" s="1699">
        <f t="shared" ref="R17:T34" si="3">VLOOKUP($Q17,$AG$32:$AQ$53,R$11,0)</f>
        <v>0</v>
      </c>
      <c r="S17" s="1700">
        <f t="shared" si="3"/>
        <v>0</v>
      </c>
      <c r="T17" s="1701">
        <f t="shared" si="3"/>
        <v>0.12</v>
      </c>
      <c r="U17" s="1702">
        <f ca="1">IF($E17="DirectlyConditioned",$R17*$J17/1000*$S17+$T17*$J17,0)</f>
        <v>0</v>
      </c>
      <c r="V17" s="1702">
        <f>IF($E17="IndirectlyConditioned",$R17*$J17/1000*$S17+$T17*$J17,0)</f>
        <v>0</v>
      </c>
      <c r="W17" s="1702">
        <f ca="1">SUM(U17:V17)</f>
        <v>0</v>
      </c>
      <c r="X17" s="1702"/>
      <c r="Y17" s="1702"/>
      <c r="Z17" s="1703" t="e">
        <f ca="1">OFFSET(VentExhCSV_Spc!$B$5,MATCH($C17,VentExhCSV_Spc!$C$6:$C$308,0),Z$11)*$I17</f>
        <v>#N/A</v>
      </c>
      <c r="AD17" s="1490"/>
      <c r="AE17" s="1490"/>
      <c r="AG17" s="124" t="s">
        <v>154</v>
      </c>
      <c r="AH17" s="121">
        <f ca="1">J17</f>
        <v>0</v>
      </c>
      <c r="AI17" s="1"/>
      <c r="AJ17" s="1197">
        <f ca="1">ROUNDDOWN(AH17/1000*AI17,0)</f>
        <v>0</v>
      </c>
      <c r="AK17" s="1"/>
      <c r="AL17" s="1">
        <v>0.12</v>
      </c>
      <c r="AM17" s="119">
        <f ca="1">(AK17*AJ17)+(AL17*AH17)</f>
        <v>0</v>
      </c>
      <c r="AN17" s="1">
        <v>1</v>
      </c>
      <c r="AO17" s="119">
        <f ca="1">AM17/AN17</f>
        <v>0</v>
      </c>
      <c r="AP17" s="119"/>
      <c r="AQ17" s="119"/>
    </row>
    <row r="18" spans="2:45" s="50" customFormat="1" x14ac:dyDescent="0.3">
      <c r="B18" s="50">
        <f t="shared" si="0"/>
        <v>4</v>
      </c>
      <c r="C18" s="1" t="s">
        <v>1578</v>
      </c>
      <c r="D18" s="1" t="s">
        <v>1566</v>
      </c>
      <c r="E18" s="1" t="s">
        <v>844</v>
      </c>
      <c r="F18" s="1" t="s">
        <v>841</v>
      </c>
      <c r="G18" s="1" t="s">
        <v>1573</v>
      </c>
      <c r="H18" s="1" t="s">
        <v>1818</v>
      </c>
      <c r="I18" t="e">
        <f ca="1">OFFSET(Spaces_Ref,MATCH(Ventilation!$C18,OFFSET(Spaces_Ref,$I$9,$I$10,2000),0),$I$11)</f>
        <v>#N/A</v>
      </c>
      <c r="J18" s="1691">
        <f t="shared" ca="1" si="1"/>
        <v>0</v>
      </c>
      <c r="K18" s="1692">
        <f t="shared" ca="1" si="2"/>
        <v>0</v>
      </c>
      <c r="L18" s="1693">
        <f t="shared" ca="1" si="2"/>
        <v>0</v>
      </c>
      <c r="M18" s="1694"/>
      <c r="N18" s="1695" t="e">
        <f t="shared" ref="N18:N66" ca="1" si="4">$N$16*J18</f>
        <v>#DIV/0!</v>
      </c>
      <c r="O18" s="1696" t="e">
        <f t="shared" ref="O18:O66" ca="1" si="5">$O$16*K18</f>
        <v>#DIV/0!</v>
      </c>
      <c r="P18" s="1697" t="e">
        <f ca="1">OFFSET(VentExhCSV_Spc!$B$5,MATCH($C18,VentExhCSV_Spc!$C$6:$C$308,0),P$11)*$I18</f>
        <v>#N/A</v>
      </c>
      <c r="Q18" s="1698" t="str">
        <f t="shared" ref="Q18:Q66" si="6">MID(C18,FIND("_",C18)+1,4)</f>
        <v>Strs</v>
      </c>
      <c r="R18" s="1699">
        <f t="shared" si="3"/>
        <v>0</v>
      </c>
      <c r="S18" s="1700">
        <f t="shared" si="3"/>
        <v>0</v>
      </c>
      <c r="T18" s="1701">
        <f t="shared" si="3"/>
        <v>0</v>
      </c>
      <c r="U18" s="1702">
        <f t="shared" ref="U18:U87" si="7">IF($E18="DirectlyConditioned",$R18*$J18/1000*$S18+$T18*$J18,0)</f>
        <v>0</v>
      </c>
      <c r="V18" s="1702">
        <f t="shared" ref="V18:V87" ca="1" si="8">IF($E18="IndirectlyConditioned",$R18*$J18/1000*$S18+$T18*$J18,0)</f>
        <v>0</v>
      </c>
      <c r="W18" s="1702">
        <f t="shared" ref="W18:W66" ca="1" si="9">SUM(U18:V18)</f>
        <v>0</v>
      </c>
      <c r="X18" s="1702"/>
      <c r="Y18" s="1702"/>
      <c r="Z18" s="1703" t="e">
        <f ca="1">OFFSET(VentExhCSV_Spc!$B$5,MATCH($C18,VentExhCSV_Spc!$C$6:$C$308,0),Z$11)*$I18</f>
        <v>#N/A</v>
      </c>
      <c r="AD18" s="1490"/>
      <c r="AE18" s="1490"/>
      <c r="AG18" s="124" t="s">
        <v>1358</v>
      </c>
      <c r="AH18" s="121" t="e">
        <f>#REF!</f>
        <v>#REF!</v>
      </c>
      <c r="AI18" s="1"/>
      <c r="AJ18" s="1197" t="e">
        <f>ROUNDDOWN(AH18/1000*AI18,0)</f>
        <v>#REF!</v>
      </c>
      <c r="AK18" s="1"/>
      <c r="AL18" s="1">
        <v>1</v>
      </c>
      <c r="AM18" s="119" t="e">
        <f>(AK18*AJ18)+(AL18*AH18)</f>
        <v>#REF!</v>
      </c>
      <c r="AN18" s="1">
        <v>1</v>
      </c>
      <c r="AO18" s="119" t="e">
        <f>AM18/AN18</f>
        <v>#REF!</v>
      </c>
      <c r="AP18" s="119"/>
      <c r="AQ18" s="119"/>
    </row>
    <row r="19" spans="2:45" s="50" customFormat="1" x14ac:dyDescent="0.3">
      <c r="B19" s="50">
        <f t="shared" si="0"/>
        <v>5</v>
      </c>
      <c r="C19" s="1" t="s">
        <v>1579</v>
      </c>
      <c r="D19" s="1" t="s">
        <v>1566</v>
      </c>
      <c r="E19" s="1" t="s">
        <v>825</v>
      </c>
      <c r="F19" s="1" t="s">
        <v>560</v>
      </c>
      <c r="G19" s="1" t="s">
        <v>1573</v>
      </c>
      <c r="H19" s="1" t="s">
        <v>1818</v>
      </c>
      <c r="I19" t="e">
        <f ca="1">OFFSET(Spaces_Ref,MATCH(Ventilation!$C19,OFFSET(Spaces_Ref,$I$9,$I$10,2000),0),$I$11)</f>
        <v>#N/A</v>
      </c>
      <c r="J19" s="1691">
        <f t="shared" ca="1" si="1"/>
        <v>0</v>
      </c>
      <c r="K19" s="1692">
        <f t="shared" ca="1" si="2"/>
        <v>0</v>
      </c>
      <c r="L19" s="1693">
        <f t="shared" ca="1" si="2"/>
        <v>0</v>
      </c>
      <c r="M19" s="1694"/>
      <c r="N19" s="1695" t="e">
        <f t="shared" ca="1" si="4"/>
        <v>#DIV/0!</v>
      </c>
      <c r="O19" s="1696" t="e">
        <f t="shared" ca="1" si="5"/>
        <v>#DIV/0!</v>
      </c>
      <c r="P19" s="1697" t="e">
        <f ca="1">OFFSET(VentExhCSV_Spc!$B$5,MATCH($C19,VentExhCSV_Spc!$C$6:$C$308,0),P$11)*$I19</f>
        <v>#N/A</v>
      </c>
      <c r="Q19" s="1698" t="str">
        <f t="shared" si="6"/>
        <v>Trsh</v>
      </c>
      <c r="R19" s="1699">
        <f t="shared" si="3"/>
        <v>0</v>
      </c>
      <c r="S19" s="1700">
        <f t="shared" si="3"/>
        <v>0</v>
      </c>
      <c r="T19" s="1701">
        <f t="shared" si="3"/>
        <v>0</v>
      </c>
      <c r="U19" s="1702">
        <f t="shared" ca="1" si="7"/>
        <v>0</v>
      </c>
      <c r="V19" s="1702">
        <f t="shared" si="8"/>
        <v>0</v>
      </c>
      <c r="W19" s="1702">
        <f t="shared" ca="1" si="9"/>
        <v>0</v>
      </c>
      <c r="X19" s="1702"/>
      <c r="Y19" s="1702"/>
      <c r="Z19" s="1703" t="e">
        <f ca="1">OFFSET(VentExhCSV_Spc!$B$5,MATCH($C19,VentExhCSV_Spc!$C$6:$C$308,0),Z$11)*$I19</f>
        <v>#N/A</v>
      </c>
      <c r="AD19" s="1491"/>
      <c r="AE19" s="1491"/>
      <c r="AG19" s="124"/>
      <c r="AH19" s="121"/>
      <c r="AI19" s="1"/>
      <c r="AJ19" s="1197"/>
      <c r="AK19" s="1"/>
      <c r="AL19" s="1"/>
      <c r="AM19" s="119"/>
      <c r="AN19" s="1"/>
      <c r="AO19" s="119"/>
      <c r="AP19" s="119"/>
      <c r="AQ19" s="119"/>
    </row>
    <row r="20" spans="2:45" s="50" customFormat="1" x14ac:dyDescent="0.3">
      <c r="B20" s="50">
        <f t="shared" si="0"/>
        <v>6</v>
      </c>
      <c r="C20" s="1" t="s">
        <v>1580</v>
      </c>
      <c r="D20" s="1" t="s">
        <v>1566</v>
      </c>
      <c r="E20" s="1" t="s">
        <v>844</v>
      </c>
      <c r="F20" s="1" t="s">
        <v>834</v>
      </c>
      <c r="G20" s="1" t="s">
        <v>1573</v>
      </c>
      <c r="H20" s="1" t="s">
        <v>1818</v>
      </c>
      <c r="I20" t="e">
        <f ca="1">OFFSET(Spaces_Ref,MATCH(Ventilation!$C20,OFFSET(Spaces_Ref,$I$9,$I$10,2000),0),$I$11)</f>
        <v>#N/A</v>
      </c>
      <c r="J20" s="1691">
        <f t="shared" ca="1" si="1"/>
        <v>0</v>
      </c>
      <c r="K20" s="1692">
        <f t="shared" ca="1" si="2"/>
        <v>0</v>
      </c>
      <c r="L20" s="1693">
        <f t="shared" ca="1" si="2"/>
        <v>0</v>
      </c>
      <c r="M20" s="1694"/>
      <c r="N20" s="1695" t="e">
        <f t="shared" ca="1" si="4"/>
        <v>#DIV/0!</v>
      </c>
      <c r="O20" s="1696" t="e">
        <f t="shared" ca="1" si="5"/>
        <v>#DIV/0!</v>
      </c>
      <c r="P20" s="1697" t="e">
        <f ca="1">OFFSET(VentExhCSV_Spc!$B$5,MATCH($C20,VentExhCSV_Spc!$C$6:$C$308,0),P$11)*$I20</f>
        <v>#N/A</v>
      </c>
      <c r="Q20" s="1698" t="str">
        <f t="shared" si="6"/>
        <v>Elev</v>
      </c>
      <c r="R20" s="1699">
        <f t="shared" si="3"/>
        <v>0</v>
      </c>
      <c r="S20" s="1700">
        <f t="shared" si="3"/>
        <v>0</v>
      </c>
      <c r="T20" s="1701">
        <f t="shared" si="3"/>
        <v>0</v>
      </c>
      <c r="U20" s="1702">
        <f t="shared" si="7"/>
        <v>0</v>
      </c>
      <c r="V20" s="1702">
        <f t="shared" ca="1" si="8"/>
        <v>0</v>
      </c>
      <c r="W20" s="1702">
        <f t="shared" ca="1" si="9"/>
        <v>0</v>
      </c>
      <c r="X20" s="1702"/>
      <c r="Y20" s="1702"/>
      <c r="Z20" s="1703" t="e">
        <f ca="1">OFFSET(VentExhCSV_Spc!$B$5,MATCH($C20,VentExhCSV_Spc!$C$6:$C$308,0),Z$11)*$I20</f>
        <v>#N/A</v>
      </c>
      <c r="AD20" s="1491"/>
      <c r="AE20" s="1491"/>
      <c r="AG20" s="124"/>
      <c r="AH20" s="121"/>
      <c r="AI20" s="1"/>
      <c r="AJ20" s="1197"/>
      <c r="AK20" s="1"/>
      <c r="AL20" s="1"/>
      <c r="AM20" s="119"/>
      <c r="AN20" s="1"/>
      <c r="AO20" s="119"/>
      <c r="AP20" s="119"/>
      <c r="AQ20" s="119"/>
    </row>
    <row r="21" spans="2:45" s="50" customFormat="1" x14ac:dyDescent="0.3">
      <c r="B21" s="50">
        <f t="shared" si="0"/>
        <v>7</v>
      </c>
      <c r="C21" s="1" t="s">
        <v>1581</v>
      </c>
      <c r="D21" s="1" t="s">
        <v>1566</v>
      </c>
      <c r="E21" s="1" t="s">
        <v>844</v>
      </c>
      <c r="F21" s="1" t="s">
        <v>829</v>
      </c>
      <c r="G21" s="1" t="s">
        <v>1573</v>
      </c>
      <c r="H21" s="1" t="s">
        <v>1818</v>
      </c>
      <c r="I21" t="e">
        <f ca="1">OFFSET(Spaces_Ref,MATCH(Ventilation!$C21,OFFSET(Spaces_Ref,$I$9,$I$10,2000),0),$I$11)</f>
        <v>#N/A</v>
      </c>
      <c r="J21" s="1691">
        <f t="shared" ca="1" si="1"/>
        <v>0</v>
      </c>
      <c r="K21" s="1692">
        <f t="shared" ca="1" si="2"/>
        <v>0</v>
      </c>
      <c r="L21" s="1693">
        <f t="shared" ca="1" si="2"/>
        <v>0</v>
      </c>
      <c r="M21" s="1694"/>
      <c r="N21" s="1695" t="e">
        <f t="shared" ca="1" si="4"/>
        <v>#DIV/0!</v>
      </c>
      <c r="O21" s="1696" t="e">
        <f t="shared" ca="1" si="5"/>
        <v>#DIV/0!</v>
      </c>
      <c r="P21" s="1697" t="e">
        <f ca="1">OFFSET(VentExhCSV_Spc!$B$5,MATCH($C21,VentExhCSV_Spc!$C$6:$C$308,0),P$11)*$I21</f>
        <v>#N/A</v>
      </c>
      <c r="Q21" s="1698" t="str">
        <f t="shared" si="6"/>
        <v>Shft</v>
      </c>
      <c r="R21" s="1699">
        <f t="shared" si="3"/>
        <v>0</v>
      </c>
      <c r="S21" s="1700">
        <f t="shared" si="3"/>
        <v>0</v>
      </c>
      <c r="T21" s="1701">
        <f t="shared" si="3"/>
        <v>0</v>
      </c>
      <c r="U21" s="1702">
        <f t="shared" si="7"/>
        <v>0</v>
      </c>
      <c r="V21" s="1702">
        <f t="shared" ca="1" si="8"/>
        <v>0</v>
      </c>
      <c r="W21" s="1702">
        <f t="shared" ca="1" si="9"/>
        <v>0</v>
      </c>
      <c r="X21" s="1702"/>
      <c r="Y21" s="1702"/>
      <c r="Z21" s="1703" t="e">
        <f ca="1">OFFSET(VentExhCSV_Spc!$B$5,MATCH($C21,VentExhCSV_Spc!$C$6:$C$308,0),Z$11)*$I21</f>
        <v>#N/A</v>
      </c>
      <c r="AD21" s="1492"/>
      <c r="AE21" s="1198"/>
      <c r="AG21" s="124"/>
    </row>
    <row r="22" spans="2:45" s="50" customFormat="1" x14ac:dyDescent="0.3">
      <c r="B22" s="50">
        <f t="shared" si="0"/>
        <v>8</v>
      </c>
      <c r="C22" s="1" t="s">
        <v>1582</v>
      </c>
      <c r="D22" s="1" t="s">
        <v>1566</v>
      </c>
      <c r="E22" s="1" t="s">
        <v>844</v>
      </c>
      <c r="F22" s="1" t="s">
        <v>841</v>
      </c>
      <c r="G22" s="1" t="s">
        <v>1573</v>
      </c>
      <c r="H22" s="1" t="s">
        <v>1818</v>
      </c>
      <c r="I22" t="e">
        <f ca="1">OFFSET(Spaces_Ref,MATCH(Ventilation!$C22,OFFSET(Spaces_Ref,$I$9,$I$10,2000),0),$I$11)</f>
        <v>#N/A</v>
      </c>
      <c r="J22" s="1691">
        <f t="shared" ca="1" si="1"/>
        <v>0</v>
      </c>
      <c r="K22" s="1692">
        <f t="shared" ca="1" si="2"/>
        <v>0</v>
      </c>
      <c r="L22" s="1693">
        <f t="shared" ca="1" si="2"/>
        <v>0</v>
      </c>
      <c r="M22" s="1694"/>
      <c r="N22" s="1695" t="e">
        <f t="shared" ca="1" si="4"/>
        <v>#DIV/0!</v>
      </c>
      <c r="O22" s="1696" t="e">
        <f t="shared" ca="1" si="5"/>
        <v>#DIV/0!</v>
      </c>
      <c r="P22" s="1697" t="e">
        <f ca="1">OFFSET(VentExhCSV_Spc!$B$5,MATCH($C22,VentExhCSV_Spc!$C$6:$C$308,0),P$11)*$I22</f>
        <v>#N/A</v>
      </c>
      <c r="Q22" s="1698" t="str">
        <f t="shared" si="6"/>
        <v>Strs</v>
      </c>
      <c r="R22" s="1699">
        <f t="shared" si="3"/>
        <v>0</v>
      </c>
      <c r="S22" s="1700">
        <f t="shared" si="3"/>
        <v>0</v>
      </c>
      <c r="T22" s="1701">
        <f t="shared" si="3"/>
        <v>0</v>
      </c>
      <c r="U22" s="1702">
        <f t="shared" si="7"/>
        <v>0</v>
      </c>
      <c r="V22" s="1702">
        <f t="shared" ca="1" si="8"/>
        <v>0</v>
      </c>
      <c r="W22" s="1702">
        <f t="shared" ca="1" si="9"/>
        <v>0</v>
      </c>
      <c r="X22" s="1702"/>
      <c r="Y22" s="1702"/>
      <c r="Z22" s="1703" t="e">
        <f ca="1">OFFSET(VentExhCSV_Spc!$B$5,MATCH($C22,VentExhCSV_Spc!$C$6:$C$308,0),Z$11)*$I22</f>
        <v>#N/A</v>
      </c>
      <c r="AD22" s="1492"/>
      <c r="AE22" s="1492"/>
      <c r="AG22" s="124"/>
    </row>
    <row r="23" spans="2:45" s="50" customFormat="1" x14ac:dyDescent="0.3">
      <c r="B23" s="50">
        <f t="shared" si="0"/>
        <v>9</v>
      </c>
      <c r="C23" s="1" t="s">
        <v>1594</v>
      </c>
      <c r="D23" s="1" t="s">
        <v>1588</v>
      </c>
      <c r="E23" s="1" t="s">
        <v>825</v>
      </c>
      <c r="F23" s="1" t="s">
        <v>836</v>
      </c>
      <c r="G23" s="1" t="s">
        <v>1595</v>
      </c>
      <c r="H23" s="1" t="s">
        <v>1818</v>
      </c>
      <c r="I23" t="e">
        <f ca="1">OFFSET(Spaces_Ref,MATCH(Ventilation!$C23,OFFSET(Spaces_Ref,$I$9,$I$10,2000),0),$I$11)</f>
        <v>#N/A</v>
      </c>
      <c r="J23" s="1691">
        <f t="shared" ca="1" si="1"/>
        <v>0</v>
      </c>
      <c r="K23" s="1692">
        <f t="shared" ca="1" si="2"/>
        <v>0</v>
      </c>
      <c r="L23" s="1693">
        <f t="shared" ca="1" si="2"/>
        <v>0</v>
      </c>
      <c r="M23" s="1694"/>
      <c r="N23" s="1695" t="e">
        <f t="shared" ca="1" si="4"/>
        <v>#DIV/0!</v>
      </c>
      <c r="O23" s="1696" t="e">
        <f t="shared" ca="1" si="5"/>
        <v>#DIV/0!</v>
      </c>
      <c r="P23" s="1697" t="e">
        <f ca="1">OFFSET(VentExhCSV_Spc!$B$5,MATCH($C23,VentExhCSV_Spc!$C$6:$C$308,0),P$11)*$I23</f>
        <v>#N/A</v>
      </c>
      <c r="Q23" s="1698" t="str">
        <f t="shared" si="6"/>
        <v>Corr</v>
      </c>
      <c r="R23" s="1699">
        <f t="shared" si="3"/>
        <v>0</v>
      </c>
      <c r="S23" s="1700">
        <f t="shared" si="3"/>
        <v>0</v>
      </c>
      <c r="T23" s="1701">
        <f t="shared" si="3"/>
        <v>0.12</v>
      </c>
      <c r="U23" s="1702">
        <f t="shared" ca="1" si="7"/>
        <v>0</v>
      </c>
      <c r="V23" s="1702">
        <f t="shared" si="8"/>
        <v>0</v>
      </c>
      <c r="W23" s="1702">
        <f t="shared" ca="1" si="9"/>
        <v>0</v>
      </c>
      <c r="X23" s="1702"/>
      <c r="Y23" s="1702"/>
      <c r="Z23" s="1703" t="e">
        <f ca="1">OFFSET(VentExhCSV_Spc!$B$5,MATCH($C23,VentExhCSV_Spc!$C$6:$C$308,0),Z$11)*$I23</f>
        <v>#N/A</v>
      </c>
      <c r="AD23" s="1490"/>
      <c r="AE23" s="1490"/>
      <c r="AG23" s="124" t="s">
        <v>35</v>
      </c>
      <c r="AH23" s="121" t="e">
        <f>#REF!</f>
        <v>#REF!</v>
      </c>
      <c r="AI23" s="1"/>
      <c r="AJ23" s="1197" t="e">
        <f>ROUNDDOWN(AH23/1000*AI23,0)</f>
        <v>#REF!</v>
      </c>
      <c r="AK23" s="1"/>
      <c r="AL23" s="1">
        <v>0.06</v>
      </c>
      <c r="AM23" s="119" t="e">
        <f>(AK23*AJ23)+(AL23*AH23)</f>
        <v>#REF!</v>
      </c>
      <c r="AN23" s="1">
        <v>1</v>
      </c>
      <c r="AO23" s="119" t="e">
        <f>AM23/AN23</f>
        <v>#REF!</v>
      </c>
      <c r="AP23" s="119"/>
      <c r="AQ23" s="119"/>
    </row>
    <row r="24" spans="2:45" s="50" customFormat="1" x14ac:dyDescent="0.3">
      <c r="B24" s="50">
        <f t="shared" si="0"/>
        <v>10</v>
      </c>
      <c r="C24" s="1" t="s">
        <v>1600</v>
      </c>
      <c r="D24" s="1" t="s">
        <v>1588</v>
      </c>
      <c r="E24" s="1" t="s">
        <v>825</v>
      </c>
      <c r="F24" s="1" t="s">
        <v>841</v>
      </c>
      <c r="G24" s="1" t="s">
        <v>1595</v>
      </c>
      <c r="H24" s="1" t="s">
        <v>1818</v>
      </c>
      <c r="I24" t="e">
        <f ca="1">OFFSET(Spaces_Ref,MATCH(Ventilation!$C24,OFFSET(Spaces_Ref,$I$9,$I$10,2000),0),$I$11)</f>
        <v>#N/A</v>
      </c>
      <c r="J24" s="1691">
        <f t="shared" ca="1" si="1"/>
        <v>0</v>
      </c>
      <c r="K24" s="1692">
        <f t="shared" ca="1" si="2"/>
        <v>0</v>
      </c>
      <c r="L24" s="1693">
        <f t="shared" ca="1" si="2"/>
        <v>0</v>
      </c>
      <c r="M24" s="1694"/>
      <c r="N24" s="1695" t="e">
        <f t="shared" ca="1" si="4"/>
        <v>#DIV/0!</v>
      </c>
      <c r="O24" s="1696" t="e">
        <f t="shared" ca="1" si="5"/>
        <v>#DIV/0!</v>
      </c>
      <c r="P24" s="1697" t="e">
        <f ca="1">OFFSET(VentExhCSV_Spc!$B$5,MATCH($C24,VentExhCSV_Spc!$C$6:$C$308,0),P$11)*$I24</f>
        <v>#N/A</v>
      </c>
      <c r="Q24" s="1698" t="str">
        <f t="shared" si="6"/>
        <v>Strs</v>
      </c>
      <c r="R24" s="1699">
        <f t="shared" si="3"/>
        <v>0</v>
      </c>
      <c r="S24" s="1700">
        <f t="shared" si="3"/>
        <v>0</v>
      </c>
      <c r="T24" s="1701">
        <f t="shared" si="3"/>
        <v>0</v>
      </c>
      <c r="U24" s="1702">
        <f t="shared" ca="1" si="7"/>
        <v>0</v>
      </c>
      <c r="V24" s="1702">
        <f t="shared" si="8"/>
        <v>0</v>
      </c>
      <c r="W24" s="1702">
        <f t="shared" ca="1" si="9"/>
        <v>0</v>
      </c>
      <c r="X24" s="1702"/>
      <c r="Y24" s="1702"/>
      <c r="Z24" s="1703" t="e">
        <f ca="1">OFFSET(VentExhCSV_Spc!$B$5,MATCH($C24,VentExhCSV_Spc!$C$6:$C$308,0),Z$11)*$I24</f>
        <v>#N/A</v>
      </c>
      <c r="AD24" s="1490"/>
      <c r="AE24" s="1490"/>
      <c r="AG24" s="124" t="s">
        <v>154</v>
      </c>
      <c r="AH24" s="121" t="e">
        <f>#REF!</f>
        <v>#REF!</v>
      </c>
      <c r="AI24" s="1"/>
      <c r="AJ24" s="1197" t="e">
        <f>ROUNDDOWN(AH24/1000*AI24,0)</f>
        <v>#REF!</v>
      </c>
      <c r="AK24" s="1"/>
      <c r="AL24" s="1">
        <v>0.12</v>
      </c>
      <c r="AM24" s="119" t="e">
        <f>(AK24*AJ24)+(AL24*AH24)</f>
        <v>#REF!</v>
      </c>
      <c r="AN24" s="1">
        <v>1</v>
      </c>
      <c r="AO24" s="119" t="e">
        <f>AM24/AN24</f>
        <v>#REF!</v>
      </c>
      <c r="AP24" s="119"/>
      <c r="AQ24" s="119"/>
    </row>
    <row r="25" spans="2:45" s="50" customFormat="1" x14ac:dyDescent="0.3">
      <c r="B25" s="50">
        <f t="shared" si="0"/>
        <v>11</v>
      </c>
      <c r="C25" s="1" t="s">
        <v>1601</v>
      </c>
      <c r="D25" s="1" t="s">
        <v>1588</v>
      </c>
      <c r="E25" s="1" t="s">
        <v>825</v>
      </c>
      <c r="F25" s="1" t="s">
        <v>560</v>
      </c>
      <c r="G25" s="1" t="s">
        <v>1595</v>
      </c>
      <c r="H25" s="1" t="s">
        <v>1818</v>
      </c>
      <c r="I25" t="e">
        <f ca="1">OFFSET(Spaces_Ref,MATCH(Ventilation!$C25,OFFSET(Spaces_Ref,$I$9,$I$10,2000),0),$I$11)</f>
        <v>#N/A</v>
      </c>
      <c r="J25" s="1691">
        <f t="shared" ca="1" si="1"/>
        <v>0</v>
      </c>
      <c r="K25" s="1692">
        <f t="shared" ca="1" si="2"/>
        <v>0</v>
      </c>
      <c r="L25" s="1693">
        <f t="shared" ca="1" si="2"/>
        <v>0</v>
      </c>
      <c r="M25" s="1694"/>
      <c r="N25" s="1695" t="e">
        <f t="shared" ca="1" si="4"/>
        <v>#DIV/0!</v>
      </c>
      <c r="O25" s="1696" t="e">
        <f t="shared" ca="1" si="5"/>
        <v>#DIV/0!</v>
      </c>
      <c r="P25" s="1697" t="e">
        <f ca="1">OFFSET(VentExhCSV_Spc!$B$5,MATCH($C25,VentExhCSV_Spc!$C$6:$C$308,0),P$11)*$I25</f>
        <v>#N/A</v>
      </c>
      <c r="Q25" s="1698" t="str">
        <f t="shared" si="6"/>
        <v>Trsh</v>
      </c>
      <c r="R25" s="1699">
        <f t="shared" si="3"/>
        <v>0</v>
      </c>
      <c r="S25" s="1700">
        <f t="shared" si="3"/>
        <v>0</v>
      </c>
      <c r="T25" s="1701">
        <f t="shared" si="3"/>
        <v>0</v>
      </c>
      <c r="U25" s="1702">
        <f t="shared" ca="1" si="7"/>
        <v>0</v>
      </c>
      <c r="V25" s="1702">
        <f t="shared" si="8"/>
        <v>0</v>
      </c>
      <c r="W25" s="1702">
        <f t="shared" ca="1" si="9"/>
        <v>0</v>
      </c>
      <c r="X25" s="1702"/>
      <c r="Y25" s="1702"/>
      <c r="Z25" s="1703" t="e">
        <f ca="1">OFFSET(VentExhCSV_Spc!$B$5,MATCH($C25,VentExhCSV_Spc!$C$6:$C$308,0),Z$11)*$I25</f>
        <v>#N/A</v>
      </c>
      <c r="AD25" s="1490"/>
      <c r="AE25" s="1490"/>
      <c r="AG25" s="124" t="s">
        <v>154</v>
      </c>
      <c r="AH25" s="121" t="e">
        <f>#REF!</f>
        <v>#REF!</v>
      </c>
      <c r="AI25" s="1"/>
      <c r="AJ25" s="1197" t="e">
        <f>ROUNDDOWN(AH25/1000*AI25,0)</f>
        <v>#REF!</v>
      </c>
      <c r="AK25" s="1"/>
      <c r="AL25" s="1">
        <v>0.12</v>
      </c>
      <c r="AM25" s="119" t="e">
        <f>(AK25*AJ25)+(AL25*AH25)</f>
        <v>#REF!</v>
      </c>
      <c r="AN25" s="1">
        <v>1</v>
      </c>
      <c r="AO25" s="119" t="e">
        <f>AM25/AN25</f>
        <v>#REF!</v>
      </c>
      <c r="AP25" s="119"/>
      <c r="AQ25" s="119"/>
    </row>
    <row r="26" spans="2:45" s="50" customFormat="1" x14ac:dyDescent="0.3">
      <c r="B26" s="50">
        <f t="shared" si="0"/>
        <v>12</v>
      </c>
      <c r="C26" s="1" t="s">
        <v>1602</v>
      </c>
      <c r="D26" s="1" t="s">
        <v>1588</v>
      </c>
      <c r="E26" s="1" t="s">
        <v>844</v>
      </c>
      <c r="F26" s="1" t="s">
        <v>829</v>
      </c>
      <c r="G26" s="1" t="s">
        <v>1595</v>
      </c>
      <c r="H26" s="1" t="s">
        <v>1818</v>
      </c>
      <c r="I26" t="e">
        <f ca="1">OFFSET(Spaces_Ref,MATCH(Ventilation!$C26,OFFSET(Spaces_Ref,$I$9,$I$10,2000),0),$I$11)</f>
        <v>#N/A</v>
      </c>
      <c r="J26" s="1691">
        <f t="shared" ca="1" si="1"/>
        <v>0</v>
      </c>
      <c r="K26" s="1692">
        <f t="shared" ca="1" si="2"/>
        <v>0</v>
      </c>
      <c r="L26" s="1693">
        <f t="shared" ca="1" si="2"/>
        <v>0</v>
      </c>
      <c r="M26" s="1694"/>
      <c r="N26" s="1695" t="e">
        <f t="shared" ca="1" si="4"/>
        <v>#DIV/0!</v>
      </c>
      <c r="O26" s="1696" t="e">
        <f t="shared" ca="1" si="5"/>
        <v>#DIV/0!</v>
      </c>
      <c r="P26" s="1697" t="e">
        <f ca="1">OFFSET(VentExhCSV_Spc!$B$5,MATCH($C26,VentExhCSV_Spc!$C$6:$C$308,0),P$11)*$I26</f>
        <v>#N/A</v>
      </c>
      <c r="Q26" s="1698" t="str">
        <f t="shared" si="6"/>
        <v>Shft</v>
      </c>
      <c r="R26" s="1699">
        <f t="shared" si="3"/>
        <v>0</v>
      </c>
      <c r="S26" s="1700">
        <f t="shared" si="3"/>
        <v>0</v>
      </c>
      <c r="T26" s="1701">
        <f t="shared" si="3"/>
        <v>0</v>
      </c>
      <c r="U26" s="1702">
        <f t="shared" si="7"/>
        <v>0</v>
      </c>
      <c r="V26" s="1702">
        <f t="shared" ca="1" si="8"/>
        <v>0</v>
      </c>
      <c r="W26" s="1702">
        <f t="shared" ca="1" si="9"/>
        <v>0</v>
      </c>
      <c r="X26" s="1702"/>
      <c r="Y26" s="1702"/>
      <c r="Z26" s="1703" t="e">
        <f ca="1">OFFSET(VentExhCSV_Spc!$B$5,MATCH($C26,VentExhCSV_Spc!$C$6:$C$308,0),Z$11)*$I26</f>
        <v>#N/A</v>
      </c>
      <c r="AD26" s="1490"/>
      <c r="AE26" s="1490"/>
      <c r="AG26" s="124" t="s">
        <v>154</v>
      </c>
      <c r="AH26" s="121" t="e">
        <f>#REF!</f>
        <v>#REF!</v>
      </c>
      <c r="AI26" s="1"/>
      <c r="AJ26" s="1197" t="e">
        <f>ROUNDDOWN(AH26/1000*AI26,0)</f>
        <v>#REF!</v>
      </c>
      <c r="AK26" s="1"/>
      <c r="AL26" s="1">
        <v>0.12</v>
      </c>
      <c r="AM26" s="119" t="e">
        <f>(AK26*AJ26)+(AL26*AH26)</f>
        <v>#REF!</v>
      </c>
      <c r="AN26" s="1">
        <v>1</v>
      </c>
      <c r="AO26" s="119" t="e">
        <f>AM26/AN26</f>
        <v>#REF!</v>
      </c>
      <c r="AP26" s="119"/>
      <c r="AQ26" s="119"/>
    </row>
    <row r="27" spans="2:45" s="50" customFormat="1" x14ac:dyDescent="0.3">
      <c r="B27" s="50">
        <f t="shared" si="0"/>
        <v>13</v>
      </c>
      <c r="C27" s="1" t="s">
        <v>1603</v>
      </c>
      <c r="D27" s="1" t="s">
        <v>1588</v>
      </c>
      <c r="E27" s="1" t="s">
        <v>844</v>
      </c>
      <c r="F27" s="1" t="s">
        <v>834</v>
      </c>
      <c r="G27" s="1" t="s">
        <v>1595</v>
      </c>
      <c r="H27" s="1" t="s">
        <v>1818</v>
      </c>
      <c r="I27" t="e">
        <f ca="1">OFFSET(Spaces_Ref,MATCH(Ventilation!$C27,OFFSET(Spaces_Ref,$I$9,$I$10,2000),0),$I$11)</f>
        <v>#N/A</v>
      </c>
      <c r="J27" s="1691">
        <f t="shared" ca="1" si="1"/>
        <v>0</v>
      </c>
      <c r="K27" s="1692">
        <f t="shared" ca="1" si="2"/>
        <v>0</v>
      </c>
      <c r="L27" s="1693">
        <f t="shared" ca="1" si="2"/>
        <v>0</v>
      </c>
      <c r="M27" s="1694"/>
      <c r="N27" s="1695" t="e">
        <f t="shared" ca="1" si="4"/>
        <v>#DIV/0!</v>
      </c>
      <c r="O27" s="1696" t="e">
        <f t="shared" ca="1" si="5"/>
        <v>#DIV/0!</v>
      </c>
      <c r="P27" s="1697" t="e">
        <f ca="1">OFFSET(VentExhCSV_Spc!$B$5,MATCH($C27,VentExhCSV_Spc!$C$6:$C$308,0),P$11)*$I27</f>
        <v>#N/A</v>
      </c>
      <c r="Q27" s="1698" t="str">
        <f t="shared" si="6"/>
        <v>Elev</v>
      </c>
      <c r="R27" s="1699">
        <f t="shared" si="3"/>
        <v>0</v>
      </c>
      <c r="S27" s="1700">
        <f t="shared" si="3"/>
        <v>0</v>
      </c>
      <c r="T27" s="1701">
        <f t="shared" si="3"/>
        <v>0</v>
      </c>
      <c r="U27" s="1702">
        <f t="shared" si="7"/>
        <v>0</v>
      </c>
      <c r="V27" s="1702">
        <f t="shared" ca="1" si="8"/>
        <v>0</v>
      </c>
      <c r="W27" s="1702">
        <f t="shared" ca="1" si="9"/>
        <v>0</v>
      </c>
      <c r="X27" s="1702"/>
      <c r="Y27" s="1702"/>
      <c r="Z27" s="1703" t="e">
        <f ca="1">OFFSET(VentExhCSV_Spc!$B$5,MATCH($C27,VentExhCSV_Spc!$C$6:$C$308,0),Z$11)*$I27</f>
        <v>#N/A</v>
      </c>
      <c r="AD27" s="1490"/>
      <c r="AE27" s="1490"/>
      <c r="AG27" s="124" t="s">
        <v>154</v>
      </c>
      <c r="AH27" s="121" t="e">
        <f>#REF!</f>
        <v>#REF!</v>
      </c>
      <c r="AI27" s="1"/>
      <c r="AJ27" s="1197" t="e">
        <f>ROUNDDOWN(AH27/1000*AI27,0)</f>
        <v>#REF!</v>
      </c>
      <c r="AK27" s="1"/>
      <c r="AL27" s="1">
        <v>0.12</v>
      </c>
      <c r="AM27" s="119" t="e">
        <f>(AK27*AJ27)+(AL27*AH27)</f>
        <v>#REF!</v>
      </c>
      <c r="AN27" s="1">
        <v>1</v>
      </c>
      <c r="AO27" s="119" t="e">
        <f>AM27/AN27</f>
        <v>#REF!</v>
      </c>
      <c r="AP27" s="119"/>
      <c r="AQ27" s="119"/>
    </row>
    <row r="28" spans="2:45" s="50" customFormat="1" x14ac:dyDescent="0.3">
      <c r="B28" s="50">
        <f t="shared" si="0"/>
        <v>14</v>
      </c>
      <c r="C28" s="1" t="s">
        <v>1604</v>
      </c>
      <c r="D28" s="1" t="s">
        <v>1588</v>
      </c>
      <c r="E28" s="1" t="s">
        <v>825</v>
      </c>
      <c r="F28" s="1" t="s">
        <v>841</v>
      </c>
      <c r="G28" s="1" t="s">
        <v>1595</v>
      </c>
      <c r="H28" s="1" t="s">
        <v>1818</v>
      </c>
      <c r="I28" t="e">
        <f ca="1">OFFSET(Spaces_Ref,MATCH(Ventilation!$C28,OFFSET(Spaces_Ref,$I$9,$I$10,2000),0),$I$11)</f>
        <v>#N/A</v>
      </c>
      <c r="J28" s="1691">
        <f t="shared" ca="1" si="1"/>
        <v>0</v>
      </c>
      <c r="K28" s="1692">
        <f t="shared" ca="1" si="2"/>
        <v>0</v>
      </c>
      <c r="L28" s="1693">
        <f t="shared" ca="1" si="2"/>
        <v>0</v>
      </c>
      <c r="M28" s="1694"/>
      <c r="N28" s="1695" t="e">
        <f t="shared" ca="1" si="4"/>
        <v>#DIV/0!</v>
      </c>
      <c r="O28" s="1696" t="e">
        <f t="shared" ca="1" si="5"/>
        <v>#DIV/0!</v>
      </c>
      <c r="P28" s="1697" t="e">
        <f ca="1">OFFSET(VentExhCSV_Spc!$B$5,MATCH($C28,VentExhCSV_Spc!$C$6:$C$308,0),P$11)*$I28</f>
        <v>#N/A</v>
      </c>
      <c r="Q28" s="1698" t="str">
        <f t="shared" si="6"/>
        <v>Strs</v>
      </c>
      <c r="R28" s="1699">
        <f t="shared" si="3"/>
        <v>0</v>
      </c>
      <c r="S28" s="1700">
        <f t="shared" si="3"/>
        <v>0</v>
      </c>
      <c r="T28" s="1701">
        <f t="shared" si="3"/>
        <v>0</v>
      </c>
      <c r="U28" s="1702">
        <f t="shared" ca="1" si="7"/>
        <v>0</v>
      </c>
      <c r="V28" s="1702">
        <f t="shared" si="8"/>
        <v>0</v>
      </c>
      <c r="W28" s="1702">
        <f t="shared" ca="1" si="9"/>
        <v>0</v>
      </c>
      <c r="X28" s="1702"/>
      <c r="Y28" s="1702"/>
      <c r="Z28" s="1703" t="e">
        <f ca="1">OFFSET(VentExhCSV_Spc!$B$5,MATCH($C28,VentExhCSV_Spc!$C$6:$C$308,0),Z$11)*$I28</f>
        <v>#N/A</v>
      </c>
      <c r="AD28" s="1490"/>
      <c r="AE28" s="1490"/>
      <c r="AG28" s="124"/>
    </row>
    <row r="29" spans="2:45" s="50" customFormat="1" x14ac:dyDescent="0.3">
      <c r="B29" s="50">
        <f t="shared" si="0"/>
        <v>15</v>
      </c>
      <c r="C29" s="1" t="s">
        <v>1616</v>
      </c>
      <c r="D29" s="1" t="s">
        <v>1610</v>
      </c>
      <c r="E29" s="1" t="s">
        <v>825</v>
      </c>
      <c r="F29" s="1" t="s">
        <v>836</v>
      </c>
      <c r="G29" s="1" t="s">
        <v>1617</v>
      </c>
      <c r="H29" s="1" t="s">
        <v>1818</v>
      </c>
      <c r="I29" t="e">
        <f ca="1">OFFSET(Spaces_Ref,MATCH(Ventilation!$C29,OFFSET(Spaces_Ref,$I$9,$I$10,2000),0),$I$11)</f>
        <v>#N/A</v>
      </c>
      <c r="J29" s="1691">
        <f t="shared" ca="1" si="1"/>
        <v>0</v>
      </c>
      <c r="K29" s="1692">
        <f t="shared" ca="1" si="2"/>
        <v>0</v>
      </c>
      <c r="L29" s="1693">
        <f t="shared" ca="1" si="2"/>
        <v>0</v>
      </c>
      <c r="M29" s="1694"/>
      <c r="N29" s="1695" t="e">
        <f t="shared" ca="1" si="4"/>
        <v>#DIV/0!</v>
      </c>
      <c r="O29" s="1696" t="e">
        <f t="shared" ca="1" si="5"/>
        <v>#DIV/0!</v>
      </c>
      <c r="P29" s="1697" t="e">
        <f ca="1">OFFSET(VentExhCSV_Spc!$B$5,MATCH($C29,VentExhCSV_Spc!$C$6:$C$308,0),P$11)*$I29</f>
        <v>#N/A</v>
      </c>
      <c r="Q29" s="1698" t="str">
        <f t="shared" si="6"/>
        <v>Corr</v>
      </c>
      <c r="R29" s="1699">
        <f t="shared" si="3"/>
        <v>0</v>
      </c>
      <c r="S29" s="1700">
        <f t="shared" si="3"/>
        <v>0</v>
      </c>
      <c r="T29" s="1701">
        <f t="shared" si="3"/>
        <v>0.12</v>
      </c>
      <c r="U29" s="1702">
        <f t="shared" ca="1" si="7"/>
        <v>0</v>
      </c>
      <c r="V29" s="1702">
        <f t="shared" si="8"/>
        <v>0</v>
      </c>
      <c r="W29" s="1702">
        <f t="shared" ca="1" si="9"/>
        <v>0</v>
      </c>
      <c r="X29" s="1702"/>
      <c r="Y29" s="1702"/>
      <c r="Z29" s="1703" t="e">
        <f ca="1">OFFSET(VentExhCSV_Spc!$B$5,MATCH($C29,VentExhCSV_Spc!$C$6:$C$308,0),Z$11)*$I29</f>
        <v>#N/A</v>
      </c>
      <c r="AD29" s="1490"/>
      <c r="AE29" s="1490"/>
      <c r="AG29" s="1493" t="s">
        <v>1453</v>
      </c>
      <c r="AH29" s="165"/>
      <c r="AI29" s="165"/>
      <c r="AJ29" s="165"/>
      <c r="AK29" s="165"/>
      <c r="AL29" s="165"/>
      <c r="AM29" s="165"/>
      <c r="AN29" s="165"/>
      <c r="AO29" s="165"/>
      <c r="AP29" s="1494"/>
      <c r="AQ29" s="1494"/>
      <c r="AR29" s="165"/>
      <c r="AS29" s="1495"/>
    </row>
    <row r="30" spans="2:45" s="50" customFormat="1" x14ac:dyDescent="0.3">
      <c r="B30" s="50">
        <f t="shared" si="0"/>
        <v>16</v>
      </c>
      <c r="C30" s="1" t="s">
        <v>1622</v>
      </c>
      <c r="D30" s="1" t="s">
        <v>1610</v>
      </c>
      <c r="E30" s="1" t="s">
        <v>825</v>
      </c>
      <c r="F30" s="1" t="s">
        <v>841</v>
      </c>
      <c r="G30" s="1" t="s">
        <v>1617</v>
      </c>
      <c r="H30" s="1" t="s">
        <v>1818</v>
      </c>
      <c r="I30" t="e">
        <f ca="1">OFFSET(Spaces_Ref,MATCH(Ventilation!$C30,OFFSET(Spaces_Ref,$I$9,$I$10,2000),0),$I$11)</f>
        <v>#N/A</v>
      </c>
      <c r="J30" s="1691">
        <f t="shared" ca="1" si="1"/>
        <v>0</v>
      </c>
      <c r="K30" s="1692">
        <f t="shared" ca="1" si="2"/>
        <v>0</v>
      </c>
      <c r="L30" s="1693">
        <f t="shared" ca="1" si="2"/>
        <v>0</v>
      </c>
      <c r="M30" s="1694"/>
      <c r="N30" s="1695" t="e">
        <f t="shared" ca="1" si="4"/>
        <v>#DIV/0!</v>
      </c>
      <c r="O30" s="1696" t="e">
        <f t="shared" ca="1" si="5"/>
        <v>#DIV/0!</v>
      </c>
      <c r="P30" s="1697" t="e">
        <f ca="1">OFFSET(VentExhCSV_Spc!$B$5,MATCH($C30,VentExhCSV_Spc!$C$6:$C$308,0),P$11)*$I30</f>
        <v>#N/A</v>
      </c>
      <c r="Q30" s="1698" t="str">
        <f t="shared" si="6"/>
        <v>Strs</v>
      </c>
      <c r="R30" s="1699">
        <f t="shared" si="3"/>
        <v>0</v>
      </c>
      <c r="S30" s="1700">
        <f t="shared" si="3"/>
        <v>0</v>
      </c>
      <c r="T30" s="1701">
        <f t="shared" si="3"/>
        <v>0</v>
      </c>
      <c r="U30" s="1702">
        <f t="shared" ca="1" si="7"/>
        <v>0</v>
      </c>
      <c r="V30" s="1702">
        <f t="shared" si="8"/>
        <v>0</v>
      </c>
      <c r="W30" s="1702">
        <f t="shared" ca="1" si="9"/>
        <v>0</v>
      </c>
      <c r="X30" s="1702"/>
      <c r="Y30" s="1702"/>
      <c r="Z30" s="1703" t="e">
        <f ca="1">OFFSET(VentExhCSV_Spc!$B$5,MATCH($C30,VentExhCSV_Spc!$C$6:$C$308,0),Z$11)*$I30</f>
        <v>#N/A</v>
      </c>
      <c r="AD30" s="1490"/>
      <c r="AE30" s="1490"/>
      <c r="AG30" s="1496" t="s">
        <v>1114</v>
      </c>
      <c r="AH30" t="s">
        <v>1360</v>
      </c>
      <c r="AI30" t="s">
        <v>1116</v>
      </c>
      <c r="AJ30" t="s">
        <v>1361</v>
      </c>
      <c r="AK30" t="s">
        <v>1119</v>
      </c>
      <c r="AL30" t="s">
        <v>1118</v>
      </c>
      <c r="AM30" t="s">
        <v>1120</v>
      </c>
      <c r="AN30" t="s">
        <v>1121</v>
      </c>
      <c r="AO30" t="s">
        <v>1122</v>
      </c>
      <c r="AP30" s="2732" t="s">
        <v>1355</v>
      </c>
      <c r="AQ30" s="2732"/>
      <c r="AR30" t="s">
        <v>1362</v>
      </c>
      <c r="AS30" s="370" t="s">
        <v>48</v>
      </c>
    </row>
    <row r="31" spans="2:45" s="50" customFormat="1" x14ac:dyDescent="0.3">
      <c r="B31" s="50">
        <f t="shared" si="0"/>
        <v>17</v>
      </c>
      <c r="C31" s="1" t="s">
        <v>1623</v>
      </c>
      <c r="D31" s="1" t="s">
        <v>1610</v>
      </c>
      <c r="E31" s="1" t="s">
        <v>825</v>
      </c>
      <c r="F31" s="1" t="s">
        <v>560</v>
      </c>
      <c r="G31" s="1" t="s">
        <v>1617</v>
      </c>
      <c r="H31" s="1" t="s">
        <v>1818</v>
      </c>
      <c r="I31" t="e">
        <f ca="1">OFFSET(Spaces_Ref,MATCH(Ventilation!$C31,OFFSET(Spaces_Ref,$I$9,$I$10,2000),0),$I$11)</f>
        <v>#N/A</v>
      </c>
      <c r="J31" s="1691">
        <f t="shared" ca="1" si="1"/>
        <v>0</v>
      </c>
      <c r="K31" s="1692">
        <f t="shared" ca="1" si="2"/>
        <v>0</v>
      </c>
      <c r="L31" s="1693">
        <f t="shared" ca="1" si="2"/>
        <v>0</v>
      </c>
      <c r="M31" s="1694"/>
      <c r="N31" s="1695" t="e">
        <f t="shared" ca="1" si="4"/>
        <v>#DIV/0!</v>
      </c>
      <c r="O31" s="1696" t="e">
        <f t="shared" ca="1" si="5"/>
        <v>#DIV/0!</v>
      </c>
      <c r="P31" s="1697" t="e">
        <f ca="1">OFFSET(VentExhCSV_Spc!$B$5,MATCH($C31,VentExhCSV_Spc!$C$6:$C$308,0),P$11)*$I31</f>
        <v>#N/A</v>
      </c>
      <c r="Q31" s="1698" t="str">
        <f t="shared" si="6"/>
        <v>Trsh</v>
      </c>
      <c r="R31" s="1699">
        <f t="shared" si="3"/>
        <v>0</v>
      </c>
      <c r="S31" s="1700">
        <f t="shared" si="3"/>
        <v>0</v>
      </c>
      <c r="T31" s="1701">
        <f t="shared" si="3"/>
        <v>0</v>
      </c>
      <c r="U31" s="1702">
        <f t="shared" ca="1" si="7"/>
        <v>0</v>
      </c>
      <c r="V31" s="1702">
        <f t="shared" si="8"/>
        <v>0</v>
      </c>
      <c r="W31" s="1702">
        <f t="shared" ca="1" si="9"/>
        <v>0</v>
      </c>
      <c r="X31" s="1702"/>
      <c r="Y31" s="1702"/>
      <c r="Z31" s="1703" t="e">
        <f ca="1">OFFSET(VentExhCSV_Spc!$B$5,MATCH($C31,VentExhCSV_Spc!$C$6:$C$308,0),Z$11)*$I31</f>
        <v>#N/A</v>
      </c>
      <c r="AD31" s="1490"/>
      <c r="AE31" s="1490"/>
      <c r="AG31" s="1496"/>
      <c r="AH31" t="s">
        <v>302</v>
      </c>
      <c r="AI31" t="s">
        <v>1123</v>
      </c>
      <c r="AJ31"/>
      <c r="AK31" t="s">
        <v>1124</v>
      </c>
      <c r="AL31" t="s">
        <v>625</v>
      </c>
      <c r="AM31" t="s">
        <v>89</v>
      </c>
      <c r="AN31"/>
      <c r="AO31"/>
      <c r="AP31" s="119" t="s">
        <v>1363</v>
      </c>
      <c r="AQ31" s="119" t="s">
        <v>89</v>
      </c>
      <c r="AR31" t="s">
        <v>1363</v>
      </c>
      <c r="AS31" s="370"/>
    </row>
    <row r="32" spans="2:45" s="50" customFormat="1" x14ac:dyDescent="0.3">
      <c r="B32" s="50">
        <f t="shared" si="0"/>
        <v>18</v>
      </c>
      <c r="C32" s="1" t="s">
        <v>1624</v>
      </c>
      <c r="D32" s="1" t="s">
        <v>1610</v>
      </c>
      <c r="E32" s="1" t="s">
        <v>844</v>
      </c>
      <c r="F32" s="1" t="s">
        <v>834</v>
      </c>
      <c r="G32" s="1" t="s">
        <v>1617</v>
      </c>
      <c r="H32" s="1" t="s">
        <v>1818</v>
      </c>
      <c r="I32" t="e">
        <f ca="1">OFFSET(Spaces_Ref,MATCH(Ventilation!$C32,OFFSET(Spaces_Ref,$I$9,$I$10,2000),0),$I$11)</f>
        <v>#N/A</v>
      </c>
      <c r="J32" s="1691">
        <f t="shared" ca="1" si="1"/>
        <v>0</v>
      </c>
      <c r="K32" s="1692">
        <f t="shared" ca="1" si="2"/>
        <v>0</v>
      </c>
      <c r="L32" s="1693">
        <f t="shared" ca="1" si="2"/>
        <v>0</v>
      </c>
      <c r="M32" s="1694"/>
      <c r="N32" s="1695" t="e">
        <f t="shared" ca="1" si="4"/>
        <v>#DIV/0!</v>
      </c>
      <c r="O32" s="1696" t="e">
        <f t="shared" ca="1" si="5"/>
        <v>#DIV/0!</v>
      </c>
      <c r="P32" s="1697" t="e">
        <f ca="1">OFFSET(VentExhCSV_Spc!$B$5,MATCH($C32,VentExhCSV_Spc!$C$6:$C$308,0),P$11)*$I32</f>
        <v>#N/A</v>
      </c>
      <c r="Q32" s="1698" t="str">
        <f t="shared" si="6"/>
        <v>Elev</v>
      </c>
      <c r="R32" s="1699">
        <f t="shared" si="3"/>
        <v>0</v>
      </c>
      <c r="S32" s="1700">
        <f t="shared" si="3"/>
        <v>0</v>
      </c>
      <c r="T32" s="1701">
        <f t="shared" si="3"/>
        <v>0</v>
      </c>
      <c r="U32" s="1702">
        <f t="shared" si="7"/>
        <v>0</v>
      </c>
      <c r="V32" s="1702">
        <f t="shared" ca="1" si="8"/>
        <v>0</v>
      </c>
      <c r="W32" s="1702">
        <f t="shared" ca="1" si="9"/>
        <v>0</v>
      </c>
      <c r="X32" s="1702"/>
      <c r="Y32" s="1702"/>
      <c r="Z32" s="1703" t="e">
        <f ca="1">OFFSET(VentExhCSV_Spc!$B$5,MATCH($C32,VentExhCSV_Spc!$C$6:$C$308,0),Z$11)*$I32</f>
        <v>#N/A</v>
      </c>
      <c r="AD32" s="1490"/>
      <c r="AE32" s="1490"/>
      <c r="AG32" s="1497" t="s">
        <v>860</v>
      </c>
      <c r="AH32" s="663">
        <f>SUMIF(Spaces_Sum!$E$24:$E$52,Ventilation!AG32,Spaces_Sum!$H$24:$H$52)</f>
        <v>0</v>
      </c>
      <c r="AI32" s="1704"/>
      <c r="AJ32" s="1705"/>
      <c r="AK32" s="1705"/>
      <c r="AL32" s="1705"/>
      <c r="AM32" s="1705"/>
      <c r="AN32" s="1705"/>
      <c r="AO32" s="1705"/>
      <c r="AP32" s="1705"/>
      <c r="AQ32" s="1705"/>
      <c r="AR32" s="1705"/>
      <c r="AS32" s="1706"/>
    </row>
    <row r="33" spans="2:45" s="50" customFormat="1" x14ac:dyDescent="0.3">
      <c r="B33" s="50">
        <f t="shared" si="0"/>
        <v>19</v>
      </c>
      <c r="C33" s="1" t="s">
        <v>1625</v>
      </c>
      <c r="D33" s="1" t="s">
        <v>1610</v>
      </c>
      <c r="E33" s="1" t="s">
        <v>844</v>
      </c>
      <c r="F33" s="1" t="s">
        <v>829</v>
      </c>
      <c r="G33" s="1" t="s">
        <v>1617</v>
      </c>
      <c r="H33" s="1" t="s">
        <v>1818</v>
      </c>
      <c r="I33" t="e">
        <f ca="1">OFFSET(Spaces_Ref,MATCH(Ventilation!$C33,OFFSET(Spaces_Ref,$I$9,$I$10,2000),0),$I$11)</f>
        <v>#N/A</v>
      </c>
      <c r="J33" s="1691">
        <f t="shared" ca="1" si="1"/>
        <v>0</v>
      </c>
      <c r="K33" s="1692">
        <f t="shared" ref="K33:L87" ca="1" si="10">SUMIFS(OFFSET(Spaces_Ref,1,K$11,1000),OFFSET(Spaces_Ref,1,K$10,1000),$C33,OFFSET(Spaces_Ref,1,K$9,1000),K$13)</f>
        <v>0</v>
      </c>
      <c r="L33" s="1693">
        <f t="shared" ca="1" si="10"/>
        <v>0</v>
      </c>
      <c r="M33" s="1694"/>
      <c r="N33" s="1695" t="e">
        <f t="shared" ca="1" si="4"/>
        <v>#DIV/0!</v>
      </c>
      <c r="O33" s="1696" t="e">
        <f t="shared" ca="1" si="5"/>
        <v>#DIV/0!</v>
      </c>
      <c r="P33" s="1697" t="e">
        <f ca="1">OFFSET(VentExhCSV_Spc!$B$5,MATCH($C33,VentExhCSV_Spc!$C$6:$C$308,0),P$11)*$I33</f>
        <v>#N/A</v>
      </c>
      <c r="Q33" s="1698" t="str">
        <f t="shared" si="6"/>
        <v>Shft</v>
      </c>
      <c r="R33" s="1699">
        <f t="shared" si="3"/>
        <v>0</v>
      </c>
      <c r="S33" s="1700">
        <f t="shared" si="3"/>
        <v>0</v>
      </c>
      <c r="T33" s="1701">
        <f t="shared" si="3"/>
        <v>0</v>
      </c>
      <c r="U33" s="1702">
        <f t="shared" si="7"/>
        <v>0</v>
      </c>
      <c r="V33" s="1702">
        <f t="shared" ca="1" si="8"/>
        <v>0</v>
      </c>
      <c r="W33" s="1702">
        <f t="shared" ca="1" si="9"/>
        <v>0</v>
      </c>
      <c r="X33" s="1702"/>
      <c r="Y33" s="1702"/>
      <c r="Z33" s="1703" t="e">
        <f ca="1">OFFSET(VentExhCSV_Spc!$B$5,MATCH($C33,VentExhCSV_Spc!$C$6:$C$308,0),Z$11)*$I33</f>
        <v>#N/A</v>
      </c>
      <c r="AD33" s="1490"/>
      <c r="AE33" s="1490"/>
      <c r="AG33" s="1497" t="s">
        <v>876</v>
      </c>
      <c r="AH33" s="663">
        <f ca="1">SUMIF(Spaces_Sum!$E$24:$E$52,Ventilation!AG33,Spaces_Sum!$H$24:$H$52)</f>
        <v>0</v>
      </c>
      <c r="AI33" s="1704"/>
      <c r="AJ33" s="1705"/>
      <c r="AK33" s="1705"/>
      <c r="AL33" s="1705"/>
      <c r="AM33" s="1705"/>
      <c r="AN33" s="1705"/>
      <c r="AO33" s="1705"/>
      <c r="AP33" s="1705"/>
      <c r="AQ33" s="1705"/>
      <c r="AR33" s="1705"/>
      <c r="AS33" s="1706"/>
    </row>
    <row r="34" spans="2:45" s="50" customFormat="1" x14ac:dyDescent="0.3">
      <c r="B34" s="50">
        <f t="shared" si="0"/>
        <v>20</v>
      </c>
      <c r="C34" s="1714" t="s">
        <v>1626</v>
      </c>
      <c r="D34" s="1714" t="s">
        <v>1610</v>
      </c>
      <c r="E34" s="1714" t="s">
        <v>825</v>
      </c>
      <c r="F34" s="1714" t="s">
        <v>841</v>
      </c>
      <c r="G34" s="1714" t="s">
        <v>1617</v>
      </c>
      <c r="H34" s="1714" t="s">
        <v>1818</v>
      </c>
      <c r="I34" t="e">
        <f ca="1">OFFSET(Spaces_Ref,MATCH(Ventilation!$C34,OFFSET(Spaces_Ref,$I$9,$I$10,2000),0),$I$11)</f>
        <v>#N/A</v>
      </c>
      <c r="J34" s="1715">
        <f t="shared" ca="1" si="1"/>
        <v>0</v>
      </c>
      <c r="K34" s="1716">
        <f t="shared" ca="1" si="10"/>
        <v>0</v>
      </c>
      <c r="L34" s="1717">
        <f t="shared" ca="1" si="10"/>
        <v>0</v>
      </c>
      <c r="M34" s="1718"/>
      <c r="N34" s="1719" t="e">
        <f t="shared" ca="1" si="4"/>
        <v>#DIV/0!</v>
      </c>
      <c r="O34" s="1720" t="e">
        <f t="shared" ca="1" si="5"/>
        <v>#DIV/0!</v>
      </c>
      <c r="P34" s="1721" t="e">
        <f ca="1">OFFSET(VentExhCSV_Spc!$B$5,MATCH($C34,VentExhCSV_Spc!$C$6:$C$308,0),P$11)*$I34</f>
        <v>#N/A</v>
      </c>
      <c r="Q34" s="1722" t="str">
        <f t="shared" si="6"/>
        <v>Strs</v>
      </c>
      <c r="R34" s="1723">
        <f t="shared" si="3"/>
        <v>0</v>
      </c>
      <c r="S34" s="1724">
        <f t="shared" si="3"/>
        <v>0</v>
      </c>
      <c r="T34" s="1725">
        <f t="shared" si="3"/>
        <v>0</v>
      </c>
      <c r="U34" s="1726">
        <f t="shared" ca="1" si="7"/>
        <v>0</v>
      </c>
      <c r="V34" s="1726">
        <f t="shared" si="8"/>
        <v>0</v>
      </c>
      <c r="W34" s="1726">
        <f t="shared" ca="1" si="9"/>
        <v>0</v>
      </c>
      <c r="X34" s="1726"/>
      <c r="Y34" s="1726"/>
      <c r="Z34" s="1727" t="e">
        <f ca="1">OFFSET(VentExhCSV_Spc!$B$5,MATCH($C34,VentExhCSV_Spc!$C$6:$C$308,0),Z$11)*$I34</f>
        <v>#N/A</v>
      </c>
      <c r="AC34" s="50">
        <v>1</v>
      </c>
      <c r="AD34" s="1490"/>
      <c r="AE34" s="1490"/>
      <c r="AG34" s="1497" t="s">
        <v>2138</v>
      </c>
      <c r="AH34" s="663">
        <f>SUMIF(Spaces_Sum!$E$24:$E$52,Ventilation!AG34,Spaces_Sum!$H$24:$H$52)</f>
        <v>0</v>
      </c>
      <c r="AI34" s="1">
        <v>30</v>
      </c>
      <c r="AJ34" s="663">
        <f t="shared" ref="AJ34:AJ53" si="11">ROUNDDOWN(AH34/1000*AI34,0)</f>
        <v>0</v>
      </c>
      <c r="AK34" s="1">
        <v>7.5</v>
      </c>
      <c r="AL34" s="1">
        <v>0.06</v>
      </c>
      <c r="AM34" s="1498">
        <f>(AK34*AJ34)+(AL34*AH34)</f>
        <v>0</v>
      </c>
      <c r="AN34" s="1">
        <v>1</v>
      </c>
      <c r="AO34" s="1498">
        <f t="shared" ref="AO34:AO53" si="12">AM34/AN34</f>
        <v>0</v>
      </c>
      <c r="AP34" s="1502">
        <v>0</v>
      </c>
      <c r="AQ34" s="1500"/>
      <c r="AR34" s="1707">
        <f>IFERROR(AO34/AH34 + AP34,0)</f>
        <v>0</v>
      </c>
      <c r="AS34" s="370"/>
    </row>
    <row r="35" spans="2:45" s="50" customFormat="1" x14ac:dyDescent="0.3">
      <c r="B35" s="50">
        <f t="shared" si="0"/>
        <v>21</v>
      </c>
      <c r="C35" s="1728"/>
      <c r="D35" s="377"/>
      <c r="E35" s="377"/>
      <c r="F35" s="377"/>
      <c r="G35" s="377"/>
      <c r="H35" s="377"/>
      <c r="I35" s="377"/>
      <c r="J35" s="377"/>
      <c r="K35" s="377"/>
      <c r="L35" s="377"/>
      <c r="M35" s="377"/>
      <c r="N35" s="377"/>
      <c r="O35" s="377"/>
      <c r="P35" s="377"/>
      <c r="Q35" s="377"/>
      <c r="R35" s="377"/>
      <c r="S35" s="377"/>
      <c r="T35" s="377"/>
      <c r="U35" s="377"/>
      <c r="V35" s="377"/>
      <c r="W35" s="377"/>
      <c r="X35" s="377"/>
      <c r="Y35" s="377"/>
      <c r="Z35" s="1729"/>
      <c r="AC35" s="50">
        <v>1</v>
      </c>
      <c r="AD35" s="1490"/>
      <c r="AE35" s="1490"/>
      <c r="AG35" s="1497" t="s">
        <v>866</v>
      </c>
      <c r="AH35" s="663">
        <f ca="1">SUMIF(Spaces_Sum!$E$24:$E$52,Ventilation!AG35,Spaces_Sum!$H$24:$H$52)</f>
        <v>0</v>
      </c>
      <c r="AI35" s="1">
        <v>0</v>
      </c>
      <c r="AJ35" s="663">
        <f t="shared" ca="1" si="11"/>
        <v>0</v>
      </c>
      <c r="AK35" s="1">
        <v>0</v>
      </c>
      <c r="AL35" s="1">
        <v>0.3</v>
      </c>
      <c r="AM35" s="1498">
        <f t="shared" ref="AM35:AM49" ca="1" si="13">(AK35*AJ35)+(AL35*AH35)</f>
        <v>0</v>
      </c>
      <c r="AN35" s="1">
        <v>1</v>
      </c>
      <c r="AO35" s="1498">
        <f t="shared" ca="1" si="12"/>
        <v>0</v>
      </c>
      <c r="AP35" s="1502">
        <v>0</v>
      </c>
      <c r="AQ35" s="1500"/>
      <c r="AR35" s="1707">
        <f t="shared" ref="AR35:AR49" ca="1" si="14">IFERROR(AO35/AH35 + AP35,0)</f>
        <v>0</v>
      </c>
      <c r="AS35" s="370"/>
    </row>
    <row r="36" spans="2:45" s="50" customFormat="1" x14ac:dyDescent="0.3">
      <c r="B36" s="50">
        <f t="shared" si="0"/>
        <v>22</v>
      </c>
      <c r="C36" s="1677" t="s">
        <v>1821</v>
      </c>
      <c r="D36" s="1678"/>
      <c r="E36" s="1679"/>
      <c r="F36" s="1679"/>
      <c r="G36" s="1679"/>
      <c r="H36" s="1679"/>
      <c r="I36" s="1679"/>
      <c r="J36" s="1680">
        <f ca="1">SUM(J37:J66)</f>
        <v>0</v>
      </c>
      <c r="K36" s="1681">
        <f ca="1">SUM(K37:K66)</f>
        <v>0</v>
      </c>
      <c r="L36" s="1682">
        <f ca="1">SUM(L37:L66)</f>
        <v>0</v>
      </c>
      <c r="M36" s="1683">
        <v>3085</v>
      </c>
      <c r="N36" s="1684" t="e">
        <f ca="1">M36/J36</f>
        <v>#DIV/0!</v>
      </c>
      <c r="O36" s="1684" t="e">
        <f ca="1">M36/K36</f>
        <v>#DIV/0!</v>
      </c>
      <c r="P36" s="1685" t="e">
        <f ca="1">SUM(P37:P66)</f>
        <v>#N/A</v>
      </c>
      <c r="Q36" s="1686"/>
      <c r="R36" s="1687"/>
      <c r="S36" s="1688"/>
      <c r="T36" s="1687"/>
      <c r="U36" s="1681">
        <f ca="1">SUM(U37:U66)</f>
        <v>0</v>
      </c>
      <c r="V36" s="1681">
        <f ca="1">SUM(V37:V66)</f>
        <v>0</v>
      </c>
      <c r="W36" s="1681">
        <f ca="1">SUM(W37:W66)</f>
        <v>0</v>
      </c>
      <c r="X36" s="1689" t="e">
        <f ca="1">W36/J36</f>
        <v>#DIV/0!</v>
      </c>
      <c r="Y36" s="1690" t="e">
        <f ca="1">W36/K36</f>
        <v>#DIV/0!</v>
      </c>
      <c r="Z36" s="1682" t="e">
        <f ca="1">SUM(Z37:Z66)</f>
        <v>#N/A</v>
      </c>
      <c r="AD36" s="1490"/>
      <c r="AE36" s="1490"/>
      <c r="AG36" s="1497" t="s">
        <v>867</v>
      </c>
      <c r="AH36" s="663">
        <f ca="1">SUMIF(Spaces_Sum!$E$24:$E$52,Ventilation!AG36,Spaces_Sum!$H$24:$H$52)</f>
        <v>0</v>
      </c>
      <c r="AI36" s="1">
        <v>0</v>
      </c>
      <c r="AJ36" s="663">
        <f t="shared" ca="1" si="11"/>
        <v>0</v>
      </c>
      <c r="AK36" s="1">
        <v>0</v>
      </c>
      <c r="AL36" s="1">
        <v>0</v>
      </c>
      <c r="AM36" s="1498">
        <f t="shared" ca="1" si="13"/>
        <v>0</v>
      </c>
      <c r="AN36" s="1">
        <v>1</v>
      </c>
      <c r="AO36" s="1498">
        <f t="shared" ca="1" si="12"/>
        <v>0</v>
      </c>
      <c r="AP36" s="1502" t="e">
        <f ca="1">50/AH36</f>
        <v>#DIV/0!</v>
      </c>
      <c r="AQ36" s="1500"/>
      <c r="AR36" s="1707">
        <f t="shared" ca="1" si="14"/>
        <v>0</v>
      </c>
      <c r="AS36" s="370"/>
    </row>
    <row r="37" spans="2:45" s="50" customFormat="1" x14ac:dyDescent="0.3">
      <c r="B37" s="50">
        <f t="shared" si="0"/>
        <v>23</v>
      </c>
      <c r="C37" s="1" t="s">
        <v>1492</v>
      </c>
      <c r="D37" s="1" t="s">
        <v>1373</v>
      </c>
      <c r="E37" s="1" t="s">
        <v>825</v>
      </c>
      <c r="F37" s="1" t="s">
        <v>35</v>
      </c>
      <c r="G37" s="1" t="s">
        <v>1493</v>
      </c>
      <c r="H37" s="1" t="s">
        <v>1821</v>
      </c>
      <c r="I37" t="e">
        <f ca="1">OFFSET(Spaces_Ref,MATCH(Ventilation!$C37,OFFSET(Spaces_Ref,$I$9,$I$10,2000),0),$I$11)</f>
        <v>#N/A</v>
      </c>
      <c r="J37" s="1691">
        <f t="shared" ca="1" si="1"/>
        <v>0</v>
      </c>
      <c r="K37" s="1692">
        <f t="shared" ref="K37:L54" ca="1" si="15">SUMIFS(OFFSET(Spaces_Ref,1,K$11,1000),OFFSET(Spaces_Ref,1,K$10,1000),$C37,OFFSET(Spaces_Ref,1,K$9,1000),K$13)</f>
        <v>0</v>
      </c>
      <c r="L37" s="1693">
        <f t="shared" ca="1" si="15"/>
        <v>0</v>
      </c>
      <c r="M37" s="1694"/>
      <c r="N37" s="1695" t="e">
        <f t="shared" ref="N37:N65" ca="1" si="16">$N$36*J37</f>
        <v>#DIV/0!</v>
      </c>
      <c r="O37" s="1696" t="e">
        <f t="shared" ref="O37:O65" ca="1" si="17">$O$36*K37</f>
        <v>#DIV/0!</v>
      </c>
      <c r="P37" s="1697" t="e">
        <f ca="1">OFFSET(VentExhCSV_Spc!$B$5,MATCH($C37,VentExhCSV_Spc!$C$6:$C$308,0),P$11)*$I37</f>
        <v>#N/A</v>
      </c>
      <c r="Q37" s="1698" t="str">
        <f t="shared" ref="Q37:Q65" si="18">MID(C37,FIND("_",C37)+1,4)</f>
        <v>Lbby</v>
      </c>
      <c r="R37" s="1699">
        <f t="shared" ref="R37:T66" si="19">VLOOKUP($Q37,$AG$32:$AQ$53,R$11,0)</f>
        <v>30</v>
      </c>
      <c r="S37" s="1700">
        <f t="shared" si="19"/>
        <v>7.5</v>
      </c>
      <c r="T37" s="1701">
        <f t="shared" si="19"/>
        <v>0.06</v>
      </c>
      <c r="U37" s="1702">
        <f t="shared" ref="U37:U65" ca="1" si="20">IF($E37="DirectlyConditioned",$R37*$J37/1000*$S37+$T37*$J37,0)</f>
        <v>0</v>
      </c>
      <c r="V37" s="1702">
        <f t="shared" ref="V37:V65" si="21">IF($E37="IndirectlyConditioned",$R37*$J37/1000*$S37+$T37*$J37,0)</f>
        <v>0</v>
      </c>
      <c r="W37" s="1702">
        <f t="shared" ref="W37:W65" ca="1" si="22">SUM(U37:V37)</f>
        <v>0</v>
      </c>
      <c r="X37" s="1702"/>
      <c r="Y37" s="1702"/>
      <c r="Z37" s="1703" t="e">
        <f ca="1">OFFSET(VentExhCSV_Spc!$B$5,MATCH($C37,VentExhCSV_Spc!$C$6:$C$308,0),Z$11)*$I37</f>
        <v>#N/A</v>
      </c>
      <c r="AC37" s="50">
        <v>1</v>
      </c>
      <c r="AD37" s="1490"/>
      <c r="AE37" s="1490"/>
      <c r="AG37" s="1497" t="s">
        <v>864</v>
      </c>
      <c r="AH37" s="663">
        <f ca="1">SUMIF(Spaces_Sum!$E$24:$E$52,Ventilation!AG37,Spaces_Sum!$H$24:$H$52)</f>
        <v>0</v>
      </c>
      <c r="AI37" s="1">
        <v>30</v>
      </c>
      <c r="AJ37" s="663">
        <f t="shared" ca="1" si="11"/>
        <v>0</v>
      </c>
      <c r="AK37" s="1">
        <v>7.5</v>
      </c>
      <c r="AL37" s="1">
        <v>0.06</v>
      </c>
      <c r="AM37" s="1498">
        <f t="shared" ca="1" si="13"/>
        <v>0</v>
      </c>
      <c r="AN37" s="1">
        <v>1</v>
      </c>
      <c r="AO37" s="1498">
        <f t="shared" ca="1" si="12"/>
        <v>0</v>
      </c>
      <c r="AP37" s="1502">
        <v>0</v>
      </c>
      <c r="AQ37" s="1500"/>
      <c r="AR37" s="1707">
        <f t="shared" ca="1" si="14"/>
        <v>0</v>
      </c>
      <c r="AS37" s="370"/>
    </row>
    <row r="38" spans="2:45" s="50" customFormat="1" x14ac:dyDescent="0.3">
      <c r="B38" s="50">
        <f t="shared" si="0"/>
        <v>24</v>
      </c>
      <c r="C38" s="1" t="s">
        <v>1497</v>
      </c>
      <c r="D38" s="1" t="s">
        <v>1373</v>
      </c>
      <c r="E38" s="1" t="s">
        <v>844</v>
      </c>
      <c r="F38" s="1" t="s">
        <v>834</v>
      </c>
      <c r="G38" s="1" t="s">
        <v>1493</v>
      </c>
      <c r="H38" s="1" t="s">
        <v>1821</v>
      </c>
      <c r="I38" t="e">
        <f ca="1">OFFSET(Spaces_Ref,MATCH(Ventilation!$C38,OFFSET(Spaces_Ref,$I$9,$I$10,2000),0),$I$11)</f>
        <v>#N/A</v>
      </c>
      <c r="J38" s="1691">
        <f t="shared" ca="1" si="1"/>
        <v>0</v>
      </c>
      <c r="K38" s="1692">
        <f t="shared" ca="1" si="15"/>
        <v>0</v>
      </c>
      <c r="L38" s="1693">
        <f t="shared" ca="1" si="15"/>
        <v>0</v>
      </c>
      <c r="M38" s="1694"/>
      <c r="N38" s="1695" t="e">
        <f t="shared" ca="1" si="16"/>
        <v>#DIV/0!</v>
      </c>
      <c r="O38" s="1696" t="e">
        <f t="shared" ca="1" si="17"/>
        <v>#DIV/0!</v>
      </c>
      <c r="P38" s="1697" t="e">
        <f ca="1">OFFSET(VentExhCSV_Spc!$B$5,MATCH($C38,VentExhCSV_Spc!$C$6:$C$308,0),P$11)*$I38</f>
        <v>#N/A</v>
      </c>
      <c r="Q38" s="1698" t="str">
        <f t="shared" si="18"/>
        <v>Elev</v>
      </c>
      <c r="R38" s="1699">
        <f t="shared" si="19"/>
        <v>0</v>
      </c>
      <c r="S38" s="1700">
        <f t="shared" si="19"/>
        <v>0</v>
      </c>
      <c r="T38" s="1701">
        <f t="shared" si="19"/>
        <v>0</v>
      </c>
      <c r="U38" s="1702">
        <f t="shared" si="20"/>
        <v>0</v>
      </c>
      <c r="V38" s="1702">
        <f t="shared" ca="1" si="21"/>
        <v>0</v>
      </c>
      <c r="W38" s="1702">
        <f t="shared" ca="1" si="22"/>
        <v>0</v>
      </c>
      <c r="X38" s="1702"/>
      <c r="Y38" s="1702"/>
      <c r="Z38" s="1703" t="e">
        <f ca="1">OFFSET(VentExhCSV_Spc!$B$5,MATCH($C38,VentExhCSV_Spc!$C$6:$C$308,0),Z$11)*$I38</f>
        <v>#N/A</v>
      </c>
      <c r="AD38" s="1490"/>
      <c r="AE38" s="1490"/>
      <c r="AG38" s="1497" t="s">
        <v>861</v>
      </c>
      <c r="AH38" s="663">
        <f ca="1">SUMIF(Spaces_Sum!$E$24:$E$52,Ventilation!AG38,Spaces_Sum!$H$24:$H$52)</f>
        <v>10335.684999999999</v>
      </c>
      <c r="AI38" s="1"/>
      <c r="AJ38" s="663">
        <f t="shared" ca="1" si="11"/>
        <v>0</v>
      </c>
      <c r="AK38" s="1">
        <v>0</v>
      </c>
      <c r="AL38" s="1">
        <v>0.12</v>
      </c>
      <c r="AM38" s="1498">
        <f t="shared" ca="1" si="13"/>
        <v>1240.2821999999999</v>
      </c>
      <c r="AN38" s="1">
        <v>1</v>
      </c>
      <c r="AO38" s="1498">
        <f t="shared" ca="1" si="12"/>
        <v>1240.2821999999999</v>
      </c>
      <c r="AP38" s="1502">
        <v>0</v>
      </c>
      <c r="AQ38" s="1500"/>
      <c r="AR38" s="1707">
        <f t="shared" ca="1" si="14"/>
        <v>0.12</v>
      </c>
      <c r="AS38" s="370"/>
    </row>
    <row r="39" spans="2:45" s="50" customFormat="1" x14ac:dyDescent="0.3">
      <c r="B39" s="50">
        <f t="shared" si="0"/>
        <v>25</v>
      </c>
      <c r="C39" s="1" t="s">
        <v>1722</v>
      </c>
      <c r="D39" s="1" t="s">
        <v>1723</v>
      </c>
      <c r="E39" s="1" t="s">
        <v>825</v>
      </c>
      <c r="F39" s="1" t="s">
        <v>836</v>
      </c>
      <c r="G39" s="1" t="s">
        <v>1724</v>
      </c>
      <c r="H39" s="1" t="s">
        <v>1821</v>
      </c>
      <c r="I39" t="e">
        <f ca="1">OFFSET(Spaces_Ref,MATCH(Ventilation!$C39,OFFSET(Spaces_Ref,$I$9,$I$10,2000),0),$I$11)</f>
        <v>#N/A</v>
      </c>
      <c r="J39" s="1691">
        <f t="shared" ca="1" si="1"/>
        <v>0</v>
      </c>
      <c r="K39" s="1692">
        <f t="shared" ca="1" si="15"/>
        <v>0</v>
      </c>
      <c r="L39" s="1693">
        <f t="shared" ca="1" si="15"/>
        <v>0</v>
      </c>
      <c r="M39" s="1694"/>
      <c r="N39" s="1695" t="e">
        <f t="shared" ca="1" si="16"/>
        <v>#DIV/0!</v>
      </c>
      <c r="O39" s="1696" t="e">
        <f t="shared" ca="1" si="17"/>
        <v>#DIV/0!</v>
      </c>
      <c r="P39" s="1697" t="e">
        <f ca="1">OFFSET(VentExhCSV_Spc!$B$5,MATCH($C39,VentExhCSV_Spc!$C$6:$C$308,0),P$11)*$I39</f>
        <v>#N/A</v>
      </c>
      <c r="Q39" s="1698" t="str">
        <f t="shared" si="18"/>
        <v>Corr</v>
      </c>
      <c r="R39" s="1699">
        <f t="shared" si="19"/>
        <v>0</v>
      </c>
      <c r="S39" s="1700">
        <f t="shared" si="19"/>
        <v>0</v>
      </c>
      <c r="T39" s="1701">
        <f t="shared" si="19"/>
        <v>0.12</v>
      </c>
      <c r="U39" s="1702">
        <f t="shared" ca="1" si="20"/>
        <v>0</v>
      </c>
      <c r="V39" s="1702">
        <f t="shared" si="21"/>
        <v>0</v>
      </c>
      <c r="W39" s="1702">
        <f t="shared" ca="1" si="22"/>
        <v>0</v>
      </c>
      <c r="X39" s="1702"/>
      <c r="Y39" s="1702"/>
      <c r="Z39" s="1703" t="e">
        <f ca="1">OFFSET(VentExhCSV_Spc!$B$5,MATCH($C39,VentExhCSV_Spc!$C$6:$C$308,0),Z$11)*$I39</f>
        <v>#N/A</v>
      </c>
      <c r="AC39" s="50">
        <v>1</v>
      </c>
      <c r="AD39" s="1490"/>
      <c r="AE39" s="1490"/>
      <c r="AG39" s="1497" t="s">
        <v>862</v>
      </c>
      <c r="AH39" s="663">
        <f ca="1">SUMIF(Spaces_Sum!$E$24:$E$52,Ventilation!AG39,Spaces_Sum!$H$24:$H$52)</f>
        <v>3788.8861999999999</v>
      </c>
      <c r="AI39" s="1"/>
      <c r="AJ39" s="663">
        <f t="shared" ca="1" si="11"/>
        <v>0</v>
      </c>
      <c r="AK39" s="1">
        <v>0</v>
      </c>
      <c r="AL39" s="1">
        <v>0</v>
      </c>
      <c r="AM39" s="1498">
        <f t="shared" ca="1" si="13"/>
        <v>0</v>
      </c>
      <c r="AN39" s="1">
        <v>1</v>
      </c>
      <c r="AO39" s="1498">
        <f t="shared" ca="1" si="12"/>
        <v>0</v>
      </c>
      <c r="AP39" s="1502">
        <v>0</v>
      </c>
      <c r="AQ39" s="1500"/>
      <c r="AR39" s="1707">
        <f t="shared" ca="1" si="14"/>
        <v>0</v>
      </c>
      <c r="AS39" s="370"/>
    </row>
    <row r="40" spans="2:45" s="50" customFormat="1" x14ac:dyDescent="0.3">
      <c r="B40" s="50">
        <f t="shared" si="0"/>
        <v>26</v>
      </c>
      <c r="C40" s="1" t="s">
        <v>1725</v>
      </c>
      <c r="D40" s="1" t="s">
        <v>1723</v>
      </c>
      <c r="E40" s="1" t="s">
        <v>844</v>
      </c>
      <c r="F40" s="1" t="s">
        <v>837</v>
      </c>
      <c r="G40" s="1" t="s">
        <v>1724</v>
      </c>
      <c r="H40" s="1" t="s">
        <v>1821</v>
      </c>
      <c r="I40" t="e">
        <f ca="1">OFFSET(Spaces_Ref,MATCH(Ventilation!$C40,OFFSET(Spaces_Ref,$I$9,$I$10,2000),0),$I$11)</f>
        <v>#N/A</v>
      </c>
      <c r="J40" s="1691">
        <f t="shared" ca="1" si="1"/>
        <v>0</v>
      </c>
      <c r="K40" s="1692">
        <f t="shared" ca="1" si="15"/>
        <v>0</v>
      </c>
      <c r="L40" s="1693">
        <f t="shared" ca="1" si="15"/>
        <v>0</v>
      </c>
      <c r="M40" s="1694"/>
      <c r="N40" s="1695" t="e">
        <f t="shared" ca="1" si="16"/>
        <v>#DIV/0!</v>
      </c>
      <c r="O40" s="1696" t="e">
        <f t="shared" ca="1" si="17"/>
        <v>#DIV/0!</v>
      </c>
      <c r="P40" s="1697" t="e">
        <f ca="1">OFFSET(VentExhCSV_Spc!$B$5,MATCH($C40,VentExhCSV_Spc!$C$6:$C$308,0),P$11)*$I40</f>
        <v>#N/A</v>
      </c>
      <c r="Q40" s="1698" t="str">
        <f t="shared" si="18"/>
        <v>Mech</v>
      </c>
      <c r="R40" s="1699">
        <f t="shared" si="19"/>
        <v>0</v>
      </c>
      <c r="S40" s="1700">
        <f t="shared" si="19"/>
        <v>0</v>
      </c>
      <c r="T40" s="1701">
        <f t="shared" si="19"/>
        <v>0</v>
      </c>
      <c r="U40" s="1702">
        <f t="shared" si="20"/>
        <v>0</v>
      </c>
      <c r="V40" s="1702">
        <f t="shared" ca="1" si="21"/>
        <v>0</v>
      </c>
      <c r="W40" s="1702">
        <f t="shared" ca="1" si="22"/>
        <v>0</v>
      </c>
      <c r="X40" s="1702"/>
      <c r="Y40" s="1702"/>
      <c r="Z40" s="1703" t="e">
        <f ca="1">OFFSET(VentExhCSV_Spc!$B$5,MATCH($C40,VentExhCSV_Spc!$C$6:$C$308,0),Z$11)*$I40</f>
        <v>#N/A</v>
      </c>
      <c r="AD40" s="1490"/>
      <c r="AE40" s="1490"/>
      <c r="AG40" s="1497" t="s">
        <v>863</v>
      </c>
      <c r="AH40" s="663">
        <f ca="1">SUMIF(Spaces_Sum!$E$24:$E$52,Ventilation!AG40,Spaces_Sum!$H$24:$H$52)</f>
        <v>1350.7968000000001</v>
      </c>
      <c r="AI40" s="1">
        <v>30</v>
      </c>
      <c r="AJ40" s="663">
        <f t="shared" ca="1" si="11"/>
        <v>40</v>
      </c>
      <c r="AK40" s="1">
        <v>7.5</v>
      </c>
      <c r="AL40" s="1">
        <v>0.06</v>
      </c>
      <c r="AM40" s="1498">
        <f t="shared" ca="1" si="13"/>
        <v>381.04780800000003</v>
      </c>
      <c r="AN40" s="1">
        <v>1</v>
      </c>
      <c r="AO40" s="1498">
        <f t="shared" ca="1" si="12"/>
        <v>381.04780800000003</v>
      </c>
      <c r="AP40" s="1502">
        <v>0</v>
      </c>
      <c r="AQ40" s="1500"/>
      <c r="AR40" s="1707">
        <f t="shared" ca="1" si="14"/>
        <v>0.2820911390965688</v>
      </c>
      <c r="AS40" s="370"/>
    </row>
    <row r="41" spans="2:45" s="50" customFormat="1" x14ac:dyDescent="0.3">
      <c r="B41" s="50">
        <f t="shared" si="0"/>
        <v>27</v>
      </c>
      <c r="C41" s="1" t="s">
        <v>1728</v>
      </c>
      <c r="D41" s="1" t="s">
        <v>1723</v>
      </c>
      <c r="E41" s="1" t="s">
        <v>844</v>
      </c>
      <c r="F41" s="1" t="s">
        <v>841</v>
      </c>
      <c r="G41" s="1" t="s">
        <v>1724</v>
      </c>
      <c r="H41" s="1" t="s">
        <v>1821</v>
      </c>
      <c r="I41" t="e">
        <f ca="1">OFFSET(Spaces_Ref,MATCH(Ventilation!$C41,OFFSET(Spaces_Ref,$I$9,$I$10,2000),0),$I$11)</f>
        <v>#N/A</v>
      </c>
      <c r="J41" s="1691">
        <f t="shared" ca="1" si="1"/>
        <v>0</v>
      </c>
      <c r="K41" s="1692">
        <f t="shared" ca="1" si="15"/>
        <v>0</v>
      </c>
      <c r="L41" s="1693">
        <f t="shared" ca="1" si="15"/>
        <v>0</v>
      </c>
      <c r="M41" s="1694"/>
      <c r="N41" s="1695" t="e">
        <f t="shared" ca="1" si="16"/>
        <v>#DIV/0!</v>
      </c>
      <c r="O41" s="1696" t="e">
        <f t="shared" ca="1" si="17"/>
        <v>#DIV/0!</v>
      </c>
      <c r="P41" s="1697" t="e">
        <f ca="1">OFFSET(VentExhCSV_Spc!$B$5,MATCH($C41,VentExhCSV_Spc!$C$6:$C$308,0),P$11)*$I41</f>
        <v>#N/A</v>
      </c>
      <c r="Q41" s="1698" t="str">
        <f t="shared" si="18"/>
        <v>Strs</v>
      </c>
      <c r="R41" s="1699">
        <f t="shared" si="19"/>
        <v>0</v>
      </c>
      <c r="S41" s="1700">
        <f t="shared" si="19"/>
        <v>0</v>
      </c>
      <c r="T41" s="1701">
        <f t="shared" si="19"/>
        <v>0</v>
      </c>
      <c r="U41" s="1702">
        <f t="shared" si="20"/>
        <v>0</v>
      </c>
      <c r="V41" s="1702">
        <f t="shared" ca="1" si="21"/>
        <v>0</v>
      </c>
      <c r="W41" s="1702">
        <f t="shared" ca="1" si="22"/>
        <v>0</v>
      </c>
      <c r="X41" s="1702"/>
      <c r="Y41" s="1702"/>
      <c r="Z41" s="1703" t="e">
        <f ca="1">OFFSET(VentExhCSV_Spc!$B$5,MATCH($C41,VentExhCSV_Spc!$C$6:$C$308,0),Z$11)*$I41</f>
        <v>#N/A</v>
      </c>
      <c r="AC41" s="50">
        <v>1</v>
      </c>
      <c r="AD41" s="1490"/>
      <c r="AE41" s="1490"/>
      <c r="AG41" s="1497" t="s">
        <v>868</v>
      </c>
      <c r="AH41" s="663">
        <f ca="1">SUMIF(Spaces_Sum!$E$24:$E$52,Ventilation!AG41,Spaces_Sum!$H$24:$H$52)</f>
        <v>0</v>
      </c>
      <c r="AI41" s="1"/>
      <c r="AJ41" s="663">
        <f t="shared" ca="1" si="11"/>
        <v>0</v>
      </c>
      <c r="AK41" s="1">
        <v>0</v>
      </c>
      <c r="AL41" s="1">
        <v>0</v>
      </c>
      <c r="AM41" s="1498">
        <f t="shared" ca="1" si="13"/>
        <v>0</v>
      </c>
      <c r="AN41" s="1">
        <v>1</v>
      </c>
      <c r="AO41" s="1498">
        <f t="shared" ca="1" si="12"/>
        <v>0</v>
      </c>
      <c r="AP41" s="1502">
        <v>0</v>
      </c>
      <c r="AQ41" s="1500"/>
      <c r="AR41" s="1707">
        <f t="shared" ca="1" si="14"/>
        <v>0</v>
      </c>
      <c r="AS41" s="370"/>
    </row>
    <row r="42" spans="2:45" s="50" customFormat="1" x14ac:dyDescent="0.3">
      <c r="B42" s="50">
        <f t="shared" si="0"/>
        <v>28</v>
      </c>
      <c r="C42" s="1" t="s">
        <v>1733</v>
      </c>
      <c r="D42" s="1" t="s">
        <v>1723</v>
      </c>
      <c r="E42" s="1" t="s">
        <v>844</v>
      </c>
      <c r="F42" s="1" t="s">
        <v>834</v>
      </c>
      <c r="G42" s="1" t="s">
        <v>1724</v>
      </c>
      <c r="H42" s="1" t="s">
        <v>1821</v>
      </c>
      <c r="I42" t="e">
        <f ca="1">OFFSET(Spaces_Ref,MATCH(Ventilation!$C42,OFFSET(Spaces_Ref,$I$9,$I$10,2000),0),$I$11)</f>
        <v>#N/A</v>
      </c>
      <c r="J42" s="1691">
        <f t="shared" ca="1" si="1"/>
        <v>0</v>
      </c>
      <c r="K42" s="1692">
        <f t="shared" ca="1" si="15"/>
        <v>0</v>
      </c>
      <c r="L42" s="1693">
        <f t="shared" ca="1" si="15"/>
        <v>0</v>
      </c>
      <c r="M42" s="1694"/>
      <c r="N42" s="1695" t="e">
        <f t="shared" ca="1" si="16"/>
        <v>#DIV/0!</v>
      </c>
      <c r="O42" s="1696" t="e">
        <f t="shared" ca="1" si="17"/>
        <v>#DIV/0!</v>
      </c>
      <c r="P42" s="1697" t="e">
        <f ca="1">OFFSET(VentExhCSV_Spc!$B$5,MATCH($C42,VentExhCSV_Spc!$C$6:$C$308,0),P$11)*$I42</f>
        <v>#N/A</v>
      </c>
      <c r="Q42" s="1698" t="str">
        <f t="shared" si="18"/>
        <v>Elev</v>
      </c>
      <c r="R42" s="1699">
        <f t="shared" si="19"/>
        <v>0</v>
      </c>
      <c r="S42" s="1700">
        <f t="shared" si="19"/>
        <v>0</v>
      </c>
      <c r="T42" s="1701">
        <f t="shared" si="19"/>
        <v>0</v>
      </c>
      <c r="U42" s="1702">
        <f t="shared" si="20"/>
        <v>0</v>
      </c>
      <c r="V42" s="1702">
        <f t="shared" ca="1" si="21"/>
        <v>0</v>
      </c>
      <c r="W42" s="1702">
        <f t="shared" ca="1" si="22"/>
        <v>0</v>
      </c>
      <c r="X42" s="1702"/>
      <c r="Y42" s="1702"/>
      <c r="Z42" s="1703" t="e">
        <f ca="1">OFFSET(VentExhCSV_Spc!$B$5,MATCH($C42,VentExhCSV_Spc!$C$6:$C$308,0),Z$11)*$I42</f>
        <v>#N/A</v>
      </c>
      <c r="AD42" s="1490"/>
      <c r="AE42" s="1490"/>
      <c r="AG42" s="1497" t="s">
        <v>865</v>
      </c>
      <c r="AH42" s="663">
        <f ca="1">SUMIF(Spaces_Sum!$E$24:$E$52,Ventilation!AG42,Spaces_Sum!$H$24:$H$52)</f>
        <v>641.20320000000004</v>
      </c>
      <c r="AI42" s="1">
        <v>5</v>
      </c>
      <c r="AJ42" s="663">
        <f t="shared" ca="1" si="11"/>
        <v>3</v>
      </c>
      <c r="AK42" s="1">
        <v>5</v>
      </c>
      <c r="AL42" s="1">
        <v>0.06</v>
      </c>
      <c r="AM42" s="1498">
        <f t="shared" ca="1" si="13"/>
        <v>53.472192</v>
      </c>
      <c r="AN42" s="1">
        <v>1</v>
      </c>
      <c r="AO42" s="1498">
        <f t="shared" ca="1" si="12"/>
        <v>53.472192</v>
      </c>
      <c r="AP42" s="1502">
        <v>0</v>
      </c>
      <c r="AQ42" s="1500"/>
      <c r="AR42" s="1707">
        <f t="shared" ca="1" si="14"/>
        <v>8.3393520182057729E-2</v>
      </c>
      <c r="AS42" s="370"/>
    </row>
    <row r="43" spans="2:45" s="50" customFormat="1" x14ac:dyDescent="0.3">
      <c r="B43" s="50">
        <f t="shared" si="0"/>
        <v>29</v>
      </c>
      <c r="C43" s="1" t="s">
        <v>1734</v>
      </c>
      <c r="D43" s="1" t="s">
        <v>1723</v>
      </c>
      <c r="E43" s="1" t="s">
        <v>844</v>
      </c>
      <c r="F43" s="1" t="s">
        <v>834</v>
      </c>
      <c r="G43" s="1" t="s">
        <v>1724</v>
      </c>
      <c r="H43" s="1" t="s">
        <v>1821</v>
      </c>
      <c r="I43" t="e">
        <f ca="1">OFFSET(Spaces_Ref,MATCH(Ventilation!$C43,OFFSET(Spaces_Ref,$I$9,$I$10,2000),0),$I$11)</f>
        <v>#N/A</v>
      </c>
      <c r="J43" s="1691">
        <f t="shared" ca="1" si="1"/>
        <v>0</v>
      </c>
      <c r="K43" s="1692">
        <f t="shared" ca="1" si="15"/>
        <v>0</v>
      </c>
      <c r="L43" s="1693">
        <f t="shared" ca="1" si="15"/>
        <v>0</v>
      </c>
      <c r="M43" s="1694"/>
      <c r="N43" s="1695" t="e">
        <f t="shared" ca="1" si="16"/>
        <v>#DIV/0!</v>
      </c>
      <c r="O43" s="1696" t="e">
        <f t="shared" ca="1" si="17"/>
        <v>#DIV/0!</v>
      </c>
      <c r="P43" s="1697" t="e">
        <f ca="1">OFFSET(VentExhCSV_Spc!$B$5,MATCH($C43,VentExhCSV_Spc!$C$6:$C$308,0),P$11)*$I43</f>
        <v>#N/A</v>
      </c>
      <c r="Q43" s="1698" t="str">
        <f t="shared" si="18"/>
        <v>Elev</v>
      </c>
      <c r="R43" s="1699">
        <f t="shared" si="19"/>
        <v>0</v>
      </c>
      <c r="S43" s="1700">
        <f t="shared" si="19"/>
        <v>0</v>
      </c>
      <c r="T43" s="1701">
        <f t="shared" si="19"/>
        <v>0</v>
      </c>
      <c r="U43" s="1702">
        <f t="shared" si="20"/>
        <v>0</v>
      </c>
      <c r="V43" s="1702">
        <f t="shared" ca="1" si="21"/>
        <v>0</v>
      </c>
      <c r="W43" s="1702">
        <f t="shared" ca="1" si="22"/>
        <v>0</v>
      </c>
      <c r="X43" s="1702"/>
      <c r="Y43" s="1702"/>
      <c r="Z43" s="1703" t="e">
        <f ca="1">OFFSET(VentExhCSV_Spc!$B$5,MATCH($C43,VentExhCSV_Spc!$C$6:$C$308,0),Z$11)*$I43</f>
        <v>#N/A</v>
      </c>
      <c r="AD43" s="1490"/>
      <c r="AE43" s="1490"/>
      <c r="AG43" s="1497" t="s">
        <v>1011</v>
      </c>
      <c r="AH43" s="663">
        <f ca="1">SUMIF(Spaces_Sum!$E$24:$E$52,Ventilation!AG43,Spaces_Sum!$H$24:$H$52)</f>
        <v>7487.0558999999994</v>
      </c>
      <c r="AI43" s="1"/>
      <c r="AJ43" s="663">
        <f t="shared" ca="1" si="11"/>
        <v>0</v>
      </c>
      <c r="AK43" s="1">
        <v>0</v>
      </c>
      <c r="AL43" s="1">
        <v>0</v>
      </c>
      <c r="AM43" s="1498">
        <f t="shared" ca="1" si="13"/>
        <v>0</v>
      </c>
      <c r="AN43" s="1">
        <v>1</v>
      </c>
      <c r="AO43" s="1498">
        <f t="shared" ca="1" si="12"/>
        <v>0</v>
      </c>
      <c r="AP43" s="1502">
        <v>0</v>
      </c>
      <c r="AQ43" s="1500"/>
      <c r="AR43" s="1707">
        <f t="shared" ca="1" si="14"/>
        <v>0</v>
      </c>
      <c r="AS43" s="370"/>
    </row>
    <row r="44" spans="2:45" s="50" customFormat="1" x14ac:dyDescent="0.3">
      <c r="B44" s="50">
        <f t="shared" si="0"/>
        <v>30</v>
      </c>
      <c r="C44" s="1" t="s">
        <v>1735</v>
      </c>
      <c r="D44" s="1" t="s">
        <v>1723</v>
      </c>
      <c r="E44" s="1" t="s">
        <v>844</v>
      </c>
      <c r="F44" s="1" t="s">
        <v>841</v>
      </c>
      <c r="G44" s="1" t="s">
        <v>1724</v>
      </c>
      <c r="H44" s="1" t="s">
        <v>1821</v>
      </c>
      <c r="I44" t="e">
        <f ca="1">OFFSET(Spaces_Ref,MATCH(Ventilation!$C44,OFFSET(Spaces_Ref,$I$9,$I$10,2000),0),$I$11)</f>
        <v>#N/A</v>
      </c>
      <c r="J44" s="1691">
        <f t="shared" ca="1" si="1"/>
        <v>0</v>
      </c>
      <c r="K44" s="1692">
        <f t="shared" ca="1" si="15"/>
        <v>0</v>
      </c>
      <c r="L44" s="1693">
        <f t="shared" ca="1" si="15"/>
        <v>0</v>
      </c>
      <c r="M44" s="1694"/>
      <c r="N44" s="1695" t="e">
        <f t="shared" ca="1" si="16"/>
        <v>#DIV/0!</v>
      </c>
      <c r="O44" s="1696" t="e">
        <f t="shared" ca="1" si="17"/>
        <v>#DIV/0!</v>
      </c>
      <c r="P44" s="1697" t="e">
        <f ca="1">OFFSET(VentExhCSV_Spc!$B$5,MATCH($C44,VentExhCSV_Spc!$C$6:$C$308,0),P$11)*$I44</f>
        <v>#N/A</v>
      </c>
      <c r="Q44" s="1698" t="str">
        <f t="shared" si="18"/>
        <v>Strs</v>
      </c>
      <c r="R44" s="1699">
        <f t="shared" si="19"/>
        <v>0</v>
      </c>
      <c r="S44" s="1700">
        <f t="shared" si="19"/>
        <v>0</v>
      </c>
      <c r="T44" s="1701">
        <f t="shared" si="19"/>
        <v>0</v>
      </c>
      <c r="U44" s="1702">
        <f t="shared" si="20"/>
        <v>0</v>
      </c>
      <c r="V44" s="1702">
        <f t="shared" ca="1" si="21"/>
        <v>0</v>
      </c>
      <c r="W44" s="1702">
        <f t="shared" ca="1" si="22"/>
        <v>0</v>
      </c>
      <c r="X44" s="1702"/>
      <c r="Y44" s="1702"/>
      <c r="Z44" s="1703" t="e">
        <f ca="1">OFFSET(VentExhCSV_Spc!$B$5,MATCH($C44,VentExhCSV_Spc!$C$6:$C$308,0),Z$11)*$I44</f>
        <v>#N/A</v>
      </c>
      <c r="AB44" s="501"/>
      <c r="AD44" s="1490"/>
      <c r="AE44" s="1490"/>
      <c r="AG44" s="1497" t="s">
        <v>869</v>
      </c>
      <c r="AH44" s="663">
        <f ca="1">SUMIF(Spaces_Sum!$E$24:$E$52,Ventilation!AG44,Spaces_Sum!$H$24:$H$52)</f>
        <v>0</v>
      </c>
      <c r="AI44" s="1"/>
      <c r="AJ44" s="663">
        <f t="shared" ca="1" si="11"/>
        <v>0</v>
      </c>
      <c r="AK44" s="1">
        <v>0</v>
      </c>
      <c r="AL44" s="1">
        <v>0</v>
      </c>
      <c r="AM44" s="1498">
        <f t="shared" ca="1" si="13"/>
        <v>0</v>
      </c>
      <c r="AN44" s="1">
        <v>1</v>
      </c>
      <c r="AO44" s="1498">
        <f t="shared" ca="1" si="12"/>
        <v>0</v>
      </c>
      <c r="AP44" s="1502">
        <v>0.75</v>
      </c>
      <c r="AQ44" s="1500"/>
      <c r="AR44" s="1707">
        <f t="shared" ca="1" si="14"/>
        <v>0</v>
      </c>
      <c r="AS44" s="370"/>
    </row>
    <row r="45" spans="2:45" s="50" customFormat="1" x14ac:dyDescent="0.3">
      <c r="B45" s="50">
        <f t="shared" si="0"/>
        <v>31</v>
      </c>
      <c r="C45" s="1" t="s">
        <v>1736</v>
      </c>
      <c r="D45" s="1" t="s">
        <v>1723</v>
      </c>
      <c r="E45" s="1" t="s">
        <v>825</v>
      </c>
      <c r="F45" s="1" t="s">
        <v>560</v>
      </c>
      <c r="G45" s="1" t="s">
        <v>1724</v>
      </c>
      <c r="H45" s="1" t="s">
        <v>1821</v>
      </c>
      <c r="I45" t="e">
        <f ca="1">OFFSET(Spaces_Ref,MATCH(Ventilation!$C45,OFFSET(Spaces_Ref,$I$9,$I$10,2000),0),$I$11)</f>
        <v>#N/A</v>
      </c>
      <c r="J45" s="1691">
        <f t="shared" ca="1" si="1"/>
        <v>0</v>
      </c>
      <c r="K45" s="1692">
        <f t="shared" ca="1" si="15"/>
        <v>0</v>
      </c>
      <c r="L45" s="1693">
        <f t="shared" ca="1" si="15"/>
        <v>0</v>
      </c>
      <c r="M45" s="1694"/>
      <c r="N45" s="1695" t="e">
        <f t="shared" ca="1" si="16"/>
        <v>#DIV/0!</v>
      </c>
      <c r="O45" s="1696" t="e">
        <f t="shared" ca="1" si="17"/>
        <v>#DIV/0!</v>
      </c>
      <c r="P45" s="1697" t="e">
        <f ca="1">OFFSET(VentExhCSV_Spc!$B$5,MATCH($C45,VentExhCSV_Spc!$C$6:$C$308,0),P$11)*$I45</f>
        <v>#N/A</v>
      </c>
      <c r="Q45" s="1698" t="str">
        <f t="shared" si="18"/>
        <v>Trsh</v>
      </c>
      <c r="R45" s="1699">
        <f t="shared" si="19"/>
        <v>0</v>
      </c>
      <c r="S45" s="1700">
        <f t="shared" si="19"/>
        <v>0</v>
      </c>
      <c r="T45" s="1701">
        <f t="shared" si="19"/>
        <v>0</v>
      </c>
      <c r="U45" s="1702">
        <f t="shared" ca="1" si="20"/>
        <v>0</v>
      </c>
      <c r="V45" s="1702">
        <f t="shared" si="21"/>
        <v>0</v>
      </c>
      <c r="W45" s="1702">
        <f t="shared" ca="1" si="22"/>
        <v>0</v>
      </c>
      <c r="X45" s="1702"/>
      <c r="Y45" s="1702"/>
      <c r="Z45" s="1703" t="e">
        <f ca="1">OFFSET(VentExhCSV_Spc!$B$5,MATCH($C45,VentExhCSV_Spc!$C$6:$C$308,0),Z$11)*$I45</f>
        <v>#N/A</v>
      </c>
      <c r="AD45" s="1490"/>
      <c r="AE45" s="1490"/>
      <c r="AG45" s="1497" t="s">
        <v>2139</v>
      </c>
      <c r="AH45" s="663">
        <f>SUMIF(Spaces_Sum!$E$24:$E$52,Ventilation!AG45,Spaces_Sum!$H$24:$H$52)</f>
        <v>0</v>
      </c>
      <c r="AI45" s="1"/>
      <c r="AJ45" s="663">
        <f t="shared" si="11"/>
        <v>0</v>
      </c>
      <c r="AK45" s="1">
        <v>0</v>
      </c>
      <c r="AL45" s="1">
        <v>0</v>
      </c>
      <c r="AM45" s="1498">
        <f t="shared" si="13"/>
        <v>0</v>
      </c>
      <c r="AN45" s="1">
        <v>1</v>
      </c>
      <c r="AO45" s="1498">
        <f t="shared" si="12"/>
        <v>0</v>
      </c>
      <c r="AP45" s="1502">
        <v>0</v>
      </c>
      <c r="AQ45" s="1500"/>
      <c r="AR45" s="1707">
        <f t="shared" si="14"/>
        <v>0</v>
      </c>
      <c r="AS45" s="370"/>
    </row>
    <row r="46" spans="2:45" s="50" customFormat="1" x14ac:dyDescent="0.3">
      <c r="B46" s="50">
        <f t="shared" si="0"/>
        <v>32</v>
      </c>
      <c r="C46" s="1" t="s">
        <v>1737</v>
      </c>
      <c r="D46" s="1" t="s">
        <v>1723</v>
      </c>
      <c r="E46" s="1" t="s">
        <v>825</v>
      </c>
      <c r="F46" s="1" t="s">
        <v>836</v>
      </c>
      <c r="G46" s="1" t="s">
        <v>1724</v>
      </c>
      <c r="H46" s="1" t="s">
        <v>1821</v>
      </c>
      <c r="I46" t="e">
        <f ca="1">OFFSET(Spaces_Ref,MATCH(Ventilation!$C46,OFFSET(Spaces_Ref,$I$9,$I$10,2000),0),$I$11)</f>
        <v>#N/A</v>
      </c>
      <c r="J46" s="1691">
        <f t="shared" ca="1" si="1"/>
        <v>0</v>
      </c>
      <c r="K46" s="1692">
        <f t="shared" ca="1" si="15"/>
        <v>0</v>
      </c>
      <c r="L46" s="1693">
        <f t="shared" ca="1" si="15"/>
        <v>0</v>
      </c>
      <c r="M46" s="1694"/>
      <c r="N46" s="1695" t="e">
        <f t="shared" ca="1" si="16"/>
        <v>#DIV/0!</v>
      </c>
      <c r="O46" s="1696" t="e">
        <f t="shared" ca="1" si="17"/>
        <v>#DIV/0!</v>
      </c>
      <c r="P46" s="1697" t="e">
        <f ca="1">OFFSET(VentExhCSV_Spc!$B$5,MATCH($C46,VentExhCSV_Spc!$C$6:$C$308,0),P$11)*$I46</f>
        <v>#N/A</v>
      </c>
      <c r="Q46" s="1698" t="str">
        <f t="shared" si="18"/>
        <v>Corr</v>
      </c>
      <c r="R46" s="1699">
        <f t="shared" si="19"/>
        <v>0</v>
      </c>
      <c r="S46" s="1700">
        <f t="shared" si="19"/>
        <v>0</v>
      </c>
      <c r="T46" s="1701">
        <f t="shared" si="19"/>
        <v>0.12</v>
      </c>
      <c r="U46" s="1702">
        <f t="shared" ca="1" si="20"/>
        <v>0</v>
      </c>
      <c r="V46" s="1702">
        <f t="shared" si="21"/>
        <v>0</v>
      </c>
      <c r="W46" s="1702">
        <f t="shared" ca="1" si="22"/>
        <v>0</v>
      </c>
      <c r="X46" s="1702"/>
      <c r="Y46" s="1702"/>
      <c r="Z46" s="1703" t="e">
        <f ca="1">OFFSET(VentExhCSV_Spc!$B$5,MATCH($C46,VentExhCSV_Spc!$C$6:$C$308,0),Z$11)*$I46</f>
        <v>#N/A</v>
      </c>
      <c r="AD46" s="1490"/>
      <c r="AE46" s="1490"/>
      <c r="AG46" s="1497" t="s">
        <v>872</v>
      </c>
      <c r="AH46" s="663">
        <f ca="1">SUMIF(Spaces_Sum!$E$24:$E$52,Ventilation!AG46,Spaces_Sum!$H$24:$H$52)</f>
        <v>1332.6484</v>
      </c>
      <c r="AI46" s="1">
        <v>0</v>
      </c>
      <c r="AJ46" s="663">
        <f t="shared" ca="1" si="11"/>
        <v>0</v>
      </c>
      <c r="AK46" s="1">
        <v>0</v>
      </c>
      <c r="AL46" s="1">
        <v>0</v>
      </c>
      <c r="AM46" s="1498">
        <f t="shared" ca="1" si="13"/>
        <v>0</v>
      </c>
      <c r="AN46" s="1">
        <v>1</v>
      </c>
      <c r="AO46" s="1498">
        <f t="shared" ca="1" si="12"/>
        <v>0</v>
      </c>
      <c r="AP46" s="1502">
        <v>0</v>
      </c>
      <c r="AQ46" s="1500"/>
      <c r="AR46" s="1707">
        <f t="shared" ca="1" si="14"/>
        <v>0</v>
      </c>
      <c r="AS46" s="370"/>
    </row>
    <row r="47" spans="2:45" s="50" customFormat="1" x14ac:dyDescent="0.3">
      <c r="B47" s="50">
        <f t="shared" si="0"/>
        <v>33</v>
      </c>
      <c r="C47" s="1" t="s">
        <v>1738</v>
      </c>
      <c r="D47" s="1" t="s">
        <v>1723</v>
      </c>
      <c r="E47" s="1" t="s">
        <v>825</v>
      </c>
      <c r="F47" s="1" t="s">
        <v>840</v>
      </c>
      <c r="G47" s="1" t="s">
        <v>1724</v>
      </c>
      <c r="H47" s="1" t="s">
        <v>1821</v>
      </c>
      <c r="I47" t="e">
        <f ca="1">OFFSET(Spaces_Ref,MATCH(Ventilation!$C47,OFFSET(Spaces_Ref,$I$9,$I$10,2000),0),$I$11)</f>
        <v>#N/A</v>
      </c>
      <c r="J47" s="1691">
        <f t="shared" ca="1" si="1"/>
        <v>0</v>
      </c>
      <c r="K47" s="1692">
        <f t="shared" ca="1" si="15"/>
        <v>0</v>
      </c>
      <c r="L47" s="1693">
        <f t="shared" ca="1" si="15"/>
        <v>0</v>
      </c>
      <c r="M47" s="1694"/>
      <c r="N47" s="1695" t="e">
        <f t="shared" ca="1" si="16"/>
        <v>#DIV/0!</v>
      </c>
      <c r="O47" s="1696" t="e">
        <f t="shared" ca="1" si="17"/>
        <v>#DIV/0!</v>
      </c>
      <c r="P47" s="1697" t="e">
        <f ca="1">OFFSET(VentExhCSV_Spc!$B$5,MATCH($C47,VentExhCSV_Spc!$C$6:$C$308,0),P$11)*$I47</f>
        <v>#N/A</v>
      </c>
      <c r="Q47" s="1698" t="str">
        <f t="shared" si="18"/>
        <v>Rest</v>
      </c>
      <c r="R47" s="1699">
        <f t="shared" si="19"/>
        <v>0</v>
      </c>
      <c r="S47" s="1700">
        <f t="shared" si="19"/>
        <v>0</v>
      </c>
      <c r="T47" s="1701">
        <f t="shared" si="19"/>
        <v>0</v>
      </c>
      <c r="U47" s="1702">
        <f t="shared" ca="1" si="20"/>
        <v>0</v>
      </c>
      <c r="V47" s="1702">
        <f t="shared" si="21"/>
        <v>0</v>
      </c>
      <c r="W47" s="1702">
        <f t="shared" ca="1" si="22"/>
        <v>0</v>
      </c>
      <c r="X47" s="1702"/>
      <c r="Y47" s="1702"/>
      <c r="Z47" s="1703" t="e">
        <f ca="1">OFFSET(VentExhCSV_Spc!$B$5,MATCH($C47,VentExhCSV_Spc!$C$6:$C$308,0),Z$11)*$I47</f>
        <v>#N/A</v>
      </c>
      <c r="AD47" s="1490"/>
      <c r="AE47" s="1490"/>
      <c r="AG47" s="1497" t="s">
        <v>870</v>
      </c>
      <c r="AH47" s="663">
        <f ca="1">SUMIF(Spaces_Sum!$E$24:$E$52,Ventilation!AG47,Spaces_Sum!$H$24:$H$52)</f>
        <v>4744.9070999999994</v>
      </c>
      <c r="AI47" s="1"/>
      <c r="AJ47" s="663">
        <f t="shared" ca="1" si="11"/>
        <v>0</v>
      </c>
      <c r="AK47" s="1">
        <v>0</v>
      </c>
      <c r="AL47" s="1">
        <v>0</v>
      </c>
      <c r="AM47" s="1498">
        <f t="shared" ca="1" si="13"/>
        <v>0</v>
      </c>
      <c r="AN47" s="1">
        <v>1</v>
      </c>
      <c r="AO47" s="1498">
        <f t="shared" ca="1" si="12"/>
        <v>0</v>
      </c>
      <c r="AP47" s="1502">
        <v>0</v>
      </c>
      <c r="AQ47" s="1500"/>
      <c r="AR47" s="1707">
        <f t="shared" ca="1" si="14"/>
        <v>0</v>
      </c>
      <c r="AS47" s="370"/>
    </row>
    <row r="48" spans="2:45" s="50" customFormat="1" x14ac:dyDescent="0.3">
      <c r="B48" s="50">
        <f t="shared" si="0"/>
        <v>34</v>
      </c>
      <c r="C48" s="1" t="s">
        <v>1746</v>
      </c>
      <c r="D48" s="1" t="s">
        <v>1747</v>
      </c>
      <c r="E48" s="1" t="s">
        <v>844</v>
      </c>
      <c r="F48" s="1" t="s">
        <v>837</v>
      </c>
      <c r="G48" s="1" t="s">
        <v>1748</v>
      </c>
      <c r="H48" s="1" t="s">
        <v>1821</v>
      </c>
      <c r="I48" t="e">
        <f ca="1">OFFSET(Spaces_Ref,MATCH(Ventilation!$C48,OFFSET(Spaces_Ref,$I$9,$I$10,2000),0),$I$11)</f>
        <v>#N/A</v>
      </c>
      <c r="J48" s="1691">
        <f t="shared" ca="1" si="1"/>
        <v>0</v>
      </c>
      <c r="K48" s="1692">
        <f t="shared" ca="1" si="15"/>
        <v>0</v>
      </c>
      <c r="L48" s="1693">
        <f t="shared" ca="1" si="15"/>
        <v>0</v>
      </c>
      <c r="M48" s="1694"/>
      <c r="N48" s="1695" t="e">
        <f t="shared" ca="1" si="16"/>
        <v>#DIV/0!</v>
      </c>
      <c r="O48" s="1696" t="e">
        <f t="shared" ca="1" si="17"/>
        <v>#DIV/0!</v>
      </c>
      <c r="P48" s="1697" t="e">
        <f ca="1">OFFSET(VentExhCSV_Spc!$B$5,MATCH($C48,VentExhCSV_Spc!$C$6:$C$308,0),P$11)*$I48</f>
        <v>#N/A</v>
      </c>
      <c r="Q48" s="1698" t="str">
        <f t="shared" si="18"/>
        <v>Mech</v>
      </c>
      <c r="R48" s="1699">
        <f t="shared" si="19"/>
        <v>0</v>
      </c>
      <c r="S48" s="1700">
        <f t="shared" si="19"/>
        <v>0</v>
      </c>
      <c r="T48" s="1701">
        <f t="shared" si="19"/>
        <v>0</v>
      </c>
      <c r="U48" s="1702">
        <f t="shared" si="20"/>
        <v>0</v>
      </c>
      <c r="V48" s="1702">
        <f t="shared" ca="1" si="21"/>
        <v>0</v>
      </c>
      <c r="W48" s="1702">
        <f t="shared" ca="1" si="22"/>
        <v>0</v>
      </c>
      <c r="X48" s="1702"/>
      <c r="Y48" s="1702"/>
      <c r="Z48" s="1703" t="e">
        <f ca="1">OFFSET(VentExhCSV_Spc!$B$5,MATCH($C48,VentExhCSV_Spc!$C$6:$C$308,0),Z$11)*$I48</f>
        <v>#N/A</v>
      </c>
      <c r="AD48" s="1490"/>
      <c r="AE48" s="1490"/>
      <c r="AG48" s="1497" t="s">
        <v>874</v>
      </c>
      <c r="AH48" s="663">
        <f ca="1">SUMIF(Spaces_Sum!$E$24:$E$52,Ventilation!AG48,Spaces_Sum!$H$24:$H$52)</f>
        <v>939.43700000000013</v>
      </c>
      <c r="AI48" s="1">
        <v>0</v>
      </c>
      <c r="AJ48" s="663">
        <f t="shared" ca="1" si="11"/>
        <v>0</v>
      </c>
      <c r="AK48" s="1">
        <v>0</v>
      </c>
      <c r="AL48" s="1">
        <v>0</v>
      </c>
      <c r="AM48" s="1498">
        <f t="shared" ca="1" si="13"/>
        <v>0</v>
      </c>
      <c r="AN48" s="1">
        <v>1</v>
      </c>
      <c r="AO48" s="1498">
        <f t="shared" ca="1" si="12"/>
        <v>0</v>
      </c>
      <c r="AP48" s="1502">
        <v>1</v>
      </c>
      <c r="AQ48" s="1500"/>
      <c r="AR48" s="1707">
        <f t="shared" ca="1" si="14"/>
        <v>1</v>
      </c>
      <c r="AS48" s="370"/>
    </row>
    <row r="49" spans="2:45" s="50" customFormat="1" x14ac:dyDescent="0.3">
      <c r="B49" s="50">
        <f t="shared" si="0"/>
        <v>35</v>
      </c>
      <c r="C49" s="1" t="s">
        <v>1755</v>
      </c>
      <c r="D49" s="1" t="s">
        <v>1747</v>
      </c>
      <c r="E49" s="1" t="s">
        <v>825</v>
      </c>
      <c r="F49" s="1" t="s">
        <v>836</v>
      </c>
      <c r="G49" s="1" t="s">
        <v>1748</v>
      </c>
      <c r="H49" s="1" t="s">
        <v>1821</v>
      </c>
      <c r="I49" t="e">
        <f ca="1">OFFSET(Spaces_Ref,MATCH(Ventilation!$C49,OFFSET(Spaces_Ref,$I$9,$I$10,2000),0),$I$11)</f>
        <v>#N/A</v>
      </c>
      <c r="J49" s="1691">
        <f t="shared" ca="1" si="1"/>
        <v>0</v>
      </c>
      <c r="K49" s="1692">
        <f t="shared" ca="1" si="15"/>
        <v>0</v>
      </c>
      <c r="L49" s="1693">
        <f t="shared" ca="1" si="15"/>
        <v>0</v>
      </c>
      <c r="M49" s="1694"/>
      <c r="N49" s="1695" t="e">
        <f t="shared" ca="1" si="16"/>
        <v>#DIV/0!</v>
      </c>
      <c r="O49" s="1696" t="e">
        <f t="shared" ca="1" si="17"/>
        <v>#DIV/0!</v>
      </c>
      <c r="P49" s="1697" t="e">
        <f ca="1">OFFSET(VentExhCSV_Spc!$B$5,MATCH($C49,VentExhCSV_Spc!$C$6:$C$308,0),P$11)*$I49</f>
        <v>#N/A</v>
      </c>
      <c r="Q49" s="1698" t="str">
        <f t="shared" si="18"/>
        <v>Corr</v>
      </c>
      <c r="R49" s="1699">
        <f t="shared" si="19"/>
        <v>0</v>
      </c>
      <c r="S49" s="1700">
        <f t="shared" si="19"/>
        <v>0</v>
      </c>
      <c r="T49" s="1701">
        <f t="shared" si="19"/>
        <v>0.12</v>
      </c>
      <c r="U49" s="1702">
        <f t="shared" ca="1" si="20"/>
        <v>0</v>
      </c>
      <c r="V49" s="1702">
        <f t="shared" si="21"/>
        <v>0</v>
      </c>
      <c r="W49" s="1702">
        <f t="shared" ca="1" si="22"/>
        <v>0</v>
      </c>
      <c r="X49" s="1702"/>
      <c r="Y49" s="1702"/>
      <c r="Z49" s="1703" t="e">
        <f ca="1">OFFSET(VentExhCSV_Spc!$B$5,MATCH($C49,VentExhCSV_Spc!$C$6:$C$308,0),Z$11)*$I49</f>
        <v>#N/A</v>
      </c>
      <c r="AD49" s="1490"/>
      <c r="AE49" s="1490"/>
      <c r="AG49" s="1497" t="s">
        <v>1422</v>
      </c>
      <c r="AH49" s="663">
        <f ca="1">SUMIF(Spaces_Sum!$E$24:$E$52,Ventilation!AG49,Spaces_Sum!$H$24:$H$52)</f>
        <v>0</v>
      </c>
      <c r="AI49" s="1"/>
      <c r="AJ49" s="663">
        <f t="shared" ca="1" si="11"/>
        <v>0</v>
      </c>
      <c r="AK49" s="1">
        <v>0</v>
      </c>
      <c r="AL49" s="1">
        <v>0</v>
      </c>
      <c r="AM49" s="1498">
        <f t="shared" ca="1" si="13"/>
        <v>0</v>
      </c>
      <c r="AN49" s="1">
        <v>1</v>
      </c>
      <c r="AO49" s="1498">
        <f t="shared" ca="1" si="12"/>
        <v>0</v>
      </c>
      <c r="AP49" s="1502">
        <v>0</v>
      </c>
      <c r="AQ49" s="1500"/>
      <c r="AR49" s="1707">
        <f t="shared" ca="1" si="14"/>
        <v>0</v>
      </c>
      <c r="AS49" s="370"/>
    </row>
    <row r="50" spans="2:45" s="50" customFormat="1" x14ac:dyDescent="0.3">
      <c r="B50" s="50">
        <f t="shared" si="0"/>
        <v>36</v>
      </c>
      <c r="C50" s="1" t="s">
        <v>1764</v>
      </c>
      <c r="D50" s="1" t="s">
        <v>1747</v>
      </c>
      <c r="E50" s="1" t="s">
        <v>844</v>
      </c>
      <c r="F50" s="1" t="s">
        <v>834</v>
      </c>
      <c r="G50" s="1" t="s">
        <v>1748</v>
      </c>
      <c r="H50" s="1" t="s">
        <v>1821</v>
      </c>
      <c r="I50" t="e">
        <f ca="1">OFFSET(Spaces_Ref,MATCH(Ventilation!$C50,OFFSET(Spaces_Ref,$I$9,$I$10,2000),0),$I$11)</f>
        <v>#N/A</v>
      </c>
      <c r="J50" s="1691">
        <f t="shared" ca="1" si="1"/>
        <v>0</v>
      </c>
      <c r="K50" s="1692">
        <f t="shared" ca="1" si="15"/>
        <v>0</v>
      </c>
      <c r="L50" s="1693">
        <f t="shared" ca="1" si="15"/>
        <v>0</v>
      </c>
      <c r="M50" s="1694"/>
      <c r="N50" s="1695" t="e">
        <f t="shared" ca="1" si="16"/>
        <v>#DIV/0!</v>
      </c>
      <c r="O50" s="1696" t="e">
        <f t="shared" ca="1" si="17"/>
        <v>#DIV/0!</v>
      </c>
      <c r="P50" s="1697" t="e">
        <f ca="1">OFFSET(VentExhCSV_Spc!$B$5,MATCH($C50,VentExhCSV_Spc!$C$6:$C$308,0),P$11)*$I50</f>
        <v>#N/A</v>
      </c>
      <c r="Q50" s="1698" t="str">
        <f t="shared" si="18"/>
        <v>Elev</v>
      </c>
      <c r="R50" s="1699">
        <f t="shared" si="19"/>
        <v>0</v>
      </c>
      <c r="S50" s="1700">
        <f t="shared" si="19"/>
        <v>0</v>
      </c>
      <c r="T50" s="1701">
        <f t="shared" si="19"/>
        <v>0</v>
      </c>
      <c r="U50" s="1702">
        <f t="shared" si="20"/>
        <v>0</v>
      </c>
      <c r="V50" s="1702">
        <f t="shared" ca="1" si="21"/>
        <v>0</v>
      </c>
      <c r="W50" s="1702">
        <f t="shared" ca="1" si="22"/>
        <v>0</v>
      </c>
      <c r="X50" s="1702"/>
      <c r="Y50" s="1702"/>
      <c r="Z50" s="1703" t="e">
        <f ca="1">OFFSET(VentExhCSV_Spc!$B$5,MATCH($C50,VentExhCSV_Spc!$C$6:$C$308,0),Z$11)*$I50</f>
        <v>#N/A</v>
      </c>
      <c r="AD50" s="1490"/>
      <c r="AE50" s="1490"/>
      <c r="AG50" s="1497" t="s">
        <v>871</v>
      </c>
      <c r="AH50" s="663">
        <f ca="1">SUMIF(Spaces_Sum!$E$24:$E$52,Ventilation!AG50,Spaces_Sum!$H$24:$H$52)</f>
        <v>2650.0201999999999</v>
      </c>
      <c r="AI50" s="1"/>
      <c r="AJ50" s="663">
        <f t="shared" ca="1" si="11"/>
        <v>0</v>
      </c>
      <c r="AK50" s="1">
        <v>0</v>
      </c>
      <c r="AL50" s="1">
        <v>0</v>
      </c>
      <c r="AM50" s="1498">
        <f ca="1">(AK50*AJ50)+(AL50*AH50)</f>
        <v>0</v>
      </c>
      <c r="AN50" s="1">
        <v>1</v>
      </c>
      <c r="AO50" s="1498">
        <f t="shared" ca="1" si="12"/>
        <v>0</v>
      </c>
      <c r="AP50" s="1502">
        <v>0</v>
      </c>
      <c r="AQ50" s="1500"/>
      <c r="AR50" s="1707">
        <f ca="1">IFERROR(AO50/AH50 + AP50,0)</f>
        <v>0</v>
      </c>
      <c r="AS50" s="370"/>
    </row>
    <row r="51" spans="2:45" s="50" customFormat="1" x14ac:dyDescent="0.3">
      <c r="B51" s="50">
        <f t="shared" si="0"/>
        <v>37</v>
      </c>
      <c r="C51" s="1" t="s">
        <v>1765</v>
      </c>
      <c r="D51" s="1" t="s">
        <v>1747</v>
      </c>
      <c r="E51" s="1" t="s">
        <v>844</v>
      </c>
      <c r="F51" s="1" t="s">
        <v>834</v>
      </c>
      <c r="G51" s="1" t="s">
        <v>1748</v>
      </c>
      <c r="H51" s="1" t="s">
        <v>1821</v>
      </c>
      <c r="I51" t="e">
        <f ca="1">OFFSET(Spaces_Ref,MATCH(Ventilation!$C51,OFFSET(Spaces_Ref,$I$9,$I$10,2000),0),$I$11)</f>
        <v>#N/A</v>
      </c>
      <c r="J51" s="1691">
        <f t="shared" ca="1" si="1"/>
        <v>0</v>
      </c>
      <c r="K51" s="1692">
        <f t="shared" ca="1" si="15"/>
        <v>0</v>
      </c>
      <c r="L51" s="1693">
        <f t="shared" ca="1" si="15"/>
        <v>0</v>
      </c>
      <c r="M51" s="1694"/>
      <c r="N51" s="1695" t="e">
        <f t="shared" ca="1" si="16"/>
        <v>#DIV/0!</v>
      </c>
      <c r="O51" s="1696" t="e">
        <f t="shared" ca="1" si="17"/>
        <v>#DIV/0!</v>
      </c>
      <c r="P51" s="1697" t="e">
        <f ca="1">OFFSET(VentExhCSV_Spc!$B$5,MATCH($C51,VentExhCSV_Spc!$C$6:$C$308,0),P$11)*$I51</f>
        <v>#N/A</v>
      </c>
      <c r="Q51" s="1698" t="str">
        <f t="shared" si="18"/>
        <v>Elev</v>
      </c>
      <c r="R51" s="1699">
        <f t="shared" si="19"/>
        <v>0</v>
      </c>
      <c r="S51" s="1700">
        <f t="shared" si="19"/>
        <v>0</v>
      </c>
      <c r="T51" s="1701">
        <f t="shared" si="19"/>
        <v>0</v>
      </c>
      <c r="U51" s="1702">
        <f t="shared" si="20"/>
        <v>0</v>
      </c>
      <c r="V51" s="1702">
        <f t="shared" ca="1" si="21"/>
        <v>0</v>
      </c>
      <c r="W51" s="1702">
        <f t="shared" ca="1" si="22"/>
        <v>0</v>
      </c>
      <c r="X51" s="1702"/>
      <c r="Y51" s="1702"/>
      <c r="Z51" s="1703" t="e">
        <f ca="1">OFFSET(VentExhCSV_Spc!$B$5,MATCH($C51,VentExhCSV_Spc!$C$6:$C$308,0),Z$11)*$I51</f>
        <v>#N/A</v>
      </c>
      <c r="AD51" s="1490"/>
      <c r="AE51" s="1490"/>
      <c r="AG51" s="1497" t="s">
        <v>1423</v>
      </c>
      <c r="AH51" s="663">
        <f ca="1">SUMIF(Spaces_Sum!$E$24:$E$52,Ventilation!AG51,Spaces_Sum!$H$24:$H$52)</f>
        <v>0</v>
      </c>
      <c r="AI51" s="1"/>
      <c r="AJ51" s="663">
        <f t="shared" ca="1" si="11"/>
        <v>0</v>
      </c>
      <c r="AK51" s="1">
        <v>0</v>
      </c>
      <c r="AL51" s="1">
        <v>0</v>
      </c>
      <c r="AM51" s="1498">
        <f t="shared" ref="AM51:AM53" ca="1" si="23">(AK51*AJ51)+(AL51*AH51)</f>
        <v>0</v>
      </c>
      <c r="AN51" s="1">
        <v>1</v>
      </c>
      <c r="AO51" s="1498">
        <f t="shared" ca="1" si="12"/>
        <v>0</v>
      </c>
      <c r="AP51" s="1502">
        <v>0</v>
      </c>
      <c r="AQ51" s="1500"/>
      <c r="AR51" s="1707">
        <f t="shared" ref="AR51:AR53" ca="1" si="24">IFERROR(AO51/AH51 + AP51,0)</f>
        <v>0</v>
      </c>
      <c r="AS51" s="370"/>
    </row>
    <row r="52" spans="2:45" s="50" customFormat="1" x14ac:dyDescent="0.3">
      <c r="B52" s="50">
        <f t="shared" si="0"/>
        <v>38</v>
      </c>
      <c r="C52" s="1" t="s">
        <v>1766</v>
      </c>
      <c r="D52" s="1" t="s">
        <v>1747</v>
      </c>
      <c r="E52" s="1" t="s">
        <v>844</v>
      </c>
      <c r="F52" s="1" t="s">
        <v>841</v>
      </c>
      <c r="G52" s="1" t="s">
        <v>1748</v>
      </c>
      <c r="H52" s="1" t="s">
        <v>1821</v>
      </c>
      <c r="I52" t="e">
        <f ca="1">OFFSET(Spaces_Ref,MATCH(Ventilation!$C52,OFFSET(Spaces_Ref,$I$9,$I$10,2000),0),$I$11)</f>
        <v>#N/A</v>
      </c>
      <c r="J52" s="1691">
        <f t="shared" ca="1" si="1"/>
        <v>0</v>
      </c>
      <c r="K52" s="1692">
        <f t="shared" ca="1" si="15"/>
        <v>0</v>
      </c>
      <c r="L52" s="1693">
        <f t="shared" ca="1" si="15"/>
        <v>0</v>
      </c>
      <c r="M52" s="1694"/>
      <c r="N52" s="1695" t="e">
        <f t="shared" ca="1" si="16"/>
        <v>#DIV/0!</v>
      </c>
      <c r="O52" s="1696" t="e">
        <f t="shared" ca="1" si="17"/>
        <v>#DIV/0!</v>
      </c>
      <c r="P52" s="1697" t="e">
        <f ca="1">OFFSET(VentExhCSV_Spc!$B$5,MATCH($C52,VentExhCSV_Spc!$C$6:$C$308,0),P$11)*$I52</f>
        <v>#N/A</v>
      </c>
      <c r="Q52" s="1698" t="str">
        <f t="shared" si="18"/>
        <v>Strs</v>
      </c>
      <c r="R52" s="1699">
        <f t="shared" si="19"/>
        <v>0</v>
      </c>
      <c r="S52" s="1700">
        <f t="shared" si="19"/>
        <v>0</v>
      </c>
      <c r="T52" s="1701">
        <f t="shared" si="19"/>
        <v>0</v>
      </c>
      <c r="U52" s="1702">
        <f t="shared" si="20"/>
        <v>0</v>
      </c>
      <c r="V52" s="1702">
        <f t="shared" ca="1" si="21"/>
        <v>0</v>
      </c>
      <c r="W52" s="1702">
        <f t="shared" ca="1" si="22"/>
        <v>0</v>
      </c>
      <c r="X52" s="1702"/>
      <c r="Y52" s="1702"/>
      <c r="Z52" s="1703" t="e">
        <f ca="1">OFFSET(VentExhCSV_Spc!$B$5,MATCH($C52,VentExhCSV_Spc!$C$6:$C$308,0),Z$11)*$I52</f>
        <v>#N/A</v>
      </c>
      <c r="AD52" s="1490"/>
      <c r="AE52" s="1490"/>
      <c r="AG52" s="1497" t="s">
        <v>875</v>
      </c>
      <c r="AH52" s="663">
        <f>SUMIF(Spaces_Sum!$E$24:$E$52,Ventilation!AG52,Spaces_Sum!$H$24:$H$52)</f>
        <v>0</v>
      </c>
      <c r="AI52" s="1"/>
      <c r="AJ52" s="663">
        <f t="shared" si="11"/>
        <v>0</v>
      </c>
      <c r="AK52" s="1">
        <v>0</v>
      </c>
      <c r="AL52" s="1">
        <v>0</v>
      </c>
      <c r="AM52" s="1498">
        <f t="shared" si="23"/>
        <v>0</v>
      </c>
      <c r="AN52" s="1">
        <v>1</v>
      </c>
      <c r="AO52" s="1498">
        <f t="shared" si="12"/>
        <v>0</v>
      </c>
      <c r="AP52" s="1502">
        <v>0</v>
      </c>
      <c r="AQ52" s="1500"/>
      <c r="AR52" s="1707">
        <f t="shared" si="24"/>
        <v>0</v>
      </c>
      <c r="AS52" s="370"/>
    </row>
    <row r="53" spans="2:45" s="50" customFormat="1" x14ac:dyDescent="0.3">
      <c r="B53" s="50">
        <f t="shared" si="0"/>
        <v>39</v>
      </c>
      <c r="C53" s="1" t="s">
        <v>1767</v>
      </c>
      <c r="D53" s="1" t="s">
        <v>1747</v>
      </c>
      <c r="E53" s="1" t="s">
        <v>825</v>
      </c>
      <c r="F53" s="1" t="s">
        <v>560</v>
      </c>
      <c r="G53" s="1" t="s">
        <v>1748</v>
      </c>
      <c r="H53" s="1" t="s">
        <v>1821</v>
      </c>
      <c r="I53" t="e">
        <f ca="1">OFFSET(Spaces_Ref,MATCH(Ventilation!$C53,OFFSET(Spaces_Ref,$I$9,$I$10,2000),0),$I$11)</f>
        <v>#N/A</v>
      </c>
      <c r="J53" s="1691">
        <f t="shared" ca="1" si="1"/>
        <v>0</v>
      </c>
      <c r="K53" s="1692">
        <f t="shared" ref="K53:L53" ca="1" si="25">SUMIFS(OFFSET(Spaces_Ref,1,K$11,1000),OFFSET(Spaces_Ref,1,K$10,1000),$C53,OFFSET(Spaces_Ref,1,K$9,1000),K$13)</f>
        <v>0</v>
      </c>
      <c r="L53" s="1693">
        <f t="shared" ca="1" si="25"/>
        <v>0</v>
      </c>
      <c r="M53" s="1694"/>
      <c r="N53" s="1695" t="e">
        <f t="shared" ca="1" si="16"/>
        <v>#DIV/0!</v>
      </c>
      <c r="O53" s="1696" t="e">
        <f t="shared" ca="1" si="17"/>
        <v>#DIV/0!</v>
      </c>
      <c r="P53" s="1697" t="e">
        <f ca="1">OFFSET(VentExhCSV_Spc!$B$5,MATCH($C53,VentExhCSV_Spc!$C$6:$C$308,0),P$11)*$I53</f>
        <v>#N/A</v>
      </c>
      <c r="Q53" s="1698" t="str">
        <f t="shared" si="18"/>
        <v>Trsh</v>
      </c>
      <c r="R53" s="1699">
        <f t="shared" si="19"/>
        <v>0</v>
      </c>
      <c r="S53" s="1700">
        <f t="shared" si="19"/>
        <v>0</v>
      </c>
      <c r="T53" s="1701">
        <f t="shared" si="19"/>
        <v>0</v>
      </c>
      <c r="U53" s="1702">
        <f t="shared" ca="1" si="20"/>
        <v>0</v>
      </c>
      <c r="V53" s="1702">
        <f t="shared" si="21"/>
        <v>0</v>
      </c>
      <c r="W53" s="1702">
        <f t="shared" ca="1" si="22"/>
        <v>0</v>
      </c>
      <c r="X53" s="1702"/>
      <c r="Y53" s="1702"/>
      <c r="Z53" s="1703" t="e">
        <f ca="1">OFFSET(VentExhCSV_Spc!$B$5,MATCH($C53,VentExhCSV_Spc!$C$6:$C$308,0),Z$11)*$I53</f>
        <v>#N/A</v>
      </c>
      <c r="AD53" s="1490"/>
      <c r="AE53" s="1490"/>
      <c r="AG53" s="1497" t="s">
        <v>1364</v>
      </c>
      <c r="AH53" s="663">
        <f ca="1">SUMIF(Spaces_Sum!$E$24:$E$52,Ventilation!AG53,Spaces_Sum!$H$24:$H$52)</f>
        <v>0</v>
      </c>
      <c r="AI53" s="1"/>
      <c r="AJ53" s="663">
        <f t="shared" ca="1" si="11"/>
        <v>0</v>
      </c>
      <c r="AK53" s="1">
        <v>0</v>
      </c>
      <c r="AL53" s="1">
        <v>0</v>
      </c>
      <c r="AM53" s="1498">
        <f t="shared" ca="1" si="23"/>
        <v>0</v>
      </c>
      <c r="AN53" s="1">
        <v>1</v>
      </c>
      <c r="AO53" s="1498">
        <f t="shared" ca="1" si="12"/>
        <v>0</v>
      </c>
      <c r="AP53" s="1502">
        <v>0</v>
      </c>
      <c r="AQ53" s="1500"/>
      <c r="AR53" s="1707">
        <f t="shared" ca="1" si="24"/>
        <v>0</v>
      </c>
      <c r="AS53" s="370"/>
    </row>
    <row r="54" spans="2:45" s="50" customFormat="1" x14ac:dyDescent="0.3">
      <c r="B54" s="50">
        <f t="shared" si="0"/>
        <v>40</v>
      </c>
      <c r="C54" s="1" t="s">
        <v>1768</v>
      </c>
      <c r="D54" s="1" t="s">
        <v>1747</v>
      </c>
      <c r="E54" s="1" t="s">
        <v>844</v>
      </c>
      <c r="F54" s="1" t="s">
        <v>841</v>
      </c>
      <c r="G54" s="1" t="s">
        <v>1748</v>
      </c>
      <c r="H54" s="1" t="s">
        <v>1821</v>
      </c>
      <c r="I54" t="e">
        <f ca="1">OFFSET(Spaces_Ref,MATCH(Ventilation!$C54,OFFSET(Spaces_Ref,$I$9,$I$10,2000),0),$I$11)</f>
        <v>#N/A</v>
      </c>
      <c r="J54" s="1691">
        <f t="shared" ca="1" si="1"/>
        <v>0</v>
      </c>
      <c r="K54" s="1692">
        <f t="shared" ca="1" si="15"/>
        <v>0</v>
      </c>
      <c r="L54" s="1693">
        <f t="shared" ca="1" si="15"/>
        <v>0</v>
      </c>
      <c r="M54" s="1694"/>
      <c r="N54" s="1695" t="e">
        <f t="shared" ca="1" si="16"/>
        <v>#DIV/0!</v>
      </c>
      <c r="O54" s="1696" t="e">
        <f t="shared" ca="1" si="17"/>
        <v>#DIV/0!</v>
      </c>
      <c r="P54" s="1697" t="e">
        <f ca="1">OFFSET(VentExhCSV_Spc!$B$5,MATCH($C54,VentExhCSV_Spc!$C$6:$C$308,0),P$11)*$I54</f>
        <v>#N/A</v>
      </c>
      <c r="Q54" s="1698" t="str">
        <f t="shared" si="18"/>
        <v>Strs</v>
      </c>
      <c r="R54" s="1699">
        <f t="shared" si="19"/>
        <v>0</v>
      </c>
      <c r="S54" s="1700">
        <f t="shared" si="19"/>
        <v>0</v>
      </c>
      <c r="T54" s="1701">
        <f t="shared" si="19"/>
        <v>0</v>
      </c>
      <c r="U54" s="1702">
        <f t="shared" si="20"/>
        <v>0</v>
      </c>
      <c r="V54" s="1702">
        <f t="shared" ca="1" si="21"/>
        <v>0</v>
      </c>
      <c r="W54" s="1702">
        <f t="shared" ca="1" si="22"/>
        <v>0</v>
      </c>
      <c r="X54" s="1702"/>
      <c r="Y54" s="1702"/>
      <c r="Z54" s="1703" t="e">
        <f ca="1">OFFSET(VentExhCSV_Spc!$B$5,MATCH($C54,VentExhCSV_Spc!$C$6:$C$308,0),Z$11)*$I54</f>
        <v>#N/A</v>
      </c>
      <c r="AD54" s="1490"/>
      <c r="AE54" s="1490"/>
      <c r="AG54" s="1497"/>
      <c r="AH54" s="663"/>
      <c r="AI54" s="1"/>
      <c r="AJ54" s="663"/>
      <c r="AK54" s="1"/>
      <c r="AL54" s="1"/>
      <c r="AM54" s="1498"/>
      <c r="AN54" s="1"/>
      <c r="AO54" s="1498"/>
      <c r="AP54" s="1502"/>
      <c r="AQ54" s="1500"/>
      <c r="AR54" s="1707"/>
      <c r="AS54" s="370"/>
    </row>
    <row r="55" spans="2:45" s="50" customFormat="1" x14ac:dyDescent="0.3">
      <c r="B55" s="50">
        <f t="shared" si="0"/>
        <v>41</v>
      </c>
      <c r="C55" s="1" t="s">
        <v>1772</v>
      </c>
      <c r="D55" s="1" t="s">
        <v>1770</v>
      </c>
      <c r="E55" s="1" t="s">
        <v>844</v>
      </c>
      <c r="F55" s="1" t="s">
        <v>834</v>
      </c>
      <c r="G55" s="1" t="s">
        <v>1773</v>
      </c>
      <c r="H55" s="1" t="s">
        <v>1821</v>
      </c>
      <c r="I55" t="e">
        <f ca="1">OFFSET(Spaces_Ref,MATCH(Ventilation!$C55,OFFSET(Spaces_Ref,$I$9,$I$10,2000),0),$I$11)</f>
        <v>#N/A</v>
      </c>
      <c r="J55" s="1691">
        <f t="shared" ca="1" si="1"/>
        <v>0</v>
      </c>
      <c r="K55" s="1692">
        <f t="shared" ref="K55:L65" ca="1" si="26">SUMIFS(OFFSET(Spaces_Ref,1,K$11,1000),OFFSET(Spaces_Ref,1,K$10,1000),$C55,OFFSET(Spaces_Ref,1,K$9,1000),K$13)</f>
        <v>0</v>
      </c>
      <c r="L55" s="1693">
        <f t="shared" ca="1" si="26"/>
        <v>0</v>
      </c>
      <c r="M55" s="1694"/>
      <c r="N55" s="1695" t="e">
        <f t="shared" ca="1" si="16"/>
        <v>#DIV/0!</v>
      </c>
      <c r="O55" s="1696" t="e">
        <f t="shared" ca="1" si="17"/>
        <v>#DIV/0!</v>
      </c>
      <c r="P55" s="1697" t="e">
        <f ca="1">OFFSET(VentExhCSV_Spc!$B$5,MATCH($C55,VentExhCSV_Spc!$C$6:$C$308,0),P$11)*$I55</f>
        <v>#N/A</v>
      </c>
      <c r="Q55" s="1698" t="str">
        <f t="shared" si="18"/>
        <v>Elev</v>
      </c>
      <c r="R55" s="1699">
        <f t="shared" si="19"/>
        <v>0</v>
      </c>
      <c r="S55" s="1700">
        <f t="shared" si="19"/>
        <v>0</v>
      </c>
      <c r="T55" s="1701">
        <f t="shared" si="19"/>
        <v>0</v>
      </c>
      <c r="U55" s="1702">
        <f t="shared" si="20"/>
        <v>0</v>
      </c>
      <c r="V55" s="1702">
        <f t="shared" ca="1" si="21"/>
        <v>0</v>
      </c>
      <c r="W55" s="1702">
        <f t="shared" ca="1" si="22"/>
        <v>0</v>
      </c>
      <c r="X55" s="1702"/>
      <c r="Y55" s="1702"/>
      <c r="Z55" s="1703" t="e">
        <f ca="1">OFFSET(VentExhCSV_Spc!$B$5,MATCH($C55,VentExhCSV_Spc!$C$6:$C$308,0),Z$11)*$I55</f>
        <v>#N/A</v>
      </c>
      <c r="AD55" s="1490"/>
      <c r="AE55" s="1490"/>
      <c r="AG55" s="1497"/>
      <c r="AH55" s="663"/>
      <c r="AI55" s="1"/>
      <c r="AJ55" s="663"/>
      <c r="AK55" s="1"/>
      <c r="AL55" s="1"/>
      <c r="AM55" s="1498"/>
      <c r="AN55" s="1"/>
      <c r="AO55" s="1498"/>
      <c r="AP55" s="1502"/>
      <c r="AQ55" s="1500"/>
      <c r="AR55" s="1707"/>
      <c r="AS55" s="370"/>
    </row>
    <row r="56" spans="2:45" s="50" customFormat="1" x14ac:dyDescent="0.3">
      <c r="B56" s="50">
        <f t="shared" si="0"/>
        <v>42</v>
      </c>
      <c r="C56" s="1" t="s">
        <v>1774</v>
      </c>
      <c r="D56" s="1" t="s">
        <v>1770</v>
      </c>
      <c r="E56" s="1" t="s">
        <v>825</v>
      </c>
      <c r="F56" s="1" t="s">
        <v>836</v>
      </c>
      <c r="G56" s="1" t="s">
        <v>1773</v>
      </c>
      <c r="H56" s="1" t="s">
        <v>1821</v>
      </c>
      <c r="I56" t="e">
        <f ca="1">OFFSET(Spaces_Ref,MATCH(Ventilation!$C56,OFFSET(Spaces_Ref,$I$9,$I$10,2000),0),$I$11)</f>
        <v>#N/A</v>
      </c>
      <c r="J56" s="1691">
        <f t="shared" ca="1" si="1"/>
        <v>0</v>
      </c>
      <c r="K56" s="1692">
        <f t="shared" ca="1" si="26"/>
        <v>0</v>
      </c>
      <c r="L56" s="1693">
        <f t="shared" ca="1" si="26"/>
        <v>0</v>
      </c>
      <c r="M56" s="1694"/>
      <c r="N56" s="1695" t="e">
        <f t="shared" ca="1" si="16"/>
        <v>#DIV/0!</v>
      </c>
      <c r="O56" s="1696" t="e">
        <f t="shared" ca="1" si="17"/>
        <v>#DIV/0!</v>
      </c>
      <c r="P56" s="1697" t="e">
        <f ca="1">OFFSET(VentExhCSV_Spc!$B$5,MATCH($C56,VentExhCSV_Spc!$C$6:$C$308,0),P$11)*$I56</f>
        <v>#N/A</v>
      </c>
      <c r="Q56" s="1698" t="str">
        <f t="shared" si="18"/>
        <v>Corr</v>
      </c>
      <c r="R56" s="1699">
        <f t="shared" si="19"/>
        <v>0</v>
      </c>
      <c r="S56" s="1700">
        <f t="shared" si="19"/>
        <v>0</v>
      </c>
      <c r="T56" s="1701">
        <f t="shared" si="19"/>
        <v>0.12</v>
      </c>
      <c r="U56" s="1702">
        <f t="shared" ca="1" si="20"/>
        <v>0</v>
      </c>
      <c r="V56" s="1702">
        <f t="shared" si="21"/>
        <v>0</v>
      </c>
      <c r="W56" s="1702">
        <f t="shared" ca="1" si="22"/>
        <v>0</v>
      </c>
      <c r="X56" s="1702"/>
      <c r="Y56" s="1702"/>
      <c r="Z56" s="1703" t="e">
        <f ca="1">OFFSET(VentExhCSV_Spc!$B$5,MATCH($C56,VentExhCSV_Spc!$C$6:$C$308,0),Z$11)*$I56</f>
        <v>#N/A</v>
      </c>
      <c r="AD56" s="1490"/>
      <c r="AE56" s="1490"/>
      <c r="AG56" s="1514"/>
      <c r="AH56" s="1708"/>
      <c r="AI56" s="1515"/>
      <c r="AJ56" s="1708"/>
      <c r="AK56" s="1515"/>
      <c r="AL56" s="1515"/>
      <c r="AM56" s="1709"/>
      <c r="AN56" s="1515"/>
      <c r="AO56" s="1709"/>
      <c r="AP56" s="1710"/>
      <c r="AQ56" s="1711"/>
      <c r="AR56" s="1712"/>
      <c r="AS56" s="132"/>
    </row>
    <row r="57" spans="2:45" s="50" customFormat="1" x14ac:dyDescent="0.3">
      <c r="B57" s="50">
        <f t="shared" si="0"/>
        <v>43</v>
      </c>
      <c r="C57" s="1" t="s">
        <v>1775</v>
      </c>
      <c r="D57" s="1" t="s">
        <v>1770</v>
      </c>
      <c r="E57" s="1" t="s">
        <v>844</v>
      </c>
      <c r="F57" s="1" t="s">
        <v>834</v>
      </c>
      <c r="G57" s="1" t="s">
        <v>1773</v>
      </c>
      <c r="H57" s="1" t="s">
        <v>1821</v>
      </c>
      <c r="I57" t="e">
        <f ca="1">OFFSET(Spaces_Ref,MATCH(Ventilation!$C57,OFFSET(Spaces_Ref,$I$9,$I$10,2000),0),$I$11)</f>
        <v>#N/A</v>
      </c>
      <c r="J57" s="1691">
        <f t="shared" ca="1" si="1"/>
        <v>0</v>
      </c>
      <c r="K57" s="1692">
        <f t="shared" ca="1" si="26"/>
        <v>0</v>
      </c>
      <c r="L57" s="1693">
        <f t="shared" ca="1" si="26"/>
        <v>0</v>
      </c>
      <c r="M57" s="1694"/>
      <c r="N57" s="1695" t="e">
        <f t="shared" ca="1" si="16"/>
        <v>#DIV/0!</v>
      </c>
      <c r="O57" s="1696" t="e">
        <f t="shared" ca="1" si="17"/>
        <v>#DIV/0!</v>
      </c>
      <c r="P57" s="1697" t="e">
        <f ca="1">OFFSET(VentExhCSV_Spc!$B$5,MATCH($C57,VentExhCSV_Spc!$C$6:$C$308,0),P$11)*$I57</f>
        <v>#N/A</v>
      </c>
      <c r="Q57" s="1698" t="str">
        <f t="shared" si="18"/>
        <v>Elev</v>
      </c>
      <c r="R57" s="1699">
        <f t="shared" si="19"/>
        <v>0</v>
      </c>
      <c r="S57" s="1700">
        <f t="shared" si="19"/>
        <v>0</v>
      </c>
      <c r="T57" s="1701">
        <f t="shared" si="19"/>
        <v>0</v>
      </c>
      <c r="U57" s="1702">
        <f t="shared" si="20"/>
        <v>0</v>
      </c>
      <c r="V57" s="1702">
        <f t="shared" ca="1" si="21"/>
        <v>0</v>
      </c>
      <c r="W57" s="1702">
        <f t="shared" ca="1" si="22"/>
        <v>0</v>
      </c>
      <c r="X57" s="1702"/>
      <c r="Y57" s="1702"/>
      <c r="Z57" s="1703" t="e">
        <f ca="1">OFFSET(VentExhCSV_Spc!$B$5,MATCH($C57,VentExhCSV_Spc!$C$6:$C$308,0),Z$11)*$I57</f>
        <v>#N/A</v>
      </c>
      <c r="AD57" s="1490"/>
      <c r="AE57" s="1490"/>
      <c r="AG57" s="124"/>
    </row>
    <row r="58" spans="2:45" s="50" customFormat="1" x14ac:dyDescent="0.3">
      <c r="B58" s="50">
        <f t="shared" si="0"/>
        <v>44</v>
      </c>
      <c r="C58" s="1" t="s">
        <v>1784</v>
      </c>
      <c r="D58" s="1" t="s">
        <v>1770</v>
      </c>
      <c r="E58" s="1" t="s">
        <v>825</v>
      </c>
      <c r="F58" s="1" t="s">
        <v>841</v>
      </c>
      <c r="G58" s="1" t="s">
        <v>1773</v>
      </c>
      <c r="H58" s="1" t="s">
        <v>1821</v>
      </c>
      <c r="I58" t="e">
        <f ca="1">OFFSET(Spaces_Ref,MATCH(Ventilation!$C58,OFFSET(Spaces_Ref,$I$9,$I$10,2000),0),$I$11)</f>
        <v>#N/A</v>
      </c>
      <c r="J58" s="1691">
        <f t="shared" ca="1" si="1"/>
        <v>0</v>
      </c>
      <c r="K58" s="1692">
        <f t="shared" ca="1" si="26"/>
        <v>0</v>
      </c>
      <c r="L58" s="1693">
        <f t="shared" ca="1" si="26"/>
        <v>0</v>
      </c>
      <c r="M58" s="1694"/>
      <c r="N58" s="1695" t="e">
        <f t="shared" ca="1" si="16"/>
        <v>#DIV/0!</v>
      </c>
      <c r="O58" s="1696" t="e">
        <f t="shared" ca="1" si="17"/>
        <v>#DIV/0!</v>
      </c>
      <c r="P58" s="1697" t="e">
        <f ca="1">OFFSET(VentExhCSV_Spc!$B$5,MATCH($C58,VentExhCSV_Spc!$C$6:$C$308,0),P$11)*$I58</f>
        <v>#N/A</v>
      </c>
      <c r="Q58" s="1698" t="str">
        <f t="shared" si="18"/>
        <v>Strs</v>
      </c>
      <c r="R58" s="1699">
        <f t="shared" si="19"/>
        <v>0</v>
      </c>
      <c r="S58" s="1700">
        <f t="shared" si="19"/>
        <v>0</v>
      </c>
      <c r="T58" s="1701">
        <f t="shared" si="19"/>
        <v>0</v>
      </c>
      <c r="U58" s="1702">
        <f t="shared" ca="1" si="20"/>
        <v>0</v>
      </c>
      <c r="V58" s="1702">
        <f t="shared" si="21"/>
        <v>0</v>
      </c>
      <c r="W58" s="1702">
        <f t="shared" ca="1" si="22"/>
        <v>0</v>
      </c>
      <c r="X58" s="1702"/>
      <c r="Y58" s="1702"/>
      <c r="Z58" s="1703" t="e">
        <f ca="1">OFFSET(VentExhCSV_Spc!$B$5,MATCH($C58,VentExhCSV_Spc!$C$6:$C$308,0),Z$11)*$I58</f>
        <v>#N/A</v>
      </c>
      <c r="AD58" s="1490"/>
      <c r="AE58" s="1490"/>
      <c r="AG58" s="1713" t="s">
        <v>1454</v>
      </c>
      <c r="AH58" s="165"/>
      <c r="AI58" s="165"/>
      <c r="AJ58" s="165"/>
      <c r="AK58" s="165"/>
      <c r="AL58" s="165"/>
      <c r="AM58" s="165"/>
      <c r="AN58" s="165"/>
      <c r="AO58" s="165"/>
      <c r="AP58" s="1494"/>
      <c r="AQ58" s="1494"/>
      <c r="AR58" s="165"/>
      <c r="AS58" s="1495"/>
    </row>
    <row r="59" spans="2:45" s="50" customFormat="1" x14ac:dyDescent="0.3">
      <c r="B59" s="50">
        <f t="shared" si="0"/>
        <v>45</v>
      </c>
      <c r="C59" s="1" t="s">
        <v>1787</v>
      </c>
      <c r="D59" s="1" t="s">
        <v>1770</v>
      </c>
      <c r="E59" s="1" t="s">
        <v>825</v>
      </c>
      <c r="F59" s="1" t="s">
        <v>560</v>
      </c>
      <c r="G59" s="1" t="s">
        <v>1773</v>
      </c>
      <c r="H59" s="1" t="s">
        <v>1821</v>
      </c>
      <c r="I59" t="e">
        <f ca="1">OFFSET(Spaces_Ref,MATCH(Ventilation!$C59,OFFSET(Spaces_Ref,$I$9,$I$10,2000),0),$I$11)</f>
        <v>#N/A</v>
      </c>
      <c r="J59" s="1691">
        <f t="shared" ca="1" si="1"/>
        <v>0</v>
      </c>
      <c r="K59" s="1692">
        <f t="shared" ca="1" si="26"/>
        <v>0</v>
      </c>
      <c r="L59" s="1693">
        <f t="shared" ca="1" si="26"/>
        <v>0</v>
      </c>
      <c r="M59" s="1694"/>
      <c r="N59" s="1695" t="e">
        <f t="shared" ca="1" si="16"/>
        <v>#DIV/0!</v>
      </c>
      <c r="O59" s="1696" t="e">
        <f t="shared" ca="1" si="17"/>
        <v>#DIV/0!</v>
      </c>
      <c r="P59" s="1697" t="e">
        <f ca="1">OFFSET(VentExhCSV_Spc!$B$5,MATCH($C59,VentExhCSV_Spc!$C$6:$C$308,0),P$11)*$I59</f>
        <v>#N/A</v>
      </c>
      <c r="Q59" s="1698" t="str">
        <f t="shared" si="18"/>
        <v>Trsh</v>
      </c>
      <c r="R59" s="1699">
        <f t="shared" si="19"/>
        <v>0</v>
      </c>
      <c r="S59" s="1700">
        <f t="shared" si="19"/>
        <v>0</v>
      </c>
      <c r="T59" s="1701">
        <f t="shared" si="19"/>
        <v>0</v>
      </c>
      <c r="U59" s="1702">
        <f t="shared" ca="1" si="20"/>
        <v>0</v>
      </c>
      <c r="V59" s="1702">
        <f t="shared" si="21"/>
        <v>0</v>
      </c>
      <c r="W59" s="1702">
        <f t="shared" ca="1" si="22"/>
        <v>0</v>
      </c>
      <c r="X59" s="1702"/>
      <c r="Y59" s="1702"/>
      <c r="Z59" s="1703" t="e">
        <f ca="1">OFFSET(VentExhCSV_Spc!$B$5,MATCH($C59,VentExhCSV_Spc!$C$6:$C$308,0),Z$11)*$I59</f>
        <v>#N/A</v>
      </c>
      <c r="AD59" s="1490"/>
      <c r="AE59" s="1490"/>
      <c r="AG59" s="1496" t="s">
        <v>1114</v>
      </c>
      <c r="AH59" t="s">
        <v>1360</v>
      </c>
      <c r="AI59" t="s">
        <v>1116</v>
      </c>
      <c r="AJ59" t="s">
        <v>1361</v>
      </c>
      <c r="AK59" t="s">
        <v>1119</v>
      </c>
      <c r="AL59" t="s">
        <v>1118</v>
      </c>
      <c r="AM59" t="s">
        <v>1120</v>
      </c>
      <c r="AN59" t="s">
        <v>1121</v>
      </c>
      <c r="AO59" t="s">
        <v>1122</v>
      </c>
      <c r="AP59" s="2732" t="s">
        <v>1355</v>
      </c>
      <c r="AQ59" s="2732"/>
      <c r="AR59" t="s">
        <v>1362</v>
      </c>
      <c r="AS59" s="370" t="s">
        <v>48</v>
      </c>
    </row>
    <row r="60" spans="2:45" s="50" customFormat="1" x14ac:dyDescent="0.3">
      <c r="B60" s="50">
        <f t="shared" si="0"/>
        <v>46</v>
      </c>
      <c r="C60" s="1" t="s">
        <v>1788</v>
      </c>
      <c r="D60" s="1" t="s">
        <v>1770</v>
      </c>
      <c r="E60" s="1" t="s">
        <v>825</v>
      </c>
      <c r="F60" s="1" t="s">
        <v>841</v>
      </c>
      <c r="G60" s="1" t="s">
        <v>1773</v>
      </c>
      <c r="H60" s="1" t="s">
        <v>1821</v>
      </c>
      <c r="I60" t="e">
        <f ca="1">OFFSET(Spaces_Ref,MATCH(Ventilation!$C60,OFFSET(Spaces_Ref,$I$9,$I$10,2000),0),$I$11)</f>
        <v>#N/A</v>
      </c>
      <c r="J60" s="1691">
        <f t="shared" ca="1" si="1"/>
        <v>0</v>
      </c>
      <c r="K60" s="1692">
        <f t="shared" ca="1" si="26"/>
        <v>0</v>
      </c>
      <c r="L60" s="1693">
        <f t="shared" ca="1" si="26"/>
        <v>0</v>
      </c>
      <c r="M60" s="1694"/>
      <c r="N60" s="1695" t="e">
        <f t="shared" ca="1" si="16"/>
        <v>#DIV/0!</v>
      </c>
      <c r="O60" s="1696" t="e">
        <f t="shared" ca="1" si="17"/>
        <v>#DIV/0!</v>
      </c>
      <c r="P60" s="1697" t="e">
        <f ca="1">OFFSET(VentExhCSV_Spc!$B$5,MATCH($C60,VentExhCSV_Spc!$C$6:$C$308,0),P$11)*$I60</f>
        <v>#N/A</v>
      </c>
      <c r="Q60" s="1698" t="str">
        <f t="shared" si="18"/>
        <v>Strs</v>
      </c>
      <c r="R60" s="1699">
        <f t="shared" si="19"/>
        <v>0</v>
      </c>
      <c r="S60" s="1700">
        <f t="shared" si="19"/>
        <v>0</v>
      </c>
      <c r="T60" s="1701">
        <f t="shared" si="19"/>
        <v>0</v>
      </c>
      <c r="U60" s="1702">
        <f t="shared" ca="1" si="20"/>
        <v>0</v>
      </c>
      <c r="V60" s="1702">
        <f t="shared" si="21"/>
        <v>0</v>
      </c>
      <c r="W60" s="1702">
        <f t="shared" ca="1" si="22"/>
        <v>0</v>
      </c>
      <c r="X60" s="1702"/>
      <c r="Y60" s="1702"/>
      <c r="Z60" s="1703" t="e">
        <f ca="1">OFFSET(VentExhCSV_Spc!$B$5,MATCH($C60,VentExhCSV_Spc!$C$6:$C$308,0),Z$11)*$I60</f>
        <v>#N/A</v>
      </c>
      <c r="AD60" s="1490"/>
      <c r="AE60" s="1490"/>
      <c r="AG60" s="1496"/>
      <c r="AH60" t="s">
        <v>302</v>
      </c>
      <c r="AI60" t="s">
        <v>1123</v>
      </c>
      <c r="AJ60"/>
      <c r="AK60" t="s">
        <v>1124</v>
      </c>
      <c r="AL60" t="s">
        <v>625</v>
      </c>
      <c r="AM60" t="s">
        <v>89</v>
      </c>
      <c r="AN60"/>
      <c r="AO60"/>
      <c r="AP60" s="119" t="s">
        <v>1363</v>
      </c>
      <c r="AQ60" s="119" t="s">
        <v>89</v>
      </c>
      <c r="AR60" t="s">
        <v>1363</v>
      </c>
      <c r="AS60" s="370"/>
    </row>
    <row r="61" spans="2:45" s="50" customFormat="1" x14ac:dyDescent="0.3">
      <c r="B61" s="50">
        <f t="shared" si="0"/>
        <v>47</v>
      </c>
      <c r="C61" s="1" t="s">
        <v>1798</v>
      </c>
      <c r="D61" s="1" t="s">
        <v>1792</v>
      </c>
      <c r="E61" s="1" t="s">
        <v>825</v>
      </c>
      <c r="F61" s="1" t="s">
        <v>836</v>
      </c>
      <c r="G61" s="1" t="s">
        <v>1799</v>
      </c>
      <c r="H61" s="1" t="s">
        <v>1821</v>
      </c>
      <c r="I61" t="e">
        <f ca="1">OFFSET(Spaces_Ref,MATCH(Ventilation!$C61,OFFSET(Spaces_Ref,$I$9,$I$10,2000),0),$I$11)</f>
        <v>#N/A</v>
      </c>
      <c r="J61" s="1691">
        <f t="shared" ca="1" si="1"/>
        <v>0</v>
      </c>
      <c r="K61" s="1692">
        <f t="shared" ca="1" si="26"/>
        <v>0</v>
      </c>
      <c r="L61" s="1693">
        <f t="shared" ca="1" si="26"/>
        <v>0</v>
      </c>
      <c r="M61" s="1694"/>
      <c r="N61" s="1695" t="e">
        <f t="shared" ca="1" si="16"/>
        <v>#DIV/0!</v>
      </c>
      <c r="O61" s="1696" t="e">
        <f t="shared" ca="1" si="17"/>
        <v>#DIV/0!</v>
      </c>
      <c r="P61" s="1697" t="e">
        <f ca="1">OFFSET(VentExhCSV_Spc!$B$5,MATCH($C61,VentExhCSV_Spc!$C$6:$C$308,0),P$11)*$I61</f>
        <v>#N/A</v>
      </c>
      <c r="Q61" s="1698" t="str">
        <f t="shared" si="18"/>
        <v>Corr</v>
      </c>
      <c r="R61" s="1699">
        <f t="shared" si="19"/>
        <v>0</v>
      </c>
      <c r="S61" s="1700">
        <f t="shared" si="19"/>
        <v>0</v>
      </c>
      <c r="T61" s="1701">
        <f t="shared" si="19"/>
        <v>0.12</v>
      </c>
      <c r="U61" s="1702">
        <f t="shared" ca="1" si="20"/>
        <v>0</v>
      </c>
      <c r="V61" s="1702">
        <f t="shared" si="21"/>
        <v>0</v>
      </c>
      <c r="W61" s="1702">
        <f t="shared" ca="1" si="22"/>
        <v>0</v>
      </c>
      <c r="X61" s="1702"/>
      <c r="Y61" s="1702"/>
      <c r="Z61" s="1703" t="e">
        <f ca="1">OFFSET(VentExhCSV_Spc!$B$5,MATCH($C61,VentExhCSV_Spc!$C$6:$C$308,0),Z$11)*$I61</f>
        <v>#N/A</v>
      </c>
      <c r="AD61" s="1490"/>
      <c r="AE61" s="1490"/>
      <c r="AG61" s="1497" t="s">
        <v>860</v>
      </c>
      <c r="AH61" s="663">
        <f>SUMIF(Spaces_Sum!$E$24:$E$52,Ventilation!AG61,Spaces_Sum!$H$24:$H$52)</f>
        <v>0</v>
      </c>
      <c r="AI61" s="1704"/>
      <c r="AJ61" s="1705"/>
      <c r="AK61" s="1705"/>
      <c r="AL61" s="1705"/>
      <c r="AM61" s="1705"/>
      <c r="AN61" s="1705"/>
      <c r="AO61" s="1705"/>
      <c r="AP61" s="1705"/>
      <c r="AQ61" s="1705"/>
      <c r="AR61" s="1705"/>
      <c r="AS61" s="1706"/>
    </row>
    <row r="62" spans="2:45" s="50" customFormat="1" x14ac:dyDescent="0.3">
      <c r="B62" s="50">
        <f t="shared" si="0"/>
        <v>48</v>
      </c>
      <c r="C62" s="1" t="s">
        <v>1808</v>
      </c>
      <c r="D62" s="1" t="s">
        <v>1792</v>
      </c>
      <c r="E62" s="1" t="s">
        <v>844</v>
      </c>
      <c r="F62" s="1" t="s">
        <v>834</v>
      </c>
      <c r="G62" s="1" t="s">
        <v>1799</v>
      </c>
      <c r="H62" s="1" t="s">
        <v>1821</v>
      </c>
      <c r="I62" t="e">
        <f ca="1">OFFSET(Spaces_Ref,MATCH(Ventilation!$C62,OFFSET(Spaces_Ref,$I$9,$I$10,2000),0),$I$11)</f>
        <v>#N/A</v>
      </c>
      <c r="J62" s="1691">
        <f t="shared" ca="1" si="1"/>
        <v>0</v>
      </c>
      <c r="K62" s="1692">
        <f t="shared" ca="1" si="26"/>
        <v>0</v>
      </c>
      <c r="L62" s="1693">
        <f t="shared" ca="1" si="26"/>
        <v>0</v>
      </c>
      <c r="M62" s="1694"/>
      <c r="N62" s="1695" t="e">
        <f t="shared" ca="1" si="16"/>
        <v>#DIV/0!</v>
      </c>
      <c r="O62" s="1696" t="e">
        <f t="shared" ca="1" si="17"/>
        <v>#DIV/0!</v>
      </c>
      <c r="P62" s="1697" t="e">
        <f ca="1">OFFSET(VentExhCSV_Spc!$B$5,MATCH($C62,VentExhCSV_Spc!$C$6:$C$308,0),P$11)*$I62</f>
        <v>#N/A</v>
      </c>
      <c r="Q62" s="1698" t="str">
        <f t="shared" si="18"/>
        <v>Elev</v>
      </c>
      <c r="R62" s="1699">
        <f t="shared" si="19"/>
        <v>0</v>
      </c>
      <c r="S62" s="1700">
        <f t="shared" si="19"/>
        <v>0</v>
      </c>
      <c r="T62" s="1701">
        <f t="shared" si="19"/>
        <v>0</v>
      </c>
      <c r="U62" s="1702">
        <f t="shared" si="20"/>
        <v>0</v>
      </c>
      <c r="V62" s="1702">
        <f t="shared" ca="1" si="21"/>
        <v>0</v>
      </c>
      <c r="W62" s="1702">
        <f t="shared" ca="1" si="22"/>
        <v>0</v>
      </c>
      <c r="X62" s="1702"/>
      <c r="Y62" s="1702"/>
      <c r="Z62" s="1703" t="e">
        <f ca="1">OFFSET(VentExhCSV_Spc!$B$5,MATCH($C62,VentExhCSV_Spc!$C$6:$C$308,0),Z$11)*$I62</f>
        <v>#N/A</v>
      </c>
      <c r="AD62" s="1490"/>
      <c r="AE62" s="1490"/>
      <c r="AG62" s="1497" t="s">
        <v>876</v>
      </c>
      <c r="AH62" s="663">
        <f ca="1">SUMIF(Spaces_Sum!$E$24:$E$52,Ventilation!AG62,Spaces_Sum!$H$24:$H$52)</f>
        <v>0</v>
      </c>
      <c r="AI62" s="1704"/>
      <c r="AJ62" s="1705"/>
      <c r="AK62" s="1705"/>
      <c r="AL62" s="1705"/>
      <c r="AM62" s="1705"/>
      <c r="AN62" s="1705"/>
      <c r="AO62" s="1705"/>
      <c r="AP62" s="1705"/>
      <c r="AQ62" s="1705"/>
      <c r="AR62" s="1705"/>
      <c r="AS62" s="1706"/>
    </row>
    <row r="63" spans="2:45" s="50" customFormat="1" x14ac:dyDescent="0.3">
      <c r="B63" s="50">
        <f t="shared" si="0"/>
        <v>49</v>
      </c>
      <c r="C63" s="1" t="s">
        <v>1809</v>
      </c>
      <c r="D63" s="1" t="s">
        <v>1792</v>
      </c>
      <c r="E63" s="1" t="s">
        <v>844</v>
      </c>
      <c r="F63" s="1" t="s">
        <v>834</v>
      </c>
      <c r="G63" s="1" t="s">
        <v>1799</v>
      </c>
      <c r="H63" s="1" t="s">
        <v>1821</v>
      </c>
      <c r="I63" t="e">
        <f ca="1">OFFSET(Spaces_Ref,MATCH(Ventilation!$C63,OFFSET(Spaces_Ref,$I$9,$I$10,2000),0),$I$11)</f>
        <v>#N/A</v>
      </c>
      <c r="J63" s="1691">
        <f t="shared" ca="1" si="1"/>
        <v>0</v>
      </c>
      <c r="K63" s="1692">
        <f t="shared" ca="1" si="26"/>
        <v>0</v>
      </c>
      <c r="L63" s="1693">
        <f t="shared" ca="1" si="26"/>
        <v>0</v>
      </c>
      <c r="M63" s="1694"/>
      <c r="N63" s="1695" t="e">
        <f t="shared" ca="1" si="16"/>
        <v>#DIV/0!</v>
      </c>
      <c r="O63" s="1696" t="e">
        <f t="shared" ca="1" si="17"/>
        <v>#DIV/0!</v>
      </c>
      <c r="P63" s="1697" t="e">
        <f ca="1">OFFSET(VentExhCSV_Spc!$B$5,MATCH($C63,VentExhCSV_Spc!$C$6:$C$308,0),P$11)*$I63</f>
        <v>#N/A</v>
      </c>
      <c r="Q63" s="1698" t="str">
        <f t="shared" si="18"/>
        <v>Elev</v>
      </c>
      <c r="R63" s="1699">
        <f t="shared" si="19"/>
        <v>0</v>
      </c>
      <c r="S63" s="1700">
        <f t="shared" si="19"/>
        <v>0</v>
      </c>
      <c r="T63" s="1701">
        <f t="shared" si="19"/>
        <v>0</v>
      </c>
      <c r="U63" s="1702">
        <f t="shared" si="20"/>
        <v>0</v>
      </c>
      <c r="V63" s="1702">
        <f t="shared" ca="1" si="21"/>
        <v>0</v>
      </c>
      <c r="W63" s="1702">
        <f t="shared" ca="1" si="22"/>
        <v>0</v>
      </c>
      <c r="X63" s="1702"/>
      <c r="Y63" s="1702"/>
      <c r="Z63" s="1703" t="e">
        <f ca="1">OFFSET(VentExhCSV_Spc!$B$5,MATCH($C63,VentExhCSV_Spc!$C$6:$C$308,0),Z$11)*$I63</f>
        <v>#N/A</v>
      </c>
      <c r="AD63" s="1490"/>
      <c r="AE63" s="1490"/>
      <c r="AG63" s="1497" t="s">
        <v>2138</v>
      </c>
      <c r="AH63" s="663">
        <f>SUMIF(Spaces_Sum!$E$24:$E$52,Ventilation!AG63,Spaces_Sum!$H$24:$H$52)</f>
        <v>0</v>
      </c>
      <c r="AI63" s="1">
        <v>30</v>
      </c>
      <c r="AJ63" s="663">
        <f t="shared" ref="AJ63:AJ82" si="27">ROUNDDOWN(AH63/1000*AI63,0)</f>
        <v>0</v>
      </c>
      <c r="AK63" s="1">
        <v>7.5</v>
      </c>
      <c r="AL63" s="1">
        <v>0.06</v>
      </c>
      <c r="AM63" s="1498">
        <f>(AK63*AJ63)+(AL63*AH63)</f>
        <v>0</v>
      </c>
      <c r="AN63" s="1">
        <v>1</v>
      </c>
      <c r="AO63" s="1498">
        <f t="shared" ref="AO63:AO82" si="28">AM63/AN63</f>
        <v>0</v>
      </c>
      <c r="AP63" s="1502">
        <v>0</v>
      </c>
      <c r="AQ63" s="1500"/>
      <c r="AR63" s="1707">
        <f>IFERROR(AO63/AH63 + AP63,0)</f>
        <v>0</v>
      </c>
      <c r="AS63" s="370"/>
    </row>
    <row r="64" spans="2:45" s="50" customFormat="1" x14ac:dyDescent="0.3">
      <c r="B64" s="50">
        <f t="shared" si="0"/>
        <v>50</v>
      </c>
      <c r="C64" s="1" t="s">
        <v>1810</v>
      </c>
      <c r="D64" s="1" t="s">
        <v>1792</v>
      </c>
      <c r="E64" s="1" t="s">
        <v>825</v>
      </c>
      <c r="F64" s="1" t="s">
        <v>841</v>
      </c>
      <c r="G64" s="1" t="s">
        <v>1799</v>
      </c>
      <c r="H64" s="1" t="s">
        <v>1821</v>
      </c>
      <c r="I64" t="e">
        <f ca="1">OFFSET(Spaces_Ref,MATCH(Ventilation!$C64,OFFSET(Spaces_Ref,$I$9,$I$10,2000),0),$I$11)</f>
        <v>#N/A</v>
      </c>
      <c r="J64" s="1691">
        <f t="shared" ca="1" si="1"/>
        <v>0</v>
      </c>
      <c r="K64" s="1692">
        <f t="shared" ca="1" si="26"/>
        <v>0</v>
      </c>
      <c r="L64" s="1693">
        <f t="shared" ca="1" si="26"/>
        <v>0</v>
      </c>
      <c r="M64" s="1694"/>
      <c r="N64" s="1695" t="e">
        <f t="shared" ca="1" si="16"/>
        <v>#DIV/0!</v>
      </c>
      <c r="O64" s="1696" t="e">
        <f t="shared" ca="1" si="17"/>
        <v>#DIV/0!</v>
      </c>
      <c r="P64" s="1697" t="e">
        <f ca="1">OFFSET(VentExhCSV_Spc!$B$5,MATCH($C64,VentExhCSV_Spc!$C$6:$C$308,0),P$11)*$I64</f>
        <v>#N/A</v>
      </c>
      <c r="Q64" s="1698" t="str">
        <f t="shared" si="18"/>
        <v>Strs</v>
      </c>
      <c r="R64" s="1699">
        <f t="shared" si="19"/>
        <v>0</v>
      </c>
      <c r="S64" s="1700">
        <f t="shared" si="19"/>
        <v>0</v>
      </c>
      <c r="T64" s="1701">
        <f t="shared" si="19"/>
        <v>0</v>
      </c>
      <c r="U64" s="1702">
        <f t="shared" ca="1" si="20"/>
        <v>0</v>
      </c>
      <c r="V64" s="1702">
        <f t="shared" si="21"/>
        <v>0</v>
      </c>
      <c r="W64" s="1702">
        <f t="shared" ca="1" si="22"/>
        <v>0</v>
      </c>
      <c r="X64" s="1702"/>
      <c r="Y64" s="1702"/>
      <c r="Z64" s="1703" t="e">
        <f ca="1">OFFSET(VentExhCSV_Spc!$B$5,MATCH($C64,VentExhCSV_Spc!$C$6:$C$308,0),Z$11)*$I64</f>
        <v>#N/A</v>
      </c>
      <c r="AD64" s="1490"/>
      <c r="AE64" s="1490"/>
      <c r="AG64" s="1497" t="s">
        <v>866</v>
      </c>
      <c r="AH64" s="663">
        <f ca="1">SUMIF(Spaces_Sum!$E$24:$E$52,Ventilation!AG64,Spaces_Sum!$H$24:$H$52)</f>
        <v>0</v>
      </c>
      <c r="AI64" s="1">
        <v>0</v>
      </c>
      <c r="AJ64" s="663">
        <f t="shared" ca="1" si="27"/>
        <v>0</v>
      </c>
      <c r="AK64" s="1">
        <v>0</v>
      </c>
      <c r="AL64" s="1">
        <v>0.3</v>
      </c>
      <c r="AM64" s="1498">
        <f t="shared" ref="AM64:AM78" ca="1" si="29">(AK64*AJ64)+(AL64*AH64)</f>
        <v>0</v>
      </c>
      <c r="AN64" s="1">
        <v>1</v>
      </c>
      <c r="AO64" s="1498">
        <f t="shared" ca="1" si="28"/>
        <v>0</v>
      </c>
      <c r="AP64" s="1502">
        <v>0</v>
      </c>
      <c r="AQ64" s="1500"/>
      <c r="AR64" s="1707">
        <f t="shared" ref="AR64:AR78" ca="1" si="30">IFERROR(AO64/AH64 + AP64,0)</f>
        <v>0</v>
      </c>
      <c r="AS64" s="370"/>
    </row>
    <row r="65" spans="2:45" s="50" customFormat="1" x14ac:dyDescent="0.3">
      <c r="B65" s="50">
        <f t="shared" si="0"/>
        <v>51</v>
      </c>
      <c r="C65" s="1" t="s">
        <v>1811</v>
      </c>
      <c r="D65" s="1" t="s">
        <v>1792</v>
      </c>
      <c r="E65" s="1" t="s">
        <v>825</v>
      </c>
      <c r="F65" s="1" t="s">
        <v>560</v>
      </c>
      <c r="G65" s="1" t="s">
        <v>1799</v>
      </c>
      <c r="H65" s="1" t="s">
        <v>1821</v>
      </c>
      <c r="I65" t="e">
        <f ca="1">OFFSET(Spaces_Ref,MATCH(Ventilation!$C65,OFFSET(Spaces_Ref,$I$9,$I$10,2000),0),$I$11)</f>
        <v>#N/A</v>
      </c>
      <c r="J65" s="1691">
        <f t="shared" ca="1" si="1"/>
        <v>0</v>
      </c>
      <c r="K65" s="1692">
        <f t="shared" ca="1" si="26"/>
        <v>0</v>
      </c>
      <c r="L65" s="1693">
        <f t="shared" ca="1" si="26"/>
        <v>0</v>
      </c>
      <c r="M65" s="1694"/>
      <c r="N65" s="1695" t="e">
        <f t="shared" ca="1" si="16"/>
        <v>#DIV/0!</v>
      </c>
      <c r="O65" s="1696" t="e">
        <f t="shared" ca="1" si="17"/>
        <v>#DIV/0!</v>
      </c>
      <c r="P65" s="1697" t="e">
        <f ca="1">OFFSET(VentExhCSV_Spc!$B$5,MATCH($C65,VentExhCSV_Spc!$C$6:$C$308,0),P$11)*$I65</f>
        <v>#N/A</v>
      </c>
      <c r="Q65" s="1698" t="str">
        <f t="shared" si="18"/>
        <v>Trsh</v>
      </c>
      <c r="R65" s="1699">
        <f t="shared" si="19"/>
        <v>0</v>
      </c>
      <c r="S65" s="1700">
        <f t="shared" si="19"/>
        <v>0</v>
      </c>
      <c r="T65" s="1701">
        <f t="shared" si="19"/>
        <v>0</v>
      </c>
      <c r="U65" s="1702">
        <f t="shared" ca="1" si="20"/>
        <v>0</v>
      </c>
      <c r="V65" s="1702">
        <f t="shared" si="21"/>
        <v>0</v>
      </c>
      <c r="W65" s="1702">
        <f t="shared" ca="1" si="22"/>
        <v>0</v>
      </c>
      <c r="X65" s="1702"/>
      <c r="Y65" s="1702"/>
      <c r="Z65" s="1703" t="e">
        <f ca="1">OFFSET(VentExhCSV_Spc!$B$5,MATCH($C65,VentExhCSV_Spc!$C$6:$C$308,0),Z$11)*$I65</f>
        <v>#N/A</v>
      </c>
      <c r="AD65" s="1490"/>
      <c r="AE65" s="1490"/>
      <c r="AG65" s="1497" t="s">
        <v>867</v>
      </c>
      <c r="AH65" s="663">
        <f ca="1">SUMIF(Spaces_Sum!$E$24:$E$52,Ventilation!AG65,Spaces_Sum!$H$24:$H$52)</f>
        <v>0</v>
      </c>
      <c r="AI65" s="1">
        <v>0</v>
      </c>
      <c r="AJ65" s="663">
        <f t="shared" ca="1" si="27"/>
        <v>0</v>
      </c>
      <c r="AK65" s="1">
        <v>0</v>
      </c>
      <c r="AL65" s="1">
        <v>0</v>
      </c>
      <c r="AM65" s="1498">
        <f t="shared" ca="1" si="29"/>
        <v>0</v>
      </c>
      <c r="AN65" s="1">
        <v>1</v>
      </c>
      <c r="AO65" s="1498">
        <f t="shared" ca="1" si="28"/>
        <v>0</v>
      </c>
      <c r="AP65" s="1502" t="e">
        <f ca="1">50/AH65</f>
        <v>#DIV/0!</v>
      </c>
      <c r="AQ65" s="1500"/>
      <c r="AR65" s="1707">
        <f t="shared" ca="1" si="30"/>
        <v>0</v>
      </c>
      <c r="AS65" s="370"/>
    </row>
    <row r="66" spans="2:45" s="50" customFormat="1" x14ac:dyDescent="0.3">
      <c r="B66" s="50">
        <f t="shared" si="0"/>
        <v>52</v>
      </c>
      <c r="C66" s="1" t="s">
        <v>1812</v>
      </c>
      <c r="D66" s="1" t="s">
        <v>1792</v>
      </c>
      <c r="E66" s="1" t="s">
        <v>825</v>
      </c>
      <c r="F66" s="1" t="s">
        <v>841</v>
      </c>
      <c r="G66" s="1" t="s">
        <v>1799</v>
      </c>
      <c r="H66" s="1" t="s">
        <v>1821</v>
      </c>
      <c r="I66" t="e">
        <f ca="1">OFFSET(Spaces_Ref,MATCH(Ventilation!$C66,OFFSET(Spaces_Ref,$I$9,$I$10,2000),0),$I$11)</f>
        <v>#N/A</v>
      </c>
      <c r="J66" s="1691">
        <f t="shared" ca="1" si="1"/>
        <v>0</v>
      </c>
      <c r="K66" s="1692">
        <f t="shared" ca="1" si="10"/>
        <v>0</v>
      </c>
      <c r="L66" s="1693">
        <f t="shared" ca="1" si="10"/>
        <v>0</v>
      </c>
      <c r="M66" s="1694"/>
      <c r="N66" s="1695" t="e">
        <f t="shared" ca="1" si="4"/>
        <v>#DIV/0!</v>
      </c>
      <c r="O66" s="1696" t="e">
        <f t="shared" ca="1" si="5"/>
        <v>#DIV/0!</v>
      </c>
      <c r="P66" s="1697" t="e">
        <f ca="1">OFFSET(VentExhCSV_Spc!$B$5,MATCH($C66,VentExhCSV_Spc!$C$6:$C$308,0),P$11)*$I66</f>
        <v>#N/A</v>
      </c>
      <c r="Q66" s="1698" t="str">
        <f t="shared" si="6"/>
        <v>Strs</v>
      </c>
      <c r="R66" s="1699">
        <f t="shared" si="19"/>
        <v>0</v>
      </c>
      <c r="S66" s="1700">
        <f t="shared" si="19"/>
        <v>0</v>
      </c>
      <c r="T66" s="1701">
        <f t="shared" si="19"/>
        <v>0</v>
      </c>
      <c r="U66" s="1702">
        <f t="shared" ca="1" si="7"/>
        <v>0</v>
      </c>
      <c r="V66" s="1702">
        <f t="shared" si="8"/>
        <v>0</v>
      </c>
      <c r="W66" s="1702">
        <f t="shared" ca="1" si="9"/>
        <v>0</v>
      </c>
      <c r="X66" s="1702"/>
      <c r="Y66" s="1702"/>
      <c r="Z66" s="1703" t="e">
        <f ca="1">OFFSET(VentExhCSV_Spc!$B$5,MATCH($C66,VentExhCSV_Spc!$C$6:$C$308,0),Z$11)*$I66</f>
        <v>#N/A</v>
      </c>
      <c r="AD66" s="1490"/>
      <c r="AE66" s="1490"/>
      <c r="AG66" s="1497" t="s">
        <v>864</v>
      </c>
      <c r="AH66" s="663">
        <f ca="1">SUMIF(Spaces_Sum!$E$24:$E$52,Ventilation!AG66,Spaces_Sum!$H$24:$H$52)</f>
        <v>0</v>
      </c>
      <c r="AI66" s="1">
        <v>30</v>
      </c>
      <c r="AJ66" s="663">
        <f t="shared" ca="1" si="27"/>
        <v>0</v>
      </c>
      <c r="AK66" s="1">
        <v>7.5</v>
      </c>
      <c r="AL66" s="1">
        <v>0.12</v>
      </c>
      <c r="AM66" s="1498">
        <f t="shared" ca="1" si="29"/>
        <v>0</v>
      </c>
      <c r="AN66" s="1">
        <v>1</v>
      </c>
      <c r="AO66" s="1498">
        <f t="shared" ca="1" si="28"/>
        <v>0</v>
      </c>
      <c r="AP66" s="1502">
        <v>0</v>
      </c>
      <c r="AQ66" s="1500"/>
      <c r="AR66" s="1707">
        <f t="shared" ca="1" si="30"/>
        <v>0</v>
      </c>
      <c r="AS66" s="370"/>
    </row>
    <row r="67" spans="2:45" s="50" customFormat="1" x14ac:dyDescent="0.3">
      <c r="B67" s="50">
        <f t="shared" si="0"/>
        <v>53</v>
      </c>
      <c r="C67" s="1728"/>
      <c r="D67" s="377"/>
      <c r="E67" s="377"/>
      <c r="F67" s="377"/>
      <c r="G67" s="377"/>
      <c r="H67" s="377"/>
      <c r="I67" s="377"/>
      <c r="J67" s="377"/>
      <c r="K67" s="377"/>
      <c r="L67" s="377"/>
      <c r="M67" s="377"/>
      <c r="N67" s="377"/>
      <c r="O67" s="377"/>
      <c r="P67" s="377"/>
      <c r="Q67" s="377"/>
      <c r="R67" s="377"/>
      <c r="S67" s="377"/>
      <c r="T67" s="377"/>
      <c r="U67" s="377"/>
      <c r="V67" s="377"/>
      <c r="W67" s="377"/>
      <c r="X67" s="377"/>
      <c r="Y67" s="377"/>
      <c r="Z67" s="1729"/>
      <c r="AD67" s="1490"/>
      <c r="AE67" s="1490"/>
      <c r="AG67" s="1497" t="s">
        <v>861</v>
      </c>
      <c r="AH67" s="663">
        <f ca="1">SUMIF(Spaces_Sum!$E$24:$E$52,Ventilation!AG67,Spaces_Sum!$H$24:$H$52)</f>
        <v>10335.684999999999</v>
      </c>
      <c r="AI67" s="1"/>
      <c r="AJ67" s="663">
        <f t="shared" ca="1" si="27"/>
        <v>0</v>
      </c>
      <c r="AK67" s="1">
        <v>0</v>
      </c>
      <c r="AL67" s="1">
        <v>0.12</v>
      </c>
      <c r="AM67" s="1498">
        <f t="shared" ca="1" si="29"/>
        <v>1240.2821999999999</v>
      </c>
      <c r="AN67" s="1">
        <v>1</v>
      </c>
      <c r="AO67" s="1498">
        <f t="shared" ca="1" si="28"/>
        <v>1240.2821999999999</v>
      </c>
      <c r="AP67" s="1502">
        <v>0</v>
      </c>
      <c r="AQ67" s="1500"/>
      <c r="AR67" s="1707">
        <f t="shared" ca="1" si="30"/>
        <v>0.12</v>
      </c>
      <c r="AS67" s="370"/>
    </row>
    <row r="68" spans="2:45" s="50" customFormat="1" x14ac:dyDescent="0.3">
      <c r="B68" s="50">
        <f t="shared" si="0"/>
        <v>54</v>
      </c>
      <c r="C68" s="1677" t="s">
        <v>1815</v>
      </c>
      <c r="D68" s="1678"/>
      <c r="E68" s="1679"/>
      <c r="F68" s="1679"/>
      <c r="G68" s="1679"/>
      <c r="H68" s="1679"/>
      <c r="I68" s="1679"/>
      <c r="J68" s="1680">
        <f ca="1">SUM(J69:J87)</f>
        <v>0</v>
      </c>
      <c r="K68" s="1681">
        <f ca="1">SUM(K69:K87)</f>
        <v>0</v>
      </c>
      <c r="L68" s="1682">
        <f ca="1">SUM(L69:L87)</f>
        <v>0</v>
      </c>
      <c r="M68" s="1683">
        <v>3000</v>
      </c>
      <c r="N68" s="1684" t="e">
        <f ca="1">M68/J68</f>
        <v>#DIV/0!</v>
      </c>
      <c r="O68" s="1684" t="e">
        <f ca="1">M68/K68</f>
        <v>#DIV/0!</v>
      </c>
      <c r="P68" s="1685" t="e">
        <f ca="1">SUM(P69:P87)</f>
        <v>#N/A</v>
      </c>
      <c r="Q68" s="1686"/>
      <c r="R68" s="1687"/>
      <c r="S68" s="1688"/>
      <c r="T68" s="1687"/>
      <c r="U68" s="1681">
        <f ca="1">SUM(U69:U87)</f>
        <v>0</v>
      </c>
      <c r="V68" s="1681">
        <f ca="1">SUM(V69:V87)</f>
        <v>0</v>
      </c>
      <c r="W68" s="1681">
        <f ca="1">SUM(W69:W87)</f>
        <v>0</v>
      </c>
      <c r="X68" s="1689" t="e">
        <f ca="1">W68/J68</f>
        <v>#DIV/0!</v>
      </c>
      <c r="Y68" s="1690" t="e">
        <f ca="1">W68/K68</f>
        <v>#DIV/0!</v>
      </c>
      <c r="Z68" s="1682" t="e">
        <f ca="1">SUM(Z69:Z87)</f>
        <v>#N/A</v>
      </c>
      <c r="AD68" s="1490"/>
      <c r="AE68" s="1490"/>
      <c r="AG68" s="1497" t="s">
        <v>862</v>
      </c>
      <c r="AH68" s="663">
        <f ca="1">SUMIF(Spaces_Sum!$E$24:$E$52,Ventilation!AG68,Spaces_Sum!$H$24:$H$52)</f>
        <v>3788.8861999999999</v>
      </c>
      <c r="AI68" s="1"/>
      <c r="AJ68" s="663">
        <f t="shared" ca="1" si="27"/>
        <v>0</v>
      </c>
      <c r="AK68" s="1">
        <v>0</v>
      </c>
      <c r="AL68" s="1">
        <v>0</v>
      </c>
      <c r="AM68" s="1498">
        <f t="shared" ca="1" si="29"/>
        <v>0</v>
      </c>
      <c r="AN68" s="1">
        <v>1</v>
      </c>
      <c r="AO68" s="1498">
        <f t="shared" ca="1" si="28"/>
        <v>0</v>
      </c>
      <c r="AP68" s="1502">
        <v>0</v>
      </c>
      <c r="AQ68" s="1500"/>
      <c r="AR68" s="1707">
        <f t="shared" ca="1" si="30"/>
        <v>0</v>
      </c>
      <c r="AS68" s="370"/>
    </row>
    <row r="69" spans="2:45" s="50" customFormat="1" x14ac:dyDescent="0.3">
      <c r="B69" s="50">
        <f t="shared" si="0"/>
        <v>55</v>
      </c>
      <c r="C69" s="1" t="s">
        <v>1636</v>
      </c>
      <c r="D69" s="1" t="s">
        <v>1632</v>
      </c>
      <c r="E69" s="1" t="s">
        <v>844</v>
      </c>
      <c r="F69" s="1" t="s">
        <v>841</v>
      </c>
      <c r="G69" s="1" t="s">
        <v>1637</v>
      </c>
      <c r="H69" s="1" t="s">
        <v>1815</v>
      </c>
      <c r="I69" t="e">
        <f ca="1">OFFSET(Spaces_Ref,MATCH(Ventilation!$C69,OFFSET(Spaces_Ref,$I$9,$I$10,2000),0),$I$11)</f>
        <v>#N/A</v>
      </c>
      <c r="J69" s="1691">
        <f t="shared" ca="1" si="1"/>
        <v>0</v>
      </c>
      <c r="K69" s="1692">
        <f t="shared" ref="K69:L69" ca="1" si="31">SUMIFS(OFFSET(Spaces_Ref,1,K$11,1000),OFFSET(Spaces_Ref,1,K$10,1000),$C69,OFFSET(Spaces_Ref,1,K$9,1000),K$13)</f>
        <v>0</v>
      </c>
      <c r="L69" s="1693">
        <f t="shared" ca="1" si="31"/>
        <v>0</v>
      </c>
      <c r="M69" s="1694"/>
      <c r="N69" s="1695" t="e">
        <f t="shared" ref="N69:N87" ca="1" si="32">$N$68*J69</f>
        <v>#DIV/0!</v>
      </c>
      <c r="O69" s="1696" t="e">
        <f t="shared" ref="O69:O87" ca="1" si="33">$O$68*K69</f>
        <v>#DIV/0!</v>
      </c>
      <c r="P69" s="1697" t="e">
        <f ca="1">OFFSET(VentExhCSV_Spc!$B$5,MATCH($C69,VentExhCSV_Spc!$C$6:$C$308,0),P$11)*$I69</f>
        <v>#N/A</v>
      </c>
      <c r="Q69" s="1698" t="str">
        <f>MID(C69,FIND("_",C69)+1,4)</f>
        <v>Strs</v>
      </c>
      <c r="R69" s="1699">
        <f t="shared" ref="R69:T87" si="34">VLOOKUP($Q69,$AG$32:$AQ$53,R$11,0)</f>
        <v>0</v>
      </c>
      <c r="S69" s="1700">
        <f t="shared" si="34"/>
        <v>0</v>
      </c>
      <c r="T69" s="1701">
        <f t="shared" si="34"/>
        <v>0</v>
      </c>
      <c r="U69" s="1702">
        <f>IF($E69="DirectlyConditioned",$R69*$J69/1000*$S69+$T69*$J69,0)</f>
        <v>0</v>
      </c>
      <c r="V69" s="1702">
        <f ca="1">IF($E69="IndirectlyConditioned",$R69*$J69/1000*$S69+$T69*$J69,0)</f>
        <v>0</v>
      </c>
      <c r="W69" s="1702">
        <f ca="1">SUM(U69:V69)</f>
        <v>0</v>
      </c>
      <c r="X69" s="1702"/>
      <c r="Y69" s="1702"/>
      <c r="Z69" s="1703" t="e">
        <f ca="1">OFFSET(VentExhCSV_Spc!$B$5,MATCH($C69,VentExhCSV_Spc!$C$6:$C$308,0),Z$11)*$I69</f>
        <v>#N/A</v>
      </c>
      <c r="AD69" s="1490"/>
      <c r="AE69" s="1490"/>
      <c r="AG69" s="1497" t="s">
        <v>863</v>
      </c>
      <c r="AH69" s="663">
        <f ca="1">SUMIF(Spaces_Sum!$E$24:$E$52,Ventilation!AG69,Spaces_Sum!$H$24:$H$52)</f>
        <v>1350.7968000000001</v>
      </c>
      <c r="AI69" s="1">
        <v>30</v>
      </c>
      <c r="AJ69" s="663">
        <f t="shared" ca="1" si="27"/>
        <v>40</v>
      </c>
      <c r="AK69" s="1">
        <v>7.5</v>
      </c>
      <c r="AL69" s="1">
        <v>0.06</v>
      </c>
      <c r="AM69" s="1498">
        <f t="shared" ca="1" si="29"/>
        <v>381.04780800000003</v>
      </c>
      <c r="AN69" s="1">
        <v>1</v>
      </c>
      <c r="AO69" s="1498">
        <f t="shared" ca="1" si="28"/>
        <v>381.04780800000003</v>
      </c>
      <c r="AP69" s="1502">
        <v>0</v>
      </c>
      <c r="AQ69" s="1500"/>
      <c r="AR69" s="1707">
        <f t="shared" ca="1" si="30"/>
        <v>0.2820911390965688</v>
      </c>
      <c r="AS69" s="370"/>
    </row>
    <row r="70" spans="2:45" s="50" customFormat="1" x14ac:dyDescent="0.3">
      <c r="B70" s="50">
        <f t="shared" ref="B70:B133" si="35">B69+1</f>
        <v>56</v>
      </c>
      <c r="C70" s="1" t="s">
        <v>1638</v>
      </c>
      <c r="D70" s="1" t="s">
        <v>1632</v>
      </c>
      <c r="E70" s="1" t="s">
        <v>825</v>
      </c>
      <c r="F70" s="1" t="s">
        <v>836</v>
      </c>
      <c r="G70" s="1" t="s">
        <v>1637</v>
      </c>
      <c r="H70" s="1" t="s">
        <v>1815</v>
      </c>
      <c r="I70" t="e">
        <f ca="1">OFFSET(Spaces_Ref,MATCH(Ventilation!$C70,OFFSET(Spaces_Ref,$I$9,$I$10,2000),0),$I$11)</f>
        <v>#N/A</v>
      </c>
      <c r="J70" s="1691">
        <f t="shared" ca="1" si="1"/>
        <v>0</v>
      </c>
      <c r="K70" s="1692">
        <f t="shared" ca="1" si="10"/>
        <v>0</v>
      </c>
      <c r="L70" s="1693">
        <f t="shared" ca="1" si="10"/>
        <v>0</v>
      </c>
      <c r="M70" s="1694"/>
      <c r="N70" s="1695" t="e">
        <f t="shared" ca="1" si="32"/>
        <v>#DIV/0!</v>
      </c>
      <c r="O70" s="1696" t="e">
        <f t="shared" ca="1" si="33"/>
        <v>#DIV/0!</v>
      </c>
      <c r="P70" s="1697" t="e">
        <f ca="1">OFFSET(VentExhCSV_Spc!$B$5,MATCH($C70,VentExhCSV_Spc!$C$6:$C$308,0),P$11)*$I70</f>
        <v>#N/A</v>
      </c>
      <c r="Q70" s="1698" t="str">
        <f t="shared" ref="Q70:Q75" si="36">MID(C70,FIND("_",C70)+1,4)</f>
        <v>Corr</v>
      </c>
      <c r="R70" s="1699">
        <f t="shared" si="34"/>
        <v>0</v>
      </c>
      <c r="S70" s="1700">
        <f t="shared" si="34"/>
        <v>0</v>
      </c>
      <c r="T70" s="1701">
        <f t="shared" si="34"/>
        <v>0.12</v>
      </c>
      <c r="U70" s="1702">
        <f t="shared" ca="1" si="7"/>
        <v>0</v>
      </c>
      <c r="V70" s="1702">
        <f t="shared" si="8"/>
        <v>0</v>
      </c>
      <c r="W70" s="1702">
        <f t="shared" ref="W70:W75" ca="1" si="37">SUM(U70:V70)</f>
        <v>0</v>
      </c>
      <c r="X70" s="1702"/>
      <c r="Y70" s="1702"/>
      <c r="Z70" s="1703" t="e">
        <f ca="1">OFFSET(VentExhCSV_Spc!$B$5,MATCH($C70,VentExhCSV_Spc!$C$6:$C$308,0),Z$11)*$I70</f>
        <v>#N/A</v>
      </c>
      <c r="AD70" s="1491"/>
      <c r="AE70" s="1516"/>
      <c r="AG70" s="1497" t="s">
        <v>868</v>
      </c>
      <c r="AH70" s="663">
        <f ca="1">SUMIF(Spaces_Sum!$E$24:$E$52,Ventilation!AG70,Spaces_Sum!$H$24:$H$52)</f>
        <v>0</v>
      </c>
      <c r="AI70" s="1"/>
      <c r="AJ70" s="663">
        <f t="shared" ca="1" si="27"/>
        <v>0</v>
      </c>
      <c r="AK70" s="1">
        <v>0</v>
      </c>
      <c r="AL70" s="1">
        <v>0</v>
      </c>
      <c r="AM70" s="1498">
        <f t="shared" ca="1" si="29"/>
        <v>0</v>
      </c>
      <c r="AN70" s="1">
        <v>1</v>
      </c>
      <c r="AO70" s="1498">
        <f t="shared" ca="1" si="28"/>
        <v>0</v>
      </c>
      <c r="AP70" s="1502">
        <v>0</v>
      </c>
      <c r="AQ70" s="1500"/>
      <c r="AR70" s="1707">
        <f t="shared" ca="1" si="30"/>
        <v>0</v>
      </c>
      <c r="AS70" s="370"/>
    </row>
    <row r="71" spans="2:45" s="50" customFormat="1" x14ac:dyDescent="0.3">
      <c r="B71" s="50">
        <f t="shared" si="35"/>
        <v>57</v>
      </c>
      <c r="C71" s="1" t="s">
        <v>1645</v>
      </c>
      <c r="D71" s="1" t="s">
        <v>1632</v>
      </c>
      <c r="E71" s="1" t="s">
        <v>825</v>
      </c>
      <c r="F71" s="1" t="s">
        <v>560</v>
      </c>
      <c r="G71" s="1" t="s">
        <v>1637</v>
      </c>
      <c r="H71" s="1" t="s">
        <v>1815</v>
      </c>
      <c r="I71" t="e">
        <f ca="1">OFFSET(Spaces_Ref,MATCH(Ventilation!$C71,OFFSET(Spaces_Ref,$I$9,$I$10,2000),0),$I$11)</f>
        <v>#N/A</v>
      </c>
      <c r="J71" s="1691">
        <f t="shared" ca="1" si="1"/>
        <v>0</v>
      </c>
      <c r="K71" s="1692">
        <f t="shared" ca="1" si="10"/>
        <v>0</v>
      </c>
      <c r="L71" s="1693">
        <f t="shared" ca="1" si="10"/>
        <v>0</v>
      </c>
      <c r="M71" s="1694"/>
      <c r="N71" s="1695" t="e">
        <f t="shared" ca="1" si="32"/>
        <v>#DIV/0!</v>
      </c>
      <c r="O71" s="1696" t="e">
        <f t="shared" ca="1" si="33"/>
        <v>#DIV/0!</v>
      </c>
      <c r="P71" s="1697" t="e">
        <f ca="1">OFFSET(VentExhCSV_Spc!$B$5,MATCH($C71,VentExhCSV_Spc!$C$6:$C$308,0),P$11)*$I71</f>
        <v>#N/A</v>
      </c>
      <c r="Q71" s="1698" t="str">
        <f t="shared" si="36"/>
        <v>Trsh</v>
      </c>
      <c r="R71" s="1699">
        <f t="shared" si="34"/>
        <v>0</v>
      </c>
      <c r="S71" s="1700">
        <f t="shared" si="34"/>
        <v>0</v>
      </c>
      <c r="T71" s="1701">
        <f t="shared" si="34"/>
        <v>0</v>
      </c>
      <c r="U71" s="1702">
        <f t="shared" ca="1" si="7"/>
        <v>0</v>
      </c>
      <c r="V71" s="1702">
        <f t="shared" si="8"/>
        <v>0</v>
      </c>
      <c r="W71" s="1702">
        <f t="shared" ca="1" si="37"/>
        <v>0</v>
      </c>
      <c r="X71" s="1702"/>
      <c r="Y71" s="1702"/>
      <c r="Z71" s="1703" t="e">
        <f ca="1">OFFSET(VentExhCSV_Spc!$B$5,MATCH($C71,VentExhCSV_Spc!$C$6:$C$308,0),Z$11)*$I71</f>
        <v>#N/A</v>
      </c>
      <c r="AD71" s="1491"/>
      <c r="AE71" s="1516"/>
      <c r="AG71" s="1497" t="s">
        <v>865</v>
      </c>
      <c r="AH71" s="663">
        <f ca="1">SUMIF(Spaces_Sum!$E$24:$E$52,Ventilation!AG71,Spaces_Sum!$H$24:$H$52)</f>
        <v>641.20320000000004</v>
      </c>
      <c r="AI71" s="1">
        <v>5</v>
      </c>
      <c r="AJ71" s="663">
        <f t="shared" ca="1" si="27"/>
        <v>3</v>
      </c>
      <c r="AK71" s="1">
        <v>5</v>
      </c>
      <c r="AL71" s="1">
        <v>0.06</v>
      </c>
      <c r="AM71" s="1498">
        <f t="shared" ca="1" si="29"/>
        <v>53.472192</v>
      </c>
      <c r="AN71" s="1">
        <v>1</v>
      </c>
      <c r="AO71" s="1498">
        <f t="shared" ca="1" si="28"/>
        <v>53.472192</v>
      </c>
      <c r="AP71" s="1502">
        <v>0</v>
      </c>
      <c r="AQ71" s="1500"/>
      <c r="AR71" s="1707">
        <f t="shared" ca="1" si="30"/>
        <v>8.3393520182057729E-2</v>
      </c>
      <c r="AS71" s="370"/>
    </row>
    <row r="72" spans="2:45" s="50" customFormat="1" x14ac:dyDescent="0.3">
      <c r="B72" s="50">
        <f t="shared" si="35"/>
        <v>58</v>
      </c>
      <c r="C72" s="1" t="s">
        <v>1646</v>
      </c>
      <c r="D72" s="1" t="s">
        <v>1632</v>
      </c>
      <c r="E72" s="1" t="s">
        <v>844</v>
      </c>
      <c r="F72" s="1" t="s">
        <v>841</v>
      </c>
      <c r="G72" s="1" t="s">
        <v>1637</v>
      </c>
      <c r="H72" s="1" t="s">
        <v>1815</v>
      </c>
      <c r="I72" t="e">
        <f ca="1">OFFSET(Spaces_Ref,MATCH(Ventilation!$C72,OFFSET(Spaces_Ref,$I$9,$I$10,2000),0),$I$11)</f>
        <v>#N/A</v>
      </c>
      <c r="J72" s="1691">
        <f t="shared" ca="1" si="1"/>
        <v>0</v>
      </c>
      <c r="K72" s="1692">
        <f t="shared" ca="1" si="10"/>
        <v>0</v>
      </c>
      <c r="L72" s="1693">
        <f t="shared" ca="1" si="10"/>
        <v>0</v>
      </c>
      <c r="M72" s="1694"/>
      <c r="N72" s="1695" t="e">
        <f t="shared" ca="1" si="32"/>
        <v>#DIV/0!</v>
      </c>
      <c r="O72" s="1696" t="e">
        <f t="shared" ca="1" si="33"/>
        <v>#DIV/0!</v>
      </c>
      <c r="P72" s="1697" t="e">
        <f ca="1">OFFSET(VentExhCSV_Spc!$B$5,MATCH($C72,VentExhCSV_Spc!$C$6:$C$308,0),P$11)*$I72</f>
        <v>#N/A</v>
      </c>
      <c r="Q72" s="1698" t="str">
        <f t="shared" si="36"/>
        <v>Strs</v>
      </c>
      <c r="R72" s="1699">
        <f t="shared" si="34"/>
        <v>0</v>
      </c>
      <c r="S72" s="1700">
        <f t="shared" si="34"/>
        <v>0</v>
      </c>
      <c r="T72" s="1701">
        <f t="shared" si="34"/>
        <v>0</v>
      </c>
      <c r="U72" s="1702">
        <f t="shared" si="7"/>
        <v>0</v>
      </c>
      <c r="V72" s="1702">
        <f t="shared" ca="1" si="8"/>
        <v>0</v>
      </c>
      <c r="W72" s="1702">
        <f t="shared" ca="1" si="37"/>
        <v>0</v>
      </c>
      <c r="X72" s="1702"/>
      <c r="Y72" s="1702"/>
      <c r="Z72" s="1703" t="e">
        <f ca="1">OFFSET(VentExhCSV_Spc!$B$5,MATCH($C72,VentExhCSV_Spc!$C$6:$C$308,0),Z$11)*$I72</f>
        <v>#N/A</v>
      </c>
      <c r="AD72" s="1491"/>
      <c r="AE72" s="1516"/>
      <c r="AG72" s="1497" t="s">
        <v>1011</v>
      </c>
      <c r="AH72" s="663">
        <f ca="1">SUMIF(Spaces_Sum!$E$24:$E$52,Ventilation!AG72,Spaces_Sum!$H$24:$H$52)</f>
        <v>7487.0558999999994</v>
      </c>
      <c r="AI72" s="1"/>
      <c r="AJ72" s="663">
        <f t="shared" ca="1" si="27"/>
        <v>0</v>
      </c>
      <c r="AK72" s="1">
        <v>0</v>
      </c>
      <c r="AL72" s="1">
        <v>0</v>
      </c>
      <c r="AM72" s="1498">
        <f t="shared" ca="1" si="29"/>
        <v>0</v>
      </c>
      <c r="AN72" s="1">
        <v>1</v>
      </c>
      <c r="AO72" s="1498">
        <f t="shared" ca="1" si="28"/>
        <v>0</v>
      </c>
      <c r="AP72" s="1502">
        <v>0</v>
      </c>
      <c r="AQ72" s="1500"/>
      <c r="AR72" s="1707">
        <f t="shared" ca="1" si="30"/>
        <v>0</v>
      </c>
      <c r="AS72" s="370"/>
    </row>
    <row r="73" spans="2:45" s="50" customFormat="1" x14ac:dyDescent="0.3">
      <c r="B73" s="50">
        <f t="shared" si="35"/>
        <v>59</v>
      </c>
      <c r="C73" s="1" t="s">
        <v>1663</v>
      </c>
      <c r="D73" s="1" t="s">
        <v>1664</v>
      </c>
      <c r="E73" s="1" t="s">
        <v>844</v>
      </c>
      <c r="F73" s="1" t="s">
        <v>834</v>
      </c>
      <c r="G73" s="1" t="s">
        <v>1665</v>
      </c>
      <c r="H73" s="1" t="s">
        <v>1815</v>
      </c>
      <c r="I73" t="e">
        <f ca="1">OFFSET(Spaces_Ref,MATCH(Ventilation!$C73,OFFSET(Spaces_Ref,$I$9,$I$10,2000),0),$I$11)</f>
        <v>#N/A</v>
      </c>
      <c r="J73" s="1691">
        <f t="shared" ca="1" si="1"/>
        <v>0</v>
      </c>
      <c r="K73" s="1692">
        <f t="shared" ca="1" si="10"/>
        <v>0</v>
      </c>
      <c r="L73" s="1693">
        <f t="shared" ca="1" si="10"/>
        <v>0</v>
      </c>
      <c r="M73" s="1694"/>
      <c r="N73" s="1695" t="e">
        <f t="shared" ca="1" si="32"/>
        <v>#DIV/0!</v>
      </c>
      <c r="O73" s="1696" t="e">
        <f t="shared" ca="1" si="33"/>
        <v>#DIV/0!</v>
      </c>
      <c r="P73" s="1697" t="e">
        <f ca="1">OFFSET(VentExhCSV_Spc!$B$5,MATCH($C73,VentExhCSV_Spc!$C$6:$C$308,0),P$11)*$I73</f>
        <v>#N/A</v>
      </c>
      <c r="Q73" s="1698" t="str">
        <f t="shared" si="36"/>
        <v>Elev</v>
      </c>
      <c r="R73" s="1699">
        <f t="shared" si="34"/>
        <v>0</v>
      </c>
      <c r="S73" s="1700">
        <f t="shared" si="34"/>
        <v>0</v>
      </c>
      <c r="T73" s="1701">
        <f t="shared" si="34"/>
        <v>0</v>
      </c>
      <c r="U73" s="1702">
        <f t="shared" si="7"/>
        <v>0</v>
      </c>
      <c r="V73" s="1702">
        <f t="shared" ca="1" si="8"/>
        <v>0</v>
      </c>
      <c r="W73" s="1702">
        <f t="shared" ca="1" si="37"/>
        <v>0</v>
      </c>
      <c r="X73" s="1702"/>
      <c r="Y73" s="1702"/>
      <c r="Z73" s="1703" t="e">
        <f ca="1">OFFSET(VentExhCSV_Spc!$B$5,MATCH($C73,VentExhCSV_Spc!$C$6:$C$308,0),Z$11)*$I73</f>
        <v>#N/A</v>
      </c>
      <c r="AD73" s="1491"/>
      <c r="AE73" s="1516"/>
      <c r="AG73" s="1497" t="s">
        <v>869</v>
      </c>
      <c r="AH73" s="663">
        <f ca="1">SUMIF(Spaces_Sum!$E$24:$E$52,Ventilation!AG73,Spaces_Sum!$H$24:$H$52)</f>
        <v>0</v>
      </c>
      <c r="AI73" s="1"/>
      <c r="AJ73" s="663">
        <f t="shared" ca="1" si="27"/>
        <v>0</v>
      </c>
      <c r="AK73" s="1">
        <v>0</v>
      </c>
      <c r="AL73" s="1">
        <v>0</v>
      </c>
      <c r="AM73" s="1498">
        <f t="shared" ca="1" si="29"/>
        <v>0</v>
      </c>
      <c r="AN73" s="1">
        <v>1</v>
      </c>
      <c r="AO73" s="1498">
        <f t="shared" ca="1" si="28"/>
        <v>0</v>
      </c>
      <c r="AP73" s="1502">
        <v>0.75</v>
      </c>
      <c r="AQ73" s="1500"/>
      <c r="AR73" s="1707">
        <f t="shared" ca="1" si="30"/>
        <v>0</v>
      </c>
      <c r="AS73" s="370"/>
    </row>
    <row r="74" spans="2:45" s="50" customFormat="1" x14ac:dyDescent="0.3">
      <c r="B74" s="50">
        <f t="shared" si="35"/>
        <v>60</v>
      </c>
      <c r="C74" s="1" t="s">
        <v>1666</v>
      </c>
      <c r="D74" s="1" t="s">
        <v>1664</v>
      </c>
      <c r="E74" s="1" t="s">
        <v>825</v>
      </c>
      <c r="F74" s="1" t="s">
        <v>560</v>
      </c>
      <c r="G74" s="1" t="s">
        <v>1665</v>
      </c>
      <c r="H74" s="1" t="s">
        <v>1815</v>
      </c>
      <c r="I74" t="e">
        <f ca="1">OFFSET(Spaces_Ref,MATCH(Ventilation!$C74,OFFSET(Spaces_Ref,$I$9,$I$10,2000),0),$I$11)</f>
        <v>#N/A</v>
      </c>
      <c r="J74" s="1691">
        <f t="shared" ca="1" si="1"/>
        <v>0</v>
      </c>
      <c r="K74" s="1692">
        <f t="shared" ca="1" si="10"/>
        <v>0</v>
      </c>
      <c r="L74" s="1693">
        <f t="shared" ca="1" si="10"/>
        <v>0</v>
      </c>
      <c r="M74" s="1694"/>
      <c r="N74" s="1695" t="e">
        <f t="shared" ca="1" si="32"/>
        <v>#DIV/0!</v>
      </c>
      <c r="O74" s="1696" t="e">
        <f t="shared" ca="1" si="33"/>
        <v>#DIV/0!</v>
      </c>
      <c r="P74" s="1697" t="e">
        <f ca="1">OFFSET(VentExhCSV_Spc!$B$5,MATCH($C74,VentExhCSV_Spc!$C$6:$C$308,0),P$11)*$I74</f>
        <v>#N/A</v>
      </c>
      <c r="Q74" s="1698" t="str">
        <f t="shared" si="36"/>
        <v>Trsh</v>
      </c>
      <c r="R74" s="1699">
        <f t="shared" si="34"/>
        <v>0</v>
      </c>
      <c r="S74" s="1700">
        <f t="shared" si="34"/>
        <v>0</v>
      </c>
      <c r="T74" s="1701">
        <f t="shared" si="34"/>
        <v>0</v>
      </c>
      <c r="U74" s="1702">
        <f t="shared" ca="1" si="7"/>
        <v>0</v>
      </c>
      <c r="V74" s="1702">
        <f t="shared" si="8"/>
        <v>0</v>
      </c>
      <c r="W74" s="1702">
        <f t="shared" ca="1" si="37"/>
        <v>0</v>
      </c>
      <c r="X74" s="1702"/>
      <c r="Y74" s="1702"/>
      <c r="Z74" s="1703" t="e">
        <f ca="1">OFFSET(VentExhCSV_Spc!$B$5,MATCH($C74,VentExhCSV_Spc!$C$6:$C$308,0),Z$11)*$I74</f>
        <v>#N/A</v>
      </c>
      <c r="AD74" s="1491"/>
      <c r="AE74" s="1516"/>
      <c r="AG74" s="1497" t="s">
        <v>2139</v>
      </c>
      <c r="AH74" s="663">
        <f>SUMIF(Spaces_Sum!$E$24:$E$52,Ventilation!AG74,Spaces_Sum!$H$24:$H$52)</f>
        <v>0</v>
      </c>
      <c r="AI74" s="1"/>
      <c r="AJ74" s="663">
        <f t="shared" si="27"/>
        <v>0</v>
      </c>
      <c r="AK74" s="1">
        <v>0</v>
      </c>
      <c r="AL74" s="1">
        <v>0</v>
      </c>
      <c r="AM74" s="1498">
        <f t="shared" si="29"/>
        <v>0</v>
      </c>
      <c r="AN74" s="1">
        <v>1</v>
      </c>
      <c r="AO74" s="1498">
        <f t="shared" si="28"/>
        <v>0</v>
      </c>
      <c r="AP74" s="1502">
        <v>0</v>
      </c>
      <c r="AQ74" s="1500"/>
      <c r="AR74" s="1707">
        <f t="shared" si="30"/>
        <v>0</v>
      </c>
      <c r="AS74" s="370"/>
    </row>
    <row r="75" spans="2:45" s="50" customFormat="1" x14ac:dyDescent="0.3">
      <c r="B75" s="50">
        <f t="shared" si="35"/>
        <v>61</v>
      </c>
      <c r="C75" s="1" t="s">
        <v>1667</v>
      </c>
      <c r="D75" s="1" t="s">
        <v>1664</v>
      </c>
      <c r="E75" s="1" t="s">
        <v>844</v>
      </c>
      <c r="F75" s="1" t="s">
        <v>841</v>
      </c>
      <c r="G75" s="1" t="s">
        <v>1665</v>
      </c>
      <c r="H75" s="1" t="s">
        <v>1815</v>
      </c>
      <c r="I75" t="e">
        <f ca="1">OFFSET(Spaces_Ref,MATCH(Ventilation!$C75,OFFSET(Spaces_Ref,$I$9,$I$10,2000),0),$I$11)</f>
        <v>#N/A</v>
      </c>
      <c r="J75" s="1691">
        <f t="shared" ca="1" si="1"/>
        <v>0</v>
      </c>
      <c r="K75" s="1692">
        <f t="shared" ca="1" si="10"/>
        <v>0</v>
      </c>
      <c r="L75" s="1693">
        <f t="shared" ca="1" si="10"/>
        <v>0</v>
      </c>
      <c r="M75" s="1694"/>
      <c r="N75" s="1695" t="e">
        <f t="shared" ca="1" si="32"/>
        <v>#DIV/0!</v>
      </c>
      <c r="O75" s="1696" t="e">
        <f t="shared" ca="1" si="33"/>
        <v>#DIV/0!</v>
      </c>
      <c r="P75" s="1697" t="e">
        <f ca="1">OFFSET(VentExhCSV_Spc!$B$5,MATCH($C75,VentExhCSV_Spc!$C$6:$C$308,0),P$11)*$I75</f>
        <v>#N/A</v>
      </c>
      <c r="Q75" s="1698" t="str">
        <f t="shared" si="36"/>
        <v>Strs</v>
      </c>
      <c r="R75" s="1699">
        <f t="shared" si="34"/>
        <v>0</v>
      </c>
      <c r="S75" s="1700">
        <f t="shared" si="34"/>
        <v>0</v>
      </c>
      <c r="T75" s="1701">
        <f t="shared" si="34"/>
        <v>0</v>
      </c>
      <c r="U75" s="1702">
        <f t="shared" si="7"/>
        <v>0</v>
      </c>
      <c r="V75" s="1702">
        <f t="shared" ca="1" si="8"/>
        <v>0</v>
      </c>
      <c r="W75" s="1702">
        <f t="shared" ca="1" si="37"/>
        <v>0</v>
      </c>
      <c r="X75" s="1702"/>
      <c r="Y75" s="1702"/>
      <c r="Z75" s="1703" t="e">
        <f ca="1">OFFSET(VentExhCSV_Spc!$B$5,MATCH($C75,VentExhCSV_Spc!$C$6:$C$308,0),Z$11)*$I75</f>
        <v>#N/A</v>
      </c>
      <c r="AD75" s="1491"/>
      <c r="AE75" s="1516"/>
      <c r="AG75" s="1497" t="s">
        <v>872</v>
      </c>
      <c r="AH75" s="663">
        <f ca="1">SUMIF(Spaces_Sum!$E$24:$E$52,Ventilation!AG75,Spaces_Sum!$H$24:$H$52)</f>
        <v>1332.6484</v>
      </c>
      <c r="AI75" s="1">
        <v>0</v>
      </c>
      <c r="AJ75" s="663">
        <f t="shared" ca="1" si="27"/>
        <v>0</v>
      </c>
      <c r="AK75" s="1">
        <v>0</v>
      </c>
      <c r="AL75" s="1">
        <v>0</v>
      </c>
      <c r="AM75" s="1498">
        <f t="shared" ca="1" si="29"/>
        <v>0</v>
      </c>
      <c r="AN75" s="1">
        <v>1</v>
      </c>
      <c r="AO75" s="1498">
        <f t="shared" ca="1" si="28"/>
        <v>0</v>
      </c>
      <c r="AP75" s="1502">
        <v>0</v>
      </c>
      <c r="AQ75" s="1500"/>
      <c r="AR75" s="1707">
        <f t="shared" ca="1" si="30"/>
        <v>0</v>
      </c>
      <c r="AS75" s="370"/>
    </row>
    <row r="76" spans="2:45" s="50" customFormat="1" x14ac:dyDescent="0.3">
      <c r="B76" s="50">
        <f t="shared" si="35"/>
        <v>62</v>
      </c>
      <c r="C76" s="1" t="s">
        <v>1674</v>
      </c>
      <c r="D76" s="1" t="s">
        <v>1664</v>
      </c>
      <c r="E76" s="1" t="s">
        <v>844</v>
      </c>
      <c r="F76" s="1" t="s">
        <v>841</v>
      </c>
      <c r="G76" s="1" t="s">
        <v>1665</v>
      </c>
      <c r="H76" s="1" t="s">
        <v>1815</v>
      </c>
      <c r="I76" t="e">
        <f ca="1">OFFSET(Spaces_Ref,MATCH(Ventilation!$C76,OFFSET(Spaces_Ref,$I$9,$I$10,2000),0),$I$11)</f>
        <v>#N/A</v>
      </c>
      <c r="J76" s="1691">
        <f t="shared" ca="1" si="1"/>
        <v>0</v>
      </c>
      <c r="K76" s="1692">
        <f t="shared" ca="1" si="10"/>
        <v>0</v>
      </c>
      <c r="L76" s="1693">
        <f t="shared" ca="1" si="10"/>
        <v>0</v>
      </c>
      <c r="M76" s="1694"/>
      <c r="N76" s="1695" t="e">
        <f t="shared" ca="1" si="32"/>
        <v>#DIV/0!</v>
      </c>
      <c r="O76" s="1696" t="e">
        <f t="shared" ca="1" si="33"/>
        <v>#DIV/0!</v>
      </c>
      <c r="P76" s="1697" t="e">
        <f ca="1">OFFSET(VentExhCSV_Spc!$B$5,MATCH($C76,VentExhCSV_Spc!$C$6:$C$308,0),P$11)*$I76</f>
        <v>#N/A</v>
      </c>
      <c r="Q76" s="1698" t="str">
        <f t="shared" ref="Q76:Q78" si="38">MID(C76,FIND("_",C76)+1,4)</f>
        <v>Strs</v>
      </c>
      <c r="R76" s="1699">
        <f t="shared" si="34"/>
        <v>0</v>
      </c>
      <c r="S76" s="1700">
        <f t="shared" si="34"/>
        <v>0</v>
      </c>
      <c r="T76" s="1701">
        <f t="shared" si="34"/>
        <v>0</v>
      </c>
      <c r="U76" s="1702">
        <f t="shared" si="7"/>
        <v>0</v>
      </c>
      <c r="V76" s="1702">
        <f t="shared" ca="1" si="8"/>
        <v>0</v>
      </c>
      <c r="W76" s="1702">
        <f t="shared" ref="W76:W78" ca="1" si="39">SUM(U76:V76)</f>
        <v>0</v>
      </c>
      <c r="X76" s="1702"/>
      <c r="Y76" s="1702"/>
      <c r="Z76" s="1703" t="e">
        <f ca="1">OFFSET(VentExhCSV_Spc!$B$5,MATCH($C76,VentExhCSV_Spc!$C$6:$C$308,0),Z$11)*$I76</f>
        <v>#N/A</v>
      </c>
      <c r="AD76" s="1491"/>
      <c r="AE76" s="1516"/>
      <c r="AG76" s="1497" t="s">
        <v>870</v>
      </c>
      <c r="AH76" s="663">
        <f ca="1">SUMIF(Spaces_Sum!$E$24:$E$52,Ventilation!AG76,Spaces_Sum!$H$24:$H$52)</f>
        <v>4744.9070999999994</v>
      </c>
      <c r="AI76" s="1"/>
      <c r="AJ76" s="663">
        <f t="shared" ca="1" si="27"/>
        <v>0</v>
      </c>
      <c r="AK76" s="1">
        <v>0</v>
      </c>
      <c r="AL76" s="1">
        <v>0</v>
      </c>
      <c r="AM76" s="1498">
        <f t="shared" ca="1" si="29"/>
        <v>0</v>
      </c>
      <c r="AN76" s="1">
        <v>1</v>
      </c>
      <c r="AO76" s="1498">
        <f t="shared" ca="1" si="28"/>
        <v>0</v>
      </c>
      <c r="AP76" s="1502">
        <v>0</v>
      </c>
      <c r="AQ76" s="1500"/>
      <c r="AR76" s="1707">
        <f t="shared" ca="1" si="30"/>
        <v>0</v>
      </c>
      <c r="AS76" s="370"/>
    </row>
    <row r="77" spans="2:45" s="50" customFormat="1" x14ac:dyDescent="0.3">
      <c r="B77" s="50">
        <f t="shared" si="35"/>
        <v>63</v>
      </c>
      <c r="C77" s="1" t="s">
        <v>1675</v>
      </c>
      <c r="D77" s="1" t="s">
        <v>1664</v>
      </c>
      <c r="E77" s="1" t="s">
        <v>825</v>
      </c>
      <c r="F77" s="1" t="s">
        <v>836</v>
      </c>
      <c r="G77" s="1" t="s">
        <v>1665</v>
      </c>
      <c r="H77" s="1" t="s">
        <v>1815</v>
      </c>
      <c r="I77" t="e">
        <f ca="1">OFFSET(Spaces_Ref,MATCH(Ventilation!$C77,OFFSET(Spaces_Ref,$I$9,$I$10,2000),0),$I$11)</f>
        <v>#N/A</v>
      </c>
      <c r="J77" s="1691">
        <f t="shared" ca="1" si="1"/>
        <v>0</v>
      </c>
      <c r="K77" s="1692">
        <f t="shared" ca="1" si="10"/>
        <v>0</v>
      </c>
      <c r="L77" s="1693">
        <f t="shared" ca="1" si="10"/>
        <v>0</v>
      </c>
      <c r="M77" s="1694"/>
      <c r="N77" s="1695" t="e">
        <f t="shared" ca="1" si="32"/>
        <v>#DIV/0!</v>
      </c>
      <c r="O77" s="1696" t="e">
        <f t="shared" ca="1" si="33"/>
        <v>#DIV/0!</v>
      </c>
      <c r="P77" s="1697" t="e">
        <f ca="1">OFFSET(VentExhCSV_Spc!$B$5,MATCH($C77,VentExhCSV_Spc!$C$6:$C$308,0),P$11)*$I77</f>
        <v>#N/A</v>
      </c>
      <c r="Q77" s="1698" t="str">
        <f t="shared" si="38"/>
        <v>Corr</v>
      </c>
      <c r="R77" s="1699">
        <f t="shared" si="34"/>
        <v>0</v>
      </c>
      <c r="S77" s="1700">
        <f t="shared" si="34"/>
        <v>0</v>
      </c>
      <c r="T77" s="1701">
        <f t="shared" si="34"/>
        <v>0.12</v>
      </c>
      <c r="U77" s="1702">
        <f t="shared" ca="1" si="7"/>
        <v>0</v>
      </c>
      <c r="V77" s="1702">
        <f t="shared" si="8"/>
        <v>0</v>
      </c>
      <c r="W77" s="1702">
        <f t="shared" ca="1" si="39"/>
        <v>0</v>
      </c>
      <c r="X77" s="1702"/>
      <c r="Y77" s="1702"/>
      <c r="Z77" s="1703" t="e">
        <f ca="1">OFFSET(VentExhCSV_Spc!$B$5,MATCH($C77,VentExhCSV_Spc!$C$6:$C$308,0),Z$11)*$I77</f>
        <v>#N/A</v>
      </c>
      <c r="AD77" s="1491"/>
      <c r="AE77" s="1516"/>
      <c r="AG77" s="1497" t="s">
        <v>874</v>
      </c>
      <c r="AH77" s="663">
        <f ca="1">SUMIF(Spaces_Sum!$E$24:$E$52,Ventilation!AG77,Spaces_Sum!$H$24:$H$52)</f>
        <v>939.43700000000013</v>
      </c>
      <c r="AI77" s="1">
        <v>0</v>
      </c>
      <c r="AJ77" s="663">
        <f t="shared" ca="1" si="27"/>
        <v>0</v>
      </c>
      <c r="AK77" s="1">
        <v>0</v>
      </c>
      <c r="AL77" s="1">
        <v>0</v>
      </c>
      <c r="AM77" s="1498">
        <f t="shared" ca="1" si="29"/>
        <v>0</v>
      </c>
      <c r="AN77" s="1">
        <v>1</v>
      </c>
      <c r="AO77" s="1498">
        <f t="shared" ca="1" si="28"/>
        <v>0</v>
      </c>
      <c r="AP77" s="1502">
        <v>1</v>
      </c>
      <c r="AQ77" s="1500"/>
      <c r="AR77" s="1707">
        <f t="shared" ca="1" si="30"/>
        <v>1</v>
      </c>
      <c r="AS77" s="370"/>
    </row>
    <row r="78" spans="2:45" s="50" customFormat="1" x14ac:dyDescent="0.3">
      <c r="B78" s="50">
        <f t="shared" si="35"/>
        <v>64</v>
      </c>
      <c r="C78" s="1" t="s">
        <v>1687</v>
      </c>
      <c r="D78" s="1" t="s">
        <v>1681</v>
      </c>
      <c r="E78" s="1" t="s">
        <v>825</v>
      </c>
      <c r="F78" s="1" t="s">
        <v>841</v>
      </c>
      <c r="G78" s="1" t="s">
        <v>1688</v>
      </c>
      <c r="H78" s="1" t="s">
        <v>1815</v>
      </c>
      <c r="I78" t="e">
        <f ca="1">OFFSET(Spaces_Ref,MATCH(Ventilation!$C78,OFFSET(Spaces_Ref,$I$9,$I$10,2000),0),$I$11)</f>
        <v>#N/A</v>
      </c>
      <c r="J78" s="1691">
        <f t="shared" ca="1" si="1"/>
        <v>0</v>
      </c>
      <c r="K78" s="1692">
        <f t="shared" ca="1" si="10"/>
        <v>0</v>
      </c>
      <c r="L78" s="1693">
        <f t="shared" ca="1" si="10"/>
        <v>0</v>
      </c>
      <c r="M78" s="1694"/>
      <c r="N78" s="1695" t="e">
        <f t="shared" ca="1" si="32"/>
        <v>#DIV/0!</v>
      </c>
      <c r="O78" s="1696" t="e">
        <f t="shared" ca="1" si="33"/>
        <v>#DIV/0!</v>
      </c>
      <c r="P78" s="1697" t="e">
        <f ca="1">OFFSET(VentExhCSV_Spc!$B$5,MATCH($C78,VentExhCSV_Spc!$C$6:$C$308,0),P$11)*$I78</f>
        <v>#N/A</v>
      </c>
      <c r="Q78" s="1698" t="str">
        <f t="shared" si="38"/>
        <v>Strs</v>
      </c>
      <c r="R78" s="1699">
        <f t="shared" si="34"/>
        <v>0</v>
      </c>
      <c r="S78" s="1700">
        <f t="shared" si="34"/>
        <v>0</v>
      </c>
      <c r="T78" s="1701">
        <f t="shared" si="34"/>
        <v>0</v>
      </c>
      <c r="U78" s="1702">
        <f t="shared" ca="1" si="7"/>
        <v>0</v>
      </c>
      <c r="V78" s="1702">
        <f t="shared" si="8"/>
        <v>0</v>
      </c>
      <c r="W78" s="1702">
        <f t="shared" ca="1" si="39"/>
        <v>0</v>
      </c>
      <c r="X78" s="1702"/>
      <c r="Y78" s="1702"/>
      <c r="Z78" s="1703" t="e">
        <f ca="1">OFFSET(VentExhCSV_Spc!$B$5,MATCH($C78,VentExhCSV_Spc!$C$6:$C$308,0),Z$11)*$I78</f>
        <v>#N/A</v>
      </c>
      <c r="AD78" s="1491"/>
      <c r="AE78" s="1516"/>
      <c r="AG78" s="1497" t="s">
        <v>1422</v>
      </c>
      <c r="AH78" s="663">
        <f ca="1">SUMIF(Spaces_Sum!$E$24:$E$52,Ventilation!AG78,Spaces_Sum!$H$24:$H$52)</f>
        <v>0</v>
      </c>
      <c r="AI78" s="1"/>
      <c r="AJ78" s="663">
        <f t="shared" ca="1" si="27"/>
        <v>0</v>
      </c>
      <c r="AK78" s="1">
        <v>0</v>
      </c>
      <c r="AL78" s="1">
        <v>0</v>
      </c>
      <c r="AM78" s="1498">
        <f t="shared" ca="1" si="29"/>
        <v>0</v>
      </c>
      <c r="AN78" s="1">
        <v>1</v>
      </c>
      <c r="AO78" s="1498">
        <f t="shared" ca="1" si="28"/>
        <v>0</v>
      </c>
      <c r="AP78" s="1502">
        <v>0</v>
      </c>
      <c r="AQ78" s="1500"/>
      <c r="AR78" s="1707">
        <f t="shared" ca="1" si="30"/>
        <v>0</v>
      </c>
      <c r="AS78" s="370"/>
    </row>
    <row r="79" spans="2:45" s="50" customFormat="1" x14ac:dyDescent="0.3">
      <c r="B79" s="50">
        <f t="shared" si="35"/>
        <v>65</v>
      </c>
      <c r="C79" s="1" t="s">
        <v>1689</v>
      </c>
      <c r="D79" s="1" t="s">
        <v>1681</v>
      </c>
      <c r="E79" s="1" t="s">
        <v>825</v>
      </c>
      <c r="F79" s="1" t="s">
        <v>836</v>
      </c>
      <c r="G79" s="1" t="s">
        <v>1688</v>
      </c>
      <c r="H79" s="1" t="s">
        <v>1815</v>
      </c>
      <c r="I79" t="e">
        <f ca="1">OFFSET(Spaces_Ref,MATCH(Ventilation!$C79,OFFSET(Spaces_Ref,$I$9,$I$10,2000),0),$I$11)</f>
        <v>#N/A</v>
      </c>
      <c r="J79" s="1691">
        <f t="shared" ca="1" si="1"/>
        <v>0</v>
      </c>
      <c r="K79" s="1692">
        <f t="shared" ca="1" si="10"/>
        <v>0</v>
      </c>
      <c r="L79" s="1693">
        <f t="shared" ca="1" si="10"/>
        <v>0</v>
      </c>
      <c r="M79" s="1694"/>
      <c r="N79" s="1695" t="e">
        <f t="shared" ca="1" si="32"/>
        <v>#DIV/0!</v>
      </c>
      <c r="O79" s="1696" t="e">
        <f t="shared" ca="1" si="33"/>
        <v>#DIV/0!</v>
      </c>
      <c r="P79" s="1697" t="e">
        <f ca="1">OFFSET(VentExhCSV_Spc!$B$5,MATCH($C79,VentExhCSV_Spc!$C$6:$C$308,0),P$11)*$I79</f>
        <v>#N/A</v>
      </c>
      <c r="Q79" s="1698" t="str">
        <f t="shared" ref="Q79:Q80" si="40">MID(C79,FIND("_",C79)+1,4)</f>
        <v>Corr</v>
      </c>
      <c r="R79" s="1699">
        <f t="shared" si="34"/>
        <v>0</v>
      </c>
      <c r="S79" s="1700">
        <f t="shared" si="34"/>
        <v>0</v>
      </c>
      <c r="T79" s="1701">
        <f t="shared" si="34"/>
        <v>0.12</v>
      </c>
      <c r="U79" s="1702">
        <f t="shared" ca="1" si="7"/>
        <v>0</v>
      </c>
      <c r="V79" s="1702">
        <f t="shared" si="8"/>
        <v>0</v>
      </c>
      <c r="W79" s="1702">
        <f t="shared" ref="W79:W80" ca="1" si="41">SUM(U79:V79)</f>
        <v>0</v>
      </c>
      <c r="X79" s="1702"/>
      <c r="Y79" s="1702"/>
      <c r="Z79" s="1703" t="e">
        <f ca="1">OFFSET(VentExhCSV_Spc!$B$5,MATCH($C79,VentExhCSV_Spc!$C$6:$C$308,0),Z$11)*$I79</f>
        <v>#N/A</v>
      </c>
      <c r="AD79" s="1491"/>
      <c r="AE79" s="1516"/>
      <c r="AG79" s="1497" t="s">
        <v>871</v>
      </c>
      <c r="AH79" s="663">
        <f ca="1">SUMIF(Spaces_Sum!$E$24:$E$52,Ventilation!AG79,Spaces_Sum!$H$24:$H$52)</f>
        <v>2650.0201999999999</v>
      </c>
      <c r="AI79" s="1"/>
      <c r="AJ79" s="663">
        <f t="shared" ca="1" si="27"/>
        <v>0</v>
      </c>
      <c r="AK79" s="1">
        <v>0</v>
      </c>
      <c r="AL79" s="1">
        <v>0</v>
      </c>
      <c r="AM79" s="1498">
        <f ca="1">(AK79*AJ79)+(AL79*AH79)</f>
        <v>0</v>
      </c>
      <c r="AN79" s="1">
        <v>1</v>
      </c>
      <c r="AO79" s="1498">
        <f t="shared" ca="1" si="28"/>
        <v>0</v>
      </c>
      <c r="AP79" s="1502">
        <v>0</v>
      </c>
      <c r="AQ79" s="1500"/>
      <c r="AR79" s="1707">
        <f ca="1">IFERROR(AO79/AH79 + AP79,0)</f>
        <v>0</v>
      </c>
      <c r="AS79" s="370"/>
    </row>
    <row r="80" spans="2:45" s="50" customFormat="1" x14ac:dyDescent="0.3">
      <c r="B80" s="50">
        <f t="shared" si="35"/>
        <v>66</v>
      </c>
      <c r="C80" s="1" t="s">
        <v>1694</v>
      </c>
      <c r="D80" s="1" t="s">
        <v>1681</v>
      </c>
      <c r="E80" s="1" t="s">
        <v>844</v>
      </c>
      <c r="F80" s="1" t="s">
        <v>834</v>
      </c>
      <c r="G80" s="1" t="s">
        <v>1688</v>
      </c>
      <c r="H80" s="1" t="s">
        <v>1815</v>
      </c>
      <c r="I80" t="e">
        <f ca="1">OFFSET(Spaces_Ref,MATCH(Ventilation!$C80,OFFSET(Spaces_Ref,$I$9,$I$10,2000),0),$I$11)</f>
        <v>#N/A</v>
      </c>
      <c r="J80" s="1691">
        <f t="shared" ca="1" si="1"/>
        <v>0</v>
      </c>
      <c r="K80" s="1692">
        <f t="shared" ca="1" si="10"/>
        <v>0</v>
      </c>
      <c r="L80" s="1693">
        <f t="shared" ca="1" si="10"/>
        <v>0</v>
      </c>
      <c r="M80" s="1694"/>
      <c r="N80" s="1695" t="e">
        <f t="shared" ca="1" si="32"/>
        <v>#DIV/0!</v>
      </c>
      <c r="O80" s="1696" t="e">
        <f t="shared" ca="1" si="33"/>
        <v>#DIV/0!</v>
      </c>
      <c r="P80" s="1697" t="e">
        <f ca="1">OFFSET(VentExhCSV_Spc!$B$5,MATCH($C80,VentExhCSV_Spc!$C$6:$C$308,0),P$11)*$I80</f>
        <v>#N/A</v>
      </c>
      <c r="Q80" s="1698" t="str">
        <f t="shared" si="40"/>
        <v>Elev</v>
      </c>
      <c r="R80" s="1699">
        <f t="shared" si="34"/>
        <v>0</v>
      </c>
      <c r="S80" s="1700">
        <f t="shared" si="34"/>
        <v>0</v>
      </c>
      <c r="T80" s="1701">
        <f t="shared" si="34"/>
        <v>0</v>
      </c>
      <c r="U80" s="1702">
        <f t="shared" si="7"/>
        <v>0</v>
      </c>
      <c r="V80" s="1702">
        <f t="shared" ca="1" si="8"/>
        <v>0</v>
      </c>
      <c r="W80" s="1702">
        <f t="shared" ca="1" si="41"/>
        <v>0</v>
      </c>
      <c r="X80" s="1702"/>
      <c r="Y80" s="1702"/>
      <c r="Z80" s="1703" t="e">
        <f ca="1">OFFSET(VentExhCSV_Spc!$B$5,MATCH($C80,VentExhCSV_Spc!$C$6:$C$308,0),Z$11)*$I80</f>
        <v>#N/A</v>
      </c>
      <c r="AD80" s="1491"/>
      <c r="AE80" s="1516"/>
      <c r="AG80" s="1497" t="s">
        <v>1423</v>
      </c>
      <c r="AH80" s="663">
        <f ca="1">SUMIF(Spaces_Sum!$E$24:$E$52,Ventilation!AG80,Spaces_Sum!$H$24:$H$52)</f>
        <v>0</v>
      </c>
      <c r="AI80" s="1"/>
      <c r="AJ80" s="663">
        <f t="shared" ca="1" si="27"/>
        <v>0</v>
      </c>
      <c r="AK80" s="1">
        <v>0</v>
      </c>
      <c r="AL80" s="1">
        <v>0</v>
      </c>
      <c r="AM80" s="1498">
        <f t="shared" ref="AM80:AM82" ca="1" si="42">(AK80*AJ80)+(AL80*AH80)</f>
        <v>0</v>
      </c>
      <c r="AN80" s="1">
        <v>1</v>
      </c>
      <c r="AO80" s="1498">
        <f t="shared" ca="1" si="28"/>
        <v>0</v>
      </c>
      <c r="AP80" s="1502">
        <v>0</v>
      </c>
      <c r="AQ80" s="1500"/>
      <c r="AR80" s="1707">
        <f t="shared" ref="AR80:AR82" ca="1" si="43">IFERROR(AO80/AH80 + AP80,0)</f>
        <v>0</v>
      </c>
      <c r="AS80" s="370"/>
    </row>
    <row r="81" spans="2:45" s="50" customFormat="1" x14ac:dyDescent="0.3">
      <c r="B81" s="50">
        <f t="shared" si="35"/>
        <v>67</v>
      </c>
      <c r="C81" s="1" t="s">
        <v>1695</v>
      </c>
      <c r="D81" s="1" t="s">
        <v>1681</v>
      </c>
      <c r="E81" s="1" t="s">
        <v>825</v>
      </c>
      <c r="F81" s="1" t="s">
        <v>560</v>
      </c>
      <c r="G81" s="1" t="s">
        <v>1688</v>
      </c>
      <c r="H81" s="1" t="s">
        <v>1815</v>
      </c>
      <c r="I81" t="e">
        <f ca="1">OFFSET(Spaces_Ref,MATCH(Ventilation!$C81,OFFSET(Spaces_Ref,$I$9,$I$10,2000),0),$I$11)</f>
        <v>#N/A</v>
      </c>
      <c r="J81" s="1691">
        <f t="shared" ca="1" si="1"/>
        <v>0</v>
      </c>
      <c r="K81" s="1692">
        <f t="shared" ca="1" si="10"/>
        <v>0</v>
      </c>
      <c r="L81" s="1693">
        <f t="shared" ca="1" si="10"/>
        <v>0</v>
      </c>
      <c r="M81" s="1694"/>
      <c r="N81" s="1695" t="e">
        <f t="shared" ca="1" si="32"/>
        <v>#DIV/0!</v>
      </c>
      <c r="O81" s="1696" t="e">
        <f t="shared" ca="1" si="33"/>
        <v>#DIV/0!</v>
      </c>
      <c r="P81" s="1697" t="e">
        <f ca="1">OFFSET(VentExhCSV_Spc!$B$5,MATCH($C81,VentExhCSV_Spc!$C$6:$C$308,0),P$11)*$I81</f>
        <v>#N/A</v>
      </c>
      <c r="Q81" s="1698" t="str">
        <f t="shared" ref="Q81:Q86" si="44">MID(C81,FIND("_",C81)+1,4)</f>
        <v>Trsh</v>
      </c>
      <c r="R81" s="1699">
        <f t="shared" si="34"/>
        <v>0</v>
      </c>
      <c r="S81" s="1700">
        <f t="shared" si="34"/>
        <v>0</v>
      </c>
      <c r="T81" s="1701">
        <f t="shared" si="34"/>
        <v>0</v>
      </c>
      <c r="U81" s="1702">
        <f t="shared" ca="1" si="7"/>
        <v>0</v>
      </c>
      <c r="V81" s="1702">
        <f t="shared" si="8"/>
        <v>0</v>
      </c>
      <c r="W81" s="1702">
        <f t="shared" ref="W81:W86" ca="1" si="45">SUM(U81:V81)</f>
        <v>0</v>
      </c>
      <c r="X81" s="1702"/>
      <c r="Y81" s="1702"/>
      <c r="Z81" s="1703" t="e">
        <f ca="1">OFFSET(VentExhCSV_Spc!$B$5,MATCH($C81,VentExhCSV_Spc!$C$6:$C$308,0),Z$11)*$I81</f>
        <v>#N/A</v>
      </c>
      <c r="AD81" s="1491"/>
      <c r="AE81" s="1516"/>
      <c r="AG81" s="1497" t="s">
        <v>875</v>
      </c>
      <c r="AH81" s="663">
        <f>SUMIF(Spaces_Sum!$E$24:$E$52,Ventilation!AG81,Spaces_Sum!$H$24:$H$52)</f>
        <v>0</v>
      </c>
      <c r="AI81" s="1"/>
      <c r="AJ81" s="663">
        <f t="shared" si="27"/>
        <v>0</v>
      </c>
      <c r="AK81" s="1">
        <v>0</v>
      </c>
      <c r="AL81" s="1">
        <v>0</v>
      </c>
      <c r="AM81" s="1498">
        <f t="shared" si="42"/>
        <v>0</v>
      </c>
      <c r="AN81" s="1">
        <v>1</v>
      </c>
      <c r="AO81" s="1498">
        <f t="shared" si="28"/>
        <v>0</v>
      </c>
      <c r="AP81" s="1502">
        <v>0</v>
      </c>
      <c r="AQ81" s="1500"/>
      <c r="AR81" s="1707">
        <f t="shared" si="43"/>
        <v>0</v>
      </c>
      <c r="AS81" s="370"/>
    </row>
    <row r="82" spans="2:45" s="50" customFormat="1" x14ac:dyDescent="0.3">
      <c r="B82" s="50">
        <f t="shared" si="35"/>
        <v>68</v>
      </c>
      <c r="C82" s="1" t="s">
        <v>1696</v>
      </c>
      <c r="D82" s="1" t="s">
        <v>1681</v>
      </c>
      <c r="E82" s="1" t="s">
        <v>825</v>
      </c>
      <c r="F82" s="1" t="s">
        <v>841</v>
      </c>
      <c r="G82" s="1" t="s">
        <v>1688</v>
      </c>
      <c r="H82" s="1" t="s">
        <v>1815</v>
      </c>
      <c r="I82" t="e">
        <f ca="1">OFFSET(Spaces_Ref,MATCH(Ventilation!$C82,OFFSET(Spaces_Ref,$I$9,$I$10,2000),0),$I$11)</f>
        <v>#N/A</v>
      </c>
      <c r="J82" s="1691">
        <f t="shared" ca="1" si="1"/>
        <v>0</v>
      </c>
      <c r="K82" s="1692">
        <f t="shared" ca="1" si="10"/>
        <v>0</v>
      </c>
      <c r="L82" s="1693">
        <f t="shared" ca="1" si="10"/>
        <v>0</v>
      </c>
      <c r="M82" s="1694"/>
      <c r="N82" s="1695" t="e">
        <f t="shared" ca="1" si="32"/>
        <v>#DIV/0!</v>
      </c>
      <c r="O82" s="1696" t="e">
        <f t="shared" ca="1" si="33"/>
        <v>#DIV/0!</v>
      </c>
      <c r="P82" s="1697" t="e">
        <f ca="1">OFFSET(VentExhCSV_Spc!$B$5,MATCH($C82,VentExhCSV_Spc!$C$6:$C$308,0),P$11)*$I82</f>
        <v>#N/A</v>
      </c>
      <c r="Q82" s="1698" t="str">
        <f t="shared" si="44"/>
        <v>Strs</v>
      </c>
      <c r="R82" s="1699">
        <f t="shared" si="34"/>
        <v>0</v>
      </c>
      <c r="S82" s="1700">
        <f t="shared" si="34"/>
        <v>0</v>
      </c>
      <c r="T82" s="1701">
        <f t="shared" si="34"/>
        <v>0</v>
      </c>
      <c r="U82" s="1702">
        <f t="shared" ca="1" si="7"/>
        <v>0</v>
      </c>
      <c r="V82" s="1702">
        <f t="shared" si="8"/>
        <v>0</v>
      </c>
      <c r="W82" s="1702">
        <f t="shared" ca="1" si="45"/>
        <v>0</v>
      </c>
      <c r="X82" s="1702"/>
      <c r="Y82" s="1702"/>
      <c r="Z82" s="1703" t="e">
        <f ca="1">OFFSET(VentExhCSV_Spc!$B$5,MATCH($C82,VentExhCSV_Spc!$C$6:$C$308,0),Z$11)*$I82</f>
        <v>#N/A</v>
      </c>
      <c r="AD82" s="1491"/>
      <c r="AE82" s="1516"/>
      <c r="AG82" s="1497" t="s">
        <v>1364</v>
      </c>
      <c r="AH82" s="663">
        <f ca="1">SUMIF(Spaces_Sum!$E$24:$E$52,Ventilation!AG82,Spaces_Sum!$H$24:$H$52)</f>
        <v>0</v>
      </c>
      <c r="AI82" s="1"/>
      <c r="AJ82" s="663">
        <f t="shared" ca="1" si="27"/>
        <v>0</v>
      </c>
      <c r="AK82" s="1">
        <v>0</v>
      </c>
      <c r="AL82" s="1">
        <v>0</v>
      </c>
      <c r="AM82" s="1498">
        <f t="shared" ca="1" si="42"/>
        <v>0</v>
      </c>
      <c r="AN82" s="1">
        <v>1</v>
      </c>
      <c r="AO82" s="1498">
        <f t="shared" ca="1" si="28"/>
        <v>0</v>
      </c>
      <c r="AP82" s="1502">
        <v>0</v>
      </c>
      <c r="AQ82" s="1500"/>
      <c r="AR82" s="1707">
        <f t="shared" ca="1" si="43"/>
        <v>0</v>
      </c>
      <c r="AS82" s="370"/>
    </row>
    <row r="83" spans="2:45" s="50" customFormat="1" x14ac:dyDescent="0.3">
      <c r="B83" s="50">
        <f t="shared" si="35"/>
        <v>69</v>
      </c>
      <c r="C83" s="1" t="s">
        <v>1708</v>
      </c>
      <c r="D83" s="1" t="s">
        <v>1702</v>
      </c>
      <c r="E83" s="1" t="s">
        <v>825</v>
      </c>
      <c r="F83" s="1" t="s">
        <v>841</v>
      </c>
      <c r="G83" s="1" t="s">
        <v>1709</v>
      </c>
      <c r="H83" s="1" t="s">
        <v>1815</v>
      </c>
      <c r="I83" t="e">
        <f ca="1">OFFSET(Spaces_Ref,MATCH(Ventilation!$C83,OFFSET(Spaces_Ref,$I$9,$I$10,2000),0),$I$11)</f>
        <v>#N/A</v>
      </c>
      <c r="J83" s="1691">
        <f t="shared" ca="1" si="1"/>
        <v>0</v>
      </c>
      <c r="K83" s="1692">
        <f t="shared" ca="1" si="10"/>
        <v>0</v>
      </c>
      <c r="L83" s="1693">
        <f t="shared" ca="1" si="10"/>
        <v>0</v>
      </c>
      <c r="M83" s="1694"/>
      <c r="N83" s="1695" t="e">
        <f t="shared" ca="1" si="32"/>
        <v>#DIV/0!</v>
      </c>
      <c r="O83" s="1696" t="e">
        <f t="shared" ca="1" si="33"/>
        <v>#DIV/0!</v>
      </c>
      <c r="P83" s="1697" t="e">
        <f ca="1">OFFSET(VentExhCSV_Spc!$B$5,MATCH($C83,VentExhCSV_Spc!$C$6:$C$308,0),P$11)*$I83</f>
        <v>#N/A</v>
      </c>
      <c r="Q83" s="1698" t="str">
        <f t="shared" si="44"/>
        <v>Strs</v>
      </c>
      <c r="R83" s="1699">
        <f t="shared" si="34"/>
        <v>0</v>
      </c>
      <c r="S83" s="1700">
        <f t="shared" si="34"/>
        <v>0</v>
      </c>
      <c r="T83" s="1701">
        <f t="shared" si="34"/>
        <v>0</v>
      </c>
      <c r="U83" s="1702">
        <f t="shared" ca="1" si="7"/>
        <v>0</v>
      </c>
      <c r="V83" s="1702">
        <f t="shared" si="8"/>
        <v>0</v>
      </c>
      <c r="W83" s="1702">
        <f t="shared" ca="1" si="45"/>
        <v>0</v>
      </c>
      <c r="X83" s="1702"/>
      <c r="Y83" s="1702"/>
      <c r="Z83" s="1703" t="e">
        <f ca="1">OFFSET(VentExhCSV_Spc!$B$5,MATCH($C83,VentExhCSV_Spc!$C$6:$C$308,0),Z$11)*$I83</f>
        <v>#N/A</v>
      </c>
      <c r="AD83" s="1491"/>
      <c r="AE83" s="1516"/>
      <c r="AG83" s="1497"/>
      <c r="AH83" s="663"/>
      <c r="AI83" s="1"/>
      <c r="AJ83" s="663"/>
      <c r="AK83" s="1"/>
      <c r="AL83" s="1"/>
      <c r="AM83" s="1498"/>
      <c r="AN83" s="1"/>
      <c r="AO83" s="1498"/>
      <c r="AP83" s="1502"/>
      <c r="AQ83" s="1500"/>
      <c r="AR83" s="1707"/>
      <c r="AS83" s="370"/>
    </row>
    <row r="84" spans="2:45" s="50" customFormat="1" x14ac:dyDescent="0.3">
      <c r="B84" s="50">
        <f t="shared" si="35"/>
        <v>70</v>
      </c>
      <c r="C84" s="1" t="s">
        <v>1710</v>
      </c>
      <c r="D84" s="1" t="s">
        <v>1702</v>
      </c>
      <c r="E84" s="1" t="s">
        <v>825</v>
      </c>
      <c r="F84" s="1" t="s">
        <v>836</v>
      </c>
      <c r="G84" s="1" t="s">
        <v>1709</v>
      </c>
      <c r="H84" s="1" t="s">
        <v>1815</v>
      </c>
      <c r="I84" t="e">
        <f ca="1">OFFSET(Spaces_Ref,MATCH(Ventilation!$C84,OFFSET(Spaces_Ref,$I$9,$I$10,2000),0),$I$11)</f>
        <v>#N/A</v>
      </c>
      <c r="J84" s="1691">
        <f t="shared" ca="1" si="1"/>
        <v>0</v>
      </c>
      <c r="K84" s="1692">
        <f t="shared" ca="1" si="10"/>
        <v>0</v>
      </c>
      <c r="L84" s="1693">
        <f t="shared" ca="1" si="10"/>
        <v>0</v>
      </c>
      <c r="M84" s="1694"/>
      <c r="N84" s="1695" t="e">
        <f t="shared" ca="1" si="32"/>
        <v>#DIV/0!</v>
      </c>
      <c r="O84" s="1696" t="e">
        <f t="shared" ca="1" si="33"/>
        <v>#DIV/0!</v>
      </c>
      <c r="P84" s="1697" t="e">
        <f ca="1">OFFSET(VentExhCSV_Spc!$B$5,MATCH($C84,VentExhCSV_Spc!$C$6:$C$308,0),P$11)*$I84</f>
        <v>#N/A</v>
      </c>
      <c r="Q84" s="1698" t="str">
        <f t="shared" si="44"/>
        <v>Corr</v>
      </c>
      <c r="R84" s="1699">
        <f t="shared" si="34"/>
        <v>0</v>
      </c>
      <c r="S84" s="1700">
        <f t="shared" si="34"/>
        <v>0</v>
      </c>
      <c r="T84" s="1701">
        <f t="shared" si="34"/>
        <v>0.12</v>
      </c>
      <c r="U84" s="1702">
        <f t="shared" ca="1" si="7"/>
        <v>0</v>
      </c>
      <c r="V84" s="1702">
        <f t="shared" si="8"/>
        <v>0</v>
      </c>
      <c r="W84" s="1702">
        <f t="shared" ca="1" si="45"/>
        <v>0</v>
      </c>
      <c r="X84" s="1702"/>
      <c r="Y84" s="1702"/>
      <c r="Z84" s="1703" t="e">
        <f ca="1">OFFSET(VentExhCSV_Spc!$B$5,MATCH($C84,VentExhCSV_Spc!$C$6:$C$308,0),Z$11)*$I84</f>
        <v>#N/A</v>
      </c>
      <c r="AD84" s="1491"/>
      <c r="AE84" s="1516"/>
      <c r="AG84" s="1497"/>
      <c r="AH84" s="663"/>
      <c r="AI84" s="1"/>
      <c r="AJ84" s="663"/>
      <c r="AK84" s="1"/>
      <c r="AL84" s="1"/>
      <c r="AM84" s="1498"/>
      <c r="AN84" s="1"/>
      <c r="AO84" s="1498"/>
      <c r="AP84" s="1502"/>
      <c r="AQ84" s="1500"/>
      <c r="AR84" s="1707"/>
      <c r="AS84" s="370"/>
    </row>
    <row r="85" spans="2:45" s="50" customFormat="1" x14ac:dyDescent="0.3">
      <c r="B85" s="50">
        <f t="shared" si="35"/>
        <v>71</v>
      </c>
      <c r="C85" s="1" t="s">
        <v>1715</v>
      </c>
      <c r="D85" s="1" t="s">
        <v>1702</v>
      </c>
      <c r="E85" s="1" t="s">
        <v>844</v>
      </c>
      <c r="F85" s="1" t="s">
        <v>834</v>
      </c>
      <c r="G85" s="1" t="s">
        <v>1709</v>
      </c>
      <c r="H85" s="1" t="s">
        <v>1815</v>
      </c>
      <c r="I85" t="e">
        <f ca="1">OFFSET(Spaces_Ref,MATCH(Ventilation!$C85,OFFSET(Spaces_Ref,$I$9,$I$10,2000),0),$I$11)</f>
        <v>#N/A</v>
      </c>
      <c r="J85" s="1691">
        <f t="shared" ca="1" si="1"/>
        <v>0</v>
      </c>
      <c r="K85" s="1692">
        <f t="shared" ca="1" si="10"/>
        <v>0</v>
      </c>
      <c r="L85" s="1693">
        <f t="shared" ca="1" si="10"/>
        <v>0</v>
      </c>
      <c r="M85" s="1694"/>
      <c r="N85" s="1695" t="e">
        <f t="shared" ca="1" si="32"/>
        <v>#DIV/0!</v>
      </c>
      <c r="O85" s="1696" t="e">
        <f t="shared" ca="1" si="33"/>
        <v>#DIV/0!</v>
      </c>
      <c r="P85" s="1697" t="e">
        <f ca="1">OFFSET(VentExhCSV_Spc!$B$5,MATCH($C85,VentExhCSV_Spc!$C$6:$C$308,0),P$11)*$I85</f>
        <v>#N/A</v>
      </c>
      <c r="Q85" s="1698" t="str">
        <f t="shared" si="44"/>
        <v>Elev</v>
      </c>
      <c r="R85" s="1699">
        <f t="shared" si="34"/>
        <v>0</v>
      </c>
      <c r="S85" s="1700">
        <f t="shared" si="34"/>
        <v>0</v>
      </c>
      <c r="T85" s="1701">
        <f t="shared" si="34"/>
        <v>0</v>
      </c>
      <c r="U85" s="1702">
        <f t="shared" si="7"/>
        <v>0</v>
      </c>
      <c r="V85" s="1702">
        <f t="shared" ca="1" si="8"/>
        <v>0</v>
      </c>
      <c r="W85" s="1702">
        <f t="shared" ca="1" si="45"/>
        <v>0</v>
      </c>
      <c r="X85" s="1702"/>
      <c r="Y85" s="1702"/>
      <c r="Z85" s="1703" t="e">
        <f ca="1">OFFSET(VentExhCSV_Spc!$B$5,MATCH($C85,VentExhCSV_Spc!$C$6:$C$308,0),Z$11)*$I85</f>
        <v>#N/A</v>
      </c>
      <c r="AD85" s="1491"/>
      <c r="AE85" s="1516"/>
      <c r="AG85" s="1514"/>
      <c r="AH85" s="1708"/>
      <c r="AI85" s="1515"/>
      <c r="AJ85" s="1708"/>
      <c r="AK85" s="1515"/>
      <c r="AL85" s="1515"/>
      <c r="AM85" s="1709"/>
      <c r="AN85" s="1515"/>
      <c r="AO85" s="1709"/>
      <c r="AP85" s="1710"/>
      <c r="AQ85" s="1711"/>
      <c r="AR85" s="1712"/>
      <c r="AS85" s="132"/>
    </row>
    <row r="86" spans="2:45" s="50" customFormat="1" x14ac:dyDescent="0.3">
      <c r="B86" s="50">
        <f t="shared" si="35"/>
        <v>72</v>
      </c>
      <c r="C86" s="1" t="s">
        <v>1716</v>
      </c>
      <c r="D86" s="1" t="s">
        <v>1702</v>
      </c>
      <c r="E86" s="1" t="s">
        <v>825</v>
      </c>
      <c r="F86" s="1" t="s">
        <v>560</v>
      </c>
      <c r="G86" s="1" t="s">
        <v>1709</v>
      </c>
      <c r="H86" s="1" t="s">
        <v>1815</v>
      </c>
      <c r="I86" t="e">
        <f ca="1">OFFSET(Spaces_Ref,MATCH(Ventilation!$C86,OFFSET(Spaces_Ref,$I$9,$I$10,2000),0),$I$11)</f>
        <v>#N/A</v>
      </c>
      <c r="J86" s="1691">
        <f t="shared" ca="1" si="1"/>
        <v>0</v>
      </c>
      <c r="K86" s="1692">
        <f t="shared" ca="1" si="10"/>
        <v>0</v>
      </c>
      <c r="L86" s="1693">
        <f t="shared" ca="1" si="10"/>
        <v>0</v>
      </c>
      <c r="M86" s="1694"/>
      <c r="N86" s="1695" t="e">
        <f t="shared" ca="1" si="32"/>
        <v>#DIV/0!</v>
      </c>
      <c r="O86" s="1696" t="e">
        <f t="shared" ca="1" si="33"/>
        <v>#DIV/0!</v>
      </c>
      <c r="P86" s="1697" t="e">
        <f ca="1">OFFSET(VentExhCSV_Spc!$B$5,MATCH($C86,VentExhCSV_Spc!$C$6:$C$308,0),P$11)*$I86</f>
        <v>#N/A</v>
      </c>
      <c r="Q86" s="1698" t="str">
        <f t="shared" si="44"/>
        <v>Trsh</v>
      </c>
      <c r="R86" s="1699">
        <f t="shared" si="34"/>
        <v>0</v>
      </c>
      <c r="S86" s="1700">
        <f t="shared" si="34"/>
        <v>0</v>
      </c>
      <c r="T86" s="1701">
        <f t="shared" si="34"/>
        <v>0</v>
      </c>
      <c r="U86" s="1702">
        <f t="shared" ca="1" si="7"/>
        <v>0</v>
      </c>
      <c r="V86" s="1702">
        <f t="shared" si="8"/>
        <v>0</v>
      </c>
      <c r="W86" s="1702">
        <f t="shared" ca="1" si="45"/>
        <v>0</v>
      </c>
      <c r="X86" s="1702"/>
      <c r="Y86" s="1702"/>
      <c r="Z86" s="1703" t="e">
        <f ca="1">OFFSET(VentExhCSV_Spc!$B$5,MATCH($C86,VentExhCSV_Spc!$C$6:$C$308,0),Z$11)*$I86</f>
        <v>#N/A</v>
      </c>
      <c r="AD86" s="1491"/>
      <c r="AE86" s="1516"/>
      <c r="AG86" s="124"/>
    </row>
    <row r="87" spans="2:45" s="50" customFormat="1" x14ac:dyDescent="0.3">
      <c r="B87" s="50">
        <f t="shared" si="35"/>
        <v>73</v>
      </c>
      <c r="C87" s="1" t="s">
        <v>1717</v>
      </c>
      <c r="D87" s="1" t="s">
        <v>1702</v>
      </c>
      <c r="E87" s="1" t="s">
        <v>825</v>
      </c>
      <c r="F87" s="1" t="s">
        <v>841</v>
      </c>
      <c r="G87" s="1" t="s">
        <v>1709</v>
      </c>
      <c r="H87" s="1" t="s">
        <v>1815</v>
      </c>
      <c r="I87" t="e">
        <f ca="1">OFFSET(Spaces_Ref,MATCH(Ventilation!$C87,OFFSET(Spaces_Ref,$I$9,$I$10,2000),0),$I$11)</f>
        <v>#N/A</v>
      </c>
      <c r="J87" s="1691">
        <f t="shared" ca="1" si="1"/>
        <v>0</v>
      </c>
      <c r="K87" s="1692">
        <f t="shared" ca="1" si="10"/>
        <v>0</v>
      </c>
      <c r="L87" s="1693">
        <f t="shared" ca="1" si="10"/>
        <v>0</v>
      </c>
      <c r="M87" s="1694"/>
      <c r="N87" s="1695" t="e">
        <f t="shared" ca="1" si="32"/>
        <v>#DIV/0!</v>
      </c>
      <c r="O87" s="1696" t="e">
        <f t="shared" ca="1" si="33"/>
        <v>#DIV/0!</v>
      </c>
      <c r="P87" s="1697" t="e">
        <f ca="1">OFFSET(VentExhCSV_Spc!$B$5,MATCH($C87,VentExhCSV_Spc!$C$6:$C$308,0),P$11)*$I87</f>
        <v>#N/A</v>
      </c>
      <c r="Q87" s="1698" t="str">
        <f t="shared" ref="Q87" si="46">MID(C87,FIND("_",C87)+1,4)</f>
        <v>Strs</v>
      </c>
      <c r="R87" s="1699">
        <f t="shared" si="34"/>
        <v>0</v>
      </c>
      <c r="S87" s="1700">
        <f t="shared" si="34"/>
        <v>0</v>
      </c>
      <c r="T87" s="1701">
        <f t="shared" si="34"/>
        <v>0</v>
      </c>
      <c r="U87" s="1702">
        <f t="shared" ca="1" si="7"/>
        <v>0</v>
      </c>
      <c r="V87" s="1702">
        <f t="shared" si="8"/>
        <v>0</v>
      </c>
      <c r="W87" s="1702">
        <f t="shared" ref="W87" ca="1" si="47">SUM(U87:V87)</f>
        <v>0</v>
      </c>
      <c r="X87" s="1702"/>
      <c r="Y87" s="1702"/>
      <c r="Z87" s="1703" t="e">
        <f ca="1">OFFSET(VentExhCSV_Spc!$B$5,MATCH($C87,VentExhCSV_Spc!$C$6:$C$308,0),Z$11)*$I87</f>
        <v>#N/A</v>
      </c>
      <c r="AD87" s="1491"/>
      <c r="AE87" s="1516"/>
      <c r="AG87" s="1496" t="s">
        <v>1114</v>
      </c>
      <c r="AH87" t="s">
        <v>1360</v>
      </c>
      <c r="AI87" t="s">
        <v>1116</v>
      </c>
      <c r="AJ87" t="s">
        <v>1361</v>
      </c>
      <c r="AK87" t="s">
        <v>1119</v>
      </c>
      <c r="AL87" t="s">
        <v>1118</v>
      </c>
      <c r="AM87" t="s">
        <v>1120</v>
      </c>
      <c r="AN87" t="s">
        <v>1121</v>
      </c>
      <c r="AO87" t="s">
        <v>1122</v>
      </c>
      <c r="AP87" s="2732" t="s">
        <v>1355</v>
      </c>
      <c r="AQ87" s="2732"/>
      <c r="AR87" t="s">
        <v>1362</v>
      </c>
      <c r="AS87" s="370" t="s">
        <v>48</v>
      </c>
    </row>
    <row r="88" spans="2:45" s="50" customFormat="1" x14ac:dyDescent="0.3">
      <c r="B88" s="50">
        <f t="shared" si="35"/>
        <v>74</v>
      </c>
      <c r="K88" s="123"/>
      <c r="L88" s="124"/>
      <c r="M88" s="124"/>
      <c r="N88" s="124"/>
      <c r="O88" s="124"/>
      <c r="P88" s="124"/>
      <c r="Z88"/>
      <c r="AD88" s="1491"/>
      <c r="AE88" s="1516"/>
      <c r="AG88" s="1496"/>
      <c r="AH88" t="s">
        <v>302</v>
      </c>
      <c r="AI88" t="s">
        <v>1123</v>
      </c>
      <c r="AJ88"/>
      <c r="AK88" t="s">
        <v>1124</v>
      </c>
      <c r="AL88" t="s">
        <v>625</v>
      </c>
      <c r="AM88" t="s">
        <v>89</v>
      </c>
      <c r="AN88"/>
      <c r="AO88"/>
      <c r="AP88" s="119" t="s">
        <v>1363</v>
      </c>
      <c r="AQ88" s="119" t="s">
        <v>89</v>
      </c>
      <c r="AR88" t="s">
        <v>1363</v>
      </c>
      <c r="AS88" s="370"/>
    </row>
    <row r="89" spans="2:45" s="50" customFormat="1" x14ac:dyDescent="0.3">
      <c r="B89" s="50">
        <f t="shared" si="35"/>
        <v>75</v>
      </c>
      <c r="K89" s="123"/>
      <c r="L89" s="124"/>
      <c r="M89" s="124"/>
      <c r="N89" s="124"/>
      <c r="O89" s="124"/>
      <c r="P89" s="124"/>
      <c r="Z89"/>
      <c r="AD89" s="1491"/>
      <c r="AE89" s="1516"/>
      <c r="AG89" s="1497" t="s">
        <v>860</v>
      </c>
      <c r="AH89" s="663">
        <f>SUMIF(Spaces_Sum!$E$24:$E$52,Ventilation!AG89,Spaces_Sum!$H$24:$H$52)</f>
        <v>0</v>
      </c>
      <c r="AI89" s="1704"/>
      <c r="AJ89" s="1705"/>
      <c r="AK89" s="1705"/>
      <c r="AL89" s="1705"/>
      <c r="AM89" s="1705"/>
      <c r="AN89" s="1705"/>
      <c r="AO89" s="1705"/>
      <c r="AP89" s="1705"/>
      <c r="AQ89" s="1705"/>
      <c r="AR89" s="1705"/>
      <c r="AS89" s="1706"/>
    </row>
    <row r="90" spans="2:45" s="50" customFormat="1" x14ac:dyDescent="0.3">
      <c r="B90" s="50">
        <f t="shared" si="35"/>
        <v>76</v>
      </c>
      <c r="K90" s="123"/>
      <c r="L90" s="124"/>
      <c r="M90" s="124"/>
      <c r="N90" s="124"/>
      <c r="O90" s="124"/>
      <c r="P90" s="124"/>
      <c r="Z90"/>
      <c r="AD90" s="1491"/>
      <c r="AE90" s="1516"/>
      <c r="AG90" s="1497" t="s">
        <v>876</v>
      </c>
      <c r="AH90" s="663">
        <f ca="1">SUMIF(Spaces_Sum!$E$24:$E$52,Ventilation!AG90,Spaces_Sum!$H$24:$H$52)</f>
        <v>0</v>
      </c>
      <c r="AI90" s="1704"/>
      <c r="AJ90" s="1705"/>
      <c r="AK90" s="1705"/>
      <c r="AL90" s="1705"/>
      <c r="AM90" s="1705"/>
      <c r="AN90" s="1705"/>
      <c r="AO90" s="1705"/>
      <c r="AP90" s="1705"/>
      <c r="AQ90" s="1705"/>
      <c r="AR90" s="1705"/>
      <c r="AS90" s="1706"/>
    </row>
    <row r="91" spans="2:45" s="50" customFormat="1" x14ac:dyDescent="0.3">
      <c r="B91" s="50">
        <f t="shared" si="35"/>
        <v>77</v>
      </c>
      <c r="K91" s="123"/>
      <c r="L91" s="124"/>
      <c r="M91" s="124"/>
      <c r="N91" s="124"/>
      <c r="O91" s="124"/>
      <c r="P91" s="124"/>
      <c r="Z91"/>
      <c r="AD91" s="1491"/>
      <c r="AE91" s="1516"/>
      <c r="AG91" s="1497" t="e">
        <v>#REF!</v>
      </c>
      <c r="AH91" s="663">
        <f>SUMIF(Spaces_Sum!$E$24:$E$52,Ventilation!AG91,Spaces_Sum!$H$24:$H$52)</f>
        <v>0</v>
      </c>
      <c r="AI91" s="1">
        <v>120</v>
      </c>
      <c r="AJ91" s="663">
        <f t="shared" ref="AJ91:AJ109" si="48">ROUNDDOWN(AH91/1000*AI91,0)</f>
        <v>0</v>
      </c>
      <c r="AK91" s="1">
        <v>5</v>
      </c>
      <c r="AL91" s="1">
        <v>0.06</v>
      </c>
      <c r="AM91" s="1498">
        <f>(AK91*AJ91)+(AL91*AH91)</f>
        <v>0</v>
      </c>
      <c r="AN91" s="1">
        <v>1</v>
      </c>
      <c r="AO91" s="1498">
        <f t="shared" ref="AO91:AO109" si="49">AM91/AN91</f>
        <v>0</v>
      </c>
      <c r="AP91" s="1502">
        <v>0</v>
      </c>
      <c r="AQ91" s="1500"/>
      <c r="AR91" s="1707">
        <f>IFERROR(AO91/AH91 + AP91,0)</f>
        <v>0</v>
      </c>
      <c r="AS91" s="370" t="s">
        <v>1455</v>
      </c>
    </row>
    <row r="92" spans="2:45" s="50" customFormat="1" x14ac:dyDescent="0.3">
      <c r="B92" s="50">
        <f t="shared" si="35"/>
        <v>78</v>
      </c>
      <c r="K92" s="123"/>
      <c r="L92" s="124"/>
      <c r="M92" s="124"/>
      <c r="N92" s="124"/>
      <c r="O92" s="124"/>
      <c r="P92" s="124"/>
      <c r="Z92"/>
      <c r="AD92" s="1491"/>
      <c r="AE92" s="1516"/>
      <c r="AG92" s="1497" t="s">
        <v>866</v>
      </c>
      <c r="AH92" s="663">
        <f ca="1">SUMIF(Spaces_Sum!$E$24:$E$52,Ventilation!AG92,Spaces_Sum!$H$24:$H$52)</f>
        <v>0</v>
      </c>
      <c r="AI92" s="1">
        <v>0</v>
      </c>
      <c r="AJ92" s="663">
        <f t="shared" ca="1" si="48"/>
        <v>0</v>
      </c>
      <c r="AK92" s="1">
        <v>0</v>
      </c>
      <c r="AL92" s="1">
        <v>0.3</v>
      </c>
      <c r="AM92" s="1498">
        <f t="shared" ref="AM92:AM105" ca="1" si="50">(AK92*AJ92)+(AL92*AH92)</f>
        <v>0</v>
      </c>
      <c r="AN92" s="1">
        <v>1</v>
      </c>
      <c r="AO92" s="1498">
        <f t="shared" ca="1" si="49"/>
        <v>0</v>
      </c>
      <c r="AP92" s="1502">
        <v>0</v>
      </c>
      <c r="AQ92" s="1500"/>
      <c r="AR92" s="1707">
        <f t="shared" ref="AR92:AR105" ca="1" si="51">IFERROR(AO92/AH92 + AP92,0)</f>
        <v>0</v>
      </c>
      <c r="AS92" s="370"/>
    </row>
    <row r="93" spans="2:45" s="50" customFormat="1" x14ac:dyDescent="0.3">
      <c r="B93" s="50">
        <f t="shared" si="35"/>
        <v>79</v>
      </c>
      <c r="K93" s="123"/>
      <c r="L93" s="124"/>
      <c r="M93" s="124"/>
      <c r="N93" s="124"/>
      <c r="O93" s="124"/>
      <c r="P93" s="124"/>
      <c r="Z93"/>
      <c r="AD93" s="1491"/>
      <c r="AE93" s="1516"/>
      <c r="AG93" s="1497" t="s">
        <v>867</v>
      </c>
      <c r="AH93" s="663">
        <f ca="1">SUMIF(Spaces_Sum!$E$24:$E$52,Ventilation!AG93,Spaces_Sum!$H$24:$H$52)</f>
        <v>0</v>
      </c>
      <c r="AI93" s="1">
        <v>0</v>
      </c>
      <c r="AJ93" s="663">
        <f t="shared" ca="1" si="48"/>
        <v>0</v>
      </c>
      <c r="AK93" s="1">
        <v>0</v>
      </c>
      <c r="AL93" s="1">
        <v>0</v>
      </c>
      <c r="AM93" s="1498">
        <f t="shared" ca="1" si="50"/>
        <v>0</v>
      </c>
      <c r="AN93" s="1">
        <v>1</v>
      </c>
      <c r="AO93" s="1498">
        <f t="shared" ca="1" si="49"/>
        <v>0</v>
      </c>
      <c r="AP93" s="1502" t="e">
        <f ca="1">50/AH93</f>
        <v>#DIV/0!</v>
      </c>
      <c r="AQ93" s="1500"/>
      <c r="AR93" s="1707">
        <f t="shared" ca="1" si="51"/>
        <v>0</v>
      </c>
      <c r="AS93" s="370"/>
    </row>
    <row r="94" spans="2:45" s="50" customFormat="1" x14ac:dyDescent="0.3">
      <c r="B94" s="50">
        <f t="shared" si="35"/>
        <v>80</v>
      </c>
      <c r="K94" s="123"/>
      <c r="L94" s="124"/>
      <c r="M94" s="124"/>
      <c r="N94" s="124"/>
      <c r="O94" s="124"/>
      <c r="P94" s="124"/>
      <c r="Z94"/>
      <c r="AD94" s="1491"/>
      <c r="AE94" s="1516"/>
      <c r="AG94" s="1497" t="s">
        <v>861</v>
      </c>
      <c r="AH94" s="663">
        <f ca="1">SUMIF(Spaces_Sum!$E$24:$E$52,Ventilation!AG94,Spaces_Sum!$H$24:$H$52)</f>
        <v>10335.684999999999</v>
      </c>
      <c r="AI94" s="1"/>
      <c r="AJ94" s="663">
        <f t="shared" ca="1" si="48"/>
        <v>0</v>
      </c>
      <c r="AK94" s="1">
        <v>0</v>
      </c>
      <c r="AL94" s="1">
        <v>0.06</v>
      </c>
      <c r="AM94" s="1498">
        <f t="shared" ca="1" si="50"/>
        <v>620.14109999999994</v>
      </c>
      <c r="AN94" s="1">
        <v>1</v>
      </c>
      <c r="AO94" s="1498">
        <f t="shared" ca="1" si="49"/>
        <v>620.14109999999994</v>
      </c>
      <c r="AP94" s="1502">
        <v>0</v>
      </c>
      <c r="AQ94" s="1500"/>
      <c r="AR94" s="1707">
        <f t="shared" ca="1" si="51"/>
        <v>0.06</v>
      </c>
      <c r="AS94" s="370"/>
    </row>
    <row r="95" spans="2:45" s="50" customFormat="1" x14ac:dyDescent="0.3">
      <c r="B95" s="50">
        <f t="shared" si="35"/>
        <v>81</v>
      </c>
      <c r="K95" s="123"/>
      <c r="L95" s="124"/>
      <c r="M95" s="124"/>
      <c r="N95" s="124"/>
      <c r="O95" s="124"/>
      <c r="P95" s="124"/>
      <c r="Z95"/>
      <c r="AD95" s="1491"/>
      <c r="AE95" s="1516"/>
      <c r="AG95" s="1497" t="s">
        <v>862</v>
      </c>
      <c r="AH95" s="663">
        <f ca="1">SUMIF(Spaces_Sum!$E$24:$E$52,Ventilation!AG95,Spaces_Sum!$H$24:$H$52)</f>
        <v>3788.8861999999999</v>
      </c>
      <c r="AI95" s="1"/>
      <c r="AJ95" s="663">
        <f t="shared" ca="1" si="48"/>
        <v>0</v>
      </c>
      <c r="AK95" s="1">
        <v>0</v>
      </c>
      <c r="AL95" s="1">
        <v>0</v>
      </c>
      <c r="AM95" s="1498">
        <f t="shared" ca="1" si="50"/>
        <v>0</v>
      </c>
      <c r="AN95" s="1">
        <v>1</v>
      </c>
      <c r="AO95" s="1498">
        <f t="shared" ca="1" si="49"/>
        <v>0</v>
      </c>
      <c r="AP95" s="1502">
        <v>0</v>
      </c>
      <c r="AQ95" s="1500"/>
      <c r="AR95" s="1707">
        <f t="shared" ca="1" si="51"/>
        <v>0</v>
      </c>
      <c r="AS95" s="370"/>
    </row>
    <row r="96" spans="2:45" s="50" customFormat="1" x14ac:dyDescent="0.3">
      <c r="B96" s="50">
        <f t="shared" si="35"/>
        <v>82</v>
      </c>
      <c r="K96" s="123"/>
      <c r="L96" s="124"/>
      <c r="M96" s="124"/>
      <c r="N96" s="124"/>
      <c r="O96" s="124"/>
      <c r="P96" s="124"/>
      <c r="Z96"/>
      <c r="AD96" s="1491"/>
      <c r="AE96" s="1516"/>
      <c r="AG96" s="1497" t="s">
        <v>863</v>
      </c>
      <c r="AH96" s="663">
        <f ca="1">SUMIF(Spaces_Sum!$E$24:$E$52,Ventilation!AG96,Spaces_Sum!$H$24:$H$52)</f>
        <v>1350.7968000000001</v>
      </c>
      <c r="AI96" s="1">
        <v>30</v>
      </c>
      <c r="AJ96" s="663">
        <f t="shared" ca="1" si="48"/>
        <v>40</v>
      </c>
      <c r="AK96" s="1">
        <v>7.5</v>
      </c>
      <c r="AL96" s="1">
        <v>0.06</v>
      </c>
      <c r="AM96" s="1498">
        <f t="shared" ca="1" si="50"/>
        <v>381.04780800000003</v>
      </c>
      <c r="AN96" s="1">
        <v>1</v>
      </c>
      <c r="AO96" s="1498">
        <f t="shared" ca="1" si="49"/>
        <v>381.04780800000003</v>
      </c>
      <c r="AP96" s="1502">
        <v>0</v>
      </c>
      <c r="AQ96" s="1500"/>
      <c r="AR96" s="1707">
        <f t="shared" ca="1" si="51"/>
        <v>0.2820911390965688</v>
      </c>
      <c r="AS96" s="370" t="s">
        <v>1456</v>
      </c>
    </row>
    <row r="97" spans="2:45" s="50" customFormat="1" x14ac:dyDescent="0.3">
      <c r="B97" s="50">
        <f t="shared" si="35"/>
        <v>83</v>
      </c>
      <c r="K97" s="123"/>
      <c r="L97" s="124"/>
      <c r="M97" s="124"/>
      <c r="N97" s="124"/>
      <c r="O97" s="124"/>
      <c r="P97" s="124"/>
      <c r="Z97"/>
      <c r="AD97" s="1491"/>
      <c r="AE97" s="1516"/>
      <c r="AG97" s="1497" t="s">
        <v>868</v>
      </c>
      <c r="AH97" s="663">
        <f ca="1">SUMIF(Spaces_Sum!$E$24:$E$52,Ventilation!AG97,Spaces_Sum!$H$24:$H$52)</f>
        <v>0</v>
      </c>
      <c r="AI97" s="1"/>
      <c r="AJ97" s="663">
        <f t="shared" ca="1" si="48"/>
        <v>0</v>
      </c>
      <c r="AK97" s="1">
        <v>0</v>
      </c>
      <c r="AL97" s="1">
        <v>0</v>
      </c>
      <c r="AM97" s="1498">
        <f t="shared" ca="1" si="50"/>
        <v>0</v>
      </c>
      <c r="AN97" s="1">
        <v>1</v>
      </c>
      <c r="AO97" s="1498">
        <f t="shared" ca="1" si="49"/>
        <v>0</v>
      </c>
      <c r="AP97" s="1502">
        <v>0</v>
      </c>
      <c r="AQ97" s="1500"/>
      <c r="AR97" s="1707">
        <f t="shared" ca="1" si="51"/>
        <v>0</v>
      </c>
      <c r="AS97" s="370"/>
    </row>
    <row r="98" spans="2:45" s="50" customFormat="1" x14ac:dyDescent="0.3">
      <c r="B98" s="50">
        <f t="shared" si="35"/>
        <v>84</v>
      </c>
      <c r="K98" s="123"/>
      <c r="L98" s="124"/>
      <c r="M98" s="124"/>
      <c r="N98" s="124"/>
      <c r="O98" s="124"/>
      <c r="P98" s="124"/>
      <c r="Z98"/>
      <c r="AD98" s="1491"/>
      <c r="AE98" s="1516"/>
      <c r="AG98" s="1497" t="s">
        <v>865</v>
      </c>
      <c r="AH98" s="663">
        <f ca="1">SUMIF(Spaces_Sum!$E$24:$E$52,Ventilation!AG98,Spaces_Sum!$H$24:$H$52)</f>
        <v>641.20320000000004</v>
      </c>
      <c r="AI98" s="1">
        <v>5</v>
      </c>
      <c r="AJ98" s="663">
        <f t="shared" ca="1" si="48"/>
        <v>3</v>
      </c>
      <c r="AK98" s="1">
        <v>5</v>
      </c>
      <c r="AL98" s="1">
        <v>0.06</v>
      </c>
      <c r="AM98" s="1498">
        <f t="shared" ca="1" si="50"/>
        <v>53.472192</v>
      </c>
      <c r="AN98" s="1">
        <v>1</v>
      </c>
      <c r="AO98" s="1498">
        <f t="shared" ca="1" si="49"/>
        <v>53.472192</v>
      </c>
      <c r="AP98" s="1502">
        <v>0</v>
      </c>
      <c r="AQ98" s="1500"/>
      <c r="AR98" s="1707">
        <f t="shared" ca="1" si="51"/>
        <v>8.3393520182057729E-2</v>
      </c>
      <c r="AS98" s="370" t="s">
        <v>1456</v>
      </c>
    </row>
    <row r="99" spans="2:45" s="50" customFormat="1" x14ac:dyDescent="0.3">
      <c r="B99" s="50">
        <f t="shared" si="35"/>
        <v>85</v>
      </c>
      <c r="K99" s="123"/>
      <c r="L99" s="124"/>
      <c r="M99" s="124"/>
      <c r="N99" s="124"/>
      <c r="O99" s="124"/>
      <c r="P99" s="124"/>
      <c r="Z99"/>
      <c r="AD99" s="1491"/>
      <c r="AE99" s="1516"/>
      <c r="AG99" s="1497" t="s">
        <v>1011</v>
      </c>
      <c r="AH99" s="663">
        <f ca="1">SUMIF(Spaces_Sum!$E$24:$E$52,Ventilation!AG99,Spaces_Sum!$H$24:$H$52)</f>
        <v>7487.0558999999994</v>
      </c>
      <c r="AI99" s="1"/>
      <c r="AJ99" s="663">
        <f t="shared" ca="1" si="48"/>
        <v>0</v>
      </c>
      <c r="AK99" s="1">
        <v>0</v>
      </c>
      <c r="AL99" s="1">
        <v>0</v>
      </c>
      <c r="AM99" s="1498">
        <f t="shared" ca="1" si="50"/>
        <v>0</v>
      </c>
      <c r="AN99" s="1">
        <v>1</v>
      </c>
      <c r="AO99" s="1498">
        <f t="shared" ca="1" si="49"/>
        <v>0</v>
      </c>
      <c r="AP99" s="1502">
        <v>0</v>
      </c>
      <c r="AQ99" s="1500"/>
      <c r="AR99" s="1707">
        <f t="shared" ca="1" si="51"/>
        <v>0</v>
      </c>
      <c r="AS99" s="370"/>
    </row>
    <row r="100" spans="2:45" s="50" customFormat="1" x14ac:dyDescent="0.3">
      <c r="B100" s="50">
        <f t="shared" si="35"/>
        <v>86</v>
      </c>
      <c r="K100" s="123"/>
      <c r="L100" s="124"/>
      <c r="M100" s="124"/>
      <c r="N100" s="124"/>
      <c r="O100" s="124"/>
      <c r="P100" s="124"/>
      <c r="Z100"/>
      <c r="AD100" s="1491"/>
      <c r="AE100" s="1516"/>
      <c r="AG100" s="1497" t="s">
        <v>869</v>
      </c>
      <c r="AH100" s="663">
        <f ca="1">SUMIF(Spaces_Sum!$E$24:$E$52,Ventilation!AG100,Spaces_Sum!$H$24:$H$52)</f>
        <v>0</v>
      </c>
      <c r="AI100" s="1"/>
      <c r="AJ100" s="663">
        <f t="shared" ca="1" si="48"/>
        <v>0</v>
      </c>
      <c r="AK100" s="1">
        <v>0</v>
      </c>
      <c r="AL100" s="1">
        <v>0</v>
      </c>
      <c r="AM100" s="1498">
        <f t="shared" ca="1" si="50"/>
        <v>0</v>
      </c>
      <c r="AN100" s="1">
        <v>1</v>
      </c>
      <c r="AO100" s="1498">
        <f t="shared" ca="1" si="49"/>
        <v>0</v>
      </c>
      <c r="AP100" s="1502">
        <v>0.75</v>
      </c>
      <c r="AQ100" s="1500"/>
      <c r="AR100" s="1707">
        <f t="shared" ca="1" si="51"/>
        <v>0</v>
      </c>
      <c r="AS100" s="370"/>
    </row>
    <row r="101" spans="2:45" s="50" customFormat="1" x14ac:dyDescent="0.3">
      <c r="B101" s="50">
        <f t="shared" si="35"/>
        <v>87</v>
      </c>
      <c r="K101" s="123"/>
      <c r="L101" s="124"/>
      <c r="M101" s="124"/>
      <c r="N101" s="124"/>
      <c r="O101" s="124"/>
      <c r="P101" s="124"/>
      <c r="Z101"/>
      <c r="AD101" s="1491"/>
      <c r="AE101" s="1516"/>
      <c r="AG101" s="1497" t="s">
        <v>2139</v>
      </c>
      <c r="AH101" s="663">
        <f>SUMIF(Spaces_Sum!$E$24:$E$52,Ventilation!AG101,Spaces_Sum!$H$24:$H$52)</f>
        <v>0</v>
      </c>
      <c r="AI101" s="1"/>
      <c r="AJ101" s="663">
        <f t="shared" si="48"/>
        <v>0</v>
      </c>
      <c r="AK101" s="1">
        <v>0</v>
      </c>
      <c r="AL101" s="1">
        <v>0</v>
      </c>
      <c r="AM101" s="1498">
        <f t="shared" si="50"/>
        <v>0</v>
      </c>
      <c r="AN101" s="1">
        <v>1</v>
      </c>
      <c r="AO101" s="1498">
        <f t="shared" si="49"/>
        <v>0</v>
      </c>
      <c r="AP101" s="1502">
        <v>0</v>
      </c>
      <c r="AQ101" s="1500"/>
      <c r="AR101" s="1707">
        <f t="shared" si="51"/>
        <v>0</v>
      </c>
      <c r="AS101" s="370"/>
    </row>
    <row r="102" spans="2:45" s="50" customFormat="1" x14ac:dyDescent="0.3">
      <c r="B102" s="50">
        <f t="shared" si="35"/>
        <v>88</v>
      </c>
      <c r="K102" s="123"/>
      <c r="L102" s="124"/>
      <c r="M102" s="124"/>
      <c r="N102" s="124"/>
      <c r="O102" s="124"/>
      <c r="P102" s="124"/>
      <c r="Z102"/>
      <c r="AD102" s="1491"/>
      <c r="AE102" s="1516"/>
      <c r="AG102" s="1497" t="s">
        <v>872</v>
      </c>
      <c r="AH102" s="663">
        <f ca="1">SUMIF(Spaces_Sum!$E$24:$E$52,Ventilation!AG102,Spaces_Sum!$H$24:$H$52)</f>
        <v>1332.6484</v>
      </c>
      <c r="AI102" s="1">
        <v>0</v>
      </c>
      <c r="AJ102" s="663">
        <f t="shared" ca="1" si="48"/>
        <v>0</v>
      </c>
      <c r="AK102" s="1">
        <v>0</v>
      </c>
      <c r="AL102" s="1">
        <v>0</v>
      </c>
      <c r="AM102" s="1498">
        <f t="shared" ca="1" si="50"/>
        <v>0</v>
      </c>
      <c r="AN102" s="1">
        <v>1</v>
      </c>
      <c r="AO102" s="1498">
        <f t="shared" ca="1" si="49"/>
        <v>0</v>
      </c>
      <c r="AP102" s="1502">
        <v>0</v>
      </c>
      <c r="AQ102" s="1500"/>
      <c r="AR102" s="1707">
        <f t="shared" ca="1" si="51"/>
        <v>0</v>
      </c>
      <c r="AS102" s="370"/>
    </row>
    <row r="103" spans="2:45" s="50" customFormat="1" x14ac:dyDescent="0.3">
      <c r="B103" s="50">
        <f t="shared" si="35"/>
        <v>89</v>
      </c>
      <c r="K103" s="123"/>
      <c r="L103" s="124"/>
      <c r="M103" s="124"/>
      <c r="N103" s="124"/>
      <c r="O103" s="124"/>
      <c r="P103" s="124"/>
      <c r="Z103"/>
      <c r="AD103" s="1491"/>
      <c r="AE103" s="1516"/>
      <c r="AG103" s="1497" t="s">
        <v>870</v>
      </c>
      <c r="AH103" s="663">
        <f ca="1">SUMIF(Spaces_Sum!$E$24:$E$52,Ventilation!AG103,Spaces_Sum!$H$24:$H$52)</f>
        <v>4744.9070999999994</v>
      </c>
      <c r="AI103" s="1"/>
      <c r="AJ103" s="663">
        <f t="shared" ca="1" si="48"/>
        <v>0</v>
      </c>
      <c r="AK103" s="1">
        <v>0</v>
      </c>
      <c r="AL103" s="1">
        <v>0</v>
      </c>
      <c r="AM103" s="1498">
        <f t="shared" ca="1" si="50"/>
        <v>0</v>
      </c>
      <c r="AN103" s="1">
        <v>1</v>
      </c>
      <c r="AO103" s="1498">
        <f t="shared" ca="1" si="49"/>
        <v>0</v>
      </c>
      <c r="AP103" s="1502">
        <v>0</v>
      </c>
      <c r="AQ103" s="1500"/>
      <c r="AR103" s="1707">
        <f t="shared" ca="1" si="51"/>
        <v>0</v>
      </c>
      <c r="AS103" s="370"/>
    </row>
    <row r="104" spans="2:45" s="50" customFormat="1" x14ac:dyDescent="0.3">
      <c r="B104" s="50">
        <f t="shared" si="35"/>
        <v>90</v>
      </c>
      <c r="K104" s="123"/>
      <c r="L104" s="124"/>
      <c r="M104" s="124"/>
      <c r="N104" s="124"/>
      <c r="O104" s="124"/>
      <c r="P104" s="124"/>
      <c r="Z104"/>
      <c r="AD104" s="1491"/>
      <c r="AE104" s="1516"/>
      <c r="AG104" s="1497" t="s">
        <v>874</v>
      </c>
      <c r="AH104" s="663">
        <f ca="1">SUMIF(Spaces_Sum!$E$24:$E$52,Ventilation!AG104,Spaces_Sum!$H$24:$H$52)</f>
        <v>939.43700000000013</v>
      </c>
      <c r="AI104" s="1">
        <v>0</v>
      </c>
      <c r="AJ104" s="663">
        <f t="shared" ca="1" si="48"/>
        <v>0</v>
      </c>
      <c r="AK104" s="1">
        <v>0</v>
      </c>
      <c r="AL104" s="1">
        <v>0</v>
      </c>
      <c r="AM104" s="1498">
        <f t="shared" ca="1" si="50"/>
        <v>0</v>
      </c>
      <c r="AN104" s="1">
        <v>1</v>
      </c>
      <c r="AO104" s="1498">
        <f t="shared" ca="1" si="49"/>
        <v>0</v>
      </c>
      <c r="AP104" s="1502">
        <v>1</v>
      </c>
      <c r="AQ104" s="1500"/>
      <c r="AR104" s="1707">
        <f t="shared" ca="1" si="51"/>
        <v>1</v>
      </c>
      <c r="AS104" s="370"/>
    </row>
    <row r="105" spans="2:45" s="50" customFormat="1" x14ac:dyDescent="0.3">
      <c r="B105" s="50">
        <f t="shared" si="35"/>
        <v>91</v>
      </c>
      <c r="K105" s="123"/>
      <c r="L105" s="124"/>
      <c r="M105" s="124"/>
      <c r="N105" s="124"/>
      <c r="O105" s="124"/>
      <c r="P105" s="124"/>
      <c r="Z105"/>
      <c r="AD105" s="1491"/>
      <c r="AE105" s="1516"/>
      <c r="AG105" s="1497" t="s">
        <v>1422</v>
      </c>
      <c r="AH105" s="663">
        <f ca="1">SUMIF(Spaces_Sum!$E$24:$E$52,Ventilation!AG105,Spaces_Sum!$H$24:$H$52)</f>
        <v>0</v>
      </c>
      <c r="AI105" s="1"/>
      <c r="AJ105" s="663">
        <f t="shared" ca="1" si="48"/>
        <v>0</v>
      </c>
      <c r="AK105" s="1">
        <v>0</v>
      </c>
      <c r="AL105" s="1">
        <v>0</v>
      </c>
      <c r="AM105" s="1498">
        <f t="shared" ca="1" si="50"/>
        <v>0</v>
      </c>
      <c r="AN105" s="1">
        <v>1</v>
      </c>
      <c r="AO105" s="1498">
        <f t="shared" ca="1" si="49"/>
        <v>0</v>
      </c>
      <c r="AP105" s="1502">
        <v>0</v>
      </c>
      <c r="AQ105" s="1500"/>
      <c r="AR105" s="1707">
        <f t="shared" ca="1" si="51"/>
        <v>0</v>
      </c>
      <c r="AS105" s="370"/>
    </row>
    <row r="106" spans="2:45" s="50" customFormat="1" x14ac:dyDescent="0.3">
      <c r="B106" s="50">
        <f t="shared" si="35"/>
        <v>92</v>
      </c>
      <c r="K106" s="123"/>
      <c r="L106" s="124"/>
      <c r="M106" s="124"/>
      <c r="N106" s="124"/>
      <c r="O106" s="124"/>
      <c r="P106" s="124"/>
      <c r="Z106"/>
      <c r="AD106" s="1491"/>
      <c r="AE106" s="1516"/>
      <c r="AG106" s="1497" t="s">
        <v>871</v>
      </c>
      <c r="AH106" s="663">
        <f ca="1">SUMIF(Spaces_Sum!$E$24:$E$52,Ventilation!AG106,Spaces_Sum!$H$24:$H$52)</f>
        <v>2650.0201999999999</v>
      </c>
      <c r="AI106" s="1"/>
      <c r="AJ106" s="663">
        <f t="shared" ca="1" si="48"/>
        <v>0</v>
      </c>
      <c r="AK106" s="1">
        <v>0</v>
      </c>
      <c r="AL106" s="1">
        <v>0</v>
      </c>
      <c r="AM106" s="1498">
        <f ca="1">(AK106*AJ106)+(AL106*AH106)</f>
        <v>0</v>
      </c>
      <c r="AN106" s="1">
        <v>1</v>
      </c>
      <c r="AO106" s="1498">
        <f t="shared" ca="1" si="49"/>
        <v>0</v>
      </c>
      <c r="AP106" s="1502">
        <v>0</v>
      </c>
      <c r="AQ106" s="1500"/>
      <c r="AR106" s="1707">
        <f ca="1">IFERROR(AO106/AH106 + AP106,0)</f>
        <v>0</v>
      </c>
      <c r="AS106" s="370"/>
    </row>
    <row r="107" spans="2:45" s="50" customFormat="1" x14ac:dyDescent="0.3">
      <c r="B107" s="50">
        <f t="shared" si="35"/>
        <v>93</v>
      </c>
      <c r="K107" s="123"/>
      <c r="L107" s="124"/>
      <c r="M107" s="124"/>
      <c r="N107" s="124"/>
      <c r="O107" s="124"/>
      <c r="P107" s="124"/>
      <c r="Z107"/>
      <c r="AD107" s="1491"/>
      <c r="AE107" s="1516"/>
      <c r="AG107" s="1497" t="s">
        <v>1423</v>
      </c>
      <c r="AH107" s="663">
        <f ca="1">SUMIF(Spaces_Sum!$E$24:$E$52,Ventilation!AG107,Spaces_Sum!$H$24:$H$52)</f>
        <v>0</v>
      </c>
      <c r="AI107" s="1"/>
      <c r="AJ107" s="663">
        <f t="shared" ca="1" si="48"/>
        <v>0</v>
      </c>
      <c r="AK107" s="1">
        <v>0</v>
      </c>
      <c r="AL107" s="1">
        <v>0</v>
      </c>
      <c r="AM107" s="1498">
        <f t="shared" ref="AM107:AM109" ca="1" si="52">(AK107*AJ107)+(AL107*AH107)</f>
        <v>0</v>
      </c>
      <c r="AN107" s="1">
        <v>1</v>
      </c>
      <c r="AO107" s="1498">
        <f t="shared" ca="1" si="49"/>
        <v>0</v>
      </c>
      <c r="AP107" s="1502">
        <v>0</v>
      </c>
      <c r="AQ107" s="1500"/>
      <c r="AR107" s="1707">
        <f t="shared" ref="AR107:AR109" ca="1" si="53">IFERROR(AO107/AH107 + AP107,0)</f>
        <v>0</v>
      </c>
      <c r="AS107" s="370"/>
    </row>
    <row r="108" spans="2:45" s="50" customFormat="1" x14ac:dyDescent="0.3">
      <c r="B108" s="50">
        <f t="shared" si="35"/>
        <v>94</v>
      </c>
      <c r="K108" s="123"/>
      <c r="L108" s="124"/>
      <c r="M108" s="124"/>
      <c r="N108" s="124"/>
      <c r="O108" s="124"/>
      <c r="P108" s="124"/>
      <c r="Z108"/>
      <c r="AC108"/>
      <c r="AG108" s="1497" t="s">
        <v>875</v>
      </c>
      <c r="AH108" s="663">
        <f>SUMIF(Spaces_Sum!$E$24:$E$52,Ventilation!AG108,Spaces_Sum!$H$24:$H$52)</f>
        <v>0</v>
      </c>
      <c r="AI108" s="1"/>
      <c r="AJ108" s="663">
        <f t="shared" si="48"/>
        <v>0</v>
      </c>
      <c r="AK108" s="1">
        <v>0</v>
      </c>
      <c r="AL108" s="1">
        <v>0</v>
      </c>
      <c r="AM108" s="1498">
        <f t="shared" si="52"/>
        <v>0</v>
      </c>
      <c r="AN108" s="1">
        <v>1</v>
      </c>
      <c r="AO108" s="1498">
        <f t="shared" si="49"/>
        <v>0</v>
      </c>
      <c r="AP108" s="1502">
        <v>0</v>
      </c>
      <c r="AQ108" s="1500"/>
      <c r="AR108" s="1707">
        <f t="shared" si="53"/>
        <v>0</v>
      </c>
      <c r="AS108" s="370"/>
    </row>
    <row r="109" spans="2:45" s="50" customFormat="1" x14ac:dyDescent="0.3">
      <c r="B109" s="50">
        <f t="shared" si="35"/>
        <v>95</v>
      </c>
      <c r="K109" s="123"/>
      <c r="L109" s="124"/>
      <c r="M109" s="124"/>
      <c r="N109" s="124"/>
      <c r="O109" s="124"/>
      <c r="P109" s="124"/>
      <c r="Z109"/>
      <c r="AC109"/>
      <c r="AG109" s="1497" t="s">
        <v>1364</v>
      </c>
      <c r="AH109" s="663">
        <f ca="1">SUMIF(Spaces_Sum!$E$24:$E$52,Ventilation!AG109,Spaces_Sum!$H$24:$H$52)</f>
        <v>0</v>
      </c>
      <c r="AI109" s="1"/>
      <c r="AJ109" s="663">
        <f t="shared" ca="1" si="48"/>
        <v>0</v>
      </c>
      <c r="AK109" s="1">
        <v>0</v>
      </c>
      <c r="AL109" s="1">
        <v>0</v>
      </c>
      <c r="AM109" s="1498">
        <f t="shared" ca="1" si="52"/>
        <v>0</v>
      </c>
      <c r="AN109" s="1">
        <v>1</v>
      </c>
      <c r="AO109" s="1498">
        <f t="shared" ca="1" si="49"/>
        <v>0</v>
      </c>
      <c r="AP109" s="1502">
        <v>0</v>
      </c>
      <c r="AQ109" s="1500"/>
      <c r="AR109" s="1707">
        <f t="shared" ca="1" si="53"/>
        <v>0</v>
      </c>
      <c r="AS109" s="370"/>
    </row>
    <row r="110" spans="2:45" s="50" customFormat="1" x14ac:dyDescent="0.3">
      <c r="B110" s="50">
        <f t="shared" si="35"/>
        <v>96</v>
      </c>
      <c r="K110" s="123"/>
      <c r="L110" s="124"/>
      <c r="M110" s="124"/>
      <c r="N110" s="124"/>
      <c r="O110" s="124"/>
      <c r="P110" s="124"/>
      <c r="Z110"/>
      <c r="AC110"/>
      <c r="AG110" s="1497"/>
      <c r="AH110" s="663"/>
      <c r="AI110" s="1"/>
      <c r="AJ110" s="663"/>
      <c r="AK110" s="1"/>
      <c r="AL110" s="1"/>
      <c r="AM110" s="1498"/>
      <c r="AN110" s="1"/>
      <c r="AO110" s="1498"/>
      <c r="AP110" s="1502"/>
      <c r="AQ110" s="1500"/>
      <c r="AR110" s="1707"/>
      <c r="AS110" s="370"/>
    </row>
    <row r="111" spans="2:45" s="50" customFormat="1" x14ac:dyDescent="0.3">
      <c r="B111" s="50">
        <f t="shared" si="35"/>
        <v>97</v>
      </c>
      <c r="K111" s="123"/>
      <c r="L111" s="124"/>
      <c r="M111" s="124"/>
      <c r="N111" s="124"/>
      <c r="O111" s="124"/>
      <c r="P111" s="124"/>
      <c r="Z111"/>
      <c r="AC111"/>
      <c r="AG111" s="1497"/>
      <c r="AH111" s="663"/>
      <c r="AI111" s="1"/>
      <c r="AJ111" s="663"/>
      <c r="AK111" s="1"/>
      <c r="AL111" s="1"/>
      <c r="AM111" s="1498"/>
      <c r="AN111" s="1"/>
      <c r="AO111" s="1498"/>
      <c r="AP111" s="1502"/>
      <c r="AQ111" s="1500"/>
      <c r="AR111" s="1707"/>
      <c r="AS111" s="370"/>
    </row>
    <row r="112" spans="2:45" s="50" customFormat="1" x14ac:dyDescent="0.3">
      <c r="B112" s="50">
        <f t="shared" si="35"/>
        <v>98</v>
      </c>
      <c r="K112" s="123"/>
      <c r="L112" s="124"/>
      <c r="M112" s="124"/>
      <c r="N112" s="124"/>
      <c r="O112" s="124"/>
      <c r="P112" s="124"/>
      <c r="Z112"/>
      <c r="AA112"/>
      <c r="AB112"/>
      <c r="AC112"/>
      <c r="AG112" s="1514"/>
      <c r="AH112" s="1708"/>
      <c r="AI112" s="1515"/>
      <c r="AJ112" s="1708"/>
      <c r="AK112" s="1515"/>
      <c r="AL112" s="1515"/>
      <c r="AM112" s="1709"/>
      <c r="AN112" s="1515"/>
      <c r="AO112" s="1709"/>
      <c r="AP112" s="1710"/>
      <c r="AQ112" s="1711"/>
      <c r="AR112" s="1712"/>
      <c r="AS112" s="132"/>
    </row>
    <row r="113" spans="2:46" s="50" customFormat="1" x14ac:dyDescent="0.3">
      <c r="B113" s="50">
        <f t="shared" si="35"/>
        <v>99</v>
      </c>
      <c r="K113" s="123"/>
      <c r="L113" s="124"/>
      <c r="M113" s="124"/>
      <c r="N113" s="124"/>
      <c r="O113" s="124"/>
      <c r="P113" s="124"/>
      <c r="Z113"/>
      <c r="AA113"/>
      <c r="AB113"/>
      <c r="AC113"/>
      <c r="AG113" s="62"/>
      <c r="AH113" s="62"/>
      <c r="AI113" s="62"/>
      <c r="AJ113" s="62"/>
      <c r="AK113" s="62"/>
      <c r="AL113" s="62"/>
      <c r="AM113" s="62"/>
      <c r="AN113" s="62"/>
      <c r="AO113" s="62"/>
      <c r="AP113" s="62"/>
      <c r="AQ113" s="62"/>
      <c r="AR113" s="62"/>
      <c r="AS113" s="62"/>
    </row>
    <row r="114" spans="2:46" s="50" customFormat="1" x14ac:dyDescent="0.3">
      <c r="B114" s="50">
        <f t="shared" si="35"/>
        <v>100</v>
      </c>
      <c r="K114" s="123"/>
      <c r="L114" s="124"/>
      <c r="M114" s="124"/>
      <c r="N114" s="124"/>
      <c r="O114" s="124"/>
      <c r="P114" s="124"/>
      <c r="Z114"/>
      <c r="AA114"/>
      <c r="AB114"/>
      <c r="AC114"/>
      <c r="AG114" s="62"/>
      <c r="AH114" s="62"/>
      <c r="AI114" s="62"/>
      <c r="AJ114" s="62"/>
      <c r="AK114" s="62"/>
      <c r="AL114" s="62"/>
      <c r="AM114" s="62"/>
      <c r="AN114" s="62"/>
      <c r="AO114" s="62"/>
      <c r="AP114" s="62"/>
      <c r="AQ114" s="62"/>
      <c r="AR114" s="62"/>
      <c r="AS114" s="62"/>
    </row>
    <row r="115" spans="2:46" s="50" customFormat="1" x14ac:dyDescent="0.3">
      <c r="B115" s="50">
        <f t="shared" si="35"/>
        <v>101</v>
      </c>
      <c r="K115" s="123"/>
      <c r="L115" s="124"/>
      <c r="M115" s="124"/>
      <c r="N115" s="124"/>
      <c r="O115" s="124"/>
      <c r="P115" s="124"/>
      <c r="Z115"/>
      <c r="AA115"/>
      <c r="AB115"/>
      <c r="AC115"/>
      <c r="AG115" s="62"/>
      <c r="AH115" s="62"/>
      <c r="AI115" s="62"/>
      <c r="AJ115" s="62"/>
      <c r="AK115" s="62"/>
      <c r="AL115" s="62"/>
      <c r="AM115" s="62"/>
      <c r="AN115" s="62"/>
      <c r="AO115" s="62"/>
      <c r="AP115" s="62"/>
      <c r="AQ115" s="62"/>
      <c r="AR115" s="62"/>
      <c r="AS115" s="62"/>
    </row>
    <row r="116" spans="2:46" s="50" customFormat="1" x14ac:dyDescent="0.3">
      <c r="B116" s="50">
        <f t="shared" si="35"/>
        <v>102</v>
      </c>
      <c r="K116" s="123"/>
      <c r="L116" s="124"/>
      <c r="M116" s="124"/>
      <c r="N116" s="124"/>
      <c r="O116" s="124"/>
      <c r="P116" s="124"/>
      <c r="Z116"/>
      <c r="AA116"/>
      <c r="AB116"/>
      <c r="AC116"/>
      <c r="AD116" s="62"/>
      <c r="AE116" s="62"/>
      <c r="AF116" s="62"/>
      <c r="AG116" s="62"/>
      <c r="AH116" s="62"/>
      <c r="AI116" s="62"/>
      <c r="AJ116" s="62"/>
      <c r="AK116" s="62"/>
      <c r="AL116" s="62"/>
      <c r="AM116" s="62"/>
      <c r="AN116" s="62"/>
      <c r="AO116" s="62"/>
      <c r="AP116" s="62"/>
      <c r="AQ116" s="62"/>
      <c r="AR116" s="62"/>
      <c r="AS116" s="62"/>
      <c r="AT116" s="62"/>
    </row>
    <row r="117" spans="2:46" s="50" customFormat="1" x14ac:dyDescent="0.3">
      <c r="B117" s="50">
        <f t="shared" si="35"/>
        <v>103</v>
      </c>
      <c r="K117" s="123"/>
      <c r="L117" s="124"/>
      <c r="M117" s="124"/>
      <c r="N117" s="124"/>
      <c r="O117" s="124"/>
      <c r="P117" s="124"/>
      <c r="Z117"/>
      <c r="AA117"/>
      <c r="AB117"/>
      <c r="AC117"/>
      <c r="AD117" s="62"/>
      <c r="AE117" s="62"/>
      <c r="AF117" s="62"/>
      <c r="AG117" s="62"/>
      <c r="AH117" s="62"/>
      <c r="AI117" s="62"/>
      <c r="AJ117" s="62"/>
      <c r="AK117" s="62"/>
      <c r="AL117" s="62"/>
      <c r="AM117" s="62"/>
      <c r="AN117" s="62"/>
      <c r="AO117" s="62"/>
      <c r="AP117" s="62"/>
      <c r="AQ117" s="62"/>
      <c r="AR117" s="62"/>
      <c r="AS117" s="62"/>
      <c r="AT117" s="62"/>
    </row>
    <row r="118" spans="2:46" s="50" customFormat="1" x14ac:dyDescent="0.3">
      <c r="B118" s="50">
        <f t="shared" si="35"/>
        <v>104</v>
      </c>
      <c r="K118" s="123"/>
      <c r="L118" s="124"/>
      <c r="M118" s="124"/>
      <c r="N118" s="124"/>
      <c r="O118" s="124"/>
      <c r="P118" s="124"/>
      <c r="Z118"/>
      <c r="AA118"/>
      <c r="AB118"/>
      <c r="AC118"/>
      <c r="AD118" s="62"/>
      <c r="AE118" s="62"/>
      <c r="AF118" s="62"/>
      <c r="AG118" s="62"/>
      <c r="AH118" s="62"/>
      <c r="AI118" s="62"/>
      <c r="AJ118" s="62"/>
      <c r="AK118" s="62"/>
      <c r="AL118" s="62"/>
      <c r="AM118" s="62"/>
      <c r="AN118" s="62"/>
      <c r="AO118" s="62"/>
      <c r="AP118" s="62"/>
      <c r="AQ118" s="62"/>
      <c r="AR118" s="62"/>
      <c r="AS118" s="62"/>
      <c r="AT118" s="62"/>
    </row>
    <row r="119" spans="2:46" s="50" customFormat="1" x14ac:dyDescent="0.3">
      <c r="B119" s="50">
        <f t="shared" si="35"/>
        <v>105</v>
      </c>
      <c r="C119" s="62"/>
      <c r="D119" s="62"/>
      <c r="E119" s="62"/>
      <c r="F119" s="62"/>
      <c r="G119" s="62"/>
      <c r="H119" s="62"/>
      <c r="I119" s="62"/>
      <c r="J119" s="62"/>
      <c r="K119" s="63"/>
      <c r="L119" s="64"/>
      <c r="M119" s="64"/>
      <c r="N119" s="64"/>
      <c r="O119" s="64"/>
      <c r="P119" s="64"/>
      <c r="Q119" s="62"/>
      <c r="R119" s="62"/>
      <c r="S119" s="62"/>
      <c r="T119" s="62"/>
      <c r="U119" s="62"/>
      <c r="V119" s="62"/>
      <c r="W119" s="62"/>
      <c r="X119" s="62"/>
      <c r="Y119" s="62"/>
      <c r="Z119"/>
      <c r="AA119"/>
      <c r="AB119"/>
      <c r="AC119"/>
      <c r="AD119" s="62"/>
      <c r="AE119" s="62"/>
      <c r="AF119" s="62"/>
      <c r="AG119" s="62"/>
      <c r="AH119" s="62"/>
      <c r="AI119" s="62"/>
      <c r="AJ119" s="62"/>
      <c r="AK119" s="62"/>
      <c r="AL119" s="62"/>
      <c r="AM119" s="62"/>
      <c r="AN119" s="62"/>
      <c r="AO119" s="62"/>
      <c r="AP119" s="62"/>
      <c r="AQ119" s="62"/>
      <c r="AR119" s="62"/>
      <c r="AS119" s="62"/>
      <c r="AT119" s="62"/>
    </row>
    <row r="120" spans="2:46" x14ac:dyDescent="0.3">
      <c r="B120" s="50">
        <f t="shared" si="35"/>
        <v>106</v>
      </c>
    </row>
    <row r="121" spans="2:46" x14ac:dyDescent="0.3">
      <c r="B121" s="50">
        <f t="shared" si="35"/>
        <v>107</v>
      </c>
    </row>
    <row r="122" spans="2:46" x14ac:dyDescent="0.3">
      <c r="B122" s="50">
        <f t="shared" si="35"/>
        <v>108</v>
      </c>
    </row>
    <row r="123" spans="2:46" x14ac:dyDescent="0.3">
      <c r="B123" s="50">
        <f t="shared" si="35"/>
        <v>109</v>
      </c>
    </row>
    <row r="124" spans="2:46" x14ac:dyDescent="0.3">
      <c r="B124" s="50">
        <f t="shared" si="35"/>
        <v>110</v>
      </c>
    </row>
    <row r="125" spans="2:46" x14ac:dyDescent="0.3">
      <c r="B125" s="50">
        <f t="shared" si="35"/>
        <v>111</v>
      </c>
    </row>
    <row r="126" spans="2:46" x14ac:dyDescent="0.3">
      <c r="B126" s="50">
        <f t="shared" si="35"/>
        <v>112</v>
      </c>
    </row>
    <row r="127" spans="2:46" x14ac:dyDescent="0.3">
      <c r="B127" s="50">
        <f t="shared" si="35"/>
        <v>113</v>
      </c>
    </row>
    <row r="128" spans="2:46" x14ac:dyDescent="0.3">
      <c r="B128" s="50">
        <f t="shared" si="35"/>
        <v>114</v>
      </c>
    </row>
    <row r="129" spans="2:2" x14ac:dyDescent="0.3">
      <c r="B129" s="50">
        <f t="shared" si="35"/>
        <v>115</v>
      </c>
    </row>
    <row r="130" spans="2:2" x14ac:dyDescent="0.3">
      <c r="B130" s="50">
        <f t="shared" si="35"/>
        <v>116</v>
      </c>
    </row>
    <row r="131" spans="2:2" x14ac:dyDescent="0.3">
      <c r="B131" s="50">
        <f t="shared" si="35"/>
        <v>117</v>
      </c>
    </row>
    <row r="132" spans="2:2" x14ac:dyDescent="0.3">
      <c r="B132" s="50">
        <f t="shared" si="35"/>
        <v>118</v>
      </c>
    </row>
    <row r="133" spans="2:2" x14ac:dyDescent="0.3">
      <c r="B133" s="50">
        <f t="shared" si="35"/>
        <v>119</v>
      </c>
    </row>
    <row r="134" spans="2:2" x14ac:dyDescent="0.3">
      <c r="B134" s="50">
        <f t="shared" ref="B134:B149" si="54">B133+1</f>
        <v>120</v>
      </c>
    </row>
    <row r="135" spans="2:2" x14ac:dyDescent="0.3">
      <c r="B135" s="50">
        <f t="shared" si="54"/>
        <v>121</v>
      </c>
    </row>
    <row r="136" spans="2:2" x14ac:dyDescent="0.3">
      <c r="B136" s="50">
        <f t="shared" si="54"/>
        <v>122</v>
      </c>
    </row>
    <row r="137" spans="2:2" x14ac:dyDescent="0.3">
      <c r="B137" s="50">
        <f t="shared" si="54"/>
        <v>123</v>
      </c>
    </row>
    <row r="138" spans="2:2" x14ac:dyDescent="0.3">
      <c r="B138" s="50">
        <f t="shared" si="54"/>
        <v>124</v>
      </c>
    </row>
    <row r="139" spans="2:2" x14ac:dyDescent="0.3">
      <c r="B139" s="50">
        <f t="shared" si="54"/>
        <v>125</v>
      </c>
    </row>
    <row r="140" spans="2:2" x14ac:dyDescent="0.3">
      <c r="B140" s="50">
        <f t="shared" si="54"/>
        <v>126</v>
      </c>
    </row>
    <row r="141" spans="2:2" x14ac:dyDescent="0.3">
      <c r="B141" s="50">
        <f t="shared" si="54"/>
        <v>127</v>
      </c>
    </row>
    <row r="142" spans="2:2" x14ac:dyDescent="0.3">
      <c r="B142" s="50">
        <f t="shared" si="54"/>
        <v>128</v>
      </c>
    </row>
    <row r="143" spans="2:2" x14ac:dyDescent="0.3">
      <c r="B143" s="50">
        <f t="shared" si="54"/>
        <v>129</v>
      </c>
    </row>
    <row r="144" spans="2:2" x14ac:dyDescent="0.3">
      <c r="B144" s="50">
        <f t="shared" si="54"/>
        <v>130</v>
      </c>
    </row>
    <row r="145" spans="2:2" x14ac:dyDescent="0.3">
      <c r="B145" s="50">
        <f t="shared" si="54"/>
        <v>131</v>
      </c>
    </row>
    <row r="146" spans="2:2" x14ac:dyDescent="0.3">
      <c r="B146" s="50">
        <f t="shared" si="54"/>
        <v>132</v>
      </c>
    </row>
    <row r="147" spans="2:2" x14ac:dyDescent="0.3">
      <c r="B147" s="50">
        <f t="shared" si="54"/>
        <v>133</v>
      </c>
    </row>
    <row r="148" spans="2:2" x14ac:dyDescent="0.3">
      <c r="B148" s="50">
        <f t="shared" si="54"/>
        <v>134</v>
      </c>
    </row>
    <row r="149" spans="2:2" x14ac:dyDescent="0.3">
      <c r="B149" s="50">
        <f t="shared" si="54"/>
        <v>135</v>
      </c>
    </row>
  </sheetData>
  <autoFilter ref="C15:Y118" xr:uid="{E7F6DAEC-5124-4274-8759-7C824135274F}"/>
  <mergeCells count="7">
    <mergeCell ref="AP87:AQ87"/>
    <mergeCell ref="J12:L12"/>
    <mergeCell ref="M12:P12"/>
    <mergeCell ref="Q12:Z12"/>
    <mergeCell ref="W13:X13"/>
    <mergeCell ref="AP30:AQ30"/>
    <mergeCell ref="AP59:AQ59"/>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1CC7C-003C-483D-8482-829A69680CAA}">
  <sheetPr codeName="Sheet19">
    <tabColor rgb="FF00B0F0"/>
  </sheetPr>
  <dimension ref="A1:AS170"/>
  <sheetViews>
    <sheetView workbookViewId="0"/>
  </sheetViews>
  <sheetFormatPr defaultColWidth="9.109375" defaultRowHeight="14.4" outlineLevelCol="1" x14ac:dyDescent="0.3"/>
  <cols>
    <col min="1" max="1" width="10.44140625" style="62" customWidth="1"/>
    <col min="2" max="2" width="4.88671875" style="62" customWidth="1"/>
    <col min="3" max="3" width="39.5546875" style="62" bestFit="1" customWidth="1"/>
    <col min="4" max="4" width="39.5546875" style="62" hidden="1" customWidth="1"/>
    <col min="5" max="6" width="23" style="62" customWidth="1"/>
    <col min="7" max="7" width="44.88671875" style="62" customWidth="1"/>
    <col min="8" max="9" width="20.6640625" style="62" customWidth="1"/>
    <col min="10" max="10" width="15.6640625" style="62" customWidth="1"/>
    <col min="11" max="11" width="15.6640625" style="63" customWidth="1"/>
    <col min="12" max="16" width="15.6640625" style="64" customWidth="1"/>
    <col min="17" max="25" width="15.6640625" style="62" customWidth="1" outlineLevel="1"/>
    <col min="26" max="26" width="12" bestFit="1" customWidth="1"/>
    <col min="30" max="31" width="15.6640625" style="62" customWidth="1" outlineLevel="1"/>
    <col min="32" max="32" width="25.33203125" style="62" customWidth="1" outlineLevel="1"/>
    <col min="33" max="33" width="11.6640625" style="62" customWidth="1" outlineLevel="1"/>
    <col min="34" max="35" width="11.109375" style="62" customWidth="1" outlineLevel="1"/>
    <col min="36" max="36" width="10.88671875" style="62" customWidth="1" outlineLevel="1"/>
    <col min="37" max="41" width="9.109375" style="62"/>
    <col min="42" max="42" width="11.6640625" style="62" bestFit="1" customWidth="1"/>
    <col min="43" max="43" width="11.6640625" style="62" customWidth="1"/>
    <col min="44" max="44" width="9.109375" style="62"/>
    <col min="45" max="45" width="54.5546875" style="62" bestFit="1" customWidth="1"/>
    <col min="46" max="16384" width="9.109375" style="62"/>
  </cols>
  <sheetData>
    <row r="1" spans="1:43" ht="18" x14ac:dyDescent="0.35">
      <c r="C1" s="9" t="s">
        <v>759</v>
      </c>
      <c r="D1" s="9"/>
      <c r="E1"/>
      <c r="F1"/>
    </row>
    <row r="2" spans="1:43" x14ac:dyDescent="0.3">
      <c r="C2" s="163" t="s">
        <v>752</v>
      </c>
      <c r="D2" s="163"/>
      <c r="E2" s="622">
        <v>43173</v>
      </c>
      <c r="F2" s="622"/>
    </row>
    <row r="3" spans="1:43" x14ac:dyDescent="0.3">
      <c r="C3" s="163" t="s">
        <v>753</v>
      </c>
      <c r="D3" s="163"/>
      <c r="E3" s="163" t="s">
        <v>1345</v>
      </c>
      <c r="F3" s="163"/>
    </row>
    <row r="5" spans="1:43" ht="15.6" x14ac:dyDescent="0.3">
      <c r="B5" s="66" t="s">
        <v>311</v>
      </c>
      <c r="K5" s="62"/>
      <c r="L5" s="63"/>
    </row>
    <row r="6" spans="1:43" x14ac:dyDescent="0.3">
      <c r="B6" s="50" t="s">
        <v>253</v>
      </c>
      <c r="K6" s="62"/>
      <c r="L6" s="63"/>
    </row>
    <row r="7" spans="1:43" x14ac:dyDescent="0.3">
      <c r="A7" s="50"/>
      <c r="K7" s="62"/>
      <c r="L7" s="63"/>
    </row>
    <row r="8" spans="1:43" x14ac:dyDescent="0.3">
      <c r="K8" s="62"/>
      <c r="L8" s="63"/>
    </row>
    <row r="9" spans="1:43" x14ac:dyDescent="0.3">
      <c r="K9" s="62">
        <f>Spaces_Sum!$I$50</f>
        <v>8</v>
      </c>
      <c r="L9" s="62">
        <f>Spaces_Sum!$I$50</f>
        <v>8</v>
      </c>
    </row>
    <row r="10" spans="1:43" x14ac:dyDescent="0.3">
      <c r="J10" s="62">
        <f>Spaces_Sum!$L$50</f>
        <v>11</v>
      </c>
      <c r="K10" s="62">
        <f>Spaces_Sum!$L$50</f>
        <v>11</v>
      </c>
      <c r="L10" s="62">
        <f>Spaces_Sum!$L$50</f>
        <v>11</v>
      </c>
    </row>
    <row r="11" spans="1:43" x14ac:dyDescent="0.3">
      <c r="J11" s="62">
        <f>Spaces_Sum!$AO$50</f>
        <v>40</v>
      </c>
      <c r="K11" s="62">
        <f>Spaces_Sum!$AO$50</f>
        <v>40</v>
      </c>
      <c r="L11" s="62">
        <f>Spaces_Sum!$AO$50</f>
        <v>40</v>
      </c>
      <c r="P11" s="64">
        <f>VentExhCSV_Spc!$V$1</f>
        <v>20</v>
      </c>
      <c r="R11" s="62">
        <v>3</v>
      </c>
      <c r="S11" s="62">
        <v>5</v>
      </c>
      <c r="T11" s="62">
        <v>6</v>
      </c>
      <c r="Z11">
        <f>VentExhCSV_Spc!Z1</f>
        <v>24</v>
      </c>
      <c r="AD11" s="62">
        <v>10</v>
      </c>
      <c r="AE11" s="62">
        <v>11</v>
      </c>
    </row>
    <row r="12" spans="1:43" ht="15" customHeight="1" x14ac:dyDescent="0.3">
      <c r="C12" s="581" t="s">
        <v>748</v>
      </c>
      <c r="D12" s="581"/>
      <c r="F12" s="125"/>
      <c r="J12" s="2737" t="s">
        <v>973</v>
      </c>
      <c r="K12" s="2738"/>
      <c r="L12" s="2738"/>
      <c r="M12" s="2737" t="s">
        <v>313</v>
      </c>
      <c r="N12" s="2738"/>
      <c r="O12" s="2738"/>
      <c r="P12" s="2739"/>
      <c r="Q12" s="2738" t="s">
        <v>1346</v>
      </c>
      <c r="R12" s="2738"/>
      <c r="S12" s="2738"/>
      <c r="T12" s="2738"/>
      <c r="U12" s="2738"/>
      <c r="V12" s="2738"/>
      <c r="W12" s="2738"/>
      <c r="X12" s="2738"/>
      <c r="Y12" s="2738"/>
      <c r="AD12" s="1482"/>
      <c r="AE12" s="1481"/>
      <c r="AF12" s="793"/>
    </row>
    <row r="13" spans="1:43" ht="28.8" x14ac:dyDescent="0.3">
      <c r="C13" s="125" t="s">
        <v>15</v>
      </c>
      <c r="D13" s="125"/>
      <c r="E13" s="125" t="s">
        <v>1347</v>
      </c>
      <c r="F13" s="125" t="s">
        <v>975</v>
      </c>
      <c r="G13" s="125" t="s">
        <v>1348</v>
      </c>
      <c r="H13" s="125" t="s">
        <v>1342</v>
      </c>
      <c r="I13" s="125"/>
      <c r="J13" s="1199" t="s">
        <v>537</v>
      </c>
      <c r="K13" s="1200" t="s">
        <v>825</v>
      </c>
      <c r="L13" s="1200" t="s">
        <v>844</v>
      </c>
      <c r="M13" s="1199" t="s">
        <v>972</v>
      </c>
      <c r="N13" s="1200" t="s">
        <v>41</v>
      </c>
      <c r="O13" s="1200" t="s">
        <v>825</v>
      </c>
      <c r="P13" s="1201" t="s">
        <v>502</v>
      </c>
      <c r="Q13" s="1200" t="s">
        <v>71</v>
      </c>
      <c r="R13" s="1200" t="s">
        <v>1349</v>
      </c>
      <c r="S13" s="1200" t="s">
        <v>1119</v>
      </c>
      <c r="T13" s="1200" t="s">
        <v>1350</v>
      </c>
      <c r="U13" s="1200" t="s">
        <v>1351</v>
      </c>
      <c r="V13" s="1200" t="s">
        <v>1352</v>
      </c>
      <c r="W13" s="2740" t="s">
        <v>972</v>
      </c>
      <c r="X13" s="2741"/>
      <c r="Y13" s="1201" t="s">
        <v>825</v>
      </c>
      <c r="Z13" s="1201" t="s">
        <v>1353</v>
      </c>
      <c r="AD13" s="1200" t="s">
        <v>1354</v>
      </c>
      <c r="AE13" s="1201"/>
      <c r="AG13" s="124" t="s">
        <v>1114</v>
      </c>
      <c r="AH13" s="1192" t="s">
        <v>1115</v>
      </c>
      <c r="AI13" s="1192" t="s">
        <v>1116</v>
      </c>
      <c r="AJ13" s="1192" t="s">
        <v>1117</v>
      </c>
      <c r="AK13" s="847" t="s">
        <v>1119</v>
      </c>
      <c r="AL13" s="847" t="s">
        <v>1118</v>
      </c>
      <c r="AM13" s="479" t="s">
        <v>1120</v>
      </c>
      <c r="AN13" s="479" t="s">
        <v>1121</v>
      </c>
      <c r="AO13" s="479" t="s">
        <v>1122</v>
      </c>
      <c r="AP13" s="479" t="s">
        <v>1355</v>
      </c>
      <c r="AQ13" s="479"/>
    </row>
    <row r="14" spans="1:43" s="50" customFormat="1" x14ac:dyDescent="0.3">
      <c r="J14" s="157"/>
      <c r="M14" s="157" t="s">
        <v>65</v>
      </c>
      <c r="N14" s="50" t="s">
        <v>625</v>
      </c>
      <c r="O14" s="50" t="s">
        <v>625</v>
      </c>
      <c r="P14" s="50" t="s">
        <v>625</v>
      </c>
      <c r="R14" s="50" t="s">
        <v>1356</v>
      </c>
      <c r="S14" s="50" t="s">
        <v>1124</v>
      </c>
      <c r="T14" s="50" t="s">
        <v>625</v>
      </c>
      <c r="U14" s="157" t="s">
        <v>65</v>
      </c>
      <c r="V14" s="157" t="s">
        <v>65</v>
      </c>
      <c r="W14" s="157" t="s">
        <v>65</v>
      </c>
      <c r="X14" s="50" t="s">
        <v>625</v>
      </c>
      <c r="Y14" s="159" t="s">
        <v>625</v>
      </c>
      <c r="Z14" s="159"/>
      <c r="AD14" s="50" t="s">
        <v>89</v>
      </c>
      <c r="AE14" s="159"/>
      <c r="AG14" s="124"/>
      <c r="AH14" s="124" t="s">
        <v>302</v>
      </c>
      <c r="AI14" s="124" t="s">
        <v>1123</v>
      </c>
      <c r="AJ14" s="124"/>
      <c r="AK14" s="50" t="s">
        <v>1124</v>
      </c>
      <c r="AL14" s="50" t="s">
        <v>625</v>
      </c>
      <c r="AM14" s="124" t="s">
        <v>89</v>
      </c>
      <c r="AN14" s="124"/>
      <c r="AO14" s="124"/>
      <c r="AP14" s="124"/>
      <c r="AQ14" s="124"/>
    </row>
    <row r="15" spans="1:43" s="50" customFormat="1" x14ac:dyDescent="0.3">
      <c r="B15" s="50">
        <f>1</f>
        <v>1</v>
      </c>
      <c r="C15" s="799" t="s">
        <v>974</v>
      </c>
      <c r="D15" s="799"/>
      <c r="E15" s="800"/>
      <c r="F15" s="800"/>
      <c r="G15" s="800"/>
      <c r="H15" s="800"/>
      <c r="I15" s="800"/>
      <c r="J15" s="801">
        <f ca="1">SUM(J16,J21)</f>
        <v>0</v>
      </c>
      <c r="K15" s="376">
        <f>SUM(K16,K21)</f>
        <v>0</v>
      </c>
      <c r="L15" s="376">
        <f ca="1">SUM(L16,L21)</f>
        <v>0</v>
      </c>
      <c r="M15" s="848">
        <f>SUM(M16,M21)</f>
        <v>365</v>
      </c>
      <c r="N15" s="802" t="e">
        <f ca="1">M15/J15</f>
        <v>#DIV/0!</v>
      </c>
      <c r="O15" s="1483" t="e">
        <f>M15/K15</f>
        <v>#DIV/0!</v>
      </c>
      <c r="P15" s="803"/>
      <c r="Q15" s="1484"/>
      <c r="R15" s="375"/>
      <c r="S15" s="375"/>
      <c r="T15" s="375"/>
      <c r="U15" s="1484"/>
      <c r="V15" s="1484"/>
      <c r="W15" s="1484"/>
      <c r="X15" s="1484"/>
      <c r="Y15" s="1484"/>
      <c r="Z15" s="1484"/>
      <c r="AD15" s="375"/>
      <c r="AE15" s="804"/>
    </row>
    <row r="16" spans="1:43" s="50" customFormat="1" x14ac:dyDescent="0.3">
      <c r="B16" s="50">
        <f t="shared" ref="B16:B79" si="0">B15+1</f>
        <v>2</v>
      </c>
      <c r="C16" s="794" t="s">
        <v>1357</v>
      </c>
      <c r="D16" s="794"/>
      <c r="E16" s="795"/>
      <c r="F16" s="795"/>
      <c r="G16" s="795"/>
      <c r="H16" s="795"/>
      <c r="I16" s="795"/>
      <c r="J16" s="796">
        <f ca="1">SUM(J17:J20)</f>
        <v>0</v>
      </c>
      <c r="K16" s="796">
        <f>SUM(K17:K20)</f>
        <v>0</v>
      </c>
      <c r="L16" s="796">
        <f t="shared" ref="L16" ca="1" si="1">SUM(L17:L19)</f>
        <v>0</v>
      </c>
      <c r="M16" s="798">
        <v>365</v>
      </c>
      <c r="N16" s="791" t="e">
        <f ca="1">M16/J16</f>
        <v>#DIV/0!</v>
      </c>
      <c r="O16" s="791" t="e">
        <f>M16/K16</f>
        <v>#DIV/0!</v>
      </c>
      <c r="P16" s="1485" t="e">
        <f ca="1">SUM(P17:P20)</f>
        <v>#N/A</v>
      </c>
      <c r="Q16" s="1486"/>
      <c r="R16" s="1487"/>
      <c r="S16" s="1487"/>
      <c r="T16" s="1487"/>
      <c r="U16" s="1488">
        <f>SUM(U17:U20)</f>
        <v>0</v>
      </c>
      <c r="V16" s="1488" t="e">
        <f t="shared" ref="V16:W16" ca="1" si="2">SUM(V17:V20)</f>
        <v>#N/A</v>
      </c>
      <c r="W16" s="1488" t="e">
        <f t="shared" ca="1" si="2"/>
        <v>#N/A</v>
      </c>
      <c r="X16" s="1486" t="e">
        <f ca="1">W16/J16</f>
        <v>#N/A</v>
      </c>
      <c r="Y16" s="1489" t="e">
        <f ca="1">W16/K16</f>
        <v>#N/A</v>
      </c>
      <c r="Z16" s="1485" t="e">
        <f ca="1">SUM(Z17:Z20)</f>
        <v>#N/A</v>
      </c>
      <c r="AD16" s="1487"/>
      <c r="AE16" s="797"/>
      <c r="AG16" s="1193"/>
      <c r="AH16" s="1193"/>
      <c r="AI16" s="1193"/>
      <c r="AJ16" s="1194"/>
      <c r="AK16" s="1195"/>
      <c r="AL16" s="1195"/>
      <c r="AM16" s="1195"/>
      <c r="AN16" s="1195"/>
      <c r="AO16" s="1196">
        <f ca="1">SUM(AO17:AO17)</f>
        <v>0</v>
      </c>
      <c r="AP16" s="1196"/>
      <c r="AQ16" s="1196"/>
    </row>
    <row r="17" spans="2:45" s="50" customFormat="1" x14ac:dyDescent="0.3">
      <c r="B17" s="50">
        <f t="shared" si="0"/>
        <v>3</v>
      </c>
      <c r="C17" t="s">
        <v>1375</v>
      </c>
      <c r="D17" t="s">
        <v>859</v>
      </c>
      <c r="E17" t="s">
        <v>844</v>
      </c>
      <c r="F17" t="s">
        <v>837</v>
      </c>
      <c r="G17" t="s">
        <v>1376</v>
      </c>
      <c r="H17" t="s">
        <v>1400</v>
      </c>
      <c r="I17"/>
      <c r="J17">
        <f ca="1">SUMIFS(OFFSET(Spaces_Ref,1,K$11,1000),OFFSET(Spaces_Ref,1,K$10,1000),$C17)</f>
        <v>0</v>
      </c>
      <c r="K17" s="121">
        <f>IF(E17="DirectlyConditioned",J17,0)</f>
        <v>0</v>
      </c>
      <c r="L17" s="121">
        <f ca="1">IF(E17="IndirectlyConditioned",J17,0)</f>
        <v>0</v>
      </c>
      <c r="M17" s="157"/>
      <c r="N17" s="368" t="e">
        <f ca="1">$N$16*J17</f>
        <v>#DIV/0!</v>
      </c>
      <c r="O17" s="368" t="e">
        <f>$O$16*K17</f>
        <v>#DIV/0!</v>
      </c>
      <c r="P17" s="792" t="e">
        <f ca="1">OFFSET(VentExhCSV_Spc!$B$5,MATCH($C17,VentExhCSV_Spc!$C$6:$C$308,0),P$11)</f>
        <v>#N/A</v>
      </c>
      <c r="Q17" s="121" t="str">
        <f>MID(C17,FIND("_",C17)+1,4)</f>
        <v>Mech</v>
      </c>
      <c r="R17" s="1490">
        <f t="shared" ref="R17:T32" si="3">VLOOKUP($Q17,$AG$32:$AQ$47,R$11,0)</f>
        <v>0</v>
      </c>
      <c r="S17" s="1490">
        <f t="shared" si="3"/>
        <v>0</v>
      </c>
      <c r="T17" s="1490">
        <f t="shared" si="3"/>
        <v>0</v>
      </c>
      <c r="U17" s="121">
        <f>IF($E17="DirectlyConditioned",$R17*$J17/1000*$S17+$T17*$J17,0)</f>
        <v>0</v>
      </c>
      <c r="V17" s="121">
        <f ca="1">IF($E17="IndirectlyConditioned",$R17*$J17/1000*$S17+$T17*$J17,0)</f>
        <v>0</v>
      </c>
      <c r="W17" s="121">
        <f ca="1">SUM(U17:V17)</f>
        <v>0</v>
      </c>
      <c r="X17" s="121"/>
      <c r="Y17" s="121" t="b">
        <f>IF(E17="DirectlyConditioned",Y$21*$K17)</f>
        <v>0</v>
      </c>
      <c r="Z17" s="121" t="e">
        <f ca="1">OFFSET(VentExhCSV_Spc!$B$5,MATCH($C17,VentExhCSV_Spc!$C$6:$C$308,0),Z$11)</f>
        <v>#N/A</v>
      </c>
      <c r="AD17" s="1490"/>
      <c r="AE17" s="1490"/>
      <c r="AG17" s="124" t="s">
        <v>154</v>
      </c>
      <c r="AH17" s="121">
        <f ca="1">J17</f>
        <v>0</v>
      </c>
      <c r="AI17" s="1"/>
      <c r="AJ17" s="1197">
        <f ca="1">ROUNDDOWN(AH17/1000*AI17,0)</f>
        <v>0</v>
      </c>
      <c r="AK17" s="1"/>
      <c r="AL17" s="1">
        <v>0.12</v>
      </c>
      <c r="AM17" s="119">
        <f ca="1">(AK17*AJ17)+(AL17*AH17)</f>
        <v>0</v>
      </c>
      <c r="AN17" s="1">
        <v>1</v>
      </c>
      <c r="AO17" s="119">
        <f ca="1">AM17/AN17</f>
        <v>0</v>
      </c>
      <c r="AP17" s="119"/>
      <c r="AQ17" s="119"/>
    </row>
    <row r="18" spans="2:45" s="50" customFormat="1" x14ac:dyDescent="0.3">
      <c r="B18" s="50">
        <f t="shared" si="0"/>
        <v>4</v>
      </c>
      <c r="C18" t="s">
        <v>1377</v>
      </c>
      <c r="D18" t="s">
        <v>859</v>
      </c>
      <c r="E18" t="s">
        <v>825</v>
      </c>
      <c r="F18" t="s">
        <v>836</v>
      </c>
      <c r="G18" t="s">
        <v>1376</v>
      </c>
      <c r="H18" t="s">
        <v>1400</v>
      </c>
      <c r="I18"/>
      <c r="J18">
        <v>0</v>
      </c>
      <c r="K18" s="121">
        <f>IF(E18="DirectlyConditioned",J18,0)</f>
        <v>0</v>
      </c>
      <c r="L18" s="121">
        <f>IF(E18="IndirectlyConditioned",J18,0)</f>
        <v>0</v>
      </c>
      <c r="M18" s="157"/>
      <c r="N18" s="368" t="e">
        <f ca="1">$N$16*J18</f>
        <v>#DIV/0!</v>
      </c>
      <c r="O18" s="368" t="e">
        <f>$O$16*K18</f>
        <v>#DIV/0!</v>
      </c>
      <c r="P18" s="792" t="e">
        <f ca="1">OFFSET(VentExhCSV_Spc!$B$5,MATCH($C18,VentExhCSV_Spc!$C$6:$C$308,0),P$11)</f>
        <v>#N/A</v>
      </c>
      <c r="Q18" s="121" t="str">
        <f>MID(C18,FIND("_",C18)+1,4)</f>
        <v>Corr</v>
      </c>
      <c r="R18" s="1490">
        <f t="shared" si="3"/>
        <v>0</v>
      </c>
      <c r="S18" s="1490">
        <f t="shared" si="3"/>
        <v>0</v>
      </c>
      <c r="T18" s="1490">
        <f t="shared" si="3"/>
        <v>0.06</v>
      </c>
      <c r="U18" s="121">
        <f>IF($E18="DirectlyConditioned",$R18*$J18/1000*$S18+$T18*$J18,0)</f>
        <v>0</v>
      </c>
      <c r="V18" s="121">
        <f>IF($E18="IndirectlyConditioned",$R18*$J18/1000*$S18+$T18*$J18,0)</f>
        <v>0</v>
      </c>
      <c r="W18" s="121">
        <f t="shared" ref="W18" si="4">SUM(U18:V18)</f>
        <v>0</v>
      </c>
      <c r="X18" s="121"/>
      <c r="Y18" s="121">
        <f>IF(E18="DirectlyConditioned",Y$21*$K18)</f>
        <v>0</v>
      </c>
      <c r="Z18" s="121" t="e">
        <f ca="1">OFFSET(VentExhCSV_Spc!$B$5,MATCH($C18,VentExhCSV_Spc!$C$6:$C$308,0),Z$11)</f>
        <v>#N/A</v>
      </c>
      <c r="AD18" s="1490"/>
      <c r="AE18" s="1490"/>
      <c r="AG18" s="124" t="s">
        <v>1358</v>
      </c>
      <c r="AH18" s="121">
        <f>J18</f>
        <v>0</v>
      </c>
      <c r="AI18" s="1"/>
      <c r="AJ18" s="1197">
        <f>ROUNDDOWN(AH18/1000*AI18,0)</f>
        <v>0</v>
      </c>
      <c r="AK18" s="1"/>
      <c r="AL18" s="1">
        <v>1</v>
      </c>
      <c r="AM18" s="119">
        <f>(AK18*AJ18)+(AL18*AH18)</f>
        <v>0</v>
      </c>
      <c r="AN18" s="1">
        <v>1</v>
      </c>
      <c r="AO18" s="119">
        <f>AM18/AN18</f>
        <v>0</v>
      </c>
      <c r="AP18" s="119"/>
      <c r="AQ18" s="119"/>
    </row>
    <row r="19" spans="2:45" s="50" customFormat="1" x14ac:dyDescent="0.3">
      <c r="B19" s="50">
        <f t="shared" si="0"/>
        <v>5</v>
      </c>
      <c r="C19" t="s">
        <v>1378</v>
      </c>
      <c r="D19" t="s">
        <v>859</v>
      </c>
      <c r="E19" t="s">
        <v>844</v>
      </c>
      <c r="F19" t="s">
        <v>829</v>
      </c>
      <c r="G19" t="s">
        <v>1376</v>
      </c>
      <c r="H19" t="s">
        <v>1400</v>
      </c>
      <c r="I19"/>
      <c r="J19">
        <v>0</v>
      </c>
      <c r="K19" s="121">
        <f t="shared" ref="K19:K82" si="5">IF(E19="DirectlyConditioned",J19,0)</f>
        <v>0</v>
      </c>
      <c r="L19" s="121">
        <f t="shared" ref="L19:L82" si="6">IF(E19="IndirectlyConditioned",J19,0)</f>
        <v>0</v>
      </c>
      <c r="M19" s="157"/>
      <c r="N19" s="368" t="e">
        <f t="shared" ref="N19:N82" ca="1" si="7">$N$16*J19</f>
        <v>#DIV/0!</v>
      </c>
      <c r="O19" s="368" t="e">
        <f t="shared" ref="O19:O82" si="8">$O$16*K19</f>
        <v>#DIV/0!</v>
      </c>
      <c r="P19" s="792" t="e">
        <f ca="1">OFFSET(VentExhCSV_Spc!$B$5,MATCH($C19,VentExhCSV_Spc!$C$6:$C$308,0),P$11)</f>
        <v>#N/A</v>
      </c>
      <c r="Q19" s="121" t="str">
        <f t="shared" ref="Q19:Q82" si="9">MID(C19,FIND("_",C19)+1,4)</f>
        <v>Shft</v>
      </c>
      <c r="R19" s="1490" t="e">
        <f t="shared" si="3"/>
        <v>#N/A</v>
      </c>
      <c r="S19" s="1490" t="e">
        <f t="shared" si="3"/>
        <v>#N/A</v>
      </c>
      <c r="T19" s="1490" t="e">
        <f t="shared" si="3"/>
        <v>#N/A</v>
      </c>
      <c r="U19" s="121">
        <f t="shared" ref="U19:U82" si="10">IF($E19="DirectlyConditioned",$R19*$J19/1000*$S19+$T19*$J19,0)</f>
        <v>0</v>
      </c>
      <c r="V19" s="121" t="e">
        <f t="shared" ref="V19:V82" si="11">IF($E19="IndirectlyConditioned",$R19*$J19/1000*$S19+$T19*$J19,0)</f>
        <v>#N/A</v>
      </c>
      <c r="W19" s="121" t="e">
        <f t="shared" ref="W19:W82" si="12">SUM(U19:V19)</f>
        <v>#N/A</v>
      </c>
      <c r="X19" s="121"/>
      <c r="Y19" s="121" t="b">
        <f t="shared" ref="Y19:Y82" si="13">IF(E19="DirectlyConditioned",Y$21*$K19)</f>
        <v>0</v>
      </c>
      <c r="Z19" s="121" t="e">
        <f ca="1">OFFSET(VentExhCSV_Spc!$B$5,MATCH($C19,VentExhCSV_Spc!$C$6:$C$308,0),Z$11)</f>
        <v>#N/A</v>
      </c>
      <c r="AD19" s="1491"/>
      <c r="AE19" s="1491"/>
      <c r="AG19" s="124"/>
      <c r="AH19" s="121"/>
      <c r="AI19" s="1"/>
      <c r="AJ19" s="1197"/>
      <c r="AK19" s="1"/>
      <c r="AL19" s="1"/>
      <c r="AM19" s="119"/>
      <c r="AN19" s="1"/>
      <c r="AO19" s="119"/>
      <c r="AP19" s="119"/>
      <c r="AQ19" s="119"/>
    </row>
    <row r="20" spans="2:45" s="50" customFormat="1" x14ac:dyDescent="0.3">
      <c r="B20" s="50">
        <f t="shared" si="0"/>
        <v>6</v>
      </c>
      <c r="C20" t="s">
        <v>1379</v>
      </c>
      <c r="D20" t="s">
        <v>859</v>
      </c>
      <c r="E20" t="s">
        <v>844</v>
      </c>
      <c r="F20" t="s">
        <v>841</v>
      </c>
      <c r="G20" t="s">
        <v>1376</v>
      </c>
      <c r="H20" t="s">
        <v>1400</v>
      </c>
      <c r="I20"/>
      <c r="J20">
        <v>0</v>
      </c>
      <c r="K20" s="121">
        <f t="shared" si="5"/>
        <v>0</v>
      </c>
      <c r="L20" s="121">
        <f t="shared" si="6"/>
        <v>0</v>
      </c>
      <c r="M20" s="157"/>
      <c r="N20" s="368" t="e">
        <f t="shared" ca="1" si="7"/>
        <v>#DIV/0!</v>
      </c>
      <c r="O20" s="368" t="e">
        <f t="shared" si="8"/>
        <v>#DIV/0!</v>
      </c>
      <c r="P20" s="792" t="e">
        <f ca="1">OFFSET(VentExhCSV_Spc!$B$5,MATCH($C20,VentExhCSV_Spc!$C$6:$C$308,0),P$11)</f>
        <v>#N/A</v>
      </c>
      <c r="Q20" s="121" t="str">
        <f t="shared" si="9"/>
        <v>Strs</v>
      </c>
      <c r="R20" s="1490">
        <f t="shared" si="3"/>
        <v>0</v>
      </c>
      <c r="S20" s="1490">
        <f t="shared" si="3"/>
        <v>0</v>
      </c>
      <c r="T20" s="1490">
        <f t="shared" si="3"/>
        <v>0</v>
      </c>
      <c r="U20" s="121">
        <f t="shared" si="10"/>
        <v>0</v>
      </c>
      <c r="V20" s="121">
        <f t="shared" si="11"/>
        <v>0</v>
      </c>
      <c r="W20" s="121">
        <f t="shared" si="12"/>
        <v>0</v>
      </c>
      <c r="X20" s="121"/>
      <c r="Y20" s="121" t="b">
        <f t="shared" si="13"/>
        <v>0</v>
      </c>
      <c r="Z20" s="121" t="e">
        <f ca="1">OFFSET(VentExhCSV_Spc!$B$5,MATCH($C20,VentExhCSV_Spc!$C$6:$C$308,0),Z$11)</f>
        <v>#N/A</v>
      </c>
      <c r="AD20" s="1491"/>
      <c r="AE20" s="1491"/>
      <c r="AG20" s="124"/>
      <c r="AH20" s="121"/>
      <c r="AI20" s="1"/>
      <c r="AJ20" s="1197"/>
      <c r="AK20" s="1"/>
      <c r="AL20" s="1"/>
      <c r="AM20" s="119"/>
      <c r="AN20" s="1"/>
      <c r="AO20" s="119"/>
      <c r="AP20" s="119"/>
      <c r="AQ20" s="119"/>
    </row>
    <row r="21" spans="2:45" s="50" customFormat="1" x14ac:dyDescent="0.3">
      <c r="B21" s="50">
        <f t="shared" si="0"/>
        <v>7</v>
      </c>
      <c r="C21" t="s">
        <v>1380</v>
      </c>
      <c r="D21" t="s">
        <v>859</v>
      </c>
      <c r="E21" t="s">
        <v>844</v>
      </c>
      <c r="F21" t="s">
        <v>834</v>
      </c>
      <c r="G21" t="s">
        <v>1376</v>
      </c>
      <c r="H21" t="s">
        <v>1400</v>
      </c>
      <c r="I21"/>
      <c r="J21">
        <v>0</v>
      </c>
      <c r="K21" s="121">
        <f t="shared" si="5"/>
        <v>0</v>
      </c>
      <c r="L21" s="121">
        <f t="shared" si="6"/>
        <v>0</v>
      </c>
      <c r="M21" s="157"/>
      <c r="N21" s="368" t="e">
        <f t="shared" ca="1" si="7"/>
        <v>#DIV/0!</v>
      </c>
      <c r="O21" s="368" t="e">
        <f t="shared" si="8"/>
        <v>#DIV/0!</v>
      </c>
      <c r="P21" s="792" t="e">
        <f ca="1">OFFSET(VentExhCSV_Spc!$B$5,MATCH($C21,VentExhCSV_Spc!$C$6:$C$308,0),P$11)</f>
        <v>#N/A</v>
      </c>
      <c r="Q21" s="121" t="str">
        <f t="shared" si="9"/>
        <v>Elev</v>
      </c>
      <c r="R21" s="1490">
        <f t="shared" si="3"/>
        <v>0</v>
      </c>
      <c r="S21" s="1490">
        <f t="shared" si="3"/>
        <v>0</v>
      </c>
      <c r="T21" s="1490">
        <f t="shared" si="3"/>
        <v>0</v>
      </c>
      <c r="U21" s="121">
        <f t="shared" si="10"/>
        <v>0</v>
      </c>
      <c r="V21" s="121">
        <f t="shared" si="11"/>
        <v>0</v>
      </c>
      <c r="W21" s="121">
        <f t="shared" si="12"/>
        <v>0</v>
      </c>
      <c r="X21" s="121"/>
      <c r="Y21" s="121" t="b">
        <f t="shared" si="13"/>
        <v>0</v>
      </c>
      <c r="Z21" s="121" t="e">
        <f ca="1">OFFSET(VentExhCSV_Spc!$B$5,MATCH($C21,VentExhCSV_Spc!$C$6:$C$308,0),Z$11)</f>
        <v>#N/A</v>
      </c>
      <c r="AD21" s="1492"/>
      <c r="AE21" s="1198"/>
      <c r="AG21" s="124"/>
    </row>
    <row r="22" spans="2:45" s="50" customFormat="1" x14ac:dyDescent="0.3">
      <c r="C22" t="s">
        <v>1381</v>
      </c>
      <c r="D22" t="s">
        <v>859</v>
      </c>
      <c r="E22" t="s">
        <v>844</v>
      </c>
      <c r="F22" t="s">
        <v>841</v>
      </c>
      <c r="G22" t="s">
        <v>1376</v>
      </c>
      <c r="H22" t="s">
        <v>1400</v>
      </c>
      <c r="I22"/>
      <c r="J22">
        <v>0</v>
      </c>
      <c r="K22" s="121">
        <f t="shared" si="5"/>
        <v>0</v>
      </c>
      <c r="L22" s="121">
        <f t="shared" si="6"/>
        <v>0</v>
      </c>
      <c r="M22" s="157"/>
      <c r="N22" s="368" t="e">
        <f t="shared" ca="1" si="7"/>
        <v>#DIV/0!</v>
      </c>
      <c r="O22" s="368" t="e">
        <f t="shared" si="8"/>
        <v>#DIV/0!</v>
      </c>
      <c r="P22" s="792" t="e">
        <f ca="1">OFFSET(VentExhCSV_Spc!$B$5,MATCH($C22,VentExhCSV_Spc!$C$6:$C$308,0),P$11)</f>
        <v>#N/A</v>
      </c>
      <c r="Q22" s="121" t="str">
        <f t="shared" si="9"/>
        <v>Strs</v>
      </c>
      <c r="R22" s="1490">
        <f t="shared" si="3"/>
        <v>0</v>
      </c>
      <c r="S22" s="1490">
        <f t="shared" si="3"/>
        <v>0</v>
      </c>
      <c r="T22" s="1490">
        <f t="shared" si="3"/>
        <v>0</v>
      </c>
      <c r="U22" s="121">
        <f t="shared" si="10"/>
        <v>0</v>
      </c>
      <c r="V22" s="121">
        <f t="shared" si="11"/>
        <v>0</v>
      </c>
      <c r="W22" s="121">
        <f t="shared" si="12"/>
        <v>0</v>
      </c>
      <c r="X22" s="121"/>
      <c r="Y22" s="121" t="b">
        <f t="shared" si="13"/>
        <v>0</v>
      </c>
      <c r="Z22" s="121" t="e">
        <f ca="1">OFFSET(VentExhCSV_Spc!$B$5,MATCH($C22,VentExhCSV_Spc!$C$6:$C$308,0),Z$11)</f>
        <v>#N/A</v>
      </c>
      <c r="AD22" s="1492"/>
      <c r="AE22" s="1492"/>
      <c r="AG22" s="124"/>
    </row>
    <row r="23" spans="2:45" s="50" customFormat="1" x14ac:dyDescent="0.3">
      <c r="B23" s="50">
        <f>B21+1</f>
        <v>8</v>
      </c>
      <c r="C23" t="s">
        <v>1382</v>
      </c>
      <c r="D23" t="s">
        <v>888</v>
      </c>
      <c r="E23" t="s">
        <v>844</v>
      </c>
      <c r="F23" t="s">
        <v>837</v>
      </c>
      <c r="G23" t="s">
        <v>1383</v>
      </c>
      <c r="H23" t="s">
        <v>1400</v>
      </c>
      <c r="I23"/>
      <c r="J23">
        <v>0</v>
      </c>
      <c r="K23" s="121">
        <f t="shared" si="5"/>
        <v>0</v>
      </c>
      <c r="L23" s="121">
        <f t="shared" si="6"/>
        <v>0</v>
      </c>
      <c r="M23" s="157"/>
      <c r="N23" s="368" t="e">
        <f t="shared" ca="1" si="7"/>
        <v>#DIV/0!</v>
      </c>
      <c r="O23" s="368" t="e">
        <f t="shared" si="8"/>
        <v>#DIV/0!</v>
      </c>
      <c r="P23" s="792" t="e">
        <f ca="1">OFFSET(VentExhCSV_Spc!$B$5,MATCH($C23,VentExhCSV_Spc!$C$6:$C$308,0),P$11)</f>
        <v>#N/A</v>
      </c>
      <c r="Q23" s="121" t="str">
        <f t="shared" si="9"/>
        <v>Mech</v>
      </c>
      <c r="R23" s="1490">
        <f t="shared" si="3"/>
        <v>0</v>
      </c>
      <c r="S23" s="1490">
        <f t="shared" si="3"/>
        <v>0</v>
      </c>
      <c r="T23" s="1490">
        <f t="shared" si="3"/>
        <v>0</v>
      </c>
      <c r="U23" s="121">
        <f t="shared" si="10"/>
        <v>0</v>
      </c>
      <c r="V23" s="121">
        <f t="shared" si="11"/>
        <v>0</v>
      </c>
      <c r="W23" s="121">
        <f t="shared" si="12"/>
        <v>0</v>
      </c>
      <c r="X23" s="121"/>
      <c r="Y23" s="121" t="b">
        <f t="shared" si="13"/>
        <v>0</v>
      </c>
      <c r="Z23" s="121" t="e">
        <f ca="1">OFFSET(VentExhCSV_Spc!$B$5,MATCH($C23,VentExhCSV_Spc!$C$6:$C$308,0),Z$11)</f>
        <v>#N/A</v>
      </c>
      <c r="AD23" s="1490"/>
      <c r="AE23" s="1490"/>
      <c r="AG23" s="124" t="s">
        <v>35</v>
      </c>
      <c r="AH23" s="121">
        <f>K23</f>
        <v>0</v>
      </c>
      <c r="AI23" s="1"/>
      <c r="AJ23" s="1197">
        <f>ROUNDDOWN(AH23/1000*AI23,0)</f>
        <v>0</v>
      </c>
      <c r="AK23" s="1"/>
      <c r="AL23" s="1">
        <v>0.06</v>
      </c>
      <c r="AM23" s="119">
        <f>(AK23*AJ23)+(AL23*AH23)</f>
        <v>0</v>
      </c>
      <c r="AN23" s="1">
        <v>1</v>
      </c>
      <c r="AO23" s="119">
        <f>AM23/AN23</f>
        <v>0</v>
      </c>
      <c r="AP23" s="119"/>
      <c r="AQ23" s="119"/>
    </row>
    <row r="24" spans="2:45" s="50" customFormat="1" x14ac:dyDescent="0.3">
      <c r="B24" s="50">
        <f t="shared" si="0"/>
        <v>9</v>
      </c>
      <c r="C24" t="s">
        <v>1384</v>
      </c>
      <c r="D24" t="s">
        <v>888</v>
      </c>
      <c r="E24" t="s">
        <v>825</v>
      </c>
      <c r="F24" t="s">
        <v>836</v>
      </c>
      <c r="G24" t="s">
        <v>1383</v>
      </c>
      <c r="H24" t="s">
        <v>1400</v>
      </c>
      <c r="I24"/>
      <c r="J24">
        <v>0</v>
      </c>
      <c r="K24" s="121">
        <f t="shared" si="5"/>
        <v>0</v>
      </c>
      <c r="L24" s="121">
        <f t="shared" si="6"/>
        <v>0</v>
      </c>
      <c r="M24" s="157"/>
      <c r="N24" s="368" t="e">
        <f t="shared" ca="1" si="7"/>
        <v>#DIV/0!</v>
      </c>
      <c r="O24" s="368" t="e">
        <f t="shared" si="8"/>
        <v>#DIV/0!</v>
      </c>
      <c r="P24" s="792" t="e">
        <f ca="1">OFFSET(VentExhCSV_Spc!$B$5,MATCH($C24,VentExhCSV_Spc!$C$6:$C$308,0),P$11)</f>
        <v>#N/A</v>
      </c>
      <c r="Q24" s="121" t="str">
        <f t="shared" si="9"/>
        <v>Corr</v>
      </c>
      <c r="R24" s="1490">
        <f t="shared" si="3"/>
        <v>0</v>
      </c>
      <c r="S24" s="1490">
        <f t="shared" si="3"/>
        <v>0</v>
      </c>
      <c r="T24" s="1490">
        <f t="shared" si="3"/>
        <v>0.06</v>
      </c>
      <c r="U24" s="121">
        <f t="shared" si="10"/>
        <v>0</v>
      </c>
      <c r="V24" s="121">
        <f t="shared" si="11"/>
        <v>0</v>
      </c>
      <c r="W24" s="121">
        <f t="shared" si="12"/>
        <v>0</v>
      </c>
      <c r="X24" s="121"/>
      <c r="Y24" s="121">
        <f t="shared" si="13"/>
        <v>0</v>
      </c>
      <c r="Z24" s="121" t="e">
        <f ca="1">OFFSET(VentExhCSV_Spc!$B$5,MATCH($C24,VentExhCSV_Spc!$C$6:$C$308,0),Z$11)</f>
        <v>#N/A</v>
      </c>
      <c r="AD24" s="1490"/>
      <c r="AE24" s="1490"/>
      <c r="AG24" s="124" t="s">
        <v>154</v>
      </c>
      <c r="AH24" s="121">
        <f>K24</f>
        <v>0</v>
      </c>
      <c r="AI24" s="1"/>
      <c r="AJ24" s="1197">
        <f>ROUNDDOWN(AH24/1000*AI24,0)</f>
        <v>0</v>
      </c>
      <c r="AK24" s="1"/>
      <c r="AL24" s="1">
        <v>0.12</v>
      </c>
      <c r="AM24" s="119">
        <f>(AK24*AJ24)+(AL24*AH24)</f>
        <v>0</v>
      </c>
      <c r="AN24" s="1">
        <v>1</v>
      </c>
      <c r="AO24" s="119">
        <f>AM24/AN24</f>
        <v>0</v>
      </c>
      <c r="AP24" s="119"/>
      <c r="AQ24" s="119"/>
    </row>
    <row r="25" spans="2:45" s="50" customFormat="1" x14ac:dyDescent="0.3">
      <c r="B25" s="50">
        <f t="shared" si="0"/>
        <v>10</v>
      </c>
      <c r="C25" t="s">
        <v>1385</v>
      </c>
      <c r="D25" t="s">
        <v>888</v>
      </c>
      <c r="E25" t="s">
        <v>844</v>
      </c>
      <c r="F25" t="s">
        <v>829</v>
      </c>
      <c r="G25" t="s">
        <v>1383</v>
      </c>
      <c r="H25" t="s">
        <v>1400</v>
      </c>
      <c r="I25"/>
      <c r="J25">
        <v>0</v>
      </c>
      <c r="K25" s="121">
        <f t="shared" si="5"/>
        <v>0</v>
      </c>
      <c r="L25" s="121">
        <f t="shared" si="6"/>
        <v>0</v>
      </c>
      <c r="M25" s="157"/>
      <c r="N25" s="368" t="e">
        <f t="shared" ca="1" si="7"/>
        <v>#DIV/0!</v>
      </c>
      <c r="O25" s="368" t="e">
        <f t="shared" si="8"/>
        <v>#DIV/0!</v>
      </c>
      <c r="P25" s="792" t="e">
        <f ca="1">OFFSET(VentExhCSV_Spc!$B$5,MATCH($C25,VentExhCSV_Spc!$C$6:$C$308,0),P$11)</f>
        <v>#N/A</v>
      </c>
      <c r="Q25" s="121" t="str">
        <f t="shared" si="9"/>
        <v>Shft</v>
      </c>
      <c r="R25" s="1490" t="e">
        <f t="shared" si="3"/>
        <v>#N/A</v>
      </c>
      <c r="S25" s="1490" t="e">
        <f t="shared" si="3"/>
        <v>#N/A</v>
      </c>
      <c r="T25" s="1490" t="e">
        <f t="shared" si="3"/>
        <v>#N/A</v>
      </c>
      <c r="U25" s="121">
        <f t="shared" si="10"/>
        <v>0</v>
      </c>
      <c r="V25" s="121" t="e">
        <f t="shared" si="11"/>
        <v>#N/A</v>
      </c>
      <c r="W25" s="121" t="e">
        <f t="shared" si="12"/>
        <v>#N/A</v>
      </c>
      <c r="X25" s="121"/>
      <c r="Y25" s="121" t="b">
        <f t="shared" si="13"/>
        <v>0</v>
      </c>
      <c r="Z25" s="121" t="e">
        <f ca="1">OFFSET(VentExhCSV_Spc!$B$5,MATCH($C25,VentExhCSV_Spc!$C$6:$C$308,0),Z$11)</f>
        <v>#N/A</v>
      </c>
      <c r="AD25" s="1490"/>
      <c r="AE25" s="1490"/>
      <c r="AG25" s="124" t="s">
        <v>154</v>
      </c>
      <c r="AH25" s="121">
        <f>K25</f>
        <v>0</v>
      </c>
      <c r="AI25" s="1"/>
      <c r="AJ25" s="1197">
        <f>ROUNDDOWN(AH25/1000*AI25,0)</f>
        <v>0</v>
      </c>
      <c r="AK25" s="1"/>
      <c r="AL25" s="1">
        <v>0.12</v>
      </c>
      <c r="AM25" s="119">
        <f>(AK25*AJ25)+(AL25*AH25)</f>
        <v>0</v>
      </c>
      <c r="AN25" s="1">
        <v>1</v>
      </c>
      <c r="AO25" s="119">
        <f>AM25/AN25</f>
        <v>0</v>
      </c>
      <c r="AP25" s="119"/>
      <c r="AQ25" s="119"/>
    </row>
    <row r="26" spans="2:45" s="50" customFormat="1" x14ac:dyDescent="0.3">
      <c r="B26" s="50">
        <f t="shared" si="0"/>
        <v>11</v>
      </c>
      <c r="C26" t="s">
        <v>1386</v>
      </c>
      <c r="D26" t="s">
        <v>888</v>
      </c>
      <c r="E26" t="s">
        <v>844</v>
      </c>
      <c r="F26" t="s">
        <v>841</v>
      </c>
      <c r="G26" t="s">
        <v>1383</v>
      </c>
      <c r="H26" t="s">
        <v>1400</v>
      </c>
      <c r="I26"/>
      <c r="J26">
        <v>0</v>
      </c>
      <c r="K26" s="121">
        <f t="shared" si="5"/>
        <v>0</v>
      </c>
      <c r="L26" s="121">
        <f t="shared" si="6"/>
        <v>0</v>
      </c>
      <c r="M26" s="157"/>
      <c r="N26" s="368" t="e">
        <f t="shared" ca="1" si="7"/>
        <v>#DIV/0!</v>
      </c>
      <c r="O26" s="368" t="e">
        <f t="shared" si="8"/>
        <v>#DIV/0!</v>
      </c>
      <c r="P26" s="792" t="e">
        <f ca="1">OFFSET(VentExhCSV_Spc!$B$5,MATCH($C26,VentExhCSV_Spc!$C$6:$C$308,0),P$11)</f>
        <v>#N/A</v>
      </c>
      <c r="Q26" s="121" t="str">
        <f t="shared" si="9"/>
        <v>Strs</v>
      </c>
      <c r="R26" s="1490">
        <f t="shared" si="3"/>
        <v>0</v>
      </c>
      <c r="S26" s="1490">
        <f t="shared" si="3"/>
        <v>0</v>
      </c>
      <c r="T26" s="1490">
        <f t="shared" si="3"/>
        <v>0</v>
      </c>
      <c r="U26" s="121">
        <f t="shared" si="10"/>
        <v>0</v>
      </c>
      <c r="V26" s="121">
        <f t="shared" si="11"/>
        <v>0</v>
      </c>
      <c r="W26" s="121">
        <f t="shared" si="12"/>
        <v>0</v>
      </c>
      <c r="X26" s="121"/>
      <c r="Y26" s="121" t="b">
        <f t="shared" si="13"/>
        <v>0</v>
      </c>
      <c r="Z26" s="121" t="e">
        <f ca="1">OFFSET(VentExhCSV_Spc!$B$5,MATCH($C26,VentExhCSV_Spc!$C$6:$C$308,0),Z$11)</f>
        <v>#N/A</v>
      </c>
      <c r="AD26" s="1490"/>
      <c r="AE26" s="1490"/>
      <c r="AG26" s="124" t="s">
        <v>154</v>
      </c>
      <c r="AH26" s="121">
        <f>K26</f>
        <v>0</v>
      </c>
      <c r="AI26" s="1"/>
      <c r="AJ26" s="1197">
        <f>ROUNDDOWN(AH26/1000*AI26,0)</f>
        <v>0</v>
      </c>
      <c r="AK26" s="1"/>
      <c r="AL26" s="1">
        <v>0.12</v>
      </c>
      <c r="AM26" s="119">
        <f>(AK26*AJ26)+(AL26*AH26)</f>
        <v>0</v>
      </c>
      <c r="AN26" s="1">
        <v>1</v>
      </c>
      <c r="AO26" s="119">
        <f>AM26/AN26</f>
        <v>0</v>
      </c>
      <c r="AP26" s="119"/>
      <c r="AQ26" s="119"/>
    </row>
    <row r="27" spans="2:45" s="50" customFormat="1" x14ac:dyDescent="0.3">
      <c r="B27" s="50">
        <f t="shared" si="0"/>
        <v>12</v>
      </c>
      <c r="C27" t="s">
        <v>1387</v>
      </c>
      <c r="D27" t="s">
        <v>888</v>
      </c>
      <c r="E27" t="s">
        <v>844</v>
      </c>
      <c r="F27" t="s">
        <v>834</v>
      </c>
      <c r="G27" t="s">
        <v>1383</v>
      </c>
      <c r="H27" t="s">
        <v>1400</v>
      </c>
      <c r="I27"/>
      <c r="J27">
        <v>0</v>
      </c>
      <c r="K27" s="121">
        <f t="shared" si="5"/>
        <v>0</v>
      </c>
      <c r="L27" s="121">
        <f t="shared" si="6"/>
        <v>0</v>
      </c>
      <c r="M27" s="157"/>
      <c r="N27" s="368" t="e">
        <f t="shared" ca="1" si="7"/>
        <v>#DIV/0!</v>
      </c>
      <c r="O27" s="368" t="e">
        <f t="shared" si="8"/>
        <v>#DIV/0!</v>
      </c>
      <c r="P27" s="792" t="e">
        <f ca="1">OFFSET(VentExhCSV_Spc!$B$5,MATCH($C27,VentExhCSV_Spc!$C$6:$C$308,0),P$11)</f>
        <v>#N/A</v>
      </c>
      <c r="Q27" s="121" t="str">
        <f t="shared" si="9"/>
        <v>Elev</v>
      </c>
      <c r="R27" s="1490">
        <f t="shared" si="3"/>
        <v>0</v>
      </c>
      <c r="S27" s="1490">
        <f t="shared" si="3"/>
        <v>0</v>
      </c>
      <c r="T27" s="1490">
        <f t="shared" si="3"/>
        <v>0</v>
      </c>
      <c r="U27" s="121">
        <f t="shared" si="10"/>
        <v>0</v>
      </c>
      <c r="V27" s="121">
        <f t="shared" si="11"/>
        <v>0</v>
      </c>
      <c r="W27" s="121">
        <f t="shared" si="12"/>
        <v>0</v>
      </c>
      <c r="X27" s="121"/>
      <c r="Y27" s="121" t="b">
        <f t="shared" si="13"/>
        <v>0</v>
      </c>
      <c r="Z27" s="121" t="e">
        <f ca="1">OFFSET(VentExhCSV_Spc!$B$5,MATCH($C27,VentExhCSV_Spc!$C$6:$C$308,0),Z$11)</f>
        <v>#N/A</v>
      </c>
      <c r="AD27" s="1490"/>
      <c r="AE27" s="1490"/>
      <c r="AG27" s="124" t="s">
        <v>154</v>
      </c>
      <c r="AH27" s="121">
        <f>K27</f>
        <v>0</v>
      </c>
      <c r="AI27" s="1"/>
      <c r="AJ27" s="1197">
        <f>ROUNDDOWN(AH27/1000*AI27,0)</f>
        <v>0</v>
      </c>
      <c r="AK27" s="1"/>
      <c r="AL27" s="1">
        <v>0.12</v>
      </c>
      <c r="AM27" s="119">
        <f>(AK27*AJ27)+(AL27*AH27)</f>
        <v>0</v>
      </c>
      <c r="AN27" s="1">
        <v>1</v>
      </c>
      <c r="AO27" s="119">
        <f>AM27/AN27</f>
        <v>0</v>
      </c>
      <c r="AP27" s="119"/>
      <c r="AQ27" s="119"/>
    </row>
    <row r="28" spans="2:45" s="50" customFormat="1" x14ac:dyDescent="0.3">
      <c r="B28" s="50">
        <f t="shared" si="0"/>
        <v>13</v>
      </c>
      <c r="C28" t="s">
        <v>1388</v>
      </c>
      <c r="D28" t="s">
        <v>888</v>
      </c>
      <c r="E28" t="s">
        <v>844</v>
      </c>
      <c r="F28" t="s">
        <v>841</v>
      </c>
      <c r="G28" t="s">
        <v>1383</v>
      </c>
      <c r="H28" t="s">
        <v>1400</v>
      </c>
      <c r="I28"/>
      <c r="J28">
        <v>0</v>
      </c>
      <c r="K28" s="121">
        <f t="shared" si="5"/>
        <v>0</v>
      </c>
      <c r="L28" s="121">
        <f t="shared" si="6"/>
        <v>0</v>
      </c>
      <c r="M28" s="157"/>
      <c r="N28" s="368" t="e">
        <f t="shared" ca="1" si="7"/>
        <v>#DIV/0!</v>
      </c>
      <c r="O28" s="368" t="e">
        <f t="shared" si="8"/>
        <v>#DIV/0!</v>
      </c>
      <c r="P28" s="792" t="e">
        <f ca="1">OFFSET(VentExhCSV_Spc!$B$5,MATCH($C28,VentExhCSV_Spc!$C$6:$C$308,0),P$11)</f>
        <v>#N/A</v>
      </c>
      <c r="Q28" s="121" t="str">
        <f t="shared" si="9"/>
        <v>Strs</v>
      </c>
      <c r="R28" s="1490">
        <f t="shared" si="3"/>
        <v>0</v>
      </c>
      <c r="S28" s="1490">
        <f t="shared" si="3"/>
        <v>0</v>
      </c>
      <c r="T28" s="1490">
        <f t="shared" si="3"/>
        <v>0</v>
      </c>
      <c r="U28" s="121">
        <f t="shared" si="10"/>
        <v>0</v>
      </c>
      <c r="V28" s="121">
        <f t="shared" si="11"/>
        <v>0</v>
      </c>
      <c r="W28" s="121">
        <f t="shared" si="12"/>
        <v>0</v>
      </c>
      <c r="X28" s="121"/>
      <c r="Y28" s="121" t="b">
        <f t="shared" si="13"/>
        <v>0</v>
      </c>
      <c r="Z28" s="121" t="e">
        <f ca="1">OFFSET(VentExhCSV_Spc!$B$5,MATCH($C28,VentExhCSV_Spc!$C$6:$C$308,0),Z$11)</f>
        <v>#N/A</v>
      </c>
      <c r="AD28" s="1490"/>
      <c r="AE28" s="1490"/>
      <c r="AG28" s="124"/>
    </row>
    <row r="29" spans="2:45" s="50" customFormat="1" x14ac:dyDescent="0.3">
      <c r="B29" s="50">
        <f t="shared" si="0"/>
        <v>14</v>
      </c>
      <c r="C29" t="s">
        <v>1389</v>
      </c>
      <c r="D29" t="s">
        <v>889</v>
      </c>
      <c r="E29" t="s">
        <v>844</v>
      </c>
      <c r="F29" t="s">
        <v>837</v>
      </c>
      <c r="G29" t="s">
        <v>1390</v>
      </c>
      <c r="H29" t="s">
        <v>1400</v>
      </c>
      <c r="I29"/>
      <c r="J29">
        <v>0</v>
      </c>
      <c r="K29" s="121">
        <f t="shared" si="5"/>
        <v>0</v>
      </c>
      <c r="L29" s="121">
        <f t="shared" si="6"/>
        <v>0</v>
      </c>
      <c r="M29" s="157"/>
      <c r="N29" s="368" t="e">
        <f t="shared" ca="1" si="7"/>
        <v>#DIV/0!</v>
      </c>
      <c r="O29" s="368" t="e">
        <f t="shared" si="8"/>
        <v>#DIV/0!</v>
      </c>
      <c r="P29" s="792" t="e">
        <f ca="1">OFFSET(VentExhCSV_Spc!$B$5,MATCH($C29,VentExhCSV_Spc!$C$6:$C$308,0),P$11)</f>
        <v>#N/A</v>
      </c>
      <c r="Q29" s="121" t="str">
        <f t="shared" si="9"/>
        <v>Mech</v>
      </c>
      <c r="R29" s="1490">
        <f t="shared" si="3"/>
        <v>0</v>
      </c>
      <c r="S29" s="1490">
        <f t="shared" si="3"/>
        <v>0</v>
      </c>
      <c r="T29" s="1490">
        <f t="shared" si="3"/>
        <v>0</v>
      </c>
      <c r="U29" s="121">
        <f t="shared" si="10"/>
        <v>0</v>
      </c>
      <c r="V29" s="121">
        <f t="shared" si="11"/>
        <v>0</v>
      </c>
      <c r="W29" s="121">
        <f t="shared" si="12"/>
        <v>0</v>
      </c>
      <c r="X29" s="121"/>
      <c r="Y29" s="121" t="b">
        <f t="shared" si="13"/>
        <v>0</v>
      </c>
      <c r="Z29" s="121" t="e">
        <f ca="1">OFFSET(VentExhCSV_Spc!$B$5,MATCH($C29,VentExhCSV_Spc!$C$6:$C$308,0),Z$11)</f>
        <v>#N/A</v>
      </c>
      <c r="AD29" s="1490"/>
      <c r="AE29" s="1490"/>
      <c r="AG29" s="1493" t="s">
        <v>1359</v>
      </c>
      <c r="AH29" s="165"/>
      <c r="AI29" s="165"/>
      <c r="AJ29" s="165"/>
      <c r="AK29" s="165"/>
      <c r="AL29" s="165"/>
      <c r="AM29" s="165"/>
      <c r="AN29" s="165"/>
      <c r="AO29" s="165"/>
      <c r="AP29" s="1494"/>
      <c r="AQ29" s="1494"/>
      <c r="AR29" s="165"/>
      <c r="AS29" s="1495"/>
    </row>
    <row r="30" spans="2:45" s="50" customFormat="1" x14ac:dyDescent="0.3">
      <c r="B30" s="50">
        <f t="shared" si="0"/>
        <v>15</v>
      </c>
      <c r="C30" t="s">
        <v>1391</v>
      </c>
      <c r="D30" t="s">
        <v>889</v>
      </c>
      <c r="E30" t="s">
        <v>825</v>
      </c>
      <c r="F30" t="s">
        <v>836</v>
      </c>
      <c r="G30" t="s">
        <v>1390</v>
      </c>
      <c r="H30" t="s">
        <v>1400</v>
      </c>
      <c r="I30"/>
      <c r="J30">
        <v>0</v>
      </c>
      <c r="K30" s="121">
        <f t="shared" si="5"/>
        <v>0</v>
      </c>
      <c r="L30" s="121">
        <f t="shared" si="6"/>
        <v>0</v>
      </c>
      <c r="M30" s="157"/>
      <c r="N30" s="368" t="e">
        <f t="shared" ca="1" si="7"/>
        <v>#DIV/0!</v>
      </c>
      <c r="O30" s="368" t="e">
        <f t="shared" si="8"/>
        <v>#DIV/0!</v>
      </c>
      <c r="P30" s="792" t="e">
        <f ca="1">OFFSET(VentExhCSV_Spc!$B$5,MATCH($C30,VentExhCSV_Spc!$C$6:$C$308,0),P$11)</f>
        <v>#N/A</v>
      </c>
      <c r="Q30" s="121" t="str">
        <f t="shared" si="9"/>
        <v>Corr</v>
      </c>
      <c r="R30" s="1490">
        <f t="shared" si="3"/>
        <v>0</v>
      </c>
      <c r="S30" s="1490">
        <f t="shared" si="3"/>
        <v>0</v>
      </c>
      <c r="T30" s="1490">
        <f t="shared" si="3"/>
        <v>0.06</v>
      </c>
      <c r="U30" s="121">
        <f t="shared" si="10"/>
        <v>0</v>
      </c>
      <c r="V30" s="121">
        <f t="shared" si="11"/>
        <v>0</v>
      </c>
      <c r="W30" s="121">
        <f t="shared" si="12"/>
        <v>0</v>
      </c>
      <c r="X30" s="121"/>
      <c r="Y30" s="121">
        <f t="shared" si="13"/>
        <v>0</v>
      </c>
      <c r="Z30" s="121" t="e">
        <f ca="1">OFFSET(VentExhCSV_Spc!$B$5,MATCH($C30,VentExhCSV_Spc!$C$6:$C$308,0),Z$11)</f>
        <v>#N/A</v>
      </c>
      <c r="AD30" s="1490"/>
      <c r="AE30" s="1490"/>
      <c r="AG30" s="1496" t="s">
        <v>1114</v>
      </c>
      <c r="AH30" t="s">
        <v>1360</v>
      </c>
      <c r="AI30" t="s">
        <v>1116</v>
      </c>
      <c r="AJ30" t="s">
        <v>1361</v>
      </c>
      <c r="AK30" t="s">
        <v>1119</v>
      </c>
      <c r="AL30" t="s">
        <v>1118</v>
      </c>
      <c r="AM30" t="s">
        <v>1120</v>
      </c>
      <c r="AN30" t="s">
        <v>1121</v>
      </c>
      <c r="AO30" t="s">
        <v>1122</v>
      </c>
      <c r="AP30" s="2732" t="s">
        <v>1355</v>
      </c>
      <c r="AQ30" s="2732"/>
      <c r="AR30" t="s">
        <v>1362</v>
      </c>
      <c r="AS30" s="370" t="s">
        <v>48</v>
      </c>
    </row>
    <row r="31" spans="2:45" s="50" customFormat="1" x14ac:dyDescent="0.3">
      <c r="B31" s="50">
        <f t="shared" si="0"/>
        <v>16</v>
      </c>
      <c r="C31" t="s">
        <v>1392</v>
      </c>
      <c r="D31" t="s">
        <v>889</v>
      </c>
      <c r="E31" t="s">
        <v>844</v>
      </c>
      <c r="F31" t="s">
        <v>829</v>
      </c>
      <c r="G31" t="s">
        <v>1390</v>
      </c>
      <c r="H31" t="s">
        <v>1400</v>
      </c>
      <c r="I31"/>
      <c r="J31">
        <v>0</v>
      </c>
      <c r="K31" s="121">
        <f t="shared" si="5"/>
        <v>0</v>
      </c>
      <c r="L31" s="121">
        <f t="shared" si="6"/>
        <v>0</v>
      </c>
      <c r="M31" s="157"/>
      <c r="N31" s="368" t="e">
        <f t="shared" ca="1" si="7"/>
        <v>#DIV/0!</v>
      </c>
      <c r="O31" s="368" t="e">
        <f t="shared" si="8"/>
        <v>#DIV/0!</v>
      </c>
      <c r="P31" s="792" t="e">
        <f ca="1">OFFSET(VentExhCSV_Spc!$B$5,MATCH($C31,VentExhCSV_Spc!$C$6:$C$308,0),P$11)</f>
        <v>#N/A</v>
      </c>
      <c r="Q31" s="121" t="str">
        <f t="shared" si="9"/>
        <v>Shft</v>
      </c>
      <c r="R31" s="1490" t="e">
        <f t="shared" si="3"/>
        <v>#N/A</v>
      </c>
      <c r="S31" s="1490" t="e">
        <f t="shared" si="3"/>
        <v>#N/A</v>
      </c>
      <c r="T31" s="1490" t="e">
        <f t="shared" si="3"/>
        <v>#N/A</v>
      </c>
      <c r="U31" s="121">
        <f t="shared" si="10"/>
        <v>0</v>
      </c>
      <c r="V31" s="121" t="e">
        <f t="shared" si="11"/>
        <v>#N/A</v>
      </c>
      <c r="W31" s="121" t="e">
        <f t="shared" si="12"/>
        <v>#N/A</v>
      </c>
      <c r="X31" s="121"/>
      <c r="Y31" s="121" t="b">
        <f t="shared" si="13"/>
        <v>0</v>
      </c>
      <c r="Z31" s="121" t="e">
        <f ca="1">OFFSET(VentExhCSV_Spc!$B$5,MATCH($C31,VentExhCSV_Spc!$C$6:$C$308,0),Z$11)</f>
        <v>#N/A</v>
      </c>
      <c r="AD31" s="1490"/>
      <c r="AE31" s="1490"/>
      <c r="AG31" s="1496"/>
      <c r="AH31" t="s">
        <v>302</v>
      </c>
      <c r="AI31" t="s">
        <v>1123</v>
      </c>
      <c r="AJ31"/>
      <c r="AK31" t="s">
        <v>1124</v>
      </c>
      <c r="AL31" t="s">
        <v>625</v>
      </c>
      <c r="AM31" t="s">
        <v>89</v>
      </c>
      <c r="AN31"/>
      <c r="AO31"/>
      <c r="AP31" s="119" t="s">
        <v>1363</v>
      </c>
      <c r="AQ31" s="119" t="s">
        <v>89</v>
      </c>
      <c r="AR31" t="s">
        <v>1363</v>
      </c>
      <c r="AS31" s="370"/>
    </row>
    <row r="32" spans="2:45" s="50" customFormat="1" x14ac:dyDescent="0.3">
      <c r="B32" s="50">
        <f t="shared" si="0"/>
        <v>17</v>
      </c>
      <c r="C32" t="s">
        <v>1104</v>
      </c>
      <c r="D32" t="s">
        <v>889</v>
      </c>
      <c r="E32" t="s">
        <v>844</v>
      </c>
      <c r="F32" t="s">
        <v>841</v>
      </c>
      <c r="G32" t="s">
        <v>1390</v>
      </c>
      <c r="H32" t="s">
        <v>1400</v>
      </c>
      <c r="I32"/>
      <c r="J32">
        <v>0</v>
      </c>
      <c r="K32" s="121">
        <f t="shared" si="5"/>
        <v>0</v>
      </c>
      <c r="L32" s="121">
        <f t="shared" si="6"/>
        <v>0</v>
      </c>
      <c r="M32" s="157"/>
      <c r="N32" s="368" t="e">
        <f t="shared" ca="1" si="7"/>
        <v>#DIV/0!</v>
      </c>
      <c r="O32" s="368" t="e">
        <f t="shared" si="8"/>
        <v>#DIV/0!</v>
      </c>
      <c r="P32" s="792" t="e">
        <f ca="1">OFFSET(VentExhCSV_Spc!$B$5,MATCH($C32,VentExhCSV_Spc!$C$6:$C$308,0),P$11)</f>
        <v>#N/A</v>
      </c>
      <c r="Q32" s="121" t="str">
        <f t="shared" si="9"/>
        <v>Strs</v>
      </c>
      <c r="R32" s="1490">
        <f t="shared" si="3"/>
        <v>0</v>
      </c>
      <c r="S32" s="1490">
        <f t="shared" si="3"/>
        <v>0</v>
      </c>
      <c r="T32" s="1490">
        <f t="shared" si="3"/>
        <v>0</v>
      </c>
      <c r="U32" s="121">
        <f t="shared" si="10"/>
        <v>0</v>
      </c>
      <c r="V32" s="121">
        <f t="shared" si="11"/>
        <v>0</v>
      </c>
      <c r="W32" s="121">
        <f t="shared" si="12"/>
        <v>0</v>
      </c>
      <c r="X32" s="121"/>
      <c r="Y32" s="121" t="b">
        <f t="shared" si="13"/>
        <v>0</v>
      </c>
      <c r="Z32" s="121" t="e">
        <f ca="1">OFFSET(VentExhCSV_Spc!$B$5,MATCH($C32,VentExhCSV_Spc!$C$6:$C$308,0),Z$11)</f>
        <v>#N/A</v>
      </c>
      <c r="AD32" s="1490"/>
      <c r="AE32" s="1490"/>
      <c r="AG32" s="1497" t="s">
        <v>1364</v>
      </c>
      <c r="AH32" s="663">
        <f ca="1">SUMIF(Spaces_Sum!$E$23:$E$47,'Ventilation Old'!AG32,Spaces_Sum!$H$23:$H$47)</f>
        <v>0</v>
      </c>
      <c r="AI32" s="1">
        <v>0</v>
      </c>
      <c r="AJ32" s="663">
        <f ca="1">ROUNDDOWN(AH32/1000*AI32,0)</f>
        <v>0</v>
      </c>
      <c r="AK32" s="1">
        <v>0</v>
      </c>
      <c r="AL32" s="1">
        <v>0</v>
      </c>
      <c r="AM32" s="1498">
        <f ca="1">(AK32*AJ32)+(AL32*AH32)</f>
        <v>0</v>
      </c>
      <c r="AN32" s="1">
        <v>1</v>
      </c>
      <c r="AO32" s="1498">
        <f ca="1">AM32/AN32</f>
        <v>0</v>
      </c>
      <c r="AP32" s="1499">
        <v>0</v>
      </c>
      <c r="AQ32" s="1500"/>
      <c r="AR32" s="1501">
        <f ca="1">IFERROR(AO32/AH32 + AP32,0)</f>
        <v>0</v>
      </c>
      <c r="AS32" s="370"/>
    </row>
    <row r="33" spans="2:45" s="50" customFormat="1" x14ac:dyDescent="0.3">
      <c r="B33" s="50">
        <f t="shared" si="0"/>
        <v>18</v>
      </c>
      <c r="C33" t="s">
        <v>1393</v>
      </c>
      <c r="D33" t="s">
        <v>889</v>
      </c>
      <c r="E33" t="s">
        <v>844</v>
      </c>
      <c r="F33" t="s">
        <v>834</v>
      </c>
      <c r="G33" t="s">
        <v>1390</v>
      </c>
      <c r="H33" t="s">
        <v>1400</v>
      </c>
      <c r="I33"/>
      <c r="J33">
        <v>0</v>
      </c>
      <c r="K33" s="121">
        <f t="shared" si="5"/>
        <v>0</v>
      </c>
      <c r="L33" s="121">
        <f t="shared" si="6"/>
        <v>0</v>
      </c>
      <c r="M33" s="157"/>
      <c r="N33" s="368" t="e">
        <f t="shared" ca="1" si="7"/>
        <v>#DIV/0!</v>
      </c>
      <c r="O33" s="368" t="e">
        <f t="shared" si="8"/>
        <v>#DIV/0!</v>
      </c>
      <c r="P33" s="792" t="e">
        <f ca="1">OFFSET(VentExhCSV_Spc!$B$5,MATCH($C33,VentExhCSV_Spc!$C$6:$C$308,0),P$11)</f>
        <v>#N/A</v>
      </c>
      <c r="Q33" s="121" t="str">
        <f t="shared" si="9"/>
        <v>Elev</v>
      </c>
      <c r="R33" s="1490">
        <f t="shared" ref="R33:T96" si="14">VLOOKUP($Q33,$AG$32:$AQ$47,R$11,0)</f>
        <v>0</v>
      </c>
      <c r="S33" s="1490">
        <f t="shared" si="14"/>
        <v>0</v>
      </c>
      <c r="T33" s="1490">
        <f t="shared" si="14"/>
        <v>0</v>
      </c>
      <c r="U33" s="121">
        <f t="shared" si="10"/>
        <v>0</v>
      </c>
      <c r="V33" s="121">
        <f t="shared" si="11"/>
        <v>0</v>
      </c>
      <c r="W33" s="121">
        <f t="shared" si="12"/>
        <v>0</v>
      </c>
      <c r="X33" s="121"/>
      <c r="Y33" s="121" t="b">
        <f t="shared" si="13"/>
        <v>0</v>
      </c>
      <c r="Z33" s="121" t="e">
        <f ca="1">OFFSET(VentExhCSV_Spc!$B$5,MATCH($C33,VentExhCSV_Spc!$C$6:$C$308,0),Z$11)</f>
        <v>#N/A</v>
      </c>
      <c r="AD33" s="1490"/>
      <c r="AE33" s="1490"/>
      <c r="AG33" s="1497" t="s">
        <v>870</v>
      </c>
      <c r="AH33" s="663">
        <f ca="1">SUMIF(Spaces_Sum!$E$23:$E$47,'Ventilation Old'!AG33,Spaces_Sum!$H$23:$H$47)</f>
        <v>4744.9070999999994</v>
      </c>
      <c r="AI33" s="1">
        <v>0</v>
      </c>
      <c r="AJ33" s="663">
        <f t="shared" ref="AJ33:AJ47" ca="1" si="15">ROUNDDOWN(AH33/1000*AI33,0)</f>
        <v>0</v>
      </c>
      <c r="AK33" s="1">
        <v>0</v>
      </c>
      <c r="AL33" s="1">
        <v>0</v>
      </c>
      <c r="AM33" s="1498">
        <f ca="1">(AK33*AJ33)+(AL33*AH33)</f>
        <v>0</v>
      </c>
      <c r="AN33" s="1">
        <v>1</v>
      </c>
      <c r="AO33" s="1498">
        <f t="shared" ref="AO33:AO47" ca="1" si="16">AM33/AN33</f>
        <v>0</v>
      </c>
      <c r="AP33" s="1499">
        <v>0</v>
      </c>
      <c r="AQ33" s="1500"/>
      <c r="AR33" s="1501">
        <f ca="1">IFERROR(AO33/AH33 + AP33,0)</f>
        <v>0</v>
      </c>
      <c r="AS33" s="370"/>
    </row>
    <row r="34" spans="2:45" s="50" customFormat="1" x14ac:dyDescent="0.3">
      <c r="B34" s="50">
        <f t="shared" si="0"/>
        <v>19</v>
      </c>
      <c r="C34" t="s">
        <v>1394</v>
      </c>
      <c r="D34" t="s">
        <v>889</v>
      </c>
      <c r="E34" t="s">
        <v>844</v>
      </c>
      <c r="F34" t="s">
        <v>841</v>
      </c>
      <c r="G34" t="s">
        <v>1390</v>
      </c>
      <c r="H34" t="s">
        <v>1400</v>
      </c>
      <c r="I34"/>
      <c r="J34">
        <v>0</v>
      </c>
      <c r="K34" s="121">
        <f t="shared" si="5"/>
        <v>0</v>
      </c>
      <c r="L34" s="121">
        <f t="shared" si="6"/>
        <v>0</v>
      </c>
      <c r="M34" s="157"/>
      <c r="N34" s="368" t="e">
        <f t="shared" ca="1" si="7"/>
        <v>#DIV/0!</v>
      </c>
      <c r="O34" s="368" t="e">
        <f t="shared" si="8"/>
        <v>#DIV/0!</v>
      </c>
      <c r="P34" s="792" t="e">
        <f ca="1">OFFSET(VentExhCSV_Spc!$B$5,MATCH($C34,VentExhCSV_Spc!$C$6:$C$308,0),P$11)</f>
        <v>#N/A</v>
      </c>
      <c r="Q34" s="121" t="str">
        <f t="shared" si="9"/>
        <v>Strs</v>
      </c>
      <c r="R34" s="1490">
        <f t="shared" si="14"/>
        <v>0</v>
      </c>
      <c r="S34" s="1490">
        <f t="shared" si="14"/>
        <v>0</v>
      </c>
      <c r="T34" s="1490">
        <f t="shared" si="14"/>
        <v>0</v>
      </c>
      <c r="U34" s="121">
        <f t="shared" si="10"/>
        <v>0</v>
      </c>
      <c r="V34" s="121">
        <f t="shared" si="11"/>
        <v>0</v>
      </c>
      <c r="W34" s="121">
        <f t="shared" si="12"/>
        <v>0</v>
      </c>
      <c r="X34" s="121"/>
      <c r="Y34" s="121" t="b">
        <f t="shared" si="13"/>
        <v>0</v>
      </c>
      <c r="Z34" s="121" t="e">
        <f ca="1">OFFSET(VentExhCSV_Spc!$B$5,MATCH($C34,VentExhCSV_Spc!$C$6:$C$308,0),Z$11)</f>
        <v>#N/A</v>
      </c>
      <c r="AD34" s="1490"/>
      <c r="AE34" s="1490"/>
      <c r="AG34" s="1497" t="s">
        <v>869</v>
      </c>
      <c r="AH34" s="663">
        <f ca="1">SUMIF(Spaces_Sum!$E$23:$E$47,'Ventilation Old'!AG34,Spaces_Sum!$H$23:$H$47)</f>
        <v>0</v>
      </c>
      <c r="AI34" s="1">
        <v>0</v>
      </c>
      <c r="AJ34" s="663">
        <f t="shared" ca="1" si="15"/>
        <v>0</v>
      </c>
      <c r="AK34" s="1">
        <v>0</v>
      </c>
      <c r="AL34" s="1">
        <v>0</v>
      </c>
      <c r="AM34" s="1498">
        <f ca="1">(AK34*AJ34)+(AL34*AH34)</f>
        <v>0</v>
      </c>
      <c r="AN34" s="1">
        <v>1</v>
      </c>
      <c r="AO34" s="1498">
        <f t="shared" ca="1" si="16"/>
        <v>0</v>
      </c>
      <c r="AP34" s="1502">
        <v>0.75</v>
      </c>
      <c r="AQ34" s="1500"/>
      <c r="AR34" s="1501">
        <f ca="1">IFERROR(AO34/AH34 + AP34,0)</f>
        <v>0</v>
      </c>
      <c r="AS34" s="370"/>
    </row>
    <row r="35" spans="2:45" s="50" customFormat="1" x14ac:dyDescent="0.3">
      <c r="B35" s="50">
        <f t="shared" si="0"/>
        <v>20</v>
      </c>
      <c r="C35"/>
      <c r="D35"/>
      <c r="E35"/>
      <c r="F35"/>
      <c r="G35"/>
      <c r="H35"/>
      <c r="I35"/>
      <c r="J35">
        <v>0</v>
      </c>
      <c r="K35" s="121">
        <f t="shared" si="5"/>
        <v>0</v>
      </c>
      <c r="L35" s="121">
        <f t="shared" si="6"/>
        <v>0</v>
      </c>
      <c r="M35" s="157"/>
      <c r="N35" s="368" t="e">
        <f t="shared" ca="1" si="7"/>
        <v>#DIV/0!</v>
      </c>
      <c r="O35" s="368" t="e">
        <f t="shared" si="8"/>
        <v>#DIV/0!</v>
      </c>
      <c r="P35" s="792" t="e">
        <f ca="1">OFFSET(VentExhCSV_Spc!$B$5,MATCH($C35,VentExhCSV_Spc!$C$6:$C$308,0),P$11)</f>
        <v>#N/A</v>
      </c>
      <c r="Q35" s="121" t="e">
        <f t="shared" si="9"/>
        <v>#VALUE!</v>
      </c>
      <c r="R35" s="1490" t="e">
        <f t="shared" si="14"/>
        <v>#VALUE!</v>
      </c>
      <c r="S35" s="1490" t="e">
        <f t="shared" si="14"/>
        <v>#VALUE!</v>
      </c>
      <c r="T35" s="1490" t="e">
        <f t="shared" si="14"/>
        <v>#VALUE!</v>
      </c>
      <c r="U35" s="121">
        <f t="shared" si="10"/>
        <v>0</v>
      </c>
      <c r="V35" s="121">
        <f t="shared" si="11"/>
        <v>0</v>
      </c>
      <c r="W35" s="121">
        <f t="shared" si="12"/>
        <v>0</v>
      </c>
      <c r="X35" s="121"/>
      <c r="Y35" s="121" t="b">
        <f t="shared" si="13"/>
        <v>0</v>
      </c>
      <c r="Z35" s="121" t="e">
        <f ca="1">OFFSET(VentExhCSV_Spc!$B$5,MATCH($C35,VentExhCSV_Spc!$C$6:$C$308,0),Z$11)</f>
        <v>#N/A</v>
      </c>
      <c r="AD35" s="1490"/>
      <c r="AE35" s="1490"/>
      <c r="AG35" s="1497" t="s">
        <v>860</v>
      </c>
      <c r="AH35" s="663">
        <f ca="1">SUMIF(Spaces_Sum!$E$23:$E$47,'Ventilation Old'!AG35,Spaces_Sum!$H$23:$H$47)</f>
        <v>83040.097299999965</v>
      </c>
      <c r="AI35" s="1503"/>
      <c r="AJ35" s="1504"/>
      <c r="AK35" s="1503"/>
      <c r="AL35" s="1503">
        <v>7.3120000000000004E-2</v>
      </c>
      <c r="AM35" s="1505"/>
      <c r="AN35" s="1503"/>
      <c r="AO35" s="1505"/>
      <c r="AP35" s="1506"/>
      <c r="AQ35" s="1507"/>
      <c r="AR35" s="1508"/>
      <c r="AS35" s="370" t="s">
        <v>1365</v>
      </c>
    </row>
    <row r="36" spans="2:45" s="50" customFormat="1" x14ac:dyDescent="0.3">
      <c r="B36" s="50">
        <f t="shared" si="0"/>
        <v>21</v>
      </c>
      <c r="C36"/>
      <c r="D36"/>
      <c r="E36"/>
      <c r="F36"/>
      <c r="G36"/>
      <c r="H36"/>
      <c r="I36"/>
      <c r="J36">
        <v>0</v>
      </c>
      <c r="K36" s="121">
        <f t="shared" si="5"/>
        <v>0</v>
      </c>
      <c r="L36" s="121">
        <f t="shared" si="6"/>
        <v>0</v>
      </c>
      <c r="M36" s="157"/>
      <c r="N36" s="368" t="e">
        <f t="shared" ca="1" si="7"/>
        <v>#DIV/0!</v>
      </c>
      <c r="O36" s="368" t="e">
        <f t="shared" si="8"/>
        <v>#DIV/0!</v>
      </c>
      <c r="P36" s="792" t="e">
        <f ca="1">OFFSET(VentExhCSV_Spc!$B$5,MATCH($C36,VentExhCSV_Spc!$C$6:$C$308,0),P$11)</f>
        <v>#N/A</v>
      </c>
      <c r="Q36" s="121" t="e">
        <f t="shared" si="9"/>
        <v>#VALUE!</v>
      </c>
      <c r="R36" s="1490" t="e">
        <f t="shared" si="14"/>
        <v>#VALUE!</v>
      </c>
      <c r="S36" s="1490" t="e">
        <f t="shared" si="14"/>
        <v>#VALUE!</v>
      </c>
      <c r="T36" s="1490" t="e">
        <f t="shared" si="14"/>
        <v>#VALUE!</v>
      </c>
      <c r="U36" s="121">
        <f t="shared" si="10"/>
        <v>0</v>
      </c>
      <c r="V36" s="121">
        <f t="shared" si="11"/>
        <v>0</v>
      </c>
      <c r="W36" s="121">
        <f t="shared" si="12"/>
        <v>0</v>
      </c>
      <c r="X36" s="121"/>
      <c r="Y36" s="121" t="b">
        <f t="shared" si="13"/>
        <v>0</v>
      </c>
      <c r="Z36" s="121" t="e">
        <f ca="1">OFFSET(VentExhCSV_Spc!$B$5,MATCH($C36,VentExhCSV_Spc!$C$6:$C$308,0),Z$11)</f>
        <v>#N/A</v>
      </c>
      <c r="AD36" s="1490"/>
      <c r="AE36" s="1490"/>
      <c r="AG36" s="1497" t="s">
        <v>861</v>
      </c>
      <c r="AH36" s="663">
        <f ca="1">SUMIF(Spaces_Sum!$E$23:$E$47,'Ventilation Old'!AG36,Spaces_Sum!$H$23:$H$47)</f>
        <v>10335.684999999999</v>
      </c>
      <c r="AI36" s="1">
        <v>0</v>
      </c>
      <c r="AJ36" s="663">
        <f t="shared" ca="1" si="15"/>
        <v>0</v>
      </c>
      <c r="AK36" s="1">
        <v>0</v>
      </c>
      <c r="AL36" s="1">
        <v>0.06</v>
      </c>
      <c r="AM36" s="1498">
        <f t="shared" ref="AM36:AM47" ca="1" si="17">(AK36*AJ36)+(AL36*AH36)</f>
        <v>620.14109999999994</v>
      </c>
      <c r="AN36" s="1">
        <v>1</v>
      </c>
      <c r="AO36" s="1498">
        <f t="shared" ca="1" si="16"/>
        <v>620.14109999999994</v>
      </c>
      <c r="AP36" s="1499">
        <v>0</v>
      </c>
      <c r="AQ36" s="1500"/>
      <c r="AR36" s="1501">
        <f ca="1">IFERROR(AO36/AH36 + AP36,0)</f>
        <v>0.06</v>
      </c>
      <c r="AS36" s="370"/>
    </row>
    <row r="37" spans="2:45" s="50" customFormat="1" x14ac:dyDescent="0.3">
      <c r="B37" s="50">
        <f t="shared" si="0"/>
        <v>22</v>
      </c>
      <c r="C37"/>
      <c r="D37"/>
      <c r="E37"/>
      <c r="F37"/>
      <c r="G37"/>
      <c r="H37"/>
      <c r="I37"/>
      <c r="J37">
        <v>0</v>
      </c>
      <c r="K37" s="121">
        <f t="shared" si="5"/>
        <v>0</v>
      </c>
      <c r="L37" s="121">
        <f t="shared" si="6"/>
        <v>0</v>
      </c>
      <c r="M37" s="157"/>
      <c r="N37" s="368" t="e">
        <f t="shared" ca="1" si="7"/>
        <v>#DIV/0!</v>
      </c>
      <c r="O37" s="368" t="e">
        <f t="shared" si="8"/>
        <v>#DIV/0!</v>
      </c>
      <c r="P37" s="792" t="e">
        <f ca="1">OFFSET(VentExhCSV_Spc!$B$5,MATCH($C37,VentExhCSV_Spc!$C$6:$C$308,0),P$11)</f>
        <v>#N/A</v>
      </c>
      <c r="Q37" s="121" t="e">
        <f t="shared" si="9"/>
        <v>#VALUE!</v>
      </c>
      <c r="R37" s="1490" t="e">
        <f t="shared" si="14"/>
        <v>#VALUE!</v>
      </c>
      <c r="S37" s="1490" t="e">
        <f t="shared" si="14"/>
        <v>#VALUE!</v>
      </c>
      <c r="T37" s="1490" t="e">
        <f t="shared" si="14"/>
        <v>#VALUE!</v>
      </c>
      <c r="U37" s="121">
        <f t="shared" si="10"/>
        <v>0</v>
      </c>
      <c r="V37" s="121">
        <f t="shared" si="11"/>
        <v>0</v>
      </c>
      <c r="W37" s="121">
        <f t="shared" si="12"/>
        <v>0</v>
      </c>
      <c r="X37" s="121"/>
      <c r="Y37" s="121" t="b">
        <f t="shared" si="13"/>
        <v>0</v>
      </c>
      <c r="Z37" s="121" t="e">
        <f ca="1">OFFSET(VentExhCSV_Spc!$B$5,MATCH($C37,VentExhCSV_Spc!$C$6:$C$308,0),Z$11)</f>
        <v>#N/A</v>
      </c>
      <c r="AD37" s="1490"/>
      <c r="AE37" s="1490"/>
      <c r="AG37" s="1497" t="s">
        <v>868</v>
      </c>
      <c r="AH37" s="663">
        <f ca="1">SUMIF(Spaces_Sum!$E$23:$E$47,'Ventilation Old'!AG37,Spaces_Sum!$H$23:$H$47)</f>
        <v>0</v>
      </c>
      <c r="AI37" s="1">
        <v>0</v>
      </c>
      <c r="AJ37" s="663">
        <f t="shared" ca="1" si="15"/>
        <v>0</v>
      </c>
      <c r="AK37" s="1">
        <v>0</v>
      </c>
      <c r="AL37" s="1">
        <v>0</v>
      </c>
      <c r="AM37" s="1498">
        <f t="shared" ca="1" si="17"/>
        <v>0</v>
      </c>
      <c r="AN37" s="1">
        <v>1</v>
      </c>
      <c r="AO37" s="1498">
        <f t="shared" ca="1" si="16"/>
        <v>0</v>
      </c>
      <c r="AP37" s="1499">
        <v>0</v>
      </c>
      <c r="AQ37" s="1500"/>
      <c r="AR37" s="1501">
        <f ca="1">IFERROR(AO37/AH37 + AP37,0)</f>
        <v>0</v>
      </c>
      <c r="AS37" s="370"/>
    </row>
    <row r="38" spans="2:45" s="50" customFormat="1" x14ac:dyDescent="0.3">
      <c r="B38" s="50">
        <f t="shared" si="0"/>
        <v>23</v>
      </c>
      <c r="C38"/>
      <c r="D38"/>
      <c r="E38"/>
      <c r="F38"/>
      <c r="G38"/>
      <c r="H38"/>
      <c r="I38"/>
      <c r="J38">
        <v>0</v>
      </c>
      <c r="K38" s="121">
        <f t="shared" si="5"/>
        <v>0</v>
      </c>
      <c r="L38" s="121">
        <f t="shared" si="6"/>
        <v>0</v>
      </c>
      <c r="M38" s="157"/>
      <c r="N38" s="368" t="e">
        <f t="shared" ca="1" si="7"/>
        <v>#DIV/0!</v>
      </c>
      <c r="O38" s="368" t="e">
        <f t="shared" si="8"/>
        <v>#DIV/0!</v>
      </c>
      <c r="P38" s="792" t="e">
        <f ca="1">OFFSET(VentExhCSV_Spc!$B$5,MATCH($C38,VentExhCSV_Spc!$C$6:$C$308,0),P$11)</f>
        <v>#N/A</v>
      </c>
      <c r="Q38" s="121" t="e">
        <f t="shared" si="9"/>
        <v>#VALUE!</v>
      </c>
      <c r="R38" s="1490" t="e">
        <f t="shared" si="14"/>
        <v>#VALUE!</v>
      </c>
      <c r="S38" s="1490" t="e">
        <f t="shared" si="14"/>
        <v>#VALUE!</v>
      </c>
      <c r="T38" s="1490" t="e">
        <f t="shared" si="14"/>
        <v>#VALUE!</v>
      </c>
      <c r="U38" s="121">
        <f t="shared" si="10"/>
        <v>0</v>
      </c>
      <c r="V38" s="121">
        <f t="shared" si="11"/>
        <v>0</v>
      </c>
      <c r="W38" s="121">
        <f t="shared" si="12"/>
        <v>0</v>
      </c>
      <c r="X38" s="121"/>
      <c r="Y38" s="121" t="b">
        <f t="shared" si="13"/>
        <v>0</v>
      </c>
      <c r="Z38" s="121" t="e">
        <f ca="1">OFFSET(VentExhCSV_Spc!$B$5,MATCH($C38,VentExhCSV_Spc!$C$6:$C$308,0),Z$11)</f>
        <v>#N/A</v>
      </c>
      <c r="AD38" s="1490"/>
      <c r="AE38" s="1490"/>
      <c r="AG38" s="1497" t="s">
        <v>871</v>
      </c>
      <c r="AH38" s="663">
        <f ca="1">SUMIF(Spaces_Sum!$E$23:$E$47,'Ventilation Old'!AG38,Spaces_Sum!$H$23:$H$47)</f>
        <v>2650.0201999999999</v>
      </c>
      <c r="AI38" s="1">
        <v>0</v>
      </c>
      <c r="AJ38" s="663">
        <f t="shared" ca="1" si="15"/>
        <v>0</v>
      </c>
      <c r="AK38" s="1">
        <v>0</v>
      </c>
      <c r="AL38" s="1">
        <v>0</v>
      </c>
      <c r="AM38" s="1498">
        <f t="shared" ca="1" si="17"/>
        <v>0</v>
      </c>
      <c r="AN38" s="1">
        <v>1</v>
      </c>
      <c r="AO38" s="1498">
        <f t="shared" ca="1" si="16"/>
        <v>0</v>
      </c>
      <c r="AP38" s="1499">
        <v>0</v>
      </c>
      <c r="AQ38" s="1500"/>
      <c r="AR38" s="1501">
        <f ca="1">IFERROR(AO38/AH38 + AP38,0)</f>
        <v>0</v>
      </c>
      <c r="AS38" s="370"/>
    </row>
    <row r="39" spans="2:45" s="50" customFormat="1" x14ac:dyDescent="0.3">
      <c r="B39" s="50">
        <f t="shared" si="0"/>
        <v>24</v>
      </c>
      <c r="C39"/>
      <c r="D39"/>
      <c r="E39"/>
      <c r="F39"/>
      <c r="G39"/>
      <c r="H39"/>
      <c r="I39"/>
      <c r="J39">
        <v>0</v>
      </c>
      <c r="K39" s="121">
        <f t="shared" si="5"/>
        <v>0</v>
      </c>
      <c r="L39" s="121">
        <f t="shared" si="6"/>
        <v>0</v>
      </c>
      <c r="M39" s="157"/>
      <c r="N39" s="368" t="e">
        <f t="shared" ca="1" si="7"/>
        <v>#DIV/0!</v>
      </c>
      <c r="O39" s="368" t="e">
        <f t="shared" si="8"/>
        <v>#DIV/0!</v>
      </c>
      <c r="P39" s="792" t="e">
        <f ca="1">OFFSET(VentExhCSV_Spc!$B$5,MATCH($C39,VentExhCSV_Spc!$C$6:$C$308,0),P$11)</f>
        <v>#N/A</v>
      </c>
      <c r="Q39" s="121" t="e">
        <f t="shared" si="9"/>
        <v>#VALUE!</v>
      </c>
      <c r="R39" s="1490" t="e">
        <f t="shared" si="14"/>
        <v>#VALUE!</v>
      </c>
      <c r="S39" s="1490" t="e">
        <f t="shared" si="14"/>
        <v>#VALUE!</v>
      </c>
      <c r="T39" s="1490" t="e">
        <f t="shared" si="14"/>
        <v>#VALUE!</v>
      </c>
      <c r="U39" s="121">
        <f t="shared" si="10"/>
        <v>0</v>
      </c>
      <c r="V39" s="121">
        <f t="shared" si="11"/>
        <v>0</v>
      </c>
      <c r="W39" s="121">
        <f t="shared" si="12"/>
        <v>0</v>
      </c>
      <c r="X39" s="121"/>
      <c r="Y39" s="121" t="b">
        <f t="shared" si="13"/>
        <v>0</v>
      </c>
      <c r="Z39" s="121" t="e">
        <f ca="1">OFFSET(VentExhCSV_Spc!$B$5,MATCH($C39,VentExhCSV_Spc!$C$6:$C$308,0),Z$11)</f>
        <v>#N/A</v>
      </c>
      <c r="AD39" s="1490"/>
      <c r="AE39" s="1490"/>
      <c r="AG39" s="1497" t="s">
        <v>862</v>
      </c>
      <c r="AH39" s="663">
        <f ca="1">SUMIF(Spaces_Sum!$E$23:$E$47,'Ventilation Old'!AG39,Spaces_Sum!$H$23:$H$47)</f>
        <v>3788.8861999999999</v>
      </c>
      <c r="AI39" s="1">
        <v>0</v>
      </c>
      <c r="AJ39" s="663">
        <f t="shared" ca="1" si="15"/>
        <v>0</v>
      </c>
      <c r="AK39" s="1">
        <v>0</v>
      </c>
      <c r="AL39" s="1">
        <v>0</v>
      </c>
      <c r="AM39" s="1498">
        <f t="shared" ca="1" si="17"/>
        <v>0</v>
      </c>
      <c r="AN39" s="1">
        <v>1</v>
      </c>
      <c r="AO39" s="1498">
        <f t="shared" ca="1" si="16"/>
        <v>0</v>
      </c>
      <c r="AP39" s="1499">
        <v>0</v>
      </c>
      <c r="AQ39" s="1500"/>
      <c r="AR39" s="1501">
        <f ca="1">IFERROR(AO39/AH39 + AP39,0)</f>
        <v>0</v>
      </c>
      <c r="AS39" s="370"/>
    </row>
    <row r="40" spans="2:45" s="50" customFormat="1" x14ac:dyDescent="0.3">
      <c r="B40" s="50">
        <f t="shared" si="0"/>
        <v>25</v>
      </c>
      <c r="C40"/>
      <c r="D40"/>
      <c r="E40"/>
      <c r="F40"/>
      <c r="G40"/>
      <c r="H40"/>
      <c r="I40"/>
      <c r="J40">
        <v>0</v>
      </c>
      <c r="K40" s="121">
        <f t="shared" si="5"/>
        <v>0</v>
      </c>
      <c r="L40" s="121">
        <f t="shared" si="6"/>
        <v>0</v>
      </c>
      <c r="M40" s="157"/>
      <c r="N40" s="368" t="e">
        <f t="shared" ca="1" si="7"/>
        <v>#DIV/0!</v>
      </c>
      <c r="O40" s="368" t="e">
        <f t="shared" si="8"/>
        <v>#DIV/0!</v>
      </c>
      <c r="P40" s="792" t="e">
        <f ca="1">OFFSET(VentExhCSV_Spc!$B$5,MATCH($C40,VentExhCSV_Spc!$C$6:$C$308,0),P$11)</f>
        <v>#N/A</v>
      </c>
      <c r="Q40" s="121" t="e">
        <f t="shared" si="9"/>
        <v>#VALUE!</v>
      </c>
      <c r="R40" s="1490" t="e">
        <f t="shared" si="14"/>
        <v>#VALUE!</v>
      </c>
      <c r="S40" s="1490" t="e">
        <f t="shared" si="14"/>
        <v>#VALUE!</v>
      </c>
      <c r="T40" s="1490" t="e">
        <f t="shared" si="14"/>
        <v>#VALUE!</v>
      </c>
      <c r="U40" s="121">
        <f t="shared" si="10"/>
        <v>0</v>
      </c>
      <c r="V40" s="121">
        <f t="shared" si="11"/>
        <v>0</v>
      </c>
      <c r="W40" s="121">
        <f t="shared" si="12"/>
        <v>0</v>
      </c>
      <c r="X40" s="121"/>
      <c r="Y40" s="121" t="b">
        <f t="shared" si="13"/>
        <v>0</v>
      </c>
      <c r="Z40" s="121" t="e">
        <f ca="1">OFFSET(VentExhCSV_Spc!$B$5,MATCH($C40,VentExhCSV_Spc!$C$6:$C$308,0),Z$11)</f>
        <v>#N/A</v>
      </c>
      <c r="AB40" s="501" t="e">
        <f ca="1">P40/K40</f>
        <v>#N/A</v>
      </c>
      <c r="AD40" s="1490"/>
      <c r="AE40" s="1490"/>
      <c r="AG40" s="157" t="s">
        <v>867</v>
      </c>
      <c r="AH40" s="663">
        <f ca="1">SUMIF(Spaces_Sum!$E$23:$E$47,'Ventilation Old'!AG40,Spaces_Sum!$H$23:$H$47)</f>
        <v>0</v>
      </c>
      <c r="AI40" s="1">
        <v>0</v>
      </c>
      <c r="AJ40" s="663">
        <f t="shared" ca="1" si="15"/>
        <v>0</v>
      </c>
      <c r="AK40" s="1">
        <v>0</v>
      </c>
      <c r="AL40" s="1">
        <v>0</v>
      </c>
      <c r="AM40" s="1498">
        <f t="shared" ca="1" si="17"/>
        <v>0</v>
      </c>
      <c r="AN40" s="1">
        <v>1</v>
      </c>
      <c r="AO40" s="1498">
        <f t="shared" ca="1" si="16"/>
        <v>0</v>
      </c>
      <c r="AP40" s="1509">
        <v>0</v>
      </c>
      <c r="AQ40" s="1510">
        <v>70</v>
      </c>
      <c r="AR40" s="1511" t="e">
        <f ca="1">AP40*3/AH40</f>
        <v>#DIV/0!</v>
      </c>
      <c r="AS40" s="370" t="s">
        <v>1366</v>
      </c>
    </row>
    <row r="41" spans="2:45" s="50" customFormat="1" x14ac:dyDescent="0.3">
      <c r="B41" s="50">
        <f t="shared" si="0"/>
        <v>26</v>
      </c>
      <c r="C41"/>
      <c r="D41"/>
      <c r="E41"/>
      <c r="F41"/>
      <c r="G41"/>
      <c r="H41"/>
      <c r="I41"/>
      <c r="J41">
        <v>0</v>
      </c>
      <c r="K41" s="121">
        <f t="shared" si="5"/>
        <v>0</v>
      </c>
      <c r="L41" s="121">
        <f t="shared" si="6"/>
        <v>0</v>
      </c>
      <c r="M41" s="157"/>
      <c r="N41" s="368" t="e">
        <f t="shared" ca="1" si="7"/>
        <v>#DIV/0!</v>
      </c>
      <c r="O41" s="368" t="e">
        <f t="shared" si="8"/>
        <v>#DIV/0!</v>
      </c>
      <c r="P41" s="792" t="e">
        <f ca="1">OFFSET(VentExhCSV_Spc!$B$5,MATCH($C41,VentExhCSV_Spc!$C$6:$C$308,0),P$11)</f>
        <v>#N/A</v>
      </c>
      <c r="Q41" s="121" t="e">
        <f t="shared" si="9"/>
        <v>#VALUE!</v>
      </c>
      <c r="R41" s="1490" t="e">
        <f t="shared" si="14"/>
        <v>#VALUE!</v>
      </c>
      <c r="S41" s="1490" t="e">
        <f t="shared" si="14"/>
        <v>#VALUE!</v>
      </c>
      <c r="T41" s="1490" t="e">
        <f t="shared" si="14"/>
        <v>#VALUE!</v>
      </c>
      <c r="U41" s="121">
        <f t="shared" si="10"/>
        <v>0</v>
      </c>
      <c r="V41" s="121">
        <f t="shared" si="11"/>
        <v>0</v>
      </c>
      <c r="W41" s="121">
        <f t="shared" si="12"/>
        <v>0</v>
      </c>
      <c r="X41" s="121"/>
      <c r="Y41" s="121" t="b">
        <f t="shared" si="13"/>
        <v>0</v>
      </c>
      <c r="Z41" s="121" t="e">
        <f ca="1">OFFSET(VentExhCSV_Spc!$B$5,MATCH($C41,VentExhCSV_Spc!$C$6:$C$308,0),Z$11)</f>
        <v>#N/A</v>
      </c>
      <c r="AD41" s="1490"/>
      <c r="AE41" s="1490"/>
      <c r="AG41" s="1497" t="s">
        <v>863</v>
      </c>
      <c r="AH41" s="663">
        <f ca="1">SUMIF(Spaces_Sum!$E$23:$E$47,'Ventilation Old'!AG41,Spaces_Sum!$H$23:$H$47)</f>
        <v>1350.7968000000001</v>
      </c>
      <c r="AI41" s="1">
        <v>30</v>
      </c>
      <c r="AJ41" s="663">
        <f t="shared" ca="1" si="15"/>
        <v>40</v>
      </c>
      <c r="AK41" s="1">
        <v>7.5</v>
      </c>
      <c r="AL41" s="1">
        <v>0.06</v>
      </c>
      <c r="AM41" s="1498">
        <f t="shared" ca="1" si="17"/>
        <v>381.04780800000003</v>
      </c>
      <c r="AN41" s="1">
        <v>1</v>
      </c>
      <c r="AO41" s="1498">
        <f t="shared" ca="1" si="16"/>
        <v>381.04780800000003</v>
      </c>
      <c r="AP41" s="1">
        <v>0</v>
      </c>
      <c r="AQ41" s="1512"/>
      <c r="AR41" s="1501">
        <f t="shared" ref="AR41:AR47" ca="1" si="18">IFERROR(AO41/AH41 + AP41,0)</f>
        <v>0.2820911390965688</v>
      </c>
      <c r="AS41" s="370"/>
    </row>
    <row r="42" spans="2:45" s="50" customFormat="1" x14ac:dyDescent="0.3">
      <c r="B42" s="50">
        <f t="shared" si="0"/>
        <v>27</v>
      </c>
      <c r="C42"/>
      <c r="D42"/>
      <c r="E42"/>
      <c r="F42"/>
      <c r="G42"/>
      <c r="H42"/>
      <c r="I42"/>
      <c r="J42">
        <v>0</v>
      </c>
      <c r="K42" s="121">
        <f t="shared" si="5"/>
        <v>0</v>
      </c>
      <c r="L42" s="121">
        <f t="shared" si="6"/>
        <v>0</v>
      </c>
      <c r="M42" s="157"/>
      <c r="N42" s="368" t="e">
        <f t="shared" ca="1" si="7"/>
        <v>#DIV/0!</v>
      </c>
      <c r="O42" s="368" t="e">
        <f t="shared" si="8"/>
        <v>#DIV/0!</v>
      </c>
      <c r="P42" s="792" t="e">
        <f ca="1">OFFSET(VentExhCSV_Spc!$B$5,MATCH($C42,VentExhCSV_Spc!$C$6:$C$308,0),P$11)</f>
        <v>#N/A</v>
      </c>
      <c r="Q42" s="121" t="e">
        <f t="shared" si="9"/>
        <v>#VALUE!</v>
      </c>
      <c r="R42" s="1490" t="e">
        <f t="shared" si="14"/>
        <v>#VALUE!</v>
      </c>
      <c r="S42" s="1490" t="e">
        <f t="shared" si="14"/>
        <v>#VALUE!</v>
      </c>
      <c r="T42" s="1490" t="e">
        <f t="shared" si="14"/>
        <v>#VALUE!</v>
      </c>
      <c r="U42" s="121">
        <f t="shared" si="10"/>
        <v>0</v>
      </c>
      <c r="V42" s="121">
        <f t="shared" si="11"/>
        <v>0</v>
      </c>
      <c r="W42" s="121">
        <f t="shared" si="12"/>
        <v>0</v>
      </c>
      <c r="X42" s="121"/>
      <c r="Y42" s="121" t="b">
        <f t="shared" si="13"/>
        <v>0</v>
      </c>
      <c r="Z42" s="121" t="e">
        <f ca="1">OFFSET(VentExhCSV_Spc!$B$5,MATCH($C42,VentExhCSV_Spc!$C$6:$C$308,0),Z$11)</f>
        <v>#N/A</v>
      </c>
      <c r="AD42" s="1490"/>
      <c r="AE42" s="1490"/>
      <c r="AG42" s="1497" t="s">
        <v>872</v>
      </c>
      <c r="AH42" s="663">
        <f ca="1">SUMIF(Spaces_Sum!$E$23:$E$47,'Ventilation Old'!AG42,Spaces_Sum!$H$23:$H$47)</f>
        <v>1332.6484</v>
      </c>
      <c r="AI42" s="1">
        <v>0</v>
      </c>
      <c r="AJ42" s="663">
        <f t="shared" ca="1" si="15"/>
        <v>0</v>
      </c>
      <c r="AK42" s="1">
        <v>10</v>
      </c>
      <c r="AL42" s="1">
        <v>0.06</v>
      </c>
      <c r="AM42" s="1498">
        <f t="shared" ca="1" si="17"/>
        <v>79.958904000000004</v>
      </c>
      <c r="AN42" s="1">
        <v>1</v>
      </c>
      <c r="AO42" s="1498">
        <f t="shared" ca="1" si="16"/>
        <v>79.958904000000004</v>
      </c>
      <c r="AP42" s="1">
        <v>0</v>
      </c>
      <c r="AQ42" s="1512"/>
      <c r="AR42" s="1501">
        <f t="shared" ca="1" si="18"/>
        <v>6.0000000000000005E-2</v>
      </c>
      <c r="AS42" s="1513" t="s">
        <v>1367</v>
      </c>
    </row>
    <row r="43" spans="2:45" s="50" customFormat="1" x14ac:dyDescent="0.3">
      <c r="B43" s="50">
        <f t="shared" si="0"/>
        <v>28</v>
      </c>
      <c r="C43"/>
      <c r="D43"/>
      <c r="E43"/>
      <c r="F43"/>
      <c r="G43"/>
      <c r="H43"/>
      <c r="I43"/>
      <c r="J43">
        <v>0</v>
      </c>
      <c r="K43" s="121">
        <f t="shared" si="5"/>
        <v>0</v>
      </c>
      <c r="L43" s="121">
        <f t="shared" si="6"/>
        <v>0</v>
      </c>
      <c r="M43" s="157"/>
      <c r="N43" s="368" t="e">
        <f t="shared" ca="1" si="7"/>
        <v>#DIV/0!</v>
      </c>
      <c r="O43" s="368" t="e">
        <f t="shared" si="8"/>
        <v>#DIV/0!</v>
      </c>
      <c r="P43" s="792" t="e">
        <f ca="1">OFFSET(VentExhCSV_Spc!$B$5,MATCH($C43,VentExhCSV_Spc!$C$6:$C$308,0),P$11)</f>
        <v>#N/A</v>
      </c>
      <c r="Q43" s="121" t="e">
        <f t="shared" si="9"/>
        <v>#VALUE!</v>
      </c>
      <c r="R43" s="1490" t="e">
        <f t="shared" si="14"/>
        <v>#VALUE!</v>
      </c>
      <c r="S43" s="1490" t="e">
        <f t="shared" si="14"/>
        <v>#VALUE!</v>
      </c>
      <c r="T43" s="1490" t="e">
        <f t="shared" si="14"/>
        <v>#VALUE!</v>
      </c>
      <c r="U43" s="121">
        <f t="shared" si="10"/>
        <v>0</v>
      </c>
      <c r="V43" s="121">
        <f t="shared" si="11"/>
        <v>0</v>
      </c>
      <c r="W43" s="121">
        <f t="shared" si="12"/>
        <v>0</v>
      </c>
      <c r="X43" s="121"/>
      <c r="Y43" s="121" t="b">
        <f t="shared" si="13"/>
        <v>0</v>
      </c>
      <c r="Z43" s="121" t="e">
        <f ca="1">OFFSET(VentExhCSV_Spc!$B$5,MATCH($C43,VentExhCSV_Spc!$C$6:$C$308,0),Z$11)</f>
        <v>#N/A</v>
      </c>
      <c r="AD43" s="1490"/>
      <c r="AE43" s="1490"/>
      <c r="AG43" s="1497" t="s">
        <v>874</v>
      </c>
      <c r="AH43" s="663">
        <f ca="1">SUMIF(Spaces_Sum!$E$23:$E$47,'Ventilation Old'!AG43,Spaces_Sum!$H$23:$H$47)</f>
        <v>939.43700000000013</v>
      </c>
      <c r="AI43" s="1">
        <v>0</v>
      </c>
      <c r="AJ43" s="663">
        <f t="shared" ca="1" si="15"/>
        <v>0</v>
      </c>
      <c r="AK43" s="1">
        <v>0</v>
      </c>
      <c r="AL43" s="1">
        <v>0</v>
      </c>
      <c r="AM43" s="1498">
        <f t="shared" ca="1" si="17"/>
        <v>0</v>
      </c>
      <c r="AN43" s="1">
        <v>1</v>
      </c>
      <c r="AO43" s="1498">
        <f t="shared" ca="1" si="16"/>
        <v>0</v>
      </c>
      <c r="AP43" s="1">
        <v>1</v>
      </c>
      <c r="AQ43" s="1512"/>
      <c r="AR43" s="1501">
        <f t="shared" ca="1" si="18"/>
        <v>1</v>
      </c>
      <c r="AS43" s="370"/>
    </row>
    <row r="44" spans="2:45" s="50" customFormat="1" x14ac:dyDescent="0.3">
      <c r="B44" s="50">
        <f t="shared" si="0"/>
        <v>29</v>
      </c>
      <c r="C44"/>
      <c r="D44"/>
      <c r="E44"/>
      <c r="F44"/>
      <c r="G44"/>
      <c r="H44"/>
      <c r="I44"/>
      <c r="J44">
        <v>0</v>
      </c>
      <c r="K44" s="121">
        <f t="shared" si="5"/>
        <v>0</v>
      </c>
      <c r="L44" s="121">
        <f t="shared" si="6"/>
        <v>0</v>
      </c>
      <c r="M44" s="157"/>
      <c r="N44" s="368" t="e">
        <f t="shared" ca="1" si="7"/>
        <v>#DIV/0!</v>
      </c>
      <c r="O44" s="368" t="e">
        <f t="shared" si="8"/>
        <v>#DIV/0!</v>
      </c>
      <c r="P44" s="792" t="e">
        <f ca="1">OFFSET(VentExhCSV_Spc!$B$5,MATCH($C44,VentExhCSV_Spc!$C$6:$C$308,0),P$11)</f>
        <v>#N/A</v>
      </c>
      <c r="Q44" s="121" t="e">
        <f t="shared" si="9"/>
        <v>#VALUE!</v>
      </c>
      <c r="R44" s="1490" t="e">
        <f t="shared" si="14"/>
        <v>#VALUE!</v>
      </c>
      <c r="S44" s="1490" t="e">
        <f t="shared" si="14"/>
        <v>#VALUE!</v>
      </c>
      <c r="T44" s="1490" t="e">
        <f t="shared" si="14"/>
        <v>#VALUE!</v>
      </c>
      <c r="U44" s="121">
        <f t="shared" si="10"/>
        <v>0</v>
      </c>
      <c r="V44" s="121">
        <f t="shared" si="11"/>
        <v>0</v>
      </c>
      <c r="W44" s="121">
        <f t="shared" si="12"/>
        <v>0</v>
      </c>
      <c r="X44" s="121"/>
      <c r="Y44" s="121" t="b">
        <f t="shared" si="13"/>
        <v>0</v>
      </c>
      <c r="Z44" s="121" t="e">
        <f ca="1">OFFSET(VentExhCSV_Spc!$B$5,MATCH($C44,VentExhCSV_Spc!$C$6:$C$308,0),Z$11)</f>
        <v>#N/A</v>
      </c>
      <c r="AD44" s="1490"/>
      <c r="AE44" s="1490"/>
      <c r="AG44" s="1497" t="s">
        <v>875</v>
      </c>
      <c r="AH44" s="663">
        <f>SUMIF(Spaces_Sum!$E$23:$E$47,'Ventilation Old'!AG44,Spaces_Sum!$H$23:$H$47)</f>
        <v>0</v>
      </c>
      <c r="AI44" s="1">
        <v>0</v>
      </c>
      <c r="AJ44" s="663">
        <f t="shared" si="15"/>
        <v>0</v>
      </c>
      <c r="AK44" s="1">
        <v>0</v>
      </c>
      <c r="AL44" s="1">
        <v>0</v>
      </c>
      <c r="AM44" s="1498">
        <f t="shared" si="17"/>
        <v>0</v>
      </c>
      <c r="AN44" s="1">
        <v>1</v>
      </c>
      <c r="AO44" s="1498">
        <f t="shared" si="16"/>
        <v>0</v>
      </c>
      <c r="AP44" s="1">
        <v>0</v>
      </c>
      <c r="AQ44" s="1512"/>
      <c r="AR44" s="1501">
        <f t="shared" si="18"/>
        <v>0</v>
      </c>
      <c r="AS44" s="370"/>
    </row>
    <row r="45" spans="2:45" s="50" customFormat="1" x14ac:dyDescent="0.3">
      <c r="B45" s="50">
        <f t="shared" si="0"/>
        <v>30</v>
      </c>
      <c r="C45"/>
      <c r="D45"/>
      <c r="E45"/>
      <c r="F45"/>
      <c r="G45"/>
      <c r="H45"/>
      <c r="I45"/>
      <c r="J45">
        <v>0</v>
      </c>
      <c r="K45" s="121">
        <f t="shared" si="5"/>
        <v>0</v>
      </c>
      <c r="L45" s="121">
        <f t="shared" si="6"/>
        <v>0</v>
      </c>
      <c r="M45" s="157"/>
      <c r="N45" s="368" t="e">
        <f t="shared" ca="1" si="7"/>
        <v>#DIV/0!</v>
      </c>
      <c r="O45" s="368" t="e">
        <f t="shared" si="8"/>
        <v>#DIV/0!</v>
      </c>
      <c r="P45" s="792" t="e">
        <f ca="1">OFFSET(VentExhCSV_Spc!$B$5,MATCH($C45,VentExhCSV_Spc!$C$6:$C$308,0),P$11)</f>
        <v>#N/A</v>
      </c>
      <c r="Q45" s="121" t="e">
        <f t="shared" si="9"/>
        <v>#VALUE!</v>
      </c>
      <c r="R45" s="1490" t="e">
        <f t="shared" si="14"/>
        <v>#VALUE!</v>
      </c>
      <c r="S45" s="1490" t="e">
        <f t="shared" si="14"/>
        <v>#VALUE!</v>
      </c>
      <c r="T45" s="1490" t="e">
        <f t="shared" si="14"/>
        <v>#VALUE!</v>
      </c>
      <c r="U45" s="121">
        <f t="shared" si="10"/>
        <v>0</v>
      </c>
      <c r="V45" s="121">
        <f t="shared" si="11"/>
        <v>0</v>
      </c>
      <c r="W45" s="121">
        <f t="shared" si="12"/>
        <v>0</v>
      </c>
      <c r="X45" s="121"/>
      <c r="Y45" s="121" t="b">
        <f t="shared" si="13"/>
        <v>0</v>
      </c>
      <c r="Z45" s="121" t="e">
        <f ca="1">OFFSET(VentExhCSV_Spc!$B$5,MATCH($C45,VentExhCSV_Spc!$C$6:$C$308,0),Z$11)</f>
        <v>#N/A</v>
      </c>
      <c r="AD45" s="1490"/>
      <c r="AE45" s="1490"/>
      <c r="AG45" s="1497" t="s">
        <v>866</v>
      </c>
      <c r="AH45" s="663">
        <f ca="1">SUMIF(Spaces_Sum!$E$23:$E$47,'Ventilation Old'!AG45,Spaces_Sum!$H$23:$H$47)</f>
        <v>0</v>
      </c>
      <c r="AI45" s="1">
        <v>40</v>
      </c>
      <c r="AJ45" s="663">
        <f t="shared" ca="1" si="15"/>
        <v>0</v>
      </c>
      <c r="AK45" s="1">
        <v>20</v>
      </c>
      <c r="AL45" s="1">
        <v>0.06</v>
      </c>
      <c r="AM45" s="1498">
        <f t="shared" ca="1" si="17"/>
        <v>0</v>
      </c>
      <c r="AN45" s="1">
        <v>1</v>
      </c>
      <c r="AO45" s="1498">
        <f t="shared" ca="1" si="16"/>
        <v>0</v>
      </c>
      <c r="AP45" s="1">
        <v>0</v>
      </c>
      <c r="AQ45" s="1512"/>
      <c r="AR45" s="1501">
        <f t="shared" ca="1" si="18"/>
        <v>0</v>
      </c>
      <c r="AS45" s="370"/>
    </row>
    <row r="46" spans="2:45" s="50" customFormat="1" x14ac:dyDescent="0.3">
      <c r="B46" s="50">
        <f t="shared" si="0"/>
        <v>31</v>
      </c>
      <c r="C46"/>
      <c r="D46"/>
      <c r="E46"/>
      <c r="F46"/>
      <c r="G46"/>
      <c r="H46"/>
      <c r="I46"/>
      <c r="J46">
        <v>0</v>
      </c>
      <c r="K46" s="121">
        <f t="shared" si="5"/>
        <v>0</v>
      </c>
      <c r="L46" s="121">
        <f t="shared" si="6"/>
        <v>0</v>
      </c>
      <c r="M46" s="157"/>
      <c r="N46" s="368" t="e">
        <f t="shared" ca="1" si="7"/>
        <v>#DIV/0!</v>
      </c>
      <c r="O46" s="368" t="e">
        <f t="shared" si="8"/>
        <v>#DIV/0!</v>
      </c>
      <c r="P46" s="792" t="e">
        <f ca="1">OFFSET(VentExhCSV_Spc!$B$5,MATCH($C46,VentExhCSV_Spc!$C$6:$C$308,0),P$11)</f>
        <v>#N/A</v>
      </c>
      <c r="Q46" s="121" t="e">
        <f t="shared" si="9"/>
        <v>#VALUE!</v>
      </c>
      <c r="R46" s="1490" t="e">
        <f t="shared" si="14"/>
        <v>#VALUE!</v>
      </c>
      <c r="S46" s="1490" t="e">
        <f t="shared" si="14"/>
        <v>#VALUE!</v>
      </c>
      <c r="T46" s="1490" t="e">
        <f t="shared" si="14"/>
        <v>#VALUE!</v>
      </c>
      <c r="U46" s="121">
        <f t="shared" si="10"/>
        <v>0</v>
      </c>
      <c r="V46" s="121">
        <f t="shared" si="11"/>
        <v>0</v>
      </c>
      <c r="W46" s="121">
        <f t="shared" si="12"/>
        <v>0</v>
      </c>
      <c r="X46" s="121"/>
      <c r="Y46" s="121" t="b">
        <f t="shared" si="13"/>
        <v>0</v>
      </c>
      <c r="Z46" s="121" t="e">
        <f ca="1">OFFSET(VentExhCSV_Spc!$B$5,MATCH($C46,VentExhCSV_Spc!$C$6:$C$308,0),Z$11)</f>
        <v>#N/A</v>
      </c>
      <c r="AD46" s="1490"/>
      <c r="AE46" s="1490"/>
      <c r="AG46" s="1497" t="s">
        <v>1368</v>
      </c>
      <c r="AH46" s="663">
        <f ca="1">SUMIF(Spaces_Sum!$E$23:$E$47,'Ventilation Old'!AG46,Spaces_Sum!$H$23:$H$47)</f>
        <v>0</v>
      </c>
      <c r="AI46" s="1">
        <v>5</v>
      </c>
      <c r="AJ46" s="663">
        <f t="shared" ca="1" si="15"/>
        <v>0</v>
      </c>
      <c r="AK46" s="1">
        <v>5</v>
      </c>
      <c r="AL46" s="1">
        <v>0.06</v>
      </c>
      <c r="AM46" s="1498">
        <f t="shared" ca="1" si="17"/>
        <v>0</v>
      </c>
      <c r="AN46" s="1">
        <v>1</v>
      </c>
      <c r="AO46" s="1498">
        <f t="shared" ca="1" si="16"/>
        <v>0</v>
      </c>
      <c r="AP46" s="1">
        <v>0</v>
      </c>
      <c r="AQ46" s="1512"/>
      <c r="AR46" s="1501">
        <f t="shared" ca="1" si="18"/>
        <v>0</v>
      </c>
      <c r="AS46" s="370"/>
    </row>
    <row r="47" spans="2:45" s="50" customFormat="1" x14ac:dyDescent="0.3">
      <c r="B47" s="50">
        <f t="shared" si="0"/>
        <v>32</v>
      </c>
      <c r="C47"/>
      <c r="D47"/>
      <c r="E47"/>
      <c r="F47"/>
      <c r="G47"/>
      <c r="H47"/>
      <c r="I47"/>
      <c r="J47">
        <v>0</v>
      </c>
      <c r="K47" s="121">
        <f t="shared" si="5"/>
        <v>0</v>
      </c>
      <c r="L47" s="121">
        <f t="shared" si="6"/>
        <v>0</v>
      </c>
      <c r="M47" s="157"/>
      <c r="N47" s="368" t="e">
        <f t="shared" ca="1" si="7"/>
        <v>#DIV/0!</v>
      </c>
      <c r="O47" s="368" t="e">
        <f t="shared" si="8"/>
        <v>#DIV/0!</v>
      </c>
      <c r="P47" s="792" t="e">
        <f ca="1">OFFSET(VentExhCSV_Spc!$B$5,MATCH($C47,VentExhCSV_Spc!$C$6:$C$308,0),P$11)</f>
        <v>#N/A</v>
      </c>
      <c r="Q47" s="121" t="e">
        <f t="shared" si="9"/>
        <v>#VALUE!</v>
      </c>
      <c r="R47" s="1490" t="e">
        <f t="shared" si="14"/>
        <v>#VALUE!</v>
      </c>
      <c r="S47" s="1490" t="e">
        <f t="shared" si="14"/>
        <v>#VALUE!</v>
      </c>
      <c r="T47" s="1490" t="e">
        <f t="shared" si="14"/>
        <v>#VALUE!</v>
      </c>
      <c r="U47" s="121">
        <f t="shared" si="10"/>
        <v>0</v>
      </c>
      <c r="V47" s="121">
        <f t="shared" si="11"/>
        <v>0</v>
      </c>
      <c r="W47" s="121">
        <f t="shared" si="12"/>
        <v>0</v>
      </c>
      <c r="X47" s="121"/>
      <c r="Y47" s="121" t="b">
        <f t="shared" si="13"/>
        <v>0</v>
      </c>
      <c r="Z47" s="121" t="e">
        <f ca="1">OFFSET(VentExhCSV_Spc!$B$5,MATCH($C47,VentExhCSV_Spc!$C$6:$C$308,0),Z$11)</f>
        <v>#N/A</v>
      </c>
      <c r="AD47" s="1490"/>
      <c r="AE47" s="1490"/>
      <c r="AG47" s="1514" t="s">
        <v>864</v>
      </c>
      <c r="AH47" s="663">
        <f ca="1">SUMIF(Spaces_Sum!$E$23:$E$47,'Ventilation Old'!AG47,Spaces_Sum!$H$23:$H$47)</f>
        <v>0</v>
      </c>
      <c r="AI47" s="1515">
        <v>120</v>
      </c>
      <c r="AJ47" s="663">
        <f t="shared" ca="1" si="15"/>
        <v>0</v>
      </c>
      <c r="AK47" s="1515">
        <v>5</v>
      </c>
      <c r="AL47" s="1515">
        <v>0.06</v>
      </c>
      <c r="AM47" s="1498">
        <f t="shared" ca="1" si="17"/>
        <v>0</v>
      </c>
      <c r="AN47" s="1515">
        <v>1</v>
      </c>
      <c r="AO47" s="1498">
        <f t="shared" ca="1" si="16"/>
        <v>0</v>
      </c>
      <c r="AP47" s="1515">
        <v>0</v>
      </c>
      <c r="AQ47" s="1512"/>
      <c r="AR47" s="1501">
        <f t="shared" ca="1" si="18"/>
        <v>0</v>
      </c>
      <c r="AS47" s="132" t="s">
        <v>1369</v>
      </c>
    </row>
    <row r="48" spans="2:45" s="50" customFormat="1" x14ac:dyDescent="0.3">
      <c r="B48" s="50">
        <f t="shared" si="0"/>
        <v>33</v>
      </c>
      <c r="C48"/>
      <c r="D48"/>
      <c r="E48"/>
      <c r="F48"/>
      <c r="G48"/>
      <c r="H48"/>
      <c r="I48"/>
      <c r="J48">
        <v>0</v>
      </c>
      <c r="K48" s="121">
        <f t="shared" si="5"/>
        <v>0</v>
      </c>
      <c r="L48" s="121">
        <f t="shared" si="6"/>
        <v>0</v>
      </c>
      <c r="M48" s="157"/>
      <c r="N48" s="368" t="e">
        <f t="shared" ca="1" si="7"/>
        <v>#DIV/0!</v>
      </c>
      <c r="O48" s="368" t="e">
        <f t="shared" si="8"/>
        <v>#DIV/0!</v>
      </c>
      <c r="P48" s="792" t="e">
        <f ca="1">OFFSET(VentExhCSV_Spc!$B$5,MATCH($C48,VentExhCSV_Spc!$C$6:$C$308,0),P$11)</f>
        <v>#N/A</v>
      </c>
      <c r="Q48" s="121" t="e">
        <f t="shared" si="9"/>
        <v>#VALUE!</v>
      </c>
      <c r="R48" s="1490" t="e">
        <f t="shared" si="14"/>
        <v>#VALUE!</v>
      </c>
      <c r="S48" s="1490" t="e">
        <f t="shared" si="14"/>
        <v>#VALUE!</v>
      </c>
      <c r="T48" s="1490" t="e">
        <f t="shared" si="14"/>
        <v>#VALUE!</v>
      </c>
      <c r="U48" s="121">
        <f t="shared" si="10"/>
        <v>0</v>
      </c>
      <c r="V48" s="121">
        <f t="shared" si="11"/>
        <v>0</v>
      </c>
      <c r="W48" s="121">
        <f t="shared" si="12"/>
        <v>0</v>
      </c>
      <c r="X48" s="121"/>
      <c r="Y48" s="121" t="b">
        <f t="shared" si="13"/>
        <v>0</v>
      </c>
      <c r="Z48" s="121" t="e">
        <f ca="1">OFFSET(VentExhCSV_Spc!$B$5,MATCH($C48,VentExhCSV_Spc!$C$6:$C$308,0),Z$11)</f>
        <v>#N/A</v>
      </c>
      <c r="AD48" s="1490"/>
      <c r="AE48" s="1490"/>
    </row>
    <row r="49" spans="2:33" s="50" customFormat="1" x14ac:dyDescent="0.3">
      <c r="B49" s="50">
        <f t="shared" si="0"/>
        <v>34</v>
      </c>
      <c r="C49"/>
      <c r="D49"/>
      <c r="E49"/>
      <c r="F49"/>
      <c r="G49"/>
      <c r="H49"/>
      <c r="I49"/>
      <c r="J49">
        <v>0</v>
      </c>
      <c r="K49" s="121">
        <f t="shared" si="5"/>
        <v>0</v>
      </c>
      <c r="L49" s="121">
        <f t="shared" si="6"/>
        <v>0</v>
      </c>
      <c r="M49" s="157"/>
      <c r="N49" s="368" t="e">
        <f t="shared" ca="1" si="7"/>
        <v>#DIV/0!</v>
      </c>
      <c r="O49" s="368" t="e">
        <f t="shared" si="8"/>
        <v>#DIV/0!</v>
      </c>
      <c r="P49" s="792" t="e">
        <f ca="1">OFFSET(VentExhCSV_Spc!$B$5,MATCH($C49,VentExhCSV_Spc!$C$6:$C$308,0),P$11)</f>
        <v>#N/A</v>
      </c>
      <c r="Q49" s="121" t="e">
        <f t="shared" si="9"/>
        <v>#VALUE!</v>
      </c>
      <c r="R49" s="1490" t="e">
        <f t="shared" si="14"/>
        <v>#VALUE!</v>
      </c>
      <c r="S49" s="1490" t="e">
        <f t="shared" si="14"/>
        <v>#VALUE!</v>
      </c>
      <c r="T49" s="1490" t="e">
        <f t="shared" si="14"/>
        <v>#VALUE!</v>
      </c>
      <c r="U49" s="121">
        <f t="shared" si="10"/>
        <v>0</v>
      </c>
      <c r="V49" s="121">
        <f t="shared" si="11"/>
        <v>0</v>
      </c>
      <c r="W49" s="121">
        <f t="shared" si="12"/>
        <v>0</v>
      </c>
      <c r="X49" s="121"/>
      <c r="Y49" s="121" t="b">
        <f t="shared" si="13"/>
        <v>0</v>
      </c>
      <c r="Z49" s="121" t="e">
        <f ca="1">OFFSET(VentExhCSV_Spc!$B$5,MATCH($C49,VentExhCSV_Spc!$C$6:$C$308,0),Z$11)</f>
        <v>#N/A</v>
      </c>
      <c r="AD49" s="1490"/>
      <c r="AE49" s="1490"/>
    </row>
    <row r="50" spans="2:33" s="50" customFormat="1" x14ac:dyDescent="0.3">
      <c r="B50" s="50">
        <f t="shared" si="0"/>
        <v>35</v>
      </c>
      <c r="C50"/>
      <c r="D50"/>
      <c r="E50"/>
      <c r="F50"/>
      <c r="G50"/>
      <c r="H50"/>
      <c r="I50"/>
      <c r="J50">
        <v>0</v>
      </c>
      <c r="K50" s="121">
        <f t="shared" si="5"/>
        <v>0</v>
      </c>
      <c r="L50" s="121">
        <f t="shared" si="6"/>
        <v>0</v>
      </c>
      <c r="M50" s="157"/>
      <c r="N50" s="368" t="e">
        <f t="shared" ca="1" si="7"/>
        <v>#DIV/0!</v>
      </c>
      <c r="O50" s="368" t="e">
        <f t="shared" si="8"/>
        <v>#DIV/0!</v>
      </c>
      <c r="P50" s="792" t="e">
        <f ca="1">OFFSET(VentExhCSV_Spc!$B$5,MATCH($C50,VentExhCSV_Spc!$C$6:$C$308,0),P$11)</f>
        <v>#N/A</v>
      </c>
      <c r="Q50" s="121" t="e">
        <f t="shared" si="9"/>
        <v>#VALUE!</v>
      </c>
      <c r="R50" s="1490" t="e">
        <f t="shared" si="14"/>
        <v>#VALUE!</v>
      </c>
      <c r="S50" s="1490" t="e">
        <f t="shared" si="14"/>
        <v>#VALUE!</v>
      </c>
      <c r="T50" s="1490" t="e">
        <f t="shared" si="14"/>
        <v>#VALUE!</v>
      </c>
      <c r="U50" s="121">
        <f t="shared" si="10"/>
        <v>0</v>
      </c>
      <c r="V50" s="121">
        <f t="shared" si="11"/>
        <v>0</v>
      </c>
      <c r="W50" s="121">
        <f t="shared" si="12"/>
        <v>0</v>
      </c>
      <c r="X50" s="121"/>
      <c r="Y50" s="121" t="b">
        <f t="shared" si="13"/>
        <v>0</v>
      </c>
      <c r="Z50" s="121" t="e">
        <f ca="1">OFFSET(VentExhCSV_Spc!$B$5,MATCH($C50,VentExhCSV_Spc!$C$6:$C$308,0),Z$11)</f>
        <v>#N/A</v>
      </c>
      <c r="AD50" s="1490"/>
      <c r="AE50" s="1490"/>
      <c r="AG50" s="124"/>
    </row>
    <row r="51" spans="2:33" s="50" customFormat="1" x14ac:dyDescent="0.3">
      <c r="B51" s="50">
        <f t="shared" si="0"/>
        <v>36</v>
      </c>
      <c r="C51"/>
      <c r="D51"/>
      <c r="E51"/>
      <c r="F51"/>
      <c r="G51"/>
      <c r="H51"/>
      <c r="I51"/>
      <c r="J51">
        <v>0</v>
      </c>
      <c r="K51" s="121">
        <f t="shared" si="5"/>
        <v>0</v>
      </c>
      <c r="L51" s="121">
        <f t="shared" si="6"/>
        <v>0</v>
      </c>
      <c r="M51" s="157"/>
      <c r="N51" s="368" t="e">
        <f t="shared" ca="1" si="7"/>
        <v>#DIV/0!</v>
      </c>
      <c r="O51" s="368" t="e">
        <f t="shared" si="8"/>
        <v>#DIV/0!</v>
      </c>
      <c r="P51" s="792" t="e">
        <f ca="1">OFFSET(VentExhCSV_Spc!$B$5,MATCH($C51,VentExhCSV_Spc!$C$6:$C$308,0),P$11)</f>
        <v>#N/A</v>
      </c>
      <c r="Q51" s="121" t="e">
        <f t="shared" si="9"/>
        <v>#VALUE!</v>
      </c>
      <c r="R51" s="1490" t="e">
        <f t="shared" si="14"/>
        <v>#VALUE!</v>
      </c>
      <c r="S51" s="1490" t="e">
        <f t="shared" si="14"/>
        <v>#VALUE!</v>
      </c>
      <c r="T51" s="1490" t="e">
        <f t="shared" si="14"/>
        <v>#VALUE!</v>
      </c>
      <c r="U51" s="121">
        <f t="shared" si="10"/>
        <v>0</v>
      </c>
      <c r="V51" s="121">
        <f t="shared" si="11"/>
        <v>0</v>
      </c>
      <c r="W51" s="121">
        <f t="shared" si="12"/>
        <v>0</v>
      </c>
      <c r="X51" s="121"/>
      <c r="Y51" s="121" t="b">
        <f t="shared" si="13"/>
        <v>0</v>
      </c>
      <c r="Z51" s="121" t="e">
        <f ca="1">OFFSET(VentExhCSV_Spc!$B$5,MATCH($C51,VentExhCSV_Spc!$C$6:$C$308,0),Z$11)</f>
        <v>#N/A</v>
      </c>
      <c r="AD51" s="1490"/>
      <c r="AE51" s="1490"/>
      <c r="AG51" s="124"/>
    </row>
    <row r="52" spans="2:33" s="50" customFormat="1" x14ac:dyDescent="0.3">
      <c r="B52" s="50">
        <f t="shared" si="0"/>
        <v>37</v>
      </c>
      <c r="C52"/>
      <c r="D52"/>
      <c r="E52"/>
      <c r="F52"/>
      <c r="G52"/>
      <c r="H52"/>
      <c r="I52"/>
      <c r="J52">
        <v>0</v>
      </c>
      <c r="K52" s="121">
        <f t="shared" si="5"/>
        <v>0</v>
      </c>
      <c r="L52" s="121">
        <f t="shared" si="6"/>
        <v>0</v>
      </c>
      <c r="M52" s="157"/>
      <c r="N52" s="368" t="e">
        <f t="shared" ca="1" si="7"/>
        <v>#DIV/0!</v>
      </c>
      <c r="O52" s="368" t="e">
        <f t="shared" si="8"/>
        <v>#DIV/0!</v>
      </c>
      <c r="P52" s="792" t="e">
        <f ca="1">OFFSET(VentExhCSV_Spc!$B$5,MATCH($C52,VentExhCSV_Spc!$C$6:$C$308,0),P$11)</f>
        <v>#N/A</v>
      </c>
      <c r="Q52" s="121" t="e">
        <f t="shared" si="9"/>
        <v>#VALUE!</v>
      </c>
      <c r="R52" s="1490" t="e">
        <f t="shared" si="14"/>
        <v>#VALUE!</v>
      </c>
      <c r="S52" s="1490" t="e">
        <f t="shared" si="14"/>
        <v>#VALUE!</v>
      </c>
      <c r="T52" s="1490" t="e">
        <f t="shared" si="14"/>
        <v>#VALUE!</v>
      </c>
      <c r="U52" s="121">
        <f t="shared" si="10"/>
        <v>0</v>
      </c>
      <c r="V52" s="121">
        <f t="shared" si="11"/>
        <v>0</v>
      </c>
      <c r="W52" s="121">
        <f t="shared" si="12"/>
        <v>0</v>
      </c>
      <c r="X52" s="121"/>
      <c r="Y52" s="121" t="b">
        <f t="shared" si="13"/>
        <v>0</v>
      </c>
      <c r="Z52" s="121" t="e">
        <f ca="1">OFFSET(VentExhCSV_Spc!$B$5,MATCH($C52,VentExhCSV_Spc!$C$6:$C$308,0),Z$11)</f>
        <v>#N/A</v>
      </c>
      <c r="AD52" s="1490"/>
      <c r="AE52" s="1490"/>
      <c r="AG52" s="124"/>
    </row>
    <row r="53" spans="2:33" s="50" customFormat="1" x14ac:dyDescent="0.3">
      <c r="B53" s="50">
        <f t="shared" si="0"/>
        <v>38</v>
      </c>
      <c r="C53"/>
      <c r="D53"/>
      <c r="E53"/>
      <c r="F53"/>
      <c r="G53"/>
      <c r="H53"/>
      <c r="I53"/>
      <c r="J53">
        <v>0</v>
      </c>
      <c r="K53" s="121">
        <f t="shared" si="5"/>
        <v>0</v>
      </c>
      <c r="L53" s="121">
        <f t="shared" si="6"/>
        <v>0</v>
      </c>
      <c r="M53" s="157"/>
      <c r="N53" s="368" t="e">
        <f t="shared" ca="1" si="7"/>
        <v>#DIV/0!</v>
      </c>
      <c r="O53" s="368" t="e">
        <f t="shared" si="8"/>
        <v>#DIV/0!</v>
      </c>
      <c r="P53" s="792" t="e">
        <f ca="1">OFFSET(VentExhCSV_Spc!$B$5,MATCH($C53,VentExhCSV_Spc!$C$6:$C$308,0),P$11)</f>
        <v>#N/A</v>
      </c>
      <c r="Q53" s="121" t="e">
        <f t="shared" si="9"/>
        <v>#VALUE!</v>
      </c>
      <c r="R53" s="1490" t="e">
        <f t="shared" si="14"/>
        <v>#VALUE!</v>
      </c>
      <c r="S53" s="1490" t="e">
        <f t="shared" si="14"/>
        <v>#VALUE!</v>
      </c>
      <c r="T53" s="1490" t="e">
        <f t="shared" si="14"/>
        <v>#VALUE!</v>
      </c>
      <c r="U53" s="121">
        <f t="shared" si="10"/>
        <v>0</v>
      </c>
      <c r="V53" s="121">
        <f t="shared" si="11"/>
        <v>0</v>
      </c>
      <c r="W53" s="121">
        <f t="shared" si="12"/>
        <v>0</v>
      </c>
      <c r="X53" s="121"/>
      <c r="Y53" s="121" t="b">
        <f t="shared" si="13"/>
        <v>0</v>
      </c>
      <c r="Z53" s="121" t="e">
        <f ca="1">OFFSET(VentExhCSV_Spc!$B$5,MATCH($C53,VentExhCSV_Spc!$C$6:$C$308,0),Z$11)</f>
        <v>#N/A</v>
      </c>
      <c r="AD53" s="1490"/>
      <c r="AE53" s="1490"/>
      <c r="AG53" s="124"/>
    </row>
    <row r="54" spans="2:33" s="50" customFormat="1" x14ac:dyDescent="0.3">
      <c r="B54" s="50">
        <f t="shared" si="0"/>
        <v>39</v>
      </c>
      <c r="C54"/>
      <c r="D54"/>
      <c r="E54"/>
      <c r="F54"/>
      <c r="G54"/>
      <c r="H54"/>
      <c r="I54"/>
      <c r="J54">
        <v>0</v>
      </c>
      <c r="K54" s="121">
        <f t="shared" si="5"/>
        <v>0</v>
      </c>
      <c r="L54" s="121">
        <f t="shared" si="6"/>
        <v>0</v>
      </c>
      <c r="M54" s="157"/>
      <c r="N54" s="368" t="e">
        <f t="shared" ca="1" si="7"/>
        <v>#DIV/0!</v>
      </c>
      <c r="O54" s="368" t="e">
        <f t="shared" si="8"/>
        <v>#DIV/0!</v>
      </c>
      <c r="P54" s="792" t="e">
        <f ca="1">OFFSET(VentExhCSV_Spc!$B$5,MATCH($C54,VentExhCSV_Spc!$C$6:$C$308,0),P$11)</f>
        <v>#N/A</v>
      </c>
      <c r="Q54" s="121" t="e">
        <f t="shared" si="9"/>
        <v>#VALUE!</v>
      </c>
      <c r="R54" s="1490" t="e">
        <f t="shared" si="14"/>
        <v>#VALUE!</v>
      </c>
      <c r="S54" s="1490" t="e">
        <f t="shared" si="14"/>
        <v>#VALUE!</v>
      </c>
      <c r="T54" s="1490" t="e">
        <f t="shared" si="14"/>
        <v>#VALUE!</v>
      </c>
      <c r="U54" s="121">
        <f t="shared" si="10"/>
        <v>0</v>
      </c>
      <c r="V54" s="121">
        <f t="shared" si="11"/>
        <v>0</v>
      </c>
      <c r="W54" s="121">
        <f t="shared" si="12"/>
        <v>0</v>
      </c>
      <c r="X54" s="121"/>
      <c r="Y54" s="121" t="b">
        <f t="shared" si="13"/>
        <v>0</v>
      </c>
      <c r="Z54" s="121" t="e">
        <f ca="1">OFFSET(VentExhCSV_Spc!$B$5,MATCH($C54,VentExhCSV_Spc!$C$6:$C$308,0),Z$11)</f>
        <v>#N/A</v>
      </c>
      <c r="AD54" s="1490"/>
      <c r="AE54" s="1490"/>
      <c r="AG54" s="124"/>
    </row>
    <row r="55" spans="2:33" s="50" customFormat="1" x14ac:dyDescent="0.3">
      <c r="B55" s="50">
        <f t="shared" si="0"/>
        <v>40</v>
      </c>
      <c r="C55"/>
      <c r="D55"/>
      <c r="E55"/>
      <c r="F55"/>
      <c r="G55"/>
      <c r="H55"/>
      <c r="I55"/>
      <c r="J55">
        <v>0</v>
      </c>
      <c r="K55" s="121">
        <f t="shared" si="5"/>
        <v>0</v>
      </c>
      <c r="L55" s="121">
        <f t="shared" si="6"/>
        <v>0</v>
      </c>
      <c r="M55" s="157"/>
      <c r="N55" s="368" t="e">
        <f t="shared" ca="1" si="7"/>
        <v>#DIV/0!</v>
      </c>
      <c r="O55" s="368" t="e">
        <f t="shared" si="8"/>
        <v>#DIV/0!</v>
      </c>
      <c r="P55" s="792" t="e">
        <f ca="1">OFFSET(VentExhCSV_Spc!$B$5,MATCH($C55,VentExhCSV_Spc!$C$6:$C$308,0),P$11)</f>
        <v>#N/A</v>
      </c>
      <c r="Q55" s="121" t="e">
        <f t="shared" si="9"/>
        <v>#VALUE!</v>
      </c>
      <c r="R55" s="1490" t="e">
        <f t="shared" si="14"/>
        <v>#VALUE!</v>
      </c>
      <c r="S55" s="1490" t="e">
        <f t="shared" si="14"/>
        <v>#VALUE!</v>
      </c>
      <c r="T55" s="1490" t="e">
        <f t="shared" si="14"/>
        <v>#VALUE!</v>
      </c>
      <c r="U55" s="121">
        <f t="shared" si="10"/>
        <v>0</v>
      </c>
      <c r="V55" s="121">
        <f t="shared" si="11"/>
        <v>0</v>
      </c>
      <c r="W55" s="121">
        <f t="shared" si="12"/>
        <v>0</v>
      </c>
      <c r="X55" s="121"/>
      <c r="Y55" s="121" t="b">
        <f t="shared" si="13"/>
        <v>0</v>
      </c>
      <c r="Z55" s="121" t="e">
        <f ca="1">OFFSET(VentExhCSV_Spc!$B$5,MATCH($C55,VentExhCSV_Spc!$C$6:$C$308,0),Z$11)</f>
        <v>#N/A</v>
      </c>
      <c r="AD55" s="1490"/>
      <c r="AE55" s="1490"/>
      <c r="AG55" s="124"/>
    </row>
    <row r="56" spans="2:33" s="50" customFormat="1" x14ac:dyDescent="0.3">
      <c r="B56" s="50">
        <f t="shared" si="0"/>
        <v>41</v>
      </c>
      <c r="C56"/>
      <c r="D56"/>
      <c r="E56"/>
      <c r="F56"/>
      <c r="G56"/>
      <c r="H56"/>
      <c r="I56"/>
      <c r="J56">
        <v>0</v>
      </c>
      <c r="K56" s="121">
        <f t="shared" si="5"/>
        <v>0</v>
      </c>
      <c r="L56" s="121">
        <f t="shared" si="6"/>
        <v>0</v>
      </c>
      <c r="M56" s="157"/>
      <c r="N56" s="368" t="e">
        <f t="shared" ca="1" si="7"/>
        <v>#DIV/0!</v>
      </c>
      <c r="O56" s="368" t="e">
        <f t="shared" si="8"/>
        <v>#DIV/0!</v>
      </c>
      <c r="P56" s="792" t="e">
        <f ca="1">OFFSET(VentExhCSV_Spc!$B$5,MATCH($C56,VentExhCSV_Spc!$C$6:$C$308,0),P$11)</f>
        <v>#N/A</v>
      </c>
      <c r="Q56" s="121" t="e">
        <f t="shared" si="9"/>
        <v>#VALUE!</v>
      </c>
      <c r="R56" s="1490" t="e">
        <f t="shared" si="14"/>
        <v>#VALUE!</v>
      </c>
      <c r="S56" s="1490" t="e">
        <f t="shared" si="14"/>
        <v>#VALUE!</v>
      </c>
      <c r="T56" s="1490" t="e">
        <f t="shared" si="14"/>
        <v>#VALUE!</v>
      </c>
      <c r="U56" s="121">
        <f t="shared" si="10"/>
        <v>0</v>
      </c>
      <c r="V56" s="121">
        <f t="shared" si="11"/>
        <v>0</v>
      </c>
      <c r="W56" s="121">
        <f t="shared" si="12"/>
        <v>0</v>
      </c>
      <c r="X56" s="121"/>
      <c r="Y56" s="121" t="b">
        <f t="shared" si="13"/>
        <v>0</v>
      </c>
      <c r="Z56" s="121" t="e">
        <f ca="1">OFFSET(VentExhCSV_Spc!$B$5,MATCH($C56,VentExhCSV_Spc!$C$6:$C$308,0),Z$11)</f>
        <v>#N/A</v>
      </c>
      <c r="AD56" s="1490"/>
      <c r="AE56" s="1490"/>
      <c r="AG56" s="124"/>
    </row>
    <row r="57" spans="2:33" s="50" customFormat="1" x14ac:dyDescent="0.3">
      <c r="B57" s="50">
        <f t="shared" si="0"/>
        <v>42</v>
      </c>
      <c r="C57"/>
      <c r="D57"/>
      <c r="E57"/>
      <c r="F57"/>
      <c r="G57"/>
      <c r="H57"/>
      <c r="I57"/>
      <c r="J57">
        <v>0</v>
      </c>
      <c r="K57" s="121">
        <f t="shared" si="5"/>
        <v>0</v>
      </c>
      <c r="L57" s="121">
        <f t="shared" si="6"/>
        <v>0</v>
      </c>
      <c r="M57" s="157"/>
      <c r="N57" s="368" t="e">
        <f t="shared" ca="1" si="7"/>
        <v>#DIV/0!</v>
      </c>
      <c r="O57" s="368" t="e">
        <f t="shared" si="8"/>
        <v>#DIV/0!</v>
      </c>
      <c r="P57" s="792" t="e">
        <f ca="1">OFFSET(VentExhCSV_Spc!$B$5,MATCH($C57,VentExhCSV_Spc!$C$6:$C$308,0),P$11)</f>
        <v>#N/A</v>
      </c>
      <c r="Q57" s="121" t="e">
        <f t="shared" si="9"/>
        <v>#VALUE!</v>
      </c>
      <c r="R57" s="1490" t="e">
        <f t="shared" si="14"/>
        <v>#VALUE!</v>
      </c>
      <c r="S57" s="1490" t="e">
        <f t="shared" si="14"/>
        <v>#VALUE!</v>
      </c>
      <c r="T57" s="1490" t="e">
        <f t="shared" si="14"/>
        <v>#VALUE!</v>
      </c>
      <c r="U57" s="121">
        <f t="shared" si="10"/>
        <v>0</v>
      </c>
      <c r="V57" s="121">
        <f t="shared" si="11"/>
        <v>0</v>
      </c>
      <c r="W57" s="121">
        <f t="shared" si="12"/>
        <v>0</v>
      </c>
      <c r="X57" s="121"/>
      <c r="Y57" s="121" t="b">
        <f t="shared" si="13"/>
        <v>0</v>
      </c>
      <c r="Z57" s="121" t="e">
        <f ca="1">OFFSET(VentExhCSV_Spc!$B$5,MATCH($C57,VentExhCSV_Spc!$C$6:$C$308,0),Z$11)</f>
        <v>#N/A</v>
      </c>
      <c r="AD57" s="1490"/>
      <c r="AE57" s="1490"/>
      <c r="AG57" s="124"/>
    </row>
    <row r="58" spans="2:33" s="50" customFormat="1" x14ac:dyDescent="0.3">
      <c r="B58" s="50">
        <f t="shared" si="0"/>
        <v>43</v>
      </c>
      <c r="C58"/>
      <c r="D58"/>
      <c r="E58"/>
      <c r="F58"/>
      <c r="G58"/>
      <c r="H58"/>
      <c r="I58"/>
      <c r="J58">
        <v>0</v>
      </c>
      <c r="K58" s="121">
        <f t="shared" si="5"/>
        <v>0</v>
      </c>
      <c r="L58" s="121">
        <f t="shared" si="6"/>
        <v>0</v>
      </c>
      <c r="M58" s="157"/>
      <c r="N58" s="368" t="e">
        <f t="shared" ca="1" si="7"/>
        <v>#DIV/0!</v>
      </c>
      <c r="O58" s="368" t="e">
        <f t="shared" si="8"/>
        <v>#DIV/0!</v>
      </c>
      <c r="P58" s="792" t="e">
        <f ca="1">OFFSET(VentExhCSV_Spc!$B$5,MATCH($C58,VentExhCSV_Spc!$C$6:$C$308,0),P$11)</f>
        <v>#N/A</v>
      </c>
      <c r="Q58" s="121" t="e">
        <f t="shared" si="9"/>
        <v>#VALUE!</v>
      </c>
      <c r="R58" s="1490" t="e">
        <f t="shared" si="14"/>
        <v>#VALUE!</v>
      </c>
      <c r="S58" s="1490" t="e">
        <f t="shared" si="14"/>
        <v>#VALUE!</v>
      </c>
      <c r="T58" s="1490" t="e">
        <f t="shared" si="14"/>
        <v>#VALUE!</v>
      </c>
      <c r="U58" s="121">
        <f t="shared" si="10"/>
        <v>0</v>
      </c>
      <c r="V58" s="121">
        <f t="shared" si="11"/>
        <v>0</v>
      </c>
      <c r="W58" s="121">
        <f t="shared" si="12"/>
        <v>0</v>
      </c>
      <c r="X58" s="121"/>
      <c r="Y58" s="121" t="b">
        <f t="shared" si="13"/>
        <v>0</v>
      </c>
      <c r="Z58" s="121" t="e">
        <f ca="1">OFFSET(VentExhCSV_Spc!$B$5,MATCH($C58,VentExhCSV_Spc!$C$6:$C$308,0),Z$11)</f>
        <v>#N/A</v>
      </c>
      <c r="AD58" s="1491"/>
      <c r="AE58" s="1516"/>
      <c r="AG58" s="124"/>
    </row>
    <row r="59" spans="2:33" s="50" customFormat="1" x14ac:dyDescent="0.3">
      <c r="B59" s="50">
        <f t="shared" si="0"/>
        <v>44</v>
      </c>
      <c r="C59"/>
      <c r="D59"/>
      <c r="E59"/>
      <c r="F59"/>
      <c r="G59"/>
      <c r="H59"/>
      <c r="I59"/>
      <c r="J59">
        <v>0</v>
      </c>
      <c r="K59" s="121">
        <f t="shared" si="5"/>
        <v>0</v>
      </c>
      <c r="L59" s="121">
        <f t="shared" si="6"/>
        <v>0</v>
      </c>
      <c r="M59" s="157"/>
      <c r="N59" s="368" t="e">
        <f t="shared" ca="1" si="7"/>
        <v>#DIV/0!</v>
      </c>
      <c r="O59" s="368" t="e">
        <f t="shared" si="8"/>
        <v>#DIV/0!</v>
      </c>
      <c r="P59" s="792" t="e">
        <f ca="1">OFFSET(VentExhCSV_Spc!$B$5,MATCH($C59,VentExhCSV_Spc!$C$6:$C$308,0),P$11)</f>
        <v>#N/A</v>
      </c>
      <c r="Q59" s="121" t="e">
        <f t="shared" si="9"/>
        <v>#VALUE!</v>
      </c>
      <c r="R59" s="1490" t="e">
        <f t="shared" si="14"/>
        <v>#VALUE!</v>
      </c>
      <c r="S59" s="1490" t="e">
        <f t="shared" si="14"/>
        <v>#VALUE!</v>
      </c>
      <c r="T59" s="1490" t="e">
        <f t="shared" si="14"/>
        <v>#VALUE!</v>
      </c>
      <c r="U59" s="121">
        <f t="shared" si="10"/>
        <v>0</v>
      </c>
      <c r="V59" s="121">
        <f t="shared" si="11"/>
        <v>0</v>
      </c>
      <c r="W59" s="121">
        <f t="shared" si="12"/>
        <v>0</v>
      </c>
      <c r="X59" s="121"/>
      <c r="Y59" s="121" t="b">
        <f t="shared" si="13"/>
        <v>0</v>
      </c>
      <c r="Z59" s="121" t="e">
        <f ca="1">OFFSET(VentExhCSV_Spc!$B$5,MATCH($C59,VentExhCSV_Spc!$C$6:$C$308,0),Z$11)</f>
        <v>#N/A</v>
      </c>
      <c r="AD59" s="1491"/>
      <c r="AE59" s="1516"/>
      <c r="AG59" s="124"/>
    </row>
    <row r="60" spans="2:33" s="50" customFormat="1" x14ac:dyDescent="0.3">
      <c r="B60" s="50">
        <f>B32+1</f>
        <v>18</v>
      </c>
      <c r="C60"/>
      <c r="D60"/>
      <c r="E60"/>
      <c r="F60"/>
      <c r="G60"/>
      <c r="H60"/>
      <c r="I60"/>
      <c r="J60">
        <v>0</v>
      </c>
      <c r="K60" s="121">
        <f t="shared" si="5"/>
        <v>0</v>
      </c>
      <c r="L60" s="121">
        <f t="shared" si="6"/>
        <v>0</v>
      </c>
      <c r="M60" s="157"/>
      <c r="N60" s="368" t="e">
        <f t="shared" ca="1" si="7"/>
        <v>#DIV/0!</v>
      </c>
      <c r="O60" s="368" t="e">
        <f t="shared" si="8"/>
        <v>#DIV/0!</v>
      </c>
      <c r="P60" s="792" t="e">
        <f ca="1">OFFSET(VentExhCSV_Spc!$B$5,MATCH($C60,VentExhCSV_Spc!$C$6:$C$308,0),P$11)</f>
        <v>#N/A</v>
      </c>
      <c r="Q60" s="121" t="e">
        <f t="shared" si="9"/>
        <v>#VALUE!</v>
      </c>
      <c r="R60" s="1490" t="e">
        <f t="shared" si="14"/>
        <v>#VALUE!</v>
      </c>
      <c r="S60" s="1490" t="e">
        <f t="shared" si="14"/>
        <v>#VALUE!</v>
      </c>
      <c r="T60" s="1490" t="e">
        <f t="shared" si="14"/>
        <v>#VALUE!</v>
      </c>
      <c r="U60" s="121">
        <f t="shared" si="10"/>
        <v>0</v>
      </c>
      <c r="V60" s="121">
        <f t="shared" si="11"/>
        <v>0</v>
      </c>
      <c r="W60" s="121">
        <f t="shared" si="12"/>
        <v>0</v>
      </c>
      <c r="X60" s="121"/>
      <c r="Y60" s="121" t="b">
        <f t="shared" si="13"/>
        <v>0</v>
      </c>
      <c r="Z60" s="121" t="e">
        <f ca="1">OFFSET(VentExhCSV_Spc!$B$5,MATCH($C60,VentExhCSV_Spc!$C$6:$C$308,0),Z$11)</f>
        <v>#N/A</v>
      </c>
      <c r="AD60" s="1491"/>
      <c r="AE60" s="1516"/>
      <c r="AG60" s="124"/>
    </row>
    <row r="61" spans="2:33" s="50" customFormat="1" x14ac:dyDescent="0.3">
      <c r="B61" s="50">
        <f t="shared" si="0"/>
        <v>19</v>
      </c>
      <c r="C61"/>
      <c r="D61"/>
      <c r="E61"/>
      <c r="F61"/>
      <c r="G61"/>
      <c r="H61"/>
      <c r="I61"/>
      <c r="J61">
        <v>0</v>
      </c>
      <c r="K61" s="121">
        <f t="shared" si="5"/>
        <v>0</v>
      </c>
      <c r="L61" s="121">
        <f t="shared" si="6"/>
        <v>0</v>
      </c>
      <c r="M61" s="157"/>
      <c r="N61" s="368" t="e">
        <f t="shared" ca="1" si="7"/>
        <v>#DIV/0!</v>
      </c>
      <c r="O61" s="368" t="e">
        <f t="shared" si="8"/>
        <v>#DIV/0!</v>
      </c>
      <c r="P61" s="792" t="e">
        <f ca="1">OFFSET(VentExhCSV_Spc!$B$5,MATCH($C61,VentExhCSV_Spc!$C$6:$C$308,0),P$11)</f>
        <v>#N/A</v>
      </c>
      <c r="Q61" s="121" t="e">
        <f t="shared" si="9"/>
        <v>#VALUE!</v>
      </c>
      <c r="R61" s="1490" t="e">
        <f t="shared" si="14"/>
        <v>#VALUE!</v>
      </c>
      <c r="S61" s="1490" t="e">
        <f t="shared" si="14"/>
        <v>#VALUE!</v>
      </c>
      <c r="T61" s="1490" t="e">
        <f t="shared" si="14"/>
        <v>#VALUE!</v>
      </c>
      <c r="U61" s="121">
        <f t="shared" si="10"/>
        <v>0</v>
      </c>
      <c r="V61" s="121">
        <f t="shared" si="11"/>
        <v>0</v>
      </c>
      <c r="W61" s="121">
        <f t="shared" si="12"/>
        <v>0</v>
      </c>
      <c r="X61" s="121"/>
      <c r="Y61" s="121" t="b">
        <f t="shared" si="13"/>
        <v>0</v>
      </c>
      <c r="Z61" s="121" t="e">
        <f ca="1">OFFSET(VentExhCSV_Spc!$B$5,MATCH($C61,VentExhCSV_Spc!$C$6:$C$308,0),Z$11)</f>
        <v>#N/A</v>
      </c>
      <c r="AD61" s="1491"/>
      <c r="AE61" s="1516"/>
      <c r="AG61" s="124"/>
    </row>
    <row r="62" spans="2:33" s="50" customFormat="1" x14ac:dyDescent="0.3">
      <c r="B62" s="50">
        <f t="shared" si="0"/>
        <v>20</v>
      </c>
      <c r="C62"/>
      <c r="D62"/>
      <c r="E62"/>
      <c r="F62"/>
      <c r="G62"/>
      <c r="H62"/>
      <c r="I62"/>
      <c r="J62">
        <v>0</v>
      </c>
      <c r="K62" s="121">
        <f t="shared" si="5"/>
        <v>0</v>
      </c>
      <c r="L62" s="121">
        <f t="shared" si="6"/>
        <v>0</v>
      </c>
      <c r="M62" s="157"/>
      <c r="N62" s="368" t="e">
        <f t="shared" ca="1" si="7"/>
        <v>#DIV/0!</v>
      </c>
      <c r="O62" s="368" t="e">
        <f t="shared" si="8"/>
        <v>#DIV/0!</v>
      </c>
      <c r="P62" s="792" t="e">
        <f ca="1">OFFSET(VentExhCSV_Spc!$B$5,MATCH($C62,VentExhCSV_Spc!$C$6:$C$308,0),P$11)</f>
        <v>#N/A</v>
      </c>
      <c r="Q62" s="121" t="e">
        <f t="shared" si="9"/>
        <v>#VALUE!</v>
      </c>
      <c r="R62" s="1490" t="e">
        <f t="shared" si="14"/>
        <v>#VALUE!</v>
      </c>
      <c r="S62" s="1490" t="e">
        <f t="shared" si="14"/>
        <v>#VALUE!</v>
      </c>
      <c r="T62" s="1490" t="e">
        <f t="shared" si="14"/>
        <v>#VALUE!</v>
      </c>
      <c r="U62" s="121">
        <f t="shared" si="10"/>
        <v>0</v>
      </c>
      <c r="V62" s="121">
        <f t="shared" si="11"/>
        <v>0</v>
      </c>
      <c r="W62" s="121">
        <f t="shared" si="12"/>
        <v>0</v>
      </c>
      <c r="X62" s="121"/>
      <c r="Y62" s="121" t="b">
        <f t="shared" si="13"/>
        <v>0</v>
      </c>
      <c r="Z62" s="121" t="e">
        <f ca="1">OFFSET(VentExhCSV_Spc!$B$5,MATCH($C62,VentExhCSV_Spc!$C$6:$C$308,0),Z$11)</f>
        <v>#N/A</v>
      </c>
      <c r="AD62" s="1491"/>
      <c r="AE62" s="1516"/>
      <c r="AG62" s="124"/>
    </row>
    <row r="63" spans="2:33" s="50" customFormat="1" x14ac:dyDescent="0.3">
      <c r="B63" s="50">
        <f>B35+1</f>
        <v>21</v>
      </c>
      <c r="C63"/>
      <c r="D63"/>
      <c r="E63"/>
      <c r="F63"/>
      <c r="G63"/>
      <c r="H63"/>
      <c r="I63"/>
      <c r="J63">
        <v>0</v>
      </c>
      <c r="K63" s="121">
        <f t="shared" si="5"/>
        <v>0</v>
      </c>
      <c r="L63" s="121">
        <f t="shared" si="6"/>
        <v>0</v>
      </c>
      <c r="M63" s="157"/>
      <c r="N63" s="368" t="e">
        <f t="shared" ca="1" si="7"/>
        <v>#DIV/0!</v>
      </c>
      <c r="O63" s="368" t="e">
        <f t="shared" si="8"/>
        <v>#DIV/0!</v>
      </c>
      <c r="P63" s="792" t="e">
        <f ca="1">OFFSET(VentExhCSV_Spc!$B$5,MATCH($C63,VentExhCSV_Spc!$C$6:$C$308,0),P$11)</f>
        <v>#N/A</v>
      </c>
      <c r="Q63" s="121" t="e">
        <f t="shared" si="9"/>
        <v>#VALUE!</v>
      </c>
      <c r="R63" s="1490" t="e">
        <f t="shared" si="14"/>
        <v>#VALUE!</v>
      </c>
      <c r="S63" s="1490" t="e">
        <f t="shared" si="14"/>
        <v>#VALUE!</v>
      </c>
      <c r="T63" s="1490" t="e">
        <f t="shared" si="14"/>
        <v>#VALUE!</v>
      </c>
      <c r="U63" s="121">
        <f t="shared" si="10"/>
        <v>0</v>
      </c>
      <c r="V63" s="121">
        <f t="shared" si="11"/>
        <v>0</v>
      </c>
      <c r="W63" s="121">
        <f t="shared" si="12"/>
        <v>0</v>
      </c>
      <c r="X63" s="121"/>
      <c r="Y63" s="121" t="b">
        <f t="shared" si="13"/>
        <v>0</v>
      </c>
      <c r="Z63" s="121" t="e">
        <f ca="1">OFFSET(VentExhCSV_Spc!$B$5,MATCH($C63,VentExhCSV_Spc!$C$6:$C$308,0),Z$11)</f>
        <v>#N/A</v>
      </c>
      <c r="AD63" s="1491"/>
      <c r="AE63" s="1516"/>
      <c r="AG63" s="124"/>
    </row>
    <row r="64" spans="2:33" s="50" customFormat="1" x14ac:dyDescent="0.3">
      <c r="B64" s="50">
        <f t="shared" si="0"/>
        <v>22</v>
      </c>
      <c r="C64"/>
      <c r="D64"/>
      <c r="E64"/>
      <c r="F64"/>
      <c r="G64"/>
      <c r="H64"/>
      <c r="I64"/>
      <c r="J64">
        <v>0</v>
      </c>
      <c r="K64" s="121">
        <f t="shared" si="5"/>
        <v>0</v>
      </c>
      <c r="L64" s="121">
        <f t="shared" si="6"/>
        <v>0</v>
      </c>
      <c r="M64" s="157"/>
      <c r="N64" s="368" t="e">
        <f t="shared" ca="1" si="7"/>
        <v>#DIV/0!</v>
      </c>
      <c r="O64" s="368" t="e">
        <f t="shared" si="8"/>
        <v>#DIV/0!</v>
      </c>
      <c r="P64" s="792" t="e">
        <f ca="1">OFFSET(VentExhCSV_Spc!$B$5,MATCH($C64,VentExhCSV_Spc!$C$6:$C$308,0),P$11)</f>
        <v>#N/A</v>
      </c>
      <c r="Q64" s="121" t="e">
        <f t="shared" si="9"/>
        <v>#VALUE!</v>
      </c>
      <c r="R64" s="1490" t="e">
        <f t="shared" si="14"/>
        <v>#VALUE!</v>
      </c>
      <c r="S64" s="1490" t="e">
        <f t="shared" si="14"/>
        <v>#VALUE!</v>
      </c>
      <c r="T64" s="1490" t="e">
        <f t="shared" si="14"/>
        <v>#VALUE!</v>
      </c>
      <c r="U64" s="121">
        <f t="shared" si="10"/>
        <v>0</v>
      </c>
      <c r="V64" s="121">
        <f t="shared" si="11"/>
        <v>0</v>
      </c>
      <c r="W64" s="121">
        <f t="shared" si="12"/>
        <v>0</v>
      </c>
      <c r="X64" s="121"/>
      <c r="Y64" s="121" t="b">
        <f t="shared" si="13"/>
        <v>0</v>
      </c>
      <c r="Z64" s="121" t="e">
        <f ca="1">OFFSET(VentExhCSV_Spc!$B$5,MATCH($C64,VentExhCSV_Spc!$C$6:$C$308,0),Z$11)</f>
        <v>#N/A</v>
      </c>
      <c r="AD64" s="1491"/>
      <c r="AE64" s="1516"/>
      <c r="AG64" s="124"/>
    </row>
    <row r="65" spans="2:33" s="50" customFormat="1" x14ac:dyDescent="0.3">
      <c r="B65" s="50">
        <f t="shared" si="0"/>
        <v>23</v>
      </c>
      <c r="C65"/>
      <c r="D65"/>
      <c r="E65"/>
      <c r="F65"/>
      <c r="G65"/>
      <c r="H65"/>
      <c r="I65"/>
      <c r="J65">
        <v>0</v>
      </c>
      <c r="K65" s="121">
        <f t="shared" si="5"/>
        <v>0</v>
      </c>
      <c r="L65" s="121">
        <f t="shared" si="6"/>
        <v>0</v>
      </c>
      <c r="M65" s="157"/>
      <c r="N65" s="368" t="e">
        <f t="shared" ca="1" si="7"/>
        <v>#DIV/0!</v>
      </c>
      <c r="O65" s="368" t="e">
        <f t="shared" si="8"/>
        <v>#DIV/0!</v>
      </c>
      <c r="P65" s="792" t="e">
        <f ca="1">OFFSET(VentExhCSV_Spc!$B$5,MATCH($C65,VentExhCSV_Spc!$C$6:$C$308,0),P$11)</f>
        <v>#N/A</v>
      </c>
      <c r="Q65" s="121" t="e">
        <f t="shared" si="9"/>
        <v>#VALUE!</v>
      </c>
      <c r="R65" s="1490" t="e">
        <f t="shared" si="14"/>
        <v>#VALUE!</v>
      </c>
      <c r="S65" s="1490" t="e">
        <f t="shared" si="14"/>
        <v>#VALUE!</v>
      </c>
      <c r="T65" s="1490" t="e">
        <f t="shared" si="14"/>
        <v>#VALUE!</v>
      </c>
      <c r="U65" s="121">
        <f t="shared" si="10"/>
        <v>0</v>
      </c>
      <c r="V65" s="121">
        <f t="shared" si="11"/>
        <v>0</v>
      </c>
      <c r="W65" s="121">
        <f t="shared" si="12"/>
        <v>0</v>
      </c>
      <c r="X65" s="121"/>
      <c r="Y65" s="121" t="b">
        <f t="shared" si="13"/>
        <v>0</v>
      </c>
      <c r="Z65" s="121" t="e">
        <f ca="1">OFFSET(VentExhCSV_Spc!$B$5,MATCH($C65,VentExhCSV_Spc!$C$6:$C$308,0),Z$11)</f>
        <v>#N/A</v>
      </c>
      <c r="AD65" s="1491"/>
      <c r="AE65" s="1516"/>
      <c r="AG65" s="124"/>
    </row>
    <row r="66" spans="2:33" s="50" customFormat="1" x14ac:dyDescent="0.3">
      <c r="B66" s="50">
        <f t="shared" si="0"/>
        <v>24</v>
      </c>
      <c r="C66"/>
      <c r="D66"/>
      <c r="E66"/>
      <c r="F66"/>
      <c r="G66"/>
      <c r="H66"/>
      <c r="I66"/>
      <c r="J66">
        <v>0</v>
      </c>
      <c r="K66" s="121">
        <f t="shared" si="5"/>
        <v>0</v>
      </c>
      <c r="L66" s="121">
        <f t="shared" si="6"/>
        <v>0</v>
      </c>
      <c r="M66" s="157"/>
      <c r="N66" s="368" t="e">
        <f t="shared" ca="1" si="7"/>
        <v>#DIV/0!</v>
      </c>
      <c r="O66" s="368" t="e">
        <f t="shared" si="8"/>
        <v>#DIV/0!</v>
      </c>
      <c r="P66" s="792" t="e">
        <f ca="1">OFFSET(VentExhCSV_Spc!$B$5,MATCH($C66,VentExhCSV_Spc!$C$6:$C$308,0),P$11)</f>
        <v>#N/A</v>
      </c>
      <c r="Q66" s="121" t="e">
        <f t="shared" si="9"/>
        <v>#VALUE!</v>
      </c>
      <c r="R66" s="1490" t="e">
        <f t="shared" si="14"/>
        <v>#VALUE!</v>
      </c>
      <c r="S66" s="1490" t="e">
        <f t="shared" si="14"/>
        <v>#VALUE!</v>
      </c>
      <c r="T66" s="1490" t="e">
        <f t="shared" si="14"/>
        <v>#VALUE!</v>
      </c>
      <c r="U66" s="121">
        <f t="shared" si="10"/>
        <v>0</v>
      </c>
      <c r="V66" s="121">
        <f t="shared" si="11"/>
        <v>0</v>
      </c>
      <c r="W66" s="121">
        <f t="shared" si="12"/>
        <v>0</v>
      </c>
      <c r="X66" s="121"/>
      <c r="Y66" s="121" t="b">
        <f t="shared" si="13"/>
        <v>0</v>
      </c>
      <c r="Z66" s="121" t="e">
        <f ca="1">OFFSET(VentExhCSV_Spc!$B$5,MATCH($C66,VentExhCSV_Spc!$C$6:$C$308,0),Z$11)</f>
        <v>#N/A</v>
      </c>
      <c r="AD66" s="1491"/>
      <c r="AE66" s="1516"/>
      <c r="AG66" s="124"/>
    </row>
    <row r="67" spans="2:33" s="50" customFormat="1" x14ac:dyDescent="0.3">
      <c r="B67" s="50">
        <f t="shared" si="0"/>
        <v>25</v>
      </c>
      <c r="C67"/>
      <c r="D67"/>
      <c r="E67"/>
      <c r="F67"/>
      <c r="G67"/>
      <c r="H67"/>
      <c r="I67"/>
      <c r="J67">
        <v>0</v>
      </c>
      <c r="K67" s="121">
        <f t="shared" si="5"/>
        <v>0</v>
      </c>
      <c r="L67" s="121">
        <f t="shared" si="6"/>
        <v>0</v>
      </c>
      <c r="M67" s="157"/>
      <c r="N67" s="368" t="e">
        <f t="shared" ca="1" si="7"/>
        <v>#DIV/0!</v>
      </c>
      <c r="O67" s="368" t="e">
        <f t="shared" si="8"/>
        <v>#DIV/0!</v>
      </c>
      <c r="P67" s="792" t="e">
        <f ca="1">OFFSET(VentExhCSV_Spc!$B$5,MATCH($C67,VentExhCSV_Spc!$C$6:$C$308,0),P$11)</f>
        <v>#N/A</v>
      </c>
      <c r="Q67" s="121" t="e">
        <f t="shared" si="9"/>
        <v>#VALUE!</v>
      </c>
      <c r="R67" s="1490" t="e">
        <f t="shared" si="14"/>
        <v>#VALUE!</v>
      </c>
      <c r="S67" s="1490" t="e">
        <f t="shared" si="14"/>
        <v>#VALUE!</v>
      </c>
      <c r="T67" s="1490" t="e">
        <f t="shared" si="14"/>
        <v>#VALUE!</v>
      </c>
      <c r="U67" s="121">
        <f t="shared" si="10"/>
        <v>0</v>
      </c>
      <c r="V67" s="121">
        <f t="shared" si="11"/>
        <v>0</v>
      </c>
      <c r="W67" s="121">
        <f t="shared" si="12"/>
        <v>0</v>
      </c>
      <c r="X67" s="121"/>
      <c r="Y67" s="121" t="b">
        <f t="shared" si="13"/>
        <v>0</v>
      </c>
      <c r="Z67" s="121" t="e">
        <f ca="1">OFFSET(VentExhCSV_Spc!$B$5,MATCH($C67,VentExhCSV_Spc!$C$6:$C$308,0),Z$11)</f>
        <v>#N/A</v>
      </c>
      <c r="AD67" s="1491"/>
      <c r="AE67" s="1516"/>
      <c r="AG67" s="124"/>
    </row>
    <row r="68" spans="2:33" s="50" customFormat="1" x14ac:dyDescent="0.3">
      <c r="B68" s="50">
        <f t="shared" si="0"/>
        <v>26</v>
      </c>
      <c r="C68"/>
      <c r="D68"/>
      <c r="E68"/>
      <c r="F68"/>
      <c r="G68"/>
      <c r="H68"/>
      <c r="I68"/>
      <c r="J68">
        <v>0</v>
      </c>
      <c r="K68" s="121">
        <f t="shared" si="5"/>
        <v>0</v>
      </c>
      <c r="L68" s="121">
        <f t="shared" si="6"/>
        <v>0</v>
      </c>
      <c r="M68" s="157"/>
      <c r="N68" s="368" t="e">
        <f t="shared" ca="1" si="7"/>
        <v>#DIV/0!</v>
      </c>
      <c r="O68" s="368" t="e">
        <f t="shared" si="8"/>
        <v>#DIV/0!</v>
      </c>
      <c r="P68" s="792" t="e">
        <f ca="1">OFFSET(VentExhCSV_Spc!$B$5,MATCH($C68,VentExhCSV_Spc!$C$6:$C$308,0),P$11)</f>
        <v>#N/A</v>
      </c>
      <c r="Q68" s="121" t="e">
        <f t="shared" si="9"/>
        <v>#VALUE!</v>
      </c>
      <c r="R68" s="1490" t="e">
        <f t="shared" si="14"/>
        <v>#VALUE!</v>
      </c>
      <c r="S68" s="1490" t="e">
        <f t="shared" si="14"/>
        <v>#VALUE!</v>
      </c>
      <c r="T68" s="1490" t="e">
        <f t="shared" si="14"/>
        <v>#VALUE!</v>
      </c>
      <c r="U68" s="121">
        <f t="shared" si="10"/>
        <v>0</v>
      </c>
      <c r="V68" s="121">
        <f t="shared" si="11"/>
        <v>0</v>
      </c>
      <c r="W68" s="121">
        <f t="shared" si="12"/>
        <v>0</v>
      </c>
      <c r="X68" s="121"/>
      <c r="Y68" s="121" t="b">
        <f t="shared" si="13"/>
        <v>0</v>
      </c>
      <c r="Z68" s="121" t="e">
        <f ca="1">OFFSET(VentExhCSV_Spc!$B$5,MATCH($C68,VentExhCSV_Spc!$C$6:$C$308,0),Z$11)</f>
        <v>#N/A</v>
      </c>
      <c r="AD68" s="1491"/>
      <c r="AE68" s="1516"/>
      <c r="AG68" s="124"/>
    </row>
    <row r="69" spans="2:33" s="50" customFormat="1" x14ac:dyDescent="0.3">
      <c r="B69" s="50">
        <f t="shared" si="0"/>
        <v>27</v>
      </c>
      <c r="C69"/>
      <c r="D69"/>
      <c r="E69"/>
      <c r="F69"/>
      <c r="G69"/>
      <c r="H69"/>
      <c r="I69"/>
      <c r="J69">
        <v>0</v>
      </c>
      <c r="K69" s="121">
        <f t="shared" si="5"/>
        <v>0</v>
      </c>
      <c r="L69" s="121">
        <f t="shared" si="6"/>
        <v>0</v>
      </c>
      <c r="M69" s="157"/>
      <c r="N69" s="368" t="e">
        <f t="shared" ca="1" si="7"/>
        <v>#DIV/0!</v>
      </c>
      <c r="O69" s="368" t="e">
        <f t="shared" si="8"/>
        <v>#DIV/0!</v>
      </c>
      <c r="P69" s="792" t="e">
        <f ca="1">OFFSET(VentExhCSV_Spc!$B$5,MATCH($C69,VentExhCSV_Spc!$C$6:$C$308,0),P$11)</f>
        <v>#N/A</v>
      </c>
      <c r="Q69" s="121" t="e">
        <f t="shared" si="9"/>
        <v>#VALUE!</v>
      </c>
      <c r="R69" s="1490" t="e">
        <f t="shared" si="14"/>
        <v>#VALUE!</v>
      </c>
      <c r="S69" s="1490" t="e">
        <f t="shared" si="14"/>
        <v>#VALUE!</v>
      </c>
      <c r="T69" s="1490" t="e">
        <f t="shared" si="14"/>
        <v>#VALUE!</v>
      </c>
      <c r="U69" s="121">
        <f t="shared" si="10"/>
        <v>0</v>
      </c>
      <c r="V69" s="121">
        <f t="shared" si="11"/>
        <v>0</v>
      </c>
      <c r="W69" s="121">
        <f t="shared" si="12"/>
        <v>0</v>
      </c>
      <c r="X69" s="121"/>
      <c r="Y69" s="121" t="b">
        <f t="shared" si="13"/>
        <v>0</v>
      </c>
      <c r="Z69" s="121" t="e">
        <f ca="1">OFFSET(VentExhCSV_Spc!$B$5,MATCH($C69,VentExhCSV_Spc!$C$6:$C$308,0),Z$11)</f>
        <v>#N/A</v>
      </c>
      <c r="AD69" s="1491"/>
      <c r="AE69" s="1516"/>
      <c r="AG69" s="124"/>
    </row>
    <row r="70" spans="2:33" s="50" customFormat="1" x14ac:dyDescent="0.3">
      <c r="B70" s="50">
        <f t="shared" si="0"/>
        <v>28</v>
      </c>
      <c r="C70"/>
      <c r="D70"/>
      <c r="E70"/>
      <c r="F70"/>
      <c r="G70"/>
      <c r="H70"/>
      <c r="I70"/>
      <c r="J70">
        <v>0</v>
      </c>
      <c r="K70" s="121">
        <f t="shared" si="5"/>
        <v>0</v>
      </c>
      <c r="L70" s="121">
        <f t="shared" si="6"/>
        <v>0</v>
      </c>
      <c r="M70" s="157"/>
      <c r="N70" s="368" t="e">
        <f t="shared" ca="1" si="7"/>
        <v>#DIV/0!</v>
      </c>
      <c r="O70" s="368" t="e">
        <f t="shared" si="8"/>
        <v>#DIV/0!</v>
      </c>
      <c r="P70" s="792" t="e">
        <f ca="1">OFFSET(VentExhCSV_Spc!$B$5,MATCH($C70,VentExhCSV_Spc!$C$6:$C$308,0),P$11)</f>
        <v>#N/A</v>
      </c>
      <c r="Q70" s="121" t="e">
        <f t="shared" si="9"/>
        <v>#VALUE!</v>
      </c>
      <c r="R70" s="1490" t="e">
        <f t="shared" si="14"/>
        <v>#VALUE!</v>
      </c>
      <c r="S70" s="1490" t="e">
        <f t="shared" si="14"/>
        <v>#VALUE!</v>
      </c>
      <c r="T70" s="1490" t="e">
        <f t="shared" si="14"/>
        <v>#VALUE!</v>
      </c>
      <c r="U70" s="121">
        <f t="shared" si="10"/>
        <v>0</v>
      </c>
      <c r="V70" s="121">
        <f t="shared" si="11"/>
        <v>0</v>
      </c>
      <c r="W70" s="121">
        <f t="shared" si="12"/>
        <v>0</v>
      </c>
      <c r="X70" s="121"/>
      <c r="Y70" s="121" t="b">
        <f t="shared" si="13"/>
        <v>0</v>
      </c>
      <c r="Z70" s="121" t="e">
        <f ca="1">OFFSET(VentExhCSV_Spc!$B$5,MATCH($C70,VentExhCSV_Spc!$C$6:$C$308,0),Z$11)</f>
        <v>#N/A</v>
      </c>
      <c r="AD70" s="1491"/>
      <c r="AE70" s="1516"/>
      <c r="AG70" s="124"/>
    </row>
    <row r="71" spans="2:33" s="50" customFormat="1" x14ac:dyDescent="0.3">
      <c r="B71" s="50">
        <f t="shared" si="0"/>
        <v>29</v>
      </c>
      <c r="C71"/>
      <c r="D71"/>
      <c r="E71"/>
      <c r="F71"/>
      <c r="G71"/>
      <c r="H71"/>
      <c r="I71"/>
      <c r="J71">
        <v>0</v>
      </c>
      <c r="K71" s="121">
        <f t="shared" si="5"/>
        <v>0</v>
      </c>
      <c r="L71" s="121">
        <f t="shared" si="6"/>
        <v>0</v>
      </c>
      <c r="M71" s="157"/>
      <c r="N71" s="368" t="e">
        <f t="shared" ca="1" si="7"/>
        <v>#DIV/0!</v>
      </c>
      <c r="O71" s="368" t="e">
        <f t="shared" si="8"/>
        <v>#DIV/0!</v>
      </c>
      <c r="P71" s="792" t="e">
        <f ca="1">OFFSET(VentExhCSV_Spc!$B$5,MATCH($C71,VentExhCSV_Spc!$C$6:$C$308,0),P$11)</f>
        <v>#N/A</v>
      </c>
      <c r="Q71" s="121" t="e">
        <f t="shared" si="9"/>
        <v>#VALUE!</v>
      </c>
      <c r="R71" s="1490" t="e">
        <f t="shared" si="14"/>
        <v>#VALUE!</v>
      </c>
      <c r="S71" s="1490" t="e">
        <f t="shared" si="14"/>
        <v>#VALUE!</v>
      </c>
      <c r="T71" s="1490" t="e">
        <f t="shared" si="14"/>
        <v>#VALUE!</v>
      </c>
      <c r="U71" s="121">
        <f t="shared" si="10"/>
        <v>0</v>
      </c>
      <c r="V71" s="121">
        <f t="shared" si="11"/>
        <v>0</v>
      </c>
      <c r="W71" s="121">
        <f t="shared" si="12"/>
        <v>0</v>
      </c>
      <c r="X71" s="121"/>
      <c r="Y71" s="121" t="b">
        <f t="shared" si="13"/>
        <v>0</v>
      </c>
      <c r="Z71" s="121" t="e">
        <f ca="1">OFFSET(VentExhCSV_Spc!$B$5,MATCH($C71,VentExhCSV_Spc!$C$6:$C$308,0),Z$11)</f>
        <v>#N/A</v>
      </c>
      <c r="AD71" s="1491"/>
      <c r="AE71" s="1516"/>
      <c r="AG71" s="124"/>
    </row>
    <row r="72" spans="2:33" s="50" customFormat="1" x14ac:dyDescent="0.3">
      <c r="B72" s="50">
        <f t="shared" si="0"/>
        <v>30</v>
      </c>
      <c r="C72"/>
      <c r="D72"/>
      <c r="E72"/>
      <c r="F72"/>
      <c r="G72"/>
      <c r="H72"/>
      <c r="I72"/>
      <c r="J72">
        <v>0</v>
      </c>
      <c r="K72" s="121">
        <f t="shared" si="5"/>
        <v>0</v>
      </c>
      <c r="L72" s="121">
        <f t="shared" si="6"/>
        <v>0</v>
      </c>
      <c r="M72" s="157"/>
      <c r="N72" s="368" t="e">
        <f t="shared" ca="1" si="7"/>
        <v>#DIV/0!</v>
      </c>
      <c r="O72" s="368" t="e">
        <f t="shared" si="8"/>
        <v>#DIV/0!</v>
      </c>
      <c r="P72" s="792" t="e">
        <f ca="1">OFFSET(VentExhCSV_Spc!$B$5,MATCH($C72,VentExhCSV_Spc!$C$6:$C$308,0),P$11)</f>
        <v>#N/A</v>
      </c>
      <c r="Q72" s="121" t="e">
        <f t="shared" si="9"/>
        <v>#VALUE!</v>
      </c>
      <c r="R72" s="1490" t="e">
        <f t="shared" si="14"/>
        <v>#VALUE!</v>
      </c>
      <c r="S72" s="1490" t="e">
        <f t="shared" si="14"/>
        <v>#VALUE!</v>
      </c>
      <c r="T72" s="1490" t="e">
        <f t="shared" si="14"/>
        <v>#VALUE!</v>
      </c>
      <c r="U72" s="121">
        <f t="shared" si="10"/>
        <v>0</v>
      </c>
      <c r="V72" s="121">
        <f t="shared" si="11"/>
        <v>0</v>
      </c>
      <c r="W72" s="121">
        <f t="shared" si="12"/>
        <v>0</v>
      </c>
      <c r="X72" s="121"/>
      <c r="Y72" s="121" t="b">
        <f t="shared" si="13"/>
        <v>0</v>
      </c>
      <c r="Z72" s="121" t="e">
        <f ca="1">OFFSET(VentExhCSV_Spc!$B$5,MATCH($C72,VentExhCSV_Spc!$C$6:$C$308,0),Z$11)</f>
        <v>#N/A</v>
      </c>
      <c r="AD72" s="1491"/>
      <c r="AE72" s="1516"/>
      <c r="AG72" s="124"/>
    </row>
    <row r="73" spans="2:33" s="50" customFormat="1" x14ac:dyDescent="0.3">
      <c r="B73" s="50">
        <f t="shared" si="0"/>
        <v>31</v>
      </c>
      <c r="C73"/>
      <c r="D73"/>
      <c r="E73"/>
      <c r="F73"/>
      <c r="G73"/>
      <c r="H73"/>
      <c r="I73"/>
      <c r="J73">
        <v>0</v>
      </c>
      <c r="K73" s="121">
        <f t="shared" si="5"/>
        <v>0</v>
      </c>
      <c r="L73" s="121">
        <f t="shared" si="6"/>
        <v>0</v>
      </c>
      <c r="M73" s="157"/>
      <c r="N73" s="368" t="e">
        <f t="shared" ca="1" si="7"/>
        <v>#DIV/0!</v>
      </c>
      <c r="O73" s="368" t="e">
        <f t="shared" si="8"/>
        <v>#DIV/0!</v>
      </c>
      <c r="P73" s="792" t="e">
        <f ca="1">OFFSET(VentExhCSV_Spc!$B$5,MATCH($C73,VentExhCSV_Spc!$C$6:$C$308,0),P$11)</f>
        <v>#N/A</v>
      </c>
      <c r="Q73" s="121" t="e">
        <f t="shared" si="9"/>
        <v>#VALUE!</v>
      </c>
      <c r="R73" s="1490" t="e">
        <f t="shared" si="14"/>
        <v>#VALUE!</v>
      </c>
      <c r="S73" s="1490" t="e">
        <f t="shared" si="14"/>
        <v>#VALUE!</v>
      </c>
      <c r="T73" s="1490" t="e">
        <f t="shared" si="14"/>
        <v>#VALUE!</v>
      </c>
      <c r="U73" s="121">
        <f t="shared" si="10"/>
        <v>0</v>
      </c>
      <c r="V73" s="121">
        <f t="shared" si="11"/>
        <v>0</v>
      </c>
      <c r="W73" s="121">
        <f t="shared" si="12"/>
        <v>0</v>
      </c>
      <c r="X73" s="121"/>
      <c r="Y73" s="121" t="b">
        <f t="shared" si="13"/>
        <v>0</v>
      </c>
      <c r="Z73" s="121" t="e">
        <f ca="1">OFFSET(VentExhCSV_Spc!$B$5,MATCH($C73,VentExhCSV_Spc!$C$6:$C$308,0),Z$11)</f>
        <v>#N/A</v>
      </c>
      <c r="AD73" s="1491"/>
      <c r="AE73" s="1516"/>
      <c r="AG73" s="124"/>
    </row>
    <row r="74" spans="2:33" s="50" customFormat="1" x14ac:dyDescent="0.3">
      <c r="B74" s="50">
        <f t="shared" si="0"/>
        <v>32</v>
      </c>
      <c r="C74"/>
      <c r="D74"/>
      <c r="E74"/>
      <c r="F74"/>
      <c r="G74"/>
      <c r="H74"/>
      <c r="I74"/>
      <c r="J74">
        <v>0</v>
      </c>
      <c r="K74" s="121">
        <f t="shared" si="5"/>
        <v>0</v>
      </c>
      <c r="L74" s="121">
        <f t="shared" si="6"/>
        <v>0</v>
      </c>
      <c r="M74" s="157"/>
      <c r="N74" s="368" t="e">
        <f t="shared" ca="1" si="7"/>
        <v>#DIV/0!</v>
      </c>
      <c r="O74" s="368" t="e">
        <f t="shared" si="8"/>
        <v>#DIV/0!</v>
      </c>
      <c r="P74" s="792" t="e">
        <f ca="1">OFFSET(VentExhCSV_Spc!$B$5,MATCH($C74,VentExhCSV_Spc!$C$6:$C$308,0),P$11)</f>
        <v>#N/A</v>
      </c>
      <c r="Q74" s="121" t="e">
        <f t="shared" si="9"/>
        <v>#VALUE!</v>
      </c>
      <c r="R74" s="1490" t="e">
        <f t="shared" si="14"/>
        <v>#VALUE!</v>
      </c>
      <c r="S74" s="1490" t="e">
        <f t="shared" si="14"/>
        <v>#VALUE!</v>
      </c>
      <c r="T74" s="1490" t="e">
        <f t="shared" si="14"/>
        <v>#VALUE!</v>
      </c>
      <c r="U74" s="121">
        <f t="shared" si="10"/>
        <v>0</v>
      </c>
      <c r="V74" s="121">
        <f t="shared" si="11"/>
        <v>0</v>
      </c>
      <c r="W74" s="121">
        <f t="shared" si="12"/>
        <v>0</v>
      </c>
      <c r="X74" s="121"/>
      <c r="Y74" s="121" t="b">
        <f t="shared" si="13"/>
        <v>0</v>
      </c>
      <c r="Z74" s="121" t="e">
        <f ca="1">OFFSET(VentExhCSV_Spc!$B$5,MATCH($C74,VentExhCSV_Spc!$C$6:$C$308,0),Z$11)</f>
        <v>#N/A</v>
      </c>
      <c r="AD74" s="1491"/>
      <c r="AE74" s="1516"/>
      <c r="AG74" s="124"/>
    </row>
    <row r="75" spans="2:33" s="50" customFormat="1" x14ac:dyDescent="0.3">
      <c r="B75" s="50">
        <f t="shared" si="0"/>
        <v>33</v>
      </c>
      <c r="C75"/>
      <c r="D75"/>
      <c r="E75"/>
      <c r="F75"/>
      <c r="G75"/>
      <c r="H75"/>
      <c r="I75"/>
      <c r="J75">
        <v>0</v>
      </c>
      <c r="K75" s="121">
        <f t="shared" si="5"/>
        <v>0</v>
      </c>
      <c r="L75" s="121">
        <f t="shared" si="6"/>
        <v>0</v>
      </c>
      <c r="M75" s="157"/>
      <c r="N75" s="368" t="e">
        <f t="shared" ca="1" si="7"/>
        <v>#DIV/0!</v>
      </c>
      <c r="O75" s="368" t="e">
        <f t="shared" si="8"/>
        <v>#DIV/0!</v>
      </c>
      <c r="P75" s="792" t="e">
        <f ca="1">OFFSET(VentExhCSV_Spc!$B$5,MATCH($C75,VentExhCSV_Spc!$C$6:$C$308,0),P$11)</f>
        <v>#N/A</v>
      </c>
      <c r="Q75" s="121" t="e">
        <f t="shared" si="9"/>
        <v>#VALUE!</v>
      </c>
      <c r="R75" s="1490" t="e">
        <f t="shared" si="14"/>
        <v>#VALUE!</v>
      </c>
      <c r="S75" s="1490" t="e">
        <f t="shared" si="14"/>
        <v>#VALUE!</v>
      </c>
      <c r="T75" s="1490" t="e">
        <f t="shared" si="14"/>
        <v>#VALUE!</v>
      </c>
      <c r="U75" s="121">
        <f t="shared" si="10"/>
        <v>0</v>
      </c>
      <c r="V75" s="121">
        <f t="shared" si="11"/>
        <v>0</v>
      </c>
      <c r="W75" s="121">
        <f t="shared" si="12"/>
        <v>0</v>
      </c>
      <c r="X75" s="121"/>
      <c r="Y75" s="121" t="b">
        <f t="shared" si="13"/>
        <v>0</v>
      </c>
      <c r="Z75" s="121" t="e">
        <f ca="1">OFFSET(VentExhCSV_Spc!$B$5,MATCH($C75,VentExhCSV_Spc!$C$6:$C$308,0),Z$11)</f>
        <v>#N/A</v>
      </c>
      <c r="AD75" s="1491"/>
      <c r="AE75" s="1516"/>
      <c r="AG75" s="124"/>
    </row>
    <row r="76" spans="2:33" s="50" customFormat="1" x14ac:dyDescent="0.3">
      <c r="B76" s="50">
        <f t="shared" si="0"/>
        <v>34</v>
      </c>
      <c r="C76"/>
      <c r="D76"/>
      <c r="E76"/>
      <c r="F76"/>
      <c r="G76"/>
      <c r="H76"/>
      <c r="I76"/>
      <c r="J76">
        <v>0</v>
      </c>
      <c r="K76" s="121">
        <f t="shared" si="5"/>
        <v>0</v>
      </c>
      <c r="L76" s="121">
        <f t="shared" si="6"/>
        <v>0</v>
      </c>
      <c r="M76" s="157"/>
      <c r="N76" s="368" t="e">
        <f t="shared" ca="1" si="7"/>
        <v>#DIV/0!</v>
      </c>
      <c r="O76" s="368" t="e">
        <f t="shared" si="8"/>
        <v>#DIV/0!</v>
      </c>
      <c r="P76" s="792" t="e">
        <f ca="1">OFFSET(VentExhCSV_Spc!$B$5,MATCH($C76,VentExhCSV_Spc!$C$6:$C$308,0),P$11)</f>
        <v>#N/A</v>
      </c>
      <c r="Q76" s="121" t="e">
        <f t="shared" si="9"/>
        <v>#VALUE!</v>
      </c>
      <c r="R76" s="1490" t="e">
        <f t="shared" si="14"/>
        <v>#VALUE!</v>
      </c>
      <c r="S76" s="1490" t="e">
        <f t="shared" si="14"/>
        <v>#VALUE!</v>
      </c>
      <c r="T76" s="1490" t="e">
        <f t="shared" si="14"/>
        <v>#VALUE!</v>
      </c>
      <c r="U76" s="121">
        <f t="shared" si="10"/>
        <v>0</v>
      </c>
      <c r="V76" s="121">
        <f t="shared" si="11"/>
        <v>0</v>
      </c>
      <c r="W76" s="121">
        <f t="shared" si="12"/>
        <v>0</v>
      </c>
      <c r="X76" s="121"/>
      <c r="Y76" s="121" t="b">
        <f t="shared" si="13"/>
        <v>0</v>
      </c>
      <c r="Z76" s="121" t="e">
        <f ca="1">OFFSET(VentExhCSV_Spc!$B$5,MATCH($C76,VentExhCSV_Spc!$C$6:$C$308,0),Z$11)</f>
        <v>#N/A</v>
      </c>
      <c r="AD76" s="1491"/>
      <c r="AE76" s="1516"/>
      <c r="AG76" s="124"/>
    </row>
    <row r="77" spans="2:33" s="50" customFormat="1" x14ac:dyDescent="0.3">
      <c r="B77" s="50">
        <f t="shared" si="0"/>
        <v>35</v>
      </c>
      <c r="C77"/>
      <c r="D77"/>
      <c r="E77"/>
      <c r="F77"/>
      <c r="G77"/>
      <c r="H77"/>
      <c r="I77"/>
      <c r="J77">
        <v>0</v>
      </c>
      <c r="K77" s="121">
        <f t="shared" si="5"/>
        <v>0</v>
      </c>
      <c r="L77" s="121">
        <f t="shared" si="6"/>
        <v>0</v>
      </c>
      <c r="M77" s="157"/>
      <c r="N77" s="368" t="e">
        <f t="shared" ca="1" si="7"/>
        <v>#DIV/0!</v>
      </c>
      <c r="O77" s="368" t="e">
        <f t="shared" si="8"/>
        <v>#DIV/0!</v>
      </c>
      <c r="P77" s="792" t="e">
        <f ca="1">OFFSET(VentExhCSV_Spc!$B$5,MATCH($C77,VentExhCSV_Spc!$C$6:$C$308,0),P$11)</f>
        <v>#N/A</v>
      </c>
      <c r="Q77" s="121" t="e">
        <f t="shared" si="9"/>
        <v>#VALUE!</v>
      </c>
      <c r="R77" s="1490" t="e">
        <f t="shared" si="14"/>
        <v>#VALUE!</v>
      </c>
      <c r="S77" s="1490" t="e">
        <f t="shared" si="14"/>
        <v>#VALUE!</v>
      </c>
      <c r="T77" s="1490" t="e">
        <f t="shared" si="14"/>
        <v>#VALUE!</v>
      </c>
      <c r="U77" s="121">
        <f t="shared" si="10"/>
        <v>0</v>
      </c>
      <c r="V77" s="121">
        <f t="shared" si="11"/>
        <v>0</v>
      </c>
      <c r="W77" s="121">
        <f t="shared" si="12"/>
        <v>0</v>
      </c>
      <c r="X77" s="121"/>
      <c r="Y77" s="121" t="b">
        <f t="shared" si="13"/>
        <v>0</v>
      </c>
      <c r="Z77" s="121" t="e">
        <f ca="1">OFFSET(VentExhCSV_Spc!$B$5,MATCH($C77,VentExhCSV_Spc!$C$6:$C$308,0),Z$11)</f>
        <v>#N/A</v>
      </c>
      <c r="AD77" s="1491"/>
      <c r="AE77" s="1516"/>
      <c r="AG77" s="124"/>
    </row>
    <row r="78" spans="2:33" s="50" customFormat="1" x14ac:dyDescent="0.3">
      <c r="B78" s="50">
        <f t="shared" si="0"/>
        <v>36</v>
      </c>
      <c r="C78"/>
      <c r="D78"/>
      <c r="E78"/>
      <c r="F78"/>
      <c r="G78"/>
      <c r="H78"/>
      <c r="I78"/>
      <c r="J78">
        <v>0</v>
      </c>
      <c r="K78" s="121">
        <f t="shared" si="5"/>
        <v>0</v>
      </c>
      <c r="L78" s="121">
        <f t="shared" si="6"/>
        <v>0</v>
      </c>
      <c r="M78" s="157"/>
      <c r="N78" s="368" t="e">
        <f t="shared" ca="1" si="7"/>
        <v>#DIV/0!</v>
      </c>
      <c r="O78" s="368" t="e">
        <f t="shared" si="8"/>
        <v>#DIV/0!</v>
      </c>
      <c r="P78" s="792" t="e">
        <f ca="1">OFFSET(VentExhCSV_Spc!$B$5,MATCH($C78,VentExhCSV_Spc!$C$6:$C$308,0),P$11)</f>
        <v>#N/A</v>
      </c>
      <c r="Q78" s="121" t="e">
        <f t="shared" si="9"/>
        <v>#VALUE!</v>
      </c>
      <c r="R78" s="1490" t="e">
        <f t="shared" si="14"/>
        <v>#VALUE!</v>
      </c>
      <c r="S78" s="1490" t="e">
        <f t="shared" si="14"/>
        <v>#VALUE!</v>
      </c>
      <c r="T78" s="1490" t="e">
        <f t="shared" si="14"/>
        <v>#VALUE!</v>
      </c>
      <c r="U78" s="121">
        <f t="shared" si="10"/>
        <v>0</v>
      </c>
      <c r="V78" s="121">
        <f t="shared" si="11"/>
        <v>0</v>
      </c>
      <c r="W78" s="121">
        <f t="shared" si="12"/>
        <v>0</v>
      </c>
      <c r="X78" s="121"/>
      <c r="Y78" s="121" t="b">
        <f t="shared" si="13"/>
        <v>0</v>
      </c>
      <c r="Z78" s="121" t="e">
        <f ca="1">OFFSET(VentExhCSV_Spc!$B$5,MATCH($C78,VentExhCSV_Spc!$C$6:$C$308,0),Z$11)</f>
        <v>#N/A</v>
      </c>
      <c r="AD78" s="1491"/>
      <c r="AE78" s="1516"/>
      <c r="AG78" s="124"/>
    </row>
    <row r="79" spans="2:33" s="50" customFormat="1" x14ac:dyDescent="0.3">
      <c r="B79" s="50">
        <f t="shared" si="0"/>
        <v>37</v>
      </c>
      <c r="C79"/>
      <c r="D79"/>
      <c r="E79"/>
      <c r="F79"/>
      <c r="G79"/>
      <c r="H79"/>
      <c r="I79"/>
      <c r="J79">
        <v>0</v>
      </c>
      <c r="K79" s="121">
        <f t="shared" si="5"/>
        <v>0</v>
      </c>
      <c r="L79" s="121">
        <f t="shared" si="6"/>
        <v>0</v>
      </c>
      <c r="M79" s="157"/>
      <c r="N79" s="368" t="e">
        <f t="shared" ca="1" si="7"/>
        <v>#DIV/0!</v>
      </c>
      <c r="O79" s="368" t="e">
        <f t="shared" si="8"/>
        <v>#DIV/0!</v>
      </c>
      <c r="P79" s="792" t="e">
        <f ca="1">OFFSET(VentExhCSV_Spc!$B$5,MATCH($C79,VentExhCSV_Spc!$C$6:$C$308,0),P$11)</f>
        <v>#N/A</v>
      </c>
      <c r="Q79" s="121" t="e">
        <f t="shared" si="9"/>
        <v>#VALUE!</v>
      </c>
      <c r="R79" s="1490" t="e">
        <f t="shared" si="14"/>
        <v>#VALUE!</v>
      </c>
      <c r="S79" s="1490" t="e">
        <f t="shared" si="14"/>
        <v>#VALUE!</v>
      </c>
      <c r="T79" s="1490" t="e">
        <f t="shared" si="14"/>
        <v>#VALUE!</v>
      </c>
      <c r="U79" s="121">
        <f t="shared" si="10"/>
        <v>0</v>
      </c>
      <c r="V79" s="121">
        <f t="shared" si="11"/>
        <v>0</v>
      </c>
      <c r="W79" s="121">
        <f t="shared" si="12"/>
        <v>0</v>
      </c>
      <c r="X79" s="121"/>
      <c r="Y79" s="121" t="b">
        <f t="shared" si="13"/>
        <v>0</v>
      </c>
      <c r="Z79" s="121" t="e">
        <f ca="1">OFFSET(VentExhCSV_Spc!$B$5,MATCH($C79,VentExhCSV_Spc!$C$6:$C$308,0),Z$11)</f>
        <v>#N/A</v>
      </c>
      <c r="AD79" s="1491"/>
      <c r="AE79" s="1516"/>
      <c r="AG79" s="124"/>
    </row>
    <row r="80" spans="2:33" s="50" customFormat="1" x14ac:dyDescent="0.3">
      <c r="B80" s="50">
        <f t="shared" ref="B80:B92" si="19">B79+1</f>
        <v>38</v>
      </c>
      <c r="C80"/>
      <c r="D80"/>
      <c r="E80"/>
      <c r="F80"/>
      <c r="G80"/>
      <c r="H80"/>
      <c r="I80"/>
      <c r="J80">
        <v>0</v>
      </c>
      <c r="K80" s="121">
        <f t="shared" si="5"/>
        <v>0</v>
      </c>
      <c r="L80" s="121">
        <f t="shared" si="6"/>
        <v>0</v>
      </c>
      <c r="M80" s="157"/>
      <c r="N80" s="368" t="e">
        <f t="shared" ca="1" si="7"/>
        <v>#DIV/0!</v>
      </c>
      <c r="O80" s="368" t="e">
        <f t="shared" si="8"/>
        <v>#DIV/0!</v>
      </c>
      <c r="P80" s="792" t="e">
        <f ca="1">OFFSET(VentExhCSV_Spc!$B$5,MATCH($C80,VentExhCSV_Spc!$C$6:$C$308,0),P$11)</f>
        <v>#N/A</v>
      </c>
      <c r="Q80" s="121" t="e">
        <f t="shared" si="9"/>
        <v>#VALUE!</v>
      </c>
      <c r="R80" s="1490" t="e">
        <f t="shared" si="14"/>
        <v>#VALUE!</v>
      </c>
      <c r="S80" s="1490" t="e">
        <f t="shared" si="14"/>
        <v>#VALUE!</v>
      </c>
      <c r="T80" s="1490" t="e">
        <f t="shared" si="14"/>
        <v>#VALUE!</v>
      </c>
      <c r="U80" s="121">
        <f t="shared" si="10"/>
        <v>0</v>
      </c>
      <c r="V80" s="121">
        <f t="shared" si="11"/>
        <v>0</v>
      </c>
      <c r="W80" s="121">
        <f t="shared" si="12"/>
        <v>0</v>
      </c>
      <c r="X80" s="121"/>
      <c r="Y80" s="121" t="b">
        <f t="shared" si="13"/>
        <v>0</v>
      </c>
      <c r="Z80" s="121" t="e">
        <f ca="1">OFFSET(VentExhCSV_Spc!$B$5,MATCH($C80,VentExhCSV_Spc!$C$6:$C$308,0),Z$11)</f>
        <v>#N/A</v>
      </c>
      <c r="AD80" s="1491"/>
      <c r="AE80" s="1516"/>
      <c r="AG80" s="124"/>
    </row>
    <row r="81" spans="2:33" s="50" customFormat="1" x14ac:dyDescent="0.3">
      <c r="B81" s="50">
        <f t="shared" si="19"/>
        <v>39</v>
      </c>
      <c r="C81"/>
      <c r="D81"/>
      <c r="E81"/>
      <c r="F81"/>
      <c r="G81"/>
      <c r="H81"/>
      <c r="I81"/>
      <c r="J81">
        <v>0</v>
      </c>
      <c r="K81" s="121">
        <f t="shared" si="5"/>
        <v>0</v>
      </c>
      <c r="L81" s="121">
        <f t="shared" si="6"/>
        <v>0</v>
      </c>
      <c r="M81" s="157"/>
      <c r="N81" s="368" t="e">
        <f t="shared" ca="1" si="7"/>
        <v>#DIV/0!</v>
      </c>
      <c r="O81" s="368" t="e">
        <f t="shared" si="8"/>
        <v>#DIV/0!</v>
      </c>
      <c r="P81" s="792" t="e">
        <f ca="1">OFFSET(VentExhCSV_Spc!$B$5,MATCH($C81,VentExhCSV_Spc!$C$6:$C$308,0),P$11)</f>
        <v>#N/A</v>
      </c>
      <c r="Q81" s="121" t="e">
        <f t="shared" si="9"/>
        <v>#VALUE!</v>
      </c>
      <c r="R81" s="1490" t="e">
        <f t="shared" si="14"/>
        <v>#VALUE!</v>
      </c>
      <c r="S81" s="1490" t="e">
        <f t="shared" si="14"/>
        <v>#VALUE!</v>
      </c>
      <c r="T81" s="1490" t="e">
        <f t="shared" si="14"/>
        <v>#VALUE!</v>
      </c>
      <c r="U81" s="121">
        <f t="shared" si="10"/>
        <v>0</v>
      </c>
      <c r="V81" s="121">
        <f t="shared" si="11"/>
        <v>0</v>
      </c>
      <c r="W81" s="121">
        <f t="shared" si="12"/>
        <v>0</v>
      </c>
      <c r="X81" s="121"/>
      <c r="Y81" s="121" t="b">
        <f t="shared" si="13"/>
        <v>0</v>
      </c>
      <c r="Z81" s="121" t="e">
        <f ca="1">OFFSET(VentExhCSV_Spc!$B$5,MATCH($C81,VentExhCSV_Spc!$C$6:$C$308,0),Z$11)</f>
        <v>#N/A</v>
      </c>
      <c r="AD81" s="1491"/>
      <c r="AE81" s="1516"/>
      <c r="AG81" s="124"/>
    </row>
    <row r="82" spans="2:33" s="50" customFormat="1" x14ac:dyDescent="0.3">
      <c r="B82" s="50">
        <f t="shared" si="19"/>
        <v>40</v>
      </c>
      <c r="C82"/>
      <c r="D82"/>
      <c r="E82"/>
      <c r="F82"/>
      <c r="G82"/>
      <c r="H82"/>
      <c r="I82"/>
      <c r="J82">
        <v>0</v>
      </c>
      <c r="K82" s="121">
        <f t="shared" si="5"/>
        <v>0</v>
      </c>
      <c r="L82" s="121">
        <f t="shared" si="6"/>
        <v>0</v>
      </c>
      <c r="M82" s="157"/>
      <c r="N82" s="368" t="e">
        <f t="shared" ca="1" si="7"/>
        <v>#DIV/0!</v>
      </c>
      <c r="O82" s="368" t="e">
        <f t="shared" si="8"/>
        <v>#DIV/0!</v>
      </c>
      <c r="P82" s="792" t="e">
        <f ca="1">OFFSET(VentExhCSV_Spc!$B$5,MATCH($C82,VentExhCSV_Spc!$C$6:$C$308,0),P$11)</f>
        <v>#N/A</v>
      </c>
      <c r="Q82" s="121" t="e">
        <f t="shared" si="9"/>
        <v>#VALUE!</v>
      </c>
      <c r="R82" s="1490" t="e">
        <f t="shared" si="14"/>
        <v>#VALUE!</v>
      </c>
      <c r="S82" s="1490" t="e">
        <f t="shared" si="14"/>
        <v>#VALUE!</v>
      </c>
      <c r="T82" s="1490" t="e">
        <f t="shared" si="14"/>
        <v>#VALUE!</v>
      </c>
      <c r="U82" s="121">
        <f t="shared" si="10"/>
        <v>0</v>
      </c>
      <c r="V82" s="121">
        <f t="shared" si="11"/>
        <v>0</v>
      </c>
      <c r="W82" s="121">
        <f t="shared" si="12"/>
        <v>0</v>
      </c>
      <c r="X82" s="121"/>
      <c r="Y82" s="121" t="b">
        <f t="shared" si="13"/>
        <v>0</v>
      </c>
      <c r="Z82" s="121" t="e">
        <f ca="1">OFFSET(VentExhCSV_Spc!$B$5,MATCH($C82,VentExhCSV_Spc!$C$6:$C$308,0),Z$11)</f>
        <v>#N/A</v>
      </c>
      <c r="AD82" s="1491"/>
      <c r="AE82" s="1516"/>
      <c r="AG82" s="124"/>
    </row>
    <row r="83" spans="2:33" s="50" customFormat="1" x14ac:dyDescent="0.3">
      <c r="B83" s="50">
        <f t="shared" si="19"/>
        <v>41</v>
      </c>
      <c r="C83"/>
      <c r="D83"/>
      <c r="E83"/>
      <c r="F83"/>
      <c r="G83"/>
      <c r="H83"/>
      <c r="I83"/>
      <c r="J83">
        <v>0</v>
      </c>
      <c r="K83" s="121">
        <f t="shared" ref="K83:K105" si="20">IF(E83="DirectlyConditioned",J83,0)</f>
        <v>0</v>
      </c>
      <c r="L83" s="121">
        <f t="shared" ref="L83:L105" si="21">IF(E83="IndirectlyConditioned",J83,0)</f>
        <v>0</v>
      </c>
      <c r="M83" s="157"/>
      <c r="N83" s="368" t="e">
        <f t="shared" ref="N83:N105" ca="1" si="22">$N$16*J83</f>
        <v>#DIV/0!</v>
      </c>
      <c r="O83" s="368" t="e">
        <f t="shared" ref="O83:O105" si="23">$O$16*K83</f>
        <v>#DIV/0!</v>
      </c>
      <c r="P83" s="792" t="e">
        <f ca="1">OFFSET(VentExhCSV_Spc!$B$5,MATCH($C83,VentExhCSV_Spc!$C$6:$C$308,0),P$11)</f>
        <v>#N/A</v>
      </c>
      <c r="Q83" s="121" t="e">
        <f t="shared" ref="Q83:Q105" si="24">MID(C83,FIND("_",C83)+1,4)</f>
        <v>#VALUE!</v>
      </c>
      <c r="R83" s="1490" t="e">
        <f t="shared" si="14"/>
        <v>#VALUE!</v>
      </c>
      <c r="S83" s="1490" t="e">
        <f t="shared" si="14"/>
        <v>#VALUE!</v>
      </c>
      <c r="T83" s="1490" t="e">
        <f t="shared" si="14"/>
        <v>#VALUE!</v>
      </c>
      <c r="U83" s="121">
        <f t="shared" ref="U83:U105" si="25">IF($E83="DirectlyConditioned",$R83*$J83/1000*$S83+$T83*$J83,0)</f>
        <v>0</v>
      </c>
      <c r="V83" s="121">
        <f t="shared" ref="V83:V105" si="26">IF($E83="IndirectlyConditioned",$R83*$J83/1000*$S83+$T83*$J83,0)</f>
        <v>0</v>
      </c>
      <c r="W83" s="121">
        <f t="shared" ref="W83:W105" si="27">SUM(U83:V83)</f>
        <v>0</v>
      </c>
      <c r="X83" s="121"/>
      <c r="Y83" s="121" t="b">
        <f t="shared" ref="Y83:Y105" si="28">IF(E83="DirectlyConditioned",Y$21*$K83)</f>
        <v>0</v>
      </c>
      <c r="Z83" s="121" t="e">
        <f ca="1">OFFSET(VentExhCSV_Spc!$B$5,MATCH($C83,VentExhCSV_Spc!$C$6:$C$308,0),Z$11)</f>
        <v>#N/A</v>
      </c>
      <c r="AD83" s="1491"/>
      <c r="AE83" s="1516"/>
      <c r="AG83" s="124"/>
    </row>
    <row r="84" spans="2:33" s="50" customFormat="1" x14ac:dyDescent="0.3">
      <c r="B84" s="50">
        <f t="shared" si="19"/>
        <v>42</v>
      </c>
      <c r="C84"/>
      <c r="D84"/>
      <c r="E84"/>
      <c r="F84"/>
      <c r="G84"/>
      <c r="H84"/>
      <c r="I84"/>
      <c r="J84">
        <v>0</v>
      </c>
      <c r="K84" s="121">
        <f t="shared" si="20"/>
        <v>0</v>
      </c>
      <c r="L84" s="121">
        <f t="shared" si="21"/>
        <v>0</v>
      </c>
      <c r="M84" s="157"/>
      <c r="N84" s="368" t="e">
        <f t="shared" ca="1" si="22"/>
        <v>#DIV/0!</v>
      </c>
      <c r="O84" s="368" t="e">
        <f t="shared" si="23"/>
        <v>#DIV/0!</v>
      </c>
      <c r="P84" s="792" t="e">
        <f ca="1">OFFSET(VentExhCSV_Spc!$B$5,MATCH($C84,VentExhCSV_Spc!$C$6:$C$308,0),P$11)</f>
        <v>#N/A</v>
      </c>
      <c r="Q84" s="121" t="e">
        <f t="shared" si="24"/>
        <v>#VALUE!</v>
      </c>
      <c r="R84" s="1490" t="e">
        <f t="shared" si="14"/>
        <v>#VALUE!</v>
      </c>
      <c r="S84" s="1490" t="e">
        <f t="shared" si="14"/>
        <v>#VALUE!</v>
      </c>
      <c r="T84" s="1490" t="e">
        <f t="shared" si="14"/>
        <v>#VALUE!</v>
      </c>
      <c r="U84" s="121">
        <f t="shared" si="25"/>
        <v>0</v>
      </c>
      <c r="V84" s="121">
        <f t="shared" si="26"/>
        <v>0</v>
      </c>
      <c r="W84" s="121">
        <f t="shared" si="27"/>
        <v>0</v>
      </c>
      <c r="X84" s="121"/>
      <c r="Y84" s="121" t="b">
        <f t="shared" si="28"/>
        <v>0</v>
      </c>
      <c r="Z84" s="121" t="e">
        <f ca="1">OFFSET(VentExhCSV_Spc!$B$5,MATCH($C84,VentExhCSV_Spc!$C$6:$C$308,0),Z$11)</f>
        <v>#N/A</v>
      </c>
      <c r="AD84" s="1491"/>
      <c r="AE84" s="1516"/>
      <c r="AG84" s="124"/>
    </row>
    <row r="85" spans="2:33" s="50" customFormat="1" x14ac:dyDescent="0.3">
      <c r="B85" s="50">
        <f t="shared" si="19"/>
        <v>43</v>
      </c>
      <c r="C85"/>
      <c r="D85"/>
      <c r="E85"/>
      <c r="F85"/>
      <c r="G85"/>
      <c r="H85"/>
      <c r="I85"/>
      <c r="J85">
        <v>0</v>
      </c>
      <c r="K85" s="121">
        <f t="shared" si="20"/>
        <v>0</v>
      </c>
      <c r="L85" s="121">
        <f t="shared" si="21"/>
        <v>0</v>
      </c>
      <c r="M85" s="157"/>
      <c r="N85" s="368" t="e">
        <f t="shared" ca="1" si="22"/>
        <v>#DIV/0!</v>
      </c>
      <c r="O85" s="368" t="e">
        <f t="shared" si="23"/>
        <v>#DIV/0!</v>
      </c>
      <c r="P85" s="792" t="e">
        <f ca="1">OFFSET(VentExhCSV_Spc!$B$5,MATCH($C85,VentExhCSV_Spc!$C$6:$C$308,0),P$11)</f>
        <v>#N/A</v>
      </c>
      <c r="Q85" s="121" t="e">
        <f t="shared" si="24"/>
        <v>#VALUE!</v>
      </c>
      <c r="R85" s="1490" t="e">
        <f t="shared" si="14"/>
        <v>#VALUE!</v>
      </c>
      <c r="S85" s="1490" t="e">
        <f t="shared" si="14"/>
        <v>#VALUE!</v>
      </c>
      <c r="T85" s="1490" t="e">
        <f t="shared" si="14"/>
        <v>#VALUE!</v>
      </c>
      <c r="U85" s="121">
        <f t="shared" si="25"/>
        <v>0</v>
      </c>
      <c r="V85" s="121">
        <f t="shared" si="26"/>
        <v>0</v>
      </c>
      <c r="W85" s="121">
        <f t="shared" si="27"/>
        <v>0</v>
      </c>
      <c r="X85" s="121"/>
      <c r="Y85" s="121" t="b">
        <f t="shared" si="28"/>
        <v>0</v>
      </c>
      <c r="Z85" s="121" t="e">
        <f ca="1">OFFSET(VentExhCSV_Spc!$B$5,MATCH($C85,VentExhCSV_Spc!$C$6:$C$308,0),Z$11)</f>
        <v>#N/A</v>
      </c>
      <c r="AD85" s="1491"/>
      <c r="AE85" s="1516"/>
      <c r="AG85" s="124"/>
    </row>
    <row r="86" spans="2:33" s="50" customFormat="1" x14ac:dyDescent="0.3">
      <c r="B86" s="50">
        <f t="shared" si="19"/>
        <v>44</v>
      </c>
      <c r="C86"/>
      <c r="D86"/>
      <c r="E86"/>
      <c r="F86"/>
      <c r="G86"/>
      <c r="H86"/>
      <c r="I86"/>
      <c r="J86">
        <v>0</v>
      </c>
      <c r="K86" s="121">
        <f t="shared" si="20"/>
        <v>0</v>
      </c>
      <c r="L86" s="121">
        <f t="shared" si="21"/>
        <v>0</v>
      </c>
      <c r="M86" s="157"/>
      <c r="N86" s="368" t="e">
        <f t="shared" ca="1" si="22"/>
        <v>#DIV/0!</v>
      </c>
      <c r="O86" s="368" t="e">
        <f t="shared" si="23"/>
        <v>#DIV/0!</v>
      </c>
      <c r="P86" s="792" t="e">
        <f ca="1">OFFSET(VentExhCSV_Spc!$B$5,MATCH($C86,VentExhCSV_Spc!$C$6:$C$308,0),P$11)</f>
        <v>#N/A</v>
      </c>
      <c r="Q86" s="121" t="e">
        <f t="shared" si="24"/>
        <v>#VALUE!</v>
      </c>
      <c r="R86" s="1490" t="e">
        <f t="shared" si="14"/>
        <v>#VALUE!</v>
      </c>
      <c r="S86" s="1490" t="e">
        <f t="shared" si="14"/>
        <v>#VALUE!</v>
      </c>
      <c r="T86" s="1490" t="e">
        <f t="shared" si="14"/>
        <v>#VALUE!</v>
      </c>
      <c r="U86" s="121">
        <f t="shared" si="25"/>
        <v>0</v>
      </c>
      <c r="V86" s="121">
        <f t="shared" si="26"/>
        <v>0</v>
      </c>
      <c r="W86" s="121">
        <f t="shared" si="27"/>
        <v>0</v>
      </c>
      <c r="X86" s="121"/>
      <c r="Y86" s="121" t="b">
        <f t="shared" si="28"/>
        <v>0</v>
      </c>
      <c r="Z86" s="121" t="e">
        <f ca="1">OFFSET(VentExhCSV_Spc!$B$5,MATCH($C86,VentExhCSV_Spc!$C$6:$C$308,0),Z$11)</f>
        <v>#N/A</v>
      </c>
      <c r="AD86" s="1491"/>
      <c r="AE86" s="1516"/>
      <c r="AG86" s="124"/>
    </row>
    <row r="87" spans="2:33" s="50" customFormat="1" x14ac:dyDescent="0.3">
      <c r="B87" s="50">
        <f t="shared" si="19"/>
        <v>45</v>
      </c>
      <c r="C87"/>
      <c r="D87"/>
      <c r="E87"/>
      <c r="F87"/>
      <c r="G87"/>
      <c r="H87"/>
      <c r="I87"/>
      <c r="J87">
        <v>0</v>
      </c>
      <c r="K87" s="121">
        <f t="shared" si="20"/>
        <v>0</v>
      </c>
      <c r="L87" s="121">
        <f t="shared" si="21"/>
        <v>0</v>
      </c>
      <c r="M87" s="157"/>
      <c r="N87" s="368" t="e">
        <f t="shared" ca="1" si="22"/>
        <v>#DIV/0!</v>
      </c>
      <c r="O87" s="368" t="e">
        <f t="shared" si="23"/>
        <v>#DIV/0!</v>
      </c>
      <c r="P87" s="792" t="e">
        <f ca="1">OFFSET(VentExhCSV_Spc!$B$5,MATCH($C87,VentExhCSV_Spc!$C$6:$C$308,0),P$11)</f>
        <v>#N/A</v>
      </c>
      <c r="Q87" s="121" t="e">
        <f t="shared" si="24"/>
        <v>#VALUE!</v>
      </c>
      <c r="R87" s="1490" t="e">
        <f t="shared" si="14"/>
        <v>#VALUE!</v>
      </c>
      <c r="S87" s="1490" t="e">
        <f t="shared" si="14"/>
        <v>#VALUE!</v>
      </c>
      <c r="T87" s="1490" t="e">
        <f t="shared" si="14"/>
        <v>#VALUE!</v>
      </c>
      <c r="U87" s="121">
        <f t="shared" si="25"/>
        <v>0</v>
      </c>
      <c r="V87" s="121">
        <f t="shared" si="26"/>
        <v>0</v>
      </c>
      <c r="W87" s="121">
        <f t="shared" si="27"/>
        <v>0</v>
      </c>
      <c r="X87" s="121"/>
      <c r="Y87" s="121" t="b">
        <f t="shared" si="28"/>
        <v>0</v>
      </c>
      <c r="Z87" s="121" t="e">
        <f ca="1">OFFSET(VentExhCSV_Spc!$B$5,MATCH($C87,VentExhCSV_Spc!$C$6:$C$308,0),Z$11)</f>
        <v>#N/A</v>
      </c>
      <c r="AD87" s="1491"/>
      <c r="AE87" s="1516"/>
      <c r="AG87" s="124"/>
    </row>
    <row r="88" spans="2:33" s="50" customFormat="1" x14ac:dyDescent="0.3">
      <c r="B88" s="50">
        <f t="shared" si="19"/>
        <v>46</v>
      </c>
      <c r="C88"/>
      <c r="D88"/>
      <c r="E88"/>
      <c r="F88"/>
      <c r="G88"/>
      <c r="H88"/>
      <c r="I88"/>
      <c r="J88">
        <v>0</v>
      </c>
      <c r="K88" s="121">
        <f t="shared" si="20"/>
        <v>0</v>
      </c>
      <c r="L88" s="121">
        <f t="shared" si="21"/>
        <v>0</v>
      </c>
      <c r="M88" s="157"/>
      <c r="N88" s="368" t="e">
        <f t="shared" ca="1" si="22"/>
        <v>#DIV/0!</v>
      </c>
      <c r="O88" s="368" t="e">
        <f t="shared" si="23"/>
        <v>#DIV/0!</v>
      </c>
      <c r="P88" s="792" t="e">
        <f ca="1">OFFSET(VentExhCSV_Spc!$B$5,MATCH($C88,VentExhCSV_Spc!$C$6:$C$308,0),P$11)</f>
        <v>#N/A</v>
      </c>
      <c r="Q88" s="121" t="e">
        <f t="shared" si="24"/>
        <v>#VALUE!</v>
      </c>
      <c r="R88" s="1490" t="e">
        <f t="shared" si="14"/>
        <v>#VALUE!</v>
      </c>
      <c r="S88" s="1490" t="e">
        <f t="shared" si="14"/>
        <v>#VALUE!</v>
      </c>
      <c r="T88" s="1490" t="e">
        <f t="shared" si="14"/>
        <v>#VALUE!</v>
      </c>
      <c r="U88" s="121">
        <f t="shared" si="25"/>
        <v>0</v>
      </c>
      <c r="V88" s="121">
        <f t="shared" si="26"/>
        <v>0</v>
      </c>
      <c r="W88" s="121">
        <f t="shared" si="27"/>
        <v>0</v>
      </c>
      <c r="X88" s="121"/>
      <c r="Y88" s="121" t="b">
        <f t="shared" si="28"/>
        <v>0</v>
      </c>
      <c r="Z88" s="121" t="e">
        <f ca="1">OFFSET(VentExhCSV_Spc!$B$5,MATCH($C88,VentExhCSV_Spc!$C$6:$C$308,0),Z$11)</f>
        <v>#N/A</v>
      </c>
      <c r="AD88" s="1491"/>
      <c r="AE88" s="1516"/>
      <c r="AG88" s="124"/>
    </row>
    <row r="89" spans="2:33" s="50" customFormat="1" x14ac:dyDescent="0.3">
      <c r="B89" s="50">
        <f t="shared" si="19"/>
        <v>47</v>
      </c>
      <c r="C89"/>
      <c r="D89"/>
      <c r="E89"/>
      <c r="F89"/>
      <c r="G89"/>
      <c r="H89"/>
      <c r="I89"/>
      <c r="J89">
        <v>0</v>
      </c>
      <c r="K89" s="121">
        <f t="shared" si="20"/>
        <v>0</v>
      </c>
      <c r="L89" s="121">
        <f t="shared" si="21"/>
        <v>0</v>
      </c>
      <c r="M89" s="157"/>
      <c r="N89" s="368" t="e">
        <f t="shared" ca="1" si="22"/>
        <v>#DIV/0!</v>
      </c>
      <c r="O89" s="368" t="e">
        <f t="shared" si="23"/>
        <v>#DIV/0!</v>
      </c>
      <c r="P89" s="792" t="e">
        <f ca="1">OFFSET(VentExhCSV_Spc!$B$5,MATCH($C89,VentExhCSV_Spc!$C$6:$C$308,0),P$11)</f>
        <v>#N/A</v>
      </c>
      <c r="Q89" s="121" t="e">
        <f t="shared" si="24"/>
        <v>#VALUE!</v>
      </c>
      <c r="R89" s="1490" t="e">
        <f t="shared" si="14"/>
        <v>#VALUE!</v>
      </c>
      <c r="S89" s="1490" t="e">
        <f t="shared" si="14"/>
        <v>#VALUE!</v>
      </c>
      <c r="T89" s="1490" t="e">
        <f t="shared" si="14"/>
        <v>#VALUE!</v>
      </c>
      <c r="U89" s="121">
        <f t="shared" si="25"/>
        <v>0</v>
      </c>
      <c r="V89" s="121">
        <f t="shared" si="26"/>
        <v>0</v>
      </c>
      <c r="W89" s="121">
        <f t="shared" si="27"/>
        <v>0</v>
      </c>
      <c r="X89" s="121"/>
      <c r="Y89" s="121" t="b">
        <f t="shared" si="28"/>
        <v>0</v>
      </c>
      <c r="Z89" s="121" t="e">
        <f ca="1">OFFSET(VentExhCSV_Spc!$B$5,MATCH($C89,VentExhCSV_Spc!$C$6:$C$308,0),Z$11)</f>
        <v>#N/A</v>
      </c>
      <c r="AD89" s="1491"/>
      <c r="AE89" s="1516"/>
      <c r="AG89" s="124"/>
    </row>
    <row r="90" spans="2:33" s="50" customFormat="1" x14ac:dyDescent="0.3">
      <c r="B90" s="50">
        <f>B62+1</f>
        <v>21</v>
      </c>
      <c r="C90"/>
      <c r="D90"/>
      <c r="E90"/>
      <c r="F90"/>
      <c r="G90"/>
      <c r="H90"/>
      <c r="I90"/>
      <c r="J90">
        <v>0</v>
      </c>
      <c r="K90" s="121">
        <f t="shared" si="20"/>
        <v>0</v>
      </c>
      <c r="L90" s="121">
        <f t="shared" si="21"/>
        <v>0</v>
      </c>
      <c r="M90" s="157"/>
      <c r="N90" s="368" t="e">
        <f t="shared" ca="1" si="22"/>
        <v>#DIV/0!</v>
      </c>
      <c r="O90" s="368" t="e">
        <f t="shared" si="23"/>
        <v>#DIV/0!</v>
      </c>
      <c r="P90" s="792" t="e">
        <f ca="1">OFFSET(VentExhCSV_Spc!$B$5,MATCH($C90,VentExhCSV_Spc!$C$6:$C$308,0),P$11)</f>
        <v>#N/A</v>
      </c>
      <c r="Q90" s="121" t="e">
        <f t="shared" si="24"/>
        <v>#VALUE!</v>
      </c>
      <c r="R90" s="1490" t="e">
        <f t="shared" si="14"/>
        <v>#VALUE!</v>
      </c>
      <c r="S90" s="1490" t="e">
        <f t="shared" si="14"/>
        <v>#VALUE!</v>
      </c>
      <c r="T90" s="1490" t="e">
        <f t="shared" si="14"/>
        <v>#VALUE!</v>
      </c>
      <c r="U90" s="121">
        <f t="shared" si="25"/>
        <v>0</v>
      </c>
      <c r="V90" s="121">
        <f t="shared" si="26"/>
        <v>0</v>
      </c>
      <c r="W90" s="121">
        <f t="shared" si="27"/>
        <v>0</v>
      </c>
      <c r="X90" s="121"/>
      <c r="Y90" s="121" t="b">
        <f t="shared" si="28"/>
        <v>0</v>
      </c>
      <c r="Z90" s="121" t="e">
        <f ca="1">OFFSET(VentExhCSV_Spc!$B$5,MATCH($C90,VentExhCSV_Spc!$C$6:$C$308,0),Z$11)</f>
        <v>#N/A</v>
      </c>
      <c r="AD90" s="1491"/>
      <c r="AE90" s="1516"/>
      <c r="AG90" s="124"/>
    </row>
    <row r="91" spans="2:33" s="50" customFormat="1" x14ac:dyDescent="0.3">
      <c r="B91" s="50">
        <f t="shared" si="19"/>
        <v>22</v>
      </c>
      <c r="C91"/>
      <c r="D91"/>
      <c r="E91"/>
      <c r="F91"/>
      <c r="G91"/>
      <c r="H91"/>
      <c r="I91"/>
      <c r="J91">
        <v>0</v>
      </c>
      <c r="K91" s="121">
        <f t="shared" si="20"/>
        <v>0</v>
      </c>
      <c r="L91" s="121">
        <f t="shared" si="21"/>
        <v>0</v>
      </c>
      <c r="M91" s="157"/>
      <c r="N91" s="368" t="e">
        <f t="shared" ca="1" si="22"/>
        <v>#DIV/0!</v>
      </c>
      <c r="O91" s="368" t="e">
        <f t="shared" si="23"/>
        <v>#DIV/0!</v>
      </c>
      <c r="P91" s="792" t="e">
        <f ca="1">OFFSET(VentExhCSV_Spc!$B$5,MATCH($C91,VentExhCSV_Spc!$C$6:$C$308,0),P$11)</f>
        <v>#N/A</v>
      </c>
      <c r="Q91" s="121" t="e">
        <f t="shared" si="24"/>
        <v>#VALUE!</v>
      </c>
      <c r="R91" s="1490" t="e">
        <f t="shared" si="14"/>
        <v>#VALUE!</v>
      </c>
      <c r="S91" s="1490" t="e">
        <f t="shared" si="14"/>
        <v>#VALUE!</v>
      </c>
      <c r="T91" s="1490" t="e">
        <f t="shared" si="14"/>
        <v>#VALUE!</v>
      </c>
      <c r="U91" s="121">
        <f t="shared" si="25"/>
        <v>0</v>
      </c>
      <c r="V91" s="121">
        <f t="shared" si="26"/>
        <v>0</v>
      </c>
      <c r="W91" s="121">
        <f t="shared" si="27"/>
        <v>0</v>
      </c>
      <c r="X91" s="121"/>
      <c r="Y91" s="121" t="b">
        <f t="shared" si="28"/>
        <v>0</v>
      </c>
      <c r="Z91" s="121" t="e">
        <f ca="1">OFFSET(VentExhCSV_Spc!$B$5,MATCH($C91,VentExhCSV_Spc!$C$6:$C$308,0),Z$11)</f>
        <v>#N/A</v>
      </c>
      <c r="AD91" s="1491"/>
      <c r="AE91" s="1516"/>
      <c r="AG91" s="124"/>
    </row>
    <row r="92" spans="2:33" s="50" customFormat="1" x14ac:dyDescent="0.3">
      <c r="B92" s="50">
        <f t="shared" si="19"/>
        <v>23</v>
      </c>
      <c r="C92"/>
      <c r="D92"/>
      <c r="E92"/>
      <c r="F92"/>
      <c r="G92"/>
      <c r="H92"/>
      <c r="I92"/>
      <c r="J92">
        <v>0</v>
      </c>
      <c r="K92" s="121">
        <f t="shared" si="20"/>
        <v>0</v>
      </c>
      <c r="L92" s="121">
        <f t="shared" si="21"/>
        <v>0</v>
      </c>
      <c r="M92" s="157"/>
      <c r="N92" s="368" t="e">
        <f t="shared" ca="1" si="22"/>
        <v>#DIV/0!</v>
      </c>
      <c r="O92" s="368" t="e">
        <f t="shared" si="23"/>
        <v>#DIV/0!</v>
      </c>
      <c r="P92" s="792" t="e">
        <f ca="1">OFFSET(VentExhCSV_Spc!$B$5,MATCH($C92,VentExhCSV_Spc!$C$6:$C$308,0),P$11)</f>
        <v>#N/A</v>
      </c>
      <c r="Q92" s="121" t="e">
        <f t="shared" si="24"/>
        <v>#VALUE!</v>
      </c>
      <c r="R92" s="1490" t="e">
        <f t="shared" si="14"/>
        <v>#VALUE!</v>
      </c>
      <c r="S92" s="1490" t="e">
        <f t="shared" si="14"/>
        <v>#VALUE!</v>
      </c>
      <c r="T92" s="1490" t="e">
        <f t="shared" si="14"/>
        <v>#VALUE!</v>
      </c>
      <c r="U92" s="121">
        <f t="shared" si="25"/>
        <v>0</v>
      </c>
      <c r="V92" s="121">
        <f t="shared" si="26"/>
        <v>0</v>
      </c>
      <c r="W92" s="121">
        <f t="shared" si="27"/>
        <v>0</v>
      </c>
      <c r="X92" s="121"/>
      <c r="Y92" s="121" t="b">
        <f t="shared" si="28"/>
        <v>0</v>
      </c>
      <c r="Z92" s="121" t="e">
        <f ca="1">OFFSET(VentExhCSV_Spc!$B$5,MATCH($C92,VentExhCSV_Spc!$C$6:$C$308,0),Z$11)</f>
        <v>#N/A</v>
      </c>
      <c r="AD92" s="1491"/>
      <c r="AE92" s="1516"/>
      <c r="AG92" s="124"/>
    </row>
    <row r="93" spans="2:33" s="50" customFormat="1" x14ac:dyDescent="0.3">
      <c r="B93" s="50">
        <f>B62+1</f>
        <v>21</v>
      </c>
      <c r="C93"/>
      <c r="D93"/>
      <c r="E93"/>
      <c r="F93"/>
      <c r="G93"/>
      <c r="H93"/>
      <c r="I93"/>
      <c r="J93">
        <v>0</v>
      </c>
      <c r="K93" s="121">
        <f t="shared" si="20"/>
        <v>0</v>
      </c>
      <c r="L93" s="121">
        <f t="shared" si="21"/>
        <v>0</v>
      </c>
      <c r="M93" s="157"/>
      <c r="N93" s="368" t="e">
        <f t="shared" ca="1" si="22"/>
        <v>#DIV/0!</v>
      </c>
      <c r="O93" s="368" t="e">
        <f t="shared" si="23"/>
        <v>#DIV/0!</v>
      </c>
      <c r="P93" s="792" t="e">
        <f ca="1">OFFSET(VentExhCSV_Spc!$B$5,MATCH($C93,VentExhCSV_Spc!$C$6:$C$308,0),P$11)</f>
        <v>#N/A</v>
      </c>
      <c r="Q93" s="121" t="e">
        <f t="shared" si="24"/>
        <v>#VALUE!</v>
      </c>
      <c r="R93" s="1490" t="e">
        <f t="shared" si="14"/>
        <v>#VALUE!</v>
      </c>
      <c r="S93" s="1490" t="e">
        <f t="shared" si="14"/>
        <v>#VALUE!</v>
      </c>
      <c r="T93" s="1490" t="e">
        <f t="shared" si="14"/>
        <v>#VALUE!</v>
      </c>
      <c r="U93" s="121">
        <f t="shared" si="25"/>
        <v>0</v>
      </c>
      <c r="V93" s="121">
        <f t="shared" si="26"/>
        <v>0</v>
      </c>
      <c r="W93" s="121">
        <f t="shared" si="27"/>
        <v>0</v>
      </c>
      <c r="X93" s="121"/>
      <c r="Y93" s="121" t="b">
        <f t="shared" si="28"/>
        <v>0</v>
      </c>
      <c r="Z93" s="121" t="e">
        <f ca="1">OFFSET(VentExhCSV_Spc!$B$5,MATCH($C93,VentExhCSV_Spc!$C$6:$C$308,0),Z$11)</f>
        <v>#N/A</v>
      </c>
      <c r="AD93" s="1491"/>
      <c r="AE93" s="1516"/>
      <c r="AG93" s="124"/>
    </row>
    <row r="94" spans="2:33" s="50" customFormat="1" x14ac:dyDescent="0.3">
      <c r="B94" s="50">
        <f t="shared" ref="B94:B104" si="29">B93+1</f>
        <v>22</v>
      </c>
      <c r="C94"/>
      <c r="D94"/>
      <c r="E94"/>
      <c r="F94"/>
      <c r="G94"/>
      <c r="H94"/>
      <c r="I94"/>
      <c r="J94">
        <v>0</v>
      </c>
      <c r="K94" s="121">
        <f t="shared" si="20"/>
        <v>0</v>
      </c>
      <c r="L94" s="121">
        <f t="shared" si="21"/>
        <v>0</v>
      </c>
      <c r="M94" s="157"/>
      <c r="N94" s="368" t="e">
        <f t="shared" ca="1" si="22"/>
        <v>#DIV/0!</v>
      </c>
      <c r="O94" s="368" t="e">
        <f t="shared" si="23"/>
        <v>#DIV/0!</v>
      </c>
      <c r="P94" s="792" t="e">
        <f ca="1">OFFSET(VentExhCSV_Spc!$B$5,MATCH($C94,VentExhCSV_Spc!$C$6:$C$308,0),P$11)</f>
        <v>#N/A</v>
      </c>
      <c r="Q94" s="121" t="e">
        <f t="shared" si="24"/>
        <v>#VALUE!</v>
      </c>
      <c r="R94" s="1490" t="e">
        <f t="shared" si="14"/>
        <v>#VALUE!</v>
      </c>
      <c r="S94" s="1490" t="e">
        <f t="shared" si="14"/>
        <v>#VALUE!</v>
      </c>
      <c r="T94" s="1490" t="e">
        <f t="shared" si="14"/>
        <v>#VALUE!</v>
      </c>
      <c r="U94" s="121">
        <f t="shared" si="25"/>
        <v>0</v>
      </c>
      <c r="V94" s="121">
        <f t="shared" si="26"/>
        <v>0</v>
      </c>
      <c r="W94" s="121">
        <f t="shared" si="27"/>
        <v>0</v>
      </c>
      <c r="X94" s="121"/>
      <c r="Y94" s="121" t="b">
        <f t="shared" si="28"/>
        <v>0</v>
      </c>
      <c r="Z94" s="121" t="e">
        <f ca="1">OFFSET(VentExhCSV_Spc!$B$5,MATCH($C94,VentExhCSV_Spc!$C$6:$C$308,0),Z$11)</f>
        <v>#N/A</v>
      </c>
      <c r="AD94" s="1491"/>
      <c r="AE94" s="1516"/>
      <c r="AG94" s="124"/>
    </row>
    <row r="95" spans="2:33" s="50" customFormat="1" x14ac:dyDescent="0.3">
      <c r="B95" s="50">
        <f t="shared" si="29"/>
        <v>23</v>
      </c>
      <c r="C95"/>
      <c r="D95"/>
      <c r="E95"/>
      <c r="F95"/>
      <c r="G95"/>
      <c r="H95"/>
      <c r="I95"/>
      <c r="J95">
        <v>0</v>
      </c>
      <c r="K95" s="121">
        <f t="shared" si="20"/>
        <v>0</v>
      </c>
      <c r="L95" s="121">
        <f t="shared" si="21"/>
        <v>0</v>
      </c>
      <c r="M95" s="157"/>
      <c r="N95" s="368" t="e">
        <f t="shared" ca="1" si="22"/>
        <v>#DIV/0!</v>
      </c>
      <c r="O95" s="368" t="e">
        <f t="shared" si="23"/>
        <v>#DIV/0!</v>
      </c>
      <c r="P95" s="792" t="e">
        <f ca="1">OFFSET(VentExhCSV_Spc!$B$5,MATCH($C95,VentExhCSV_Spc!$C$6:$C$308,0),P$11)</f>
        <v>#N/A</v>
      </c>
      <c r="Q95" s="121" t="e">
        <f t="shared" si="24"/>
        <v>#VALUE!</v>
      </c>
      <c r="R95" s="1490" t="e">
        <f t="shared" si="14"/>
        <v>#VALUE!</v>
      </c>
      <c r="S95" s="1490" t="e">
        <f t="shared" si="14"/>
        <v>#VALUE!</v>
      </c>
      <c r="T95" s="1490" t="e">
        <f t="shared" si="14"/>
        <v>#VALUE!</v>
      </c>
      <c r="U95" s="121">
        <f t="shared" si="25"/>
        <v>0</v>
      </c>
      <c r="V95" s="121">
        <f t="shared" si="26"/>
        <v>0</v>
      </c>
      <c r="W95" s="121">
        <f t="shared" si="27"/>
        <v>0</v>
      </c>
      <c r="X95" s="121"/>
      <c r="Y95" s="121" t="b">
        <f t="shared" si="28"/>
        <v>0</v>
      </c>
      <c r="Z95" s="121" t="e">
        <f ca="1">OFFSET(VentExhCSV_Spc!$B$5,MATCH($C95,VentExhCSV_Spc!$C$6:$C$308,0),Z$11)</f>
        <v>#N/A</v>
      </c>
      <c r="AD95" s="1491"/>
      <c r="AE95" s="1516"/>
      <c r="AG95" s="124"/>
    </row>
    <row r="96" spans="2:33" s="50" customFormat="1" x14ac:dyDescent="0.3">
      <c r="B96" s="50">
        <f t="shared" si="29"/>
        <v>24</v>
      </c>
      <c r="C96"/>
      <c r="D96"/>
      <c r="E96"/>
      <c r="F96"/>
      <c r="G96"/>
      <c r="H96"/>
      <c r="I96"/>
      <c r="J96">
        <v>0</v>
      </c>
      <c r="K96" s="121">
        <f t="shared" si="20"/>
        <v>0</v>
      </c>
      <c r="L96" s="121">
        <f t="shared" si="21"/>
        <v>0</v>
      </c>
      <c r="M96" s="157"/>
      <c r="N96" s="368" t="e">
        <f t="shared" ca="1" si="22"/>
        <v>#DIV/0!</v>
      </c>
      <c r="O96" s="368" t="e">
        <f t="shared" si="23"/>
        <v>#DIV/0!</v>
      </c>
      <c r="P96" s="792" t="e">
        <f ca="1">OFFSET(VentExhCSV_Spc!$B$5,MATCH($C96,VentExhCSV_Spc!$C$6:$C$308,0),P$11)</f>
        <v>#N/A</v>
      </c>
      <c r="Q96" s="121" t="e">
        <f t="shared" si="24"/>
        <v>#VALUE!</v>
      </c>
      <c r="R96" s="1490" t="e">
        <f t="shared" si="14"/>
        <v>#VALUE!</v>
      </c>
      <c r="S96" s="1490" t="e">
        <f t="shared" si="14"/>
        <v>#VALUE!</v>
      </c>
      <c r="T96" s="1490" t="e">
        <f t="shared" si="14"/>
        <v>#VALUE!</v>
      </c>
      <c r="U96" s="121">
        <f t="shared" si="25"/>
        <v>0</v>
      </c>
      <c r="V96" s="121">
        <f t="shared" si="26"/>
        <v>0</v>
      </c>
      <c r="W96" s="121">
        <f t="shared" si="27"/>
        <v>0</v>
      </c>
      <c r="X96" s="121"/>
      <c r="Y96" s="121" t="b">
        <f t="shared" si="28"/>
        <v>0</v>
      </c>
      <c r="Z96" s="121" t="e">
        <f ca="1">OFFSET(VentExhCSV_Spc!$B$5,MATCH($C96,VentExhCSV_Spc!$C$6:$C$308,0),Z$11)</f>
        <v>#N/A</v>
      </c>
      <c r="AD96" s="1491"/>
      <c r="AE96" s="1516"/>
      <c r="AG96" s="124"/>
    </row>
    <row r="97" spans="2:33" s="50" customFormat="1" x14ac:dyDescent="0.3">
      <c r="B97" s="50">
        <f t="shared" si="29"/>
        <v>25</v>
      </c>
      <c r="C97"/>
      <c r="D97"/>
      <c r="E97"/>
      <c r="F97"/>
      <c r="G97"/>
      <c r="H97"/>
      <c r="I97"/>
      <c r="J97">
        <v>0</v>
      </c>
      <c r="K97" s="121">
        <f t="shared" si="20"/>
        <v>0</v>
      </c>
      <c r="L97" s="121">
        <f t="shared" si="21"/>
        <v>0</v>
      </c>
      <c r="M97" s="157"/>
      <c r="N97" s="368" t="e">
        <f t="shared" ca="1" si="22"/>
        <v>#DIV/0!</v>
      </c>
      <c r="O97" s="368" t="e">
        <f t="shared" si="23"/>
        <v>#DIV/0!</v>
      </c>
      <c r="P97" s="792" t="e">
        <f ca="1">OFFSET(VentExhCSV_Spc!$B$5,MATCH($C97,VentExhCSV_Spc!$C$6:$C$308,0),P$11)</f>
        <v>#N/A</v>
      </c>
      <c r="Q97" s="121" t="e">
        <f t="shared" si="24"/>
        <v>#VALUE!</v>
      </c>
      <c r="R97" s="1490" t="e">
        <f t="shared" ref="R97:T105" si="30">VLOOKUP($Q97,$AG$32:$AQ$47,R$11,0)</f>
        <v>#VALUE!</v>
      </c>
      <c r="S97" s="1490" t="e">
        <f t="shared" si="30"/>
        <v>#VALUE!</v>
      </c>
      <c r="T97" s="1490" t="e">
        <f t="shared" si="30"/>
        <v>#VALUE!</v>
      </c>
      <c r="U97" s="121">
        <f t="shared" si="25"/>
        <v>0</v>
      </c>
      <c r="V97" s="121">
        <f t="shared" si="26"/>
        <v>0</v>
      </c>
      <c r="W97" s="121">
        <f t="shared" si="27"/>
        <v>0</v>
      </c>
      <c r="X97" s="121"/>
      <c r="Y97" s="121" t="b">
        <f t="shared" si="28"/>
        <v>0</v>
      </c>
      <c r="Z97" s="121" t="e">
        <f ca="1">OFFSET(VentExhCSV_Spc!$B$5,MATCH($C97,VentExhCSV_Spc!$C$6:$C$308,0),Z$11)</f>
        <v>#N/A</v>
      </c>
      <c r="AA97"/>
      <c r="AB97"/>
      <c r="AC97"/>
      <c r="AD97" s="62"/>
      <c r="AE97" s="62"/>
      <c r="AF97" s="62"/>
      <c r="AG97" s="124"/>
    </row>
    <row r="98" spans="2:33" x14ac:dyDescent="0.3">
      <c r="B98" s="50">
        <f t="shared" si="29"/>
        <v>26</v>
      </c>
      <c r="C98"/>
      <c r="D98"/>
      <c r="E98"/>
      <c r="F98"/>
      <c r="G98"/>
      <c r="H98"/>
      <c r="I98"/>
      <c r="J98">
        <v>0</v>
      </c>
      <c r="K98" s="121">
        <f t="shared" si="20"/>
        <v>0</v>
      </c>
      <c r="L98" s="121">
        <f t="shared" si="21"/>
        <v>0</v>
      </c>
      <c r="M98" s="157"/>
      <c r="N98" s="368" t="e">
        <f t="shared" ca="1" si="22"/>
        <v>#DIV/0!</v>
      </c>
      <c r="O98" s="368" t="e">
        <f t="shared" si="23"/>
        <v>#DIV/0!</v>
      </c>
      <c r="P98" s="792" t="e">
        <f ca="1">OFFSET(VentExhCSV_Spc!$B$5,MATCH($C98,VentExhCSV_Spc!$C$6:$C$308,0),P$11)</f>
        <v>#N/A</v>
      </c>
      <c r="Q98" s="121" t="e">
        <f t="shared" si="24"/>
        <v>#VALUE!</v>
      </c>
      <c r="R98" s="1490" t="e">
        <f t="shared" si="30"/>
        <v>#VALUE!</v>
      </c>
      <c r="S98" s="1490" t="e">
        <f t="shared" si="30"/>
        <v>#VALUE!</v>
      </c>
      <c r="T98" s="1490" t="e">
        <f t="shared" si="30"/>
        <v>#VALUE!</v>
      </c>
      <c r="U98" s="121">
        <f t="shared" si="25"/>
        <v>0</v>
      </c>
      <c r="V98" s="121">
        <f t="shared" si="26"/>
        <v>0</v>
      </c>
      <c r="W98" s="121">
        <f t="shared" si="27"/>
        <v>0</v>
      </c>
      <c r="X98" s="121"/>
      <c r="Y98" s="121" t="b">
        <f t="shared" si="28"/>
        <v>0</v>
      </c>
      <c r="Z98" s="121" t="e">
        <f ca="1">OFFSET(VentExhCSV_Spc!$B$5,MATCH($C98,VentExhCSV_Spc!$C$6:$C$308,0),Z$11)</f>
        <v>#N/A</v>
      </c>
    </row>
    <row r="99" spans="2:33" x14ac:dyDescent="0.3">
      <c r="B99" s="50">
        <f t="shared" si="29"/>
        <v>27</v>
      </c>
      <c r="C99"/>
      <c r="D99"/>
      <c r="E99"/>
      <c r="F99"/>
      <c r="G99"/>
      <c r="H99"/>
      <c r="I99"/>
      <c r="J99">
        <v>0</v>
      </c>
      <c r="K99" s="121">
        <f t="shared" si="20"/>
        <v>0</v>
      </c>
      <c r="L99" s="121">
        <f t="shared" si="21"/>
        <v>0</v>
      </c>
      <c r="M99" s="157"/>
      <c r="N99" s="368" t="e">
        <f t="shared" ca="1" si="22"/>
        <v>#DIV/0!</v>
      </c>
      <c r="O99" s="368" t="e">
        <f t="shared" si="23"/>
        <v>#DIV/0!</v>
      </c>
      <c r="P99" s="792" t="e">
        <f ca="1">OFFSET(VentExhCSV_Spc!$B$5,MATCH($C99,VentExhCSV_Spc!$C$6:$C$308,0),P$11)</f>
        <v>#N/A</v>
      </c>
      <c r="Q99" s="121" t="e">
        <f t="shared" si="24"/>
        <v>#VALUE!</v>
      </c>
      <c r="R99" s="1490" t="e">
        <f t="shared" si="30"/>
        <v>#VALUE!</v>
      </c>
      <c r="S99" s="1490" t="e">
        <f t="shared" si="30"/>
        <v>#VALUE!</v>
      </c>
      <c r="T99" s="1490" t="e">
        <f t="shared" si="30"/>
        <v>#VALUE!</v>
      </c>
      <c r="U99" s="121">
        <f t="shared" si="25"/>
        <v>0</v>
      </c>
      <c r="V99" s="121">
        <f t="shared" si="26"/>
        <v>0</v>
      </c>
      <c r="W99" s="121">
        <f t="shared" si="27"/>
        <v>0</v>
      </c>
      <c r="X99" s="121"/>
      <c r="Y99" s="121" t="b">
        <f t="shared" si="28"/>
        <v>0</v>
      </c>
      <c r="Z99" s="121" t="e">
        <f ca="1">OFFSET(VentExhCSV_Spc!$B$5,MATCH($C99,VentExhCSV_Spc!$C$6:$C$308,0),Z$11)</f>
        <v>#N/A</v>
      </c>
    </row>
    <row r="100" spans="2:33" x14ac:dyDescent="0.3">
      <c r="B100" s="50">
        <f t="shared" si="29"/>
        <v>28</v>
      </c>
      <c r="C100"/>
      <c r="D100"/>
      <c r="E100"/>
      <c r="F100"/>
      <c r="G100"/>
      <c r="H100"/>
      <c r="I100"/>
      <c r="J100">
        <v>0</v>
      </c>
      <c r="K100" s="121">
        <f t="shared" si="20"/>
        <v>0</v>
      </c>
      <c r="L100" s="121">
        <f t="shared" si="21"/>
        <v>0</v>
      </c>
      <c r="M100" s="157"/>
      <c r="N100" s="368" t="e">
        <f t="shared" ca="1" si="22"/>
        <v>#DIV/0!</v>
      </c>
      <c r="O100" s="368" t="e">
        <f t="shared" si="23"/>
        <v>#DIV/0!</v>
      </c>
      <c r="P100" s="792" t="e">
        <f ca="1">OFFSET(VentExhCSV_Spc!$B$5,MATCH($C100,VentExhCSV_Spc!$C$6:$C$308,0),P$11)</f>
        <v>#N/A</v>
      </c>
      <c r="Q100" s="121" t="e">
        <f t="shared" si="24"/>
        <v>#VALUE!</v>
      </c>
      <c r="R100" s="1490" t="e">
        <f t="shared" si="30"/>
        <v>#VALUE!</v>
      </c>
      <c r="S100" s="1490" t="e">
        <f t="shared" si="30"/>
        <v>#VALUE!</v>
      </c>
      <c r="T100" s="1490" t="e">
        <f t="shared" si="30"/>
        <v>#VALUE!</v>
      </c>
      <c r="U100" s="121">
        <f t="shared" si="25"/>
        <v>0</v>
      </c>
      <c r="V100" s="121">
        <f t="shared" si="26"/>
        <v>0</v>
      </c>
      <c r="W100" s="121">
        <f t="shared" si="27"/>
        <v>0</v>
      </c>
      <c r="X100" s="121"/>
      <c r="Y100" s="121" t="b">
        <f t="shared" si="28"/>
        <v>0</v>
      </c>
      <c r="Z100" s="121" t="e">
        <f ca="1">OFFSET(VentExhCSV_Spc!$B$5,MATCH($C100,VentExhCSV_Spc!$C$6:$C$308,0),Z$11)</f>
        <v>#N/A</v>
      </c>
    </row>
    <row r="101" spans="2:33" x14ac:dyDescent="0.3">
      <c r="B101" s="50">
        <f t="shared" si="29"/>
        <v>29</v>
      </c>
      <c r="C101"/>
      <c r="D101"/>
      <c r="E101"/>
      <c r="F101"/>
      <c r="G101"/>
      <c r="H101"/>
      <c r="I101"/>
      <c r="J101">
        <v>0</v>
      </c>
      <c r="K101" s="121">
        <f t="shared" si="20"/>
        <v>0</v>
      </c>
      <c r="L101" s="121">
        <f t="shared" si="21"/>
        <v>0</v>
      </c>
      <c r="M101" s="157"/>
      <c r="N101" s="368" t="e">
        <f t="shared" ca="1" si="22"/>
        <v>#DIV/0!</v>
      </c>
      <c r="O101" s="368" t="e">
        <f t="shared" si="23"/>
        <v>#DIV/0!</v>
      </c>
      <c r="P101" s="792" t="e">
        <f ca="1">OFFSET(VentExhCSV_Spc!$B$5,MATCH($C101,VentExhCSV_Spc!$C$6:$C$308,0),P$11)</f>
        <v>#N/A</v>
      </c>
      <c r="Q101" s="121" t="e">
        <f t="shared" si="24"/>
        <v>#VALUE!</v>
      </c>
      <c r="R101" s="1490" t="e">
        <f t="shared" si="30"/>
        <v>#VALUE!</v>
      </c>
      <c r="S101" s="1490" t="e">
        <f t="shared" si="30"/>
        <v>#VALUE!</v>
      </c>
      <c r="T101" s="1490" t="e">
        <f t="shared" si="30"/>
        <v>#VALUE!</v>
      </c>
      <c r="U101" s="121">
        <f t="shared" si="25"/>
        <v>0</v>
      </c>
      <c r="V101" s="121">
        <f t="shared" si="26"/>
        <v>0</v>
      </c>
      <c r="W101" s="121">
        <f t="shared" si="27"/>
        <v>0</v>
      </c>
      <c r="X101" s="121"/>
      <c r="Y101" s="121" t="b">
        <f t="shared" si="28"/>
        <v>0</v>
      </c>
      <c r="Z101" s="121" t="e">
        <f ca="1">OFFSET(VentExhCSV_Spc!$B$5,MATCH($C101,VentExhCSV_Spc!$C$6:$C$308,0),Z$11)</f>
        <v>#N/A</v>
      </c>
    </row>
    <row r="102" spans="2:33" x14ac:dyDescent="0.3">
      <c r="B102" s="50">
        <f t="shared" si="29"/>
        <v>30</v>
      </c>
      <c r="C102"/>
      <c r="D102"/>
      <c r="E102"/>
      <c r="F102"/>
      <c r="G102"/>
      <c r="H102"/>
      <c r="I102"/>
      <c r="J102">
        <v>0</v>
      </c>
      <c r="K102" s="121">
        <f t="shared" si="20"/>
        <v>0</v>
      </c>
      <c r="L102" s="121">
        <f t="shared" si="21"/>
        <v>0</v>
      </c>
      <c r="M102" s="157"/>
      <c r="N102" s="368" t="e">
        <f t="shared" ca="1" si="22"/>
        <v>#DIV/0!</v>
      </c>
      <c r="O102" s="368" t="e">
        <f t="shared" si="23"/>
        <v>#DIV/0!</v>
      </c>
      <c r="P102" s="792" t="e">
        <f ca="1">OFFSET(VentExhCSV_Spc!$B$5,MATCH($C102,VentExhCSV_Spc!$C$6:$C$308,0),P$11)</f>
        <v>#N/A</v>
      </c>
      <c r="Q102" s="121" t="e">
        <f t="shared" si="24"/>
        <v>#VALUE!</v>
      </c>
      <c r="R102" s="1490" t="e">
        <f t="shared" si="30"/>
        <v>#VALUE!</v>
      </c>
      <c r="S102" s="1490" t="e">
        <f t="shared" si="30"/>
        <v>#VALUE!</v>
      </c>
      <c r="T102" s="1490" t="e">
        <f t="shared" si="30"/>
        <v>#VALUE!</v>
      </c>
      <c r="U102" s="121">
        <f t="shared" si="25"/>
        <v>0</v>
      </c>
      <c r="V102" s="121">
        <f t="shared" si="26"/>
        <v>0</v>
      </c>
      <c r="W102" s="121">
        <f t="shared" si="27"/>
        <v>0</v>
      </c>
      <c r="X102" s="121"/>
      <c r="Y102" s="121" t="b">
        <f t="shared" si="28"/>
        <v>0</v>
      </c>
      <c r="Z102" s="121" t="e">
        <f ca="1">OFFSET(VentExhCSV_Spc!$B$5,MATCH($C102,VentExhCSV_Spc!$C$6:$C$308,0),Z$11)</f>
        <v>#N/A</v>
      </c>
    </row>
    <row r="103" spans="2:33" x14ac:dyDescent="0.3">
      <c r="B103" s="50">
        <f t="shared" si="29"/>
        <v>31</v>
      </c>
      <c r="C103"/>
      <c r="D103"/>
      <c r="E103"/>
      <c r="F103"/>
      <c r="G103"/>
      <c r="H103"/>
      <c r="I103"/>
      <c r="J103">
        <v>0</v>
      </c>
      <c r="K103" s="121">
        <f t="shared" si="20"/>
        <v>0</v>
      </c>
      <c r="L103" s="121">
        <f t="shared" si="21"/>
        <v>0</v>
      </c>
      <c r="M103" s="157"/>
      <c r="N103" s="368" t="e">
        <f t="shared" ca="1" si="22"/>
        <v>#DIV/0!</v>
      </c>
      <c r="O103" s="368" t="e">
        <f t="shared" si="23"/>
        <v>#DIV/0!</v>
      </c>
      <c r="P103" s="792" t="e">
        <f ca="1">OFFSET(VentExhCSV_Spc!$B$5,MATCH($C103,VentExhCSV_Spc!$C$6:$C$308,0),P$11)</f>
        <v>#N/A</v>
      </c>
      <c r="Q103" s="121" t="e">
        <f t="shared" si="24"/>
        <v>#VALUE!</v>
      </c>
      <c r="R103" s="1490" t="e">
        <f t="shared" si="30"/>
        <v>#VALUE!</v>
      </c>
      <c r="S103" s="1490" t="e">
        <f t="shared" si="30"/>
        <v>#VALUE!</v>
      </c>
      <c r="T103" s="1490" t="e">
        <f t="shared" si="30"/>
        <v>#VALUE!</v>
      </c>
      <c r="U103" s="121">
        <f t="shared" si="25"/>
        <v>0</v>
      </c>
      <c r="V103" s="121">
        <f t="shared" si="26"/>
        <v>0</v>
      </c>
      <c r="W103" s="121">
        <f t="shared" si="27"/>
        <v>0</v>
      </c>
      <c r="X103" s="121"/>
      <c r="Y103" s="121" t="b">
        <f t="shared" si="28"/>
        <v>0</v>
      </c>
      <c r="Z103" s="121" t="e">
        <f ca="1">OFFSET(VentExhCSV_Spc!$B$5,MATCH($C103,VentExhCSV_Spc!$C$6:$C$308,0),Z$11)</f>
        <v>#N/A</v>
      </c>
    </row>
    <row r="104" spans="2:33" x14ac:dyDescent="0.3">
      <c r="B104" s="50">
        <f t="shared" si="29"/>
        <v>32</v>
      </c>
      <c r="C104"/>
      <c r="D104"/>
      <c r="E104"/>
      <c r="F104"/>
      <c r="G104"/>
      <c r="H104"/>
      <c r="I104"/>
      <c r="J104">
        <v>0</v>
      </c>
      <c r="K104" s="121">
        <f t="shared" si="20"/>
        <v>0</v>
      </c>
      <c r="L104" s="121">
        <f t="shared" si="21"/>
        <v>0</v>
      </c>
      <c r="M104" s="157"/>
      <c r="N104" s="368" t="e">
        <f t="shared" ca="1" si="22"/>
        <v>#DIV/0!</v>
      </c>
      <c r="O104" s="368" t="e">
        <f t="shared" si="23"/>
        <v>#DIV/0!</v>
      </c>
      <c r="P104" s="792" t="e">
        <f ca="1">OFFSET(VentExhCSV_Spc!$B$5,MATCH($C104,VentExhCSV_Spc!$C$6:$C$308,0),P$11)</f>
        <v>#N/A</v>
      </c>
      <c r="Q104" s="121" t="e">
        <f t="shared" si="24"/>
        <v>#VALUE!</v>
      </c>
      <c r="R104" s="1490" t="e">
        <f t="shared" si="30"/>
        <v>#VALUE!</v>
      </c>
      <c r="S104" s="1490" t="e">
        <f t="shared" si="30"/>
        <v>#VALUE!</v>
      </c>
      <c r="T104" s="1490" t="e">
        <f t="shared" si="30"/>
        <v>#VALUE!</v>
      </c>
      <c r="U104" s="121">
        <f t="shared" si="25"/>
        <v>0</v>
      </c>
      <c r="V104" s="121">
        <f t="shared" si="26"/>
        <v>0</v>
      </c>
      <c r="W104" s="121">
        <f t="shared" si="27"/>
        <v>0</v>
      </c>
      <c r="X104" s="121"/>
      <c r="Y104" s="121" t="b">
        <f t="shared" si="28"/>
        <v>0</v>
      </c>
      <c r="Z104" s="121" t="e">
        <f ca="1">OFFSET(VentExhCSV_Spc!$B$5,MATCH($C104,VentExhCSV_Spc!$C$6:$C$308,0),Z$11)</f>
        <v>#N/A</v>
      </c>
    </row>
    <row r="105" spans="2:33" x14ac:dyDescent="0.3">
      <c r="C105"/>
      <c r="D105"/>
      <c r="E105"/>
      <c r="F105"/>
      <c r="G105"/>
      <c r="H105"/>
      <c r="I105"/>
      <c r="J105">
        <v>0</v>
      </c>
      <c r="K105" s="121">
        <f t="shared" si="20"/>
        <v>0</v>
      </c>
      <c r="L105" s="121">
        <f t="shared" si="21"/>
        <v>0</v>
      </c>
      <c r="M105" s="157"/>
      <c r="N105" s="368" t="e">
        <f t="shared" ca="1" si="22"/>
        <v>#DIV/0!</v>
      </c>
      <c r="O105" s="368" t="e">
        <f t="shared" si="23"/>
        <v>#DIV/0!</v>
      </c>
      <c r="P105" s="792" t="e">
        <f ca="1">OFFSET(VentExhCSV_Spc!$B$5,MATCH($C105,VentExhCSV_Spc!$C$6:$C$308,0),P$11)</f>
        <v>#N/A</v>
      </c>
      <c r="Q105" s="121" t="e">
        <f t="shared" si="24"/>
        <v>#VALUE!</v>
      </c>
      <c r="R105" s="1490" t="e">
        <f t="shared" si="30"/>
        <v>#VALUE!</v>
      </c>
      <c r="S105" s="1490" t="e">
        <f t="shared" si="30"/>
        <v>#VALUE!</v>
      </c>
      <c r="T105" s="1490" t="e">
        <f t="shared" si="30"/>
        <v>#VALUE!</v>
      </c>
      <c r="U105" s="121">
        <f t="shared" si="25"/>
        <v>0</v>
      </c>
      <c r="V105" s="121">
        <f t="shared" si="26"/>
        <v>0</v>
      </c>
      <c r="W105" s="121">
        <f t="shared" si="27"/>
        <v>0</v>
      </c>
      <c r="X105" s="121"/>
      <c r="Y105" s="121" t="b">
        <f t="shared" si="28"/>
        <v>0</v>
      </c>
      <c r="Z105" s="121" t="e">
        <f ca="1">OFFSET(VentExhCSV_Spc!$B$5,MATCH($C105,VentExhCSV_Spc!$C$6:$C$308,0),Z$11)</f>
        <v>#N/A</v>
      </c>
    </row>
    <row r="106" spans="2:33" x14ac:dyDescent="0.3">
      <c r="C106"/>
      <c r="D106"/>
      <c r="E106"/>
      <c r="F106"/>
      <c r="G106"/>
      <c r="H106"/>
      <c r="I106"/>
      <c r="J106"/>
      <c r="K106" s="121"/>
      <c r="L106" s="121"/>
      <c r="M106" s="158"/>
      <c r="N106" s="368"/>
      <c r="O106" s="368"/>
      <c r="P106" s="792"/>
      <c r="Q106" s="121"/>
      <c r="R106" s="1490"/>
      <c r="S106" s="1490"/>
      <c r="T106" s="1490"/>
      <c r="U106" s="121"/>
      <c r="V106" s="121"/>
      <c r="W106" s="121"/>
      <c r="X106" s="121"/>
      <c r="Y106" s="121"/>
      <c r="Z106" s="121"/>
    </row>
    <row r="107" spans="2:33" x14ac:dyDescent="0.3">
      <c r="C107"/>
      <c r="D107"/>
      <c r="E107"/>
      <c r="F107"/>
      <c r="G107"/>
      <c r="H107"/>
      <c r="I107"/>
      <c r="J107"/>
      <c r="K107" s="121"/>
      <c r="L107" s="121"/>
      <c r="M107" s="158"/>
      <c r="N107" s="368"/>
      <c r="O107" s="368"/>
      <c r="P107" s="792"/>
      <c r="Q107" s="121"/>
      <c r="R107" s="1490"/>
      <c r="S107" s="1490"/>
      <c r="T107" s="1490"/>
      <c r="U107" s="121"/>
      <c r="V107" s="121"/>
      <c r="W107" s="121"/>
      <c r="X107" s="121"/>
      <c r="Y107" s="121"/>
      <c r="Z107" s="121"/>
    </row>
    <row r="108" spans="2:33" x14ac:dyDescent="0.3">
      <c r="C108"/>
      <c r="D108"/>
      <c r="E108"/>
      <c r="F108"/>
      <c r="G108"/>
      <c r="H108"/>
      <c r="I108"/>
      <c r="J108"/>
      <c r="K108" s="121"/>
      <c r="L108" s="121"/>
      <c r="M108" s="158"/>
      <c r="N108" s="368"/>
      <c r="O108" s="368"/>
      <c r="P108" s="792"/>
      <c r="Q108" s="121"/>
      <c r="R108" s="1490"/>
      <c r="S108" s="1490"/>
      <c r="T108" s="1490"/>
      <c r="U108" s="121"/>
      <c r="V108" s="121"/>
      <c r="W108" s="121"/>
      <c r="X108" s="121"/>
      <c r="Y108" s="121"/>
      <c r="Z108" s="121"/>
    </row>
    <row r="109" spans="2:33" x14ac:dyDescent="0.3">
      <c r="C109"/>
      <c r="D109"/>
      <c r="E109"/>
      <c r="F109"/>
      <c r="G109"/>
      <c r="H109"/>
      <c r="I109"/>
      <c r="J109"/>
      <c r="K109" s="121"/>
      <c r="L109" s="121"/>
      <c r="M109" s="158"/>
      <c r="N109" s="368"/>
      <c r="O109" s="368"/>
      <c r="P109" s="792"/>
      <c r="Q109" s="121"/>
      <c r="R109" s="1490"/>
      <c r="S109" s="1490"/>
      <c r="T109" s="1490"/>
      <c r="U109" s="121"/>
      <c r="V109" s="121"/>
      <c r="W109" s="121"/>
      <c r="X109" s="121"/>
      <c r="Y109" s="121"/>
      <c r="Z109" s="121"/>
    </row>
    <row r="110" spans="2:33" x14ac:dyDescent="0.3">
      <c r="C110"/>
      <c r="D110"/>
      <c r="E110"/>
      <c r="F110"/>
      <c r="G110"/>
      <c r="H110"/>
      <c r="I110"/>
      <c r="J110"/>
      <c r="K110" s="121"/>
      <c r="L110" s="121"/>
      <c r="M110" s="158"/>
      <c r="N110" s="368"/>
      <c r="O110" s="368"/>
      <c r="P110" s="792"/>
      <c r="Q110" s="121"/>
      <c r="R110" s="1490"/>
      <c r="S110" s="1490"/>
      <c r="T110" s="1490"/>
      <c r="U110" s="121"/>
      <c r="V110" s="121"/>
      <c r="W110" s="121"/>
      <c r="X110" s="121"/>
      <c r="Y110" s="121"/>
      <c r="Z110" s="121"/>
    </row>
    <row r="111" spans="2:33" x14ac:dyDescent="0.3">
      <c r="C111"/>
      <c r="D111"/>
      <c r="E111"/>
      <c r="F111"/>
      <c r="G111"/>
      <c r="H111"/>
      <c r="I111"/>
      <c r="J111"/>
      <c r="K111" s="121"/>
      <c r="L111" s="121"/>
      <c r="M111" s="158"/>
      <c r="N111" s="368"/>
      <c r="O111" s="368"/>
      <c r="P111" s="792"/>
      <c r="Q111" s="121"/>
      <c r="R111" s="1490"/>
      <c r="S111" s="1490"/>
      <c r="T111" s="1490"/>
      <c r="U111" s="121"/>
      <c r="V111" s="121"/>
      <c r="W111" s="121"/>
      <c r="X111" s="121"/>
      <c r="Y111" s="121"/>
      <c r="Z111" s="121"/>
    </row>
    <row r="112" spans="2:33" x14ac:dyDescent="0.3">
      <c r="C112"/>
      <c r="D112"/>
      <c r="E112"/>
      <c r="F112"/>
      <c r="G112"/>
      <c r="H112"/>
      <c r="I112"/>
      <c r="J112"/>
      <c r="K112" s="121"/>
      <c r="L112" s="121"/>
      <c r="M112" s="158"/>
      <c r="N112" s="368"/>
      <c r="O112" s="368"/>
      <c r="P112" s="792"/>
      <c r="Q112" s="121"/>
      <c r="R112" s="1490"/>
      <c r="S112" s="1490"/>
      <c r="T112" s="1490"/>
      <c r="U112" s="121"/>
      <c r="V112" s="121"/>
      <c r="W112" s="121"/>
      <c r="X112" s="121"/>
      <c r="Y112" s="121"/>
      <c r="Z112" s="121"/>
    </row>
    <row r="113" spans="3:26" x14ac:dyDescent="0.3">
      <c r="C113"/>
      <c r="D113"/>
      <c r="E113"/>
      <c r="F113"/>
      <c r="G113"/>
      <c r="H113"/>
      <c r="I113"/>
      <c r="J113"/>
      <c r="K113" s="121"/>
      <c r="L113" s="121"/>
      <c r="M113" s="158"/>
      <c r="N113" s="368"/>
      <c r="O113" s="368"/>
      <c r="P113" s="792"/>
      <c r="Q113" s="121"/>
      <c r="R113" s="1490"/>
      <c r="S113" s="1490"/>
      <c r="T113" s="1490"/>
      <c r="U113" s="121"/>
      <c r="V113" s="121"/>
      <c r="W113" s="121"/>
      <c r="X113" s="121"/>
      <c r="Y113" s="121"/>
      <c r="Z113" s="121"/>
    </row>
    <row r="114" spans="3:26" x14ac:dyDescent="0.3">
      <c r="C114"/>
      <c r="D114"/>
      <c r="E114"/>
      <c r="F114"/>
      <c r="G114"/>
      <c r="H114"/>
      <c r="I114"/>
      <c r="J114"/>
      <c r="K114" s="121"/>
      <c r="L114" s="121"/>
      <c r="M114" s="158"/>
      <c r="N114" s="368"/>
      <c r="O114" s="368"/>
      <c r="P114" s="792"/>
      <c r="Q114" s="121"/>
      <c r="R114" s="1490"/>
      <c r="S114" s="1490"/>
      <c r="T114" s="1490"/>
      <c r="U114" s="121"/>
      <c r="V114" s="121"/>
      <c r="W114" s="121"/>
      <c r="X114" s="121"/>
      <c r="Y114" s="121"/>
      <c r="Z114" s="121"/>
    </row>
    <row r="115" spans="3:26" x14ac:dyDescent="0.3">
      <c r="C115"/>
      <c r="D115"/>
      <c r="E115"/>
      <c r="F115"/>
      <c r="G115"/>
      <c r="H115"/>
      <c r="I115"/>
      <c r="J115"/>
      <c r="K115" s="121"/>
      <c r="L115" s="121"/>
      <c r="M115" s="158"/>
      <c r="N115" s="368"/>
      <c r="O115" s="368"/>
      <c r="P115" s="792"/>
      <c r="Q115" s="121"/>
      <c r="R115" s="1490"/>
      <c r="S115" s="1490"/>
      <c r="T115" s="1490"/>
      <c r="U115" s="121"/>
      <c r="V115" s="121"/>
      <c r="W115" s="121"/>
      <c r="X115" s="121"/>
      <c r="Y115" s="121"/>
      <c r="Z115" s="121"/>
    </row>
    <row r="116" spans="3:26" x14ac:dyDescent="0.3">
      <c r="C116"/>
      <c r="D116"/>
      <c r="E116"/>
      <c r="F116"/>
      <c r="G116"/>
      <c r="H116"/>
      <c r="I116"/>
      <c r="J116"/>
      <c r="K116" s="121"/>
      <c r="L116" s="121"/>
      <c r="M116" s="158"/>
      <c r="N116" s="368"/>
      <c r="O116" s="368"/>
      <c r="P116" s="792"/>
      <c r="Q116" s="121"/>
      <c r="R116" s="1490"/>
      <c r="S116" s="1490"/>
      <c r="T116" s="1490"/>
      <c r="U116" s="121"/>
      <c r="V116" s="121"/>
      <c r="W116" s="121"/>
      <c r="X116" s="121"/>
      <c r="Y116" s="121"/>
      <c r="Z116" s="121"/>
    </row>
    <row r="117" spans="3:26" x14ac:dyDescent="0.3">
      <c r="C117"/>
      <c r="D117"/>
      <c r="E117"/>
      <c r="F117"/>
      <c r="G117"/>
      <c r="H117"/>
      <c r="I117"/>
      <c r="J117"/>
      <c r="K117" s="121"/>
      <c r="L117" s="121"/>
      <c r="M117" s="158"/>
      <c r="N117" s="368"/>
      <c r="O117" s="368"/>
      <c r="P117" s="792"/>
      <c r="Q117" s="121"/>
      <c r="R117" s="1490"/>
      <c r="S117" s="1490"/>
      <c r="T117" s="1490"/>
      <c r="U117" s="121"/>
      <c r="V117" s="121"/>
      <c r="W117" s="121"/>
      <c r="X117" s="121"/>
      <c r="Y117" s="121"/>
      <c r="Z117" s="121"/>
    </row>
    <row r="118" spans="3:26" x14ac:dyDescent="0.3">
      <c r="C118"/>
      <c r="D118"/>
      <c r="E118"/>
      <c r="F118"/>
      <c r="G118"/>
      <c r="H118"/>
      <c r="I118"/>
      <c r="J118"/>
      <c r="K118" s="121"/>
      <c r="L118" s="121"/>
      <c r="M118" s="158"/>
      <c r="N118" s="368"/>
      <c r="O118" s="368"/>
      <c r="P118" s="792"/>
      <c r="Q118" s="121"/>
      <c r="R118" s="1490"/>
      <c r="S118" s="1490"/>
      <c r="T118" s="1490"/>
      <c r="U118" s="121"/>
      <c r="V118" s="121"/>
      <c r="W118" s="121"/>
      <c r="X118" s="121"/>
      <c r="Y118" s="121"/>
      <c r="Z118" s="121"/>
    </row>
    <row r="119" spans="3:26" x14ac:dyDescent="0.3">
      <c r="C119"/>
      <c r="D119"/>
      <c r="E119"/>
      <c r="F119"/>
      <c r="G119"/>
      <c r="H119"/>
      <c r="I119"/>
      <c r="J119"/>
      <c r="K119" s="121"/>
      <c r="L119" s="121"/>
      <c r="M119" s="158"/>
      <c r="N119" s="368"/>
      <c r="O119" s="368"/>
      <c r="P119" s="792"/>
      <c r="Q119" s="121"/>
      <c r="R119" s="1490"/>
      <c r="S119" s="1490"/>
      <c r="T119" s="1490"/>
      <c r="U119" s="121"/>
      <c r="V119" s="121"/>
      <c r="W119" s="121"/>
      <c r="X119" s="121"/>
      <c r="Y119" s="121"/>
      <c r="Z119" s="121"/>
    </row>
    <row r="120" spans="3:26" x14ac:dyDescent="0.3">
      <c r="C120"/>
      <c r="D120"/>
      <c r="E120"/>
      <c r="F120"/>
      <c r="G120"/>
      <c r="H120"/>
      <c r="I120"/>
      <c r="J120"/>
      <c r="K120" s="121"/>
      <c r="L120" s="121"/>
      <c r="M120" s="158"/>
      <c r="N120" s="368"/>
      <c r="O120" s="368"/>
      <c r="P120" s="792"/>
      <c r="Q120" s="121"/>
      <c r="R120" s="1490"/>
      <c r="S120" s="1490"/>
      <c r="T120" s="1490"/>
      <c r="U120" s="121"/>
      <c r="V120" s="121"/>
      <c r="W120" s="121"/>
      <c r="X120" s="121"/>
      <c r="Y120" s="121"/>
      <c r="Z120" s="121"/>
    </row>
    <row r="121" spans="3:26" x14ac:dyDescent="0.3">
      <c r="C121"/>
      <c r="D121"/>
      <c r="E121"/>
      <c r="F121"/>
      <c r="G121"/>
      <c r="H121"/>
      <c r="I121"/>
      <c r="J121"/>
      <c r="K121" s="121"/>
      <c r="L121" s="121"/>
      <c r="M121" s="158"/>
      <c r="N121" s="368"/>
      <c r="O121" s="368"/>
      <c r="P121" s="792"/>
      <c r="Q121" s="121"/>
      <c r="R121" s="1490"/>
      <c r="S121" s="1490"/>
      <c r="T121" s="1490"/>
      <c r="U121" s="121"/>
      <c r="V121" s="121"/>
      <c r="W121" s="121"/>
      <c r="X121" s="121"/>
      <c r="Y121" s="121"/>
      <c r="Z121" s="121"/>
    </row>
    <row r="122" spans="3:26" x14ac:dyDescent="0.3">
      <c r="C122"/>
      <c r="D122"/>
      <c r="E122"/>
      <c r="F122"/>
      <c r="G122"/>
      <c r="H122"/>
      <c r="I122"/>
      <c r="J122"/>
      <c r="K122" s="121"/>
      <c r="L122" s="121"/>
      <c r="M122" s="158"/>
      <c r="N122" s="368"/>
      <c r="O122" s="368"/>
      <c r="P122" s="792"/>
      <c r="Q122" s="121"/>
      <c r="R122" s="1490"/>
      <c r="S122" s="1490"/>
      <c r="T122" s="1490"/>
      <c r="U122" s="121"/>
      <c r="V122" s="121"/>
      <c r="W122" s="121"/>
      <c r="X122" s="121"/>
      <c r="Y122" s="121"/>
      <c r="Z122" s="121"/>
    </row>
    <row r="123" spans="3:26" x14ac:dyDescent="0.3">
      <c r="C123"/>
      <c r="D123"/>
      <c r="E123"/>
      <c r="F123"/>
      <c r="G123"/>
      <c r="H123"/>
      <c r="I123"/>
      <c r="J123"/>
      <c r="K123" s="121"/>
      <c r="L123" s="121"/>
      <c r="M123" s="158"/>
      <c r="N123" s="368"/>
      <c r="O123" s="368"/>
      <c r="P123" s="792"/>
      <c r="Q123" s="121"/>
      <c r="R123" s="1490"/>
      <c r="S123" s="1490"/>
      <c r="T123" s="1490"/>
      <c r="U123" s="121"/>
      <c r="V123" s="121"/>
      <c r="W123" s="121"/>
      <c r="X123" s="121"/>
      <c r="Y123" s="121"/>
      <c r="Z123" s="121"/>
    </row>
    <row r="124" spans="3:26" x14ac:dyDescent="0.3">
      <c r="C124"/>
      <c r="D124"/>
      <c r="E124"/>
      <c r="F124"/>
      <c r="G124"/>
      <c r="H124"/>
      <c r="I124"/>
      <c r="J124"/>
      <c r="K124" s="121"/>
      <c r="L124" s="121"/>
      <c r="M124" s="158"/>
      <c r="N124" s="368"/>
      <c r="O124" s="368"/>
      <c r="P124" s="792"/>
      <c r="Q124" s="121"/>
      <c r="R124" s="1490"/>
      <c r="S124" s="1490"/>
      <c r="T124" s="1490"/>
      <c r="U124" s="121"/>
      <c r="V124" s="121"/>
      <c r="W124" s="121"/>
      <c r="X124" s="121"/>
      <c r="Y124" s="121"/>
      <c r="Z124" s="121"/>
    </row>
    <row r="125" spans="3:26" x14ac:dyDescent="0.3">
      <c r="C125"/>
      <c r="D125"/>
      <c r="E125"/>
      <c r="F125"/>
      <c r="G125"/>
      <c r="H125"/>
      <c r="I125"/>
      <c r="J125"/>
      <c r="K125" s="121"/>
      <c r="L125" s="121"/>
      <c r="M125" s="158"/>
      <c r="N125" s="368"/>
      <c r="O125" s="368"/>
      <c r="P125" s="792"/>
      <c r="Q125" s="121"/>
      <c r="R125" s="1490"/>
      <c r="S125" s="1490"/>
      <c r="T125" s="1490"/>
      <c r="U125" s="121"/>
      <c r="V125" s="121"/>
      <c r="W125" s="121"/>
      <c r="X125" s="121"/>
      <c r="Y125" s="121"/>
      <c r="Z125" s="121"/>
    </row>
    <row r="126" spans="3:26" x14ac:dyDescent="0.3">
      <c r="C126"/>
      <c r="D126"/>
      <c r="E126"/>
      <c r="F126"/>
      <c r="G126"/>
      <c r="H126"/>
      <c r="I126"/>
      <c r="J126"/>
      <c r="K126" s="121"/>
      <c r="L126" s="121"/>
      <c r="M126" s="158"/>
      <c r="N126" s="368"/>
      <c r="O126" s="368"/>
      <c r="P126" s="792"/>
      <c r="Q126" s="121"/>
      <c r="R126" s="1490"/>
      <c r="S126" s="1490"/>
      <c r="T126" s="1490"/>
      <c r="U126" s="121"/>
      <c r="V126" s="121"/>
      <c r="W126" s="121"/>
      <c r="X126" s="121"/>
      <c r="Y126" s="121"/>
      <c r="Z126" s="121"/>
    </row>
    <row r="127" spans="3:26" x14ac:dyDescent="0.3">
      <c r="C127"/>
      <c r="D127"/>
      <c r="E127"/>
      <c r="F127"/>
      <c r="G127"/>
      <c r="H127"/>
      <c r="I127"/>
      <c r="J127"/>
      <c r="K127" s="121"/>
      <c r="L127" s="121"/>
      <c r="M127" s="158"/>
      <c r="N127" s="368"/>
      <c r="O127" s="368"/>
      <c r="P127" s="792"/>
      <c r="Q127" s="121"/>
      <c r="R127" s="1490"/>
      <c r="S127" s="1490"/>
      <c r="T127" s="1490"/>
      <c r="U127" s="121"/>
      <c r="V127" s="121"/>
      <c r="W127" s="121"/>
      <c r="X127" s="121"/>
      <c r="Y127" s="121"/>
      <c r="Z127" s="121"/>
    </row>
    <row r="128" spans="3:26" x14ac:dyDescent="0.3">
      <c r="C128"/>
      <c r="D128"/>
      <c r="E128"/>
      <c r="F128"/>
      <c r="G128"/>
      <c r="H128"/>
      <c r="I128"/>
      <c r="J128"/>
      <c r="K128" s="121"/>
      <c r="L128" s="121"/>
      <c r="M128" s="158"/>
      <c r="N128" s="368"/>
      <c r="O128" s="368"/>
      <c r="P128" s="792"/>
      <c r="Q128" s="121"/>
      <c r="R128" s="1490"/>
      <c r="S128" s="1490"/>
      <c r="T128" s="1490"/>
      <c r="U128" s="121"/>
      <c r="V128" s="121"/>
      <c r="W128" s="121"/>
      <c r="X128" s="121"/>
      <c r="Y128" s="121"/>
      <c r="Z128" s="121"/>
    </row>
    <row r="129" spans="3:26" x14ac:dyDescent="0.3">
      <c r="C129"/>
      <c r="D129"/>
      <c r="E129"/>
      <c r="F129"/>
      <c r="G129"/>
      <c r="H129"/>
      <c r="I129"/>
      <c r="J129"/>
      <c r="K129" s="121"/>
      <c r="L129" s="121"/>
      <c r="M129" s="158"/>
      <c r="N129" s="368"/>
      <c r="O129" s="368"/>
      <c r="P129" s="792"/>
      <c r="Q129" s="121"/>
      <c r="R129" s="1490"/>
      <c r="S129" s="1490"/>
      <c r="T129" s="1490"/>
      <c r="U129" s="121"/>
      <c r="V129" s="121"/>
      <c r="W129" s="121"/>
      <c r="X129" s="121"/>
      <c r="Y129" s="121"/>
      <c r="Z129" s="121"/>
    </row>
    <row r="130" spans="3:26" x14ac:dyDescent="0.3">
      <c r="C130"/>
      <c r="D130"/>
      <c r="E130"/>
      <c r="F130"/>
      <c r="G130"/>
      <c r="H130"/>
      <c r="I130"/>
      <c r="J130"/>
      <c r="K130" s="121"/>
      <c r="L130" s="121"/>
      <c r="M130" s="158"/>
      <c r="N130" s="368"/>
      <c r="O130" s="368"/>
      <c r="P130" s="792"/>
      <c r="Q130" s="121"/>
      <c r="R130" s="1490"/>
      <c r="S130" s="1490"/>
      <c r="T130" s="1490"/>
      <c r="U130" s="121"/>
      <c r="V130" s="121"/>
      <c r="W130" s="121"/>
      <c r="X130" s="121"/>
      <c r="Y130" s="121"/>
      <c r="Z130" s="121"/>
    </row>
    <row r="131" spans="3:26" x14ac:dyDescent="0.3">
      <c r="C131"/>
      <c r="D131"/>
      <c r="E131"/>
      <c r="F131"/>
      <c r="G131"/>
      <c r="H131"/>
      <c r="I131"/>
      <c r="J131"/>
      <c r="K131" s="121"/>
      <c r="L131" s="121"/>
      <c r="M131" s="158"/>
      <c r="N131" s="368"/>
      <c r="O131" s="368"/>
      <c r="P131" s="792"/>
      <c r="Q131" s="121"/>
      <c r="R131" s="1490"/>
      <c r="S131" s="1490"/>
      <c r="T131" s="1490"/>
      <c r="U131" s="121"/>
      <c r="V131" s="121"/>
      <c r="W131" s="121"/>
      <c r="X131" s="121"/>
      <c r="Y131" s="121"/>
      <c r="Z131" s="121"/>
    </row>
    <row r="132" spans="3:26" x14ac:dyDescent="0.3">
      <c r="C132"/>
      <c r="D132"/>
      <c r="E132"/>
      <c r="F132"/>
      <c r="G132"/>
      <c r="H132"/>
      <c r="I132"/>
      <c r="J132"/>
      <c r="K132" s="121"/>
      <c r="L132" s="121"/>
      <c r="M132" s="158"/>
      <c r="N132" s="368"/>
      <c r="O132" s="368"/>
      <c r="P132" s="792"/>
      <c r="Q132" s="121"/>
      <c r="R132" s="1490"/>
      <c r="S132" s="1490"/>
      <c r="T132" s="1490"/>
      <c r="U132" s="121"/>
      <c r="V132" s="121"/>
      <c r="W132" s="121"/>
      <c r="X132" s="121"/>
      <c r="Y132" s="121"/>
      <c r="Z132" s="121"/>
    </row>
    <row r="133" spans="3:26" x14ac:dyDescent="0.3">
      <c r="C133"/>
      <c r="D133"/>
      <c r="E133"/>
      <c r="F133"/>
      <c r="G133"/>
      <c r="H133"/>
      <c r="I133"/>
      <c r="J133"/>
      <c r="K133" s="121"/>
      <c r="L133" s="121"/>
      <c r="M133" s="158"/>
      <c r="N133" s="368"/>
      <c r="O133" s="368"/>
      <c r="P133" s="792"/>
      <c r="Q133" s="121"/>
      <c r="R133" s="1490"/>
      <c r="S133" s="1490"/>
      <c r="T133" s="1490"/>
      <c r="U133" s="121"/>
      <c r="V133" s="121"/>
      <c r="W133" s="121"/>
      <c r="X133" s="121"/>
      <c r="Y133" s="121"/>
      <c r="Z133" s="121"/>
    </row>
    <row r="134" spans="3:26" x14ac:dyDescent="0.3">
      <c r="C134"/>
      <c r="D134"/>
      <c r="E134"/>
      <c r="F134"/>
      <c r="G134"/>
      <c r="H134"/>
      <c r="I134"/>
      <c r="J134"/>
      <c r="K134" s="121"/>
      <c r="L134" s="121"/>
      <c r="M134" s="158"/>
      <c r="N134" s="368"/>
      <c r="O134" s="368"/>
      <c r="P134" s="792"/>
      <c r="Q134" s="121"/>
      <c r="R134" s="1490"/>
      <c r="S134" s="1490"/>
      <c r="T134" s="1490"/>
      <c r="U134" s="121"/>
      <c r="V134" s="121"/>
      <c r="W134" s="121"/>
      <c r="X134" s="121"/>
      <c r="Y134" s="121"/>
      <c r="Z134" s="121"/>
    </row>
    <row r="135" spans="3:26" x14ac:dyDescent="0.3">
      <c r="C135"/>
      <c r="D135"/>
      <c r="E135"/>
      <c r="F135"/>
      <c r="G135"/>
      <c r="H135"/>
      <c r="I135"/>
      <c r="J135"/>
      <c r="K135" s="121"/>
      <c r="L135" s="121"/>
      <c r="M135" s="158"/>
      <c r="N135" s="368"/>
      <c r="O135" s="368"/>
      <c r="P135" s="792"/>
      <c r="Q135" s="121"/>
      <c r="R135" s="1490"/>
      <c r="S135" s="1490"/>
      <c r="T135" s="1490"/>
      <c r="U135" s="121"/>
      <c r="V135" s="121"/>
      <c r="W135" s="121"/>
      <c r="X135" s="121"/>
      <c r="Y135" s="121"/>
      <c r="Z135" s="121"/>
    </row>
    <row r="136" spans="3:26" x14ac:dyDescent="0.3">
      <c r="C136"/>
      <c r="D136"/>
      <c r="E136"/>
      <c r="F136"/>
      <c r="G136"/>
      <c r="H136"/>
      <c r="I136"/>
      <c r="J136"/>
      <c r="K136" s="121"/>
      <c r="L136" s="121"/>
      <c r="M136" s="158"/>
      <c r="N136" s="368"/>
      <c r="O136" s="368"/>
      <c r="P136" s="792"/>
      <c r="Q136" s="121"/>
      <c r="R136" s="1490"/>
      <c r="S136" s="1490"/>
      <c r="T136" s="1490"/>
      <c r="U136" s="121"/>
      <c r="V136" s="121"/>
      <c r="W136" s="121"/>
      <c r="X136" s="121"/>
      <c r="Y136" s="121"/>
      <c r="Z136" s="121"/>
    </row>
    <row r="137" spans="3:26" x14ac:dyDescent="0.3">
      <c r="C137"/>
      <c r="D137"/>
      <c r="E137"/>
      <c r="F137"/>
      <c r="G137"/>
      <c r="H137"/>
      <c r="I137"/>
      <c r="J137"/>
      <c r="K137" s="121"/>
      <c r="L137" s="121"/>
      <c r="M137" s="158"/>
      <c r="N137" s="368"/>
      <c r="O137" s="368"/>
      <c r="P137" s="792"/>
      <c r="Q137" s="121"/>
      <c r="R137" s="1490"/>
      <c r="S137" s="1490"/>
      <c r="T137" s="1490"/>
      <c r="U137" s="121"/>
      <c r="V137" s="121"/>
      <c r="W137" s="121"/>
      <c r="X137" s="121"/>
      <c r="Y137" s="121"/>
      <c r="Z137" s="121"/>
    </row>
    <row r="138" spans="3:26" x14ac:dyDescent="0.3">
      <c r="C138"/>
      <c r="D138"/>
      <c r="E138"/>
      <c r="F138"/>
      <c r="G138"/>
      <c r="H138"/>
      <c r="I138"/>
      <c r="J138"/>
      <c r="K138" s="121"/>
      <c r="L138" s="121"/>
      <c r="M138" s="158"/>
      <c r="N138" s="368"/>
      <c r="O138" s="368"/>
      <c r="P138" s="792"/>
      <c r="Q138" s="121"/>
      <c r="R138" s="1490"/>
      <c r="S138" s="1490"/>
      <c r="T138" s="1490"/>
      <c r="U138" s="121"/>
      <c r="V138" s="121"/>
      <c r="W138" s="121"/>
      <c r="X138" s="121"/>
      <c r="Y138" s="121"/>
      <c r="Z138" s="121"/>
    </row>
    <row r="139" spans="3:26" x14ac:dyDescent="0.3">
      <c r="C139"/>
      <c r="D139"/>
      <c r="E139"/>
      <c r="F139"/>
      <c r="G139"/>
      <c r="H139"/>
      <c r="I139"/>
      <c r="J139"/>
      <c r="K139" s="121"/>
      <c r="L139" s="121"/>
      <c r="M139" s="158"/>
      <c r="N139" s="368"/>
      <c r="O139" s="368"/>
      <c r="P139" s="792"/>
      <c r="Q139" s="121"/>
      <c r="R139" s="1490"/>
      <c r="S139" s="1490"/>
      <c r="T139" s="1490"/>
      <c r="U139" s="121"/>
      <c r="V139" s="121"/>
      <c r="W139" s="121"/>
      <c r="X139" s="121"/>
      <c r="Y139" s="121"/>
      <c r="Z139" s="121"/>
    </row>
    <row r="140" spans="3:26" x14ac:dyDescent="0.3">
      <c r="C140"/>
      <c r="D140"/>
      <c r="E140"/>
      <c r="F140"/>
      <c r="G140"/>
      <c r="H140"/>
      <c r="I140"/>
      <c r="J140"/>
      <c r="K140" s="121"/>
      <c r="L140" s="121"/>
      <c r="M140" s="158"/>
      <c r="N140" s="368"/>
      <c r="O140" s="368"/>
      <c r="P140" s="792"/>
      <c r="Q140" s="121"/>
      <c r="R140" s="1490"/>
      <c r="S140" s="1490"/>
      <c r="T140" s="1490"/>
      <c r="U140" s="121"/>
      <c r="V140" s="121"/>
      <c r="W140" s="121"/>
      <c r="X140" s="121"/>
      <c r="Y140" s="121"/>
      <c r="Z140" s="121"/>
    </row>
    <row r="141" spans="3:26" x14ac:dyDescent="0.3">
      <c r="C141"/>
      <c r="D141"/>
      <c r="E141"/>
      <c r="F141"/>
      <c r="G141"/>
      <c r="H141"/>
      <c r="I141"/>
      <c r="J141"/>
      <c r="K141" s="121"/>
      <c r="L141" s="121"/>
      <c r="M141" s="158"/>
      <c r="N141" s="368"/>
      <c r="O141" s="368"/>
      <c r="P141" s="792"/>
      <c r="Q141" s="121"/>
      <c r="R141" s="1490"/>
      <c r="S141" s="1490"/>
      <c r="T141" s="1490"/>
      <c r="U141" s="121"/>
      <c r="V141" s="121"/>
      <c r="W141" s="121"/>
      <c r="X141" s="121"/>
      <c r="Y141" s="121"/>
      <c r="Z141" s="121"/>
    </row>
    <row r="142" spans="3:26" x14ac:dyDescent="0.3">
      <c r="C142"/>
      <c r="D142"/>
      <c r="E142"/>
      <c r="F142"/>
      <c r="G142"/>
      <c r="H142"/>
      <c r="I142"/>
      <c r="J142"/>
      <c r="K142" s="121"/>
      <c r="L142" s="121"/>
      <c r="M142" s="158"/>
      <c r="N142" s="368"/>
      <c r="O142" s="368"/>
      <c r="P142" s="792"/>
      <c r="Q142" s="121"/>
      <c r="R142" s="1490"/>
      <c r="S142" s="1490"/>
      <c r="T142" s="1490"/>
      <c r="U142" s="121"/>
      <c r="V142" s="121"/>
      <c r="W142" s="121"/>
      <c r="X142" s="121"/>
      <c r="Y142" s="121"/>
      <c r="Z142" s="121"/>
    </row>
    <row r="143" spans="3:26" x14ac:dyDescent="0.3">
      <c r="C143"/>
      <c r="D143"/>
      <c r="E143"/>
      <c r="F143"/>
      <c r="G143"/>
      <c r="H143"/>
      <c r="I143"/>
      <c r="J143"/>
      <c r="K143" s="121"/>
      <c r="L143" s="121"/>
      <c r="M143" s="158"/>
      <c r="N143" s="368"/>
      <c r="O143" s="368"/>
      <c r="P143" s="792"/>
      <c r="Q143" s="121"/>
      <c r="R143" s="1490"/>
      <c r="S143" s="1490"/>
      <c r="T143" s="1490"/>
      <c r="U143" s="121"/>
      <c r="V143" s="121"/>
      <c r="W143" s="121"/>
      <c r="X143" s="121"/>
      <c r="Y143" s="121"/>
      <c r="Z143" s="121"/>
    </row>
    <row r="144" spans="3:26" x14ac:dyDescent="0.3">
      <c r="C144"/>
      <c r="D144"/>
      <c r="E144"/>
      <c r="F144"/>
      <c r="G144"/>
      <c r="H144"/>
      <c r="I144"/>
      <c r="J144"/>
      <c r="K144" s="121"/>
      <c r="L144" s="121"/>
      <c r="M144" s="158"/>
      <c r="N144" s="368"/>
      <c r="O144" s="368"/>
      <c r="P144" s="792"/>
      <c r="Q144" s="121"/>
      <c r="R144" s="1490"/>
      <c r="S144" s="1490"/>
      <c r="T144" s="1490"/>
      <c r="U144" s="121"/>
      <c r="V144" s="121"/>
      <c r="W144" s="121"/>
      <c r="X144" s="121"/>
      <c r="Y144" s="121"/>
      <c r="Z144" s="121"/>
    </row>
    <row r="145" spans="3:26" x14ac:dyDescent="0.3">
      <c r="C145"/>
      <c r="D145"/>
      <c r="E145"/>
      <c r="F145"/>
      <c r="G145"/>
      <c r="H145"/>
      <c r="I145"/>
      <c r="J145"/>
      <c r="K145" s="121"/>
      <c r="L145" s="121"/>
      <c r="M145" s="158"/>
      <c r="N145" s="368"/>
      <c r="O145" s="368"/>
      <c r="P145" s="792"/>
      <c r="Q145" s="121"/>
      <c r="R145" s="1490"/>
      <c r="S145" s="1490"/>
      <c r="T145" s="1490"/>
      <c r="U145" s="121"/>
      <c r="V145" s="121"/>
      <c r="W145" s="121"/>
      <c r="X145" s="121"/>
      <c r="Y145" s="121"/>
      <c r="Z145" s="121"/>
    </row>
    <row r="146" spans="3:26" x14ac:dyDescent="0.3">
      <c r="C146"/>
      <c r="D146"/>
      <c r="E146"/>
      <c r="F146"/>
      <c r="G146"/>
      <c r="H146"/>
      <c r="I146"/>
      <c r="J146"/>
      <c r="K146" s="121"/>
      <c r="L146" s="121"/>
      <c r="M146" s="158"/>
      <c r="N146" s="368"/>
      <c r="O146" s="368"/>
      <c r="P146" s="792"/>
      <c r="Q146" s="121"/>
      <c r="R146" s="1490"/>
      <c r="S146" s="1490"/>
      <c r="T146" s="1490"/>
      <c r="U146" s="121"/>
      <c r="V146" s="121"/>
      <c r="W146" s="121"/>
      <c r="X146" s="121"/>
      <c r="Y146" s="121"/>
      <c r="Z146" s="121"/>
    </row>
    <row r="147" spans="3:26" x14ac:dyDescent="0.3">
      <c r="C147"/>
      <c r="D147"/>
      <c r="E147"/>
      <c r="F147"/>
      <c r="G147"/>
      <c r="H147"/>
      <c r="I147"/>
      <c r="J147"/>
      <c r="K147" s="121"/>
      <c r="L147" s="121"/>
      <c r="M147" s="158"/>
      <c r="N147" s="368"/>
      <c r="O147" s="368"/>
      <c r="P147" s="792"/>
      <c r="Q147" s="121"/>
      <c r="R147" s="1490"/>
      <c r="S147" s="1490"/>
      <c r="T147" s="1490"/>
      <c r="U147" s="121"/>
      <c r="V147" s="121"/>
      <c r="W147" s="121"/>
      <c r="X147" s="121"/>
      <c r="Y147" s="121"/>
      <c r="Z147" s="121"/>
    </row>
    <row r="148" spans="3:26" x14ac:dyDescent="0.3">
      <c r="C148"/>
      <c r="D148"/>
      <c r="E148"/>
      <c r="F148"/>
      <c r="G148"/>
      <c r="H148"/>
      <c r="I148"/>
      <c r="J148"/>
      <c r="K148" s="121"/>
      <c r="L148" s="121"/>
      <c r="M148" s="158"/>
      <c r="N148" s="368"/>
      <c r="O148" s="368"/>
      <c r="P148" s="792"/>
      <c r="Q148" s="121"/>
      <c r="R148" s="1490"/>
      <c r="S148" s="1490"/>
      <c r="T148" s="1490"/>
      <c r="U148" s="121"/>
      <c r="V148" s="121"/>
      <c r="W148" s="121"/>
      <c r="X148" s="121"/>
      <c r="Y148" s="121"/>
      <c r="Z148" s="121"/>
    </row>
    <row r="149" spans="3:26" x14ac:dyDescent="0.3">
      <c r="C149"/>
      <c r="D149"/>
      <c r="E149"/>
      <c r="F149"/>
      <c r="G149"/>
      <c r="H149"/>
      <c r="I149"/>
      <c r="J149"/>
      <c r="K149" s="121"/>
      <c r="L149" s="121"/>
      <c r="M149" s="158"/>
      <c r="N149" s="368"/>
      <c r="O149" s="368"/>
      <c r="P149" s="792"/>
      <c r="Q149" s="121"/>
      <c r="R149" s="1490"/>
      <c r="S149" s="1490"/>
      <c r="T149" s="1490"/>
      <c r="U149" s="121"/>
      <c r="V149" s="121"/>
      <c r="W149" s="121"/>
      <c r="X149" s="121"/>
      <c r="Y149" s="121"/>
      <c r="Z149" s="121"/>
    </row>
    <row r="150" spans="3:26" x14ac:dyDescent="0.3">
      <c r="C150"/>
      <c r="D150"/>
      <c r="E150"/>
      <c r="F150"/>
      <c r="G150"/>
      <c r="H150"/>
      <c r="I150"/>
      <c r="J150"/>
      <c r="K150" s="121"/>
      <c r="L150" s="121"/>
      <c r="M150" s="158"/>
      <c r="N150" s="368"/>
      <c r="O150" s="368"/>
      <c r="P150" s="792"/>
      <c r="Q150" s="121"/>
      <c r="R150" s="1490"/>
      <c r="S150" s="1490"/>
      <c r="T150" s="1490"/>
      <c r="U150" s="121"/>
      <c r="V150" s="121"/>
      <c r="W150" s="121"/>
      <c r="X150" s="121"/>
      <c r="Y150" s="121"/>
      <c r="Z150" s="121"/>
    </row>
    <row r="151" spans="3:26" x14ac:dyDescent="0.3">
      <c r="C151"/>
      <c r="D151"/>
      <c r="E151"/>
      <c r="F151"/>
      <c r="G151"/>
      <c r="H151"/>
      <c r="I151"/>
      <c r="J151"/>
      <c r="K151" s="121"/>
      <c r="L151" s="121"/>
      <c r="M151" s="158"/>
      <c r="N151" s="368"/>
      <c r="O151" s="368"/>
      <c r="P151" s="792"/>
      <c r="Q151" s="121"/>
      <c r="R151" s="1490"/>
      <c r="S151" s="1490"/>
      <c r="T151" s="1490"/>
      <c r="U151" s="121"/>
      <c r="V151" s="121"/>
      <c r="W151" s="121"/>
      <c r="X151" s="121"/>
      <c r="Y151" s="121"/>
      <c r="Z151" s="121"/>
    </row>
    <row r="152" spans="3:26" x14ac:dyDescent="0.3">
      <c r="C152"/>
      <c r="D152"/>
      <c r="E152"/>
      <c r="F152"/>
      <c r="G152"/>
      <c r="H152"/>
      <c r="I152"/>
      <c r="J152"/>
      <c r="K152" s="121"/>
      <c r="L152" s="121"/>
      <c r="M152" s="158"/>
      <c r="N152" s="368"/>
      <c r="O152" s="368"/>
      <c r="P152" s="792"/>
      <c r="Q152" s="121"/>
      <c r="R152" s="1490"/>
      <c r="S152" s="1490"/>
      <c r="T152" s="1490"/>
      <c r="U152" s="121"/>
      <c r="V152" s="121"/>
      <c r="W152" s="121"/>
      <c r="X152" s="121"/>
      <c r="Y152" s="121"/>
      <c r="Z152" s="121"/>
    </row>
    <row r="153" spans="3:26" x14ac:dyDescent="0.3">
      <c r="C153"/>
      <c r="D153"/>
      <c r="E153"/>
      <c r="F153"/>
      <c r="G153"/>
      <c r="H153"/>
      <c r="I153"/>
      <c r="J153"/>
      <c r="K153" s="121"/>
      <c r="L153" s="121"/>
      <c r="M153" s="158"/>
      <c r="N153" s="368"/>
      <c r="O153" s="368"/>
      <c r="P153" s="792"/>
      <c r="Q153" s="121"/>
      <c r="R153" s="1490"/>
      <c r="S153" s="1490"/>
      <c r="T153" s="1490"/>
      <c r="U153" s="121"/>
      <c r="V153" s="121"/>
      <c r="W153" s="121"/>
      <c r="X153" s="121"/>
      <c r="Y153" s="121"/>
      <c r="Z153" s="121"/>
    </row>
    <row r="154" spans="3:26" x14ac:dyDescent="0.3">
      <c r="C154"/>
      <c r="D154"/>
      <c r="E154"/>
      <c r="F154"/>
      <c r="G154"/>
      <c r="H154"/>
      <c r="I154"/>
      <c r="J154"/>
      <c r="K154" s="121"/>
      <c r="L154" s="121"/>
      <c r="M154" s="158"/>
      <c r="N154" s="368"/>
      <c r="O154" s="368"/>
      <c r="P154" s="792"/>
      <c r="Q154" s="121"/>
      <c r="R154" s="1490"/>
      <c r="S154" s="1490"/>
      <c r="T154" s="1490"/>
      <c r="U154" s="121"/>
      <c r="V154" s="121"/>
      <c r="W154" s="121"/>
      <c r="X154" s="121"/>
      <c r="Y154" s="121"/>
      <c r="Z154" s="121"/>
    </row>
    <row r="155" spans="3:26" x14ac:dyDescent="0.3">
      <c r="C155"/>
      <c r="D155"/>
      <c r="E155"/>
      <c r="F155"/>
      <c r="G155"/>
      <c r="H155"/>
      <c r="I155"/>
      <c r="J155"/>
      <c r="K155" s="121"/>
      <c r="L155" s="121"/>
      <c r="M155" s="158"/>
      <c r="N155" s="368"/>
      <c r="O155" s="368"/>
      <c r="P155" s="792"/>
      <c r="Q155" s="121"/>
      <c r="R155" s="1490"/>
      <c r="S155" s="1490"/>
      <c r="T155" s="1490"/>
      <c r="U155" s="121"/>
      <c r="V155" s="121"/>
      <c r="W155" s="121"/>
      <c r="X155" s="121"/>
      <c r="Y155" s="121"/>
      <c r="Z155" s="121"/>
    </row>
    <row r="156" spans="3:26" x14ac:dyDescent="0.3">
      <c r="C156"/>
      <c r="D156"/>
      <c r="E156"/>
      <c r="F156"/>
      <c r="G156"/>
      <c r="H156"/>
      <c r="I156"/>
      <c r="J156"/>
      <c r="K156" s="121"/>
      <c r="L156" s="121"/>
      <c r="M156" s="158"/>
      <c r="N156" s="368"/>
      <c r="O156" s="368"/>
      <c r="P156" s="792"/>
      <c r="Q156" s="121"/>
      <c r="R156" s="1490"/>
      <c r="S156" s="1490"/>
      <c r="T156" s="1490"/>
      <c r="U156" s="121"/>
      <c r="V156" s="121"/>
      <c r="W156" s="121"/>
      <c r="X156" s="121"/>
      <c r="Y156" s="121"/>
      <c r="Z156" s="121"/>
    </row>
    <row r="157" spans="3:26" x14ac:dyDescent="0.3">
      <c r="C157"/>
      <c r="D157"/>
      <c r="E157"/>
      <c r="F157"/>
      <c r="G157"/>
      <c r="H157"/>
      <c r="I157"/>
      <c r="J157"/>
      <c r="K157" s="121"/>
      <c r="L157" s="121"/>
      <c r="M157" s="158"/>
      <c r="N157" s="368"/>
      <c r="O157" s="368"/>
      <c r="P157" s="792"/>
      <c r="Q157" s="121"/>
      <c r="R157" s="1490"/>
      <c r="S157" s="1490"/>
      <c r="T157" s="1490"/>
      <c r="U157" s="121"/>
      <c r="V157" s="121"/>
      <c r="W157" s="121"/>
      <c r="X157" s="121"/>
      <c r="Y157" s="121"/>
      <c r="Z157" s="121"/>
    </row>
    <row r="158" spans="3:26" x14ac:dyDescent="0.3">
      <c r="C158"/>
      <c r="D158"/>
      <c r="E158"/>
      <c r="F158"/>
      <c r="G158"/>
      <c r="H158"/>
      <c r="I158"/>
      <c r="J158"/>
      <c r="K158" s="121"/>
      <c r="L158" s="121"/>
      <c r="M158" s="158"/>
      <c r="N158" s="368"/>
      <c r="O158" s="368"/>
      <c r="P158" s="792"/>
      <c r="Q158" s="121"/>
      <c r="R158" s="1490"/>
      <c r="S158" s="1490"/>
      <c r="T158" s="1490"/>
      <c r="U158" s="121"/>
      <c r="V158" s="121"/>
      <c r="W158" s="121"/>
      <c r="X158" s="121"/>
      <c r="Y158" s="121"/>
      <c r="Z158" s="121"/>
    </row>
    <row r="159" spans="3:26" x14ac:dyDescent="0.3">
      <c r="C159"/>
      <c r="D159"/>
      <c r="E159"/>
      <c r="F159"/>
      <c r="G159"/>
      <c r="H159"/>
      <c r="I159"/>
      <c r="J159"/>
      <c r="K159" s="121"/>
      <c r="L159" s="121"/>
      <c r="M159" s="158"/>
      <c r="N159" s="368"/>
      <c r="O159" s="368"/>
      <c r="P159" s="792"/>
      <c r="Q159" s="121"/>
      <c r="R159" s="1490"/>
      <c r="S159" s="1490"/>
      <c r="T159" s="1490"/>
      <c r="U159" s="121"/>
      <c r="V159" s="121"/>
      <c r="W159" s="121"/>
      <c r="X159" s="121"/>
      <c r="Y159" s="121"/>
      <c r="Z159" s="121"/>
    </row>
    <row r="160" spans="3:26" x14ac:dyDescent="0.3">
      <c r="C160"/>
      <c r="D160"/>
      <c r="E160"/>
      <c r="F160"/>
      <c r="G160"/>
      <c r="H160"/>
      <c r="I160"/>
      <c r="J160"/>
      <c r="K160" s="121"/>
      <c r="L160" s="121"/>
      <c r="M160" s="158"/>
      <c r="N160" s="368"/>
      <c r="O160" s="368"/>
      <c r="P160" s="792"/>
      <c r="Q160" s="121"/>
      <c r="R160" s="1490"/>
      <c r="S160" s="1490"/>
      <c r="T160" s="1490"/>
      <c r="U160" s="121"/>
      <c r="V160" s="121"/>
      <c r="W160" s="121"/>
      <c r="X160" s="121"/>
      <c r="Y160" s="121"/>
      <c r="Z160" s="121"/>
    </row>
    <row r="161" spans="3:26" x14ac:dyDescent="0.3">
      <c r="C161"/>
      <c r="D161"/>
      <c r="E161"/>
      <c r="F161"/>
      <c r="G161"/>
      <c r="H161"/>
      <c r="I161"/>
      <c r="J161"/>
      <c r="K161" s="121"/>
      <c r="L161" s="121"/>
      <c r="M161" s="158"/>
      <c r="N161" s="368"/>
      <c r="O161" s="368"/>
      <c r="P161" s="792"/>
      <c r="Q161" s="121"/>
      <c r="R161" s="1490"/>
      <c r="S161" s="1490"/>
      <c r="T161" s="1490"/>
      <c r="U161" s="121"/>
      <c r="V161" s="121"/>
      <c r="W161" s="121"/>
      <c r="X161" s="121"/>
      <c r="Y161" s="121"/>
      <c r="Z161" s="121"/>
    </row>
    <row r="162" spans="3:26" x14ac:dyDescent="0.3">
      <c r="C162"/>
      <c r="D162"/>
      <c r="E162"/>
      <c r="F162"/>
      <c r="G162"/>
      <c r="H162"/>
      <c r="I162"/>
      <c r="J162"/>
      <c r="K162" s="121"/>
      <c r="L162" s="121"/>
      <c r="M162" s="158"/>
      <c r="N162" s="368"/>
      <c r="O162" s="368"/>
      <c r="P162" s="792"/>
      <c r="Q162" s="121"/>
      <c r="R162" s="1490"/>
      <c r="S162" s="1490"/>
      <c r="T162" s="1490"/>
      <c r="U162" s="121"/>
      <c r="V162" s="121"/>
      <c r="W162" s="121"/>
      <c r="X162" s="121"/>
      <c r="Y162" s="121"/>
      <c r="Z162" s="121"/>
    </row>
    <row r="163" spans="3:26" x14ac:dyDescent="0.3">
      <c r="C163"/>
      <c r="D163"/>
      <c r="E163"/>
      <c r="F163"/>
      <c r="G163"/>
      <c r="H163"/>
      <c r="I163"/>
      <c r="J163"/>
      <c r="K163" s="121"/>
      <c r="L163" s="121"/>
      <c r="M163" s="158"/>
      <c r="N163" s="368"/>
      <c r="O163" s="368"/>
      <c r="P163" s="792"/>
      <c r="Q163" s="121"/>
      <c r="R163" s="1490"/>
      <c r="S163" s="1490"/>
      <c r="T163" s="1490"/>
      <c r="U163" s="121"/>
      <c r="V163" s="121"/>
      <c r="W163" s="121"/>
      <c r="X163" s="121"/>
      <c r="Y163" s="121"/>
      <c r="Z163" s="121"/>
    </row>
    <row r="164" spans="3:26" x14ac:dyDescent="0.3">
      <c r="C164"/>
      <c r="D164"/>
      <c r="E164"/>
      <c r="F164"/>
      <c r="G164"/>
      <c r="H164"/>
      <c r="I164"/>
      <c r="J164"/>
      <c r="K164" s="121"/>
      <c r="L164" s="121"/>
      <c r="M164" s="158"/>
      <c r="N164" s="368"/>
      <c r="O164" s="368"/>
      <c r="P164" s="792"/>
      <c r="Q164" s="121"/>
      <c r="R164" s="1490"/>
      <c r="S164" s="1490"/>
      <c r="T164" s="1490"/>
      <c r="U164" s="121"/>
      <c r="V164" s="121"/>
      <c r="W164" s="121"/>
      <c r="X164" s="121"/>
      <c r="Y164" s="121"/>
      <c r="Z164" s="121"/>
    </row>
    <row r="165" spans="3:26" x14ac:dyDescent="0.3">
      <c r="C165"/>
      <c r="D165"/>
      <c r="E165"/>
      <c r="F165"/>
      <c r="G165"/>
      <c r="H165"/>
      <c r="I165"/>
      <c r="J165"/>
      <c r="K165" s="121"/>
      <c r="L165" s="121"/>
      <c r="M165" s="158"/>
      <c r="N165" s="368"/>
      <c r="O165" s="368"/>
      <c r="P165" s="792"/>
      <c r="Q165" s="121"/>
      <c r="R165" s="1490"/>
      <c r="S165" s="1490"/>
      <c r="T165" s="1490"/>
      <c r="U165" s="121"/>
      <c r="V165" s="121"/>
      <c r="W165" s="121"/>
      <c r="X165" s="121"/>
      <c r="Y165" s="121"/>
      <c r="Z165" s="121"/>
    </row>
    <row r="166" spans="3:26" x14ac:dyDescent="0.3">
      <c r="C166"/>
      <c r="D166"/>
      <c r="E166"/>
      <c r="F166"/>
      <c r="G166"/>
      <c r="H166"/>
      <c r="I166"/>
      <c r="J166"/>
      <c r="K166" s="121"/>
      <c r="L166" s="121"/>
      <c r="M166" s="158"/>
      <c r="N166" s="368"/>
      <c r="O166" s="368"/>
      <c r="P166" s="792"/>
      <c r="Q166" s="121"/>
      <c r="R166" s="1490"/>
      <c r="S166" s="1490"/>
      <c r="T166" s="1490"/>
      <c r="U166" s="121"/>
      <c r="V166" s="121"/>
      <c r="W166" s="121"/>
      <c r="X166" s="121"/>
      <c r="Y166" s="121"/>
      <c r="Z166" s="121"/>
    </row>
    <row r="167" spans="3:26" x14ac:dyDescent="0.3">
      <c r="C167"/>
      <c r="D167"/>
      <c r="E167"/>
      <c r="F167"/>
      <c r="G167"/>
      <c r="H167"/>
      <c r="I167"/>
      <c r="J167"/>
      <c r="K167" s="121"/>
      <c r="L167" s="121"/>
      <c r="M167" s="158"/>
      <c r="N167" s="368"/>
      <c r="O167" s="368"/>
      <c r="P167" s="792"/>
      <c r="Q167" s="121"/>
      <c r="R167" s="1490"/>
      <c r="S167" s="1490"/>
      <c r="T167" s="1490"/>
      <c r="U167" s="121"/>
      <c r="V167" s="121"/>
      <c r="W167" s="121"/>
      <c r="X167" s="121"/>
      <c r="Y167" s="121"/>
      <c r="Z167" s="121"/>
    </row>
    <row r="168" spans="3:26" x14ac:dyDescent="0.3">
      <c r="C168"/>
      <c r="D168"/>
      <c r="E168"/>
      <c r="F168"/>
      <c r="G168"/>
      <c r="H168"/>
      <c r="I168"/>
      <c r="J168"/>
      <c r="K168" s="121"/>
      <c r="L168" s="121"/>
      <c r="M168" s="158"/>
      <c r="N168" s="368"/>
      <c r="O168" s="368"/>
      <c r="P168" s="792"/>
      <c r="Q168" s="121"/>
      <c r="R168" s="1490"/>
      <c r="S168" s="1490"/>
      <c r="T168" s="1490"/>
      <c r="U168" s="121"/>
      <c r="V168" s="121"/>
      <c r="W168" s="121"/>
      <c r="X168" s="121"/>
      <c r="Y168" s="121"/>
      <c r="Z168" s="121"/>
    </row>
    <row r="169" spans="3:26" x14ac:dyDescent="0.3">
      <c r="C169"/>
      <c r="D169"/>
      <c r="E169"/>
      <c r="F169"/>
      <c r="G169"/>
      <c r="H169"/>
      <c r="I169"/>
      <c r="J169"/>
      <c r="K169" s="121"/>
      <c r="L169" s="121"/>
      <c r="M169" s="158"/>
      <c r="N169" s="368"/>
      <c r="O169" s="368"/>
      <c r="P169" s="792"/>
      <c r="Q169" s="121"/>
      <c r="R169" s="1490"/>
      <c r="S169" s="1490"/>
      <c r="T169" s="1490"/>
      <c r="U169" s="121"/>
      <c r="V169" s="121"/>
      <c r="W169" s="121"/>
      <c r="X169" s="121"/>
      <c r="Y169" s="121"/>
      <c r="Z169" s="121"/>
    </row>
    <row r="170" spans="3:26" x14ac:dyDescent="0.3">
      <c r="C170"/>
      <c r="D170"/>
      <c r="E170"/>
      <c r="F170"/>
      <c r="G170"/>
      <c r="H170"/>
      <c r="I170"/>
      <c r="J170"/>
      <c r="K170" s="121"/>
      <c r="L170" s="121"/>
      <c r="M170" s="158"/>
      <c r="N170" s="368"/>
      <c r="O170" s="368"/>
      <c r="P170" s="792"/>
      <c r="Q170" s="121"/>
      <c r="R170" s="1490"/>
      <c r="S170" s="1490"/>
      <c r="T170" s="1490"/>
      <c r="U170" s="121"/>
      <c r="V170" s="121"/>
      <c r="W170" s="121"/>
      <c r="X170" s="121"/>
      <c r="Y170" s="121"/>
      <c r="Z170" s="121"/>
    </row>
  </sheetData>
  <autoFilter ref="C15:Y96" xr:uid="{E7F6DAEC-5124-4274-8759-7C824135274F}"/>
  <mergeCells count="5">
    <mergeCell ref="J12:L12"/>
    <mergeCell ref="M12:P12"/>
    <mergeCell ref="Q12:Y12"/>
    <mergeCell ref="W13:X13"/>
    <mergeCell ref="AP30:AQ30"/>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45FA2-124E-40A3-A6CE-28B91C8A9C2C}">
  <sheetPr codeName="Sheet22">
    <tabColor theme="9"/>
  </sheetPr>
  <dimension ref="B1:T82"/>
  <sheetViews>
    <sheetView workbookViewId="0"/>
  </sheetViews>
  <sheetFormatPr defaultColWidth="9.109375" defaultRowHeight="18" x14ac:dyDescent="0.45"/>
  <cols>
    <col min="1" max="1" width="9.109375" style="1931"/>
    <col min="2" max="2" width="2.6640625" style="2106" customWidth="1"/>
    <col min="3" max="3" width="54.88671875" style="2106" customWidth="1"/>
    <col min="4" max="5" width="15.6640625" style="2107" customWidth="1"/>
    <col min="6" max="12" width="9.109375" style="1931"/>
    <col min="13" max="13" width="9.109375" style="2052"/>
    <col min="14" max="14" width="10.5546875" style="2053" bestFit="1" customWidth="1"/>
    <col min="15" max="16384" width="9.109375" style="1931"/>
  </cols>
  <sheetData>
    <row r="1" spans="2:14" x14ac:dyDescent="0.45">
      <c r="B1" s="2049" t="s">
        <v>1986</v>
      </c>
      <c r="C1" s="2050"/>
      <c r="D1" s="2051"/>
      <c r="E1" s="2051"/>
    </row>
    <row r="2" spans="2:14" x14ac:dyDescent="0.45">
      <c r="B2" s="2050" t="s">
        <v>1987</v>
      </c>
      <c r="C2" s="2050"/>
      <c r="D2" s="2051"/>
      <c r="E2" s="2051"/>
    </row>
    <row r="3" spans="2:14" x14ac:dyDescent="0.45">
      <c r="B3" s="2050"/>
      <c r="C3" s="2050"/>
      <c r="D3" s="2051"/>
      <c r="E3" s="2051"/>
    </row>
    <row r="4" spans="2:14" x14ac:dyDescent="0.45">
      <c r="B4" s="2054" t="s">
        <v>1988</v>
      </c>
      <c r="C4" s="2055"/>
      <c r="D4" s="2056"/>
      <c r="E4" s="2057" t="s">
        <v>1989</v>
      </c>
    </row>
    <row r="5" spans="2:14" x14ac:dyDescent="0.45">
      <c r="B5" s="2058" t="s">
        <v>1990</v>
      </c>
      <c r="C5" s="2059"/>
      <c r="D5" s="2060"/>
      <c r="E5" s="2114" t="s">
        <v>2049</v>
      </c>
    </row>
    <row r="6" spans="2:14" x14ac:dyDescent="0.45">
      <c r="B6" s="2050"/>
      <c r="C6" s="2050"/>
      <c r="D6" s="2051"/>
      <c r="E6" s="2051"/>
    </row>
    <row r="7" spans="2:14" s="2062" customFormat="1" x14ac:dyDescent="0.45">
      <c r="B7" s="2049" t="s">
        <v>1991</v>
      </c>
      <c r="C7" s="2049"/>
      <c r="D7" s="2061"/>
      <c r="E7" s="2061"/>
      <c r="M7" s="2063"/>
      <c r="N7" s="2064"/>
    </row>
    <row r="8" spans="2:14" ht="67.5" customHeight="1" x14ac:dyDescent="0.45">
      <c r="B8" s="2744" t="s">
        <v>1992</v>
      </c>
      <c r="C8" s="2744"/>
      <c r="D8" s="2744"/>
      <c r="E8" s="2744"/>
    </row>
    <row r="9" spans="2:14" s="2069" customFormat="1" ht="32.4" x14ac:dyDescent="0.45">
      <c r="B9" s="2065"/>
      <c r="C9" s="2066"/>
      <c r="D9" s="2067" t="s">
        <v>1993</v>
      </c>
      <c r="E9" s="2068" t="s">
        <v>1994</v>
      </c>
      <c r="M9" s="2070"/>
      <c r="N9" s="2071"/>
    </row>
    <row r="10" spans="2:14" x14ac:dyDescent="0.45">
      <c r="B10" s="2072"/>
      <c r="C10" s="2073" t="s">
        <v>1995</v>
      </c>
      <c r="D10" s="2074">
        <f ca="1">'Common Fans'!$G$16</f>
        <v>0</v>
      </c>
      <c r="E10" s="2075"/>
    </row>
    <row r="11" spans="2:14" x14ac:dyDescent="0.45">
      <c r="B11" s="2072"/>
      <c r="C11" s="2073" t="s">
        <v>1996</v>
      </c>
      <c r="D11" s="2074">
        <f ca="1">'Common Fans'!$J$16</f>
        <v>0</v>
      </c>
      <c r="E11" s="2075"/>
    </row>
    <row r="12" spans="2:14" x14ac:dyDescent="0.45">
      <c r="B12" s="2072"/>
      <c r="C12" s="2073" t="s">
        <v>1997</v>
      </c>
      <c r="D12" s="2076">
        <v>0.3</v>
      </c>
      <c r="E12" s="2075"/>
    </row>
    <row r="13" spans="2:14" x14ac:dyDescent="0.45">
      <c r="B13" s="2072"/>
      <c r="C13" s="2073" t="s">
        <v>1998</v>
      </c>
      <c r="D13" s="2076">
        <f ca="1">D12*D11/1000</f>
        <v>0</v>
      </c>
      <c r="E13" s="2075"/>
    </row>
    <row r="14" spans="2:14" x14ac:dyDescent="0.45">
      <c r="B14" s="2072"/>
      <c r="C14" s="2073" t="s">
        <v>1999</v>
      </c>
      <c r="D14" s="2076">
        <f ca="1">D13/0.746</f>
        <v>0</v>
      </c>
      <c r="E14" s="2075"/>
    </row>
    <row r="15" spans="2:14" x14ac:dyDescent="0.45">
      <c r="B15" s="2072"/>
      <c r="C15" s="2073" t="s">
        <v>2000</v>
      </c>
      <c r="D15" s="2077">
        <f ca="1">OFFSET($T$54,IFERROR(MATCH(D14,$S$55:$S$80,1),0)+1,0)</f>
        <v>0.85499999999999998</v>
      </c>
      <c r="E15" s="2075"/>
    </row>
    <row r="16" spans="2:14" x14ac:dyDescent="0.45">
      <c r="B16" s="2072"/>
      <c r="C16" s="2073" t="s">
        <v>2001</v>
      </c>
      <c r="D16" s="2076">
        <f ca="1">D14*D15</f>
        <v>0</v>
      </c>
      <c r="E16" s="2075"/>
    </row>
    <row r="17" spans="2:5" x14ac:dyDescent="0.45">
      <c r="B17" s="2072"/>
      <c r="C17" s="2073" t="s">
        <v>2002</v>
      </c>
      <c r="D17" s="2074">
        <f ca="1">OFFSET($S$54,IFERROR(MATCH(D16,$S$55:$S$80,1),0)+1,0)</f>
        <v>1</v>
      </c>
      <c r="E17" s="2075"/>
    </row>
    <row r="18" spans="2:5" x14ac:dyDescent="0.45">
      <c r="B18" s="2072"/>
      <c r="C18" s="2073" t="s">
        <v>2003</v>
      </c>
      <c r="D18" s="2074">
        <f ca="1">D10/D17</f>
        <v>0</v>
      </c>
      <c r="E18" s="2078" t="s">
        <v>2004</v>
      </c>
    </row>
    <row r="19" spans="2:5" x14ac:dyDescent="0.45">
      <c r="B19" s="2079"/>
      <c r="C19" s="2080" t="s">
        <v>2005</v>
      </c>
      <c r="D19" s="2081" t="s">
        <v>132</v>
      </c>
      <c r="E19" s="2082" t="s">
        <v>132</v>
      </c>
    </row>
    <row r="20" spans="2:5" ht="357.75" customHeight="1" x14ac:dyDescent="0.45">
      <c r="B20" s="2744" t="s">
        <v>2006</v>
      </c>
      <c r="C20" s="2744"/>
      <c r="D20" s="2744"/>
      <c r="E20" s="2744"/>
    </row>
    <row r="21" spans="2:5" ht="66" customHeight="1" x14ac:dyDescent="0.45">
      <c r="B21" s="2083"/>
      <c r="C21" s="2742" t="s">
        <v>2007</v>
      </c>
      <c r="D21" s="2742"/>
      <c r="E21" s="2743"/>
    </row>
    <row r="22" spans="2:5" ht="33" customHeight="1" x14ac:dyDescent="0.45">
      <c r="B22" s="2744" t="s">
        <v>2008</v>
      </c>
      <c r="C22" s="2744"/>
      <c r="D22" s="2744"/>
      <c r="E22" s="2744"/>
    </row>
    <row r="23" spans="2:5" ht="36" customHeight="1" x14ac:dyDescent="0.45">
      <c r="B23" s="2083"/>
      <c r="C23" s="2742" t="s">
        <v>2009</v>
      </c>
      <c r="D23" s="2742"/>
      <c r="E23" s="2743"/>
    </row>
    <row r="24" spans="2:5" ht="33" customHeight="1" x14ac:dyDescent="0.45">
      <c r="B24" s="2744" t="s">
        <v>2010</v>
      </c>
      <c r="C24" s="2744"/>
      <c r="D24" s="2744"/>
      <c r="E24" s="2744"/>
    </row>
    <row r="25" spans="2:5" ht="51" customHeight="1" x14ac:dyDescent="0.45">
      <c r="B25" s="2083"/>
      <c r="C25" s="2742" t="s">
        <v>2011</v>
      </c>
      <c r="D25" s="2742"/>
      <c r="E25" s="2743"/>
    </row>
    <row r="26" spans="2:5" ht="69" customHeight="1" x14ac:dyDescent="0.45">
      <c r="B26" s="2744" t="s">
        <v>2012</v>
      </c>
      <c r="C26" s="2744"/>
      <c r="D26" s="2744"/>
      <c r="E26" s="2744"/>
    </row>
    <row r="27" spans="2:5" ht="36" customHeight="1" x14ac:dyDescent="0.45">
      <c r="B27" s="2083"/>
      <c r="C27" s="2742" t="s">
        <v>2013</v>
      </c>
      <c r="D27" s="2742"/>
      <c r="E27" s="2743"/>
    </row>
    <row r="28" spans="2:5" ht="17.399999999999999" customHeight="1" x14ac:dyDescent="0.45">
      <c r="B28" s="2744" t="s">
        <v>2014</v>
      </c>
      <c r="C28" s="2744"/>
      <c r="D28" s="2744"/>
      <c r="E28" s="2744"/>
    </row>
    <row r="29" spans="2:5" ht="66" customHeight="1" x14ac:dyDescent="0.45">
      <c r="B29" s="2083"/>
      <c r="C29" s="2742" t="s">
        <v>2015</v>
      </c>
      <c r="D29" s="2742"/>
      <c r="E29" s="2743"/>
    </row>
    <row r="30" spans="2:5" x14ac:dyDescent="0.45">
      <c r="B30" s="2050"/>
      <c r="C30" s="2050"/>
      <c r="D30" s="2051"/>
      <c r="E30" s="2051"/>
    </row>
    <row r="31" spans="2:5" x14ac:dyDescent="0.45">
      <c r="B31" s="2054" t="s">
        <v>2016</v>
      </c>
      <c r="C31" s="2055"/>
      <c r="D31" s="2056"/>
      <c r="E31" s="2056"/>
    </row>
    <row r="32" spans="2:5" x14ac:dyDescent="0.45">
      <c r="B32" s="2084" t="s">
        <v>2050</v>
      </c>
      <c r="C32" s="2085"/>
      <c r="D32" s="2086"/>
      <c r="E32" s="2087"/>
    </row>
    <row r="33" spans="2:14" x14ac:dyDescent="0.45">
      <c r="B33" s="2088"/>
      <c r="C33" s="2073" t="s">
        <v>2017</v>
      </c>
      <c r="D33" s="2089">
        <f ca="1">$D$11</f>
        <v>0</v>
      </c>
      <c r="E33" s="2075"/>
    </row>
    <row r="34" spans="2:14" x14ac:dyDescent="0.45">
      <c r="B34" s="2090"/>
      <c r="C34" s="2073" t="s">
        <v>2018</v>
      </c>
      <c r="D34" s="2091">
        <f>'Common Fans'!$T$16</f>
        <v>0.3</v>
      </c>
      <c r="E34" s="2075"/>
    </row>
    <row r="35" spans="2:14" x14ac:dyDescent="0.45">
      <c r="B35" s="2090"/>
      <c r="C35" s="2073" t="s">
        <v>2019</v>
      </c>
      <c r="D35" s="2076">
        <f ca="1">D34*D33/1000</f>
        <v>0</v>
      </c>
      <c r="E35" s="2075"/>
    </row>
    <row r="36" spans="2:14" x14ac:dyDescent="0.45">
      <c r="B36" s="2090"/>
      <c r="C36" s="2073" t="s">
        <v>2020</v>
      </c>
      <c r="D36" s="2076">
        <v>8.4</v>
      </c>
      <c r="E36" s="2075"/>
    </row>
    <row r="37" spans="2:14" x14ac:dyDescent="0.45">
      <c r="B37" s="2092"/>
      <c r="C37" s="2080" t="s">
        <v>2021</v>
      </c>
      <c r="D37" s="2093">
        <f ca="1">D35*D36*365</f>
        <v>0</v>
      </c>
      <c r="E37" s="2094"/>
    </row>
    <row r="38" spans="2:14" x14ac:dyDescent="0.45">
      <c r="B38" s="2084" t="s">
        <v>2022</v>
      </c>
      <c r="C38" s="2095"/>
      <c r="D38" s="2086"/>
      <c r="E38" s="2087"/>
    </row>
    <row r="39" spans="2:14" x14ac:dyDescent="0.45">
      <c r="B39" s="2096"/>
      <c r="C39" s="2097" t="s">
        <v>2023</v>
      </c>
      <c r="D39" s="2116">
        <v>0.3</v>
      </c>
      <c r="E39" s="2098"/>
    </row>
    <row r="40" spans="2:14" x14ac:dyDescent="0.45">
      <c r="B40" s="2096"/>
      <c r="C40" s="2097" t="s">
        <v>2024</v>
      </c>
      <c r="D40" s="2099">
        <f ca="1">D33*D39/1000</f>
        <v>0</v>
      </c>
      <c r="E40" s="2098"/>
    </row>
    <row r="41" spans="2:14" x14ac:dyDescent="0.45">
      <c r="B41" s="2090"/>
      <c r="C41" s="2073" t="s">
        <v>2025</v>
      </c>
      <c r="D41" s="2076">
        <v>24</v>
      </c>
      <c r="E41" s="2075"/>
    </row>
    <row r="42" spans="2:14" x14ac:dyDescent="0.45">
      <c r="B42" s="2092"/>
      <c r="C42" s="2080" t="s">
        <v>2026</v>
      </c>
      <c r="D42" s="2093">
        <f ca="1">D40*D41*365</f>
        <v>0</v>
      </c>
      <c r="E42" s="2094"/>
    </row>
    <row r="43" spans="2:14" x14ac:dyDescent="0.45">
      <c r="B43" s="2084" t="s">
        <v>2027</v>
      </c>
      <c r="C43" s="2095"/>
      <c r="D43" s="2086"/>
      <c r="E43" s="2087"/>
    </row>
    <row r="44" spans="2:14" x14ac:dyDescent="0.45">
      <c r="B44" s="2090"/>
      <c r="C44" s="2073" t="s">
        <v>2028</v>
      </c>
      <c r="D44" s="2100">
        <v>0.75</v>
      </c>
      <c r="E44" s="2075"/>
      <c r="M44" s="1931"/>
      <c r="N44" s="1931"/>
    </row>
    <row r="45" spans="2:14" x14ac:dyDescent="0.45">
      <c r="B45" s="2090"/>
      <c r="C45" s="2073" t="s">
        <v>2029</v>
      </c>
      <c r="D45" s="2074">
        <f ca="1">D35*D36*365</f>
        <v>0</v>
      </c>
      <c r="E45" s="2075"/>
      <c r="M45" s="1931"/>
      <c r="N45" s="1931"/>
    </row>
    <row r="46" spans="2:14" x14ac:dyDescent="0.45">
      <c r="B46" s="2092"/>
      <c r="C46" s="2080" t="s">
        <v>2030</v>
      </c>
      <c r="D46" s="2093">
        <f ca="1">D45/(1-D44)</f>
        <v>0</v>
      </c>
      <c r="E46" s="2094"/>
      <c r="M46" s="1931"/>
      <c r="N46" s="1931"/>
    </row>
    <row r="47" spans="2:14" x14ac:dyDescent="0.45">
      <c r="B47" s="2083" t="s">
        <v>2031</v>
      </c>
      <c r="C47" s="2059"/>
      <c r="D47" s="2101">
        <f ca="1">MIN(D46,D42)</f>
        <v>0</v>
      </c>
      <c r="E47" s="2102"/>
      <c r="M47" s="1931"/>
      <c r="N47" s="1931"/>
    </row>
    <row r="48" spans="2:14" x14ac:dyDescent="0.45">
      <c r="B48" s="2103" t="s">
        <v>2032</v>
      </c>
      <c r="C48" s="2058"/>
      <c r="D48" s="2104">
        <f ca="1">D47-D37</f>
        <v>0</v>
      </c>
      <c r="E48" s="2105"/>
      <c r="M48" s="1931"/>
      <c r="N48" s="1931"/>
    </row>
    <row r="49" spans="2:20" x14ac:dyDescent="0.45">
      <c r="B49" s="2050"/>
      <c r="C49" s="2050"/>
      <c r="D49" s="2051"/>
      <c r="E49" s="2051"/>
      <c r="M49" s="1931"/>
      <c r="N49" s="1931"/>
    </row>
    <row r="50" spans="2:20" x14ac:dyDescent="0.45">
      <c r="B50" s="2050"/>
      <c r="C50" s="2050"/>
      <c r="D50" s="2051"/>
      <c r="E50" s="2051"/>
      <c r="M50" s="1931"/>
      <c r="N50" s="1931"/>
    </row>
    <row r="51" spans="2:20" x14ac:dyDescent="0.45">
      <c r="B51" s="2050"/>
      <c r="C51" s="2050"/>
      <c r="D51" s="2051"/>
      <c r="E51" s="2051"/>
      <c r="M51" s="1931"/>
      <c r="N51" s="1931"/>
    </row>
    <row r="52" spans="2:20" x14ac:dyDescent="0.45">
      <c r="M52" s="1931"/>
      <c r="N52" s="1931"/>
    </row>
    <row r="53" spans="2:20" x14ac:dyDescent="0.45">
      <c r="C53" s="2052" t="s">
        <v>2033</v>
      </c>
      <c r="D53" s="2108">
        <f>32006+38658</f>
        <v>70664</v>
      </c>
      <c r="M53" s="1931"/>
      <c r="N53" s="1931"/>
      <c r="S53" s="2062" t="s">
        <v>2034</v>
      </c>
    </row>
    <row r="54" spans="2:20" x14ac:dyDescent="0.45">
      <c r="C54" s="2052" t="s">
        <v>2035</v>
      </c>
      <c r="D54" s="2109">
        <v>0.75</v>
      </c>
      <c r="M54" s="1931"/>
      <c r="N54" s="1931"/>
      <c r="S54" s="2110" t="s">
        <v>2036</v>
      </c>
      <c r="T54" s="2110" t="s">
        <v>2037</v>
      </c>
    </row>
    <row r="55" spans="2:20" x14ac:dyDescent="0.45">
      <c r="C55" s="2052" t="s">
        <v>2038</v>
      </c>
      <c r="D55" s="2108">
        <f>D53*D54</f>
        <v>52998</v>
      </c>
      <c r="M55" s="1931"/>
      <c r="N55" s="1931"/>
      <c r="S55" s="2110">
        <v>1</v>
      </c>
      <c r="T55" s="2110">
        <v>0.85499999999999998</v>
      </c>
    </row>
    <row r="56" spans="2:20" x14ac:dyDescent="0.45">
      <c r="C56" s="2052" t="s">
        <v>2039</v>
      </c>
      <c r="D56" s="2111">
        <v>0.3</v>
      </c>
      <c r="M56" s="1931"/>
      <c r="N56" s="1931"/>
      <c r="S56" s="2110">
        <v>1.5</v>
      </c>
      <c r="T56" s="2110">
        <v>0.86499999999999999</v>
      </c>
    </row>
    <row r="57" spans="2:20" x14ac:dyDescent="0.45">
      <c r="C57" s="2052" t="s">
        <v>2040</v>
      </c>
      <c r="D57" s="2108">
        <v>8760</v>
      </c>
      <c r="M57" s="1931"/>
      <c r="N57" s="1931"/>
      <c r="S57" s="2110">
        <v>2</v>
      </c>
      <c r="T57" s="2110">
        <v>0.86499999999999999</v>
      </c>
    </row>
    <row r="58" spans="2:20" x14ac:dyDescent="0.45">
      <c r="C58" s="2052" t="s">
        <v>2041</v>
      </c>
      <c r="D58" s="2112">
        <f>D55*D56/1000*D57</f>
        <v>139278.74400000001</v>
      </c>
      <c r="M58" s="1931"/>
      <c r="N58" s="1931"/>
      <c r="S58" s="2110">
        <v>3</v>
      </c>
      <c r="T58" s="2110">
        <v>0.89500000000000002</v>
      </c>
    </row>
    <row r="59" spans="2:20" x14ac:dyDescent="0.45">
      <c r="C59" s="2052" t="s">
        <v>2042</v>
      </c>
      <c r="D59" s="2111">
        <f>(5.6*2+6.5*3)/0.91*0.746</f>
        <v>25.167252747252746</v>
      </c>
      <c r="E59" s="2113" t="s">
        <v>2043</v>
      </c>
      <c r="M59" s="1931"/>
      <c r="N59" s="1931"/>
      <c r="S59" s="2110">
        <v>5</v>
      </c>
      <c r="T59" s="2110">
        <v>0.89500000000000002</v>
      </c>
    </row>
    <row r="60" spans="2:20" x14ac:dyDescent="0.45">
      <c r="C60" s="2052" t="s">
        <v>2044</v>
      </c>
      <c r="D60" s="2108">
        <f>35300*3</f>
        <v>105900</v>
      </c>
      <c r="M60" s="1931"/>
      <c r="N60" s="1931"/>
      <c r="S60" s="2110">
        <v>7.5</v>
      </c>
      <c r="T60" s="2110">
        <v>0.91</v>
      </c>
    </row>
    <row r="61" spans="2:20" x14ac:dyDescent="0.45">
      <c r="C61" s="2052" t="s">
        <v>2045</v>
      </c>
      <c r="D61" s="2109">
        <f>D59*1000/D60</f>
        <v>0.23765111187207505</v>
      </c>
      <c r="M61" s="1931"/>
      <c r="N61" s="1931"/>
      <c r="S61" s="2110">
        <v>10</v>
      </c>
      <c r="T61" s="2110">
        <v>0.91700000000000004</v>
      </c>
    </row>
    <row r="62" spans="2:20" x14ac:dyDescent="0.45">
      <c r="C62" s="2052" t="s">
        <v>2046</v>
      </c>
      <c r="D62" s="2108">
        <f>8.4*365</f>
        <v>3066</v>
      </c>
      <c r="M62" s="1931"/>
      <c r="N62" s="1931"/>
      <c r="S62" s="2110">
        <v>15</v>
      </c>
      <c r="T62" s="2110">
        <v>0.93</v>
      </c>
    </row>
    <row r="63" spans="2:20" x14ac:dyDescent="0.45">
      <c r="C63" s="2052" t="s">
        <v>2047</v>
      </c>
      <c r="D63" s="2112">
        <f>D59*D62</f>
        <v>77162.796923076923</v>
      </c>
      <c r="S63" s="2110">
        <v>20</v>
      </c>
      <c r="T63" s="2110">
        <v>0.93</v>
      </c>
    </row>
    <row r="64" spans="2:20" x14ac:dyDescent="0.45">
      <c r="C64" s="2052" t="s">
        <v>2048</v>
      </c>
      <c r="D64" s="2112">
        <f>D58-D63</f>
        <v>62115.947076923083</v>
      </c>
      <c r="S64" s="2110">
        <v>25</v>
      </c>
      <c r="T64" s="2110">
        <v>0.93600000000000005</v>
      </c>
    </row>
    <row r="65" spans="3:20" x14ac:dyDescent="0.45">
      <c r="C65" s="2052"/>
      <c r="S65" s="2110">
        <v>30</v>
      </c>
      <c r="T65" s="2110">
        <v>0.94099999999999995</v>
      </c>
    </row>
    <row r="66" spans="3:20" x14ac:dyDescent="0.45">
      <c r="C66" s="2052"/>
      <c r="S66" s="2110">
        <v>40</v>
      </c>
      <c r="T66" s="2110">
        <v>0.94099999999999995</v>
      </c>
    </row>
    <row r="67" spans="3:20" x14ac:dyDescent="0.45">
      <c r="C67" s="2052"/>
      <c r="S67" s="2110">
        <v>50</v>
      </c>
      <c r="T67" s="2110">
        <v>0.94499999999999995</v>
      </c>
    </row>
    <row r="68" spans="3:20" x14ac:dyDescent="0.45">
      <c r="C68" s="2052"/>
      <c r="S68" s="2110">
        <v>60</v>
      </c>
      <c r="T68" s="2110">
        <v>0.95</v>
      </c>
    </row>
    <row r="69" spans="3:20" x14ac:dyDescent="0.45">
      <c r="C69" s="2052"/>
      <c r="S69" s="2110">
        <v>75</v>
      </c>
      <c r="T69" s="2110">
        <v>0.95</v>
      </c>
    </row>
    <row r="70" spans="3:20" x14ac:dyDescent="0.45">
      <c r="C70" s="2052"/>
      <c r="S70" s="2110">
        <v>100</v>
      </c>
      <c r="T70" s="2110">
        <v>0.95399999999999996</v>
      </c>
    </row>
    <row r="71" spans="3:20" x14ac:dyDescent="0.45">
      <c r="C71" s="2052"/>
      <c r="S71" s="2110">
        <v>125</v>
      </c>
      <c r="T71" s="2110">
        <v>0.95399999999999996</v>
      </c>
    </row>
    <row r="72" spans="3:20" x14ac:dyDescent="0.45">
      <c r="C72" s="2052"/>
      <c r="S72" s="2110">
        <v>150</v>
      </c>
      <c r="T72" s="2110">
        <v>0.95799999999999996</v>
      </c>
    </row>
    <row r="73" spans="3:20" x14ac:dyDescent="0.45">
      <c r="C73" s="2052"/>
      <c r="S73" s="2110">
        <v>200</v>
      </c>
      <c r="T73" s="2110">
        <v>0.95799999999999996</v>
      </c>
    </row>
    <row r="74" spans="3:20" x14ac:dyDescent="0.45">
      <c r="C74" s="2052"/>
      <c r="S74" s="2110">
        <v>250</v>
      </c>
      <c r="T74" s="2110">
        <v>0.95799999999999996</v>
      </c>
    </row>
    <row r="75" spans="3:20" x14ac:dyDescent="0.45">
      <c r="C75" s="2052"/>
      <c r="S75" s="2110">
        <v>300</v>
      </c>
      <c r="T75" s="2110">
        <v>0.95799999999999996</v>
      </c>
    </row>
    <row r="76" spans="3:20" x14ac:dyDescent="0.45">
      <c r="C76" s="2052"/>
      <c r="S76" s="2110">
        <v>350</v>
      </c>
      <c r="T76" s="2110">
        <v>0.95799999999999996</v>
      </c>
    </row>
    <row r="77" spans="3:20" x14ac:dyDescent="0.45">
      <c r="C77" s="2052"/>
      <c r="S77" s="2110">
        <v>400</v>
      </c>
      <c r="T77" s="2110">
        <v>0.95799999999999996</v>
      </c>
    </row>
    <row r="78" spans="3:20" x14ac:dyDescent="0.45">
      <c r="C78" s="2052"/>
      <c r="S78" s="2110">
        <v>450</v>
      </c>
      <c r="T78" s="2110">
        <v>0.96199999999999997</v>
      </c>
    </row>
    <row r="79" spans="3:20" x14ac:dyDescent="0.45">
      <c r="C79" s="2052"/>
      <c r="S79" s="2110">
        <v>500</v>
      </c>
      <c r="T79" s="2110">
        <v>0.96199999999999997</v>
      </c>
    </row>
    <row r="80" spans="3:20" x14ac:dyDescent="0.45">
      <c r="C80" s="2052"/>
      <c r="S80" s="2110">
        <v>1000000</v>
      </c>
      <c r="T80" s="2110">
        <v>0.96199999999999997</v>
      </c>
    </row>
    <row r="81" spans="3:3" x14ac:dyDescent="0.45">
      <c r="C81" s="2052"/>
    </row>
    <row r="82" spans="3:3" x14ac:dyDescent="0.45">
      <c r="C82" s="2052"/>
    </row>
  </sheetData>
  <mergeCells count="11">
    <mergeCell ref="B24:E24"/>
    <mergeCell ref="B8:E8"/>
    <mergeCell ref="B20:E20"/>
    <mergeCell ref="C21:E21"/>
    <mergeCell ref="B22:E22"/>
    <mergeCell ref="C23:E23"/>
    <mergeCell ref="C25:E25"/>
    <mergeCell ref="B26:E26"/>
    <mergeCell ref="C27:E27"/>
    <mergeCell ref="B28:E28"/>
    <mergeCell ref="C29:E29"/>
  </mergeCells>
  <conditionalFormatting sqref="C18:E18">
    <cfRule type="expression" dxfId="5" priority="3">
      <formula>$D$18&lt;1500</formula>
    </cfRule>
    <cfRule type="expression" dxfId="4" priority="4">
      <formula>$D$18&gt;1500</formula>
    </cfRule>
  </conditionalFormatting>
  <conditionalFormatting sqref="C19:E19">
    <cfRule type="expression" dxfId="3" priority="1">
      <formula>$D$19="Yes"</formula>
    </cfRule>
    <cfRule type="expression" dxfId="2" priority="2">
      <formula>$D$19="No"</formula>
    </cfRule>
  </conditionalFormatting>
  <pageMargins left="0.7" right="0.7" top="0.75" bottom="0.75" header="0.3" footer="0.3"/>
  <pageSetup orientation="portrait" r:id="rId1"/>
  <rowBreaks count="3" manualBreakCount="3">
    <brk id="19" min="1" max="4" man="1"/>
    <brk id="23" min="1" max="4" man="1"/>
    <brk id="30" min="1" max="4"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rgb="FF0000FF"/>
  </sheetPr>
  <dimension ref="C5:S23"/>
  <sheetViews>
    <sheetView workbookViewId="0"/>
  </sheetViews>
  <sheetFormatPr defaultRowHeight="14.4" x14ac:dyDescent="0.3"/>
  <cols>
    <col min="3" max="3" width="4" customWidth="1"/>
    <col min="4" max="4" width="3.6640625" customWidth="1"/>
    <col min="5" max="5" width="22.109375" bestFit="1" customWidth="1"/>
    <col min="7" max="7" width="11.5546875" bestFit="1" customWidth="1"/>
    <col min="8" max="8" width="10.5546875" bestFit="1" customWidth="1"/>
    <col min="10" max="10" width="3.6640625" customWidth="1"/>
    <col min="12" max="12" width="11.5546875" bestFit="1" customWidth="1"/>
    <col min="13" max="13" width="3.6640625" customWidth="1"/>
    <col min="15" max="15" width="9.5546875" bestFit="1" customWidth="1"/>
    <col min="17" max="17" width="11.5546875" bestFit="1" customWidth="1"/>
    <col min="19" max="19" width="13.33203125" bestFit="1" customWidth="1"/>
  </cols>
  <sheetData>
    <row r="5" spans="3:19" x14ac:dyDescent="0.3">
      <c r="C5" t="s">
        <v>1012</v>
      </c>
    </row>
    <row r="11" spans="3:19" x14ac:dyDescent="0.3">
      <c r="C11" t="s">
        <v>1013</v>
      </c>
    </row>
    <row r="12" spans="3:19" x14ac:dyDescent="0.3">
      <c r="D12" t="s">
        <v>1014</v>
      </c>
    </row>
    <row r="13" spans="3:19" ht="15" thickBot="1" x14ac:dyDescent="0.35">
      <c r="E13" s="11" t="s">
        <v>1015</v>
      </c>
      <c r="F13" s="11" t="s">
        <v>978</v>
      </c>
      <c r="G13" s="11" t="s">
        <v>11</v>
      </c>
      <c r="H13" s="11" t="s">
        <v>42</v>
      </c>
      <c r="I13" s="11" t="s">
        <v>43</v>
      </c>
      <c r="J13" s="11"/>
      <c r="K13" s="11" t="s">
        <v>1017</v>
      </c>
      <c r="L13" s="11" t="s">
        <v>1018</v>
      </c>
      <c r="M13" s="11"/>
      <c r="N13" s="11" t="s">
        <v>978</v>
      </c>
      <c r="O13" s="11" t="s">
        <v>302</v>
      </c>
      <c r="Q13" t="s">
        <v>1019</v>
      </c>
      <c r="R13" t="s">
        <v>782</v>
      </c>
    </row>
    <row r="14" spans="3:19" ht="15" thickTop="1" x14ac:dyDescent="0.3">
      <c r="E14" t="s">
        <v>1016</v>
      </c>
      <c r="F14">
        <v>0.15</v>
      </c>
      <c r="G14" s="906">
        <f ca="1">Proj_Sum!$P$32-Spaces_Sum!$H$39</f>
        <v>119729.68709999998</v>
      </c>
      <c r="H14" s="2">
        <f ca="1">F14*G14</f>
        <v>17959.453064999998</v>
      </c>
      <c r="I14" s="20">
        <f ca="1">H14/(0.12*8760)</f>
        <v>17.084715624999998</v>
      </c>
      <c r="K14">
        <v>3</v>
      </c>
      <c r="L14" s="911">
        <f ca="1">I14*1000*K14</f>
        <v>51254.146874999991</v>
      </c>
      <c r="N14">
        <v>13</v>
      </c>
      <c r="O14" s="2">
        <f ca="1">H14/N14</f>
        <v>1381.4963896153845</v>
      </c>
    </row>
    <row r="15" spans="3:19" x14ac:dyDescent="0.3">
      <c r="E15" s="21" t="s">
        <v>218</v>
      </c>
      <c r="F15" s="21">
        <v>0.38</v>
      </c>
      <c r="G15" s="907">
        <f ca="1">Spaces_Sum!$H$39</f>
        <v>0</v>
      </c>
      <c r="H15" s="907">
        <f ca="1">F15*G15</f>
        <v>0</v>
      </c>
      <c r="I15" s="908">
        <f ca="1">H15/(0.12*8760)</f>
        <v>0</v>
      </c>
      <c r="J15" s="21"/>
      <c r="K15" s="21">
        <v>3</v>
      </c>
      <c r="L15" s="912">
        <f t="shared" ref="L15:L16" ca="1" si="0">I15*1000*K15</f>
        <v>0</v>
      </c>
      <c r="M15" s="21"/>
      <c r="N15" s="21">
        <v>13</v>
      </c>
      <c r="O15" s="907">
        <f t="shared" ref="O15:O16" ca="1" si="1">H15/N15</f>
        <v>0</v>
      </c>
    </row>
    <row r="16" spans="3:19" x14ac:dyDescent="0.3">
      <c r="E16" t="s">
        <v>41</v>
      </c>
      <c r="G16" s="909">
        <f t="shared" ref="G16:H16" ca="1" si="2">SUM(G14:G15)</f>
        <v>119729.68709999998</v>
      </c>
      <c r="H16" s="909">
        <f t="shared" ca="1" si="2"/>
        <v>17959.453064999998</v>
      </c>
      <c r="I16" s="910">
        <f ca="1">SUM(I14:I15)</f>
        <v>17.084715624999998</v>
      </c>
      <c r="K16">
        <v>3</v>
      </c>
      <c r="L16" s="913">
        <f t="shared" ca="1" si="0"/>
        <v>51254.146874999991</v>
      </c>
      <c r="N16">
        <v>13</v>
      </c>
      <c r="O16" s="2">
        <f t="shared" ca="1" si="1"/>
        <v>1381.4963896153845</v>
      </c>
      <c r="Q16" s="2">
        <f ca="1">H16*3.413</f>
        <v>61295.613310844987</v>
      </c>
      <c r="R16">
        <v>30</v>
      </c>
      <c r="S16" s="2">
        <f ca="1">R16*G16</f>
        <v>3591890.6129999994</v>
      </c>
    </row>
    <row r="17" spans="7:17" x14ac:dyDescent="0.3">
      <c r="Q17" s="920">
        <f ca="1">Q16/S16</f>
        <v>1.7065E-2</v>
      </c>
    </row>
    <row r="18" spans="7:17" x14ac:dyDescent="0.3">
      <c r="G18" s="906"/>
      <c r="H18" s="16"/>
      <c r="I18" s="20"/>
    </row>
    <row r="19" spans="7:17" x14ac:dyDescent="0.3">
      <c r="G19" s="2"/>
      <c r="H19" s="16"/>
      <c r="I19" s="20"/>
    </row>
    <row r="21" spans="7:17" x14ac:dyDescent="0.3">
      <c r="G21" s="914"/>
      <c r="H21" s="2"/>
      <c r="I21" s="20"/>
      <c r="L21" s="915"/>
      <c r="O21" s="2"/>
    </row>
    <row r="22" spans="7:17" x14ac:dyDescent="0.3">
      <c r="G22" s="2"/>
      <c r="H22" s="2"/>
      <c r="I22" s="20"/>
      <c r="L22" s="915"/>
      <c r="O22" s="2"/>
    </row>
    <row r="23" spans="7:17" x14ac:dyDescent="0.3">
      <c r="G23" s="916"/>
      <c r="H23" s="916"/>
      <c r="I23" s="917"/>
      <c r="L23" s="918"/>
      <c r="O23" s="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61EF5-AD8D-491F-BCEA-B70806B42117}">
  <sheetPr codeName="Sheet23"/>
  <dimension ref="A1:B19"/>
  <sheetViews>
    <sheetView workbookViewId="0">
      <selection sqref="A1:B1"/>
    </sheetView>
  </sheetViews>
  <sheetFormatPr defaultColWidth="9.109375" defaultRowHeight="14.4" x14ac:dyDescent="0.3"/>
  <cols>
    <col min="1" max="2" width="17.88671875" style="941" customWidth="1"/>
  </cols>
  <sheetData>
    <row r="1" spans="1:2" x14ac:dyDescent="0.3">
      <c r="A1" s="2745" t="s">
        <v>1946</v>
      </c>
      <c r="B1" s="2745"/>
    </row>
    <row r="2" spans="1:2" x14ac:dyDescent="0.3">
      <c r="A2" s="941" t="s">
        <v>420</v>
      </c>
      <c r="B2" s="941" t="s">
        <v>1947</v>
      </c>
    </row>
    <row r="3" spans="1:2" x14ac:dyDescent="0.3">
      <c r="A3" s="941">
        <v>1</v>
      </c>
      <c r="B3" s="941">
        <v>0.82499999999999996</v>
      </c>
    </row>
    <row r="4" spans="1:2" x14ac:dyDescent="0.3">
      <c r="A4" s="941">
        <v>1.5</v>
      </c>
      <c r="B4" s="941">
        <v>0.84</v>
      </c>
    </row>
    <row r="5" spans="1:2" x14ac:dyDescent="0.3">
      <c r="A5" s="941">
        <v>2</v>
      </c>
      <c r="B5" s="941">
        <v>0.84</v>
      </c>
    </row>
    <row r="6" spans="1:2" x14ac:dyDescent="0.3">
      <c r="A6" s="941">
        <v>3</v>
      </c>
      <c r="B6" s="941">
        <v>0.86499999999999999</v>
      </c>
    </row>
    <row r="7" spans="1:2" x14ac:dyDescent="0.3">
      <c r="A7" s="941">
        <v>5</v>
      </c>
      <c r="B7" s="941">
        <v>0.875</v>
      </c>
    </row>
    <row r="8" spans="1:2" x14ac:dyDescent="0.3">
      <c r="A8" s="941">
        <v>7.5</v>
      </c>
      <c r="B8" s="941">
        <v>0.88500000000000001</v>
      </c>
    </row>
    <row r="9" spans="1:2" x14ac:dyDescent="0.3">
      <c r="A9" s="941">
        <v>10</v>
      </c>
      <c r="B9" s="941">
        <v>0.89500000000000002</v>
      </c>
    </row>
    <row r="10" spans="1:2" x14ac:dyDescent="0.3">
      <c r="A10" s="941">
        <v>15</v>
      </c>
      <c r="B10" s="941">
        <v>0.91</v>
      </c>
    </row>
    <row r="11" spans="1:2" x14ac:dyDescent="0.3">
      <c r="A11" s="941">
        <v>20</v>
      </c>
      <c r="B11" s="941">
        <v>0.91</v>
      </c>
    </row>
    <row r="12" spans="1:2" x14ac:dyDescent="0.3">
      <c r="A12" s="941">
        <v>25</v>
      </c>
      <c r="B12" s="941">
        <v>0.91700000000000004</v>
      </c>
    </row>
    <row r="13" spans="1:2" x14ac:dyDescent="0.3">
      <c r="A13" s="941">
        <v>30</v>
      </c>
      <c r="B13" s="941">
        <v>0.92400000000000004</v>
      </c>
    </row>
    <row r="14" spans="1:2" x14ac:dyDescent="0.3">
      <c r="A14" s="941">
        <v>40</v>
      </c>
      <c r="B14" s="941">
        <v>0.93</v>
      </c>
    </row>
    <row r="15" spans="1:2" x14ac:dyDescent="0.3">
      <c r="A15" s="941">
        <v>50</v>
      </c>
      <c r="B15" s="941">
        <v>0.93</v>
      </c>
    </row>
    <row r="16" spans="1:2" x14ac:dyDescent="0.3">
      <c r="A16" s="941">
        <v>60</v>
      </c>
      <c r="B16" s="941">
        <v>0.93600000000000005</v>
      </c>
    </row>
    <row r="17" spans="1:2" x14ac:dyDescent="0.3">
      <c r="A17" s="941">
        <v>75</v>
      </c>
      <c r="B17" s="941">
        <v>0.94099999999999995</v>
      </c>
    </row>
    <row r="18" spans="1:2" x14ac:dyDescent="0.3">
      <c r="A18" s="941">
        <v>100</v>
      </c>
      <c r="B18" s="941">
        <v>0.94099999999999995</v>
      </c>
    </row>
    <row r="19" spans="1:2" x14ac:dyDescent="0.3">
      <c r="A19" s="941">
        <v>150</v>
      </c>
      <c r="B19" s="941">
        <v>0.95</v>
      </c>
    </row>
  </sheetData>
  <autoFilter ref="A2:B2" xr:uid="{BC5AF1D5-0050-4171-9ADB-15855B6A85E1}">
    <sortState xmlns:xlrd2="http://schemas.microsoft.com/office/spreadsheetml/2017/richdata2" ref="A3:B19">
      <sortCondition ref="A2"/>
    </sortState>
  </autoFilter>
  <mergeCells count="1">
    <mergeCell ref="A1:B1"/>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tabColor rgb="FF00B0F0"/>
  </sheetPr>
  <dimension ref="A1:AL43"/>
  <sheetViews>
    <sheetView workbookViewId="0">
      <selection activeCell="J41" sqref="J41"/>
    </sheetView>
  </sheetViews>
  <sheetFormatPr defaultColWidth="9.109375" defaultRowHeight="14.4" x14ac:dyDescent="0.3"/>
  <cols>
    <col min="1" max="1" width="3.5546875" customWidth="1"/>
    <col min="2" max="2" width="22.5546875" customWidth="1"/>
    <col min="3" max="11" width="9.5546875" customWidth="1"/>
    <col min="12" max="12" width="9.5546875" bestFit="1" customWidth="1"/>
    <col min="23" max="23" width="18.88671875" customWidth="1"/>
    <col min="24" max="24" width="8.109375" customWidth="1"/>
    <col min="25" max="25" width="12.5546875" customWidth="1"/>
    <col min="32" max="32" width="12.5546875" customWidth="1"/>
    <col min="34" max="34" width="10" customWidth="1"/>
  </cols>
  <sheetData>
    <row r="1" spans="1:38" x14ac:dyDescent="0.3">
      <c r="A1" t="s">
        <v>371</v>
      </c>
      <c r="U1" t="s">
        <v>389</v>
      </c>
    </row>
    <row r="3" spans="1:38" ht="29.25" customHeight="1" x14ac:dyDescent="0.3">
      <c r="B3" t="s">
        <v>390</v>
      </c>
    </row>
    <row r="4" spans="1:38" x14ac:dyDescent="0.3">
      <c r="B4" t="s">
        <v>391</v>
      </c>
    </row>
    <row r="6" spans="1:38" s="196" customFormat="1" ht="28.8" x14ac:dyDescent="0.3">
      <c r="B6" s="194" t="s">
        <v>372</v>
      </c>
      <c r="C6" s="194" t="s">
        <v>240</v>
      </c>
      <c r="D6" s="194" t="s">
        <v>373</v>
      </c>
      <c r="E6" s="194" t="s">
        <v>374</v>
      </c>
      <c r="F6" s="194" t="s">
        <v>371</v>
      </c>
      <c r="G6" s="2747" t="s">
        <v>392</v>
      </c>
      <c r="H6" s="2747"/>
      <c r="I6" s="2746" t="s">
        <v>393</v>
      </c>
      <c r="J6" s="2746"/>
      <c r="V6" s="24" t="s">
        <v>315</v>
      </c>
      <c r="W6" s="24" t="s">
        <v>44</v>
      </c>
      <c r="X6" s="24" t="s">
        <v>426</v>
      </c>
      <c r="Y6" s="24" t="s">
        <v>427</v>
      </c>
      <c r="Z6" s="24" t="s">
        <v>422</v>
      </c>
      <c r="AA6" s="24" t="s">
        <v>217</v>
      </c>
      <c r="AB6" s="24" t="s">
        <v>423</v>
      </c>
      <c r="AC6" s="24" t="s">
        <v>431</v>
      </c>
      <c r="AD6" s="196" t="s">
        <v>428</v>
      </c>
      <c r="AE6" s="196" t="s">
        <v>429</v>
      </c>
      <c r="AF6" s="196" t="s">
        <v>433</v>
      </c>
      <c r="AG6" s="196" t="s">
        <v>41</v>
      </c>
      <c r="AH6" s="196" t="s">
        <v>434</v>
      </c>
      <c r="AI6" s="196" t="s">
        <v>428</v>
      </c>
      <c r="AJ6" s="196" t="s">
        <v>429</v>
      </c>
      <c r="AK6" s="196" t="s">
        <v>222</v>
      </c>
      <c r="AL6" s="196" t="s">
        <v>402</v>
      </c>
    </row>
    <row r="7" spans="1:38" s="194" customFormat="1" x14ac:dyDescent="0.25">
      <c r="B7" s="200" t="s">
        <v>394</v>
      </c>
      <c r="C7" s="200"/>
      <c r="D7" s="200"/>
      <c r="E7" s="200" t="s">
        <v>375</v>
      </c>
      <c r="F7" s="200" t="s">
        <v>376</v>
      </c>
      <c r="G7" s="201" t="s">
        <v>377</v>
      </c>
      <c r="H7" s="201" t="s">
        <v>378</v>
      </c>
      <c r="I7" s="202" t="s">
        <v>377</v>
      </c>
      <c r="J7" s="202" t="s">
        <v>378</v>
      </c>
      <c r="K7" s="203" t="s">
        <v>128</v>
      </c>
      <c r="V7" s="207"/>
      <c r="W7" s="207"/>
      <c r="X7" s="207"/>
      <c r="Y7" s="207"/>
      <c r="Z7" s="208" t="s">
        <v>432</v>
      </c>
      <c r="AA7" s="208"/>
      <c r="AB7" s="208" t="s">
        <v>43</v>
      </c>
      <c r="AC7" s="209" t="s">
        <v>430</v>
      </c>
      <c r="AD7" s="208" t="s">
        <v>223</v>
      </c>
      <c r="AE7" s="208" t="s">
        <v>223</v>
      </c>
      <c r="AF7" s="208" t="s">
        <v>223</v>
      </c>
      <c r="AG7" s="208" t="s">
        <v>223</v>
      </c>
      <c r="AH7" s="208"/>
      <c r="AI7" s="208"/>
      <c r="AJ7" s="208"/>
      <c r="AK7" s="208" t="s">
        <v>435</v>
      </c>
      <c r="AL7" s="208" t="s">
        <v>43</v>
      </c>
    </row>
    <row r="8" spans="1:38" x14ac:dyDescent="0.3">
      <c r="B8" t="s">
        <v>379</v>
      </c>
      <c r="C8">
        <v>201</v>
      </c>
      <c r="D8">
        <v>26</v>
      </c>
      <c r="E8">
        <v>50</v>
      </c>
      <c r="F8">
        <v>30</v>
      </c>
      <c r="G8" s="197">
        <v>357</v>
      </c>
      <c r="H8" s="197">
        <f>G8*365</f>
        <v>130305</v>
      </c>
      <c r="I8" s="30">
        <v>108</v>
      </c>
      <c r="J8" s="198">
        <f>I8*365</f>
        <v>39420</v>
      </c>
      <c r="K8" s="199">
        <f>1-(J8/H8)</f>
        <v>0.69747899159663862</v>
      </c>
      <c r="L8" s="2"/>
      <c r="V8" t="s">
        <v>424</v>
      </c>
      <c r="W8" t="s">
        <v>425</v>
      </c>
      <c r="X8" t="s">
        <v>352</v>
      </c>
      <c r="Y8" t="s">
        <v>165</v>
      </c>
      <c r="Z8">
        <v>76</v>
      </c>
      <c r="AA8">
        <v>26</v>
      </c>
      <c r="AB8">
        <v>43.1</v>
      </c>
      <c r="AC8">
        <v>441000</v>
      </c>
      <c r="AD8">
        <v>5503</v>
      </c>
      <c r="AE8">
        <v>15843</v>
      </c>
      <c r="AF8">
        <v>4210</v>
      </c>
      <c r="AG8">
        <f>SUM(AD8:AE8)-AF8</f>
        <v>17136</v>
      </c>
      <c r="AH8" s="5">
        <f>AF8/AG8</f>
        <v>0.24568160597572361</v>
      </c>
      <c r="AI8" s="5">
        <f>AD8/$AG8</f>
        <v>0.32113678804855278</v>
      </c>
      <c r="AJ8" s="5">
        <f>1-AI8</f>
        <v>0.67886321195144728</v>
      </c>
      <c r="AK8" s="23">
        <f>AG8/365/AB8</f>
        <v>1.0892794711248133</v>
      </c>
      <c r="AL8">
        <f>AG8/(AK8*365)</f>
        <v>43.1</v>
      </c>
    </row>
    <row r="9" spans="1:38" x14ac:dyDescent="0.3">
      <c r="B9" t="s">
        <v>380</v>
      </c>
      <c r="C9">
        <v>321</v>
      </c>
      <c r="D9">
        <v>22</v>
      </c>
      <c r="E9">
        <v>50</v>
      </c>
      <c r="F9">
        <v>25</v>
      </c>
      <c r="G9" s="197">
        <v>239</v>
      </c>
      <c r="H9" s="197">
        <f t="shared" ref="H9:H14" si="0">G9*365</f>
        <v>87235</v>
      </c>
      <c r="I9" s="30">
        <v>86</v>
      </c>
      <c r="J9" s="198">
        <f t="shared" ref="J9:J14" si="1">I9*365</f>
        <v>31390</v>
      </c>
      <c r="K9" s="199">
        <f t="shared" ref="K9:K14" si="2">1-(J9/H9)</f>
        <v>0.64016736401673646</v>
      </c>
      <c r="L9" s="2"/>
      <c r="V9" t="s">
        <v>424</v>
      </c>
      <c r="W9" t="s">
        <v>425</v>
      </c>
      <c r="X9" t="s">
        <v>132</v>
      </c>
      <c r="Y9" t="s">
        <v>165</v>
      </c>
      <c r="Z9">
        <v>76</v>
      </c>
      <c r="AA9">
        <v>26</v>
      </c>
      <c r="AB9">
        <v>43.1</v>
      </c>
      <c r="AC9">
        <v>441000</v>
      </c>
      <c r="AD9">
        <v>5503</v>
      </c>
      <c r="AE9">
        <v>15843</v>
      </c>
      <c r="AF9">
        <v>0</v>
      </c>
      <c r="AG9">
        <f>SUM(AD9:AE9)</f>
        <v>21346</v>
      </c>
      <c r="AH9" s="5">
        <f>AF9/AG9</f>
        <v>0</v>
      </c>
      <c r="AI9" s="5">
        <f>AD9/$AG9</f>
        <v>0.25780005621662139</v>
      </c>
      <c r="AJ9" s="5">
        <f>1-AI9</f>
        <v>0.74219994378337861</v>
      </c>
      <c r="AK9" s="23">
        <f>AK8</f>
        <v>1.0892794711248133</v>
      </c>
      <c r="AL9" s="20">
        <f>AG9/(AK9*365)</f>
        <v>53.688877217553689</v>
      </c>
    </row>
    <row r="10" spans="1:38" x14ac:dyDescent="0.3">
      <c r="B10" t="s">
        <v>381</v>
      </c>
      <c r="C10">
        <v>218</v>
      </c>
      <c r="D10">
        <v>17</v>
      </c>
      <c r="E10">
        <v>50</v>
      </c>
      <c r="F10">
        <v>7.5</v>
      </c>
      <c r="G10" s="197">
        <v>84</v>
      </c>
      <c r="H10" s="197">
        <f t="shared" si="0"/>
        <v>30660</v>
      </c>
      <c r="I10" s="30">
        <v>20</v>
      </c>
      <c r="J10" s="198">
        <f t="shared" si="1"/>
        <v>7300</v>
      </c>
      <c r="K10" s="199">
        <f t="shared" si="2"/>
        <v>0.76190476190476186</v>
      </c>
      <c r="L10" s="2"/>
    </row>
    <row r="11" spans="1:38" x14ac:dyDescent="0.3">
      <c r="B11" t="s">
        <v>382</v>
      </c>
      <c r="C11">
        <v>229</v>
      </c>
      <c r="D11">
        <v>16</v>
      </c>
      <c r="E11">
        <v>50</v>
      </c>
      <c r="F11">
        <v>10</v>
      </c>
      <c r="G11" s="197">
        <v>168</v>
      </c>
      <c r="H11" s="197">
        <f t="shared" si="0"/>
        <v>61320</v>
      </c>
      <c r="I11" s="30">
        <v>122</v>
      </c>
      <c r="J11" s="198">
        <f t="shared" si="1"/>
        <v>44530</v>
      </c>
      <c r="K11" s="199">
        <f t="shared" si="2"/>
        <v>0.27380952380952384</v>
      </c>
      <c r="L11" s="2"/>
    </row>
    <row r="12" spans="1:38" x14ac:dyDescent="0.3">
      <c r="B12" t="s">
        <v>383</v>
      </c>
      <c r="C12">
        <v>242</v>
      </c>
      <c r="D12">
        <v>17</v>
      </c>
      <c r="E12">
        <v>50</v>
      </c>
      <c r="F12">
        <v>7.5</v>
      </c>
      <c r="G12" s="197">
        <v>76</v>
      </c>
      <c r="H12" s="197">
        <f t="shared" si="0"/>
        <v>27740</v>
      </c>
      <c r="I12" s="30">
        <v>55</v>
      </c>
      <c r="J12" s="198">
        <f t="shared" si="1"/>
        <v>20075</v>
      </c>
      <c r="K12" s="199">
        <f t="shared" si="2"/>
        <v>0.27631578947368418</v>
      </c>
      <c r="L12" s="2"/>
    </row>
    <row r="13" spans="1:38" x14ac:dyDescent="0.3">
      <c r="B13" t="s">
        <v>384</v>
      </c>
      <c r="C13">
        <v>171</v>
      </c>
      <c r="D13">
        <v>12</v>
      </c>
      <c r="E13">
        <v>50</v>
      </c>
      <c r="F13">
        <v>5</v>
      </c>
      <c r="G13" s="197">
        <v>47</v>
      </c>
      <c r="H13" s="197">
        <f t="shared" si="0"/>
        <v>17155</v>
      </c>
      <c r="I13" s="30">
        <v>36</v>
      </c>
      <c r="J13" s="198">
        <f t="shared" si="1"/>
        <v>13140</v>
      </c>
      <c r="K13" s="199">
        <f t="shared" si="2"/>
        <v>0.23404255319148937</v>
      </c>
      <c r="L13" s="2"/>
      <c r="V13" s="10" t="s">
        <v>1372</v>
      </c>
    </row>
    <row r="14" spans="1:38" ht="57.6" x14ac:dyDescent="0.3">
      <c r="B14" t="s">
        <v>385</v>
      </c>
      <c r="C14">
        <v>336</v>
      </c>
      <c r="D14">
        <v>23</v>
      </c>
      <c r="E14">
        <v>50</v>
      </c>
      <c r="F14">
        <v>15</v>
      </c>
      <c r="G14" s="197">
        <v>138</v>
      </c>
      <c r="H14" s="197">
        <f t="shared" si="0"/>
        <v>50370</v>
      </c>
      <c r="I14" s="30">
        <v>118</v>
      </c>
      <c r="J14" s="198">
        <f t="shared" si="1"/>
        <v>43070</v>
      </c>
      <c r="K14" s="199">
        <f t="shared" si="2"/>
        <v>0.14492753623188404</v>
      </c>
      <c r="L14" s="2"/>
      <c r="V14" s="34" t="s">
        <v>1085</v>
      </c>
      <c r="W14" s="144" t="s">
        <v>1086</v>
      </c>
      <c r="X14" s="144" t="s">
        <v>1087</v>
      </c>
      <c r="Y14" s="144" t="s">
        <v>1088</v>
      </c>
    </row>
    <row r="15" spans="1:38" x14ac:dyDescent="0.3">
      <c r="V15" s="15" t="s">
        <v>1089</v>
      </c>
      <c r="W15" s="941">
        <v>1.91</v>
      </c>
      <c r="X15" s="941" t="s">
        <v>230</v>
      </c>
      <c r="Y15" s="941" t="s">
        <v>230</v>
      </c>
      <c r="Z15" s="941" t="s">
        <v>1090</v>
      </c>
    </row>
    <row r="16" spans="1:38" ht="16.2" x14ac:dyDescent="0.3">
      <c r="B16" t="s">
        <v>395</v>
      </c>
      <c r="V16" s="15" t="s">
        <v>1091</v>
      </c>
      <c r="W16" s="941">
        <v>2.15</v>
      </c>
      <c r="X16" s="941" t="s">
        <v>230</v>
      </c>
      <c r="Y16" s="941" t="s">
        <v>230</v>
      </c>
    </row>
    <row r="17" spans="2:25" x14ac:dyDescent="0.3">
      <c r="C17" t="s">
        <v>67</v>
      </c>
      <c r="D17" t="s">
        <v>396</v>
      </c>
      <c r="V17" s="15" t="s">
        <v>1092</v>
      </c>
      <c r="W17" s="941">
        <v>2.94</v>
      </c>
      <c r="X17" s="941">
        <v>3.15</v>
      </c>
      <c r="Y17" s="941" t="s">
        <v>230</v>
      </c>
    </row>
    <row r="18" spans="2:25" x14ac:dyDescent="0.3">
      <c r="B18" t="s">
        <v>392</v>
      </c>
      <c r="C18">
        <v>61.389000000000003</v>
      </c>
      <c r="D18">
        <v>2.2782</v>
      </c>
      <c r="V18" s="15" t="s">
        <v>1093</v>
      </c>
      <c r="W18" s="941">
        <v>4.12</v>
      </c>
      <c r="X18" s="941">
        <v>4.55</v>
      </c>
      <c r="Y18" s="941">
        <v>7.57</v>
      </c>
    </row>
    <row r="19" spans="2:25" x14ac:dyDescent="0.3">
      <c r="B19" t="s">
        <v>393</v>
      </c>
      <c r="C19">
        <v>291.02</v>
      </c>
      <c r="D19">
        <v>1.5132000000000001</v>
      </c>
    </row>
    <row r="20" spans="2:25" x14ac:dyDescent="0.3">
      <c r="V20" s="15" t="s">
        <v>1094</v>
      </c>
      <c r="W20">
        <f>Unit_Sum!$D$77</f>
        <v>92</v>
      </c>
    </row>
    <row r="21" spans="2:25" x14ac:dyDescent="0.3">
      <c r="V21" s="15" t="s">
        <v>1095</v>
      </c>
      <c r="W21">
        <f>Proj_Sum!$D$32</f>
        <v>8</v>
      </c>
    </row>
    <row r="22" spans="2:25" x14ac:dyDescent="0.3">
      <c r="B22" t="s">
        <v>386</v>
      </c>
      <c r="C22" s="7">
        <f>Unit_Sum!D77</f>
        <v>92</v>
      </c>
      <c r="V22" s="15" t="s">
        <v>1096</v>
      </c>
      <c r="W22" s="1">
        <v>4.55</v>
      </c>
      <c r="X22" t="s">
        <v>1097</v>
      </c>
    </row>
    <row r="23" spans="2:25" x14ac:dyDescent="0.3">
      <c r="B23" t="s">
        <v>387</v>
      </c>
      <c r="C23" s="7">
        <f>Proj_Sum!D36</f>
        <v>0</v>
      </c>
      <c r="V23" s="15" t="s">
        <v>1098</v>
      </c>
      <c r="W23" s="1">
        <v>2</v>
      </c>
    </row>
    <row r="24" spans="2:25" x14ac:dyDescent="0.3">
      <c r="B24" t="s">
        <v>388</v>
      </c>
      <c r="C24" s="195" t="s">
        <v>398</v>
      </c>
      <c r="D24" t="s">
        <v>376</v>
      </c>
      <c r="V24" s="15" t="s">
        <v>1099</v>
      </c>
      <c r="W24">
        <v>10000</v>
      </c>
      <c r="X24" t="s">
        <v>1100</v>
      </c>
    </row>
    <row r="25" spans="2:25" x14ac:dyDescent="0.3">
      <c r="B25" t="s">
        <v>397</v>
      </c>
      <c r="C25" s="2748" t="s">
        <v>393</v>
      </c>
      <c r="D25" s="2748"/>
      <c r="E25" s="120">
        <f>MATCH(C25,B18:B20,0)</f>
        <v>2</v>
      </c>
      <c r="V25" s="15" t="s">
        <v>540</v>
      </c>
      <c r="W25">
        <f>W23*W24</f>
        <v>20000</v>
      </c>
      <c r="X25" t="s">
        <v>1058</v>
      </c>
    </row>
    <row r="26" spans="2:25" x14ac:dyDescent="0.3">
      <c r="B26" t="s">
        <v>378</v>
      </c>
      <c r="C26" s="204">
        <f ca="1">OFFSET(B17,E25,1)*C23^OFFSET(B17,E25,2)</f>
        <v>0</v>
      </c>
      <c r="D26" t="s">
        <v>42</v>
      </c>
      <c r="V26" s="15" t="s">
        <v>1101</v>
      </c>
      <c r="W26" s="8">
        <f>W22*W23*1000/(W25/1000)/365</f>
        <v>1.2465753424657535</v>
      </c>
      <c r="X26" t="s">
        <v>1102</v>
      </c>
    </row>
    <row r="27" spans="2:25" x14ac:dyDescent="0.3">
      <c r="B27" t="s">
        <v>418</v>
      </c>
      <c r="C27" t="str">
        <f>Sch_Sum!C24</f>
        <v>CW Booster Sch</v>
      </c>
      <c r="W27" s="1001">
        <f>W26/24</f>
        <v>5.1940639269406397E-2</v>
      </c>
      <c r="X27" t="s">
        <v>440</v>
      </c>
    </row>
    <row r="28" spans="2:25" x14ac:dyDescent="0.3">
      <c r="B28" t="s">
        <v>401</v>
      </c>
      <c r="C28" s="6">
        <f>Sch_Sum!AD24</f>
        <v>2189.9999999999995</v>
      </c>
      <c r="V28" s="15" t="s">
        <v>1127</v>
      </c>
      <c r="W28" s="906">
        <f>31046.91/3.412</f>
        <v>9099.3288393903877</v>
      </c>
      <c r="X28" t="s">
        <v>42</v>
      </c>
    </row>
    <row r="29" spans="2:25" x14ac:dyDescent="0.3">
      <c r="B29" t="s">
        <v>402</v>
      </c>
      <c r="C29" s="205">
        <f ca="1">C26/C28</f>
        <v>0</v>
      </c>
      <c r="D29" t="s">
        <v>43</v>
      </c>
      <c r="V29" s="15" t="s">
        <v>259</v>
      </c>
      <c r="W29" s="1220">
        <f>1-W28/(W22*W23*1000)</f>
        <v>7.3753913144236627E-5</v>
      </c>
      <c r="X29" s="163" t="s">
        <v>1128</v>
      </c>
    </row>
    <row r="30" spans="2:25" x14ac:dyDescent="0.3">
      <c r="B30" s="1753" t="s">
        <v>1943</v>
      </c>
      <c r="C30" t="s">
        <v>2160</v>
      </c>
      <c r="X30" s="163" t="s">
        <v>1129</v>
      </c>
    </row>
    <row r="31" spans="2:25" x14ac:dyDescent="0.3">
      <c r="B31" s="1753" t="s">
        <v>1944</v>
      </c>
      <c r="C31" s="1498" t="e">
        <f>VLOOKUP(C30,'360SpcLdsCSV'!$C$6:$AO$266,'360SpcLdsCSV'!$I$1,FALSE)</f>
        <v>#N/A</v>
      </c>
      <c r="D31" t="s">
        <v>302</v>
      </c>
    </row>
    <row r="32" spans="2:25" x14ac:dyDescent="0.3">
      <c r="B32" s="1753" t="s">
        <v>1945</v>
      </c>
      <c r="C32" s="2190" t="e">
        <f ca="1">C29*1000/C31</f>
        <v>#N/A</v>
      </c>
      <c r="D32" t="s">
        <v>303</v>
      </c>
    </row>
    <row r="34" spans="1:4" x14ac:dyDescent="0.3">
      <c r="A34" s="10" t="s">
        <v>2108</v>
      </c>
    </row>
    <row r="35" spans="1:4" x14ac:dyDescent="0.3">
      <c r="B35" s="1753" t="s">
        <v>101</v>
      </c>
      <c r="C35" s="1" t="s">
        <v>2109</v>
      </c>
    </row>
    <row r="36" spans="1:4" x14ac:dyDescent="0.3">
      <c r="B36" s="1753" t="s">
        <v>2110</v>
      </c>
      <c r="C36" s="1502">
        <v>0.4</v>
      </c>
    </row>
    <row r="37" spans="1:4" x14ac:dyDescent="0.3">
      <c r="B37" s="1753" t="s">
        <v>930</v>
      </c>
      <c r="C37" s="1">
        <v>0</v>
      </c>
    </row>
    <row r="38" spans="1:4" x14ac:dyDescent="0.3">
      <c r="B38" s="1753" t="s">
        <v>2111</v>
      </c>
      <c r="C38" s="23">
        <f>C36*0.7457*C37*0.8</f>
        <v>0</v>
      </c>
    </row>
    <row r="39" spans="1:4" x14ac:dyDescent="0.3">
      <c r="B39" s="1753" t="s">
        <v>1943</v>
      </c>
      <c r="C39" t="s">
        <v>2160</v>
      </c>
    </row>
    <row r="40" spans="1:4" x14ac:dyDescent="0.3">
      <c r="B40" s="1753" t="s">
        <v>1944</v>
      </c>
      <c r="C40" s="1498" t="e">
        <f>VLOOKUP(C39,'360SpcLdsCSV'!$C$6:$AO$266,'360SpcLdsCSV'!$I$1,FALSE)</f>
        <v>#N/A</v>
      </c>
      <c r="D40" t="s">
        <v>302</v>
      </c>
    </row>
    <row r="41" spans="1:4" x14ac:dyDescent="0.3">
      <c r="B41" s="1753" t="s">
        <v>1945</v>
      </c>
      <c r="C41" s="2190" t="e">
        <f>C38*1000/C40</f>
        <v>#N/A</v>
      </c>
      <c r="D41" t="s">
        <v>303</v>
      </c>
    </row>
    <row r="42" spans="1:4" x14ac:dyDescent="0.3">
      <c r="B42" s="1753" t="s">
        <v>1264</v>
      </c>
      <c r="C42" s="1">
        <v>8760</v>
      </c>
    </row>
    <row r="43" spans="1:4" x14ac:dyDescent="0.3">
      <c r="C43" s="2191">
        <f>C38*C42</f>
        <v>0</v>
      </c>
      <c r="D43" s="15" t="s">
        <v>42</v>
      </c>
    </row>
  </sheetData>
  <mergeCells count="3">
    <mergeCell ref="I6:J6"/>
    <mergeCell ref="G6:H6"/>
    <mergeCell ref="C25:D25"/>
  </mergeCells>
  <conditionalFormatting sqref="W29">
    <cfRule type="expression" dxfId="1" priority="1">
      <formula>$B$17&lt;-0.02</formula>
    </cfRule>
    <cfRule type="expression" dxfId="0" priority="2">
      <formula>$B$17&gt;0.02</formula>
    </cfRule>
  </conditionalFormatting>
  <dataValidations count="1">
    <dataValidation type="list" allowBlank="1" showInputMessage="1" showErrorMessage="1" sqref="C25" xr:uid="{00000000-0002-0000-1900-000000000000}">
      <formula1>$B$18:$B$20</formula1>
    </dataValidation>
  </dataValidation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71B54-185C-4750-87C1-D80AF619958D}">
  <dimension ref="A1:G8"/>
  <sheetViews>
    <sheetView tabSelected="1" workbookViewId="0">
      <selection activeCell="H12" sqref="H12"/>
    </sheetView>
  </sheetViews>
  <sheetFormatPr defaultRowHeight="14.4" x14ac:dyDescent="0.3"/>
  <cols>
    <col min="1" max="1" width="35.77734375" customWidth="1"/>
    <col min="2" max="4" width="15.6640625" customWidth="1"/>
    <col min="5" max="5" width="11.6640625" customWidth="1"/>
    <col min="6" max="6" width="13" customWidth="1"/>
  </cols>
  <sheetData>
    <row r="1" spans="1:7" x14ac:dyDescent="0.3">
      <c r="B1" t="s">
        <v>47</v>
      </c>
      <c r="E1" t="s">
        <v>81</v>
      </c>
    </row>
    <row r="2" spans="1:7" x14ac:dyDescent="0.3">
      <c r="B2" t="s">
        <v>2443</v>
      </c>
      <c r="C2" t="s">
        <v>2444</v>
      </c>
      <c r="D2" t="s">
        <v>2445</v>
      </c>
      <c r="E2" t="s">
        <v>2443</v>
      </c>
      <c r="F2" t="s">
        <v>2444</v>
      </c>
      <c r="G2" t="s">
        <v>2445</v>
      </c>
    </row>
    <row r="3" spans="1:7" x14ac:dyDescent="0.3">
      <c r="A3" t="s">
        <v>2437</v>
      </c>
      <c r="B3">
        <f ca="1">Lighting_Sum!S48</f>
        <v>285440.59570000006</v>
      </c>
      <c r="C3">
        <v>0</v>
      </c>
      <c r="D3">
        <v>0</v>
      </c>
      <c r="E3">
        <f ca="1">Lighting_Sum!AB48</f>
        <v>151166.7556</v>
      </c>
      <c r="F3">
        <v>0</v>
      </c>
      <c r="G3">
        <v>0</v>
      </c>
    </row>
    <row r="4" spans="1:7" x14ac:dyDescent="0.3">
      <c r="A4" t="s">
        <v>2438</v>
      </c>
      <c r="B4">
        <f ca="1">'Unit Loads-Simple'!E19</f>
        <v>422117.86784531083</v>
      </c>
      <c r="C4">
        <v>0</v>
      </c>
      <c r="D4">
        <v>0</v>
      </c>
      <c r="E4">
        <f>'Unit Loads-Simple'!F20</f>
        <v>413805.54</v>
      </c>
      <c r="F4">
        <v>0</v>
      </c>
      <c r="G4">
        <v>0</v>
      </c>
    </row>
    <row r="5" spans="1:7" x14ac:dyDescent="0.3">
      <c r="A5" t="s">
        <v>2439</v>
      </c>
      <c r="B5">
        <f>'Unit Loads-Simple'!K17</f>
        <v>59842</v>
      </c>
      <c r="C5">
        <v>0</v>
      </c>
      <c r="D5">
        <v>0</v>
      </c>
      <c r="E5">
        <f>'Unit Loads-Simple'!L17</f>
        <v>59842</v>
      </c>
      <c r="F5">
        <v>0</v>
      </c>
      <c r="G5">
        <v>0</v>
      </c>
    </row>
    <row r="6" spans="1:7" x14ac:dyDescent="0.3">
      <c r="A6" t="s">
        <v>2440</v>
      </c>
      <c r="B6">
        <f ca="1">'Common Fans'!X15</f>
        <v>0</v>
      </c>
      <c r="C6">
        <v>0</v>
      </c>
      <c r="D6">
        <v>0</v>
      </c>
      <c r="E6">
        <f>'Common Fans'!X12</f>
        <v>0</v>
      </c>
      <c r="F6">
        <v>0</v>
      </c>
      <c r="G6">
        <v>0</v>
      </c>
    </row>
    <row r="7" spans="1:7" x14ac:dyDescent="0.3">
      <c r="A7" t="s">
        <v>2441</v>
      </c>
      <c r="B7">
        <v>0</v>
      </c>
      <c r="C7">
        <v>0</v>
      </c>
      <c r="D7">
        <f ca="1">'Unit Loads-Simple'!J79</f>
        <v>2422636.6</v>
      </c>
      <c r="E7">
        <v>0</v>
      </c>
      <c r="F7">
        <v>0</v>
      </c>
      <c r="G7">
        <f ca="1">'Unit Loads-Simple'!N79</f>
        <v>2226720.8833333338</v>
      </c>
    </row>
    <row r="8" spans="1:7" x14ac:dyDescent="0.3">
      <c r="A8" t="s">
        <v>2442</v>
      </c>
      <c r="B8">
        <f>IF('Unit Loads-Simple'!M98="kWh",'Unit Loads-Simple'!L98,0)</f>
        <v>0</v>
      </c>
      <c r="C8">
        <f ca="1">IF('Unit Loads-Simple'!M98="Therms",'Unit Loads-Simple'!L98,0)</f>
        <v>16598.048524727903</v>
      </c>
      <c r="D8">
        <v>0</v>
      </c>
      <c r="E8">
        <f ca="1">IF('Unit Loads-Simple'!Q98="kWh",'Unit Loads-Simple'!P98,0)</f>
        <v>354921.13701705425</v>
      </c>
      <c r="F8">
        <f>IF('Unit Loads-Simple'!Q98="Therms",'Unit Loads-Simple'!P98,0)</f>
        <v>0</v>
      </c>
      <c r="G8">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theme="0" tint="-0.499984740745262"/>
  </sheetPr>
  <dimension ref="A1:S21"/>
  <sheetViews>
    <sheetView workbookViewId="0"/>
  </sheetViews>
  <sheetFormatPr defaultColWidth="9.109375" defaultRowHeight="14.4" x14ac:dyDescent="0.3"/>
  <cols>
    <col min="17" max="17" width="29.6640625" customWidth="1"/>
    <col min="18" max="19" width="18.88671875" customWidth="1"/>
  </cols>
  <sheetData>
    <row r="1" spans="1:19" ht="15" thickBot="1" x14ac:dyDescent="0.35">
      <c r="A1" s="10" t="s">
        <v>184</v>
      </c>
      <c r="Q1" s="48" t="s">
        <v>185</v>
      </c>
      <c r="R1" s="49"/>
      <c r="S1" s="27"/>
    </row>
    <row r="2" spans="1:19" ht="15" thickTop="1" x14ac:dyDescent="0.3">
      <c r="Q2" s="50" t="s">
        <v>186</v>
      </c>
      <c r="R2" s="7">
        <f>R16</f>
        <v>0.67</v>
      </c>
      <c r="S2" s="22"/>
    </row>
    <row r="3" spans="1:19" x14ac:dyDescent="0.3">
      <c r="A3" s="59" t="s">
        <v>188</v>
      </c>
      <c r="Q3" s="50" t="s">
        <v>189</v>
      </c>
      <c r="R3" s="35">
        <f>INDEX($S$13:$S$17,MATCH(R2,$R$13:$R$17,0))</f>
        <v>0.25</v>
      </c>
      <c r="S3" s="22"/>
    </row>
    <row r="4" spans="1:19" x14ac:dyDescent="0.3">
      <c r="Q4" s="50" t="s">
        <v>190</v>
      </c>
      <c r="R4" s="7">
        <v>1</v>
      </c>
      <c r="S4" s="22"/>
    </row>
    <row r="5" spans="1:19" x14ac:dyDescent="0.3">
      <c r="Q5" s="50" t="s">
        <v>191</v>
      </c>
      <c r="R5" s="35">
        <f>INDEX($S$13:$S$17,MATCH(R4,$R$13:$R$17,0))</f>
        <v>0.15</v>
      </c>
      <c r="S5" s="22"/>
    </row>
    <row r="6" spans="1:19" x14ac:dyDescent="0.3">
      <c r="Q6" s="50" t="s">
        <v>192</v>
      </c>
      <c r="R6" s="50">
        <v>30</v>
      </c>
      <c r="S6" s="22"/>
    </row>
    <row r="10" spans="1:19" ht="15" thickBot="1" x14ac:dyDescent="0.35"/>
    <row r="11" spans="1:19" x14ac:dyDescent="0.3">
      <c r="Q11" s="2749" t="s">
        <v>46</v>
      </c>
      <c r="R11" s="38" t="s">
        <v>186</v>
      </c>
      <c r="S11" s="40" t="s">
        <v>194</v>
      </c>
    </row>
    <row r="12" spans="1:19" ht="15" thickBot="1" x14ac:dyDescent="0.35">
      <c r="Q12" s="2750"/>
      <c r="R12" s="39" t="s">
        <v>190</v>
      </c>
      <c r="S12" s="41" t="s">
        <v>195</v>
      </c>
    </row>
    <row r="13" spans="1:19" ht="43.2" x14ac:dyDescent="0.3">
      <c r="Q13" s="42" t="s">
        <v>196</v>
      </c>
      <c r="R13" s="43">
        <v>1.3</v>
      </c>
      <c r="S13" s="44">
        <v>0.1</v>
      </c>
    </row>
    <row r="14" spans="1:19" ht="43.2" x14ac:dyDescent="0.3">
      <c r="Q14" s="42" t="s">
        <v>197</v>
      </c>
      <c r="R14" s="43">
        <v>1</v>
      </c>
      <c r="S14" s="44">
        <v>0.15</v>
      </c>
    </row>
    <row r="15" spans="1:19" ht="28.8" x14ac:dyDescent="0.3">
      <c r="Q15" s="42" t="s">
        <v>187</v>
      </c>
      <c r="R15" s="43">
        <v>0.85</v>
      </c>
      <c r="S15" s="44">
        <v>0.2</v>
      </c>
    </row>
    <row r="16" spans="1:19" x14ac:dyDescent="0.3">
      <c r="Q16" s="42" t="s">
        <v>198</v>
      </c>
      <c r="R16" s="43">
        <v>0.67</v>
      </c>
      <c r="S16" s="44">
        <v>0.25</v>
      </c>
    </row>
    <row r="17" spans="1:19" ht="15" thickBot="1" x14ac:dyDescent="0.35">
      <c r="Q17" s="45" t="s">
        <v>199</v>
      </c>
      <c r="R17" s="46">
        <v>0.47</v>
      </c>
      <c r="S17" s="47">
        <v>0.35</v>
      </c>
    </row>
    <row r="21" spans="1:19" x14ac:dyDescent="0.3">
      <c r="A21" t="s">
        <v>193</v>
      </c>
    </row>
  </sheetData>
  <mergeCells count="1">
    <mergeCell ref="Q11:Q12"/>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33</vt:i4>
      </vt:variant>
    </vt:vector>
  </HeadingPairs>
  <TitlesOfParts>
    <vt:vector size="63" baseType="lpstr">
      <vt:lpstr>Workbook Version</vt:lpstr>
      <vt:lpstr>LEED Cal_GI</vt:lpstr>
      <vt:lpstr>Multifamily Details</vt:lpstr>
      <vt:lpstr>360SpcLdsCSV</vt:lpstr>
      <vt:lpstr>Proj_Sum</vt:lpstr>
      <vt:lpstr>Unit_Sum</vt:lpstr>
      <vt:lpstr>Unit_Sum_MIP</vt:lpstr>
      <vt:lpstr>Spaces_Sum</vt:lpstr>
      <vt:lpstr>Lighting_Sum</vt:lpstr>
      <vt:lpstr>Envelope_Sum</vt:lpstr>
      <vt:lpstr>Sch_Sum</vt:lpstr>
      <vt:lpstr>VentExhCSV_Spc</vt:lpstr>
      <vt:lpstr>Bluebeam Lighting</vt:lpstr>
      <vt:lpstr>Ltg Schedule</vt:lpstr>
      <vt:lpstr>Ltg IntTakeoffs</vt:lpstr>
      <vt:lpstr>Ltg ExtTakeoffs</vt:lpstr>
      <vt:lpstr>In-Unit Lighting</vt:lpstr>
      <vt:lpstr>MFAM ExhFan-Inf NEW!</vt:lpstr>
      <vt:lpstr>Unit Loads-Simple</vt:lpstr>
      <vt:lpstr>Lndy Loads-Simple</vt:lpstr>
      <vt:lpstr>REF_ExhFan</vt:lpstr>
      <vt:lpstr>Common Fans</vt:lpstr>
      <vt:lpstr>Ventilation</vt:lpstr>
      <vt:lpstr>Ventilation Old</vt:lpstr>
      <vt:lpstr>LI 10371 - Garage Fan</vt:lpstr>
      <vt:lpstr>REF_C406 Estimates</vt:lpstr>
      <vt:lpstr>Minimum Eff</vt:lpstr>
      <vt:lpstr>REF_Misc Loads</vt:lpstr>
      <vt:lpstr>QC</vt:lpstr>
      <vt:lpstr>REF_Wind Inf</vt:lpstr>
      <vt:lpstr>CActDescTable</vt:lpstr>
      <vt:lpstr>'Lndy Loads-Simple'!CmnLtg_Ref</vt:lpstr>
      <vt:lpstr>CmnLtg_Ref</vt:lpstr>
      <vt:lpstr>CompType</vt:lpstr>
      <vt:lpstr>ELtgCountRef</vt:lpstr>
      <vt:lpstr>'Lndy Loads-Simple'!Envelope_Ref</vt:lpstr>
      <vt:lpstr>Envelope_Ref</vt:lpstr>
      <vt:lpstr>'Lndy Loads-Simple'!ExhaustfanRef</vt:lpstr>
      <vt:lpstr>ExhaustfanRef</vt:lpstr>
      <vt:lpstr>FloorID</vt:lpstr>
      <vt:lpstr>InfAreaBasis</vt:lpstr>
      <vt:lpstr>'Lndy Loads-Simple'!Ltg_EFixtureSch_PROP</vt:lpstr>
      <vt:lpstr>Ltg_EFixtureSch_PROP</vt:lpstr>
      <vt:lpstr>'Lndy Loads-Simple'!Ltg_IFixtureSch_PROP</vt:lpstr>
      <vt:lpstr>Ltg_IFixtureSch_PROP</vt:lpstr>
      <vt:lpstr>MinMotorEffArray</vt:lpstr>
      <vt:lpstr>'LI 10371 - Garage Fan'!Print_Area</vt:lpstr>
      <vt:lpstr>'LI 10371 - Garage Fan'!Print_Titles</vt:lpstr>
      <vt:lpstr>'Lndy Loads-Simple'!ResLtgSchPropArray</vt:lpstr>
      <vt:lpstr>ResLtgSchPropArray</vt:lpstr>
      <vt:lpstr>ResLtgSchPropRef</vt:lpstr>
      <vt:lpstr>S901G_2010_LEED</vt:lpstr>
      <vt:lpstr>S901G_2019</vt:lpstr>
      <vt:lpstr>'Lndy Loads-Simple'!Spaces_Ref</vt:lpstr>
      <vt:lpstr>Spaces_Ref</vt:lpstr>
      <vt:lpstr>Spc_AreaxMult</vt:lpstr>
      <vt:lpstr>Spc_Conditioning</vt:lpstr>
      <vt:lpstr>Spc_LevelNames</vt:lpstr>
      <vt:lpstr>Spc_Names</vt:lpstr>
      <vt:lpstr>Spc_Occupancy</vt:lpstr>
      <vt:lpstr>Spc_VolxMult</vt:lpstr>
      <vt:lpstr>'Lndy Loads-Simple'!UnitSummary_Ref</vt:lpstr>
      <vt:lpstr>UnitSummary_Ref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Martin Model Workbook</dc:title>
  <dc:creator>David Reddy</dc:creator>
  <cp:lastModifiedBy>Jireh Peng</cp:lastModifiedBy>
  <cp:lastPrinted>2026-02-04T23:51:51Z</cp:lastPrinted>
  <dcterms:created xsi:type="dcterms:W3CDTF">2009-12-17T03:01:13Z</dcterms:created>
  <dcterms:modified xsi:type="dcterms:W3CDTF">2026-10-20T19:24:02Z</dcterms:modified>
</cp:coreProperties>
</file>